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Dados StatusInvest" sheetId="2" r:id="rId6"/>
    <sheet state="visible" name="Setor" sheetId="3" r:id="rId7"/>
    <sheet state="hidden" name="Classificação" sheetId="4" r:id="rId8"/>
    <sheet state="hidden" name="Ranking Screeners" sheetId="5" r:id="rId9"/>
    <sheet state="visible" name="Screener" sheetId="6" r:id="rId10"/>
    <sheet state="visible" name="Parametros" sheetId="7" r:id="rId11"/>
    <sheet state="visible" name="Página15" sheetId="8" r:id="rId12"/>
  </sheets>
  <definedNames>
    <definedName hidden="1" localSheetId="0" name="_xlnm._FilterDatabase">Capa!$A$6:$AQ$723</definedName>
    <definedName hidden="1" localSheetId="1" name="_xlnm._FilterDatabase">'Dados StatusInvest'!$A$1:$AD$621</definedName>
    <definedName hidden="1" localSheetId="2" name="_xlnm._FilterDatabase">Setor!$A$1:$E$452</definedName>
    <definedName hidden="1" localSheetId="0" name="Z_830104B7_79F9_479A_8B26_D5BD890D5455_.wvu.FilterData">Capa!$A$6:$AJ$723</definedName>
    <definedName hidden="1" localSheetId="1" name="Z_830104B7_79F9_479A_8B26_D5BD890D5455_.wvu.FilterData">'Dados StatusInvest'!$A$1:$AD$322</definedName>
    <definedName hidden="1" localSheetId="4" name="Z_830104B7_79F9_479A_8B26_D5BD890D5455_.wvu.FilterData">'Ranking Screeners'!$B$5:$H$443</definedName>
  </definedNames>
  <calcPr/>
  <customWorkbookViews>
    <customWorkbookView activeSheetId="0" maximized="1" windowHeight="0" windowWidth="0" guid="{830104B7-79F9-479A-8B26-D5BD890D5455}" name="Filtro 1"/>
  </customWorkbookViews>
</workbook>
</file>

<file path=xl/sharedStrings.xml><?xml version="1.0" encoding="utf-8"?>
<sst xmlns="http://schemas.openxmlformats.org/spreadsheetml/2006/main" count="5750" uniqueCount="1777">
  <si>
    <t>Ações</t>
  </si>
  <si>
    <t>Atualizado em</t>
  </si>
  <si>
    <t>Vídeo: Como usar a planilha</t>
  </si>
  <si>
    <t>INDICADORES FUNDAMENTALISTAS =&gt;</t>
  </si>
  <si>
    <t>Ideal é MAIOR que 4%</t>
  </si>
  <si>
    <t>Ideal é Entre 10 e 15</t>
  </si>
  <si>
    <t>Ideal é Maior de 1,5</t>
  </si>
  <si>
    <t>Menor melhor. Quer dizer gera caixa para enfrentar a crise</t>
  </si>
  <si>
    <t>Ideal &lt;0,5 Aceitável &lt;1</t>
  </si>
  <si>
    <t>TICKER</t>
  </si>
  <si>
    <t>Empresa</t>
  </si>
  <si>
    <t>Setor</t>
  </si>
  <si>
    <t>SubSetor</t>
  </si>
  <si>
    <t>Segmento</t>
  </si>
  <si>
    <t>PRECO ATUAL
Graph 30 Dias</t>
  </si>
  <si>
    <t>Cotação Máxima 12 meses</t>
  </si>
  <si>
    <t>Queda do Máximo</t>
  </si>
  <si>
    <t>DY</t>
  </si>
  <si>
    <t>P/L</t>
  </si>
  <si>
    <t>P/VP</t>
  </si>
  <si>
    <t>P/ATIVOS</t>
  </si>
  <si>
    <t>MARGEM BRUTA</t>
  </si>
  <si>
    <t>MARGEM EBIT</t>
  </si>
  <si>
    <t>MARG. LIQUIDA</t>
  </si>
  <si>
    <t>P/EBIT</t>
  </si>
  <si>
    <t>EV/EBIT</t>
  </si>
  <si>
    <t>DIVIDA LIQUIDA / EBIT</t>
  </si>
  <si>
    <t>DIV. LIQ. / PATRI.</t>
  </si>
  <si>
    <t>PSR</t>
  </si>
  <si>
    <t>P/CAP. GIRO</t>
  </si>
  <si>
    <t>P. AT CIR. LIQ.</t>
  </si>
  <si>
    <t>LIQ. CORRENTE</t>
  </si>
  <si>
    <t>ROE</t>
  </si>
  <si>
    <t>ROA</t>
  </si>
  <si>
    <t>ROIC</t>
  </si>
  <si>
    <t>PATRIMONIO / ATIVOS</t>
  </si>
  <si>
    <t>PASSIVOS / ATIVOS</t>
  </si>
  <si>
    <t>GIRO ATIVOS</t>
  </si>
  <si>
    <t>CAGR RECEITAS 5 ANOS</t>
  </si>
  <si>
    <t>CAGR LUCROS 5 ANOS</t>
  </si>
  <si>
    <t>LIQUIDEZ MEDIA DIARIA</t>
  </si>
  <si>
    <t>Alta</t>
  </si>
  <si>
    <t>Baixa</t>
  </si>
  <si>
    <t>Percentual
de Curva</t>
  </si>
  <si>
    <t>Volume</t>
  </si>
  <si>
    <t>Preço
Fechamento
Anterior</t>
  </si>
  <si>
    <t>PRECO</t>
  </si>
  <si>
    <t>VPA</t>
  </si>
  <si>
    <t>LPA</t>
  </si>
  <si>
    <t>PEG Ratio</t>
  </si>
  <si>
    <t>VALOR DE MERCADO</t>
  </si>
  <si>
    <t>AALR3</t>
  </si>
  <si>
    <t>ABCB4</t>
  </si>
  <si>
    <t>ABEV3</t>
  </si>
  <si>
    <t>ADHM3</t>
  </si>
  <si>
    <t>AERI3</t>
  </si>
  <si>
    <t>AESB3</t>
  </si>
  <si>
    <t>AFLT3</t>
  </si>
  <si>
    <t>AGRO3</t>
  </si>
  <si>
    <t>AGXY3</t>
  </si>
  <si>
    <t>AHEB3</t>
  </si>
  <si>
    <t>AHEB5</t>
  </si>
  <si>
    <t>AHEB6</t>
  </si>
  <si>
    <t>ALLD3</t>
  </si>
  <si>
    <t>ALOS3</t>
  </si>
  <si>
    <t>ALPA3</t>
  </si>
  <si>
    <t>ALPA4</t>
  </si>
  <si>
    <t>ALPK3</t>
  </si>
  <si>
    <t>ALUP11</t>
  </si>
  <si>
    <t>ALUP3</t>
  </si>
  <si>
    <t>ALUP4</t>
  </si>
  <si>
    <t>AMAR3</t>
  </si>
  <si>
    <t>AMBP3</t>
  </si>
  <si>
    <t>AMER3</t>
  </si>
  <si>
    <t>AMOB3</t>
  </si>
  <si>
    <t>ANIM3</t>
  </si>
  <si>
    <t>APER3</t>
  </si>
  <si>
    <t>APTI3</t>
  </si>
  <si>
    <t>APTI4</t>
  </si>
  <si>
    <t>ARML3</t>
  </si>
  <si>
    <t>ARND3</t>
  </si>
  <si>
    <t>ASAI3</t>
  </si>
  <si>
    <t>AUAU3</t>
  </si>
  <si>
    <t>AURA33</t>
  </si>
  <si>
    <t>AURE3</t>
  </si>
  <si>
    <t>AVLL3</t>
  </si>
  <si>
    <t>AXIA3</t>
  </si>
  <si>
    <t>AXIA5</t>
  </si>
  <si>
    <t>AXIA6</t>
  </si>
  <si>
    <t>AXIA7</t>
  </si>
  <si>
    <t>AZEV3</t>
  </si>
  <si>
    <t>AZEV4</t>
  </si>
  <si>
    <t>AZTE3</t>
  </si>
  <si>
    <t>AZUL53</t>
  </si>
  <si>
    <t>AZUL54</t>
  </si>
  <si>
    <t>AZZA3</t>
  </si>
  <si>
    <t>B3SA3</t>
  </si>
  <si>
    <t>BAHI3</t>
  </si>
  <si>
    <t>BALM3</t>
  </si>
  <si>
    <t>BALM4</t>
  </si>
  <si>
    <t>BAUH3</t>
  </si>
  <si>
    <t>BAUH4</t>
  </si>
  <si>
    <t>BAZA3</t>
  </si>
  <si>
    <t>BBAS3</t>
  </si>
  <si>
    <t>BBDC3</t>
  </si>
  <si>
    <t>BBDC4</t>
  </si>
  <si>
    <t>BBML3</t>
  </si>
  <si>
    <t>BBSE3</t>
  </si>
  <si>
    <t>BDLL3</t>
  </si>
  <si>
    <t>BDLL4</t>
  </si>
  <si>
    <t>BEEF3</t>
  </si>
  <si>
    <t>BEES3</t>
  </si>
  <si>
    <t>BEES4</t>
  </si>
  <si>
    <t>BFRE11</t>
  </si>
  <si>
    <t>BFRE12</t>
  </si>
  <si>
    <t>BGIP3</t>
  </si>
  <si>
    <t>BGIP4</t>
  </si>
  <si>
    <t>BHIA3</t>
  </si>
  <si>
    <t>BIDI11</t>
  </si>
  <si>
    <t>BIDI3</t>
  </si>
  <si>
    <t>BIDI4</t>
  </si>
  <si>
    <t>BIOM3</t>
  </si>
  <si>
    <t>BLAU3</t>
  </si>
  <si>
    <t>BLUT3</t>
  </si>
  <si>
    <t>BLUT4</t>
  </si>
  <si>
    <t>BMEB3</t>
  </si>
  <si>
    <t>BMEB4</t>
  </si>
  <si>
    <t>BMGB4</t>
  </si>
  <si>
    <t>BMIN3</t>
  </si>
  <si>
    <t>BMIN4</t>
  </si>
  <si>
    <t>BMKS3</t>
  </si>
  <si>
    <t>BMOB3</t>
  </si>
  <si>
    <t>BNBR3</t>
  </si>
  <si>
    <t>BOAS3</t>
  </si>
  <si>
    <t>BOBR3</t>
  </si>
  <si>
    <t>BOBR4</t>
  </si>
  <si>
    <t>BPAC11</t>
  </si>
  <si>
    <t>BPAC3</t>
  </si>
  <si>
    <t>BPAC5</t>
  </si>
  <si>
    <t>BPAN4</t>
  </si>
  <si>
    <t>BPAR3</t>
  </si>
  <si>
    <t>BPAT33</t>
  </si>
  <si>
    <t>BPHA3</t>
  </si>
  <si>
    <t>BRAP3</t>
  </si>
  <si>
    <t>BRAP4</t>
  </si>
  <si>
    <t>BRAV3</t>
  </si>
  <si>
    <t>BRBI11</t>
  </si>
  <si>
    <t>BRBI3</t>
  </si>
  <si>
    <t>BRBI4</t>
  </si>
  <si>
    <t>BRFS3</t>
  </si>
  <si>
    <t>BRGE11</t>
  </si>
  <si>
    <t>BRGE12</t>
  </si>
  <si>
    <t>BRGE3</t>
  </si>
  <si>
    <t>BRGE5</t>
  </si>
  <si>
    <t>BRGE6</t>
  </si>
  <si>
    <t>BRGE7</t>
  </si>
  <si>
    <t>BRGE8</t>
  </si>
  <si>
    <t>BRIV3</t>
  </si>
  <si>
    <t>BRIV4</t>
  </si>
  <si>
    <t>BRKM3</t>
  </si>
  <si>
    <t>BRKM5</t>
  </si>
  <si>
    <t>BRKM6</t>
  </si>
  <si>
    <t>BRML3</t>
  </si>
  <si>
    <t>BRPR3</t>
  </si>
  <si>
    <t>BRQB3</t>
  </si>
  <si>
    <t>BRSR3</t>
  </si>
  <si>
    <t>BRSR5</t>
  </si>
  <si>
    <t>BRSR6</t>
  </si>
  <si>
    <t>BRST3</t>
  </si>
  <si>
    <t>BSEV3</t>
  </si>
  <si>
    <t>BSLI3</t>
  </si>
  <si>
    <t>BSLI4</t>
  </si>
  <si>
    <t>BTTL4</t>
  </si>
  <si>
    <t>CALI3</t>
  </si>
  <si>
    <t>CALI4</t>
  </si>
  <si>
    <t>CAMB3</t>
  </si>
  <si>
    <t>CAMB4</t>
  </si>
  <si>
    <t>CAML3</t>
  </si>
  <si>
    <t>CASH3</t>
  </si>
  <si>
    <t>CASN3</t>
  </si>
  <si>
    <t>CASN4</t>
  </si>
  <si>
    <t>CATA3</t>
  </si>
  <si>
    <t>CATA4</t>
  </si>
  <si>
    <t>CBAV3</t>
  </si>
  <si>
    <t>CBEE3</t>
  </si>
  <si>
    <t>CCXC3</t>
  </si>
  <si>
    <t>CEAB3</t>
  </si>
  <si>
    <t>CEBR3</t>
  </si>
  <si>
    <t>CEBR5</t>
  </si>
  <si>
    <t>CEBR6</t>
  </si>
  <si>
    <t>CEDO3</t>
  </si>
  <si>
    <t>CEDO4</t>
  </si>
  <si>
    <t>CEEB3</t>
  </si>
  <si>
    <t>CEEB5</t>
  </si>
  <si>
    <t>CEEB6</t>
  </si>
  <si>
    <t>CEED3</t>
  </si>
  <si>
    <t>CEED4</t>
  </si>
  <si>
    <t>CEGR3</t>
  </si>
  <si>
    <t>CEPE3</t>
  </si>
  <si>
    <t>CEPE5</t>
  </si>
  <si>
    <t>CEPE6</t>
  </si>
  <si>
    <t>CESP3</t>
  </si>
  <si>
    <t>CESP5</t>
  </si>
  <si>
    <t>CESP6</t>
  </si>
  <si>
    <t>CGAS3</t>
  </si>
  <si>
    <t>CGAS5</t>
  </si>
  <si>
    <t>CGRA3</t>
  </si>
  <si>
    <t>CGRA4</t>
  </si>
  <si>
    <t>CIEL3</t>
  </si>
  <si>
    <t>CLSA3</t>
  </si>
  <si>
    <t>CLSC3</t>
  </si>
  <si>
    <t>CLSC4</t>
  </si>
  <si>
    <t>CMIG3</t>
  </si>
  <si>
    <t>CMIG4</t>
  </si>
  <si>
    <t>CMIN3</t>
  </si>
  <si>
    <t>CMSA3</t>
  </si>
  <si>
    <t>CMSA4</t>
  </si>
  <si>
    <t>CNSY3</t>
  </si>
  <si>
    <t>COCE3</t>
  </si>
  <si>
    <t>COCE5</t>
  </si>
  <si>
    <t>COCE6</t>
  </si>
  <si>
    <t>COGN3</t>
  </si>
  <si>
    <t>CORR3</t>
  </si>
  <si>
    <t>CORR4</t>
  </si>
  <si>
    <t>CPFE3</t>
  </si>
  <si>
    <t>CPLE3</t>
  </si>
  <si>
    <t>CPLE5</t>
  </si>
  <si>
    <t>CPLE6</t>
  </si>
  <si>
    <t>CPRE3</t>
  </si>
  <si>
    <t>CREM3</t>
  </si>
  <si>
    <t>CRFB3</t>
  </si>
  <si>
    <t>CRIV3</t>
  </si>
  <si>
    <t>CRIV4</t>
  </si>
  <si>
    <t>CRPG3</t>
  </si>
  <si>
    <t>CRPG5</t>
  </si>
  <si>
    <t>CRPG6</t>
  </si>
  <si>
    <t>CSAB3</t>
  </si>
  <si>
    <t>CSAB4</t>
  </si>
  <si>
    <t>CSAN3</t>
  </si>
  <si>
    <t>CSED3</t>
  </si>
  <si>
    <t>CSMG3</t>
  </si>
  <si>
    <t>CSNA3</t>
  </si>
  <si>
    <t>CSRN3</t>
  </si>
  <si>
    <t>CSRN5</t>
  </si>
  <si>
    <t>CSRN6</t>
  </si>
  <si>
    <t>CSUD3</t>
  </si>
  <si>
    <t>CTAX3</t>
  </si>
  <si>
    <t>CTCA3</t>
  </si>
  <si>
    <t>CTKA3</t>
  </si>
  <si>
    <t>CTKA4</t>
  </si>
  <si>
    <t>CTNM3</t>
  </si>
  <si>
    <t>CTNM4</t>
  </si>
  <si>
    <t>CTSA3</t>
  </si>
  <si>
    <t>CTSA4</t>
  </si>
  <si>
    <t>CTSA8</t>
  </si>
  <si>
    <t>CURY3</t>
  </si>
  <si>
    <t>CVCB3</t>
  </si>
  <si>
    <t>CXSE3</t>
  </si>
  <si>
    <t>CYRE3</t>
  </si>
  <si>
    <t>CYRE4</t>
  </si>
  <si>
    <t>DASA3</t>
  </si>
  <si>
    <t>DESK3</t>
  </si>
  <si>
    <t>DEXP3</t>
  </si>
  <si>
    <t>DEXP4</t>
  </si>
  <si>
    <t>DIRR3</t>
  </si>
  <si>
    <t>DMMO3</t>
  </si>
  <si>
    <t>DMVF3</t>
  </si>
  <si>
    <t>DOHL3</t>
  </si>
  <si>
    <t>DOHL4</t>
  </si>
  <si>
    <t>DOTZ3</t>
  </si>
  <si>
    <t>DTCY3</t>
  </si>
  <si>
    <t>DTCY4</t>
  </si>
  <si>
    <t>DXCO3</t>
  </si>
  <si>
    <t>EALT3</t>
  </si>
  <si>
    <t>EALT4</t>
  </si>
  <si>
    <t>ECOR3</t>
  </si>
  <si>
    <t>ECPR3</t>
  </si>
  <si>
    <t>ECPR4</t>
  </si>
  <si>
    <t>EEEL3</t>
  </si>
  <si>
    <t>EEEL4</t>
  </si>
  <si>
    <t>EGIE3</t>
  </si>
  <si>
    <t>EKTR3</t>
  </si>
  <si>
    <t>EKTR4</t>
  </si>
  <si>
    <t>ELEK3</t>
  </si>
  <si>
    <t>ELEK4</t>
  </si>
  <si>
    <t>ELMD3</t>
  </si>
  <si>
    <t>ELPL3</t>
  </si>
  <si>
    <t>EMAE3</t>
  </si>
  <si>
    <t>EMAE4</t>
  </si>
  <si>
    <t>EMBJ3</t>
  </si>
  <si>
    <t>ENAT3</t>
  </si>
  <si>
    <t>ENBR3</t>
  </si>
  <si>
    <t>ENEV3</t>
  </si>
  <si>
    <t>ENGI11</t>
  </si>
  <si>
    <t>ENGI3</t>
  </si>
  <si>
    <t>ENGI4</t>
  </si>
  <si>
    <t>ENJU3</t>
  </si>
  <si>
    <t>ENMA3B</t>
  </si>
  <si>
    <t>ENMA6B</t>
  </si>
  <si>
    <t>ENMT3</t>
  </si>
  <si>
    <t>ENMT4</t>
  </si>
  <si>
    <t>EPAR3</t>
  </si>
  <si>
    <t>EQPA3</t>
  </si>
  <si>
    <t>EQPA5</t>
  </si>
  <si>
    <t>EQPA6</t>
  </si>
  <si>
    <t>EQPA7</t>
  </si>
  <si>
    <t>EQTL3</t>
  </si>
  <si>
    <t>ESPA3</t>
  </si>
  <si>
    <t>ESTR3</t>
  </si>
  <si>
    <t>ESTR4</t>
  </si>
  <si>
    <t>ETER3</t>
  </si>
  <si>
    <t>EUCA3</t>
  </si>
  <si>
    <t>EUCA4</t>
  </si>
  <si>
    <t>EVEN3</t>
  </si>
  <si>
    <t>EZTC3</t>
  </si>
  <si>
    <t>FBMC3</t>
  </si>
  <si>
    <t>FBMC4</t>
  </si>
  <si>
    <t>FESA3</t>
  </si>
  <si>
    <t>FESA4</t>
  </si>
  <si>
    <t>FHER3</t>
  </si>
  <si>
    <t>FICT3</t>
  </si>
  <si>
    <t>FIEI3</t>
  </si>
  <si>
    <t>FIGE3</t>
  </si>
  <si>
    <t>FIGE4</t>
  </si>
  <si>
    <t>FIQE3</t>
  </si>
  <si>
    <t>FLEX3</t>
  </si>
  <si>
    <t>FLRY3</t>
  </si>
  <si>
    <t>FNCN3</t>
  </si>
  <si>
    <t>FRAS3</t>
  </si>
  <si>
    <t>FRIO3</t>
  </si>
  <si>
    <t>FRTA3</t>
  </si>
  <si>
    <t>FTRT3B</t>
  </si>
  <si>
    <t>G2DI33</t>
  </si>
  <si>
    <t>GBIO33</t>
  </si>
  <si>
    <t>GEPA3</t>
  </si>
  <si>
    <t>GEPA4</t>
  </si>
  <si>
    <t>GETT11</t>
  </si>
  <si>
    <t>GETT3</t>
  </si>
  <si>
    <t>GETT4</t>
  </si>
  <si>
    <t>GFSA3</t>
  </si>
  <si>
    <t>GGBR3</t>
  </si>
  <si>
    <t>GGBR4</t>
  </si>
  <si>
    <t>GGPS3</t>
  </si>
  <si>
    <t>GMAT3</t>
  </si>
  <si>
    <t>GNDI3</t>
  </si>
  <si>
    <t>GOAU3</t>
  </si>
  <si>
    <t>GOAU4</t>
  </si>
  <si>
    <t>GOLL54</t>
  </si>
  <si>
    <t>GPAR3</t>
  </si>
  <si>
    <t>GPIV33</t>
  </si>
  <si>
    <t>GRAO3</t>
  </si>
  <si>
    <t>GRND3</t>
  </si>
  <si>
    <t>GSHP3</t>
  </si>
  <si>
    <t>HAGA3</t>
  </si>
  <si>
    <t>HAGA4</t>
  </si>
  <si>
    <t>HAPV3</t>
  </si>
  <si>
    <t>HBOR3</t>
  </si>
  <si>
    <t>HBRE3</t>
  </si>
  <si>
    <t>HBSA3</t>
  </si>
  <si>
    <t>HBTS3</t>
  </si>
  <si>
    <t>HBTS5</t>
  </si>
  <si>
    <t>HBTS6</t>
  </si>
  <si>
    <t>HETA3</t>
  </si>
  <si>
    <t>HETA4</t>
  </si>
  <si>
    <t>HGTX3</t>
  </si>
  <si>
    <t>HOOT3</t>
  </si>
  <si>
    <t>HOOT4</t>
  </si>
  <si>
    <t>HYPE3</t>
  </si>
  <si>
    <t>IDVL3</t>
  </si>
  <si>
    <t>IDVL4</t>
  </si>
  <si>
    <t>IFCM3</t>
  </si>
  <si>
    <t>IGBR3</t>
  </si>
  <si>
    <t>IGSN3</t>
  </si>
  <si>
    <t>IGTA3</t>
  </si>
  <si>
    <t>IGTI11</t>
  </si>
  <si>
    <t>IGTI3</t>
  </si>
  <si>
    <t>IGTI4</t>
  </si>
  <si>
    <t>INEP3</t>
  </si>
  <si>
    <t>INEP4</t>
  </si>
  <si>
    <t>INNT3</t>
  </si>
  <si>
    <t>INTB3</t>
  </si>
  <si>
    <t>IRBR3</t>
  </si>
  <si>
    <t>ISAE3</t>
  </si>
  <si>
    <t>ISAE4</t>
  </si>
  <si>
    <t>ITEC3</t>
  </si>
  <si>
    <t>ITSA3</t>
  </si>
  <si>
    <t>ITSA4</t>
  </si>
  <si>
    <t>ITUB3</t>
  </si>
  <si>
    <t>ITUB4</t>
  </si>
  <si>
    <t>JALL3</t>
  </si>
  <si>
    <t>JBSS3</t>
  </si>
  <si>
    <t>JFEN3</t>
  </si>
  <si>
    <t>JHSF3</t>
  </si>
  <si>
    <t>JOPA3</t>
  </si>
  <si>
    <t>JOPA4</t>
  </si>
  <si>
    <t>JSLG3</t>
  </si>
  <si>
    <t>KEPL3</t>
  </si>
  <si>
    <t>KLBN11</t>
  </si>
  <si>
    <t>KLBN3</t>
  </si>
  <si>
    <t>KLBN4</t>
  </si>
  <si>
    <t>KRSA3</t>
  </si>
  <si>
    <t>LAME3</t>
  </si>
  <si>
    <t>LAME4</t>
  </si>
  <si>
    <t>LAND3</t>
  </si>
  <si>
    <t>LAVV3</t>
  </si>
  <si>
    <t>LCAM3</t>
  </si>
  <si>
    <t>LEVE3</t>
  </si>
  <si>
    <t>LHER3</t>
  </si>
  <si>
    <t>LHER4</t>
  </si>
  <si>
    <t>LIGT3</t>
  </si>
  <si>
    <t>LINX3</t>
  </si>
  <si>
    <t>LIPR3</t>
  </si>
  <si>
    <t>LJQQ3</t>
  </si>
  <si>
    <t>LOGG3</t>
  </si>
  <si>
    <t>LOGN3</t>
  </si>
  <si>
    <t>LPSB3</t>
  </si>
  <si>
    <t>LREN3</t>
  </si>
  <si>
    <t>LTEL3B</t>
  </si>
  <si>
    <t>LUPA3</t>
  </si>
  <si>
    <t>LUXM3</t>
  </si>
  <si>
    <t>LUXM4</t>
  </si>
  <si>
    <t>LWSA3</t>
  </si>
  <si>
    <t>MAPT3</t>
  </si>
  <si>
    <t>MAPT4</t>
  </si>
  <si>
    <t>MATD3</t>
  </si>
  <si>
    <t>MBRF3</t>
  </si>
  <si>
    <t>MDIA3</t>
  </si>
  <si>
    <t>MDNE3</t>
  </si>
  <si>
    <t>MEAL3</t>
  </si>
  <si>
    <t>MELK3</t>
  </si>
  <si>
    <t>MERC3</t>
  </si>
  <si>
    <t>MERC4</t>
  </si>
  <si>
    <t>MGEL3</t>
  </si>
  <si>
    <t>MGEL4</t>
  </si>
  <si>
    <t>MGLU3</t>
  </si>
  <si>
    <t>MILS3</t>
  </si>
  <si>
    <t>MLAS3</t>
  </si>
  <si>
    <t>MMXM3</t>
  </si>
  <si>
    <t>MNDL3</t>
  </si>
  <si>
    <t>MNPR3</t>
  </si>
  <si>
    <t>MOAR3</t>
  </si>
  <si>
    <t>MODL11</t>
  </si>
  <si>
    <t>MODL3</t>
  </si>
  <si>
    <t>MODL4</t>
  </si>
  <si>
    <t>MOSI3</t>
  </si>
  <si>
    <t>MOTV3</t>
  </si>
  <si>
    <t>MOVI3</t>
  </si>
  <si>
    <t>MRSA3B</t>
  </si>
  <si>
    <t>MRSA5B</t>
  </si>
  <si>
    <t>MRSA6B</t>
  </si>
  <si>
    <t>MRVE3</t>
  </si>
  <si>
    <t>MSPA3</t>
  </si>
  <si>
    <t>MSPA4</t>
  </si>
  <si>
    <t>MSRO3</t>
  </si>
  <si>
    <t>MTIG3</t>
  </si>
  <si>
    <t>MTIG4</t>
  </si>
  <si>
    <t>MTRE3</t>
  </si>
  <si>
    <t>MTSA3</t>
  </si>
  <si>
    <t>MTSA4</t>
  </si>
  <si>
    <t>MULT3</t>
  </si>
  <si>
    <t>MWET3</t>
  </si>
  <si>
    <t>MWET4</t>
  </si>
  <si>
    <t>MYPK3</t>
  </si>
  <si>
    <t>NAFG3</t>
  </si>
  <si>
    <t>NAFG4</t>
  </si>
  <si>
    <t>NATU3</t>
  </si>
  <si>
    <t>NEMO3</t>
  </si>
  <si>
    <t>NEMO4</t>
  </si>
  <si>
    <t>NEMO5</t>
  </si>
  <si>
    <t>NEMO6</t>
  </si>
  <si>
    <t>NEOE3</t>
  </si>
  <si>
    <t>NEXP3</t>
  </si>
  <si>
    <t>NGRD3</t>
  </si>
  <si>
    <t>NORD3</t>
  </si>
  <si>
    <t>NRTQ3</t>
  </si>
  <si>
    <t>NTCO3</t>
  </si>
  <si>
    <t>NUTR3</t>
  </si>
  <si>
    <t>OBTC3</t>
  </si>
  <si>
    <t>ODER3</t>
  </si>
  <si>
    <t>ODER4</t>
  </si>
  <si>
    <t>ODPV3</t>
  </si>
  <si>
    <t>OFSA3</t>
  </si>
  <si>
    <t>OGXP3</t>
  </si>
  <si>
    <t>OIBR3</t>
  </si>
  <si>
    <t>OIBR4</t>
  </si>
  <si>
    <t>OMGE3</t>
  </si>
  <si>
    <t>ONCO3</t>
  </si>
  <si>
    <t>OPCT3</t>
  </si>
  <si>
    <t>ORVR3</t>
  </si>
  <si>
    <t>OSXB3</t>
  </si>
  <si>
    <t>PARD3</t>
  </si>
  <si>
    <t>PATI3</t>
  </si>
  <si>
    <t>PATI4</t>
  </si>
  <si>
    <t>PCAR3</t>
  </si>
  <si>
    <t>PCAR4</t>
  </si>
  <si>
    <t>PDGR3</t>
  </si>
  <si>
    <t>PDTC3</t>
  </si>
  <si>
    <t>PEAB3</t>
  </si>
  <si>
    <t>PEAB4</t>
  </si>
  <si>
    <t>PETR3</t>
  </si>
  <si>
    <t>PETR4</t>
  </si>
  <si>
    <t>PETZ3</t>
  </si>
  <si>
    <t>PFRM3</t>
  </si>
  <si>
    <t>PGMN3</t>
  </si>
  <si>
    <t>PINE3</t>
  </si>
  <si>
    <t>PINE4</t>
  </si>
  <si>
    <t>PLAS3</t>
  </si>
  <si>
    <t>PLPL3</t>
  </si>
  <si>
    <t>PMAM3</t>
  </si>
  <si>
    <t>PNVL3</t>
  </si>
  <si>
    <t>PNVL4</t>
  </si>
  <si>
    <t>POMO3</t>
  </si>
  <si>
    <t>POMO4</t>
  </si>
  <si>
    <t>PORT3</t>
  </si>
  <si>
    <t>POSI3</t>
  </si>
  <si>
    <t>POWE3</t>
  </si>
  <si>
    <t>PPAR3</t>
  </si>
  <si>
    <t>PPAR4</t>
  </si>
  <si>
    <t>PPLA11</t>
  </si>
  <si>
    <t>PRIO3</t>
  </si>
  <si>
    <t>PRNR3</t>
  </si>
  <si>
    <t>PSSA3</t>
  </si>
  <si>
    <t>PTBL3</t>
  </si>
  <si>
    <t>PTCA11</t>
  </si>
  <si>
    <t>PTCA3</t>
  </si>
  <si>
    <t>PTNT3</t>
  </si>
  <si>
    <t>PTNT4</t>
  </si>
  <si>
    <t>QUAL3</t>
  </si>
  <si>
    <t>QUSW3</t>
  </si>
  <si>
    <t>QVQP3B</t>
  </si>
  <si>
    <t>RADL3</t>
  </si>
  <si>
    <t>RAIL3</t>
  </si>
  <si>
    <t>RAIZ4</t>
  </si>
  <si>
    <t>RANI3</t>
  </si>
  <si>
    <t>RANI4</t>
  </si>
  <si>
    <t>RAPT3</t>
  </si>
  <si>
    <t>RAPT4</t>
  </si>
  <si>
    <t>RCSL3</t>
  </si>
  <si>
    <t>RCSL4</t>
  </si>
  <si>
    <t>RDNI3</t>
  </si>
  <si>
    <t>RDOR3</t>
  </si>
  <si>
    <t>RECV3</t>
  </si>
  <si>
    <t>REDE3</t>
  </si>
  <si>
    <t>RENT3</t>
  </si>
  <si>
    <t>RENT4</t>
  </si>
  <si>
    <t>RIAA3</t>
  </si>
  <si>
    <t>RLOG3</t>
  </si>
  <si>
    <t>RNEW11</t>
  </si>
  <si>
    <t>RNEW3</t>
  </si>
  <si>
    <t>RNEW4</t>
  </si>
  <si>
    <t>ROMI3</t>
  </si>
  <si>
    <t>RPAD3</t>
  </si>
  <si>
    <t>RPAD5</t>
  </si>
  <si>
    <t>RPAD6</t>
  </si>
  <si>
    <t>RPMG3</t>
  </si>
  <si>
    <t>RSID3</t>
  </si>
  <si>
    <t>RSUL3</t>
  </si>
  <si>
    <t>RSUL4</t>
  </si>
  <si>
    <t>SANB11</t>
  </si>
  <si>
    <t>SANB3</t>
  </si>
  <si>
    <t>SANB4</t>
  </si>
  <si>
    <t>SAPR11</t>
  </si>
  <si>
    <t>SAPR3</t>
  </si>
  <si>
    <t>SAPR4</t>
  </si>
  <si>
    <t>SBFG3</t>
  </si>
  <si>
    <t>SBSP3</t>
  </si>
  <si>
    <t>SCAR3</t>
  </si>
  <si>
    <t>SEDU3</t>
  </si>
  <si>
    <t>SEER3</t>
  </si>
  <si>
    <t>SEQL3</t>
  </si>
  <si>
    <t>SGPS3</t>
  </si>
  <si>
    <t>SHOW3</t>
  </si>
  <si>
    <t>SHUL3</t>
  </si>
  <si>
    <t>SHUL4</t>
  </si>
  <si>
    <t>SIMH3</t>
  </si>
  <si>
    <t>SLCE3</t>
  </si>
  <si>
    <t>SLED3</t>
  </si>
  <si>
    <t>SLED4</t>
  </si>
  <si>
    <t>SMFT3</t>
  </si>
  <si>
    <t>SMLS3</t>
  </si>
  <si>
    <t>SMTO3</t>
  </si>
  <si>
    <t>SNSY3</t>
  </si>
  <si>
    <t>SNSY5</t>
  </si>
  <si>
    <t>SNSY6</t>
  </si>
  <si>
    <t>SOJA3</t>
  </si>
  <si>
    <t>SOMA3</t>
  </si>
  <si>
    <t>SOND3</t>
  </si>
  <si>
    <t>SOND5</t>
  </si>
  <si>
    <t>SOND6</t>
  </si>
  <si>
    <t>SPRT3B</t>
  </si>
  <si>
    <t>SQIA3</t>
  </si>
  <si>
    <t>SRNA3</t>
  </si>
  <si>
    <t>STBP3</t>
  </si>
  <si>
    <t>STKF3</t>
  </si>
  <si>
    <t>STTR3</t>
  </si>
  <si>
    <t>SULA11</t>
  </si>
  <si>
    <t>SULA3</t>
  </si>
  <si>
    <t>SULA4</t>
  </si>
  <si>
    <t>SUZB3</t>
  </si>
  <si>
    <t>SYNE3</t>
  </si>
  <si>
    <t>TAEE11</t>
  </si>
  <si>
    <t>TAEE3</t>
  </si>
  <si>
    <t>TAEE4</t>
  </si>
  <si>
    <t>TASA3</t>
  </si>
  <si>
    <t>TASA4</t>
  </si>
  <si>
    <t>TCNO3</t>
  </si>
  <si>
    <t>TCNO4</t>
  </si>
  <si>
    <t>TCSA3</t>
  </si>
  <si>
    <t>TECN3</t>
  </si>
  <si>
    <t>TEKA3</t>
  </si>
  <si>
    <t>TEKA4</t>
  </si>
  <si>
    <t>TELB3</t>
  </si>
  <si>
    <t>TELB4</t>
  </si>
  <si>
    <t>TEND3</t>
  </si>
  <si>
    <t>TESA3</t>
  </si>
  <si>
    <t>TFCO4</t>
  </si>
  <si>
    <t>TGMA3</t>
  </si>
  <si>
    <t>TIET11</t>
  </si>
  <si>
    <t>TIET3</t>
  </si>
  <si>
    <t>TIET4</t>
  </si>
  <si>
    <t>TIMS3</t>
  </si>
  <si>
    <t>TKNO3</t>
  </si>
  <si>
    <t>TKNO4</t>
  </si>
  <si>
    <t>TOKY3</t>
  </si>
  <si>
    <t>TOTS3</t>
  </si>
  <si>
    <t>TOYB3</t>
  </si>
  <si>
    <t>TOYB4</t>
  </si>
  <si>
    <t>TPIS3</t>
  </si>
  <si>
    <t>TRAD3</t>
  </si>
  <si>
    <t>TRIS3</t>
  </si>
  <si>
    <t>TTEN3</t>
  </si>
  <si>
    <t>TUPY3</t>
  </si>
  <si>
    <t>TXRX3</t>
  </si>
  <si>
    <t>TXRX4</t>
  </si>
  <si>
    <t>UCAS3</t>
  </si>
  <si>
    <t>UGPA3</t>
  </si>
  <si>
    <t>UNIP3</t>
  </si>
  <si>
    <t>UNIP5</t>
  </si>
  <si>
    <t>UNIP6</t>
  </si>
  <si>
    <t>USIM3</t>
  </si>
  <si>
    <t>USIM5</t>
  </si>
  <si>
    <t>USIM6</t>
  </si>
  <si>
    <t>VALE3</t>
  </si>
  <si>
    <t>VAMO3</t>
  </si>
  <si>
    <t>VBBR3</t>
  </si>
  <si>
    <t>VITT3</t>
  </si>
  <si>
    <t>VIVA3</t>
  </si>
  <si>
    <t>VIVR3</t>
  </si>
  <si>
    <t>VIVT3</t>
  </si>
  <si>
    <t>VIVT4</t>
  </si>
  <si>
    <t>VLID3</t>
  </si>
  <si>
    <t>VSPT3</t>
  </si>
  <si>
    <t>VSPT4</t>
  </si>
  <si>
    <t>VSTE3</t>
  </si>
  <si>
    <t>VTRU3</t>
  </si>
  <si>
    <t>VULC3</t>
  </si>
  <si>
    <t>VVEO3</t>
  </si>
  <si>
    <t>WDCN3</t>
  </si>
  <si>
    <t>WEGE3</t>
  </si>
  <si>
    <t>WEST3</t>
  </si>
  <si>
    <t>WHRL3</t>
  </si>
  <si>
    <t>WHRL4</t>
  </si>
  <si>
    <t>WIZC3</t>
  </si>
  <si>
    <t>WLMM3</t>
  </si>
  <si>
    <t>WLMM4</t>
  </si>
  <si>
    <t>YDUQ3</t>
  </si>
  <si>
    <t>ZAMP3</t>
  </si>
  <si>
    <t>CÓDIGO</t>
  </si>
  <si>
    <t>SEGMENTO</t>
  </si>
  <si>
    <t>SETOR ECONÔMICO</t>
  </si>
  <si>
    <t>SUBSETOR</t>
  </si>
  <si>
    <t>AALR</t>
  </si>
  <si>
    <t>NM</t>
  </si>
  <si>
    <t>Saúde</t>
  </si>
  <si>
    <t>Análises e Diagnósticos</t>
  </si>
  <si>
    <t>ABCB</t>
  </si>
  <si>
    <t>N2</t>
  </si>
  <si>
    <t>Financeiro</t>
  </si>
  <si>
    <t>Intermediários Financeiros</t>
  </si>
  <si>
    <t>Bancos</t>
  </si>
  <si>
    <t>ABEV</t>
  </si>
  <si>
    <t>Consumo não Cíclico</t>
  </si>
  <si>
    <t>Bebidas</t>
  </si>
  <si>
    <t>Cervejas e Refrigerantes</t>
  </si>
  <si>
    <t>ADHM</t>
  </si>
  <si>
    <t>AESL</t>
  </si>
  <si>
    <t>Utilidade Pública</t>
  </si>
  <si>
    <t>Energia Elétrica</t>
  </si>
  <si>
    <t>AFLT</t>
  </si>
  <si>
    <t>AGRO</t>
  </si>
  <si>
    <t>Agropecuária</t>
  </si>
  <si>
    <t>Agricultura</t>
  </si>
  <si>
    <t>AGRU</t>
  </si>
  <si>
    <t>MB</t>
  </si>
  <si>
    <t>Bens Industriais</t>
  </si>
  <si>
    <t>Transporte</t>
  </si>
  <si>
    <t>Serviços de Apoio e Armazenagem</t>
  </si>
  <si>
    <t>AHEB</t>
  </si>
  <si>
    <t>Consumo Cíclico</t>
  </si>
  <si>
    <t>Viagens e Lazer</t>
  </si>
  <si>
    <t>Produção de Eventos e Shows</t>
  </si>
  <si>
    <t>ALEF</t>
  </si>
  <si>
    <t>Outros</t>
  </si>
  <si>
    <t>ALGT</t>
  </si>
  <si>
    <t>Comunicações</t>
  </si>
  <si>
    <t>Telecomunicações</t>
  </si>
  <si>
    <t>ALOS</t>
  </si>
  <si>
    <t>Comércio</t>
  </si>
  <si>
    <t>ALPA</t>
  </si>
  <si>
    <t>N1</t>
  </si>
  <si>
    <t>Tecidos, Vestuário e Calçados</t>
  </si>
  <si>
    <t>Calçados</t>
  </si>
  <si>
    <t>ALPK</t>
  </si>
  <si>
    <t>Serviços Diversos</t>
  </si>
  <si>
    <t>ALSO</t>
  </si>
  <si>
    <t>Exploração de Imóveis</t>
  </si>
  <si>
    <t>ALUP</t>
  </si>
  <si>
    <t>AMAR</t>
  </si>
  <si>
    <t>AMBP</t>
  </si>
  <si>
    <t>ANHB</t>
  </si>
  <si>
    <t>Exploração de Rodovias</t>
  </si>
  <si>
    <t>ANIM</t>
  </si>
  <si>
    <t>Diversos</t>
  </si>
  <si>
    <t>Serviços Educacionais</t>
  </si>
  <si>
    <t>APCS</t>
  </si>
  <si>
    <t>Securitizadoras de Recebíveis</t>
  </si>
  <si>
    <t>APER</t>
  </si>
  <si>
    <t>Previdência e Seguros</t>
  </si>
  <si>
    <t>Corretoras de Seguros</t>
  </si>
  <si>
    <t>APTI</t>
  </si>
  <si>
    <t>ARML</t>
  </si>
  <si>
    <t>ARZZ</t>
  </si>
  <si>
    <t>ASAI</t>
  </si>
  <si>
    <t>Alimentos</t>
  </si>
  <si>
    <t>ASCP</t>
  </si>
  <si>
    <t>ATMP</t>
  </si>
  <si>
    <t>ATOM</t>
  </si>
  <si>
    <t>AURA</t>
  </si>
  <si>
    <t>Mineração</t>
  </si>
  <si>
    <t>Minerais Metálicos</t>
  </si>
  <si>
    <t>AZEV</t>
  </si>
  <si>
    <t>Construção e Engenharia</t>
  </si>
  <si>
    <t>Construção Pesada</t>
  </si>
  <si>
    <t>AZUL</t>
  </si>
  <si>
    <t>Transporte Aéreo</t>
  </si>
  <si>
    <t>B3SA</t>
  </si>
  <si>
    <t>Serviços Financeiros Diversos</t>
  </si>
  <si>
    <t>BAHI</t>
  </si>
  <si>
    <t>MA</t>
  </si>
  <si>
    <t>BALM</t>
  </si>
  <si>
    <t>Equipamentos</t>
  </si>
  <si>
    <t>BAUH</t>
  </si>
  <si>
    <t>Alimentos Processados</t>
  </si>
  <si>
    <t>Carnes e Derivados</t>
  </si>
  <si>
    <t>BAZA</t>
  </si>
  <si>
    <t>BBAS</t>
  </si>
  <si>
    <t>BBDC</t>
  </si>
  <si>
    <t>BBML</t>
  </si>
  <si>
    <t>BBRK</t>
  </si>
  <si>
    <t>Intermediação Imobiliária</t>
  </si>
  <si>
    <t>BBSE</t>
  </si>
  <si>
    <t>Seguradoras</t>
  </si>
  <si>
    <t>BDLL</t>
  </si>
  <si>
    <t>Máquinas e Equipamentos</t>
  </si>
  <si>
    <t>Máq. e Equip. Industriais</t>
  </si>
  <si>
    <t>BDLS</t>
  </si>
  <si>
    <t>Soc. Arrendamento Mercantil</t>
  </si>
  <si>
    <t>BEEF</t>
  </si>
  <si>
    <t>BEES</t>
  </si>
  <si>
    <t>BETP</t>
  </si>
  <si>
    <t>BFRE</t>
  </si>
  <si>
    <t>Gestão de Recursos e Investimentos</t>
  </si>
  <si>
    <t>BGIP</t>
  </si>
  <si>
    <t>BIDI</t>
  </si>
  <si>
    <t>BIOM</t>
  </si>
  <si>
    <t>Medicamentos e Outros Produtos</t>
  </si>
  <si>
    <t>BKBR</t>
  </si>
  <si>
    <t>Hoteis e Restaurantes</t>
  </si>
  <si>
    <t>Restaurante e Similares</t>
  </si>
  <si>
    <t>BLAU</t>
  </si>
  <si>
    <t>BMEB</t>
  </si>
  <si>
    <t>BMGB</t>
  </si>
  <si>
    <t>BMIN</t>
  </si>
  <si>
    <t>BMKS</t>
  </si>
  <si>
    <t>Bicicletas</t>
  </si>
  <si>
    <t>BNBR</t>
  </si>
  <si>
    <t>BNDP</t>
  </si>
  <si>
    <t>BOAS</t>
  </si>
  <si>
    <t>BOBR</t>
  </si>
  <si>
    <t>Produtos de Uso Pessoal e de Limpeza</t>
  </si>
  <si>
    <t>Produtos de Limpeza</t>
  </si>
  <si>
    <t>BPAC</t>
  </si>
  <si>
    <t>BPAN</t>
  </si>
  <si>
    <t>BPAR</t>
  </si>
  <si>
    <t>BRAP</t>
  </si>
  <si>
    <t>Materiais Básicos</t>
  </si>
  <si>
    <t>BRCS</t>
  </si>
  <si>
    <t>BRDT</t>
  </si>
  <si>
    <t>Petróleo, Gás e Biocombustíveis</t>
  </si>
  <si>
    <t>Exploração, Refino e Distribuição</t>
  </si>
  <si>
    <t>BRFS</t>
  </si>
  <si>
    <t>BRGE</t>
  </si>
  <si>
    <t>BRIV</t>
  </si>
  <si>
    <t>BRKM</t>
  </si>
  <si>
    <t>Químicos</t>
  </si>
  <si>
    <t>Petroquímicos</t>
  </si>
  <si>
    <t>BRML</t>
  </si>
  <si>
    <t>BRPR</t>
  </si>
  <si>
    <t>BRQB</t>
  </si>
  <si>
    <t>Tecnologia da Informação</t>
  </si>
  <si>
    <t>Programas e Serviços</t>
  </si>
  <si>
    <t>BRSR</t>
  </si>
  <si>
    <t>BSCS</t>
  </si>
  <si>
    <t>BSEV</t>
  </si>
  <si>
    <t>Açucar e Alcool</t>
  </si>
  <si>
    <t>BSLI</t>
  </si>
  <si>
    <t>BTOW</t>
  </si>
  <si>
    <t>Produtos Diversos</t>
  </si>
  <si>
    <t>BTTL</t>
  </si>
  <si>
    <t>Material de Transporte</t>
  </si>
  <si>
    <t>BVLS</t>
  </si>
  <si>
    <t>BZRS</t>
  </si>
  <si>
    <t>CABI</t>
  </si>
  <si>
    <t>CACO</t>
  </si>
  <si>
    <t>CALI</t>
  </si>
  <si>
    <t>Construção Civil</t>
  </si>
  <si>
    <t>Incorporações</t>
  </si>
  <si>
    <t>CAMB</t>
  </si>
  <si>
    <t>CAML</t>
  </si>
  <si>
    <t>Alimentos Diversos</t>
  </si>
  <si>
    <t>CARD</t>
  </si>
  <si>
    <t>CASH</t>
  </si>
  <si>
    <t>CASN</t>
  </si>
  <si>
    <t>Água e Saneamento</t>
  </si>
  <si>
    <t>CATA</t>
  </si>
  <si>
    <t>Fios e Tecidos</t>
  </si>
  <si>
    <t>CBEE</t>
  </si>
  <si>
    <t>CBSC</t>
  </si>
  <si>
    <t>CCPR</t>
  </si>
  <si>
    <t>CCRO</t>
  </si>
  <si>
    <t>CEAB</t>
  </si>
  <si>
    <t>CEBR</t>
  </si>
  <si>
    <t>CEDO</t>
  </si>
  <si>
    <t>CEEB</t>
  </si>
  <si>
    <t>CEED</t>
  </si>
  <si>
    <t>CEGR</t>
  </si>
  <si>
    <t>Gás</t>
  </si>
  <si>
    <t>CEPE</t>
  </si>
  <si>
    <t>CESP</t>
  </si>
  <si>
    <t>CGAS</t>
  </si>
  <si>
    <t>CGRA</t>
  </si>
  <si>
    <t>CIEL</t>
  </si>
  <si>
    <t>CLSC</t>
  </si>
  <si>
    <t>CMGD</t>
  </si>
  <si>
    <t>CMGT</t>
  </si>
  <si>
    <t>CMIG</t>
  </si>
  <si>
    <t>CMSA</t>
  </si>
  <si>
    <t>CNSY</t>
  </si>
  <si>
    <t>Mídia</t>
  </si>
  <si>
    <t>Produção e Difusão de Filmes e Programas</t>
  </si>
  <si>
    <t>CNTO</t>
  </si>
  <si>
    <t>COCE</t>
  </si>
  <si>
    <t>COGN</t>
  </si>
  <si>
    <t>COLN</t>
  </si>
  <si>
    <t>CORR</t>
  </si>
  <si>
    <t>CPFE</t>
  </si>
  <si>
    <t>CPFG</t>
  </si>
  <si>
    <t>CPFP</t>
  </si>
  <si>
    <t>CPLE</t>
  </si>
  <si>
    <t>CPRE</t>
  </si>
  <si>
    <t>CPTE</t>
  </si>
  <si>
    <t>CPTP</t>
  </si>
  <si>
    <t>CRBD</t>
  </si>
  <si>
    <t>CRDE</t>
  </si>
  <si>
    <t>CRFB</t>
  </si>
  <si>
    <t>Comércio e Distribuição</t>
  </si>
  <si>
    <t>CRIV</t>
  </si>
  <si>
    <t>Soc. Crédito e Financiamento</t>
  </si>
  <si>
    <t>CRPG</t>
  </si>
  <si>
    <t>Químicos Diversos</t>
  </si>
  <si>
    <t>CRTE</t>
  </si>
  <si>
    <t>CSAB</t>
  </si>
  <si>
    <t>CSAN</t>
  </si>
  <si>
    <t>CSMG</t>
  </si>
  <si>
    <t>CSNA</t>
  </si>
  <si>
    <t>Siderurgia e Metalurgia</t>
  </si>
  <si>
    <t>Siderurgia</t>
  </si>
  <si>
    <t>CMIN</t>
  </si>
  <si>
    <t>CSRN</t>
  </si>
  <si>
    <t>CTBA</t>
  </si>
  <si>
    <t>Outros Títulos</t>
  </si>
  <si>
    <t>CTKA</t>
  </si>
  <si>
    <t>CTNM</t>
  </si>
  <si>
    <t>CTSA</t>
  </si>
  <si>
    <t>CURY</t>
  </si>
  <si>
    <t>CVCB</t>
  </si>
  <si>
    <t>Viagens e Turismo</t>
  </si>
  <si>
    <t>CXSE</t>
  </si>
  <si>
    <t>CYRE</t>
  </si>
  <si>
    <t>DASA</t>
  </si>
  <si>
    <t>DBEN</t>
  </si>
  <si>
    <t>DEXP</t>
  </si>
  <si>
    <t>DXCO</t>
  </si>
  <si>
    <t>DIRR</t>
  </si>
  <si>
    <t>DMMO</t>
  </si>
  <si>
    <t>DMVF</t>
  </si>
  <si>
    <t>DOHL</t>
  </si>
  <si>
    <t>DTCY</t>
  </si>
  <si>
    <t>DTEX</t>
  </si>
  <si>
    <t>Madeira e Papel</t>
  </si>
  <si>
    <t>Madeira</t>
  </si>
  <si>
    <t>EALT</t>
  </si>
  <si>
    <t>EBEN</t>
  </si>
  <si>
    <t>ECNT</t>
  </si>
  <si>
    <t>ECOA</t>
  </si>
  <si>
    <t>ECOR</t>
  </si>
  <si>
    <t>ECOV</t>
  </si>
  <si>
    <t>ECPR</t>
  </si>
  <si>
    <t>EEEL</t>
  </si>
  <si>
    <t>EGIE</t>
  </si>
  <si>
    <t>EKTR</t>
  </si>
  <si>
    <t>ELEK</t>
  </si>
  <si>
    <t>ELET</t>
  </si>
  <si>
    <t>EMAE</t>
  </si>
  <si>
    <t>EMBR</t>
  </si>
  <si>
    <t>Material Aeronáutico e de Defesa</t>
  </si>
  <si>
    <t>ENAT</t>
  </si>
  <si>
    <t>ENBR</t>
  </si>
  <si>
    <t>ENER</t>
  </si>
  <si>
    <t>ENEV</t>
  </si>
  <si>
    <t>ENGI</t>
  </si>
  <si>
    <t>ENJU</t>
  </si>
  <si>
    <t>ENMT</t>
  </si>
  <si>
    <t>EQMA</t>
  </si>
  <si>
    <t>EQPA</t>
  </si>
  <si>
    <t>EQTL</t>
  </si>
  <si>
    <t>ERDV</t>
  </si>
  <si>
    <t>ESCE</t>
  </si>
  <si>
    <t>ESTR</t>
  </si>
  <si>
    <t>Brinquedos e Jogos</t>
  </si>
  <si>
    <t>ETER</t>
  </si>
  <si>
    <t>Produtos para Construção</t>
  </si>
  <si>
    <t>EUCA</t>
  </si>
  <si>
    <t>EVEN</t>
  </si>
  <si>
    <t>EZTC</t>
  </si>
  <si>
    <t>FESA</t>
  </si>
  <si>
    <t>FGEN</t>
  </si>
  <si>
    <t>FHER</t>
  </si>
  <si>
    <t>Fertilizantes e Defensivos</t>
  </si>
  <si>
    <t>FIGE</t>
  </si>
  <si>
    <t>FLEX</t>
  </si>
  <si>
    <t>FLRY</t>
  </si>
  <si>
    <t>FNCN</t>
  </si>
  <si>
    <t>FRAS</t>
  </si>
  <si>
    <t>Material Rodoviário</t>
  </si>
  <si>
    <t>FRIO</t>
  </si>
  <si>
    <t>FRRN</t>
  </si>
  <si>
    <t>Transporte Ferroviário</t>
  </si>
  <si>
    <t>FRTA</t>
  </si>
  <si>
    <t>GAFL</t>
  </si>
  <si>
    <t>GAIA</t>
  </si>
  <si>
    <t>GASC</t>
  </si>
  <si>
    <t>GBIO</t>
  </si>
  <si>
    <t>DR3</t>
  </si>
  <si>
    <t>GEPA</t>
  </si>
  <si>
    <t>GFSA</t>
  </si>
  <si>
    <t>GGBR</t>
  </si>
  <si>
    <t>GMAT</t>
  </si>
  <si>
    <t>GNDI</t>
  </si>
  <si>
    <t>GOAU</t>
  </si>
  <si>
    <t>GOLL</t>
  </si>
  <si>
    <t>GPAR</t>
  </si>
  <si>
    <t>GPCP</t>
  </si>
  <si>
    <t>GPIV</t>
  </si>
  <si>
    <t>GGPS</t>
  </si>
  <si>
    <t>GRND</t>
  </si>
  <si>
    <t>GSHP</t>
  </si>
  <si>
    <t>GUAR</t>
  </si>
  <si>
    <t>HAGA</t>
  </si>
  <si>
    <t>HAPV</t>
  </si>
  <si>
    <t>HBOR</t>
  </si>
  <si>
    <t>HBSA</t>
  </si>
  <si>
    <t>Transporte Hidroviário</t>
  </si>
  <si>
    <t>HBTS</t>
  </si>
  <si>
    <t>HETA</t>
  </si>
  <si>
    <t>Utilidades Domésticas</t>
  </si>
  <si>
    <t>Utensílios Domésticos</t>
  </si>
  <si>
    <t>HGTX</t>
  </si>
  <si>
    <t>Vestuário</t>
  </si>
  <si>
    <t>HOOT</t>
  </si>
  <si>
    <t>Hotelaria</t>
  </si>
  <si>
    <t>HYPE</t>
  </si>
  <si>
    <t>IDNT</t>
  </si>
  <si>
    <t>IDVL</t>
  </si>
  <si>
    <t>IGBR</t>
  </si>
  <si>
    <t>IGTI</t>
  </si>
  <si>
    <t>IGSN</t>
  </si>
  <si>
    <t>IGTA</t>
  </si>
  <si>
    <t>INEP</t>
  </si>
  <si>
    <t>INNT</t>
  </si>
  <si>
    <t>INTB</t>
  </si>
  <si>
    <t>IRBR</t>
  </si>
  <si>
    <t>ITPB</t>
  </si>
  <si>
    <t>ITSA</t>
  </si>
  <si>
    <t>ITUB</t>
  </si>
  <si>
    <t>IVPR</t>
  </si>
  <si>
    <t>JBDU</t>
  </si>
  <si>
    <t>JBSS</t>
  </si>
  <si>
    <t>JFEN</t>
  </si>
  <si>
    <t>JHSF</t>
  </si>
  <si>
    <t>JMCD</t>
  </si>
  <si>
    <t>JOPA</t>
  </si>
  <si>
    <t>JPSA</t>
  </si>
  <si>
    <t>KEPL</t>
  </si>
  <si>
    <t>KLBN</t>
  </si>
  <si>
    <t>Papel e Celulose</t>
  </si>
  <si>
    <t>LAME</t>
  </si>
  <si>
    <t>LAVV</t>
  </si>
  <si>
    <t>LCAM</t>
  </si>
  <si>
    <t>Aluguel de carros</t>
  </si>
  <si>
    <t>LEVE</t>
  </si>
  <si>
    <t>Automóveis e Motocicletas</t>
  </si>
  <si>
    <t>LIGH</t>
  </si>
  <si>
    <t>LIGT</t>
  </si>
  <si>
    <t>LINX</t>
  </si>
  <si>
    <t>LIPR</t>
  </si>
  <si>
    <t>LJQQ</t>
  </si>
  <si>
    <t>LLIS</t>
  </si>
  <si>
    <t>LMED</t>
  </si>
  <si>
    <t>LOGG</t>
  </si>
  <si>
    <t>LOGN</t>
  </si>
  <si>
    <t>LPSB</t>
  </si>
  <si>
    <t>LREN</t>
  </si>
  <si>
    <t>LTEL</t>
  </si>
  <si>
    <t>LTLA</t>
  </si>
  <si>
    <t>LUPA</t>
  </si>
  <si>
    <t>Equipamentos e Serviços</t>
  </si>
  <si>
    <t>LUXM</t>
  </si>
  <si>
    <t>LWSA</t>
  </si>
  <si>
    <t>MAPT</t>
  </si>
  <si>
    <t>MCRJ</t>
  </si>
  <si>
    <t>MDIA</t>
  </si>
  <si>
    <t>MDNE</t>
  </si>
  <si>
    <t>MEAL</t>
  </si>
  <si>
    <t>MELK</t>
  </si>
  <si>
    <t>MERC</t>
  </si>
  <si>
    <t>MGEL</t>
  </si>
  <si>
    <t>Artefatos de Ferro e Aço</t>
  </si>
  <si>
    <t>MGIP</t>
  </si>
  <si>
    <t>MGLU</t>
  </si>
  <si>
    <t>Eletrodomésticos</t>
  </si>
  <si>
    <t>MILS</t>
  </si>
  <si>
    <t>MMAQ</t>
  </si>
  <si>
    <t>MMXM</t>
  </si>
  <si>
    <t>MNDL</t>
  </si>
  <si>
    <t>Acessórios</t>
  </si>
  <si>
    <t>MNPR</t>
  </si>
  <si>
    <t>MNZC</t>
  </si>
  <si>
    <t>MOAR</t>
  </si>
  <si>
    <t>Holdings Diversificadas</t>
  </si>
  <si>
    <t>MOVI</t>
  </si>
  <si>
    <t>MRFG</t>
  </si>
  <si>
    <t>MRSA</t>
  </si>
  <si>
    <t>MRVE</t>
  </si>
  <si>
    <t>MSPA</t>
  </si>
  <si>
    <t>MSRO</t>
  </si>
  <si>
    <t>M2</t>
  </si>
  <si>
    <t>MTIG</t>
  </si>
  <si>
    <t>Embalagens</t>
  </si>
  <si>
    <t>MTRE</t>
  </si>
  <si>
    <t>MTSA</t>
  </si>
  <si>
    <t>Máq. e Equip. Construção e Agrícolas</t>
  </si>
  <si>
    <t>MULT</t>
  </si>
  <si>
    <t>MWET</t>
  </si>
  <si>
    <t>MYPK</t>
  </si>
  <si>
    <t>NAFG</t>
  </si>
  <si>
    <t>NEMO</t>
  </si>
  <si>
    <t>NEOE</t>
  </si>
  <si>
    <t>NORD</t>
  </si>
  <si>
    <t>NRTQ</t>
  </si>
  <si>
    <t>NTCO</t>
  </si>
  <si>
    <t>Produtos de Uso Pessoal</t>
  </si>
  <si>
    <t>NUTR</t>
  </si>
  <si>
    <t>OCTS</t>
  </si>
  <si>
    <t>ODER</t>
  </si>
  <si>
    <t>ODPV</t>
  </si>
  <si>
    <t>OFSA</t>
  </si>
  <si>
    <t>OIBR</t>
  </si>
  <si>
    <t>OMGE</t>
  </si>
  <si>
    <t>OPGM</t>
  </si>
  <si>
    <t>OPHE</t>
  </si>
  <si>
    <t>OPSE</t>
  </si>
  <si>
    <t>OPTS</t>
  </si>
  <si>
    <t>OSXB</t>
  </si>
  <si>
    <t>PALF</t>
  </si>
  <si>
    <t>PARD</t>
  </si>
  <si>
    <t>PATI</t>
  </si>
  <si>
    <t>PCAR</t>
  </si>
  <si>
    <t>PDGR</t>
  </si>
  <si>
    <t>PDGS</t>
  </si>
  <si>
    <t>PDTC</t>
  </si>
  <si>
    <t>PEAB</t>
  </si>
  <si>
    <t>PETR</t>
  </si>
  <si>
    <t>PETZ</t>
  </si>
  <si>
    <t>PFRM</t>
  </si>
  <si>
    <t>PGMN</t>
  </si>
  <si>
    <t>PINE</t>
  </si>
  <si>
    <t>PLAS</t>
  </si>
  <si>
    <t>PLPL</t>
  </si>
  <si>
    <t>PLSC</t>
  </si>
  <si>
    <t>PMAM</t>
  </si>
  <si>
    <t>Artefatos de Cobre</t>
  </si>
  <si>
    <t>PMSP</t>
  </si>
  <si>
    <t>PNVL</t>
  </si>
  <si>
    <t>POMO</t>
  </si>
  <si>
    <t>PORT</t>
  </si>
  <si>
    <t>POSI</t>
  </si>
  <si>
    <t>Computadores e Equipamentos</t>
  </si>
  <si>
    <t>PPAR</t>
  </si>
  <si>
    <t>PPLA</t>
  </si>
  <si>
    <t>PRBC</t>
  </si>
  <si>
    <t>PRIO</t>
  </si>
  <si>
    <t>PRMN</t>
  </si>
  <si>
    <t>PRNR</t>
  </si>
  <si>
    <t>PRPT</t>
  </si>
  <si>
    <t>PSSA</t>
  </si>
  <si>
    <t>PSVM</t>
  </si>
  <si>
    <t>PTBL</t>
  </si>
  <si>
    <t>PTCA</t>
  </si>
  <si>
    <t>PTNT</t>
  </si>
  <si>
    <t>QUAL</t>
  </si>
  <si>
    <t>QUSW</t>
  </si>
  <si>
    <t>QVQP</t>
  </si>
  <si>
    <t>RADL</t>
  </si>
  <si>
    <t>RAIL</t>
  </si>
  <si>
    <t>RANI</t>
  </si>
  <si>
    <t>RAIZ</t>
  </si>
  <si>
    <t>RAPT</t>
  </si>
  <si>
    <t>RBRA</t>
  </si>
  <si>
    <t>RCSL</t>
  </si>
  <si>
    <t>RDNI</t>
  </si>
  <si>
    <t>RDVT</t>
  </si>
  <si>
    <t>REDE</t>
  </si>
  <si>
    <t>RENT</t>
  </si>
  <si>
    <t>RESA</t>
  </si>
  <si>
    <t>RLOG</t>
  </si>
  <si>
    <t>RNEW</t>
  </si>
  <si>
    <t>ROMI</t>
  </si>
  <si>
    <t>RPAD</t>
  </si>
  <si>
    <t>RPMG</t>
  </si>
  <si>
    <t>RPTA</t>
  </si>
  <si>
    <t>RSID</t>
  </si>
  <si>
    <t>RSUL</t>
  </si>
  <si>
    <t>SAIP</t>
  </si>
  <si>
    <t>SANB</t>
  </si>
  <si>
    <t>SAPR</t>
  </si>
  <si>
    <t>SBSP</t>
  </si>
  <si>
    <t>SCAR</t>
  </si>
  <si>
    <t>SEER</t>
  </si>
  <si>
    <t>SGPS</t>
  </si>
  <si>
    <t>SHOW</t>
  </si>
  <si>
    <t>SHUL</t>
  </si>
  <si>
    <t>Motores, Compressores e Outros</t>
  </si>
  <si>
    <t>SIMH</t>
  </si>
  <si>
    <t>Transporte Rodoviário</t>
  </si>
  <si>
    <t>SLCE</t>
  </si>
  <si>
    <t>SLCT</t>
  </si>
  <si>
    <t>SLED</t>
  </si>
  <si>
    <t>SMFT</t>
  </si>
  <si>
    <t>Atividades Esportivas</t>
  </si>
  <si>
    <t>SMLS</t>
  </si>
  <si>
    <t>Programas de Fidelização</t>
  </si>
  <si>
    <t>SMTO</t>
  </si>
  <si>
    <t>SNST</t>
  </si>
  <si>
    <t>SNSY</t>
  </si>
  <si>
    <t>Materiais Diversos</t>
  </si>
  <si>
    <t>SOJA</t>
  </si>
  <si>
    <t>SOMA</t>
  </si>
  <si>
    <t>SOND</t>
  </si>
  <si>
    <t>Engenharia Consultiva</t>
  </si>
  <si>
    <t>SPRI</t>
  </si>
  <si>
    <t>SPRT</t>
  </si>
  <si>
    <t>SQIA</t>
  </si>
  <si>
    <t>STBP</t>
  </si>
  <si>
    <t>STEN</t>
  </si>
  <si>
    <t>STKF</t>
  </si>
  <si>
    <t>STTR</t>
  </si>
  <si>
    <t>STTZ</t>
  </si>
  <si>
    <t>SULA</t>
  </si>
  <si>
    <t>SUZB</t>
  </si>
  <si>
    <t>TAEE</t>
  </si>
  <si>
    <t>TASA</t>
  </si>
  <si>
    <t>Armas e Munições</t>
  </si>
  <si>
    <t>TCNO</t>
  </si>
  <si>
    <t>TCSA</t>
  </si>
  <si>
    <t>TECN</t>
  </si>
  <si>
    <t>TEKA</t>
  </si>
  <si>
    <t>TELB</t>
  </si>
  <si>
    <t>TEND</t>
  </si>
  <si>
    <t>TEPE</t>
  </si>
  <si>
    <t>TESA</t>
  </si>
  <si>
    <t>TFCO</t>
  </si>
  <si>
    <t>TGMA</t>
  </si>
  <si>
    <t>TIET</t>
  </si>
  <si>
    <t>TIMS</t>
  </si>
  <si>
    <t>TKNO</t>
  </si>
  <si>
    <t>TMPE</t>
  </si>
  <si>
    <t>TOTS</t>
  </si>
  <si>
    <t>TPIS</t>
  </si>
  <si>
    <t>TRIA</t>
  </si>
  <si>
    <t>TRIS</t>
  </si>
  <si>
    <t>TRPL</t>
  </si>
  <si>
    <t>TUPY</t>
  </si>
  <si>
    <t>TXRX</t>
  </si>
  <si>
    <t>UCAS</t>
  </si>
  <si>
    <t>Móveis</t>
  </si>
  <si>
    <t>UGPA</t>
  </si>
  <si>
    <t>UNID</t>
  </si>
  <si>
    <t>UNIP</t>
  </si>
  <si>
    <t>UPKP</t>
  </si>
  <si>
    <t>USIM</t>
  </si>
  <si>
    <t>VALE</t>
  </si>
  <si>
    <t>VBBR</t>
  </si>
  <si>
    <t>VERT</t>
  </si>
  <si>
    <t>VITT</t>
  </si>
  <si>
    <t>VIVA</t>
  </si>
  <si>
    <t>VIVR</t>
  </si>
  <si>
    <t>VIVT</t>
  </si>
  <si>
    <t>VLID</t>
  </si>
  <si>
    <t>VOES</t>
  </si>
  <si>
    <t>VSPT</t>
  </si>
  <si>
    <t>VULC</t>
  </si>
  <si>
    <t>VVAR</t>
  </si>
  <si>
    <t>WEGE</t>
  </si>
  <si>
    <t>WHRL</t>
  </si>
  <si>
    <t>WIZS</t>
  </si>
  <si>
    <t>WLMM</t>
  </si>
  <si>
    <t>WSON</t>
  </si>
  <si>
    <t>WTPI</t>
  </si>
  <si>
    <t>WTVR</t>
  </si>
  <si>
    <t>YDUQ</t>
  </si>
  <si>
    <t>CLASSIFICAÇÃO SETORIAL DAS EMPRESAS NEGOCIADAS NA B3</t>
  </si>
  <si>
    <t>LISTAGEM</t>
  </si>
  <si>
    <t>3R PETROLEUM</t>
  </si>
  <si>
    <t>RRRP</t>
  </si>
  <si>
    <t>COSAN</t>
  </si>
  <si>
    <t>DOMMO</t>
  </si>
  <si>
    <t>ENAUTA PART</t>
  </si>
  <si>
    <t>PET MANGUINH</t>
  </si>
  <si>
    <t>PETROBRAS</t>
  </si>
  <si>
    <t>PETROBRAS BR</t>
  </si>
  <si>
    <t>PETRORIO</t>
  </si>
  <si>
    <t>ULTRAPAR</t>
  </si>
  <si>
    <t>LUPATECH</t>
  </si>
  <si>
    <t>OSX BRASIL</t>
  </si>
  <si>
    <t>BRADESPAR</t>
  </si>
  <si>
    <t>LITEL</t>
  </si>
  <si>
    <t>LITELA</t>
  </si>
  <si>
    <t>MMX MINER</t>
  </si>
  <si>
    <t>FERBASA</t>
  </si>
  <si>
    <t>GERDAU</t>
  </si>
  <si>
    <t>GERDAU MET</t>
  </si>
  <si>
    <t>SID NACIONAL</t>
  </si>
  <si>
    <t>USIMINAS</t>
  </si>
  <si>
    <t>MANGELS INDL</t>
  </si>
  <si>
    <t>PANATLANTICA</t>
  </si>
  <si>
    <t>TEKNO</t>
  </si>
  <si>
    <t>PARANAPANEMA</t>
  </si>
  <si>
    <t>BRASKEM</t>
  </si>
  <si>
    <t>GPC PART</t>
  </si>
  <si>
    <t>FER HERINGER</t>
  </si>
  <si>
    <t>NUTRIPLANT</t>
  </si>
  <si>
    <t>CRISTAL</t>
  </si>
  <si>
    <t>UNIPAR</t>
  </si>
  <si>
    <t>DURATEX</t>
  </si>
  <si>
    <t>EUCATEX</t>
  </si>
  <si>
    <t>IRANI</t>
  </si>
  <si>
    <t>KLABIN S/A</t>
  </si>
  <si>
    <t>MELHOR SP</t>
  </si>
  <si>
    <t>SANTHER</t>
  </si>
  <si>
    <t>SUZANO HOLD</t>
  </si>
  <si>
    <t>SUZANO S.A.</t>
  </si>
  <si>
    <t>METAL IGUACU</t>
  </si>
  <si>
    <t>SANSUY</t>
  </si>
  <si>
    <t>ETERNIT</t>
  </si>
  <si>
    <t>HAGA S/A</t>
  </si>
  <si>
    <t>PORTOBELLO</t>
  </si>
  <si>
    <t>AZEVEDO</t>
  </si>
  <si>
    <t>SONDOTECNICA</t>
  </si>
  <si>
    <t>TECNOSOLO</t>
  </si>
  <si>
    <t>MILLS</t>
  </si>
  <si>
    <t>EMBRAER</t>
  </si>
  <si>
    <t>FRAS-LE</t>
  </si>
  <si>
    <t>MARCOPOLO</t>
  </si>
  <si>
    <t>RANDON PART</t>
  </si>
  <si>
    <t>RECRUSUL</t>
  </si>
  <si>
    <t>RIOSULENSE</t>
  </si>
  <si>
    <t>WETZEL S/A</t>
  </si>
  <si>
    <t>SCHULZ</t>
  </si>
  <si>
    <t>WEG</t>
  </si>
  <si>
    <t>ACO ALTONA</t>
  </si>
  <si>
    <t>AERIS</t>
  </si>
  <si>
    <t>AERI</t>
  </si>
  <si>
    <t>BARDELLA</t>
  </si>
  <si>
    <t>INDS ROMI</t>
  </si>
  <si>
    <t>INEPAR</t>
  </si>
  <si>
    <t>KEPLER WEBER</t>
  </si>
  <si>
    <t>METALFRIO</t>
  </si>
  <si>
    <t>NORDON MET</t>
  </si>
  <si>
    <t>PRATICA</t>
  </si>
  <si>
    <t>METISA</t>
  </si>
  <si>
    <t>STARA</t>
  </si>
  <si>
    <t>TAURUS ARMAS</t>
  </si>
  <si>
    <t>GOL</t>
  </si>
  <si>
    <t>ALL NORTE</t>
  </si>
  <si>
    <t>ALL PAULISTA</t>
  </si>
  <si>
    <t>COSAN LOG</t>
  </si>
  <si>
    <t>FER C ATLANT</t>
  </si>
  <si>
    <t>MRS LOGIST</t>
  </si>
  <si>
    <t>RUMO S.A.</t>
  </si>
  <si>
    <t>HIDROVIAS</t>
  </si>
  <si>
    <t>LOG-IN</t>
  </si>
  <si>
    <t>TREVISA</t>
  </si>
  <si>
    <t>JSL</t>
  </si>
  <si>
    <t>JSLG</t>
  </si>
  <si>
    <t>TEGMA</t>
  </si>
  <si>
    <t>AUTOBAN</t>
  </si>
  <si>
    <t>CCR SA</t>
  </si>
  <si>
    <t>CONC RAPOSO</t>
  </si>
  <si>
    <t>CONC RIO TER</t>
  </si>
  <si>
    <t>ECON</t>
  </si>
  <si>
    <t>ECONORTE</t>
  </si>
  <si>
    <t>ECOPISTAS</t>
  </si>
  <si>
    <t>ECORODOVIAS</t>
  </si>
  <si>
    <t>ECOVIAS</t>
  </si>
  <si>
    <t>ROD COLINAS</t>
  </si>
  <si>
    <t>ROD TIETE</t>
  </si>
  <si>
    <t>RT BANDEIRAS</t>
  </si>
  <si>
    <t>TRIANGULOSOL</t>
  </si>
  <si>
    <t>TRIUNFO PART</t>
  </si>
  <si>
    <t>VIAOESTE</t>
  </si>
  <si>
    <t>GRUAIRPORT</t>
  </si>
  <si>
    <t>PORTO VM</t>
  </si>
  <si>
    <t>INVEPAR</t>
  </si>
  <si>
    <t>SALUS INFRA</t>
  </si>
  <si>
    <t>SANTOS BRP</t>
  </si>
  <si>
    <t>WILSON SONS</t>
  </si>
  <si>
    <t>ATMASA</t>
  </si>
  <si>
    <t>AMBIPAR</t>
  </si>
  <si>
    <t>BBMLOGISTICA</t>
  </si>
  <si>
    <t>CSU CARDSYST</t>
  </si>
  <si>
    <t>DTCOM-DIRECT</t>
  </si>
  <si>
    <t>ESTAPAR</t>
  </si>
  <si>
    <t>FLEX S/A</t>
  </si>
  <si>
    <t>PRINER</t>
  </si>
  <si>
    <t>SEQUOIA LOG</t>
  </si>
  <si>
    <t>SEQL</t>
  </si>
  <si>
    <t>VALID</t>
  </si>
  <si>
    <t>BATTISTELLA</t>
  </si>
  <si>
    <t>MINASMAQUINA</t>
  </si>
  <si>
    <t>WLM IND COM</t>
  </si>
  <si>
    <t>ALIPERTI</t>
  </si>
  <si>
    <t>BRASILAGRO</t>
  </si>
  <si>
    <t>POMIFRUTAS</t>
  </si>
  <si>
    <t>SLC AGRICOLA</t>
  </si>
  <si>
    <t>TERRA SANTA</t>
  </si>
  <si>
    <t>BIOSEV</t>
  </si>
  <si>
    <t>RAIZEN ENERG</t>
  </si>
  <si>
    <t>SAO MARTINHO</t>
  </si>
  <si>
    <t>BRF SA</t>
  </si>
  <si>
    <t>EXCELSIOR</t>
  </si>
  <si>
    <t>JBS</t>
  </si>
  <si>
    <t>MARFRIG</t>
  </si>
  <si>
    <t>MINERVA</t>
  </si>
  <si>
    <t>MINUPAR</t>
  </si>
  <si>
    <t>CAMIL</t>
  </si>
  <si>
    <t>J.MACEDO</t>
  </si>
  <si>
    <t>JOSAPAR</t>
  </si>
  <si>
    <t>M.DIASBRANCO</t>
  </si>
  <si>
    <t>ODERICH</t>
  </si>
  <si>
    <t>AMBEV S/A</t>
  </si>
  <si>
    <t>GRUPO NATURA</t>
  </si>
  <si>
    <t>BOMBRIL</t>
  </si>
  <si>
    <t>CARREFOUR BR</t>
  </si>
  <si>
    <t>GRUPO MATEUS</t>
  </si>
  <si>
    <t>P.ACUCAR-CBD</t>
  </si>
  <si>
    <t>CONST A LIND</t>
  </si>
  <si>
    <t>CR2</t>
  </si>
  <si>
    <t>CURY S/A</t>
  </si>
  <si>
    <t>CYRELA REALT</t>
  </si>
  <si>
    <t>DIRECIONAL</t>
  </si>
  <si>
    <t>EZTEC</t>
  </si>
  <si>
    <t>GAFISA</t>
  </si>
  <si>
    <t>HELBOR</t>
  </si>
  <si>
    <t>INTER SA</t>
  </si>
  <si>
    <t>JHSF PART</t>
  </si>
  <si>
    <t>JOAO FORTES</t>
  </si>
  <si>
    <t>LAVVI</t>
  </si>
  <si>
    <t>MELNICK</t>
  </si>
  <si>
    <t>MITRE REALTY</t>
  </si>
  <si>
    <t>MOURA DUBEUX</t>
  </si>
  <si>
    <t>MRV</t>
  </si>
  <si>
    <t>PDG REALT</t>
  </si>
  <si>
    <t>PLANOEPLANO</t>
  </si>
  <si>
    <t>RNI</t>
  </si>
  <si>
    <t>ROSSI RESID</t>
  </si>
  <si>
    <t>TECNISA</t>
  </si>
  <si>
    <t>TENDA</t>
  </si>
  <si>
    <t>TRISUL</t>
  </si>
  <si>
    <t>VIVER</t>
  </si>
  <si>
    <t>CEDRO</t>
  </si>
  <si>
    <t>COTEMINAS</t>
  </si>
  <si>
    <t>DOHLER</t>
  </si>
  <si>
    <t>ENCORPAR</t>
  </si>
  <si>
    <t>IND CATAGUAS</t>
  </si>
  <si>
    <t>KARSTEN</t>
  </si>
  <si>
    <t>PETTENATI</t>
  </si>
  <si>
    <t>SANTANENSE</t>
  </si>
  <si>
    <t>SPRINGS</t>
  </si>
  <si>
    <t>TEX RENAUX</t>
  </si>
  <si>
    <t>CIA HERING</t>
  </si>
  <si>
    <t>TRACK FIELD</t>
  </si>
  <si>
    <t>ALPARGATAS</t>
  </si>
  <si>
    <t>CAMBUCI</t>
  </si>
  <si>
    <t>GRENDENE</t>
  </si>
  <si>
    <t>VULCABRAS</t>
  </si>
  <si>
    <t>MUNDIAL</t>
  </si>
  <si>
    <t>TECHNOS</t>
  </si>
  <si>
    <t>VIVARA S.A.</t>
  </si>
  <si>
    <t>WHIRLPOOL</t>
  </si>
  <si>
    <t>UNICASA</t>
  </si>
  <si>
    <t>HERCULES</t>
  </si>
  <si>
    <t>IOCHP-MAXION</t>
  </si>
  <si>
    <t>METAL LEVE</t>
  </si>
  <si>
    <t>PLASCAR PART</t>
  </si>
  <si>
    <t>HOTEIS OTHON</t>
  </si>
  <si>
    <t>BK BRASIL</t>
  </si>
  <si>
    <t>IMC S/A</t>
  </si>
  <si>
    <t>BIC MONARK</t>
  </si>
  <si>
    <t>ESTRELA</t>
  </si>
  <si>
    <t>SPTURIS</t>
  </si>
  <si>
    <t>TIME FOR FUN</t>
  </si>
  <si>
    <t>CVC BRASIL</t>
  </si>
  <si>
    <t>SMART FIT</t>
  </si>
  <si>
    <t>ANIMA</t>
  </si>
  <si>
    <t>BAHEMA</t>
  </si>
  <si>
    <t>COGNA ON</t>
  </si>
  <si>
    <t>SER EDUCA</t>
  </si>
  <si>
    <t>YDUQS PART</t>
  </si>
  <si>
    <t>LOCALIZA</t>
  </si>
  <si>
    <t>LOCAMERICA</t>
  </si>
  <si>
    <t>MAESTROLOC</t>
  </si>
  <si>
    <t>MOVIDA</t>
  </si>
  <si>
    <t>UNIDAS</t>
  </si>
  <si>
    <t>SMILES</t>
  </si>
  <si>
    <t>AREZZO CO</t>
  </si>
  <si>
    <t>CEA MODAS</t>
  </si>
  <si>
    <t>GRAZZIOTIN</t>
  </si>
  <si>
    <t>GRUPO SOMA</t>
  </si>
  <si>
    <t>GUARARAPES</t>
  </si>
  <si>
    <t>LE LIS BLANC</t>
  </si>
  <si>
    <t>LOJAS MARISA</t>
  </si>
  <si>
    <t>LOJAS RENNER</t>
  </si>
  <si>
    <t>MAGAZ LUIZA</t>
  </si>
  <si>
    <t>VIAVAREJO</t>
  </si>
  <si>
    <t>B2W DIGITAL</t>
  </si>
  <si>
    <t>CENTAURO</t>
  </si>
  <si>
    <t>LOJAS AMERIC</t>
  </si>
  <si>
    <t>QUERO-QUERO</t>
  </si>
  <si>
    <t>SARAIVA LIVR</t>
  </si>
  <si>
    <t>BIOMM</t>
  </si>
  <si>
    <t>BIOTOSCANA</t>
  </si>
  <si>
    <t>NORTCQUIMICA</t>
  </si>
  <si>
    <t>OUROFINO S/A</t>
  </si>
  <si>
    <t>Serviços Médico - Hospitalares,</t>
  </si>
  <si>
    <t>ADVANCED-DH</t>
  </si>
  <si>
    <t>ALLIAR</t>
  </si>
  <si>
    <t>FLEURY</t>
  </si>
  <si>
    <t>HAPVIDA</t>
  </si>
  <si>
    <t>IHPARDINI</t>
  </si>
  <si>
    <t>INTERMEDICA</t>
  </si>
  <si>
    <t>ODONTOPREV</t>
  </si>
  <si>
    <t>QUALICORP</t>
  </si>
  <si>
    <t>BAUMER</t>
  </si>
  <si>
    <t>LIFEMED</t>
  </si>
  <si>
    <t>DIMED</t>
  </si>
  <si>
    <t>D1000VFARMA</t>
  </si>
  <si>
    <t>HYPERA</t>
  </si>
  <si>
    <t>PAGUE MENOS</t>
  </si>
  <si>
    <t>PROFARMA</t>
  </si>
  <si>
    <t>RAIADROGASIL</t>
  </si>
  <si>
    <t>POSITIVO TEC</t>
  </si>
  <si>
    <t>BRQ</t>
  </si>
  <si>
    <t>ENJOEI</t>
  </si>
  <si>
    <t>LOCAWEB</t>
  </si>
  <si>
    <t>MELIUZ</t>
  </si>
  <si>
    <t>QUALITY SOFT</t>
  </si>
  <si>
    <t>SINQIA</t>
  </si>
  <si>
    <t>TOTVS</t>
  </si>
  <si>
    <t>ALGAR TELEC</t>
  </si>
  <si>
    <t>OI</t>
  </si>
  <si>
    <t>TELEBRAS</t>
  </si>
  <si>
    <t>TELEF BRASIL</t>
  </si>
  <si>
    <t>TIM</t>
  </si>
  <si>
    <t>TIM PART S/A</t>
  </si>
  <si>
    <t>TIMP</t>
  </si>
  <si>
    <t>CINESYSTEM</t>
  </si>
  <si>
    <t>AES SUL</t>
  </si>
  <si>
    <t>AES TIETE E</t>
  </si>
  <si>
    <t>AFLUENTE T</t>
  </si>
  <si>
    <t>ALUPAR</t>
  </si>
  <si>
    <t>AMPLA ENERG</t>
  </si>
  <si>
    <t>CACHOEIRA</t>
  </si>
  <si>
    <t>CEB</t>
  </si>
  <si>
    <t>CEEE-D</t>
  </si>
  <si>
    <t>CEEE-GT</t>
  </si>
  <si>
    <t>CELESC</t>
  </si>
  <si>
    <t>CELGPAR</t>
  </si>
  <si>
    <t>CELPE</t>
  </si>
  <si>
    <t>CEMIG</t>
  </si>
  <si>
    <t>CEMIG DIST</t>
  </si>
  <si>
    <t>CEMIG GT</t>
  </si>
  <si>
    <t>COELBA</t>
  </si>
  <si>
    <t>COELCE</t>
  </si>
  <si>
    <t>COPEL</t>
  </si>
  <si>
    <t>COSERN</t>
  </si>
  <si>
    <t>CPFL ENERGIA</t>
  </si>
  <si>
    <t>CPFL GERACAO</t>
  </si>
  <si>
    <t>CPFL PIRATIN</t>
  </si>
  <si>
    <t>CPFL RENOVAV</t>
  </si>
  <si>
    <t>EBE</t>
  </si>
  <si>
    <t>ELEKTRO</t>
  </si>
  <si>
    <t>ELETROBRAS</t>
  </si>
  <si>
    <t>ELETROPAR</t>
  </si>
  <si>
    <t>ENERGIAS BR</t>
  </si>
  <si>
    <t>ENERGISA</t>
  </si>
  <si>
    <t>ENERGISA MT</t>
  </si>
  <si>
    <t>ENERSUL</t>
  </si>
  <si>
    <t>ENEVA</t>
  </si>
  <si>
    <t>ENGIE BRASIL</t>
  </si>
  <si>
    <t>EQTL PARA</t>
  </si>
  <si>
    <t>EQTLMARANHAO</t>
  </si>
  <si>
    <t>EQUATORIAL</t>
  </si>
  <si>
    <t>ESCELSA</t>
  </si>
  <si>
    <t>FGENERGIA</t>
  </si>
  <si>
    <t>GER PARANAP</t>
  </si>
  <si>
    <t>ITAPEBI</t>
  </si>
  <si>
    <t>LIGHT</t>
  </si>
  <si>
    <t>LIGHT S/A</t>
  </si>
  <si>
    <t>NEOENERGIA</t>
  </si>
  <si>
    <t>OMEGA GER</t>
  </si>
  <si>
    <t>PAUL F LUZ</t>
  </si>
  <si>
    <t>PROMAN</t>
  </si>
  <si>
    <t>REDE ENERGIA</t>
  </si>
  <si>
    <t>RENOVA</t>
  </si>
  <si>
    <t>STATKRAFT</t>
  </si>
  <si>
    <t>STO ANTONIO</t>
  </si>
  <si>
    <t>TAESA</t>
  </si>
  <si>
    <t>TERMOPE</t>
  </si>
  <si>
    <t>TERM. PE III</t>
  </si>
  <si>
    <t>TRAN PAULIST</t>
  </si>
  <si>
    <t>UPTICK</t>
  </si>
  <si>
    <t>CASAN</t>
  </si>
  <si>
    <t>COPASA</t>
  </si>
  <si>
    <t>IGUA SA</t>
  </si>
  <si>
    <t>SABESP</t>
  </si>
  <si>
    <t>SANEPAR</t>
  </si>
  <si>
    <t>SANESALTO</t>
  </si>
  <si>
    <t>CEG</t>
  </si>
  <si>
    <t>COMGAS</t>
  </si>
  <si>
    <t>ABC BRASIL</t>
  </si>
  <si>
    <t>ALFA HOLDING</t>
  </si>
  <si>
    <t>ALFA INVEST</t>
  </si>
  <si>
    <t>AMAZONIA</t>
  </si>
  <si>
    <t>BANCO BMG</t>
  </si>
  <si>
    <t>BANCO INTER</t>
  </si>
  <si>
    <t>BANCO PAN</t>
  </si>
  <si>
    <t>BANESE</t>
  </si>
  <si>
    <t>BANESTES</t>
  </si>
  <si>
    <t>BANPARA</t>
  </si>
  <si>
    <t>BANRISUL</t>
  </si>
  <si>
    <t>BRADESCO</t>
  </si>
  <si>
    <t>BRASIL</t>
  </si>
  <si>
    <t>BRB BANCO</t>
  </si>
  <si>
    <t>BTGP BANCO</t>
  </si>
  <si>
    <t>INDUSVAL</t>
  </si>
  <si>
    <t>ITAUSA</t>
  </si>
  <si>
    <t>ITAUUNIBANCO</t>
  </si>
  <si>
    <t>MERC BRASIL</t>
  </si>
  <si>
    <t>MERC INVEST</t>
  </si>
  <si>
    <t>NORD BRASIL</t>
  </si>
  <si>
    <t>PARANA</t>
  </si>
  <si>
    <t>SANTANDER BR</t>
  </si>
  <si>
    <t>ALFA FINANC</t>
  </si>
  <si>
    <t>FINANSINOS</t>
  </si>
  <si>
    <t>MERC FINANC</t>
  </si>
  <si>
    <t>BRADESCO LSG</t>
  </si>
  <si>
    <t>DIBENS LSG</t>
  </si>
  <si>
    <t>BRAZIL REALT</t>
  </si>
  <si>
    <t>BRAZILIAN SC</t>
  </si>
  <si>
    <t>BRPR 56 SEC</t>
  </si>
  <si>
    <t>CIBRASEC</t>
  </si>
  <si>
    <t>ECO SEC AGRO</t>
  </si>
  <si>
    <t>GAIA AGRO</t>
  </si>
  <si>
    <t>GAIA SECURIT</t>
  </si>
  <si>
    <t>OCTANTE SEC</t>
  </si>
  <si>
    <t>PDG SECURIT</t>
  </si>
  <si>
    <t>POLO CAP SEC</t>
  </si>
  <si>
    <t>RBCAPITALRES</t>
  </si>
  <si>
    <t>TRUESEC</t>
  </si>
  <si>
    <t>VERTCIASEC</t>
  </si>
  <si>
    <t>WTORRE PIC</t>
  </si>
  <si>
    <t>BNDESPAR</t>
  </si>
  <si>
    <t>BRAZILIAN FR</t>
  </si>
  <si>
    <t>GP INVEST</t>
  </si>
  <si>
    <t>PADTEC</t>
  </si>
  <si>
    <t>B3</t>
  </si>
  <si>
    <t>BOA VISTA</t>
  </si>
  <si>
    <t>CIELO</t>
  </si>
  <si>
    <t>ALFA CONSORC</t>
  </si>
  <si>
    <t>BBSEGURIDADE</t>
  </si>
  <si>
    <t>IRBBRASIL RE</t>
  </si>
  <si>
    <t>PORTO SEGURO</t>
  </si>
  <si>
    <t>SEG AL BAHIA</t>
  </si>
  <si>
    <t>SUL AMERICA</t>
  </si>
  <si>
    <t>ALPER S.A.</t>
  </si>
  <si>
    <t>WIZ S.A.</t>
  </si>
  <si>
    <t>ALIANSCSONAE</t>
  </si>
  <si>
    <t>BR MALLS PAR</t>
  </si>
  <si>
    <t>BR PROPERT</t>
  </si>
  <si>
    <t>COR RIBEIRO</t>
  </si>
  <si>
    <t>CYRE COM-CCP</t>
  </si>
  <si>
    <t>GENERALSHOPP</t>
  </si>
  <si>
    <t>HABITASUL</t>
  </si>
  <si>
    <t>IGB S/A</t>
  </si>
  <si>
    <t>IGUATEMI</t>
  </si>
  <si>
    <t>JEREISSATI</t>
  </si>
  <si>
    <t>LOG COM PROP</t>
  </si>
  <si>
    <t>MENEZES CORT</t>
  </si>
  <si>
    <t>MULTIPLAN</t>
  </si>
  <si>
    <t>SAO CARLOS</t>
  </si>
  <si>
    <t>BR BROKERS</t>
  </si>
  <si>
    <t>LOPES BRASIL</t>
  </si>
  <si>
    <t>MONT ARANHA</t>
  </si>
  <si>
    <t>PAR AL BAHIA</t>
  </si>
  <si>
    <t>SIMPAR</t>
  </si>
  <si>
    <t>CEPAC - CTBA</t>
  </si>
  <si>
    <t>CEPAC - MCRJ</t>
  </si>
  <si>
    <t>CEPAC - PMSP</t>
  </si>
  <si>
    <t>524 PARTICIP</t>
  </si>
  <si>
    <t>ALEF S/A</t>
  </si>
  <si>
    <t>ATOMPAR</t>
  </si>
  <si>
    <t>BETAPART</t>
  </si>
  <si>
    <t>CABINDA PART</t>
  </si>
  <si>
    <t>CACONDE PART</t>
  </si>
  <si>
    <t>CEMEPE</t>
  </si>
  <si>
    <t>CIMS</t>
  </si>
  <si>
    <t>GAMA PART</t>
  </si>
  <si>
    <t>INVEST BEMGE</t>
  </si>
  <si>
    <t>J B DUARTE</t>
  </si>
  <si>
    <t>MGI PARTICIP</t>
  </si>
  <si>
    <t>OPPORT ENERG</t>
  </si>
  <si>
    <t>POLPAR</t>
  </si>
  <si>
    <t>PROMPT PART</t>
  </si>
  <si>
    <t>SUDESTE S/A</t>
  </si>
  <si>
    <t>SUL 116 PART</t>
  </si>
  <si>
    <t>(DR1) BDR Nível 1</t>
  </si>
  <si>
    <t>(DR2) BDR Nível 2</t>
  </si>
  <si>
    <t>(DR3) BDR Nível 3</t>
  </si>
  <si>
    <t>(N1) Nível 1 de Governança Corporativa</t>
  </si>
  <si>
    <t>(N2) Nível 2 de Governança Corporativa</t>
  </si>
  <si>
    <t>(NM) Novo Mercado</t>
  </si>
  <si>
    <t>(MA) Bovespa Mais</t>
  </si>
  <si>
    <t>(M2) Bovespa Mais - Nível 2</t>
  </si>
  <si>
    <t>(MB) Balcão Organizado Tradicional</t>
  </si>
  <si>
    <t>ATENÇÃO</t>
  </si>
  <si>
    <t>Este trabalho não é uma recomendação de investimento.</t>
  </si>
  <si>
    <t>As informações recebidas das empresas admitidas à negociação na B3 estão disponíveis para consulta em</t>
  </si>
  <si>
    <t>nosso site www.b3.com.br.</t>
  </si>
  <si>
    <t>Para mais esclarecimentos, sugerimos procurar sua corretora.  Ela pode ajudá-lo a avaliar os riscos e benefícios</t>
  </si>
  <si>
    <t>potenciais das negociações com valores mobiliários.</t>
  </si>
  <si>
    <t>B3 S.A. - Brasil, Bolsa, Balcão</t>
  </si>
  <si>
    <t>s</t>
  </si>
  <si>
    <t>Maior que:</t>
  </si>
  <si>
    <t>É Boa empresa</t>
  </si>
  <si>
    <t>Está Barato?</t>
  </si>
  <si>
    <t>Papel</t>
  </si>
  <si>
    <t>Liquidez</t>
  </si>
  <si>
    <t>Rank</t>
  </si>
  <si>
    <t>Ebit/EV</t>
  </si>
  <si>
    <t>Soma</t>
  </si>
  <si>
    <t>Ranking</t>
  </si>
  <si>
    <t>L/P</t>
  </si>
  <si>
    <t>VVAR3</t>
  </si>
  <si>
    <t>AZUL4</t>
  </si>
  <si>
    <t>BTOW3</t>
  </si>
  <si>
    <t>BRDT3</t>
  </si>
  <si>
    <t>MRFG3</t>
  </si>
  <si>
    <t>ELET3</t>
  </si>
  <si>
    <t>GOLL4</t>
  </si>
  <si>
    <t>TIMP3</t>
  </si>
  <si>
    <t>CCRO3</t>
  </si>
  <si>
    <t>ELET6</t>
  </si>
  <si>
    <t>CNTO3</t>
  </si>
  <si>
    <t>EMBR3</t>
  </si>
  <si>
    <t>ALSO3</t>
  </si>
  <si>
    <t>DTEX3</t>
  </si>
  <si>
    <t>TRPL4</t>
  </si>
  <si>
    <t>ARZZ3</t>
  </si>
  <si>
    <t>GUAR3</t>
  </si>
  <si>
    <t>BKBR3</t>
  </si>
  <si>
    <t>WIZS3</t>
  </si>
  <si>
    <t>JPSA3</t>
  </si>
  <si>
    <t>CCPR3</t>
  </si>
  <si>
    <t>CARD3</t>
  </si>
  <si>
    <t>WSON33</t>
  </si>
  <si>
    <t>LLIS3</t>
  </si>
  <si>
    <t>BBRK3</t>
  </si>
  <si>
    <t>IDNT3</t>
  </si>
  <si>
    <t>TRPL3</t>
  </si>
  <si>
    <t>ATOM3</t>
  </si>
  <si>
    <t>JBDU4</t>
  </si>
  <si>
    <t>CRDE3</t>
  </si>
  <si>
    <t>BTTL3</t>
  </si>
  <si>
    <t>JBDU3</t>
  </si>
  <si>
    <t>SPRI3</t>
  </si>
  <si>
    <t>ELET5</t>
  </si>
  <si>
    <t>SPRI5</t>
  </si>
  <si>
    <t>SPRI6</t>
  </si>
  <si>
    <t>Liquidez Diária</t>
  </si>
  <si>
    <t>R$
Atual</t>
  </si>
  <si>
    <t>30
Dias</t>
  </si>
  <si>
    <t>12
Meses</t>
  </si>
  <si>
    <t>LIQUIDEZ (selecione acima a liquidez minima)</t>
  </si>
  <si>
    <t>Clique na Seta para gerar os rankings pré programados</t>
  </si>
  <si>
    <t>Magic</t>
  </si>
  <si>
    <t>* A fórmula manda não comprar Utilidade Pública</t>
  </si>
  <si>
    <t>MagicLucros</t>
  </si>
  <si>
    <t>Baratas</t>
  </si>
  <si>
    <t>Rodar a cada 3 meses e trocar suas ações</t>
  </si>
  <si>
    <t>Solidas</t>
  </si>
  <si>
    <t>Mix</t>
  </si>
  <si>
    <r>
      <rPr>
        <rFont val="Arial"/>
        <b/>
        <color theme="1"/>
        <sz val="8.0"/>
      </rPr>
      <t>GreenBla</t>
    </r>
    <r>
      <rPr>
        <rFont val="Arial"/>
        <color theme="1"/>
        <sz val="8.0"/>
      </rPr>
      <t xml:space="preserve"> - Ranking (inspirado no método do livro "The Little Book that beats the market")</t>
    </r>
  </si>
  <si>
    <t>Dividendos</t>
  </si>
  <si>
    <t>Graham</t>
  </si>
  <si>
    <t>GreenBla</t>
  </si>
  <si>
    <t>Trocar o valor da celular M1, caso queira encontrar  empresas dentro do metodo selecionado, porém  com menor liquidez.</t>
  </si>
  <si>
    <t>Maior</t>
  </si>
  <si>
    <t>Menor</t>
  </si>
  <si>
    <t>XPath</t>
  </si>
  <si>
    <t>Link</t>
  </si>
  <si>
    <t>//*[@id="lista-perfil"]/li[1]/div/label/span</t>
  </si>
  <si>
    <t>/html/body/main/div[2]/div/div[6]/div[2]/div/div[1]/div/div[1]/div/div/strong</t>
  </si>
  <si>
    <t>https://statusinvest.com.br/acoes/petr3</t>
  </si>
  <si>
    <t>ALSC3</t>
  </si>
  <si>
    <t>ANDG3B</t>
  </si>
  <si>
    <t>ANDG4B</t>
  </si>
  <si>
    <t>ATMP3</t>
  </si>
  <si>
    <t>BEEF11</t>
  </si>
  <si>
    <t>BRIN3</t>
  </si>
  <si>
    <t>BRIT3</t>
  </si>
  <si>
    <t>CPLE11</t>
  </si>
  <si>
    <t>DMMO11</t>
  </si>
  <si>
    <t>FIBR3</t>
  </si>
  <si>
    <t>GUAR4</t>
  </si>
  <si>
    <t>LVTC3</t>
  </si>
  <si>
    <t>MAGG3</t>
  </si>
  <si>
    <t>MBLY3</t>
  </si>
  <si>
    <t>MMAQ3</t>
  </si>
  <si>
    <t>MMAQ4</t>
  </si>
  <si>
    <t>MPLU3</t>
  </si>
  <si>
    <t>NINJ3</t>
  </si>
  <si>
    <t>QGEP3</t>
  </si>
  <si>
    <t>RRRP3</t>
  </si>
  <si>
    <t>TRPN3</t>
  </si>
  <si>
    <t>VVAR11</t>
  </si>
  <si>
    <t>VVAR4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</si>
</sst>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1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b/>
      <u/>
      <sz val="10.0"/>
      <color rgb="FFFFFFFF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sz val="24.0"/>
      <color rgb="FF4040F4"/>
      <name val="Proxima Nova"/>
    </font>
    <font>
      <u/>
      <sz val="12.0"/>
      <color rgb="FF1155CC"/>
    </font>
    <font>
      <u/>
      <sz val="12.0"/>
      <color rgb="FF1155CC"/>
      <name val="Arial"/>
      <scheme val="minor"/>
    </font>
    <font>
      <sz val="8.0"/>
      <color theme="1"/>
      <name val="Arial"/>
      <scheme val="minor"/>
    </font>
    <font>
      <color rgb="FFEBE4D5"/>
      <name val="Arial"/>
      <scheme val="minor"/>
    </font>
    <font>
      <b/>
      <sz val="9.0"/>
      <color theme="1"/>
      <name val="Arial"/>
      <scheme val="minor"/>
    </font>
    <font>
      <b/>
      <sz val="9.0"/>
      <color rgb="FFFFFAF1"/>
      <name val="Arial"/>
      <scheme val="minor"/>
    </font>
    <font>
      <sz val="9.0"/>
      <color rgb="FFFFFAF1"/>
      <name val="Arial"/>
      <scheme val="minor"/>
    </font>
    <font>
      <color rgb="FFFFFAF1"/>
      <name val="Arial"/>
      <scheme val="minor"/>
    </font>
    <font/>
    <font>
      <sz val="11.0"/>
      <color rgb="FF000000"/>
      <name val="Calibri"/>
    </font>
    <font>
      <sz val="9.0"/>
      <color theme="1"/>
      <name val="Arial"/>
    </font>
    <font>
      <color theme="1"/>
      <name val="Arial"/>
    </font>
    <font>
      <sz val="11.0"/>
      <color rgb="FF000000"/>
      <name val="Inconsolata"/>
    </font>
    <font>
      <sz val="11.0"/>
      <color rgb="FF000000"/>
      <name val="&quot;Aptos Narrow&quot;"/>
    </font>
    <font>
      <sz val="11.0"/>
      <color rgb="FF000000"/>
      <name val="Arial"/>
    </font>
    <font>
      <b/>
      <sz val="9.0"/>
      <color rgb="FFFFFFFF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Inconsolata"/>
    </font>
    <font>
      <b/>
      <sz val="11.0"/>
      <color rgb="FF000000"/>
      <name val="Inconsolata"/>
    </font>
    <font>
      <sz val="8.0"/>
      <color rgb="FF000000"/>
      <name val="Inconsolata"/>
    </font>
    <font>
      <b/>
      <color rgb="FFFFFAF1"/>
      <name val="Arial"/>
      <scheme val="minor"/>
    </font>
    <font>
      <u/>
      <color rgb="FF1155CC"/>
    </font>
  </fonts>
  <fills count="12">
    <fill>
      <patternFill patternType="none"/>
    </fill>
    <fill>
      <patternFill patternType="lightGray"/>
    </fill>
    <fill>
      <patternFill patternType="solid">
        <fgColor rgb="FFF85631"/>
        <bgColor rgb="FFF85631"/>
      </patternFill>
    </fill>
    <fill>
      <patternFill patternType="solid">
        <fgColor rgb="FF4040F4"/>
        <bgColor rgb="FF4040F4"/>
      </patternFill>
    </fill>
    <fill>
      <patternFill patternType="solid">
        <fgColor rgb="FFEBE4D5"/>
        <bgColor rgb="FFEBE4D5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8080"/>
        <bgColor rgb="FF00808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CA56"/>
        <bgColor rgb="FFFFCA56"/>
      </patternFill>
    </fill>
  </fills>
  <borders count="23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EBE4D5"/>
      </left>
      <top style="medium">
        <color rgb="FFEBE4D5"/>
      </top>
    </border>
    <border>
      <top style="medium">
        <color rgb="FFEBE4D5"/>
      </top>
    </border>
    <border>
      <right style="medium">
        <color rgb="FFEBE4D5"/>
      </right>
      <top style="medium">
        <color rgb="FFEBE4D5"/>
      </top>
    </border>
    <border>
      <left style="medium">
        <color rgb="FFEBE4D5"/>
      </left>
    </border>
    <border>
      <right style="medium">
        <color rgb="FFEBE4D5"/>
      </right>
    </border>
    <border>
      <left style="medium">
        <color rgb="FFEBE4D5"/>
      </left>
      <bottom style="medium">
        <color rgb="FFEBE4D5"/>
      </bottom>
    </border>
    <border>
      <bottom style="medium">
        <color rgb="FFEBE4D5"/>
      </bottom>
    </border>
    <border>
      <right style="medium">
        <color rgb="FFEBE4D5"/>
      </right>
      <bottom style="medium">
        <color rgb="FFEBE4D5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readingOrder="0" vertical="center"/>
    </xf>
    <xf borderId="0" fillId="2" fontId="2" numFmtId="14" xfId="0" applyAlignment="1" applyFont="1" applyNumberFormat="1">
      <alignment horizontal="center" vertical="center"/>
    </xf>
    <xf borderId="0" fillId="2" fontId="3" numFmtId="0" xfId="0" applyAlignment="1" applyFont="1">
      <alignment horizontal="left" vertical="center"/>
    </xf>
    <xf borderId="0" fillId="2" fontId="2" numFmtId="0" xfId="0" applyAlignment="1" applyFont="1">
      <alignment horizontal="right" vertical="center"/>
    </xf>
    <xf borderId="0" fillId="2" fontId="2" numFmtId="164" xfId="0" applyAlignment="1" applyFont="1" applyNumberFormat="1">
      <alignment horizontal="right" vertical="center"/>
    </xf>
    <xf borderId="0" fillId="2" fontId="2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right" vertical="center"/>
    </xf>
    <xf borderId="0" fillId="0" fontId="6" numFmtId="9" xfId="0" applyAlignment="1" applyFont="1" applyNumberFormat="1">
      <alignment horizontal="right" readingOrder="0" vertical="center"/>
    </xf>
    <xf borderId="0" fillId="0" fontId="6" numFmtId="10" xfId="0" applyAlignment="1" applyFont="1" applyNumberFormat="1">
      <alignment horizontal="right" vertical="center"/>
    </xf>
    <xf borderId="0" fillId="0" fontId="6" numFmtId="164" xfId="0" applyAlignment="1" applyFont="1" applyNumberFormat="1">
      <alignment horizontal="right" vertical="center"/>
    </xf>
    <xf borderId="0" fillId="0" fontId="6" numFmtId="164" xfId="0" applyAlignment="1" applyFont="1" applyNumberFormat="1">
      <alignment horizontal="center" vertical="center"/>
    </xf>
    <xf borderId="0" fillId="3" fontId="5" numFmtId="164" xfId="0" applyAlignment="1" applyFill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9" numFmtId="164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bottom" wrapText="1"/>
    </xf>
    <xf borderId="0" fillId="0" fontId="10" numFmtId="4" xfId="0" applyAlignment="1" applyFont="1" applyNumberFormat="1">
      <alignment horizontal="left" readingOrder="0" shrinkToFit="0" vertical="bottom" wrapText="1"/>
    </xf>
    <xf borderId="0" fillId="0" fontId="6" numFmtId="0" xfId="0" applyAlignment="1" applyFont="1">
      <alignment horizontal="left" vertical="center"/>
    </xf>
    <xf borderId="0" fillId="4" fontId="11" numFmtId="0" xfId="0" applyAlignment="1" applyFill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6" numFmtId="164" xfId="0" applyAlignment="1" applyFont="1" applyNumberFormat="1">
      <alignment horizontal="center" readingOrder="0" shrinkToFit="0" vertical="center" wrapText="1"/>
    </xf>
    <xf borderId="0" fillId="4" fontId="6" numFmtId="164" xfId="0" applyAlignment="1" applyFont="1" applyNumberFormat="1">
      <alignment horizontal="center" vertical="center"/>
    </xf>
    <xf borderId="0" fillId="3" fontId="13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2" fillId="0" fontId="16" numFmtId="0" xfId="0" applyBorder="1" applyFont="1"/>
    <xf borderId="3" fillId="0" fontId="16" numFmtId="0" xfId="0" applyBorder="1" applyFont="1"/>
    <xf borderId="1" fillId="3" fontId="15" numFmtId="164" xfId="0" applyAlignment="1" applyBorder="1" applyFont="1" applyNumberFormat="1">
      <alignment horizontal="center" readingOrder="0" shrinkToFit="0" vertical="center" wrapText="1"/>
    </xf>
    <xf borderId="0" fillId="3" fontId="15" numFmtId="0" xfId="0" applyAlignment="1" applyFont="1">
      <alignment horizontal="right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5" fontId="15" numFmtId="0" xfId="0" applyAlignment="1" applyFill="1" applyFont="1">
      <alignment horizontal="right" readingOrder="0" shrinkToFit="0" vertical="center" wrapText="1"/>
    </xf>
    <xf borderId="0" fillId="3" fontId="15" numFmtId="164" xfId="0" applyAlignment="1" applyFont="1" applyNumberFormat="1">
      <alignment horizontal="right" readingOrder="0" shrinkToFit="0" vertical="center" wrapText="1"/>
    </xf>
    <xf borderId="0" fillId="3" fontId="15" numFmtId="164" xfId="0" applyAlignment="1" applyFont="1" applyNumberFormat="1">
      <alignment horizontal="center" readingOrder="0" shrinkToFit="0" vertical="center" wrapText="1"/>
    </xf>
    <xf borderId="0" fillId="3" fontId="15" numFmtId="164" xfId="0" applyAlignment="1" applyFont="1" applyNumberFormat="1">
      <alignment horizontal="center" vertical="center"/>
    </xf>
    <xf borderId="0" fillId="0" fontId="17" numFmtId="0" xfId="0" applyAlignment="1" applyFont="1">
      <alignment readingOrder="0" shrinkToFit="0" vertical="bottom" wrapText="0"/>
    </xf>
    <xf borderId="0" fillId="0" fontId="18" numFmtId="164" xfId="0" applyFont="1" applyNumberFormat="1"/>
    <xf borderId="0" fillId="0" fontId="19" numFmtId="164" xfId="0" applyAlignment="1" applyFont="1" applyNumberFormat="1">
      <alignment horizontal="right"/>
    </xf>
    <xf borderId="4" fillId="0" fontId="19" numFmtId="0" xfId="0" applyAlignment="1" applyBorder="1" applyFont="1">
      <alignment vertical="bottom"/>
    </xf>
    <xf borderId="0" fillId="0" fontId="19" numFmtId="10" xfId="0" applyAlignment="1" applyFont="1" applyNumberFormat="1">
      <alignment readingOrder="0" vertical="bottom"/>
    </xf>
    <xf borderId="0" fillId="0" fontId="19" numFmtId="10" xfId="0" applyAlignment="1" applyFont="1" applyNumberFormat="1">
      <alignment vertical="bottom"/>
    </xf>
    <xf borderId="0" fillId="0" fontId="19" numFmtId="10" xfId="0" applyAlignment="1" applyFont="1" applyNumberFormat="1">
      <alignment horizontal="right"/>
    </xf>
    <xf borderId="0" fillId="4" fontId="19" numFmtId="10" xfId="0" applyAlignment="1" applyFont="1" applyNumberFormat="1">
      <alignment horizontal="right" vertical="bottom"/>
    </xf>
    <xf borderId="0" fillId="4" fontId="19" numFmtId="4" xfId="0" applyAlignment="1" applyFont="1" applyNumberFormat="1">
      <alignment horizontal="right" vertical="bottom"/>
    </xf>
    <xf borderId="0" fillId="0" fontId="19" numFmtId="4" xfId="0" applyAlignment="1" applyFont="1" applyNumberFormat="1">
      <alignment horizontal="right" vertical="bottom"/>
    </xf>
    <xf borderId="0" fillId="6" fontId="20" numFmtId="10" xfId="0" applyAlignment="1" applyFill="1" applyFont="1" applyNumberFormat="1">
      <alignment horizontal="right" vertical="bottom"/>
    </xf>
    <xf borderId="0" fillId="6" fontId="20" numFmtId="0" xfId="0" applyAlignment="1" applyFont="1">
      <alignment horizontal="right" vertical="bottom"/>
    </xf>
    <xf borderId="0" fillId="4" fontId="20" numFmtId="0" xfId="0" applyAlignment="1" applyFont="1">
      <alignment horizontal="right" vertical="bottom"/>
    </xf>
    <xf borderId="0" fillId="4" fontId="20" numFmtId="4" xfId="0" applyAlignment="1" applyFont="1" applyNumberFormat="1">
      <alignment horizontal="right" vertical="bottom"/>
    </xf>
    <xf borderId="0" fillId="6" fontId="20" numFmtId="164" xfId="0" applyAlignment="1" applyFont="1" applyNumberFormat="1">
      <alignment horizontal="right" vertical="bottom"/>
    </xf>
    <xf borderId="0" fillId="0" fontId="19" numFmtId="164" xfId="0" applyFont="1" applyNumberFormat="1"/>
    <xf borderId="0" fillId="0" fontId="19" numFmtId="10" xfId="0" applyAlignment="1" applyFont="1" applyNumberFormat="1">
      <alignment horizontal="center"/>
    </xf>
    <xf borderId="0" fillId="0" fontId="19" numFmtId="3" xfId="0" applyAlignment="1" applyFont="1" applyNumberFormat="1">
      <alignment horizontal="center"/>
    </xf>
    <xf borderId="0" fillId="0" fontId="18" numFmtId="164" xfId="0" applyAlignment="1" applyFont="1" applyNumberFormat="1">
      <alignment vertical="bottom"/>
    </xf>
    <xf borderId="0" fillId="7" fontId="19" numFmtId="164" xfId="0" applyAlignment="1" applyFill="1" applyFont="1" applyNumberFormat="1">
      <alignment horizontal="right" vertical="bottom"/>
    </xf>
    <xf borderId="5" fillId="0" fontId="19" numFmtId="164" xfId="0" applyAlignment="1" applyBorder="1" applyFont="1" applyNumberFormat="1">
      <alignment vertical="bottom"/>
    </xf>
    <xf borderId="0" fillId="0" fontId="19" numFmtId="10" xfId="0" applyAlignment="1" applyFont="1" applyNumberFormat="1">
      <alignment vertical="bottom"/>
    </xf>
    <xf borderId="0" fillId="0" fontId="19" numFmtId="164" xfId="0" applyAlignment="1" applyFont="1" applyNumberFormat="1">
      <alignment horizontal="right" vertical="bottom"/>
    </xf>
    <xf borderId="5" fillId="0" fontId="19" numFmtId="10" xfId="0" applyAlignment="1" applyBorder="1" applyFont="1" applyNumberFormat="1">
      <alignment vertical="bottom"/>
    </xf>
    <xf borderId="0" fillId="0" fontId="19" numFmtId="10" xfId="0" applyAlignment="1" applyFont="1" applyNumberFormat="1">
      <alignment horizontal="right" vertical="bottom"/>
    </xf>
    <xf borderId="0" fillId="0" fontId="19" numFmtId="10" xfId="0" applyAlignment="1" applyFont="1" applyNumberFormat="1">
      <alignment horizontal="center" vertical="bottom"/>
    </xf>
    <xf borderId="0" fillId="0" fontId="19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4" xfId="0" applyAlignment="1" applyFont="1" applyNumberFormat="1">
      <alignment horizontal="right" readingOrder="0" shrinkToFit="0" vertical="bottom" wrapText="0"/>
    </xf>
    <xf borderId="0" fillId="0" fontId="21" numFmtId="4" xfId="0" applyAlignment="1" applyFont="1" applyNumberFormat="1">
      <alignment shrinkToFit="0" vertical="bottom" wrapText="0"/>
    </xf>
    <xf borderId="0" fillId="0" fontId="21" numFmtId="11" xfId="0" applyAlignment="1" applyFont="1" applyNumberFormat="1">
      <alignment horizontal="right" readingOrder="0" shrinkToFit="0" vertical="bottom" wrapText="0"/>
    </xf>
    <xf borderId="0" fillId="0" fontId="21" numFmtId="11" xfId="0" applyAlignment="1" applyFont="1" applyNumberFormat="1">
      <alignment shrinkToFit="0" vertical="bottom" wrapText="0"/>
    </xf>
    <xf borderId="0" fillId="8" fontId="23" numFmtId="0" xfId="0" applyAlignment="1" applyFill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4" numFmtId="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0" fillId="0" fontId="24" numFmtId="0" xfId="0" applyAlignment="1" applyFont="1">
      <alignment readingOrder="0" shrinkToFit="0" wrapText="1"/>
    </xf>
    <xf borderId="0" fillId="0" fontId="24" numFmtId="0" xfId="0" applyAlignment="1" applyFont="1">
      <alignment horizontal="center"/>
    </xf>
    <xf borderId="0" fillId="0" fontId="6" numFmtId="1" xfId="0" applyAlignment="1" applyFont="1" applyNumberFormat="1">
      <alignment horizontal="center"/>
    </xf>
    <xf borderId="0" fillId="0" fontId="25" numFmtId="4" xfId="0" applyAlignment="1" applyFont="1" applyNumberFormat="1">
      <alignment horizontal="center" readingOrder="0"/>
    </xf>
    <xf borderId="0" fillId="0" fontId="24" numFmtId="0" xfId="0" applyAlignment="1" applyFont="1">
      <alignment readingOrder="0" shrinkToFit="0" wrapText="1"/>
    </xf>
    <xf borderId="6" fillId="0" fontId="24" numFmtId="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0" fontId="24" numFmtId="164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4" numFmtId="1" xfId="0" applyAlignment="1" applyFont="1" applyNumberFormat="1">
      <alignment horizontal="center" readingOrder="0"/>
    </xf>
    <xf borderId="0" fillId="0" fontId="6" numFmtId="4" xfId="0" applyFont="1" applyNumberFormat="1"/>
    <xf borderId="0" fillId="0" fontId="6" numFmtId="10" xfId="0" applyFont="1" applyNumberFormat="1"/>
    <xf borderId="6" fillId="9" fontId="25" numFmtId="0" xfId="0" applyAlignment="1" applyBorder="1" applyFill="1" applyFont="1">
      <alignment readingOrder="0" shrinkToFit="0" wrapText="1"/>
    </xf>
    <xf borderId="7" fillId="9" fontId="25" numFmtId="4" xfId="0" applyAlignment="1" applyBorder="1" applyFont="1" applyNumberFormat="1">
      <alignment horizontal="center" readingOrder="0"/>
    </xf>
    <xf borderId="8" fillId="9" fontId="25" numFmtId="0" xfId="0" applyAlignment="1" applyBorder="1" applyFont="1">
      <alignment horizontal="center" readingOrder="0"/>
    </xf>
    <xf borderId="7" fillId="9" fontId="25" numFmtId="0" xfId="0" applyAlignment="1" applyBorder="1" applyFont="1">
      <alignment horizontal="center" readingOrder="0"/>
    </xf>
    <xf borderId="8" fillId="9" fontId="25" numFmtId="10" xfId="0" applyAlignment="1" applyBorder="1" applyFont="1" applyNumberFormat="1">
      <alignment horizontal="center" readingOrder="0"/>
    </xf>
    <xf borderId="7" fillId="9" fontId="25" numFmtId="3" xfId="0" applyAlignment="1" applyBorder="1" applyFont="1" applyNumberFormat="1">
      <alignment horizontal="center" readingOrder="0"/>
    </xf>
    <xf borderId="9" fillId="10" fontId="4" numFmtId="0" xfId="0" applyAlignment="1" applyBorder="1" applyFill="1" applyFont="1">
      <alignment horizontal="center" readingOrder="0"/>
    </xf>
    <xf borderId="7" fillId="0" fontId="16" numFmtId="0" xfId="0" applyBorder="1" applyFont="1"/>
    <xf borderId="10" fillId="0" fontId="24" numFmtId="0" xfId="0" applyAlignment="1" applyBorder="1" applyFont="1">
      <alignment readingOrder="0"/>
    </xf>
    <xf borderId="10" fillId="0" fontId="24" numFmtId="4" xfId="0" applyAlignment="1" applyBorder="1" applyFont="1" applyNumberFormat="1">
      <alignment horizontal="center"/>
    </xf>
    <xf borderId="11" fillId="0" fontId="24" numFmtId="10" xfId="0" applyAlignment="1" applyBorder="1" applyFont="1" applyNumberFormat="1">
      <alignment horizontal="center" readingOrder="0"/>
    </xf>
    <xf borderId="11" fillId="6" fontId="26" numFmtId="10" xfId="0" applyAlignment="1" applyBorder="1" applyFont="1" applyNumberFormat="1">
      <alignment horizontal="center" readingOrder="0"/>
    </xf>
    <xf borderId="0" fillId="0" fontId="6" numFmtId="3" xfId="0" applyAlignment="1" applyFont="1" applyNumberFormat="1">
      <alignment horizontal="center"/>
    </xf>
    <xf borderId="10" fillId="10" fontId="6" numFmtId="3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6" numFmtId="0" xfId="0" applyFont="1"/>
    <xf borderId="11" fillId="0" fontId="24" numFmtId="10" xfId="0" applyAlignment="1" applyBorder="1" applyFont="1" applyNumberFormat="1">
      <alignment horizontal="center"/>
    </xf>
    <xf borderId="12" fillId="0" fontId="6" numFmtId="0" xfId="0" applyAlignment="1" applyBorder="1" applyFont="1">
      <alignment horizontal="center"/>
    </xf>
    <xf borderId="0" fillId="6" fontId="26" numFmtId="10" xfId="0" applyAlignment="1" applyFont="1" applyNumberFormat="1">
      <alignment horizontal="center" readingOrder="0"/>
    </xf>
    <xf borderId="12" fillId="0" fontId="6" numFmtId="3" xfId="0" applyAlignment="1" applyBorder="1" applyFont="1" applyNumberFormat="1">
      <alignment horizontal="center"/>
    </xf>
    <xf borderId="12" fillId="10" fontId="6" numFmtId="3" xfId="0" applyAlignment="1" applyBorder="1" applyFont="1" applyNumberFormat="1">
      <alignment horizontal="center"/>
    </xf>
    <xf borderId="0" fillId="0" fontId="24" numFmtId="0" xfId="0" applyAlignment="1" applyFont="1">
      <alignment readingOrder="0"/>
    </xf>
    <xf borderId="12" fillId="0" fontId="24" numFmtId="4" xfId="0" applyAlignment="1" applyBorder="1" applyFont="1" applyNumberFormat="1">
      <alignment horizontal="center"/>
    </xf>
    <xf borderId="0" fillId="0" fontId="24" numFmtId="4" xfId="0" applyAlignment="1" applyFont="1" applyNumberFormat="1">
      <alignment horizontal="center"/>
    </xf>
    <xf borderId="0" fillId="0" fontId="24" numFmtId="10" xfId="0" applyAlignment="1" applyFont="1" applyNumberFormat="1">
      <alignment horizontal="center"/>
    </xf>
    <xf borderId="0" fillId="4" fontId="6" numFmtId="0" xfId="0" applyFont="1"/>
    <xf borderId="0" fillId="0" fontId="4" numFmtId="0" xfId="0" applyFont="1"/>
    <xf borderId="0" fillId="0" fontId="10" numFmtId="0" xfId="0" applyAlignment="1" applyFont="1">
      <alignment horizontal="left"/>
    </xf>
    <xf borderId="0" fillId="0" fontId="6" numFmtId="2" xfId="0" applyAlignment="1" applyFont="1" applyNumberFormat="1">
      <alignment horizontal="center" shrinkToFit="0" wrapText="1"/>
    </xf>
    <xf borderId="0" fillId="0" fontId="6" numFmtId="164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4" xfId="0" applyAlignment="1" applyFont="1" applyNumberForma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2" xfId="0" applyAlignment="1" applyFont="1" applyNumberFormat="1">
      <alignment horizontal="center" readingOrder="0" shrinkToFit="0" wrapText="1"/>
    </xf>
    <xf borderId="9" fillId="0" fontId="6" numFmtId="2" xfId="0" applyAlignment="1" applyBorder="1" applyFont="1" applyNumberFormat="1">
      <alignment horizontal="right" readingOrder="0" shrinkToFit="0" wrapText="1"/>
    </xf>
    <xf borderId="6" fillId="0" fontId="6" numFmtId="164" xfId="0" applyAlignment="1" applyBorder="1" applyFont="1" applyNumberFormat="1">
      <alignment horizontal="center" readingOrder="0" shrinkToFit="0" wrapText="1"/>
    </xf>
    <xf borderId="0" fillId="6" fontId="20" numFmtId="4" xfId="0" applyFont="1" applyNumberFormat="1"/>
    <xf borderId="0" fillId="6" fontId="27" numFmtId="0" xfId="0" applyFont="1"/>
    <xf borderId="0" fillId="6" fontId="28" numFmtId="0" xfId="0" applyAlignment="1" applyFont="1">
      <alignment horizontal="left"/>
    </xf>
    <xf borderId="0" fillId="6" fontId="20" numFmtId="0" xfId="0" applyFont="1"/>
    <xf borderId="0" fillId="6" fontId="22" numFmtId="2" xfId="0" applyAlignment="1" applyFont="1" applyNumberFormat="1">
      <alignment horizontal="center" readingOrder="0"/>
    </xf>
    <xf borderId="0" fillId="6" fontId="22" numFmtId="0" xfId="0" applyAlignment="1" applyFont="1">
      <alignment horizontal="center" readingOrder="0"/>
    </xf>
    <xf borderId="0" fillId="6" fontId="22" numFmtId="4" xfId="0" applyAlignment="1" applyFont="1" applyNumberFormat="1">
      <alignment horizontal="center" readingOrder="0"/>
    </xf>
    <xf borderId="0" fillId="6" fontId="22" numFmtId="4" xfId="0" applyAlignment="1" applyFont="1" applyNumberFormat="1">
      <alignment readingOrder="0"/>
    </xf>
    <xf borderId="0" fillId="6" fontId="22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4" xfId="0" applyAlignment="1" applyFont="1" applyNumberForma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center" vertical="center"/>
    </xf>
    <xf borderId="0" fillId="3" fontId="5" numFmtId="164" xfId="0" applyAlignment="1" applyFont="1" applyNumberFormat="1">
      <alignment horizontal="left" readingOrder="0" shrinkToFit="0" vertical="center" wrapText="1"/>
    </xf>
    <xf borderId="0" fillId="4" fontId="20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4" fontId="6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left" readingOrder="0" shrinkToFit="0" vertical="center" wrapText="1"/>
    </xf>
    <xf borderId="13" fillId="0" fontId="6" numFmtId="0" xfId="0" applyAlignment="1" applyBorder="1" applyFont="1">
      <alignment horizontal="center" readingOrder="0" vertical="center"/>
    </xf>
    <xf borderId="14" fillId="0" fontId="16" numFmtId="0" xfId="0" applyBorder="1" applyFont="1"/>
    <xf borderId="0" fillId="3" fontId="29" numFmtId="0" xfId="0" applyAlignment="1" applyFont="1">
      <alignment horizontal="center" readingOrder="0" shrinkToFit="0" vertical="center" wrapText="1"/>
    </xf>
    <xf borderId="0" fillId="11" fontId="4" numFmtId="2" xfId="0" applyAlignment="1" applyFill="1" applyFont="1" applyNumberFormat="1">
      <alignment horizontal="center" readingOrder="0" shrinkToFit="0" vertical="center" wrapText="1"/>
    </xf>
    <xf borderId="0" fillId="4" fontId="4" numFmtId="4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left" readingOrder="0" vertical="bottom"/>
    </xf>
    <xf borderId="0" fillId="6" fontId="27" numFmtId="0" xfId="0" applyFont="1"/>
    <xf borderId="0" fillId="6" fontId="10" numFmtId="164" xfId="0" applyAlignment="1" applyFont="1" applyNumberFormat="1">
      <alignment horizontal="left" readingOrder="0" vertical="center"/>
    </xf>
    <xf borderId="0" fillId="6" fontId="10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horizontal="right" readingOrder="0" vertical="center"/>
    </xf>
    <xf borderId="0" fillId="0" fontId="6" numFmtId="10" xfId="0" applyAlignment="1" applyFont="1" applyNumberFormat="1">
      <alignment horizontal="center" readingOrder="0" vertical="center"/>
    </xf>
    <xf borderId="12" fillId="0" fontId="6" numFmtId="2" xfId="0" applyAlignment="1" applyBorder="1" applyFont="1" applyNumberFormat="1">
      <alignment horizontal="center" shrinkToFit="0" wrapText="1"/>
    </xf>
    <xf borderId="10" fillId="0" fontId="5" numFmtId="164" xfId="0" applyAlignment="1" applyBorder="1" applyFont="1" applyNumberFormat="1">
      <alignment horizontal="center" shrinkToFit="0" wrapText="1"/>
    </xf>
    <xf borderId="0" fillId="0" fontId="6" numFmtId="1" xfId="0" applyAlignment="1" applyFont="1" applyNumberFormat="1">
      <alignment horizontal="center" shrinkToFit="0" wrapText="1"/>
    </xf>
    <xf borderId="11" fillId="0" fontId="6" numFmtId="4" xfId="0" applyAlignment="1" applyBorder="1" applyFont="1" applyNumberFormat="1">
      <alignment shrinkToFit="0" wrapText="1"/>
    </xf>
    <xf borderId="0" fillId="0" fontId="6" numFmtId="4" xfId="0" applyAlignment="1" applyFont="1" applyNumberFormat="1">
      <alignment shrinkToFit="0" wrapText="1"/>
    </xf>
    <xf borderId="12" fillId="0" fontId="6" numFmtId="4" xfId="0" applyAlignment="1" applyBorder="1" applyFont="1" applyNumberForma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6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bottom" wrapText="1"/>
    </xf>
    <xf borderId="0" fillId="0" fontId="6" numFmtId="0" xfId="0" applyAlignment="1" applyFont="1">
      <alignment horizontal="left" readingOrder="0" shrinkToFit="0" vertical="center" wrapText="1"/>
    </xf>
    <xf borderId="15" fillId="4" fontId="4" numFmtId="0" xfId="0" applyAlignment="1" applyBorder="1" applyFont="1">
      <alignment horizontal="left" readingOrder="0" shrinkToFit="0" vertical="center" wrapText="1"/>
    </xf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8" fillId="4" fontId="4" numFmtId="0" xfId="0" applyAlignment="1" applyBorder="1" applyFont="1">
      <alignment horizontal="left" readingOrder="0" shrinkToFit="0" vertical="center" wrapText="1"/>
    </xf>
    <xf borderId="19" fillId="0" fontId="6" numFmtId="0" xfId="0" applyAlignment="1" applyBorder="1" applyFont="1">
      <alignment readingOrder="0"/>
    </xf>
    <xf borderId="20" fillId="4" fontId="4" numFmtId="0" xfId="0" applyAlignment="1" applyBorder="1" applyFont="1">
      <alignment horizontal="left" readingOrder="0" shrinkToFit="0" vertical="center" wrapText="1"/>
    </xf>
    <xf borderId="21" fillId="0" fontId="6" numFmtId="0" xfId="0" applyAlignment="1" applyBorder="1" applyFont="1">
      <alignment readingOrder="0"/>
    </xf>
    <xf borderId="22" fillId="0" fontId="6" numFmtId="0" xfId="0" applyAlignment="1" applyBorder="1" applyFont="1">
      <alignment readingOrder="0"/>
    </xf>
    <xf borderId="0" fillId="0" fontId="6" numFmtId="10" xfId="0" applyAlignment="1" applyFont="1" applyNumberFormat="1">
      <alignment readingOrder="0"/>
    </xf>
    <xf borderId="0" fillId="0" fontId="30" numFmtId="0" xfId="0" applyAlignment="1" applyFont="1">
      <alignment readingOrder="0"/>
    </xf>
    <xf borderId="0" fillId="0" fontId="6" numFmtId="4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AF1"/>
          <bgColor rgb="FFFFFAF1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Screener-style">
      <tableStyleElement dxfId="3" type="firstRowStripe"/>
      <tableStyleElement dxfId="4" type="secondRowStripe"/>
    </tableStyle>
    <tableStyle count="3" pivot="0" name="Screener-style 2">
      <tableStyleElement dxfId="5" type="headerRow"/>
      <tableStyleElement dxfId="3" type="firstRowStripe"/>
      <tableStyleElement dxfId="6" type="secondRowStripe"/>
    </tableStyle>
    <tableStyle count="2" pivot="0" name="Screener-style 3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895350</xdr:colOff>
      <xdr:row>6</xdr:row>
      <xdr:rowOff>219075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7</xdr:row>
      <xdr:rowOff>219075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9</xdr:row>
      <xdr:rowOff>9525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10</xdr:row>
      <xdr:rowOff>19050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11</xdr:row>
      <xdr:rowOff>28575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12</xdr:row>
      <xdr:rowOff>28575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13</xdr:row>
      <xdr:rowOff>28575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14</xdr:row>
      <xdr:rowOff>28575</xdr:rowOff>
    </xdr:from>
    <xdr:ext cx="190500" cy="219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R257:R258" displayName="Table_1" name="Table_1" id="1">
  <tableColumns count="1">
    <tableColumn name="Column1" id="1"/>
  </tableColumns>
  <tableStyleInfo name="Screener-style" showColumnStripes="0" showFirstColumn="1" showLastColumn="1" showRowStripes="1"/>
</table>
</file>

<file path=xl/tables/table2.xml><?xml version="1.0" encoding="utf-8"?>
<table xmlns="http://schemas.openxmlformats.org/spreadsheetml/2006/main" ref="R269:R270" displayName="Table_2" name="Table_2" id="2">
  <tableColumns count="1">
    <tableColumn name="EVEN3" id="1"/>
  </tableColumns>
  <tableStyleInfo name="Screen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R271:R272" displayName="Table_3" name="Table_3" id="3">
  <tableColumns count="1">
    <tableColumn name="Column1" id="1"/>
  </tableColumns>
  <tableStyleInfo name="Screener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tDkx1aK3yU" TargetMode="External"/><Relationship Id="rId2" Type="http://schemas.openxmlformats.org/officeDocument/2006/relationships/hyperlink" Target="https://www.youtube.com/watch?v=ktDkx1aK3yU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tatusinvest.com.br/acoes/petr3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8.75"/>
    <col customWidth="1" min="2" max="2" width="23.63"/>
    <col customWidth="1" min="3" max="3" width="17.75"/>
    <col customWidth="1" min="4" max="4" width="18.5"/>
    <col customWidth="1" min="5" max="5" width="24.13"/>
    <col customWidth="1" min="6" max="6" width="9.0"/>
    <col customWidth="1" min="7" max="7" width="11.13"/>
    <col customWidth="1" min="8" max="8" width="7.5"/>
    <col customWidth="1" min="9" max="9" width="9.63"/>
    <col customWidth="1" min="10" max="10" width="12.25"/>
    <col customWidth="1" min="11" max="11" width="8.25"/>
    <col customWidth="1" min="12" max="12" width="11.25"/>
    <col customWidth="1" min="13" max="14" width="10.5"/>
    <col customWidth="1" min="15" max="15" width="12.25"/>
    <col customWidth="1" min="16" max="16" width="12.13"/>
    <col customWidth="1" min="17" max="17" width="12.0"/>
    <col customWidth="1" min="18" max="26" width="10.5"/>
    <col customWidth="1" min="27" max="27" width="13.5"/>
    <col customWidth="1" min="28" max="29" width="10.5"/>
    <col customWidth="1" min="30" max="30" width="8.75"/>
    <col customWidth="1" min="31" max="31" width="15.88"/>
    <col customWidth="1" min="32" max="32" width="12.25"/>
    <col customWidth="1" min="33" max="33" width="10.5"/>
    <col customWidth="1" min="34" max="34" width="14.38"/>
    <col customWidth="1" min="35" max="35" width="12.63"/>
    <col customWidth="1" min="36" max="36" width="18.38"/>
    <col customWidth="1" min="37" max="43" width="16.75"/>
  </cols>
  <sheetData>
    <row r="1" ht="18.75" customHeight="1">
      <c r="A1" s="1" t="s">
        <v>0</v>
      </c>
      <c r="B1" s="2"/>
      <c r="C1" s="2" t="s">
        <v>1</v>
      </c>
      <c r="D1" s="3">
        <f>TODAY()</f>
        <v>46073</v>
      </c>
      <c r="E1" s="4" t="s">
        <v>2</v>
      </c>
      <c r="AB1" s="5"/>
      <c r="AC1" s="5"/>
      <c r="AD1" s="5"/>
      <c r="AE1" s="5"/>
      <c r="AF1" s="5"/>
      <c r="AG1" s="5"/>
      <c r="AH1" s="5"/>
      <c r="AI1" s="5"/>
      <c r="AJ1" s="6"/>
      <c r="AK1" s="7"/>
      <c r="AL1" s="7"/>
      <c r="AM1" s="7"/>
      <c r="AN1" s="7"/>
      <c r="AO1" s="7"/>
      <c r="AP1" s="3">
        <f>$D$1-365</f>
        <v>45708</v>
      </c>
      <c r="AQ1" s="3">
        <f>$D$1-30</f>
        <v>46043</v>
      </c>
    </row>
    <row r="2" ht="1.5" customHeight="1">
      <c r="A2" s="8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11"/>
      <c r="AM2" s="11"/>
      <c r="AN2" s="11"/>
      <c r="AO2" s="11"/>
      <c r="AP2" s="11"/>
      <c r="AQ2" s="11"/>
    </row>
    <row r="3" ht="1.5" customHeight="1">
      <c r="A3" s="12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5"/>
      <c r="N3" s="14"/>
      <c r="O3" s="14"/>
      <c r="P3" s="16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7"/>
      <c r="AK3" s="18"/>
      <c r="AL3" s="18"/>
      <c r="AM3" s="18"/>
      <c r="AN3" s="18"/>
      <c r="AO3" s="18"/>
      <c r="AP3" s="18"/>
      <c r="AQ3" s="18"/>
    </row>
    <row r="4" ht="42.75" hidden="1" customHeight="1">
      <c r="A4" s="19"/>
      <c r="B4" s="20"/>
      <c r="C4" s="20" t="s">
        <v>0</v>
      </c>
      <c r="D4" s="21" t="s">
        <v>2</v>
      </c>
      <c r="G4" s="22"/>
      <c r="H4" s="22"/>
      <c r="I4" s="22"/>
      <c r="M4" s="23"/>
      <c r="N4" s="24"/>
      <c r="O4" s="23"/>
      <c r="P4" s="25"/>
      <c r="Q4" s="25"/>
      <c r="R4" s="25"/>
      <c r="S4" s="25"/>
      <c r="T4" s="23"/>
      <c r="U4" s="25"/>
      <c r="V4" s="25"/>
      <c r="W4" s="23"/>
      <c r="X4" s="14"/>
      <c r="Y4" s="14"/>
      <c r="Z4" s="14"/>
      <c r="AA4" s="23"/>
      <c r="AB4" s="23"/>
      <c r="AC4" s="25"/>
      <c r="AD4" s="25"/>
      <c r="AE4" s="25"/>
      <c r="AF4" s="25"/>
      <c r="AG4" s="25"/>
      <c r="AH4" s="23"/>
      <c r="AI4" s="23"/>
      <c r="AJ4" s="17"/>
      <c r="AK4" s="18"/>
      <c r="AL4" s="18"/>
      <c r="AM4" s="18"/>
      <c r="AN4" s="18"/>
      <c r="AO4" s="18"/>
      <c r="AP4" s="18"/>
      <c r="AQ4" s="18"/>
    </row>
    <row r="5" ht="40.5" customHeight="1">
      <c r="A5" s="26">
        <v>5.0</v>
      </c>
      <c r="B5" s="27"/>
      <c r="C5" s="27"/>
      <c r="E5" s="27"/>
      <c r="F5" s="28" t="s">
        <v>3</v>
      </c>
      <c r="M5" s="29" t="s">
        <v>4</v>
      </c>
      <c r="N5" s="29" t="s">
        <v>5</v>
      </c>
      <c r="O5" s="29" t="s">
        <v>6</v>
      </c>
      <c r="P5" s="29"/>
      <c r="Q5" s="29"/>
      <c r="R5" s="29"/>
      <c r="S5" s="29"/>
      <c r="T5" s="29" t="s">
        <v>7</v>
      </c>
      <c r="U5" s="29"/>
      <c r="V5" s="30"/>
      <c r="W5" s="30" t="s">
        <v>8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2"/>
      <c r="AL5" s="32"/>
      <c r="AM5" s="32"/>
      <c r="AN5" s="32"/>
      <c r="AO5" s="32"/>
      <c r="AP5" s="32"/>
      <c r="AQ5" s="32"/>
    </row>
    <row r="6" ht="39.0" customHeight="1">
      <c r="A6" s="33" t="s">
        <v>9</v>
      </c>
      <c r="B6" s="34" t="s">
        <v>10</v>
      </c>
      <c r="C6" s="34" t="s">
        <v>11</v>
      </c>
      <c r="D6" s="34" t="s">
        <v>12</v>
      </c>
      <c r="E6" s="34" t="s">
        <v>13</v>
      </c>
      <c r="F6" s="35" t="s">
        <v>14</v>
      </c>
      <c r="G6" s="36"/>
      <c r="H6" s="37"/>
      <c r="I6" s="38" t="s">
        <v>15</v>
      </c>
      <c r="J6" s="36"/>
      <c r="K6" s="37"/>
      <c r="L6" s="39" t="s">
        <v>16</v>
      </c>
      <c r="M6" s="39" t="s">
        <v>17</v>
      </c>
      <c r="N6" s="40" t="s">
        <v>18</v>
      </c>
      <c r="O6" s="34" t="s">
        <v>19</v>
      </c>
      <c r="P6" s="39" t="s">
        <v>20</v>
      </c>
      <c r="Q6" s="39" t="s">
        <v>21</v>
      </c>
      <c r="R6" s="39" t="s">
        <v>22</v>
      </c>
      <c r="S6" s="39" t="s">
        <v>23</v>
      </c>
      <c r="T6" s="39" t="s">
        <v>24</v>
      </c>
      <c r="U6" s="41" t="s">
        <v>25</v>
      </c>
      <c r="V6" s="39" t="s">
        <v>26</v>
      </c>
      <c r="W6" s="39" t="s">
        <v>27</v>
      </c>
      <c r="X6" s="39" t="s">
        <v>28</v>
      </c>
      <c r="Y6" s="39" t="s">
        <v>29</v>
      </c>
      <c r="Z6" s="39" t="s">
        <v>30</v>
      </c>
      <c r="AA6" s="39" t="s">
        <v>31</v>
      </c>
      <c r="AB6" s="39" t="s">
        <v>32</v>
      </c>
      <c r="AC6" s="39" t="s">
        <v>33</v>
      </c>
      <c r="AD6" s="41" t="s">
        <v>34</v>
      </c>
      <c r="AE6" s="39" t="s">
        <v>35</v>
      </c>
      <c r="AF6" s="39" t="s">
        <v>36</v>
      </c>
      <c r="AG6" s="39" t="s">
        <v>37</v>
      </c>
      <c r="AH6" s="39" t="s">
        <v>38</v>
      </c>
      <c r="AI6" s="39" t="s">
        <v>39</v>
      </c>
      <c r="AJ6" s="42" t="s">
        <v>40</v>
      </c>
      <c r="AK6" s="43" t="s">
        <v>41</v>
      </c>
      <c r="AL6" s="43" t="s">
        <v>42</v>
      </c>
      <c r="AM6" s="43" t="s">
        <v>43</v>
      </c>
      <c r="AN6" s="43" t="s">
        <v>44</v>
      </c>
      <c r="AO6" s="43" t="s">
        <v>45</v>
      </c>
      <c r="AP6" s="43"/>
      <c r="AQ6" s="44"/>
    </row>
    <row r="7">
      <c r="A7" s="45" t="str">
        <f>'Dados StatusInvest'!A2:A621</f>
        <v>AESB3</v>
      </c>
      <c r="B7" s="46" t="str">
        <f>IFERROR(__xludf.DUMMYFUNCTION("IFERROR((GOOGLEFINANCE(A7,""name"")),"""")"),"")</f>
        <v/>
      </c>
      <c r="C7" s="46" t="str">
        <f>IFERROR((VLOOKUP(LEFT($A7,4),Setor!$A:$E,3,0)),"")</f>
        <v/>
      </c>
      <c r="D7" s="46" t="str">
        <f>IFERROR((VLOOKUP(LEFT($A7,4),Setor!$A:$E,4,0)),"")</f>
        <v/>
      </c>
      <c r="E7" s="46" t="str">
        <f>IFERROR((VLOOKUP(LEFT($A7,4),Setor!$A:$E,5,0)),"")</f>
        <v/>
      </c>
      <c r="F7" s="47" t="str">
        <f>IFERROR(__xludf.DUMMYFUNCTION("IFERROR((GOOGLEFINANCE(A7)),"""")"),"")</f>
        <v/>
      </c>
      <c r="G7" s="48" t="str">
        <f>IFERROR(__xludf.DUMMYFUNCTION("IFERROR((sparkline(GOOGLEFINANCE($A7,""price"",TODAY()-30,TODAY(),""DAILY""),{""charttype"",""line"";""linewidth"",1;""color"",""#5f88cc""})),"""")"),"")</f>
        <v/>
      </c>
      <c r="H7" s="49" t="str">
        <f>IFERROR(__xludf.DUMMYFUNCTION("IFERROR((((GOOGLEFINANCE(A7))-(INDEX(GoogleFinance(A7,""PRICE"",$AQ$1),2,2)))/(INDEX(GoogleFinance(A7,""PRICE"",$AQ$1),2,2))),"""")"),"")</f>
        <v/>
      </c>
      <c r="I7" s="47" t="str">
        <f>IFERROR(__xludf.DUMMYFUNCTION("IFERROR((GOOGLEFINANCE($A7,""high52"")),"""")"),"")</f>
        <v/>
      </c>
      <c r="J7" s="48" t="str">
        <f>IFERROR(__xludf.DUMMYFUNCTION("IFERROR((sparkline(GOOGLEFINANCE($A7,""price"",TODAY()-365,TODAY(),""DAILY""),{""charttype"",""line"";""linewidth"",1;""color"",""#5f88cc""})),"""")"),"")</f>
        <v/>
      </c>
      <c r="K7" s="50" t="str">
        <f>IFERROR(__xludf.DUMMYFUNCTION("IFERROR((((GOOGLEFINANCE(A7))-(INDEX(GoogleFinance(A7,""PRICE"",$AP$1),2,2)))/(INDEX(GoogleFinance(A7,""PRICE"",$AP$1),2,2))),"""")"),"")</f>
        <v/>
      </c>
      <c r="L7" s="51">
        <f t="shared" ref="L7:L621" si="1">IFERROR(((F7-I7)/I7),0)</f>
        <v>0</v>
      </c>
      <c r="M7" s="52">
        <f>IFERROR((VLOOKUP($A7,'Dados StatusInvest'!$A:$AZ,COLUMN(M7)-$A$5,0)*VLOOKUP($A7,'Dados StatusInvest'!$A:$AZ,2,0)/$F7/100),0)</f>
        <v>0</v>
      </c>
      <c r="N7" s="53">
        <f>IFERROR((VLOOKUP($A7,'Dados StatusInvest'!$A:$AZ,COLUMN(N7)-$A$5,0)/VLOOKUP($A7,'Dados StatusInvest'!$A:$AZ,2,0)*$F7),"")</f>
        <v>0</v>
      </c>
      <c r="O7" s="53">
        <f>IFERROR((VLOOKUP($A7,'Dados StatusInvest'!$A:$AZ,COLUMN(O7)-$A$5,0)/VLOOKUP($A7,'Dados StatusInvest'!$A:$AZ,2,0)*$F7),0)</f>
        <v>0</v>
      </c>
      <c r="P7" s="54">
        <f>IFERROR((VLOOKUP($A7,'Dados StatusInvest'!$A:$AZ,COLUMN(P7)-$A$5,0)/VLOOKUP($A7,'Dados StatusInvest'!$A:$AZ,2,0)*$F7),0)</f>
        <v>0</v>
      </c>
      <c r="Q7" s="55">
        <f>IFERROR((VLOOKUP($A7,'Dados StatusInvest'!$A:$AZ,COLUMN(Q7)-$A$5,0)/100),0)</f>
        <v>0.103</v>
      </c>
      <c r="R7" s="56">
        <f>VLOOKUP($A7,'Dados StatusInvest'!$A:$AZ,COLUMN(R7)-$A$5,0)</f>
        <v>2.32</v>
      </c>
      <c r="S7" s="56">
        <f>IFERROR((VLOOKUP($A7,'Dados StatusInvest'!$A:$AZ,COLUMN(S7)-$A$5,0)),0)</f>
        <v>1.89</v>
      </c>
      <c r="T7" s="53">
        <f>IFERROR((VLOOKUP($A7,'Dados StatusInvest'!$A:$AZ,COLUMN(T7)-$A$5,0)/VLOOKUP($A7,'Dados StatusInvest'!$A:$AZ,2,0)*$F7),0)</f>
        <v>0</v>
      </c>
      <c r="U7" s="53">
        <f>IFERROR((VLOOKUP($A7,'Dados StatusInvest'!$A:$AZ,COLUMN(U7)-$A$5,0)-VLOOKUP($A7,'Dados StatusInvest'!$A:$AZ,COLUMN(U7)-$A$5-1,0)+T7),0)</f>
        <v>50.08</v>
      </c>
      <c r="V7" s="56">
        <f>IFERROR((VLOOKUP($A7,'Dados StatusInvest'!$A:$AZ,COLUMN(V7)-$A$5,0)),0)</f>
        <v>0.95</v>
      </c>
      <c r="W7" s="56">
        <f>IFERROR((VLOOKUP($A7,'Dados StatusInvest'!$A:$AZ,COLUMN(W7)-$A$5,0)),0)</f>
        <v>-12.23</v>
      </c>
      <c r="X7" s="53">
        <f>IFERROR((VLOOKUP($A7,'Dados StatusInvest'!$A:$AZ,COLUMN(X7)-$A$5,0)/VLOOKUP($A7,'Dados StatusInvest'!$A:$AZ,2,0)*$F7),0)</f>
        <v>0</v>
      </c>
      <c r="Y7" s="54">
        <f>IFERROR((VLOOKUP($A7,'Dados StatusInvest'!$A:$AZ,COLUMN(Y7)-$A$5,0)/VLOOKUP($A7,'Dados StatusInvest'!$A:$AZ,2,0)*$F7),0)</f>
        <v>0</v>
      </c>
      <c r="Z7" s="56">
        <f>IFERROR((VLOOKUP($A7,'Dados StatusInvest'!$A:$AZ,COLUMN(Z7)-$A$5,0)),0)</f>
        <v>0.21</v>
      </c>
      <c r="AA7" s="57">
        <f>IFERROR((VLOOKUP($A7,'Dados StatusInvest'!$A:$AZ,COLUMN(AA7)-$A$5,0)),0)</f>
        <v>0.73</v>
      </c>
      <c r="AB7" s="57">
        <f>IFERROR((VLOOKUP($A7,'Dados StatusInvest'!$A:$AZ,COLUMN(AB7)-$A$5,0)),0)</f>
        <v>0.2</v>
      </c>
      <c r="AC7" s="58">
        <f>IFERROR((VLOOKUP($A7,'Dados StatusInvest'!$A:$AZ,COLUMN(AC7)-$A$5,0)),0)</f>
        <v>0</v>
      </c>
      <c r="AD7" s="57">
        <f>IFERROR((VLOOKUP($A7,'Dados StatusInvest'!$A:$AZ,COLUMN(AD7)-$A$5,0)),0)</f>
        <v>0</v>
      </c>
      <c r="AE7" s="56">
        <f>IFERROR((VLOOKUP($A7,'Dados StatusInvest'!$A:$AZ,COLUMN(AE7)-$A$5,0)),0)</f>
        <v>13684494</v>
      </c>
      <c r="AF7" s="56">
        <f>IFERROR((VLOOKUP($A7,'Dados StatusInvest'!$A:$AZ,COLUMN(AF7)-$A$5,0)),0)</f>
        <v>4.52</v>
      </c>
      <c r="AG7" s="56">
        <f>IFERROR((VLOOKUP($A7,'Dados StatusInvest'!$A:$AZ,COLUMN(AG7)-$A$5,0)),0)</f>
        <v>-0.55</v>
      </c>
      <c r="AH7" s="56">
        <f>IFERROR((VLOOKUP($A7,'Dados StatusInvest'!$A:$AZ,COLUMN(AH7)-$A$5,0)),0)</f>
        <v>-0.19</v>
      </c>
      <c r="AI7" s="57">
        <f>IFERROR((VLOOKUP($A7,'Dados StatusInvest'!$A:$AZ,COLUMN(AI7)-$A$5,0)),0)</f>
        <v>7663439293</v>
      </c>
      <c r="AJ7" s="59" t="str">
        <f>IFERROR((VLOOKUP($A7,'Dados StatusInvest'!$A:$AZ,COLUMN(AJ7)-$A$5,0)),0)</f>
        <v/>
      </c>
      <c r="AK7" s="60" t="str">
        <f>IFERROR(__xludf.DUMMYFUNCTION("IFERROR(GOOGLEFINANCE($A7,""high""),"""")"),"")</f>
        <v/>
      </c>
      <c r="AL7" s="60" t="str">
        <f>IFERROR(__xludf.DUMMYFUNCTION("IFERROR(GOOGLEFINANCE($A7,""low""),"""")"),"")</f>
        <v/>
      </c>
      <c r="AM7" s="61">
        <f t="shared" ref="AM7:AM621" si="2">IFERROR(((AK7-AL7)/AL7),0)</f>
        <v>0</v>
      </c>
      <c r="AN7" s="62">
        <f>IFERROR(__xludf.DUMMYFUNCTION("IFERROR((GOOGLEFINANCE($A7,""volume"")),0)"),0.0)</f>
        <v>0</v>
      </c>
      <c r="AO7" s="60" t="str">
        <f>IFERROR(__xludf.DUMMYFUNCTION("IFERROR((GOOGLEFINANCE($A7,""closeyest"")),"""")"),"")</f>
        <v/>
      </c>
      <c r="AP7" s="60" t="str">
        <f>IFERROR(__xludf.DUMMYFUNCTION("IFERROR((GOOGLEFINANCE($A7,""shares"")),"""")"),"")</f>
        <v/>
      </c>
      <c r="AQ7" s="18"/>
    </row>
    <row r="8">
      <c r="A8" s="45" t="str">
        <f>'Dados StatusInvest'!A3:A622</f>
        <v>AFLT3</v>
      </c>
      <c r="B8" s="46" t="str">
        <f>IFERROR(__xludf.DUMMYFUNCTION("IFERROR((GOOGLEFINANCE(A8,""name"")),"""")"),"Afluente Transmissao de Energia Eltrc SA")</f>
        <v>Afluente Transmissao de Energia Eltrc SA</v>
      </c>
      <c r="C8" s="46" t="str">
        <f>IFERROR((VLOOKUP(LEFT($A8,4),Setor!$A:$E,3,0)),"")</f>
        <v>Utilidade Pública</v>
      </c>
      <c r="D8" s="46" t="str">
        <f>IFERROR((VLOOKUP(LEFT($A8,4),Setor!$A:$E,4,0)),"")</f>
        <v>Energia Elétrica</v>
      </c>
      <c r="E8" s="46" t="str">
        <f>IFERROR((VLOOKUP(LEFT($A8,4),Setor!$A:$E,5,0)),"")</f>
        <v>Energia Elétrica</v>
      </c>
      <c r="F8" s="47">
        <f>IFERROR(__xludf.DUMMYFUNCTION("IFERROR((GOOGLEFINANCE(A8)),"""")"),7.39)</f>
        <v>7.39</v>
      </c>
      <c r="G8" s="48" t="str">
        <f>IFERROR(__xludf.DUMMYFUNCTION("IFERROR((sparkline(GOOGLEFINANCE($A8,""price"",TODAY()-30,TODAY(),""DAILY""),{""charttype"",""line"";""linewidth"",1;""color"",""#5f88cc""})),"""")"),"")</f>
        <v/>
      </c>
      <c r="H8" s="49">
        <f>IFERROR(__xludf.DUMMYFUNCTION("IFERROR((((GOOGLEFINANCE(A8))-(INDEX(GoogleFinance(A8,""PRICE"",$AQ$1),2,2)))/(INDEX(GoogleFinance(A8,""PRICE"",$AQ$1),2,2))),"""")"),0.005442176870748304)</f>
        <v>0.005442176871</v>
      </c>
      <c r="I8" s="47">
        <f>IFERROR(__xludf.DUMMYFUNCTION("IFERROR((GOOGLEFINANCE($A8,""high52"")),"""")"),7.84)</f>
        <v>7.84</v>
      </c>
      <c r="J8" s="48" t="str">
        <f>IFERROR(__xludf.DUMMYFUNCTION("IFERROR((sparkline(GOOGLEFINANCE($A8,""price"",TODAY()-365,TODAY(),""DAILY""),{""charttype"",""line"";""linewidth"",1;""color"",""#5f88cc""})),"""")"),"")</f>
        <v/>
      </c>
      <c r="K8" s="50">
        <f>IFERROR(__xludf.DUMMYFUNCTION("IFERROR((((GOOGLEFINANCE(A8))-(INDEX(GoogleFinance(A8,""PRICE"",$AP$1),2,2)))/(INDEX(GoogleFinance(A8,""PRICE"",$AP$1),2,2))),"""")"),0.042313117066290526)</f>
        <v>0.04231311707</v>
      </c>
      <c r="L8" s="51">
        <f t="shared" si="1"/>
        <v>-0.05739795918</v>
      </c>
      <c r="M8" s="52">
        <f>IFERROR((VLOOKUP($A8,'Dados StatusInvest'!$A:$AZ,COLUMN(M8)-$A$5,0)*VLOOKUP($A8,'Dados StatusInvest'!$A:$AZ,2,0)/$F8/100),0)</f>
        <v>0.6147</v>
      </c>
      <c r="N8" s="53">
        <f>IFERROR((VLOOKUP($A8,'Dados StatusInvest'!$A:$AZ,COLUMN(N8)-$A$5,0)/VLOOKUP($A8,'Dados StatusInvest'!$A:$AZ,2,0)*$F8),"")</f>
        <v>42.8</v>
      </c>
      <c r="O8" s="53">
        <f>IFERROR((VLOOKUP($A8,'Dados StatusInvest'!$A:$AZ,COLUMN(O8)-$A$5,0)/VLOOKUP($A8,'Dados StatusInvest'!$A:$AZ,2,0)*$F8),0)</f>
        <v>9.31</v>
      </c>
      <c r="P8" s="54">
        <f>IFERROR((VLOOKUP($A8,'Dados StatusInvest'!$A:$AZ,COLUMN(P8)-$A$5,0)/VLOOKUP($A8,'Dados StatusInvest'!$A:$AZ,2,0)*$F8),0)</f>
        <v>9.1</v>
      </c>
      <c r="Q8" s="55">
        <f>IFERROR((VLOOKUP($A8,'Dados StatusInvest'!$A:$AZ,COLUMN(Q8)-$A$5,0)/100),0)</f>
        <v>-0.0021</v>
      </c>
      <c r="R8" s="56">
        <f>VLOOKUP($A8,'Dados StatusInvest'!$A:$AZ,COLUMN(R8)-$A$5,0)</f>
        <v>-0.04</v>
      </c>
      <c r="S8" s="56">
        <f>IFERROR((VLOOKUP($A8,'Dados StatusInvest'!$A:$AZ,COLUMN(S8)-$A$5,0)),0)</f>
        <v>5.72</v>
      </c>
      <c r="T8" s="53">
        <f>IFERROR((VLOOKUP($A8,'Dados StatusInvest'!$A:$AZ,COLUMN(T8)-$A$5,0)/VLOOKUP($A8,'Dados StatusInvest'!$A:$AZ,2,0)*$F8),0)</f>
        <v>5.92</v>
      </c>
      <c r="U8" s="53">
        <f>IFERROR((VLOOKUP($A8,'Dados StatusInvest'!$A:$AZ,COLUMN(U8)-$A$5,0)-VLOOKUP($A8,'Dados StatusInvest'!$A:$AZ,COLUMN(U8)-$A$5-1,0)+T8),0)</f>
        <v>-1.82</v>
      </c>
      <c r="V8" s="56">
        <f>IFERROR((VLOOKUP($A8,'Dados StatusInvest'!$A:$AZ,COLUMN(V8)-$A$5,0)),0)</f>
        <v>2.9</v>
      </c>
      <c r="W8" s="56">
        <f>IFERROR((VLOOKUP($A8,'Dados StatusInvest'!$A:$AZ,COLUMN(W8)-$A$5,0)),0)</f>
        <v>13.65</v>
      </c>
      <c r="X8" s="53">
        <f>IFERROR((VLOOKUP($A8,'Dados StatusInvest'!$A:$AZ,COLUMN(X8)-$A$5,0)/VLOOKUP($A8,'Dados StatusInvest'!$A:$AZ,2,0)*$F8),0)</f>
        <v>9.25</v>
      </c>
      <c r="Y8" s="54">
        <f>IFERROR((VLOOKUP($A8,'Dados StatusInvest'!$A:$AZ,COLUMN(Y8)-$A$5,0)/VLOOKUP($A8,'Dados StatusInvest'!$A:$AZ,2,0)*$F8),0)</f>
        <v>13.92</v>
      </c>
      <c r="Z8" s="56">
        <f>IFERROR((VLOOKUP($A8,'Dados StatusInvest'!$A:$AZ,COLUMN(Z8)-$A$5,0)),0)</f>
        <v>0.68</v>
      </c>
      <c r="AA8" s="57">
        <f>IFERROR((VLOOKUP($A8,'Dados StatusInvest'!$A:$AZ,COLUMN(AA8)-$A$5,0)),0)</f>
        <v>0.32</v>
      </c>
      <c r="AB8" s="57">
        <f>IFERROR((VLOOKUP($A8,'Dados StatusInvest'!$A:$AZ,COLUMN(AB8)-$A$5,0)),0)</f>
        <v>0.22</v>
      </c>
      <c r="AC8" s="58">
        <f>IFERROR((VLOOKUP($A8,'Dados StatusInvest'!$A:$AZ,COLUMN(AC8)-$A$5,0)),0)</f>
        <v>17.36</v>
      </c>
      <c r="AD8" s="57">
        <f>IFERROR((VLOOKUP($A8,'Dados StatusInvest'!$A:$AZ,COLUMN(AD8)-$A$5,0)),0)</f>
        <v>6.66</v>
      </c>
      <c r="AE8" s="56">
        <f>IFERROR((VLOOKUP($A8,'Dados StatusInvest'!$A:$AZ,COLUMN(AE8)-$A$5,0)),0)</f>
        <v>2146.31</v>
      </c>
      <c r="AF8" s="56">
        <f>IFERROR((VLOOKUP($A8,'Dados StatusInvest'!$A:$AZ,COLUMN(AF8)-$A$5,0)),0)</f>
        <v>4.05</v>
      </c>
      <c r="AG8" s="56">
        <f>IFERROR((VLOOKUP($A8,'Dados StatusInvest'!$A:$AZ,COLUMN(AG8)-$A$5,0)),0)</f>
        <v>0.55</v>
      </c>
      <c r="AH8" s="56">
        <f>IFERROR((VLOOKUP($A8,'Dados StatusInvest'!$A:$AZ,COLUMN(AH8)-$A$5,0)),0)</f>
        <v>0.25</v>
      </c>
      <c r="AI8" s="57">
        <f>IFERROR((VLOOKUP($A8,'Dados StatusInvest'!$A:$AZ,COLUMN(AI8)-$A$5,0)),0)</f>
        <v>466195933</v>
      </c>
      <c r="AJ8" s="59" t="str">
        <f>IFERROR((VLOOKUP($A8,'Dados StatusInvest'!$A:$AZ,COLUMN(AJ8)-$A$5,0)),0)</f>
        <v/>
      </c>
      <c r="AK8" s="60" t="str">
        <f>IFERROR(__xludf.DUMMYFUNCTION("IFERROR(GOOGLEFINANCE($A8,""high""),"""")"),"")</f>
        <v/>
      </c>
      <c r="AL8" s="60" t="str">
        <f>IFERROR(__xludf.DUMMYFUNCTION("IFERROR(GOOGLEFINANCE($A8,""low""),"""")"),"")</f>
        <v/>
      </c>
      <c r="AM8" s="61">
        <f t="shared" si="2"/>
        <v>0</v>
      </c>
      <c r="AN8" s="62">
        <f>IFERROR(__xludf.DUMMYFUNCTION("IFERROR((GOOGLEFINANCE($A8,""volume"")),0)"),0.0)</f>
        <v>0</v>
      </c>
      <c r="AO8" s="60">
        <f>IFERROR(__xludf.DUMMYFUNCTION("IFERROR((GOOGLEFINANCE($A8,""closeyest"")),"""")"),7.39)</f>
        <v>7.39</v>
      </c>
      <c r="AP8" s="60">
        <f>IFERROR(__xludf.DUMMYFUNCTION("IFERROR((GOOGLEFINANCE($A8,""shares"")),"""")"),6.30847E7)</f>
        <v>63084700</v>
      </c>
      <c r="AQ8" s="18"/>
    </row>
    <row r="9">
      <c r="A9" s="45" t="str">
        <f>'Dados StatusInvest'!A4:A623</f>
        <v>AGRO3</v>
      </c>
      <c r="B9" s="46" t="str">
        <f>IFERROR(__xludf.DUMMYFUNCTION("IFERROR((GOOGLEFINANCE(A9,""name"")),"""")"),"BrasilAgro - Companhia Brslr d Prprd Agr")</f>
        <v>BrasilAgro - Companhia Brslr d Prprd Agr</v>
      </c>
      <c r="C9" s="46" t="str">
        <f>IFERROR((VLOOKUP(LEFT($A9,4),Setor!$A:$E,3,0)),"")</f>
        <v>Consumo não Cíclico</v>
      </c>
      <c r="D9" s="46" t="str">
        <f>IFERROR((VLOOKUP(LEFT($A9,4),Setor!$A:$E,4,0)),"")</f>
        <v>Agropecuária</v>
      </c>
      <c r="E9" s="46" t="str">
        <f>IFERROR((VLOOKUP(LEFT($A9,4),Setor!$A:$E,5,0)),"")</f>
        <v>Agricultura</v>
      </c>
      <c r="F9" s="47">
        <f>IFERROR(__xludf.DUMMYFUNCTION("IFERROR((GOOGLEFINANCE(A9)),"""")"),20.24)</f>
        <v>20.24</v>
      </c>
      <c r="G9" s="48" t="str">
        <f>IFERROR(__xludf.DUMMYFUNCTION("IFERROR((sparkline(GOOGLEFINANCE($A9,""price"",TODAY()-30,TODAY(),""DAILY""),{""charttype"",""line"";""linewidth"",1;""color"",""#5f88cc""})),"""")"),"")</f>
        <v/>
      </c>
      <c r="H9" s="49">
        <f>IFERROR(__xludf.DUMMYFUNCTION("IFERROR((((GOOGLEFINANCE(A9))-(INDEX(GoogleFinance(A9,""PRICE"",$AQ$1),2,2)))/(INDEX(GoogleFinance(A9,""PRICE"",$AQ$1),2,2))),"""")"),-0.0434782608695653)</f>
        <v>-0.04347826087</v>
      </c>
      <c r="I9" s="47">
        <f>IFERROR(__xludf.DUMMYFUNCTION("IFERROR((GOOGLEFINANCE($A9,""high52"")),"""")"),22.21)</f>
        <v>22.21</v>
      </c>
      <c r="J9" s="48" t="str">
        <f>IFERROR(__xludf.DUMMYFUNCTION("IFERROR((sparkline(GOOGLEFINANCE($A9,""price"",TODAY()-365,TODAY(),""DAILY""),{""charttype"",""line"";""linewidth"",1;""color"",""#5f88cc""})),"""")"),"")</f>
        <v/>
      </c>
      <c r="K9" s="50">
        <f>IFERROR(__xludf.DUMMYFUNCTION("IFERROR((((GOOGLEFINANCE(A9))-(INDEX(GoogleFinance(A9,""PRICE"",$AP$1),2,2)))/(INDEX(GoogleFinance(A9,""PRICE"",$AP$1),2,2))),"""")"),-0.043026004728132394)</f>
        <v>-0.04302600473</v>
      </c>
      <c r="L9" s="51">
        <f t="shared" si="1"/>
        <v>-0.08869878433</v>
      </c>
      <c r="M9" s="52">
        <f>IFERROR((VLOOKUP($A9,'Dados StatusInvest'!$A:$AZ,COLUMN(M9)-$A$5,0)*VLOOKUP($A9,'Dados StatusInvest'!$A:$AZ,2,0)/$F9/100),0)</f>
        <v>0.01961936759</v>
      </c>
      <c r="N9" s="53">
        <f>IFERROR((VLOOKUP($A9,'Dados StatusInvest'!$A:$AZ,COLUMN(N9)-$A$5,0)/VLOOKUP($A9,'Dados StatusInvest'!$A:$AZ,2,0)*$F9),"")</f>
        <v>-0.149851925</v>
      </c>
      <c r="O9" s="53">
        <f>IFERROR((VLOOKUP($A9,'Dados StatusInvest'!$A:$AZ,COLUMN(O9)-$A$5,0)/VLOOKUP($A9,'Dados StatusInvest'!$A:$AZ,2,0)*$F9),0)</f>
        <v>103.9372952</v>
      </c>
      <c r="P9" s="54">
        <f>IFERROR((VLOOKUP($A9,'Dados StatusInvest'!$A:$AZ,COLUMN(P9)-$A$5,0)/VLOOKUP($A9,'Dados StatusInvest'!$A:$AZ,2,0)*$F9),0)</f>
        <v>167.3046792</v>
      </c>
      <c r="Q9" s="55">
        <f>IFERROR((VLOOKUP($A9,'Dados StatusInvest'!$A:$AZ,COLUMN(Q9)-$A$5,0)/100),0)</f>
        <v>0.6343</v>
      </c>
      <c r="R9" s="56">
        <f>VLOOKUP($A9,'Dados StatusInvest'!$A:$AZ,COLUMN(R9)-$A$5,0)</f>
        <v>0.61</v>
      </c>
      <c r="S9" s="56">
        <f>IFERROR((VLOOKUP($A9,'Dados StatusInvest'!$A:$AZ,COLUMN(S9)-$A$5,0)),0)</f>
        <v>2.04</v>
      </c>
      <c r="T9" s="53">
        <f>IFERROR((VLOOKUP($A9,'Dados StatusInvest'!$A:$AZ,COLUMN(T9)-$A$5,0)/VLOOKUP($A9,'Dados StatusInvest'!$A:$AZ,2,0)*$F9),0)</f>
        <v>5.114945706</v>
      </c>
      <c r="U9" s="53">
        <f>IFERROR((VLOOKUP($A9,'Dados StatusInvest'!$A:$AZ,COLUMN(U9)-$A$5,0)-VLOOKUP($A9,'Dados StatusInvest'!$A:$AZ,COLUMN(U9)-$A$5-1,0)+T9),0)</f>
        <v>-0.7850542942</v>
      </c>
      <c r="V9" s="56">
        <f>IFERROR((VLOOKUP($A9,'Dados StatusInvest'!$A:$AZ,COLUMN(V9)-$A$5,0)),0)</f>
        <v>1.61</v>
      </c>
      <c r="W9" s="56">
        <f>IFERROR((VLOOKUP($A9,'Dados StatusInvest'!$A:$AZ,COLUMN(W9)-$A$5,0)),0)</f>
        <v>-0.08</v>
      </c>
      <c r="X9" s="53">
        <f>IFERROR((VLOOKUP($A9,'Dados StatusInvest'!$A:$AZ,COLUMN(X9)-$A$5,0)/VLOOKUP($A9,'Dados StatusInvest'!$A:$AZ,2,0)*$F9),0)</f>
        <v>-0.03996051333</v>
      </c>
      <c r="Y9" s="54">
        <f>IFERROR((VLOOKUP($A9,'Dados StatusInvest'!$A:$AZ,COLUMN(Y9)-$A$5,0)/VLOOKUP($A9,'Dados StatusInvest'!$A:$AZ,2,0)*$F9),0)</f>
        <v>-1.028983218</v>
      </c>
      <c r="Z9" s="56">
        <f>IFERROR((VLOOKUP($A9,'Dados StatusInvest'!$A:$AZ,COLUMN(Z9)-$A$5,0)),0)</f>
        <v>0.56</v>
      </c>
      <c r="AA9" s="57">
        <f>IFERROR((VLOOKUP($A9,'Dados StatusInvest'!$A:$AZ,COLUMN(AA9)-$A$5,0)),0)</f>
        <v>0.44</v>
      </c>
      <c r="AB9" s="57">
        <f>IFERROR((VLOOKUP($A9,'Dados StatusInvest'!$A:$AZ,COLUMN(AB9)-$A$5,0)),0)</f>
        <v>0.27</v>
      </c>
      <c r="AC9" s="58">
        <f>IFERROR((VLOOKUP($A9,'Dados StatusInvest'!$A:$AZ,COLUMN(AC9)-$A$5,0)),0)</f>
        <v>10.7</v>
      </c>
      <c r="AD9" s="57">
        <f>IFERROR((VLOOKUP($A9,'Dados StatusInvest'!$A:$AZ,COLUMN(AD9)-$A$5,0)),0)</f>
        <v>0</v>
      </c>
      <c r="AE9" s="56">
        <f>IFERROR((VLOOKUP($A9,'Dados StatusInvest'!$A:$AZ,COLUMN(AE9)-$A$5,0)),0)</f>
        <v>4102180</v>
      </c>
      <c r="AF9" s="56">
        <f>IFERROR((VLOOKUP($A9,'Dados StatusInvest'!$A:$AZ,COLUMN(AF9)-$A$5,0)),0)</f>
        <v>20.24</v>
      </c>
      <c r="AG9" s="56">
        <f>IFERROR((VLOOKUP($A9,'Dados StatusInvest'!$A:$AZ,COLUMN(AG9)-$A$5,0)),0)</f>
        <v>-0.02</v>
      </c>
      <c r="AH9" s="56">
        <f>IFERROR((VLOOKUP($A9,'Dados StatusInvest'!$A:$AZ,COLUMN(AH9)-$A$5,0)),0)</f>
        <v>13.12</v>
      </c>
      <c r="AI9" s="57">
        <f>IFERROR((VLOOKUP($A9,'Dados StatusInvest'!$A:$AZ,COLUMN(AI9)-$A$5,0)),0)</f>
        <v>2080366575</v>
      </c>
      <c r="AJ9" s="59" t="str">
        <f>IFERROR((VLOOKUP($A9,'Dados StatusInvest'!$A:$AZ,COLUMN(AJ9)-$A$5,0)),0)</f>
        <v/>
      </c>
      <c r="AK9" s="60">
        <f>IFERROR(__xludf.DUMMYFUNCTION("IFERROR(GOOGLEFINANCE($A9,""high""),"""")"),20.26)</f>
        <v>20.26</v>
      </c>
      <c r="AL9" s="60">
        <f>IFERROR(__xludf.DUMMYFUNCTION("IFERROR(GOOGLEFINANCE($A9,""low""),"""")"),20.12)</f>
        <v>20.12</v>
      </c>
      <c r="AM9" s="61">
        <f t="shared" si="2"/>
        <v>0.006958250497</v>
      </c>
      <c r="AN9" s="62">
        <f>IFERROR(__xludf.DUMMYFUNCTION("IFERROR((GOOGLEFINANCE($A9,""volume"")),0)"),8400.0)</f>
        <v>8400</v>
      </c>
      <c r="AO9" s="60">
        <f>IFERROR(__xludf.DUMMYFUNCTION("IFERROR((GOOGLEFINANCE($A9,""closeyest"")),"""")"),20.26)</f>
        <v>20.26</v>
      </c>
      <c r="AP9" s="60">
        <f>IFERROR(__xludf.DUMMYFUNCTION("IFERROR((GOOGLEFINANCE($A9,""shares"")),"""")"),1.02683444E8)</f>
        <v>102683444</v>
      </c>
      <c r="AQ9" s="18"/>
    </row>
    <row r="10">
      <c r="A10" s="45" t="str">
        <f>'Dados StatusInvest'!A5:A624</f>
        <v>AGXY3</v>
      </c>
      <c r="B10" s="46" t="str">
        <f>IFERROR(__xludf.DUMMYFUNCTION("IFERROR((GOOGLEFINANCE(A10,""name"")),"""")"),"Agrogalaxy Participacoes SA em Recupera")</f>
        <v>Agrogalaxy Participacoes SA em Recupera</v>
      </c>
      <c r="C10" s="46" t="str">
        <f>IFERROR((VLOOKUP(LEFT($A10,4),Setor!$A:$E,3,0)),"")</f>
        <v/>
      </c>
      <c r="D10" s="46" t="str">
        <f>IFERROR((VLOOKUP(LEFT($A10,4),Setor!$A:$E,4,0)),"")</f>
        <v/>
      </c>
      <c r="E10" s="46" t="str">
        <f>IFERROR((VLOOKUP(LEFT($A10,4),Setor!$A:$E,5,0)),"")</f>
        <v/>
      </c>
      <c r="F10" s="47">
        <f>IFERROR(__xludf.DUMMYFUNCTION("IFERROR((GOOGLEFINANCE(A10)),"""")"),2.45)</f>
        <v>2.45</v>
      </c>
      <c r="G10" s="48" t="str">
        <f>IFERROR(__xludf.DUMMYFUNCTION("IFERROR((sparkline(GOOGLEFINANCE($A10,""price"",TODAY()-30,TODAY(),""DAILY""),{""charttype"",""line"";""linewidth"",1;""color"",""#5f88cc""})),"""")"),"")</f>
        <v/>
      </c>
      <c r="H10" s="49">
        <f>IFERROR(__xludf.DUMMYFUNCTION("IFERROR((((GOOGLEFINANCE(A10))-(INDEX(GoogleFinance(A10,""PRICE"",$AQ$1),2,2)))/(INDEX(GoogleFinance(A10,""PRICE"",$AQ$1),2,2))),"""")"),-0.38442211055276376)</f>
        <v>-0.3844221106</v>
      </c>
      <c r="I10" s="47">
        <f>IFERROR(__xludf.DUMMYFUNCTION("IFERROR((GOOGLEFINANCE($A10,""high52"")),"""")"),9.9)</f>
        <v>9.9</v>
      </c>
      <c r="J10" s="48" t="str">
        <f>IFERROR(__xludf.DUMMYFUNCTION("IFERROR((sparkline(GOOGLEFINANCE($A10,""price"",TODAY()-365,TODAY(),""DAILY""),{""charttype"",""line"";""linewidth"",1;""color"",""#5f88cc""})),"""")"),"")</f>
        <v/>
      </c>
      <c r="K10" s="50">
        <f>IFERROR(__xludf.DUMMYFUNCTION("IFERROR((((GOOGLEFINANCE(A10))-(INDEX(GoogleFinance(A10,""PRICE"",$AP$1),2,2)))/(INDEX(GoogleFinance(A10,""PRICE"",$AP$1),2,2))),"""")"),-0.7447916666666666)</f>
        <v>-0.7447916667</v>
      </c>
      <c r="L10" s="51">
        <f t="shared" si="1"/>
        <v>-0.7525252525</v>
      </c>
      <c r="M10" s="52">
        <f>IFERROR((VLOOKUP($A10,'Dados StatusInvest'!$A:$AZ,COLUMN(M10)-$A$5,0)*VLOOKUP($A10,'Dados StatusInvest'!$A:$AZ,2,0)/$F10/100),0)</f>
        <v>0.4071322449</v>
      </c>
      <c r="N10" s="53">
        <f>IFERROR((VLOOKUP($A10,'Dados StatusInvest'!$A:$AZ,COLUMN(N10)-$A$5,0)/VLOOKUP($A10,'Dados StatusInvest'!$A:$AZ,2,0)*$F10),"")</f>
        <v>68.38525896</v>
      </c>
      <c r="O10" s="53">
        <f>IFERROR((VLOOKUP($A10,'Dados StatusInvest'!$A:$AZ,COLUMN(O10)-$A$5,0)/VLOOKUP($A10,'Dados StatusInvest'!$A:$AZ,2,0)*$F10),0)</f>
        <v>0.05856573705</v>
      </c>
      <c r="P10" s="54">
        <f>IFERROR((VLOOKUP($A10,'Dados StatusInvest'!$A:$AZ,COLUMN(P10)-$A$5,0)/VLOOKUP($A10,'Dados StatusInvest'!$A:$AZ,2,0)*$F10),0)</f>
        <v>1.386055777</v>
      </c>
      <c r="Q10" s="55">
        <f>IFERROR((VLOOKUP($A10,'Dados StatusInvest'!$A:$AZ,COLUMN(Q10)-$A$5,0)/100),0)</f>
        <v>0.0136</v>
      </c>
      <c r="R10" s="56">
        <f>VLOOKUP($A10,'Dados StatusInvest'!$A:$AZ,COLUMN(R10)-$A$5,0)</f>
        <v>0</v>
      </c>
      <c r="S10" s="56">
        <f>IFERROR((VLOOKUP($A10,'Dados StatusInvest'!$A:$AZ,COLUMN(S10)-$A$5,0)),0)</f>
        <v>0.02</v>
      </c>
      <c r="T10" s="53">
        <f>IFERROR((VLOOKUP($A10,'Dados StatusInvest'!$A:$AZ,COLUMN(T10)-$A$5,0)/VLOOKUP($A10,'Dados StatusInvest'!$A:$AZ,2,0)*$F10),0)</f>
        <v>0.08784860558</v>
      </c>
      <c r="U10" s="53">
        <f>IFERROR((VLOOKUP($A10,'Dados StatusInvest'!$A:$AZ,COLUMN(U10)-$A$5,0)-VLOOKUP($A10,'Dados StatusInvest'!$A:$AZ,COLUMN(U10)-$A$5-1,0)+T10),0)</f>
        <v>-0.03215139442</v>
      </c>
      <c r="V10" s="56">
        <f>IFERROR((VLOOKUP($A10,'Dados StatusInvest'!$A:$AZ,COLUMN(V10)-$A$5,0)),0)</f>
        <v>2.19</v>
      </c>
      <c r="W10" s="56">
        <f>IFERROR((VLOOKUP($A10,'Dados StatusInvest'!$A:$AZ,COLUMN(W10)-$A$5,0)),0)</f>
        <v>-661.54</v>
      </c>
      <c r="X10" s="53">
        <f>IFERROR((VLOOKUP($A10,'Dados StatusInvest'!$A:$AZ,COLUMN(X10)-$A$5,0)/VLOOKUP($A10,'Dados StatusInvest'!$A:$AZ,2,0)*$F10),0)</f>
        <v>54.0561753</v>
      </c>
      <c r="Y10" s="54">
        <f>IFERROR((VLOOKUP($A10,'Dados StatusInvest'!$A:$AZ,COLUMN(Y10)-$A$5,0)/VLOOKUP($A10,'Dados StatusInvest'!$A:$AZ,2,0)*$F10),0)</f>
        <v>81.66015936</v>
      </c>
      <c r="Z10" s="56">
        <f>IFERROR((VLOOKUP($A10,'Dados StatusInvest'!$A:$AZ,COLUMN(Z10)-$A$5,0)),0)</f>
        <v>-0.08</v>
      </c>
      <c r="AA10" s="57">
        <f>IFERROR((VLOOKUP($A10,'Dados StatusInvest'!$A:$AZ,COLUMN(AA10)-$A$5,0)),0)</f>
        <v>1.08</v>
      </c>
      <c r="AB10" s="57">
        <f>IFERROR((VLOOKUP($A10,'Dados StatusInvest'!$A:$AZ,COLUMN(AB10)-$A$5,0)),0)</f>
        <v>0.79</v>
      </c>
      <c r="AC10" s="58">
        <f>IFERROR((VLOOKUP($A10,'Dados StatusInvest'!$A:$AZ,COLUMN(AC10)-$A$5,0)),0)</f>
        <v>24.29</v>
      </c>
      <c r="AD10" s="57">
        <f>IFERROR((VLOOKUP($A10,'Dados StatusInvest'!$A:$AZ,COLUMN(AD10)-$A$5,0)),0)</f>
        <v>123.15</v>
      </c>
      <c r="AE10" s="56">
        <f>IFERROR((VLOOKUP($A10,'Dados StatusInvest'!$A:$AZ,COLUMN(AE10)-$A$5,0)),0)</f>
        <v>118357.5</v>
      </c>
      <c r="AF10" s="56">
        <f>IFERROR((VLOOKUP($A10,'Dados StatusInvest'!$A:$AZ,COLUMN(AF10)-$A$5,0)),0)</f>
        <v>-10.93</v>
      </c>
      <c r="AG10" s="56">
        <f>IFERROR((VLOOKUP($A10,'Dados StatusInvest'!$A:$AZ,COLUMN(AG10)-$A$5,0)),0)</f>
        <v>72.3</v>
      </c>
      <c r="AH10" s="56">
        <f>IFERROR((VLOOKUP($A10,'Dados StatusInvest'!$A:$AZ,COLUMN(AH10)-$A$5,0)),0)</f>
        <v>0</v>
      </c>
      <c r="AI10" s="57">
        <f>IFERROR((VLOOKUP($A10,'Dados StatusInvest'!$A:$AZ,COLUMN(AI10)-$A$5,0)),0)</f>
        <v>42593623.21</v>
      </c>
      <c r="AJ10" s="59" t="str">
        <f>IFERROR((VLOOKUP($A10,'Dados StatusInvest'!$A:$AZ,COLUMN(AJ10)-$A$5,0)),0)</f>
        <v/>
      </c>
      <c r="AK10" s="60">
        <f>IFERROR(__xludf.DUMMYFUNCTION("IFERROR(GOOGLEFINANCE($A10,""high""),"""")"),2.51)</f>
        <v>2.51</v>
      </c>
      <c r="AL10" s="60">
        <f>IFERROR(__xludf.DUMMYFUNCTION("IFERROR(GOOGLEFINANCE($A10,""low""),"""")"),2.43)</f>
        <v>2.43</v>
      </c>
      <c r="AM10" s="61">
        <f t="shared" si="2"/>
        <v>0.0329218107</v>
      </c>
      <c r="AN10" s="62">
        <f>IFERROR(__xludf.DUMMYFUNCTION("IFERROR((GOOGLEFINANCE($A10,""volume"")),0)"),10300.0)</f>
        <v>10300</v>
      </c>
      <c r="AO10" s="60">
        <f>IFERROR(__xludf.DUMMYFUNCTION("IFERROR((GOOGLEFINANCE($A10,""closeyest"")),"""")"),2.51)</f>
        <v>2.51</v>
      </c>
      <c r="AP10" s="60">
        <f>IFERROR(__xludf.DUMMYFUNCTION("IFERROR((GOOGLEFINANCE($A10,""shares"")),"""")"),1.6969571E7)</f>
        <v>16969571</v>
      </c>
      <c r="AQ10" s="18"/>
    </row>
    <row r="11">
      <c r="A11" s="45" t="str">
        <f>'Dados StatusInvest'!A6:A625</f>
        <v>AHEB3</v>
      </c>
      <c r="B11" s="46" t="str">
        <f>IFERROR(__xludf.DUMMYFUNCTION("IFERROR((GOOGLEFINANCE(A11,""name"")),"""")"),"Sao Paulo Turismo SA")</f>
        <v>Sao Paulo Turismo SA</v>
      </c>
      <c r="C11" s="46" t="str">
        <f>IFERROR((VLOOKUP(LEFT($A11,4),Setor!$A:$E,3,0)),"")</f>
        <v>Consumo Cíclico</v>
      </c>
      <c r="D11" s="46" t="str">
        <f>IFERROR((VLOOKUP(LEFT($A11,4),Setor!$A:$E,4,0)),"")</f>
        <v>Viagens e Lazer</v>
      </c>
      <c r="E11" s="46" t="str">
        <f>IFERROR((VLOOKUP(LEFT($A11,4),Setor!$A:$E,5,0)),"")</f>
        <v>Produção de Eventos e Shows</v>
      </c>
      <c r="F11" s="47">
        <f>IFERROR(__xludf.DUMMYFUNCTION("IFERROR((GOOGLEFINANCE(A11)),"""")"),25.0)</f>
        <v>25</v>
      </c>
      <c r="G11" s="48" t="str">
        <f>IFERROR(__xludf.DUMMYFUNCTION("IFERROR((sparkline(GOOGLEFINANCE($A11,""price"",TODAY()-30,TODAY(),""DAILY""),{""charttype"",""line"";""linewidth"",1;""color"",""#5f88cc""})),"""")"),"")</f>
        <v/>
      </c>
      <c r="H11" s="49">
        <f>IFERROR(__xludf.DUMMYFUNCTION("IFERROR((((GOOGLEFINANCE(A11))-(INDEX(GoogleFinance(A11,""PRICE"",$AQ$1),2,2)))/(INDEX(GoogleFinance(A11,""PRICE"",$AQ$1),2,2))),"""")"),0.041666666666666664)</f>
        <v>0.04166666667</v>
      </c>
      <c r="I11" s="47">
        <f>IFERROR(__xludf.DUMMYFUNCTION("IFERROR((GOOGLEFINANCE($A11,""high52"")),"""")"),45.0)</f>
        <v>45</v>
      </c>
      <c r="J11" s="48" t="str">
        <f>IFERROR(__xludf.DUMMYFUNCTION("IFERROR((sparkline(GOOGLEFINANCE($A11,""price"",TODAY()-365,TODAY(),""DAILY""),{""charttype"",""line"";""linewidth"",1;""color"",""#5f88cc""})),"""")"),"")</f>
        <v/>
      </c>
      <c r="K11" s="50" t="str">
        <f>IFERROR(__xludf.DUMMYFUNCTION("IFERROR((((GOOGLEFINANCE(A11))-(INDEX(GoogleFinance(A11,""PRICE"",$AP$1),2,2)))/(INDEX(GoogleFinance(A11,""PRICE"",$AP$1),2,2))),"""")"),"")</f>
        <v/>
      </c>
      <c r="L11" s="51">
        <f t="shared" si="1"/>
        <v>-0.4444444444</v>
      </c>
      <c r="M11" s="52">
        <f>IFERROR((VLOOKUP($A11,'Dados StatusInvest'!$A:$AZ,COLUMN(M11)-$A$5,0)*VLOOKUP($A11,'Dados StatusInvest'!$A:$AZ,2,0)/$F11/100),0)</f>
        <v>0.1104</v>
      </c>
      <c r="N11" s="53">
        <f>IFERROR((VLOOKUP($A11,'Dados StatusInvest'!$A:$AZ,COLUMN(N11)-$A$5,0)/VLOOKUP($A11,'Dados StatusInvest'!$A:$AZ,2,0)*$F11),"")</f>
        <v>12.25</v>
      </c>
      <c r="O11" s="53">
        <f>IFERROR((VLOOKUP($A11,'Dados StatusInvest'!$A:$AZ,COLUMN(O11)-$A$5,0)/VLOOKUP($A11,'Dados StatusInvest'!$A:$AZ,2,0)*$F11),0)</f>
        <v>2.87</v>
      </c>
      <c r="P11" s="54">
        <f>IFERROR((VLOOKUP($A11,'Dados StatusInvest'!$A:$AZ,COLUMN(P11)-$A$5,0)/VLOOKUP($A11,'Dados StatusInvest'!$A:$AZ,2,0)*$F11),0)</f>
        <v>1.9</v>
      </c>
      <c r="Q11" s="55">
        <f>IFERROR((VLOOKUP($A11,'Dados StatusInvest'!$A:$AZ,COLUMN(Q11)-$A$5,0)/100),0)</f>
        <v>-0.0103</v>
      </c>
      <c r="R11" s="56">
        <f>VLOOKUP($A11,'Dados StatusInvest'!$A:$AZ,COLUMN(R11)-$A$5,0)</f>
        <v>-0.3</v>
      </c>
      <c r="S11" s="56">
        <f>IFERROR((VLOOKUP($A11,'Dados StatusInvest'!$A:$AZ,COLUMN(S11)-$A$5,0)),0)</f>
        <v>0.32</v>
      </c>
      <c r="T11" s="53">
        <f>IFERROR((VLOOKUP($A11,'Dados StatusInvest'!$A:$AZ,COLUMN(T11)-$A$5,0)/VLOOKUP($A11,'Dados StatusInvest'!$A:$AZ,2,0)*$F11),0)</f>
        <v>1.43</v>
      </c>
      <c r="U11" s="53">
        <f>IFERROR((VLOOKUP($A11,'Dados StatusInvest'!$A:$AZ,COLUMN(U11)-$A$5,0)-VLOOKUP($A11,'Dados StatusInvest'!$A:$AZ,COLUMN(U11)-$A$5-1,0)+T11),0)</f>
        <v>-0.63</v>
      </c>
      <c r="V11" s="56">
        <f>IFERROR((VLOOKUP($A11,'Dados StatusInvest'!$A:$AZ,COLUMN(V11)-$A$5,0)),0)</f>
        <v>2.46</v>
      </c>
      <c r="W11" s="56">
        <f>IFERROR((VLOOKUP($A11,'Dados StatusInvest'!$A:$AZ,COLUMN(W11)-$A$5,0)),0)</f>
        <v>32.19</v>
      </c>
      <c r="X11" s="53">
        <f>IFERROR((VLOOKUP($A11,'Dados StatusInvest'!$A:$AZ,COLUMN(X11)-$A$5,0)/VLOOKUP($A11,'Dados StatusInvest'!$A:$AZ,2,0)*$F11),0)</f>
        <v>13.95</v>
      </c>
      <c r="Y11" s="54">
        <f>IFERROR((VLOOKUP($A11,'Dados StatusInvest'!$A:$AZ,COLUMN(Y11)-$A$5,0)/VLOOKUP($A11,'Dados StatusInvest'!$A:$AZ,2,0)*$F11),0)</f>
        <v>27.08</v>
      </c>
      <c r="Z11" s="56">
        <f>IFERROR((VLOOKUP($A11,'Dados StatusInvest'!$A:$AZ,COLUMN(Z11)-$A$5,0)),0)</f>
        <v>0.43</v>
      </c>
      <c r="AA11" s="57">
        <f>IFERROR((VLOOKUP($A11,'Dados StatusInvest'!$A:$AZ,COLUMN(AA11)-$A$5,0)),0)</f>
        <v>0.57</v>
      </c>
      <c r="AB11" s="57">
        <f>IFERROR((VLOOKUP($A11,'Dados StatusInvest'!$A:$AZ,COLUMN(AB11)-$A$5,0)),0)</f>
        <v>1.14</v>
      </c>
      <c r="AC11" s="58">
        <f>IFERROR((VLOOKUP($A11,'Dados StatusInvest'!$A:$AZ,COLUMN(AC11)-$A$5,0)),0)</f>
        <v>44.62</v>
      </c>
      <c r="AD11" s="57">
        <f>IFERROR((VLOOKUP($A11,'Dados StatusInvest'!$A:$AZ,COLUMN(AD11)-$A$5,0)),0)</f>
        <v>0</v>
      </c>
      <c r="AE11" s="56">
        <f>IFERROR((VLOOKUP($A11,'Dados StatusInvest'!$A:$AZ,COLUMN(AE11)-$A$5,0)),0)</f>
        <v>2100</v>
      </c>
      <c r="AF11" s="56">
        <f>IFERROR((VLOOKUP($A11,'Dados StatusInvest'!$A:$AZ,COLUMN(AF11)-$A$5,0)),0)</f>
        <v>30</v>
      </c>
      <c r="AG11" s="56">
        <f>IFERROR((VLOOKUP($A11,'Dados StatusInvest'!$A:$AZ,COLUMN(AG11)-$A$5,0)),0)</f>
        <v>9.66</v>
      </c>
      <c r="AH11" s="56">
        <f>IFERROR((VLOOKUP($A11,'Dados StatusInvest'!$A:$AZ,COLUMN(AH11)-$A$5,0)),0)</f>
        <v>-0.06</v>
      </c>
      <c r="AI11" s="57">
        <f>IFERROR((VLOOKUP($A11,'Dados StatusInvest'!$A:$AZ,COLUMN(AI11)-$A$5,0)),0)</f>
        <v>217677860</v>
      </c>
      <c r="AJ11" s="59" t="str">
        <f>IFERROR((VLOOKUP($A11,'Dados StatusInvest'!$A:$AZ,COLUMN(AJ11)-$A$5,0)),0)</f>
        <v/>
      </c>
      <c r="AK11" s="60" t="str">
        <f>IFERROR(__xludf.DUMMYFUNCTION("IFERROR(GOOGLEFINANCE($A11,""high""),"""")"),"")</f>
        <v/>
      </c>
      <c r="AL11" s="60" t="str">
        <f>IFERROR(__xludf.DUMMYFUNCTION("IFERROR(GOOGLEFINANCE($A11,""low""),"""")"),"")</f>
        <v/>
      </c>
      <c r="AM11" s="61">
        <f t="shared" si="2"/>
        <v>0</v>
      </c>
      <c r="AN11" s="62">
        <f>IFERROR(__xludf.DUMMYFUNCTION("IFERROR((GOOGLEFINANCE($A11,""volume"")),0)"),0.0)</f>
        <v>0</v>
      </c>
      <c r="AO11" s="60">
        <f>IFERROR(__xludf.DUMMYFUNCTION("IFERROR((GOOGLEFINANCE($A11,""closeyest"")),"""")"),25.0)</f>
        <v>25</v>
      </c>
      <c r="AP11" s="60">
        <f>IFERROR(__xludf.DUMMYFUNCTION("IFERROR((GOOGLEFINANCE($A11,""shares"")),"""")"),8407877.0)</f>
        <v>8407877</v>
      </c>
      <c r="AQ11" s="18"/>
    </row>
    <row r="12">
      <c r="A12" s="45" t="str">
        <f>'Dados StatusInvest'!A7:A626</f>
        <v>AHEB5</v>
      </c>
      <c r="B12" s="46" t="str">
        <f>IFERROR(__xludf.DUMMYFUNCTION("IFERROR((GOOGLEFINANCE(A12,""name"")),"""")"),"Sao Paulo Turismo Class Pref Shs Class A")</f>
        <v>Sao Paulo Turismo Class Pref Shs Class A</v>
      </c>
      <c r="C12" s="46" t="str">
        <f>IFERROR((VLOOKUP(LEFT($A12,4),Setor!$A:$E,3,0)),"")</f>
        <v>Consumo Cíclico</v>
      </c>
      <c r="D12" s="46" t="str">
        <f>IFERROR((VLOOKUP(LEFT($A12,4),Setor!$A:$E,4,0)),"")</f>
        <v>Viagens e Lazer</v>
      </c>
      <c r="E12" s="46" t="str">
        <f>IFERROR((VLOOKUP(LEFT($A12,4),Setor!$A:$E,5,0)),"")</f>
        <v>Produção de Eventos e Shows</v>
      </c>
      <c r="F12" s="47">
        <f>IFERROR(__xludf.DUMMYFUNCTION("IFERROR((GOOGLEFINANCE(A12)),"""")"),58.0)</f>
        <v>58</v>
      </c>
      <c r="G12" s="48" t="str">
        <f>IFERROR(__xludf.DUMMYFUNCTION("IFERROR((sparkline(GOOGLEFINANCE($A12,""price"",TODAY()-30,TODAY(),""DAILY""),{""charttype"",""line"";""linewidth"",1;""color"",""#5f88cc""})),"""")"),"")</f>
        <v/>
      </c>
      <c r="H12" s="49" t="str">
        <f>IFERROR(__xludf.DUMMYFUNCTION("IFERROR((((GOOGLEFINANCE(A12))-(INDEX(GoogleFinance(A12,""PRICE"",$AQ$1),2,2)))/(INDEX(GoogleFinance(A12,""PRICE"",$AQ$1),2,2))),"""")"),"")</f>
        <v/>
      </c>
      <c r="I12" s="47">
        <f>IFERROR(__xludf.DUMMYFUNCTION("IFERROR((GOOGLEFINANCE($A12,""high52"")),"""")"),58.0)</f>
        <v>58</v>
      </c>
      <c r="J12" s="48" t="str">
        <f>IFERROR(__xludf.DUMMYFUNCTION("IFERROR((sparkline(GOOGLEFINANCE($A12,""price"",TODAY()-365,TODAY(),""DAILY""),{""charttype"",""line"";""linewidth"",1;""color"",""#5f88cc""})),"""")"),"")</f>
        <v/>
      </c>
      <c r="K12" s="50" t="str">
        <f>IFERROR(__xludf.DUMMYFUNCTION("IFERROR((((GOOGLEFINANCE(A12))-(INDEX(GoogleFinance(A12,""PRICE"",$AP$1),2,2)))/(INDEX(GoogleFinance(A12,""PRICE"",$AP$1),2,2))),"""")"),"")</f>
        <v/>
      </c>
      <c r="L12" s="51">
        <f t="shared" si="1"/>
        <v>0</v>
      </c>
      <c r="M12" s="52">
        <f>IFERROR((VLOOKUP($A12,'Dados StatusInvest'!$A:$AZ,COLUMN(M12)-$A$5,0)*VLOOKUP($A12,'Dados StatusInvest'!$A:$AZ,2,0)/$F12/100),0)</f>
        <v>0.1104</v>
      </c>
      <c r="N12" s="53">
        <f>IFERROR((VLOOKUP($A12,'Dados StatusInvest'!$A:$AZ,COLUMN(N12)-$A$5,0)/VLOOKUP($A12,'Dados StatusInvest'!$A:$AZ,2,0)*$F12),"")</f>
        <v>12.25</v>
      </c>
      <c r="O12" s="53">
        <f>IFERROR((VLOOKUP($A12,'Dados StatusInvest'!$A:$AZ,COLUMN(O12)-$A$5,0)/VLOOKUP($A12,'Dados StatusInvest'!$A:$AZ,2,0)*$F12),0)</f>
        <v>6.67</v>
      </c>
      <c r="P12" s="54">
        <f>IFERROR((VLOOKUP($A12,'Dados StatusInvest'!$A:$AZ,COLUMN(P12)-$A$5,0)/VLOOKUP($A12,'Dados StatusInvest'!$A:$AZ,2,0)*$F12),0)</f>
        <v>1.9</v>
      </c>
      <c r="Q12" s="55">
        <f>IFERROR((VLOOKUP($A12,'Dados StatusInvest'!$A:$AZ,COLUMN(Q12)-$A$5,0)/100),0)</f>
        <v>-0.0103</v>
      </c>
      <c r="R12" s="56">
        <f>VLOOKUP($A12,'Dados StatusInvest'!$A:$AZ,COLUMN(R12)-$A$5,0)</f>
        <v>-0.3</v>
      </c>
      <c r="S12" s="56">
        <f>IFERROR((VLOOKUP($A12,'Dados StatusInvest'!$A:$AZ,COLUMN(S12)-$A$5,0)),0)</f>
        <v>0.74</v>
      </c>
      <c r="T12" s="53">
        <f>IFERROR((VLOOKUP($A12,'Dados StatusInvest'!$A:$AZ,COLUMN(T12)-$A$5,0)/VLOOKUP($A12,'Dados StatusInvest'!$A:$AZ,2,0)*$F12),0)</f>
        <v>3.33</v>
      </c>
      <c r="U12" s="53">
        <f>IFERROR((VLOOKUP($A12,'Dados StatusInvest'!$A:$AZ,COLUMN(U12)-$A$5,0)-VLOOKUP($A12,'Dados StatusInvest'!$A:$AZ,COLUMN(U12)-$A$5-1,0)+T12),0)</f>
        <v>-1.45</v>
      </c>
      <c r="V12" s="56">
        <f>IFERROR((VLOOKUP($A12,'Dados StatusInvest'!$A:$AZ,COLUMN(V12)-$A$5,0)),0)</f>
        <v>2.46</v>
      </c>
      <c r="W12" s="56">
        <f>IFERROR((VLOOKUP($A12,'Dados StatusInvest'!$A:$AZ,COLUMN(W12)-$A$5,0)),0)</f>
        <v>32.19</v>
      </c>
      <c r="X12" s="53">
        <f>IFERROR((VLOOKUP($A12,'Dados StatusInvest'!$A:$AZ,COLUMN(X12)-$A$5,0)/VLOOKUP($A12,'Dados StatusInvest'!$A:$AZ,2,0)*$F12),0)</f>
        <v>13.95</v>
      </c>
      <c r="Y12" s="54">
        <f>IFERROR((VLOOKUP($A12,'Dados StatusInvest'!$A:$AZ,COLUMN(Y12)-$A$5,0)/VLOOKUP($A12,'Dados StatusInvest'!$A:$AZ,2,0)*$F12),0)</f>
        <v>27.08</v>
      </c>
      <c r="Z12" s="56">
        <f>IFERROR((VLOOKUP($A12,'Dados StatusInvest'!$A:$AZ,COLUMN(Z12)-$A$5,0)),0)</f>
        <v>0.43</v>
      </c>
      <c r="AA12" s="57">
        <f>IFERROR((VLOOKUP($A12,'Dados StatusInvest'!$A:$AZ,COLUMN(AA12)-$A$5,0)),0)</f>
        <v>0.57</v>
      </c>
      <c r="AB12" s="57">
        <f>IFERROR((VLOOKUP($A12,'Dados StatusInvest'!$A:$AZ,COLUMN(AB12)-$A$5,0)),0)</f>
        <v>1.14</v>
      </c>
      <c r="AC12" s="58">
        <f>IFERROR((VLOOKUP($A12,'Dados StatusInvest'!$A:$AZ,COLUMN(AC12)-$A$5,0)),0)</f>
        <v>44.62</v>
      </c>
      <c r="AD12" s="57">
        <f>IFERROR((VLOOKUP($A12,'Dados StatusInvest'!$A:$AZ,COLUMN(AD12)-$A$5,0)),0)</f>
        <v>0</v>
      </c>
      <c r="AE12" s="56">
        <f>IFERROR((VLOOKUP($A12,'Dados StatusInvest'!$A:$AZ,COLUMN(AE12)-$A$5,0)),0)</f>
        <v>0</v>
      </c>
      <c r="AF12" s="56">
        <f>IFERROR((VLOOKUP($A12,'Dados StatusInvest'!$A:$AZ,COLUMN(AF12)-$A$5,0)),0)</f>
        <v>30</v>
      </c>
      <c r="AG12" s="56">
        <f>IFERROR((VLOOKUP($A12,'Dados StatusInvest'!$A:$AZ,COLUMN(AG12)-$A$5,0)),0)</f>
        <v>9.66</v>
      </c>
      <c r="AH12" s="56">
        <f>IFERROR((VLOOKUP($A12,'Dados StatusInvest'!$A:$AZ,COLUMN(AH12)-$A$5,0)),0)</f>
        <v>-0.14</v>
      </c>
      <c r="AI12" s="57">
        <f>IFERROR((VLOOKUP($A12,'Dados StatusInvest'!$A:$AZ,COLUMN(AI12)-$A$5,0)),0)</f>
        <v>217677860</v>
      </c>
      <c r="AJ12" s="59" t="str">
        <f>IFERROR((VLOOKUP($A12,'Dados StatusInvest'!$A:$AZ,COLUMN(AJ12)-$A$5,0)),0)</f>
        <v/>
      </c>
      <c r="AK12" s="60" t="str">
        <f>IFERROR(__xludf.DUMMYFUNCTION("IFERROR(GOOGLEFINANCE($A12,""high""),"""")"),"")</f>
        <v/>
      </c>
      <c r="AL12" s="60" t="str">
        <f>IFERROR(__xludf.DUMMYFUNCTION("IFERROR(GOOGLEFINANCE($A12,""low""),"""")"),"")</f>
        <v/>
      </c>
      <c r="AM12" s="61">
        <f t="shared" si="2"/>
        <v>0</v>
      </c>
      <c r="AN12" s="62">
        <f>IFERROR(__xludf.DUMMYFUNCTION("IFERROR((GOOGLEFINANCE($A12,""volume"")),0)"),0.0)</f>
        <v>0</v>
      </c>
      <c r="AO12" s="60">
        <f>IFERROR(__xludf.DUMMYFUNCTION("IFERROR((GOOGLEFINANCE($A12,""closeyest"")),"""")"),58.0)</f>
        <v>58</v>
      </c>
      <c r="AP12" s="60">
        <f>IFERROR(__xludf.DUMMYFUNCTION("IFERROR((GOOGLEFINANCE($A12,""shares"")),"""")"),45022.0)</f>
        <v>45022</v>
      </c>
      <c r="AQ12" s="18"/>
    </row>
    <row r="13">
      <c r="A13" s="45" t="str">
        <f>'Dados StatusInvest'!A8:A627</f>
        <v>AHEB6</v>
      </c>
      <c r="B13" s="46" t="str">
        <f>IFERROR(__xludf.DUMMYFUNCTION("IFERROR((GOOGLEFINANCE(A13,""name"")),"""")"),"Sao Paulo Turismo Class Pref Shs Class B")</f>
        <v>Sao Paulo Turismo Class Pref Shs Class B</v>
      </c>
      <c r="C13" s="46" t="str">
        <f>IFERROR((VLOOKUP(LEFT($A13,4),Setor!$A:$E,3,0)),"")</f>
        <v>Consumo Cíclico</v>
      </c>
      <c r="D13" s="46" t="str">
        <f>IFERROR((VLOOKUP(LEFT($A13,4),Setor!$A:$E,4,0)),"")</f>
        <v>Viagens e Lazer</v>
      </c>
      <c r="E13" s="46" t="str">
        <f>IFERROR((VLOOKUP(LEFT($A13,4),Setor!$A:$E,5,0)),"")</f>
        <v>Produção de Eventos e Shows</v>
      </c>
      <c r="F13" s="47">
        <f>IFERROR(__xludf.DUMMYFUNCTION("IFERROR((GOOGLEFINANCE(A13)),"""")"),55.0)</f>
        <v>55</v>
      </c>
      <c r="G13" s="48" t="str">
        <f>IFERROR(__xludf.DUMMYFUNCTION("IFERROR((sparkline(GOOGLEFINANCE($A13,""price"",TODAY()-30,TODAY(),""DAILY""),{""charttype"",""line"";""linewidth"",1;""color"",""#5f88cc""})),"""")"),"")</f>
        <v/>
      </c>
      <c r="H13" s="49" t="str">
        <f>IFERROR(__xludf.DUMMYFUNCTION("IFERROR((((GOOGLEFINANCE(A13))-(INDEX(GoogleFinance(A13,""PRICE"",$AQ$1),2,2)))/(INDEX(GoogleFinance(A13,""PRICE"",$AQ$1),2,2))),"""")"),"")</f>
        <v/>
      </c>
      <c r="I13" s="47">
        <f>IFERROR(__xludf.DUMMYFUNCTION("IFERROR((GOOGLEFINANCE($A13,""high52"")),"""")"),55.0)</f>
        <v>55</v>
      </c>
      <c r="J13" s="48" t="str">
        <f>IFERROR(__xludf.DUMMYFUNCTION("IFERROR((sparkline(GOOGLEFINANCE($A13,""price"",TODAY()-365,TODAY(),""DAILY""),{""charttype"",""line"";""linewidth"",1;""color"",""#5f88cc""})),"""")"),"")</f>
        <v/>
      </c>
      <c r="K13" s="50" t="str">
        <f>IFERROR(__xludf.DUMMYFUNCTION("IFERROR((((GOOGLEFINANCE(A13))-(INDEX(GoogleFinance(A13,""PRICE"",$AP$1),2,2)))/(INDEX(GoogleFinance(A13,""PRICE"",$AP$1),2,2))),"""")"),"")</f>
        <v/>
      </c>
      <c r="L13" s="51">
        <f t="shared" si="1"/>
        <v>0</v>
      </c>
      <c r="M13" s="52">
        <f>IFERROR((VLOOKUP($A13,'Dados StatusInvest'!$A:$AZ,COLUMN(M13)-$A$5,0)*VLOOKUP($A13,'Dados StatusInvest'!$A:$AZ,2,0)/$F13/100),0)</f>
        <v>0.1104</v>
      </c>
      <c r="N13" s="53">
        <f>IFERROR((VLOOKUP($A13,'Dados StatusInvest'!$A:$AZ,COLUMN(N13)-$A$5,0)/VLOOKUP($A13,'Dados StatusInvest'!$A:$AZ,2,0)*$F13),"")</f>
        <v>12.25</v>
      </c>
      <c r="O13" s="53">
        <f>IFERROR((VLOOKUP($A13,'Dados StatusInvest'!$A:$AZ,COLUMN(O13)-$A$5,0)/VLOOKUP($A13,'Dados StatusInvest'!$A:$AZ,2,0)*$F13),0)</f>
        <v>6.32</v>
      </c>
      <c r="P13" s="54">
        <f>IFERROR((VLOOKUP($A13,'Dados StatusInvest'!$A:$AZ,COLUMN(P13)-$A$5,0)/VLOOKUP($A13,'Dados StatusInvest'!$A:$AZ,2,0)*$F13),0)</f>
        <v>1.9</v>
      </c>
      <c r="Q13" s="55">
        <f>IFERROR((VLOOKUP($A13,'Dados StatusInvest'!$A:$AZ,COLUMN(Q13)-$A$5,0)/100),0)</f>
        <v>-0.0103</v>
      </c>
      <c r="R13" s="56">
        <f>VLOOKUP($A13,'Dados StatusInvest'!$A:$AZ,COLUMN(R13)-$A$5,0)</f>
        <v>-0.3</v>
      </c>
      <c r="S13" s="56">
        <f>IFERROR((VLOOKUP($A13,'Dados StatusInvest'!$A:$AZ,COLUMN(S13)-$A$5,0)),0)</f>
        <v>0.7</v>
      </c>
      <c r="T13" s="53">
        <f>IFERROR((VLOOKUP($A13,'Dados StatusInvest'!$A:$AZ,COLUMN(T13)-$A$5,0)/VLOOKUP($A13,'Dados StatusInvest'!$A:$AZ,2,0)*$F13),0)</f>
        <v>3.15</v>
      </c>
      <c r="U13" s="53">
        <f>IFERROR((VLOOKUP($A13,'Dados StatusInvest'!$A:$AZ,COLUMN(U13)-$A$5,0)-VLOOKUP($A13,'Dados StatusInvest'!$A:$AZ,COLUMN(U13)-$A$5-1,0)+T13),0)</f>
        <v>-1.38</v>
      </c>
      <c r="V13" s="56">
        <f>IFERROR((VLOOKUP($A13,'Dados StatusInvest'!$A:$AZ,COLUMN(V13)-$A$5,0)),0)</f>
        <v>2.46</v>
      </c>
      <c r="W13" s="56">
        <f>IFERROR((VLOOKUP($A13,'Dados StatusInvest'!$A:$AZ,COLUMN(W13)-$A$5,0)),0)</f>
        <v>32.19</v>
      </c>
      <c r="X13" s="53">
        <f>IFERROR((VLOOKUP($A13,'Dados StatusInvest'!$A:$AZ,COLUMN(X13)-$A$5,0)/VLOOKUP($A13,'Dados StatusInvest'!$A:$AZ,2,0)*$F13),0)</f>
        <v>13.95</v>
      </c>
      <c r="Y13" s="54">
        <f>IFERROR((VLOOKUP($A13,'Dados StatusInvest'!$A:$AZ,COLUMN(Y13)-$A$5,0)/VLOOKUP($A13,'Dados StatusInvest'!$A:$AZ,2,0)*$F13),0)</f>
        <v>27.08</v>
      </c>
      <c r="Z13" s="56">
        <f>IFERROR((VLOOKUP($A13,'Dados StatusInvest'!$A:$AZ,COLUMN(Z13)-$A$5,0)),0)</f>
        <v>0.43</v>
      </c>
      <c r="AA13" s="57">
        <f>IFERROR((VLOOKUP($A13,'Dados StatusInvest'!$A:$AZ,COLUMN(AA13)-$A$5,0)),0)</f>
        <v>0.57</v>
      </c>
      <c r="AB13" s="57">
        <f>IFERROR((VLOOKUP($A13,'Dados StatusInvest'!$A:$AZ,COLUMN(AB13)-$A$5,0)),0)</f>
        <v>1.14</v>
      </c>
      <c r="AC13" s="58">
        <f>IFERROR((VLOOKUP($A13,'Dados StatusInvest'!$A:$AZ,COLUMN(AC13)-$A$5,0)),0)</f>
        <v>44.62</v>
      </c>
      <c r="AD13" s="57">
        <f>IFERROR((VLOOKUP($A13,'Dados StatusInvest'!$A:$AZ,COLUMN(AD13)-$A$5,0)),0)</f>
        <v>0</v>
      </c>
      <c r="AE13" s="56">
        <f>IFERROR((VLOOKUP($A13,'Dados StatusInvest'!$A:$AZ,COLUMN(AE13)-$A$5,0)),0)</f>
        <v>5500</v>
      </c>
      <c r="AF13" s="56">
        <f>IFERROR((VLOOKUP($A13,'Dados StatusInvest'!$A:$AZ,COLUMN(AF13)-$A$5,0)),0)</f>
        <v>30</v>
      </c>
      <c r="AG13" s="56">
        <f>IFERROR((VLOOKUP($A13,'Dados StatusInvest'!$A:$AZ,COLUMN(AG13)-$A$5,0)),0)</f>
        <v>9.66</v>
      </c>
      <c r="AH13" s="56">
        <f>IFERROR((VLOOKUP($A13,'Dados StatusInvest'!$A:$AZ,COLUMN(AH13)-$A$5,0)),0)</f>
        <v>-0.13</v>
      </c>
      <c r="AI13" s="57">
        <f>IFERROR((VLOOKUP($A13,'Dados StatusInvest'!$A:$AZ,COLUMN(AI13)-$A$5,0)),0)</f>
        <v>217677860</v>
      </c>
      <c r="AJ13" s="59" t="str">
        <f>IFERROR((VLOOKUP($A13,'Dados StatusInvest'!$A:$AZ,COLUMN(AJ13)-$A$5,0)),0)</f>
        <v/>
      </c>
      <c r="AK13" s="60" t="str">
        <f>IFERROR(__xludf.DUMMYFUNCTION("IFERROR(GOOGLEFINANCE($A13,""high""),"""")"),"")</f>
        <v/>
      </c>
      <c r="AL13" s="60" t="str">
        <f>IFERROR(__xludf.DUMMYFUNCTION("IFERROR(GOOGLEFINANCE($A13,""low""),"""")"),"")</f>
        <v/>
      </c>
      <c r="AM13" s="61">
        <f t="shared" si="2"/>
        <v>0</v>
      </c>
      <c r="AN13" s="62">
        <f>IFERROR(__xludf.DUMMYFUNCTION("IFERROR((GOOGLEFINANCE($A13,""volume"")),0)"),0.0)</f>
        <v>0</v>
      </c>
      <c r="AO13" s="60">
        <f>IFERROR(__xludf.DUMMYFUNCTION("IFERROR((GOOGLEFINANCE($A13,""closeyest"")),"""")"),55.0)</f>
        <v>55</v>
      </c>
      <c r="AP13" s="60">
        <f>IFERROR(__xludf.DUMMYFUNCTION("IFERROR((GOOGLEFINANCE($A13,""shares"")),"""")"),90995.0)</f>
        <v>90995</v>
      </c>
      <c r="AQ13" s="18"/>
    </row>
    <row r="14">
      <c r="A14" s="45" t="str">
        <f>'Dados StatusInvest'!A9:A628</f>
        <v>ALLD3</v>
      </c>
      <c r="B14" s="46" t="str">
        <f>IFERROR(__xludf.DUMMYFUNCTION("IFERROR((GOOGLEFINANCE(A14,""name"")),"""")"),"Allied Tecnologia SA")</f>
        <v>Allied Tecnologia SA</v>
      </c>
      <c r="C14" s="46" t="str">
        <f>IFERROR((VLOOKUP(LEFT($A14,4),Setor!$A:$E,3,0)),"")</f>
        <v/>
      </c>
      <c r="D14" s="46" t="str">
        <f>IFERROR((VLOOKUP(LEFT($A14,4),Setor!$A:$E,4,0)),"")</f>
        <v/>
      </c>
      <c r="E14" s="46" t="str">
        <f>IFERROR((VLOOKUP(LEFT($A14,4),Setor!$A:$E,5,0)),"")</f>
        <v/>
      </c>
      <c r="F14" s="47">
        <f>IFERROR(__xludf.DUMMYFUNCTION("IFERROR((GOOGLEFINANCE(A14)),"""")"),7.48)</f>
        <v>7.48</v>
      </c>
      <c r="G14" s="48" t="str">
        <f>IFERROR(__xludf.DUMMYFUNCTION("IFERROR((sparkline(GOOGLEFINANCE($A14,""price"",TODAY()-30,TODAY(),""DAILY""),{""charttype"",""line"";""linewidth"",1;""color"",""#5f88cc""})),"""")"),"")</f>
        <v/>
      </c>
      <c r="H14" s="49">
        <f>IFERROR(__xludf.DUMMYFUNCTION("IFERROR((((GOOGLEFINANCE(A14))-(INDEX(GoogleFinance(A14,""PRICE"",$AQ$1),2,2)))/(INDEX(GoogleFinance(A14,""PRICE"",$AQ$1),2,2))),"""")"),-0.11269276393831545)</f>
        <v>-0.1126927639</v>
      </c>
      <c r="I14" s="47">
        <f>IFERROR(__xludf.DUMMYFUNCTION("IFERROR((GOOGLEFINANCE($A14,""high52"")),"""")"),8.23)</f>
        <v>8.23</v>
      </c>
      <c r="J14" s="48" t="str">
        <f>IFERROR(__xludf.DUMMYFUNCTION("IFERROR((sparkline(GOOGLEFINANCE($A14,""price"",TODAY()-365,TODAY(),""DAILY""),{""charttype"",""line"";""linewidth"",1;""color"",""#5f88cc""})),"""")"),"")</f>
        <v/>
      </c>
      <c r="K14" s="50">
        <f>IFERROR(__xludf.DUMMYFUNCTION("IFERROR((((GOOGLEFINANCE(A14))-(INDEX(GoogleFinance(A14,""PRICE"",$AP$1),2,2)))/(INDEX(GoogleFinance(A14,""PRICE"",$AP$1),2,2))),"""")"),0.056497175141242986)</f>
        <v>0.05649717514</v>
      </c>
      <c r="L14" s="51">
        <f t="shared" si="1"/>
        <v>-0.09113001215</v>
      </c>
      <c r="M14" s="52">
        <f>IFERROR((VLOOKUP($A14,'Dados StatusInvest'!$A:$AZ,COLUMN(M14)-$A$5,0)*VLOOKUP($A14,'Dados StatusInvest'!$A:$AZ,2,0)/$F14/100),0)</f>
        <v>0.09339679144</v>
      </c>
      <c r="N14" s="53">
        <f>IFERROR((VLOOKUP($A14,'Dados StatusInvest'!$A:$AZ,COLUMN(N14)-$A$5,0)/VLOOKUP($A14,'Dados StatusInvest'!$A:$AZ,2,0)*$F14),"")</f>
        <v>6.515159574</v>
      </c>
      <c r="O14" s="53">
        <f>IFERROR((VLOOKUP($A14,'Dados StatusInvest'!$A:$AZ,COLUMN(O14)-$A$5,0)/VLOOKUP($A14,'Dados StatusInvest'!$A:$AZ,2,0)*$F14),0)</f>
        <v>1.432340426</v>
      </c>
      <c r="P14" s="54">
        <f>IFERROR((VLOOKUP($A14,'Dados StatusInvest'!$A:$AZ,COLUMN(P14)-$A$5,0)/VLOOKUP($A14,'Dados StatusInvest'!$A:$AZ,2,0)*$F14),0)</f>
        <v>1.114042553</v>
      </c>
      <c r="Q14" s="55">
        <f>IFERROR((VLOOKUP($A14,'Dados StatusInvest'!$A:$AZ,COLUMN(Q14)-$A$5,0)/100),0)</f>
        <v>-0.0032</v>
      </c>
      <c r="R14" s="56">
        <f>VLOOKUP($A14,'Dados StatusInvest'!$A:$AZ,COLUMN(R14)-$A$5,0)</f>
        <v>-0.09</v>
      </c>
      <c r="S14" s="56">
        <f>IFERROR((VLOOKUP($A14,'Dados StatusInvest'!$A:$AZ,COLUMN(S14)-$A$5,0)),0)</f>
        <v>0.13</v>
      </c>
      <c r="T14" s="53">
        <f>IFERROR((VLOOKUP($A14,'Dados StatusInvest'!$A:$AZ,COLUMN(T14)-$A$5,0)/VLOOKUP($A14,'Dados StatusInvest'!$A:$AZ,2,0)*$F14),0)</f>
        <v>0.5669680851</v>
      </c>
      <c r="U14" s="53">
        <f>IFERROR((VLOOKUP($A14,'Dados StatusInvest'!$A:$AZ,COLUMN(U14)-$A$5,0)-VLOOKUP($A14,'Dados StatusInvest'!$A:$AZ,COLUMN(U14)-$A$5-1,0)+T14),0)</f>
        <v>-0.7430319149</v>
      </c>
      <c r="V14" s="56">
        <f>IFERROR((VLOOKUP($A14,'Dados StatusInvest'!$A:$AZ,COLUMN(V14)-$A$5,0)),0)</f>
        <v>1.81</v>
      </c>
      <c r="W14" s="56">
        <f>IFERROR((VLOOKUP($A14,'Dados StatusInvest'!$A:$AZ,COLUMN(W14)-$A$5,0)),0)</f>
        <v>20.88</v>
      </c>
      <c r="X14" s="53">
        <f>IFERROR((VLOOKUP($A14,'Dados StatusInvest'!$A:$AZ,COLUMN(X14)-$A$5,0)/VLOOKUP($A14,'Dados StatusInvest'!$A:$AZ,2,0)*$F14),0)</f>
        <v>9.310212766</v>
      </c>
      <c r="Y14" s="54">
        <f>IFERROR((VLOOKUP($A14,'Dados StatusInvest'!$A:$AZ,COLUMN(Y14)-$A$5,0)/VLOOKUP($A14,'Dados StatusInvest'!$A:$AZ,2,0)*$F14),0)</f>
        <v>17.08861702</v>
      </c>
      <c r="Z14" s="56">
        <f>IFERROR((VLOOKUP($A14,'Dados StatusInvest'!$A:$AZ,COLUMN(Z14)-$A$5,0)),0)</f>
        <v>0.45</v>
      </c>
      <c r="AA14" s="57">
        <f>IFERROR((VLOOKUP($A14,'Dados StatusInvest'!$A:$AZ,COLUMN(AA14)-$A$5,0)),0)</f>
        <v>0.55</v>
      </c>
      <c r="AB14" s="57">
        <f>IFERROR((VLOOKUP($A14,'Dados StatusInvest'!$A:$AZ,COLUMN(AB14)-$A$5,0)),0)</f>
        <v>1.43</v>
      </c>
      <c r="AC14" s="58">
        <f>IFERROR((VLOOKUP($A14,'Dados StatusInvest'!$A:$AZ,COLUMN(AC14)-$A$5,0)),0)</f>
        <v>8.27</v>
      </c>
      <c r="AD14" s="57">
        <f>IFERROR((VLOOKUP($A14,'Dados StatusInvest'!$A:$AZ,COLUMN(AD14)-$A$5,0)),0)</f>
        <v>28.55</v>
      </c>
      <c r="AE14" s="56">
        <f>IFERROR((VLOOKUP($A14,'Dados StatusInvest'!$A:$AZ,COLUMN(AE14)-$A$5,0)),0)</f>
        <v>5234240</v>
      </c>
      <c r="AF14" s="56">
        <f>IFERROR((VLOOKUP($A14,'Dados StatusInvest'!$A:$AZ,COLUMN(AF14)-$A$5,0)),0)</f>
        <v>17.68</v>
      </c>
      <c r="AG14" s="56">
        <f>IFERROR((VLOOKUP($A14,'Dados StatusInvest'!$A:$AZ,COLUMN(AG14)-$A$5,0)),0)</f>
        <v>3.69</v>
      </c>
      <c r="AH14" s="56">
        <f>IFERROR((VLOOKUP($A14,'Dados StatusInvest'!$A:$AZ,COLUMN(AH14)-$A$5,0)),0)</f>
        <v>0.02</v>
      </c>
      <c r="AI14" s="57">
        <f>IFERROR((VLOOKUP($A14,'Dados StatusInvest'!$A:$AZ,COLUMN(AI14)-$A$5,0)),0)</f>
        <v>719594718.2</v>
      </c>
      <c r="AJ14" s="59" t="str">
        <f>IFERROR((VLOOKUP($A14,'Dados StatusInvest'!$A:$AZ,COLUMN(AJ14)-$A$5,0)),0)</f>
        <v/>
      </c>
      <c r="AK14" s="60">
        <f>IFERROR(__xludf.DUMMYFUNCTION("IFERROR(GOOGLEFINANCE($A14,""high""),"""")"),7.51)</f>
        <v>7.51</v>
      </c>
      <c r="AL14" s="60">
        <f>IFERROR(__xludf.DUMMYFUNCTION("IFERROR(GOOGLEFINANCE($A14,""low""),"""")"),7.45)</f>
        <v>7.45</v>
      </c>
      <c r="AM14" s="61">
        <f t="shared" si="2"/>
        <v>0.008053691275</v>
      </c>
      <c r="AN14" s="62">
        <f>IFERROR(__xludf.DUMMYFUNCTION("IFERROR((GOOGLEFINANCE($A14,""volume"")),0)"),19900.0)</f>
        <v>19900</v>
      </c>
      <c r="AO14" s="60">
        <f>IFERROR(__xludf.DUMMYFUNCTION("IFERROR((GOOGLEFINANCE($A14,""closeyest"")),"""")"),7.52)</f>
        <v>7.52</v>
      </c>
      <c r="AP14" s="60">
        <f>IFERROR(__xludf.DUMMYFUNCTION("IFERROR((GOOGLEFINANCE($A14,""shares"")),"""")"),9.5690787E7)</f>
        <v>95690787</v>
      </c>
      <c r="AQ14" s="18"/>
    </row>
    <row r="15">
      <c r="A15" s="45" t="str">
        <f>'Dados StatusInvest'!A10:A629</f>
        <v>ALOS3</v>
      </c>
      <c r="B15" s="46" t="str">
        <f>IFERROR(__xludf.DUMMYFUNCTION("IFERROR((GOOGLEFINANCE(A15,""name"")),"""")"),"Allos SA")</f>
        <v>Allos SA</v>
      </c>
      <c r="C15" s="46" t="str">
        <f>IFERROR((VLOOKUP(LEFT($A15,4),Setor!$A:$E,3,0)),"")</f>
        <v>Outros</v>
      </c>
      <c r="D15" s="46" t="str">
        <f>IFERROR((VLOOKUP(LEFT($A15,4),Setor!$A:$E,4,0)),"")</f>
        <v>Comércio</v>
      </c>
      <c r="E15" s="46" t="str">
        <f>IFERROR((VLOOKUP(LEFT($A15,4),Setor!$A:$E,5,0)),"")</f>
        <v>Comércio</v>
      </c>
      <c r="F15" s="47">
        <f>IFERROR(__xludf.DUMMYFUNCTION("IFERROR((GOOGLEFINANCE(A15)),"""")"),31.13)</f>
        <v>31.13</v>
      </c>
      <c r="G15" s="48" t="str">
        <f>IFERROR(__xludf.DUMMYFUNCTION("IFERROR((sparkline(GOOGLEFINANCE($A15,""price"",TODAY()-30,TODAY(),""DAILY""),{""charttype"",""line"";""linewidth"",1;""color"",""#5f88cc""})),"""")"),"")</f>
        <v/>
      </c>
      <c r="H15" s="49">
        <f>IFERROR(__xludf.DUMMYFUNCTION("IFERROR((((GOOGLEFINANCE(A15))-(INDEX(GoogleFinance(A15,""PRICE"",$AQ$1),2,2)))/(INDEX(GoogleFinance(A15,""PRICE"",$AQ$1),2,2))),"""")"),0.06829100892244332)</f>
        <v>0.06829100892</v>
      </c>
      <c r="I15" s="47">
        <f>IFERROR(__xludf.DUMMYFUNCTION("IFERROR((GOOGLEFINANCE($A15,""high52"")),"""")"),31.66)</f>
        <v>31.66</v>
      </c>
      <c r="J15" s="48" t="str">
        <f>IFERROR(__xludf.DUMMYFUNCTION("IFERROR((sparkline(GOOGLEFINANCE($A15,""price"",TODAY()-365,TODAY(),""DAILY""),{""charttype"",""line"";""linewidth"",1;""color"",""#5f88cc""})),"""")"),"")</f>
        <v/>
      </c>
      <c r="K15" s="50">
        <f>IFERROR(__xludf.DUMMYFUNCTION("IFERROR((((GOOGLEFINANCE(A15))-(INDEX(GoogleFinance(A15,""PRICE"",$AP$1),2,2)))/(INDEX(GoogleFinance(A15,""PRICE"",$AP$1),2,2))),"""")"),0.6230448383733055)</f>
        <v>0.6230448384</v>
      </c>
      <c r="L15" s="51">
        <f t="shared" si="1"/>
        <v>-0.01674036639</v>
      </c>
      <c r="M15" s="52">
        <f>IFERROR((VLOOKUP($A15,'Dados StatusInvest'!$A:$AZ,COLUMN(M15)-$A$5,0)*VLOOKUP($A15,'Dados StatusInvest'!$A:$AZ,2,0)/$F15/100),0)</f>
        <v>0.5717153871</v>
      </c>
      <c r="N15" s="53">
        <f>IFERROR((VLOOKUP($A15,'Dados StatusInvest'!$A:$AZ,COLUMN(N15)-$A$5,0)/VLOOKUP($A15,'Dados StatusInvest'!$A:$AZ,2,0)*$F15),"")</f>
        <v>26.17123894</v>
      </c>
      <c r="O15" s="53">
        <f>IFERROR((VLOOKUP($A15,'Dados StatusInvest'!$A:$AZ,COLUMN(O15)-$A$5,0)/VLOOKUP($A15,'Dados StatusInvest'!$A:$AZ,2,0)*$F15),0)</f>
        <v>9.888005689</v>
      </c>
      <c r="P15" s="54">
        <f>IFERROR((VLOOKUP($A15,'Dados StatusInvest'!$A:$AZ,COLUMN(P15)-$A$5,0)/VLOOKUP($A15,'Dados StatusInvest'!$A:$AZ,2,0)*$F15),0)</f>
        <v>8.087503161</v>
      </c>
      <c r="Q15" s="55">
        <f>IFERROR((VLOOKUP($A15,'Dados StatusInvest'!$A:$AZ,COLUMN(Q15)-$A$5,0)/100),0)</f>
        <v>-0.0183</v>
      </c>
      <c r="R15" s="56">
        <f>VLOOKUP($A15,'Dados StatusInvest'!$A:$AZ,COLUMN(R15)-$A$5,0)</f>
        <v>-0.22</v>
      </c>
      <c r="S15" s="56">
        <f>IFERROR((VLOOKUP($A15,'Dados StatusInvest'!$A:$AZ,COLUMN(S15)-$A$5,0)),0)</f>
        <v>5.65</v>
      </c>
      <c r="T15" s="53">
        <f>IFERROR((VLOOKUP($A15,'Dados StatusInvest'!$A:$AZ,COLUMN(T15)-$A$5,0)/VLOOKUP($A15,'Dados StatusInvest'!$A:$AZ,2,0)*$F15),0)</f>
        <v>6.149257269</v>
      </c>
      <c r="U15" s="53">
        <f>IFERROR((VLOOKUP($A15,'Dados StatusInvest'!$A:$AZ,COLUMN(U15)-$A$5,0)-VLOOKUP($A15,'Dados StatusInvest'!$A:$AZ,COLUMN(U15)-$A$5-1,0)+T15),0)</f>
        <v>-0.8107427307</v>
      </c>
      <c r="V15" s="56">
        <f>IFERROR((VLOOKUP($A15,'Dados StatusInvest'!$A:$AZ,COLUMN(V15)-$A$5,0)),0)</f>
        <v>3.06</v>
      </c>
      <c r="W15" s="56">
        <f>IFERROR((VLOOKUP($A15,'Dados StatusInvest'!$A:$AZ,COLUMN(W15)-$A$5,0)),0)</f>
        <v>5.59</v>
      </c>
      <c r="X15" s="53">
        <f>IFERROR((VLOOKUP($A15,'Dados StatusInvest'!$A:$AZ,COLUMN(X15)-$A$5,0)/VLOOKUP($A15,'Dados StatusInvest'!$A:$AZ,2,0)*$F15),0)</f>
        <v>2.804061315</v>
      </c>
      <c r="Y15" s="54">
        <f>IFERROR((VLOOKUP($A15,'Dados StatusInvest'!$A:$AZ,COLUMN(Y15)-$A$5,0)/VLOOKUP($A15,'Dados StatusInvest'!$A:$AZ,2,0)*$F15),0)</f>
        <v>10.47833439</v>
      </c>
      <c r="Z15" s="56">
        <f>IFERROR((VLOOKUP($A15,'Dados StatusInvest'!$A:$AZ,COLUMN(Z15)-$A$5,0)),0)</f>
        <v>0.51</v>
      </c>
      <c r="AA15" s="57">
        <f>IFERROR((VLOOKUP($A15,'Dados StatusInvest'!$A:$AZ,COLUMN(AA15)-$A$5,0)),0)</f>
        <v>0.46</v>
      </c>
      <c r="AB15" s="57">
        <f>IFERROR((VLOOKUP($A15,'Dados StatusInvest'!$A:$AZ,COLUMN(AB15)-$A$5,0)),0)</f>
        <v>0.11</v>
      </c>
      <c r="AC15" s="58">
        <f>IFERROR((VLOOKUP($A15,'Dados StatusInvest'!$A:$AZ,COLUMN(AC15)-$A$5,0)),0)</f>
        <v>29.82</v>
      </c>
      <c r="AD15" s="57">
        <f>IFERROR((VLOOKUP($A15,'Dados StatusInvest'!$A:$AZ,COLUMN(AD15)-$A$5,0)),0)</f>
        <v>102.53</v>
      </c>
      <c r="AE15" s="56">
        <f>IFERROR((VLOOKUP($A15,'Dados StatusInvest'!$A:$AZ,COLUMN(AE15)-$A$5,0)),0)</f>
        <v>178000000</v>
      </c>
      <c r="AF15" s="56">
        <f>IFERROR((VLOOKUP($A15,'Dados StatusInvest'!$A:$AZ,COLUMN(AF15)-$A$5,0)),0)</f>
        <v>26.62</v>
      </c>
      <c r="AG15" s="56">
        <f>IFERROR((VLOOKUP($A15,'Dados StatusInvest'!$A:$AZ,COLUMN(AG15)-$A$5,0)),0)</f>
        <v>1.49</v>
      </c>
      <c r="AH15" s="56">
        <f>IFERROR((VLOOKUP($A15,'Dados StatusInvest'!$A:$AZ,COLUMN(AH15)-$A$5,0)),0)</f>
        <v>-11.03</v>
      </c>
      <c r="AI15" s="57">
        <f>IFERROR((VLOOKUP($A15,'Dados StatusInvest'!$A:$AZ,COLUMN(AI15)-$A$5,0)),0)</f>
        <v>15952601563</v>
      </c>
      <c r="AJ15" s="59" t="str">
        <f>IFERROR((VLOOKUP($A15,'Dados StatusInvest'!$A:$AZ,COLUMN(AJ15)-$A$5,0)),0)</f>
        <v/>
      </c>
      <c r="AK15" s="60">
        <f>IFERROR(__xludf.DUMMYFUNCTION("IFERROR(GOOGLEFINANCE($A15,""high""),"""")"),31.22)</f>
        <v>31.22</v>
      </c>
      <c r="AL15" s="60">
        <f>IFERROR(__xludf.DUMMYFUNCTION("IFERROR(GOOGLEFINANCE($A15,""low""),"""")"),30.93)</f>
        <v>30.93</v>
      </c>
      <c r="AM15" s="61">
        <f t="shared" si="2"/>
        <v>0.009376010346</v>
      </c>
      <c r="AN15" s="62">
        <f>IFERROR(__xludf.DUMMYFUNCTION("IFERROR((GOOGLEFINANCE($A15,""volume"")),0)"),88400.0)</f>
        <v>88400</v>
      </c>
      <c r="AO15" s="60">
        <f>IFERROR(__xludf.DUMMYFUNCTION("IFERROR((GOOGLEFINANCE($A15,""closeyest"")),"""")"),31.35)</f>
        <v>31.35</v>
      </c>
      <c r="AP15" s="60">
        <f>IFERROR(__xludf.DUMMYFUNCTION("IFERROR((GOOGLEFINANCE($A15,""shares"")),"""")"),5.04190947E8)</f>
        <v>504190947</v>
      </c>
      <c r="AQ15" s="18"/>
    </row>
    <row r="16">
      <c r="A16" s="45" t="str">
        <f>'Dados StatusInvest'!A11:A630</f>
        <v>ALPA3</v>
      </c>
      <c r="B16" s="46" t="str">
        <f>IFERROR(__xludf.DUMMYFUNCTION("IFERROR((GOOGLEFINANCE(A16,""name"")),"""")"),"Alpargatas SA")</f>
        <v>Alpargatas SA</v>
      </c>
      <c r="C16" s="46" t="str">
        <f>IFERROR((VLOOKUP(LEFT($A16,4),Setor!$A:$E,3,0)),"")</f>
        <v>Consumo Cíclico</v>
      </c>
      <c r="D16" s="46" t="str">
        <f>IFERROR((VLOOKUP(LEFT($A16,4),Setor!$A:$E,4,0)),"")</f>
        <v>Tecidos, Vestuário e Calçados</v>
      </c>
      <c r="E16" s="46" t="str">
        <f>IFERROR((VLOOKUP(LEFT($A16,4),Setor!$A:$E,5,0)),"")</f>
        <v>Calçados</v>
      </c>
      <c r="F16" s="47">
        <f>IFERROR(__xludf.DUMMYFUNCTION("IFERROR((GOOGLEFINANCE(A16)),"""")"),12.35)</f>
        <v>12.35</v>
      </c>
      <c r="G16" s="48" t="str">
        <f>IFERROR(__xludf.DUMMYFUNCTION("IFERROR((sparkline(GOOGLEFINANCE($A16,""price"",TODAY()-30,TODAY(),""DAILY""),{""charttype"",""line"";""linewidth"",1;""color"",""#5f88cc""})),"""")"),"")</f>
        <v/>
      </c>
      <c r="H16" s="49">
        <f>IFERROR(__xludf.DUMMYFUNCTION("IFERROR((((GOOGLEFINANCE(A16))-(INDEX(GoogleFinance(A16,""PRICE"",$AQ$1),2,2)))/(INDEX(GoogleFinance(A16,""PRICE"",$AQ$1),2,2))),"""")"),0.21915103652517262)</f>
        <v>0.2191510365</v>
      </c>
      <c r="I16" s="47">
        <f>IFERROR(__xludf.DUMMYFUNCTION("IFERROR((GOOGLEFINANCE($A16,""high52"")),"""")"),13.49)</f>
        <v>13.49</v>
      </c>
      <c r="J16" s="48" t="str">
        <f>IFERROR(__xludf.DUMMYFUNCTION("IFERROR((sparkline(GOOGLEFINANCE($A16,""price"",TODAY()-365,TODAY(),""DAILY""),{""charttype"",""line"";""linewidth"",1;""color"",""#5f88cc""})),"""")"),"")</f>
        <v/>
      </c>
      <c r="K16" s="50">
        <f>IFERROR(__xludf.DUMMYFUNCTION("IFERROR((((GOOGLEFINANCE(A16))-(INDEX(GoogleFinance(A16,""PRICE"",$AP$1),2,2)))/(INDEX(GoogleFinance(A16,""PRICE"",$AP$1),2,2))),"""")"),0.9236760124610591)</f>
        <v>0.9236760125</v>
      </c>
      <c r="L16" s="51">
        <f t="shared" si="1"/>
        <v>-0.08450704225</v>
      </c>
      <c r="M16" s="52">
        <f>IFERROR((VLOOKUP($A16,'Dados StatusInvest'!$A:$AZ,COLUMN(M16)-$A$5,0)*VLOOKUP($A16,'Dados StatusInvest'!$A:$AZ,2,0)/$F16/100),0)</f>
        <v>0.0878</v>
      </c>
      <c r="N16" s="53">
        <f>IFERROR((VLOOKUP($A16,'Dados StatusInvest'!$A:$AZ,COLUMN(N16)-$A$5,0)/VLOOKUP($A16,'Dados StatusInvest'!$A:$AZ,2,0)*$F16),"")</f>
        <v>8.43</v>
      </c>
      <c r="O16" s="53">
        <f>IFERROR((VLOOKUP($A16,'Dados StatusInvest'!$A:$AZ,COLUMN(O16)-$A$5,0)/VLOOKUP($A16,'Dados StatusInvest'!$A:$AZ,2,0)*$F16),0)</f>
        <v>21.67</v>
      </c>
      <c r="P16" s="54">
        <f>IFERROR((VLOOKUP($A16,'Dados StatusInvest'!$A:$AZ,COLUMN(P16)-$A$5,0)/VLOOKUP($A16,'Dados StatusInvest'!$A:$AZ,2,0)*$F16),0)</f>
        <v>22.81</v>
      </c>
      <c r="Q16" s="55">
        <f>IFERROR((VLOOKUP($A16,'Dados StatusInvest'!$A:$AZ,COLUMN(Q16)-$A$5,0)/100),0)</f>
        <v>-0.0099</v>
      </c>
      <c r="R16" s="56">
        <f>VLOOKUP($A16,'Dados StatusInvest'!$A:$AZ,COLUMN(R16)-$A$5,0)</f>
        <v>-0.09</v>
      </c>
      <c r="S16" s="56">
        <f>IFERROR((VLOOKUP($A16,'Dados StatusInvest'!$A:$AZ,COLUMN(S16)-$A$5,0)),0)</f>
        <v>1.9</v>
      </c>
      <c r="T16" s="53">
        <f>IFERROR((VLOOKUP($A16,'Dados StatusInvest'!$A:$AZ,COLUMN(T16)-$A$5,0)/VLOOKUP($A16,'Dados StatusInvest'!$A:$AZ,2,0)*$F16),0)</f>
        <v>4.62</v>
      </c>
      <c r="U16" s="53">
        <f>IFERROR((VLOOKUP($A16,'Dados StatusInvest'!$A:$AZ,COLUMN(U16)-$A$5,0)-VLOOKUP($A16,'Dados StatusInvest'!$A:$AZ,COLUMN(U16)-$A$5-1,0)+T16),0)</f>
        <v>-2.72</v>
      </c>
      <c r="V16" s="56">
        <f>IFERROR((VLOOKUP($A16,'Dados StatusInvest'!$A:$AZ,COLUMN(V16)-$A$5,0)),0)</f>
        <v>2.4</v>
      </c>
      <c r="W16" s="56">
        <f>IFERROR((VLOOKUP($A16,'Dados StatusInvest'!$A:$AZ,COLUMN(W16)-$A$5,0)),0)</f>
        <v>8.69</v>
      </c>
      <c r="X16" s="53">
        <f>IFERROR((VLOOKUP($A16,'Dados StatusInvest'!$A:$AZ,COLUMN(X16)-$A$5,0)/VLOOKUP($A16,'Dados StatusInvest'!$A:$AZ,2,0)*$F16),0)</f>
        <v>5.99</v>
      </c>
      <c r="Y16" s="54">
        <f>IFERROR((VLOOKUP($A16,'Dados StatusInvest'!$A:$AZ,COLUMN(Y16)-$A$5,0)/VLOOKUP($A16,'Dados StatusInvest'!$A:$AZ,2,0)*$F16),0)</f>
        <v>7.82</v>
      </c>
      <c r="Z16" s="56">
        <f>IFERROR((VLOOKUP($A16,'Dados StatusInvest'!$A:$AZ,COLUMN(Z16)-$A$5,0)),0)</f>
        <v>0.69</v>
      </c>
      <c r="AA16" s="57">
        <f>IFERROR((VLOOKUP($A16,'Dados StatusInvest'!$A:$AZ,COLUMN(AA16)-$A$5,0)),0)</f>
        <v>0.31</v>
      </c>
      <c r="AB16" s="57">
        <f>IFERROR((VLOOKUP($A16,'Dados StatusInvest'!$A:$AZ,COLUMN(AB16)-$A$5,0)),0)</f>
        <v>0.71</v>
      </c>
      <c r="AC16" s="58">
        <f>IFERROR((VLOOKUP($A16,'Dados StatusInvest'!$A:$AZ,COLUMN(AC16)-$A$5,0)),0)</f>
        <v>2.05</v>
      </c>
      <c r="AD16" s="57">
        <f>IFERROR((VLOOKUP($A16,'Dados StatusInvest'!$A:$AZ,COLUMN(AD16)-$A$5,0)),0)</f>
        <v>6.4</v>
      </c>
      <c r="AE16" s="56">
        <f>IFERROR((VLOOKUP($A16,'Dados StatusInvest'!$A:$AZ,COLUMN(AE16)-$A$5,0)),0)</f>
        <v>270396</v>
      </c>
      <c r="AF16" s="56">
        <f>IFERROR((VLOOKUP($A16,'Dados StatusInvest'!$A:$AZ,COLUMN(AF16)-$A$5,0)),0)</f>
        <v>6.3</v>
      </c>
      <c r="AG16" s="56">
        <f>IFERROR((VLOOKUP($A16,'Dados StatusInvest'!$A:$AZ,COLUMN(AG16)-$A$5,0)),0)</f>
        <v>0.55</v>
      </c>
      <c r="AH16" s="56">
        <f>IFERROR((VLOOKUP($A16,'Dados StatusInvest'!$A:$AZ,COLUMN(AH16)-$A$5,0)),0)</f>
        <v>-0.18</v>
      </c>
      <c r="AI16" s="57">
        <f>IFERROR((VLOOKUP($A16,'Dados StatusInvest'!$A:$AZ,COLUMN(AI16)-$A$5,0)),0)</f>
        <v>9260342121</v>
      </c>
      <c r="AJ16" s="59" t="str">
        <f>IFERROR((VLOOKUP($A16,'Dados StatusInvest'!$A:$AZ,COLUMN(AJ16)-$A$5,0)),0)</f>
        <v/>
      </c>
      <c r="AK16" s="60">
        <f>IFERROR(__xludf.DUMMYFUNCTION("IFERROR(GOOGLEFINANCE($A16,""high""),"""")"),12.35)</f>
        <v>12.35</v>
      </c>
      <c r="AL16" s="60">
        <f>IFERROR(__xludf.DUMMYFUNCTION("IFERROR(GOOGLEFINANCE($A16,""low""),"""")"),12.35)</f>
        <v>12.35</v>
      </c>
      <c r="AM16" s="61">
        <f t="shared" si="2"/>
        <v>0</v>
      </c>
      <c r="AN16" s="62">
        <f>IFERROR(__xludf.DUMMYFUNCTION("IFERROR((GOOGLEFINANCE($A16,""volume"")),0)"),200.0)</f>
        <v>200</v>
      </c>
      <c r="AO16" s="60">
        <f>IFERROR(__xludf.DUMMYFUNCTION("IFERROR((GOOGLEFINANCE($A16,""closeyest"")),"""")"),12.35)</f>
        <v>12.35</v>
      </c>
      <c r="AP16" s="60">
        <f>IFERROR(__xludf.DUMMYFUNCTION("IFERROR((GOOGLEFINANCE($A16,""shares"")),"""")"),3.39510689E8)</f>
        <v>339510689</v>
      </c>
      <c r="AQ16" s="18"/>
    </row>
    <row r="17">
      <c r="A17" s="45" t="str">
        <f>'Dados StatusInvest'!A12:A631</f>
        <v>ALPA4</v>
      </c>
      <c r="B17" s="46" t="str">
        <f>IFERROR(__xludf.DUMMYFUNCTION("IFERROR((GOOGLEFINANCE(A17,""name"")),"""")"),"Alpargatas SA Preference Shares")</f>
        <v>Alpargatas SA Preference Shares</v>
      </c>
      <c r="C17" s="46" t="str">
        <f>IFERROR((VLOOKUP(LEFT($A17,4),Setor!$A:$E,3,0)),"")</f>
        <v>Consumo Cíclico</v>
      </c>
      <c r="D17" s="46" t="str">
        <f>IFERROR((VLOOKUP(LEFT($A17,4),Setor!$A:$E,4,0)),"")</f>
        <v>Tecidos, Vestuário e Calçados</v>
      </c>
      <c r="E17" s="46" t="str">
        <f>IFERROR((VLOOKUP(LEFT($A17,4),Setor!$A:$E,5,0)),"")</f>
        <v>Calçados</v>
      </c>
      <c r="F17" s="47">
        <f>IFERROR(__xludf.DUMMYFUNCTION("IFERROR((GOOGLEFINANCE(A17)),"""")"),14.51)</f>
        <v>14.51</v>
      </c>
      <c r="G17" s="48" t="str">
        <f>IFERROR(__xludf.DUMMYFUNCTION("IFERROR((sparkline(GOOGLEFINANCE($A17,""price"",TODAY()-30,TODAY(),""DAILY""),{""charttype"",""line"";""linewidth"",1;""color"",""#5f88cc""})),"""")"),"")</f>
        <v/>
      </c>
      <c r="H17" s="49">
        <f>IFERROR(__xludf.DUMMYFUNCTION("IFERROR((((GOOGLEFINANCE(A17))-(INDEX(GoogleFinance(A17,""PRICE"",$AQ$1),2,2)))/(INDEX(GoogleFinance(A17,""PRICE"",$AQ$1),2,2))),"""")"),0.12219644238205724)</f>
        <v>0.1221964424</v>
      </c>
      <c r="I17" s="47">
        <f>IFERROR(__xludf.DUMMYFUNCTION("IFERROR((GOOGLEFINANCE($A17,""high52"")),"""")"),16.22)</f>
        <v>16.22</v>
      </c>
      <c r="J17" s="48" t="str">
        <f>IFERROR(__xludf.DUMMYFUNCTION("IFERROR((sparkline(GOOGLEFINANCE($A17,""price"",TODAY()-365,TODAY(),""DAILY""),{""charttype"",""line"";""linewidth"",1;""color"",""#5f88cc""})),"""")"),"")</f>
        <v/>
      </c>
      <c r="K17" s="50">
        <f>IFERROR(__xludf.DUMMYFUNCTION("IFERROR((((GOOGLEFINANCE(A17))-(INDEX(GoogleFinance(A17,""PRICE"",$AP$1),2,2)))/(INDEX(GoogleFinance(A17,""PRICE"",$AP$1),2,2))),"""")"),1.1151603498542273)</f>
        <v>1.11516035</v>
      </c>
      <c r="L17" s="51">
        <f t="shared" si="1"/>
        <v>-0.1054254007</v>
      </c>
      <c r="M17" s="52">
        <f>IFERROR((VLOOKUP($A17,'Dados StatusInvest'!$A:$AZ,COLUMN(M17)-$A$5,0)*VLOOKUP($A17,'Dados StatusInvest'!$A:$AZ,2,0)/$F17/100),0)</f>
        <v>0.08925223983</v>
      </c>
      <c r="N17" s="53">
        <f>IFERROR((VLOOKUP($A17,'Dados StatusInvest'!$A:$AZ,COLUMN(N17)-$A$5,0)/VLOOKUP($A17,'Dados StatusInvest'!$A:$AZ,2,0)*$F17),"")</f>
        <v>8.292833898</v>
      </c>
      <c r="O17" s="53">
        <f>IFERROR((VLOOKUP($A17,'Dados StatusInvest'!$A:$AZ,COLUMN(O17)-$A$5,0)/VLOOKUP($A17,'Dados StatusInvest'!$A:$AZ,2,0)*$F17),0)</f>
        <v>25.46873898</v>
      </c>
      <c r="P17" s="54">
        <f>IFERROR((VLOOKUP($A17,'Dados StatusInvest'!$A:$AZ,COLUMN(P17)-$A$5,0)/VLOOKUP($A17,'Dados StatusInvest'!$A:$AZ,2,0)*$F17),0)</f>
        <v>22.43885424</v>
      </c>
      <c r="Q17" s="55">
        <f>IFERROR((VLOOKUP($A17,'Dados StatusInvest'!$A:$AZ,COLUMN(Q17)-$A$5,0)/100),0)</f>
        <v>-0.0099</v>
      </c>
      <c r="R17" s="56">
        <f>VLOOKUP($A17,'Dados StatusInvest'!$A:$AZ,COLUMN(R17)-$A$5,0)</f>
        <v>-0.09</v>
      </c>
      <c r="S17" s="56">
        <f>IFERROR((VLOOKUP($A17,'Dados StatusInvest'!$A:$AZ,COLUMN(S17)-$A$5,0)),0)</f>
        <v>2.27</v>
      </c>
      <c r="T17" s="53">
        <f>IFERROR((VLOOKUP($A17,'Dados StatusInvest'!$A:$AZ,COLUMN(T17)-$A$5,0)/VLOOKUP($A17,'Dados StatusInvest'!$A:$AZ,2,0)*$F17),0)</f>
        <v>5.430183051</v>
      </c>
      <c r="U17" s="53">
        <f>IFERROR((VLOOKUP($A17,'Dados StatusInvest'!$A:$AZ,COLUMN(U17)-$A$5,0)-VLOOKUP($A17,'Dados StatusInvest'!$A:$AZ,COLUMN(U17)-$A$5-1,0)+T17),0)</f>
        <v>-3.329816949</v>
      </c>
      <c r="V17" s="56">
        <f>IFERROR((VLOOKUP($A17,'Dados StatusInvest'!$A:$AZ,COLUMN(V17)-$A$5,0)),0)</f>
        <v>2.4</v>
      </c>
      <c r="W17" s="56">
        <f>IFERROR((VLOOKUP($A17,'Dados StatusInvest'!$A:$AZ,COLUMN(W17)-$A$5,0)),0)</f>
        <v>8.69</v>
      </c>
      <c r="X17" s="53">
        <f>IFERROR((VLOOKUP($A17,'Dados StatusInvest'!$A:$AZ,COLUMN(X17)-$A$5,0)/VLOOKUP($A17,'Dados StatusInvest'!$A:$AZ,2,0)*$F17),0)</f>
        <v>5.892535593</v>
      </c>
      <c r="Y17" s="54">
        <f>IFERROR((VLOOKUP($A17,'Dados StatusInvest'!$A:$AZ,COLUMN(Y17)-$A$5,0)/VLOOKUP($A17,'Dados StatusInvest'!$A:$AZ,2,0)*$F17),0)</f>
        <v>7.692759322</v>
      </c>
      <c r="Z17" s="56">
        <f>IFERROR((VLOOKUP($A17,'Dados StatusInvest'!$A:$AZ,COLUMN(Z17)-$A$5,0)),0)</f>
        <v>0.69</v>
      </c>
      <c r="AA17" s="57">
        <f>IFERROR((VLOOKUP($A17,'Dados StatusInvest'!$A:$AZ,COLUMN(AA17)-$A$5,0)),0)</f>
        <v>0.31</v>
      </c>
      <c r="AB17" s="57">
        <f>IFERROR((VLOOKUP($A17,'Dados StatusInvest'!$A:$AZ,COLUMN(AB17)-$A$5,0)),0)</f>
        <v>0.71</v>
      </c>
      <c r="AC17" s="58">
        <f>IFERROR((VLOOKUP($A17,'Dados StatusInvest'!$A:$AZ,COLUMN(AC17)-$A$5,0)),0)</f>
        <v>2.05</v>
      </c>
      <c r="AD17" s="57">
        <f>IFERROR((VLOOKUP($A17,'Dados StatusInvest'!$A:$AZ,COLUMN(AD17)-$A$5,0)),0)</f>
        <v>6.4</v>
      </c>
      <c r="AE17" s="56">
        <f>IFERROR((VLOOKUP($A17,'Dados StatusInvest'!$A:$AZ,COLUMN(AE17)-$A$5,0)),0)</f>
        <v>36061574</v>
      </c>
      <c r="AF17" s="56">
        <f>IFERROR((VLOOKUP($A17,'Dados StatusInvest'!$A:$AZ,COLUMN(AF17)-$A$5,0)),0)</f>
        <v>6.3</v>
      </c>
      <c r="AG17" s="56">
        <f>IFERROR((VLOOKUP($A17,'Dados StatusInvest'!$A:$AZ,COLUMN(AG17)-$A$5,0)),0)</f>
        <v>0.55</v>
      </c>
      <c r="AH17" s="56">
        <f>IFERROR((VLOOKUP($A17,'Dados StatusInvest'!$A:$AZ,COLUMN(AH17)-$A$5,0)),0)</f>
        <v>-0.22</v>
      </c>
      <c r="AI17" s="57">
        <f>IFERROR((VLOOKUP($A17,'Dados StatusInvest'!$A:$AZ,COLUMN(AI17)-$A$5,0)),0)</f>
        <v>9260342121</v>
      </c>
      <c r="AJ17" s="59" t="str">
        <f>IFERROR((VLOOKUP($A17,'Dados StatusInvest'!$A:$AZ,COLUMN(AJ17)-$A$5,0)),0)</f>
        <v/>
      </c>
      <c r="AK17" s="60">
        <f>IFERROR(__xludf.DUMMYFUNCTION("IFERROR(GOOGLEFINANCE($A17,""high""),"""")"),14.74)</f>
        <v>14.74</v>
      </c>
      <c r="AL17" s="60">
        <f>IFERROR(__xludf.DUMMYFUNCTION("IFERROR(GOOGLEFINANCE($A17,""low""),"""")"),14.36)</f>
        <v>14.36</v>
      </c>
      <c r="AM17" s="61">
        <f t="shared" si="2"/>
        <v>0.02646239554</v>
      </c>
      <c r="AN17" s="62">
        <f>IFERROR(__xludf.DUMMYFUNCTION("IFERROR((GOOGLEFINANCE($A17,""volume"")),0)"),100300.0)</f>
        <v>100300</v>
      </c>
      <c r="AO17" s="60">
        <f>IFERROR(__xludf.DUMMYFUNCTION("IFERROR((GOOGLEFINANCE($A17,""closeyest"")),"""")"),14.75)</f>
        <v>14.75</v>
      </c>
      <c r="AP17" s="60" t="str">
        <f>IFERROR(__xludf.DUMMYFUNCTION("IFERROR((GOOGLEFINANCE($A17,""shares"")),"""")"),"")</f>
        <v/>
      </c>
      <c r="AQ17" s="18"/>
    </row>
    <row r="18">
      <c r="A18" s="45" t="str">
        <f>'Dados StatusInvest'!A13:A632</f>
        <v>ALPK3</v>
      </c>
      <c r="B18" s="46" t="str">
        <f>IFERROR(__xludf.DUMMYFUNCTION("IFERROR((GOOGLEFINANCE(A18,""name"")),"""")"),"Allpark Empreendimentos Prtcpcs Srvcs SA")</f>
        <v>Allpark Empreendimentos Prtcpcs Srvcs SA</v>
      </c>
      <c r="C18" s="46" t="str">
        <f>IFERROR((VLOOKUP(LEFT($A18,4),Setor!$A:$E,3,0)),"")</f>
        <v>Bens Industriais</v>
      </c>
      <c r="D18" s="46" t="str">
        <f>IFERROR((VLOOKUP(LEFT($A18,4),Setor!$A:$E,4,0)),"")</f>
        <v>Serviços Diversos</v>
      </c>
      <c r="E18" s="46" t="str">
        <f>IFERROR((VLOOKUP(LEFT($A18,4),Setor!$A:$E,5,0)),"")</f>
        <v>Serviços Diversos</v>
      </c>
      <c r="F18" s="47">
        <f>IFERROR(__xludf.DUMMYFUNCTION("IFERROR((GOOGLEFINANCE(A18)),"""")"),5.36)</f>
        <v>5.36</v>
      </c>
      <c r="G18" s="48" t="str">
        <f>IFERROR(__xludf.DUMMYFUNCTION("IFERROR((sparkline(GOOGLEFINANCE($A18,""price"",TODAY()-30,TODAY(),""DAILY""),{""charttype"",""line"";""linewidth"",1;""color"",""#5f88cc""})),"""")"),"")</f>
        <v/>
      </c>
      <c r="H18" s="49">
        <f>IFERROR(__xludf.DUMMYFUNCTION("IFERROR((((GOOGLEFINANCE(A18))-(INDEX(GoogleFinance(A18,""PRICE"",$AQ$1),2,2)))/(INDEX(GoogleFinance(A18,""PRICE"",$AQ$1),2,2))),"""")"),0.16268980477223427)</f>
        <v>0.1626898048</v>
      </c>
      <c r="I18" s="47">
        <f>IFERROR(__xludf.DUMMYFUNCTION("IFERROR((GOOGLEFINANCE($A18,""high52"")),"""")"),5.37)</f>
        <v>5.37</v>
      </c>
      <c r="J18" s="48" t="str">
        <f>IFERROR(__xludf.DUMMYFUNCTION("IFERROR((sparkline(GOOGLEFINANCE($A18,""price"",TODAY()-365,TODAY(),""DAILY""),{""charttype"",""line"";""linewidth"",1;""color"",""#5f88cc""})),"""")"),"")</f>
        <v/>
      </c>
      <c r="K18" s="50">
        <f>IFERROR(__xludf.DUMMYFUNCTION("IFERROR((((GOOGLEFINANCE(A18))-(INDEX(GoogleFinance(A18,""PRICE"",$AP$1),2,2)))/(INDEX(GoogleFinance(A18,""PRICE"",$AP$1),2,2))),"""")"),0.7866666666666667)</f>
        <v>0.7866666667</v>
      </c>
      <c r="L18" s="51">
        <f t="shared" si="1"/>
        <v>-0.001862197393</v>
      </c>
      <c r="M18" s="52">
        <f>IFERROR((VLOOKUP($A18,'Dados StatusInvest'!$A:$AZ,COLUMN(M18)-$A$5,0)*VLOOKUP($A18,'Dados StatusInvest'!$A:$AZ,2,0)/$F18/100),0)</f>
        <v>0.1369873134</v>
      </c>
      <c r="N18" s="53">
        <f>IFERROR((VLOOKUP($A18,'Dados StatusInvest'!$A:$AZ,COLUMN(N18)-$A$5,0)/VLOOKUP($A18,'Dados StatusInvest'!$A:$AZ,2,0)*$F18),"")</f>
        <v>0.08105860113</v>
      </c>
      <c r="O18" s="53">
        <f>IFERROR((VLOOKUP($A18,'Dados StatusInvest'!$A:$AZ,COLUMN(O18)-$A$5,0)/VLOOKUP($A18,'Dados StatusInvest'!$A:$AZ,2,0)*$F18),0)</f>
        <v>4.701398866</v>
      </c>
      <c r="P18" s="54">
        <f>IFERROR((VLOOKUP($A18,'Dados StatusInvest'!$A:$AZ,COLUMN(P18)-$A$5,0)/VLOOKUP($A18,'Dados StatusInvest'!$A:$AZ,2,0)*$F18),0)</f>
        <v>9.443327032</v>
      </c>
      <c r="Q18" s="55">
        <f>IFERROR((VLOOKUP($A18,'Dados StatusInvest'!$A:$AZ,COLUMN(Q18)-$A$5,0)/100),0)</f>
        <v>0.0469</v>
      </c>
      <c r="R18" s="56">
        <f>VLOOKUP($A18,'Dados StatusInvest'!$A:$AZ,COLUMN(R18)-$A$5,0)</f>
        <v>3.29</v>
      </c>
      <c r="S18" s="56">
        <f>IFERROR((VLOOKUP($A18,'Dados StatusInvest'!$A:$AZ,COLUMN(S18)-$A$5,0)),0)</f>
        <v>0.64</v>
      </c>
      <c r="T18" s="53">
        <f>IFERROR((VLOOKUP($A18,'Dados StatusInvest'!$A:$AZ,COLUMN(T18)-$A$5,0)/VLOOKUP($A18,'Dados StatusInvest'!$A:$AZ,2,0)*$F18),0)</f>
        <v>-9.960075614</v>
      </c>
      <c r="U18" s="53">
        <f>IFERROR((VLOOKUP($A18,'Dados StatusInvest'!$A:$AZ,COLUMN(U18)-$A$5,0)-VLOOKUP($A18,'Dados StatusInvest'!$A:$AZ,COLUMN(U18)-$A$5-1,0)+T18),0)</f>
        <v>-0.7000756144</v>
      </c>
      <c r="V18" s="56">
        <f>IFERROR((VLOOKUP($A18,'Dados StatusInvest'!$A:$AZ,COLUMN(V18)-$A$5,0)),0)</f>
        <v>0.82</v>
      </c>
      <c r="W18" s="56">
        <f>IFERROR((VLOOKUP($A18,'Dados StatusInvest'!$A:$AZ,COLUMN(W18)-$A$5,0)),0)</f>
        <v>0.4</v>
      </c>
      <c r="X18" s="53">
        <f>IFERROR((VLOOKUP($A18,'Dados StatusInvest'!$A:$AZ,COLUMN(X18)-$A$5,0)/VLOOKUP($A18,'Dados StatusInvest'!$A:$AZ,2,0)*$F18),0)</f>
        <v>0.05066162571</v>
      </c>
      <c r="Y18" s="54">
        <f>IFERROR((VLOOKUP($A18,'Dados StatusInvest'!$A:$AZ,COLUMN(Y18)-$A$5,0)/VLOOKUP($A18,'Dados StatusInvest'!$A:$AZ,2,0)*$F18),0)</f>
        <v>12.90858223</v>
      </c>
      <c r="Z18" s="56">
        <f>IFERROR((VLOOKUP($A18,'Dados StatusInvest'!$A:$AZ,COLUMN(Z18)-$A$5,0)),0)</f>
        <v>0.14</v>
      </c>
      <c r="AA18" s="57">
        <f>IFERROR((VLOOKUP($A18,'Dados StatusInvest'!$A:$AZ,COLUMN(AA18)-$A$5,0)),0)</f>
        <v>0.86</v>
      </c>
      <c r="AB18" s="57">
        <f>IFERROR((VLOOKUP($A18,'Dados StatusInvest'!$A:$AZ,COLUMN(AB18)-$A$5,0)),0)</f>
        <v>0.7</v>
      </c>
      <c r="AC18" s="58">
        <f>IFERROR((VLOOKUP($A18,'Dados StatusInvest'!$A:$AZ,COLUMN(AC18)-$A$5,0)),0)</f>
        <v>7.96</v>
      </c>
      <c r="AD18" s="57">
        <f>IFERROR((VLOOKUP($A18,'Dados StatusInvest'!$A:$AZ,COLUMN(AD18)-$A$5,0)),0)</f>
        <v>0</v>
      </c>
      <c r="AE18" s="56">
        <f>IFERROR((VLOOKUP($A18,'Dados StatusInvest'!$A:$AZ,COLUMN(AE18)-$A$5,0)),0)</f>
        <v>997644.2</v>
      </c>
      <c r="AF18" s="56">
        <f>IFERROR((VLOOKUP($A18,'Dados StatusInvest'!$A:$AZ,COLUMN(AF18)-$A$5,0)),0)</f>
        <v>1.63</v>
      </c>
      <c r="AG18" s="56">
        <f>IFERROR((VLOOKUP($A18,'Dados StatusInvest'!$A:$AZ,COLUMN(AG18)-$A$5,0)),0)</f>
        <v>0.01</v>
      </c>
      <c r="AH18" s="56">
        <f>IFERROR((VLOOKUP($A18,'Dados StatusInvest'!$A:$AZ,COLUMN(AH18)-$A$5,0)),0)</f>
        <v>-7.71</v>
      </c>
      <c r="AI18" s="57">
        <f>IFERROR((VLOOKUP($A18,'Dados StatusInvest'!$A:$AZ,COLUMN(AI18)-$A$5,0)),0)</f>
        <v>1160127328</v>
      </c>
      <c r="AJ18" s="59" t="str">
        <f>IFERROR((VLOOKUP($A18,'Dados StatusInvest'!$A:$AZ,COLUMN(AJ18)-$A$5,0)),0)</f>
        <v/>
      </c>
      <c r="AK18" s="60">
        <f>IFERROR(__xludf.DUMMYFUNCTION("IFERROR(GOOGLEFINANCE($A18,""high""),"""")"),5.36)</f>
        <v>5.36</v>
      </c>
      <c r="AL18" s="60">
        <f>IFERROR(__xludf.DUMMYFUNCTION("IFERROR(GOOGLEFINANCE($A18,""low""),"""")"),5.24)</f>
        <v>5.24</v>
      </c>
      <c r="AM18" s="61">
        <f t="shared" si="2"/>
        <v>0.02290076336</v>
      </c>
      <c r="AN18" s="62">
        <f>IFERROR(__xludf.DUMMYFUNCTION("IFERROR((GOOGLEFINANCE($A18,""volume"")),0)"),61800.0)</f>
        <v>61800</v>
      </c>
      <c r="AO18" s="60">
        <f>IFERROR(__xludf.DUMMYFUNCTION("IFERROR((GOOGLEFINANCE($A18,""closeyest"")),"""")"),5.29)</f>
        <v>5.29</v>
      </c>
      <c r="AP18" s="60">
        <f>IFERROR(__xludf.DUMMYFUNCTION("IFERROR((GOOGLEFINANCE($A18,""shares"")),"""")"),2.19305733E8)</f>
        <v>219305733</v>
      </c>
      <c r="AQ18" s="18"/>
    </row>
    <row r="19">
      <c r="A19" s="45" t="str">
        <f>'Dados StatusInvest'!A14:A633</f>
        <v>ALUP11</v>
      </c>
      <c r="B19" s="46" t="str">
        <f>IFERROR(__xludf.DUMMYFUNCTION("IFERROR((GOOGLEFINANCE(A19,""name"")),"""")"),"Alupar Investimento SA Unit")</f>
        <v>Alupar Investimento SA Unit</v>
      </c>
      <c r="C19" s="46" t="str">
        <f>IFERROR((VLOOKUP(LEFT($A19,4),Setor!$A:$E,3,0)),"")</f>
        <v>Utilidade Pública</v>
      </c>
      <c r="D19" s="46" t="str">
        <f>IFERROR((VLOOKUP(LEFT($A19,4),Setor!$A:$E,4,0)),"")</f>
        <v>Energia Elétrica</v>
      </c>
      <c r="E19" s="46" t="str">
        <f>IFERROR((VLOOKUP(LEFT($A19,4),Setor!$A:$E,5,0)),"")</f>
        <v>Energia Elétrica</v>
      </c>
      <c r="F19" s="47">
        <f>IFERROR(__xludf.DUMMYFUNCTION("IFERROR((GOOGLEFINANCE(A19)),"""")"),35.92)</f>
        <v>35.92</v>
      </c>
      <c r="G19" s="48" t="str">
        <f>IFERROR(__xludf.DUMMYFUNCTION("IFERROR((sparkline(GOOGLEFINANCE($A19,""price"",TODAY()-30,TODAY(),""DAILY""),{""charttype"",""line"";""linewidth"",1;""color"",""#5f88cc""})),"""")"),"")</f>
        <v/>
      </c>
      <c r="H19" s="49">
        <f>IFERROR(__xludf.DUMMYFUNCTION("IFERROR((((GOOGLEFINANCE(A19))-(INDEX(GoogleFinance(A19,""PRICE"",$AQ$1),2,2)))/(INDEX(GoogleFinance(A19,""PRICE"",$AQ$1),2,2))),"""")"),0.05958702064896765)</f>
        <v>0.05958702065</v>
      </c>
      <c r="I19" s="47">
        <f>IFERROR(__xludf.DUMMYFUNCTION("IFERROR((GOOGLEFINANCE($A19,""high52"")),"""")"),36.44)</f>
        <v>36.44</v>
      </c>
      <c r="J19" s="48" t="str">
        <f>IFERROR(__xludf.DUMMYFUNCTION("IFERROR((sparkline(GOOGLEFINANCE($A19,""price"",TODAY()-365,TODAY(),""DAILY""),{""charttype"",""line"";""linewidth"",1;""color"",""#5f88cc""})),"""")"),"")</f>
        <v/>
      </c>
      <c r="K19" s="50">
        <f>IFERROR(__xludf.DUMMYFUNCTION("IFERROR((((GOOGLEFINANCE(A19))-(INDEX(GoogleFinance(A19,""PRICE"",$AP$1),2,2)))/(INDEX(GoogleFinance(A19,""PRICE"",$AP$1),2,2))),"""")"),0.3171983865053173)</f>
        <v>0.3171983865</v>
      </c>
      <c r="L19" s="51">
        <f t="shared" si="1"/>
        <v>-0.01427003293</v>
      </c>
      <c r="M19" s="52">
        <f>IFERROR((VLOOKUP($A19,'Dados StatusInvest'!$A:$AZ,COLUMN(M19)-$A$5,0)*VLOOKUP($A19,'Dados StatusInvest'!$A:$AZ,2,0)/$F19/100),0)</f>
        <v>0.7189867483</v>
      </c>
      <c r="N19" s="53">
        <f>IFERROR((VLOOKUP($A19,'Dados StatusInvest'!$A:$AZ,COLUMN(N19)-$A$5,0)/VLOOKUP($A19,'Dados StatusInvest'!$A:$AZ,2,0)*$F19),"")</f>
        <v>26.57423109</v>
      </c>
      <c r="O19" s="53">
        <f>IFERROR((VLOOKUP($A19,'Dados StatusInvest'!$A:$AZ,COLUMN(O19)-$A$5,0)/VLOOKUP($A19,'Dados StatusInvest'!$A:$AZ,2,0)*$F19),0)</f>
        <v>3.7920532</v>
      </c>
      <c r="P19" s="54">
        <f>IFERROR((VLOOKUP($A19,'Dados StatusInvest'!$A:$AZ,COLUMN(P19)-$A$5,0)/VLOOKUP($A19,'Dados StatusInvest'!$A:$AZ,2,0)*$F19),0)</f>
        <v>6.748063175</v>
      </c>
      <c r="Q19" s="55">
        <f>IFERROR((VLOOKUP($A19,'Dados StatusInvest'!$A:$AZ,COLUMN(Q19)-$A$5,0)/100),0)</f>
        <v>0.0297</v>
      </c>
      <c r="R19" s="56">
        <f>VLOOKUP($A19,'Dados StatusInvest'!$A:$AZ,COLUMN(R19)-$A$5,0)</f>
        <v>1.03</v>
      </c>
      <c r="S19" s="56">
        <f>IFERROR((VLOOKUP($A19,'Dados StatusInvest'!$A:$AZ,COLUMN(S19)-$A$5,0)),0)</f>
        <v>2.73</v>
      </c>
      <c r="T19" s="53">
        <f>IFERROR((VLOOKUP($A19,'Dados StatusInvest'!$A:$AZ,COLUMN(T19)-$A$5,0)/VLOOKUP($A19,'Dados StatusInvest'!$A:$AZ,2,0)*$F19),0)</f>
        <v>3.204832364</v>
      </c>
      <c r="U19" s="53">
        <f>IFERROR((VLOOKUP($A19,'Dados StatusInvest'!$A:$AZ,COLUMN(U19)-$A$5,0)-VLOOKUP($A19,'Dados StatusInvest'!$A:$AZ,COLUMN(U19)-$A$5-1,0)+T19),0)</f>
        <v>-0.4851676365</v>
      </c>
      <c r="V19" s="56">
        <f>IFERROR((VLOOKUP($A19,'Dados StatusInvest'!$A:$AZ,COLUMN(V19)-$A$5,0)),0)</f>
        <v>2.55</v>
      </c>
      <c r="W19" s="56">
        <f>IFERROR((VLOOKUP($A19,'Dados StatusInvest'!$A:$AZ,COLUMN(W19)-$A$5,0)),0)</f>
        <v>12.93</v>
      </c>
      <c r="X19" s="53">
        <f>IFERROR((VLOOKUP($A19,'Dados StatusInvest'!$A:$AZ,COLUMN(X19)-$A$5,0)/VLOOKUP($A19,'Dados StatusInvest'!$A:$AZ,2,0)*$F19),0)</f>
        <v>3.682571349</v>
      </c>
      <c r="Y19" s="54">
        <f>IFERROR((VLOOKUP($A19,'Dados StatusInvest'!$A:$AZ,COLUMN(Y19)-$A$5,0)/VLOOKUP($A19,'Dados StatusInvest'!$A:$AZ,2,0)*$F19),0)</f>
        <v>10.75908008</v>
      </c>
      <c r="Z19" s="56">
        <f>IFERROR((VLOOKUP($A19,'Dados StatusInvest'!$A:$AZ,COLUMN(Z19)-$A$5,0)),0)</f>
        <v>0.29</v>
      </c>
      <c r="AA19" s="57">
        <f>IFERROR((VLOOKUP($A19,'Dados StatusInvest'!$A:$AZ,COLUMN(AA19)-$A$5,0)),0)</f>
        <v>0.61</v>
      </c>
      <c r="AB19" s="57">
        <f>IFERROR((VLOOKUP($A19,'Dados StatusInvest'!$A:$AZ,COLUMN(AB19)-$A$5,0)),0)</f>
        <v>0.14</v>
      </c>
      <c r="AC19" s="58">
        <f>IFERROR((VLOOKUP($A19,'Dados StatusInvest'!$A:$AZ,COLUMN(AC19)-$A$5,0)),0)</f>
        <v>-2.71</v>
      </c>
      <c r="AD19" s="57">
        <f>IFERROR((VLOOKUP($A19,'Dados StatusInvest'!$A:$AZ,COLUMN(AD19)-$A$5,0)),0)</f>
        <v>5.5</v>
      </c>
      <c r="AE19" s="56">
        <f>IFERROR((VLOOKUP($A19,'Dados StatusInvest'!$A:$AZ,COLUMN(AE19)-$A$5,0)),0)</f>
        <v>32185667</v>
      </c>
      <c r="AF19" s="56">
        <f>IFERROR((VLOOKUP($A19,'Dados StatusInvest'!$A:$AZ,COLUMN(AF19)-$A$5,0)),0)</f>
        <v>27.3</v>
      </c>
      <c r="AG19" s="56">
        <f>IFERROR((VLOOKUP($A19,'Dados StatusInvest'!$A:$AZ,COLUMN(AG19)-$A$5,0)),0)</f>
        <v>3.53</v>
      </c>
      <c r="AH19" s="56">
        <f>IFERROR((VLOOKUP($A19,'Dados StatusInvest'!$A:$AZ,COLUMN(AH19)-$A$5,0)),0)</f>
        <v>0.61</v>
      </c>
      <c r="AI19" s="57">
        <f>IFERROR((VLOOKUP($A19,'Dados StatusInvest'!$A:$AZ,COLUMN(AI19)-$A$5,0)),0)</f>
        <v>11896233630</v>
      </c>
      <c r="AJ19" s="59" t="str">
        <f>IFERROR((VLOOKUP($A19,'Dados StatusInvest'!$A:$AZ,COLUMN(AJ19)-$A$5,0)),0)</f>
        <v/>
      </c>
      <c r="AK19" s="60">
        <f>IFERROR(__xludf.DUMMYFUNCTION("IFERROR(GOOGLEFINANCE($A19,""high""),"""")"),36.11)</f>
        <v>36.11</v>
      </c>
      <c r="AL19" s="60">
        <f>IFERROR(__xludf.DUMMYFUNCTION("IFERROR(GOOGLEFINANCE($A19,""low""),"""")"),35.81)</f>
        <v>35.81</v>
      </c>
      <c r="AM19" s="61">
        <f t="shared" si="2"/>
        <v>0.008377548171</v>
      </c>
      <c r="AN19" s="62">
        <f>IFERROR(__xludf.DUMMYFUNCTION("IFERROR((GOOGLEFINANCE($A19,""volume"")),0)"),9900.0)</f>
        <v>9900</v>
      </c>
      <c r="AO19" s="60">
        <f>IFERROR(__xludf.DUMMYFUNCTION("IFERROR((GOOGLEFINANCE($A19,""closeyest"")),"""")"),36.09)</f>
        <v>36.09</v>
      </c>
      <c r="AP19" s="60">
        <f>IFERROR(__xludf.DUMMYFUNCTION("IFERROR((GOOGLEFINANCE($A19,""shares"")),"""")"),0.0)</f>
        <v>0</v>
      </c>
      <c r="AQ19" s="18"/>
    </row>
    <row r="20">
      <c r="A20" s="45" t="str">
        <f>'Dados StatusInvest'!A15:A634</f>
        <v>ALUP3</v>
      </c>
      <c r="B20" s="46" t="str">
        <f>IFERROR(__xludf.DUMMYFUNCTION("IFERROR((GOOGLEFINANCE(A20,""name"")),"""")"),"Alupar Investimento SA")</f>
        <v>Alupar Investimento SA</v>
      </c>
      <c r="C20" s="46" t="str">
        <f>IFERROR((VLOOKUP(LEFT($A20,4),Setor!$A:$E,3,0)),"")</f>
        <v>Utilidade Pública</v>
      </c>
      <c r="D20" s="46" t="str">
        <f>IFERROR((VLOOKUP(LEFT($A20,4),Setor!$A:$E,4,0)),"")</f>
        <v>Energia Elétrica</v>
      </c>
      <c r="E20" s="46" t="str">
        <f>IFERROR((VLOOKUP(LEFT($A20,4),Setor!$A:$E,5,0)),"")</f>
        <v>Energia Elétrica</v>
      </c>
      <c r="F20" s="47">
        <f>IFERROR(__xludf.DUMMYFUNCTION("IFERROR((GOOGLEFINANCE(A20)),"""")"),13.28)</f>
        <v>13.28</v>
      </c>
      <c r="G20" s="48" t="str">
        <f>IFERROR(__xludf.DUMMYFUNCTION("IFERROR((sparkline(GOOGLEFINANCE($A20,""price"",TODAY()-30,TODAY(),""DAILY""),{""charttype"",""line"";""linewidth"",1;""color"",""#5f88cc""})),"""")"),"")</f>
        <v/>
      </c>
      <c r="H20" s="49">
        <f>IFERROR(__xludf.DUMMYFUNCTION("IFERROR((((GOOGLEFINANCE(A20))-(INDEX(GoogleFinance(A20,""PRICE"",$AQ$1),2,2)))/(INDEX(GoogleFinance(A20,""PRICE"",$AQ$1),2,2))),"""")"),0.09031198686371097)</f>
        <v>0.09031198686</v>
      </c>
      <c r="I20" s="47">
        <f>IFERROR(__xludf.DUMMYFUNCTION("IFERROR((GOOGLEFINANCE($A20,""high52"")),"""")"),13.8)</f>
        <v>13.8</v>
      </c>
      <c r="J20" s="48" t="str">
        <f>IFERROR(__xludf.DUMMYFUNCTION("IFERROR((sparkline(GOOGLEFINANCE($A20,""price"",TODAY()-365,TODAY(),""DAILY""),{""charttype"",""line"";""linewidth"",1;""color"",""#5f88cc""})),"""")"),"")</f>
        <v/>
      </c>
      <c r="K20" s="50">
        <f>IFERROR(__xludf.DUMMYFUNCTION("IFERROR((((GOOGLEFINANCE(A20))-(INDEX(GoogleFinance(A20,""PRICE"",$AP$1),2,2)))/(INDEX(GoogleFinance(A20,""PRICE"",$AP$1),2,2))),"""")"),0.41577825159914694)</f>
        <v>0.4157782516</v>
      </c>
      <c r="L20" s="51">
        <f t="shared" si="1"/>
        <v>-0.03768115942</v>
      </c>
      <c r="M20" s="52">
        <f>IFERROR((VLOOKUP($A20,'Dados StatusInvest'!$A:$AZ,COLUMN(M20)-$A$5,0)*VLOOKUP($A20,'Dados StatusInvest'!$A:$AZ,2,0)/$F20/100),0)</f>
        <v>0.7042840361</v>
      </c>
      <c r="N20" s="53">
        <f>IFERROR((VLOOKUP($A20,'Dados StatusInvest'!$A:$AZ,COLUMN(N20)-$A$5,0)/VLOOKUP($A20,'Dados StatusInvest'!$A:$AZ,2,0)*$F20),"")</f>
        <v>27.1289977</v>
      </c>
      <c r="O20" s="53">
        <f>IFERROR((VLOOKUP($A20,'Dados StatusInvest'!$A:$AZ,COLUMN(O20)-$A$5,0)/VLOOKUP($A20,'Dados StatusInvest'!$A:$AZ,2,0)*$F20),0)</f>
        <v>4.206518745</v>
      </c>
      <c r="P20" s="54">
        <f>IFERROR((VLOOKUP($A20,'Dados StatusInvest'!$A:$AZ,COLUMN(P20)-$A$5,0)/VLOOKUP($A20,'Dados StatusInvest'!$A:$AZ,2,0)*$F20),0)</f>
        <v>6.888936496</v>
      </c>
      <c r="Q20" s="55">
        <f>IFERROR((VLOOKUP($A20,'Dados StatusInvest'!$A:$AZ,COLUMN(Q20)-$A$5,0)/100),0)</f>
        <v>0.0297</v>
      </c>
      <c r="R20" s="56">
        <f>VLOOKUP($A20,'Dados StatusInvest'!$A:$AZ,COLUMN(R20)-$A$5,0)</f>
        <v>1.03</v>
      </c>
      <c r="S20" s="56">
        <f>IFERROR((VLOOKUP($A20,'Dados StatusInvest'!$A:$AZ,COLUMN(S20)-$A$5,0)),0)</f>
        <v>2.97</v>
      </c>
      <c r="T20" s="53">
        <f>IFERROR((VLOOKUP($A20,'Dados StatusInvest'!$A:$AZ,COLUMN(T20)-$A$5,0)/VLOOKUP($A20,'Dados StatusInvest'!$A:$AZ,2,0)*$F20),0)</f>
        <v>3.556235654</v>
      </c>
      <c r="U20" s="53">
        <f>IFERROR((VLOOKUP($A20,'Dados StatusInvest'!$A:$AZ,COLUMN(U20)-$A$5,0)-VLOOKUP($A20,'Dados StatusInvest'!$A:$AZ,COLUMN(U20)-$A$5-1,0)+T20),0)</f>
        <v>-0.4537643458</v>
      </c>
      <c r="V20" s="56">
        <f>IFERROR((VLOOKUP($A20,'Dados StatusInvest'!$A:$AZ,COLUMN(V20)-$A$5,0)),0)</f>
        <v>2.55</v>
      </c>
      <c r="W20" s="56">
        <f>IFERROR((VLOOKUP($A20,'Dados StatusInvest'!$A:$AZ,COLUMN(W20)-$A$5,0)),0)</f>
        <v>12.93</v>
      </c>
      <c r="X20" s="53">
        <f>IFERROR((VLOOKUP($A20,'Dados StatusInvest'!$A:$AZ,COLUMN(X20)-$A$5,0)/VLOOKUP($A20,'Dados StatusInvest'!$A:$AZ,2,0)*$F20),0)</f>
        <v>3.75944912</v>
      </c>
      <c r="Y20" s="54">
        <f>IFERROR((VLOOKUP($A20,'Dados StatusInvest'!$A:$AZ,COLUMN(Y20)-$A$5,0)/VLOOKUP($A20,'Dados StatusInvest'!$A:$AZ,2,0)*$F20),0)</f>
        <v>10.98368783</v>
      </c>
      <c r="Z20" s="56">
        <f>IFERROR((VLOOKUP($A20,'Dados StatusInvest'!$A:$AZ,COLUMN(Z20)-$A$5,0)),0)</f>
        <v>0.29</v>
      </c>
      <c r="AA20" s="57">
        <f>IFERROR((VLOOKUP($A20,'Dados StatusInvest'!$A:$AZ,COLUMN(AA20)-$A$5,0)),0)</f>
        <v>0.61</v>
      </c>
      <c r="AB20" s="57">
        <f>IFERROR((VLOOKUP($A20,'Dados StatusInvest'!$A:$AZ,COLUMN(AB20)-$A$5,0)),0)</f>
        <v>0.14</v>
      </c>
      <c r="AC20" s="58">
        <f>IFERROR((VLOOKUP($A20,'Dados StatusInvest'!$A:$AZ,COLUMN(AC20)-$A$5,0)),0)</f>
        <v>-2.71</v>
      </c>
      <c r="AD20" s="57">
        <f>IFERROR((VLOOKUP($A20,'Dados StatusInvest'!$A:$AZ,COLUMN(AD20)-$A$5,0)),0)</f>
        <v>5.5</v>
      </c>
      <c r="AE20" s="56">
        <f>IFERROR((VLOOKUP($A20,'Dados StatusInvest'!$A:$AZ,COLUMN(AE20)-$A$5,0)),0)</f>
        <v>120061.5</v>
      </c>
      <c r="AF20" s="56">
        <f>IFERROR((VLOOKUP($A20,'Dados StatusInvest'!$A:$AZ,COLUMN(AF20)-$A$5,0)),0)</f>
        <v>9.1</v>
      </c>
      <c r="AG20" s="56">
        <f>IFERROR((VLOOKUP($A20,'Dados StatusInvest'!$A:$AZ,COLUMN(AG20)-$A$5,0)),0)</f>
        <v>1.18</v>
      </c>
      <c r="AH20" s="56">
        <f>IFERROR((VLOOKUP($A20,'Dados StatusInvest'!$A:$AZ,COLUMN(AH20)-$A$5,0)),0)</f>
        <v>0.67</v>
      </c>
      <c r="AI20" s="57">
        <f>IFERROR((VLOOKUP($A20,'Dados StatusInvest'!$A:$AZ,COLUMN(AI20)-$A$5,0)),0)</f>
        <v>11896233630</v>
      </c>
      <c r="AJ20" s="59" t="str">
        <f>IFERROR((VLOOKUP($A20,'Dados StatusInvest'!$A:$AZ,COLUMN(AJ20)-$A$5,0)),0)</f>
        <v/>
      </c>
      <c r="AK20" s="60">
        <f>IFERROR(__xludf.DUMMYFUNCTION("IFERROR(GOOGLEFINANCE($A20,""high""),"""")"),13.28)</f>
        <v>13.28</v>
      </c>
      <c r="AL20" s="60">
        <f>IFERROR(__xludf.DUMMYFUNCTION("IFERROR(GOOGLEFINANCE($A20,""low""),"""")"),13.02)</f>
        <v>13.02</v>
      </c>
      <c r="AM20" s="61">
        <f t="shared" si="2"/>
        <v>0.01996927803</v>
      </c>
      <c r="AN20" s="62">
        <f>IFERROR(__xludf.DUMMYFUNCTION("IFERROR((GOOGLEFINANCE($A20,""volume"")),0)"),300.0)</f>
        <v>300</v>
      </c>
      <c r="AO20" s="60">
        <f>IFERROR(__xludf.DUMMYFUNCTION("IFERROR((GOOGLEFINANCE($A20,""closeyest"")),"""")"),13.07)</f>
        <v>13.07</v>
      </c>
      <c r="AP20" s="60">
        <f>IFERROR(__xludf.DUMMYFUNCTION("IFERROR((GOOGLEFINANCE($A20,""shares"")),"""")"),6.71494278E8)</f>
        <v>671494278</v>
      </c>
      <c r="AQ20" s="18"/>
    </row>
    <row r="21">
      <c r="A21" s="45" t="str">
        <f>'Dados StatusInvest'!A16:A635</f>
        <v>ALUP4</v>
      </c>
      <c r="B21" s="46" t="str">
        <f>IFERROR(__xludf.DUMMYFUNCTION("IFERROR((GOOGLEFINANCE(A21,""name"")),"""")"),"Alupar Investimento SA Preference Shares")</f>
        <v>Alupar Investimento SA Preference Shares</v>
      </c>
      <c r="C21" s="46" t="str">
        <f>IFERROR((VLOOKUP(LEFT($A21,4),Setor!$A:$E,3,0)),"")</f>
        <v>Utilidade Pública</v>
      </c>
      <c r="D21" s="46" t="str">
        <f>IFERROR((VLOOKUP(LEFT($A21,4),Setor!$A:$E,4,0)),"")</f>
        <v>Energia Elétrica</v>
      </c>
      <c r="E21" s="46" t="str">
        <f>IFERROR((VLOOKUP(LEFT($A21,4),Setor!$A:$E,5,0)),"")</f>
        <v>Energia Elétrica</v>
      </c>
      <c r="F21" s="47">
        <f>IFERROR(__xludf.DUMMYFUNCTION("IFERROR((GOOGLEFINANCE(A21)),"""")"),11.39)</f>
        <v>11.39</v>
      </c>
      <c r="G21" s="48" t="str">
        <f>IFERROR(__xludf.DUMMYFUNCTION("IFERROR((sparkline(GOOGLEFINANCE($A21,""price"",TODAY()-30,TODAY(),""DAILY""),{""charttype"",""line"";""linewidth"",1;""color"",""#5f88cc""})),"""")"),"")</f>
        <v/>
      </c>
      <c r="H21" s="49">
        <f>IFERROR(__xludf.DUMMYFUNCTION("IFERROR((((GOOGLEFINANCE(A21))-(INDEX(GoogleFinance(A21,""PRICE"",$AQ$1),2,2)))/(INDEX(GoogleFinance(A21,""PRICE"",$AQ$1),2,2))),"""")"),0.04113345521023776)</f>
        <v>0.04113345521</v>
      </c>
      <c r="I21" s="47">
        <f>IFERROR(__xludf.DUMMYFUNCTION("IFERROR((GOOGLEFINANCE($A21,""high52"")),"""")"),11.56)</f>
        <v>11.56</v>
      </c>
      <c r="J21" s="48" t="str">
        <f>IFERROR(__xludf.DUMMYFUNCTION("IFERROR((sparkline(GOOGLEFINANCE($A21,""price"",TODAY()-365,TODAY(),""DAILY""),{""charttype"",""line"";""linewidth"",1;""color"",""#5f88cc""})),"""")"),"")</f>
        <v/>
      </c>
      <c r="K21" s="50">
        <f>IFERROR(__xludf.DUMMYFUNCTION("IFERROR((((GOOGLEFINANCE(A21))-(INDEX(GoogleFinance(A21,""PRICE"",$AP$1),2,2)))/(INDEX(GoogleFinance(A21,""PRICE"",$AP$1),2,2))),"""")"),0.27833894500561174)</f>
        <v>0.278338945</v>
      </c>
      <c r="L21" s="51">
        <f t="shared" si="1"/>
        <v>-0.01470588235</v>
      </c>
      <c r="M21" s="52">
        <f>IFERROR((VLOOKUP($A21,'Dados StatusInvest'!$A:$AZ,COLUMN(M21)-$A$5,0)*VLOOKUP($A21,'Dados StatusInvest'!$A:$AZ,2,0)/$F21/100),0)</f>
        <v>0.7068042142</v>
      </c>
      <c r="N21" s="53">
        <f>IFERROR((VLOOKUP($A21,'Dados StatusInvest'!$A:$AZ,COLUMN(N21)-$A$5,0)/VLOOKUP($A21,'Dados StatusInvest'!$A:$AZ,2,0)*$F21),"")</f>
        <v>27.03226667</v>
      </c>
      <c r="O21" s="53">
        <f>IFERROR((VLOOKUP($A21,'Dados StatusInvest'!$A:$AZ,COLUMN(O21)-$A$5,0)/VLOOKUP($A21,'Dados StatusInvest'!$A:$AZ,2,0)*$F21),0)</f>
        <v>3.614426667</v>
      </c>
      <c r="P21" s="54">
        <f>IFERROR((VLOOKUP($A21,'Dados StatusInvest'!$A:$AZ,COLUMN(P21)-$A$5,0)/VLOOKUP($A21,'Dados StatusInvest'!$A:$AZ,2,0)*$F21),0)</f>
        <v>6.864373333</v>
      </c>
      <c r="Q21" s="55">
        <f>IFERROR((VLOOKUP($A21,'Dados StatusInvest'!$A:$AZ,COLUMN(Q21)-$A$5,0)/100),0)</f>
        <v>0.0297</v>
      </c>
      <c r="R21" s="56">
        <f>VLOOKUP($A21,'Dados StatusInvest'!$A:$AZ,COLUMN(R21)-$A$5,0)</f>
        <v>1.03</v>
      </c>
      <c r="S21" s="56">
        <f>IFERROR((VLOOKUP($A21,'Dados StatusInvest'!$A:$AZ,COLUMN(S21)-$A$5,0)),0)</f>
        <v>2.55</v>
      </c>
      <c r="T21" s="53">
        <f>IFERROR((VLOOKUP($A21,'Dados StatusInvest'!$A:$AZ,COLUMN(T21)-$A$5,0)/VLOOKUP($A21,'Dados StatusInvest'!$A:$AZ,2,0)*$F21),0)</f>
        <v>3.047457778</v>
      </c>
      <c r="U21" s="53">
        <f>IFERROR((VLOOKUP($A21,'Dados StatusInvest'!$A:$AZ,COLUMN(U21)-$A$5,0)-VLOOKUP($A21,'Dados StatusInvest'!$A:$AZ,COLUMN(U21)-$A$5-1,0)+T21),0)</f>
        <v>-0.4025422222</v>
      </c>
      <c r="V21" s="56">
        <f>IFERROR((VLOOKUP($A21,'Dados StatusInvest'!$A:$AZ,COLUMN(V21)-$A$5,0)),0)</f>
        <v>2.55</v>
      </c>
      <c r="W21" s="56">
        <f>IFERROR((VLOOKUP($A21,'Dados StatusInvest'!$A:$AZ,COLUMN(W21)-$A$5,0)),0)</f>
        <v>12.93</v>
      </c>
      <c r="X21" s="53">
        <f>IFERROR((VLOOKUP($A21,'Dados StatusInvest'!$A:$AZ,COLUMN(X21)-$A$5,0)/VLOOKUP($A21,'Dados StatusInvest'!$A:$AZ,2,0)*$F21),0)</f>
        <v>3.746044444</v>
      </c>
      <c r="Y21" s="54">
        <f>IFERROR((VLOOKUP($A21,'Dados StatusInvest'!$A:$AZ,COLUMN(Y21)-$A$5,0)/VLOOKUP($A21,'Dados StatusInvest'!$A:$AZ,2,0)*$F21),0)</f>
        <v>10.94452444</v>
      </c>
      <c r="Z21" s="56">
        <f>IFERROR((VLOOKUP($A21,'Dados StatusInvest'!$A:$AZ,COLUMN(Z21)-$A$5,0)),0)</f>
        <v>0.29</v>
      </c>
      <c r="AA21" s="57">
        <f>IFERROR((VLOOKUP($A21,'Dados StatusInvest'!$A:$AZ,COLUMN(AA21)-$A$5,0)),0)</f>
        <v>0.61</v>
      </c>
      <c r="AB21" s="57">
        <f>IFERROR((VLOOKUP($A21,'Dados StatusInvest'!$A:$AZ,COLUMN(AB21)-$A$5,0)),0)</f>
        <v>0.14</v>
      </c>
      <c r="AC21" s="58">
        <f>IFERROR((VLOOKUP($A21,'Dados StatusInvest'!$A:$AZ,COLUMN(AC21)-$A$5,0)),0)</f>
        <v>-2.71</v>
      </c>
      <c r="AD21" s="57">
        <f>IFERROR((VLOOKUP($A21,'Dados StatusInvest'!$A:$AZ,COLUMN(AD21)-$A$5,0)),0)</f>
        <v>5.5</v>
      </c>
      <c r="AE21" s="56">
        <f>IFERROR((VLOOKUP($A21,'Dados StatusInvest'!$A:$AZ,COLUMN(AE21)-$A$5,0)),0)</f>
        <v>164248.6</v>
      </c>
      <c r="AF21" s="56">
        <f>IFERROR((VLOOKUP($A21,'Dados StatusInvest'!$A:$AZ,COLUMN(AF21)-$A$5,0)),0)</f>
        <v>9.1</v>
      </c>
      <c r="AG21" s="56">
        <f>IFERROR((VLOOKUP($A21,'Dados StatusInvest'!$A:$AZ,COLUMN(AG21)-$A$5,0)),0)</f>
        <v>1.18</v>
      </c>
      <c r="AH21" s="56">
        <f>IFERROR((VLOOKUP($A21,'Dados StatusInvest'!$A:$AZ,COLUMN(AH21)-$A$5,0)),0)</f>
        <v>0.57</v>
      </c>
      <c r="AI21" s="57">
        <f>IFERROR((VLOOKUP($A21,'Dados StatusInvest'!$A:$AZ,COLUMN(AI21)-$A$5,0)),0)</f>
        <v>11896233630</v>
      </c>
      <c r="AJ21" s="59" t="str">
        <f>IFERROR((VLOOKUP($A21,'Dados StatusInvest'!$A:$AZ,COLUMN(AJ21)-$A$5,0)),0)</f>
        <v/>
      </c>
      <c r="AK21" s="60">
        <f>IFERROR(__xludf.DUMMYFUNCTION("IFERROR(GOOGLEFINANCE($A21,""high""),"""")"),11.48)</f>
        <v>11.48</v>
      </c>
      <c r="AL21" s="60">
        <f>IFERROR(__xludf.DUMMYFUNCTION("IFERROR(GOOGLEFINANCE($A21,""low""),"""")"),11.3)</f>
        <v>11.3</v>
      </c>
      <c r="AM21" s="61">
        <f t="shared" si="2"/>
        <v>0.01592920354</v>
      </c>
      <c r="AN21" s="62">
        <f>IFERROR(__xludf.DUMMYFUNCTION("IFERROR((GOOGLEFINANCE($A21,""volume"")),0)"),4800.0)</f>
        <v>4800</v>
      </c>
      <c r="AO21" s="60">
        <f>IFERROR(__xludf.DUMMYFUNCTION("IFERROR((GOOGLEFINANCE($A21,""closeyest"")),"""")"),11.25)</f>
        <v>11.25</v>
      </c>
      <c r="AP21" s="60">
        <f>IFERROR(__xludf.DUMMYFUNCTION("IFERROR((GOOGLEFINANCE($A21,""shares"")),"""")"),3.17386323E8)</f>
        <v>317386323</v>
      </c>
      <c r="AQ21" s="18"/>
    </row>
    <row r="22">
      <c r="A22" s="45" t="str">
        <f>'Dados StatusInvest'!A17:A636</f>
        <v>AMAR3</v>
      </c>
      <c r="B22" s="46" t="str">
        <f>IFERROR(__xludf.DUMMYFUNCTION("IFERROR((GOOGLEFINANCE(A22,""name"")),"""")"),"Marisa Lojas SA")</f>
        <v>Marisa Lojas SA</v>
      </c>
      <c r="C22" s="46" t="str">
        <f>IFERROR((VLOOKUP(LEFT($A22,4),Setor!$A:$E,3,0)),"")</f>
        <v>Consumo Cíclico</v>
      </c>
      <c r="D22" s="46" t="str">
        <f>IFERROR((VLOOKUP(LEFT($A22,4),Setor!$A:$E,4,0)),"")</f>
        <v>Comércio</v>
      </c>
      <c r="E22" s="46" t="str">
        <f>IFERROR((VLOOKUP(LEFT($A22,4),Setor!$A:$E,5,0)),"")</f>
        <v>Tecidos, Vestuário e Calçados</v>
      </c>
      <c r="F22" s="47">
        <f>IFERROR(__xludf.DUMMYFUNCTION("IFERROR((GOOGLEFINANCE(A22)),"""")"),0.95)</f>
        <v>0.95</v>
      </c>
      <c r="G22" s="48" t="str">
        <f>IFERROR(__xludf.DUMMYFUNCTION("IFERROR((sparkline(GOOGLEFINANCE($A22,""price"",TODAY()-30,TODAY(),""DAILY""),{""charttype"",""line"";""linewidth"",1;""color"",""#5f88cc""})),"""")"),"")</f>
        <v/>
      </c>
      <c r="H22" s="49">
        <f>IFERROR(__xludf.DUMMYFUNCTION("IFERROR((((GOOGLEFINANCE(A22))-(INDEX(GoogleFinance(A22,""PRICE"",$AQ$1),2,2)))/(INDEX(GoogleFinance(A22,""PRICE"",$AQ$1),2,2))),"""")"),-0.04040404040404044)</f>
        <v>-0.0404040404</v>
      </c>
      <c r="I22" s="47">
        <f>IFERROR(__xludf.DUMMYFUNCTION("IFERROR((GOOGLEFINANCE($A22,""high52"")),"""")"),1.75)</f>
        <v>1.75</v>
      </c>
      <c r="J22" s="48" t="str">
        <f>IFERROR(__xludf.DUMMYFUNCTION("IFERROR((sparkline(GOOGLEFINANCE($A22,""price"",TODAY()-365,TODAY(),""DAILY""),{""charttype"",""line"";""linewidth"",1;""color"",""#5f88cc""})),"""")"),"")</f>
        <v/>
      </c>
      <c r="K22" s="50">
        <f>IFERROR(__xludf.DUMMYFUNCTION("IFERROR((((GOOGLEFINANCE(A22))-(INDEX(GoogleFinance(A22,""PRICE"",$AP$1),2,2)))/(INDEX(GoogleFinance(A22,""PRICE"",$AP$1),2,2))),"""")"),-0.24603174603174607)</f>
        <v>-0.246031746</v>
      </c>
      <c r="L22" s="51">
        <f t="shared" si="1"/>
        <v>-0.4571428571</v>
      </c>
      <c r="M22" s="52">
        <f>IFERROR((VLOOKUP($A22,'Dados StatusInvest'!$A:$AZ,COLUMN(M22)-$A$5,0)*VLOOKUP($A22,'Dados StatusInvest'!$A:$AZ,2,0)/$F22/100),0)</f>
        <v>0.1651484211</v>
      </c>
      <c r="N22" s="53">
        <f>IFERROR((VLOOKUP($A22,'Dados StatusInvest'!$A:$AZ,COLUMN(N22)-$A$5,0)/VLOOKUP($A22,'Dados StatusInvest'!$A:$AZ,2,0)*$F22),"")</f>
        <v>1.103225806</v>
      </c>
      <c r="O22" s="53">
        <f>IFERROR((VLOOKUP($A22,'Dados StatusInvest'!$A:$AZ,COLUMN(O22)-$A$5,0)/VLOOKUP($A22,'Dados StatusInvest'!$A:$AZ,2,0)*$F22),0)</f>
        <v>1.940860215</v>
      </c>
      <c r="P22" s="54">
        <f>IFERROR((VLOOKUP($A22,'Dados StatusInvest'!$A:$AZ,COLUMN(P22)-$A$5,0)/VLOOKUP($A22,'Dados StatusInvest'!$A:$AZ,2,0)*$F22),0)</f>
        <v>5.189247312</v>
      </c>
      <c r="Q22" s="55">
        <f>IFERROR((VLOOKUP($A22,'Dados StatusInvest'!$A:$AZ,COLUMN(Q22)-$A$5,0)/100),0)</f>
        <v>0.0319</v>
      </c>
      <c r="R22" s="56">
        <f>VLOOKUP($A22,'Dados StatusInvest'!$A:$AZ,COLUMN(R22)-$A$5,0)</f>
        <v>2.72</v>
      </c>
      <c r="S22" s="56">
        <f>IFERROR((VLOOKUP($A22,'Dados StatusInvest'!$A:$AZ,COLUMN(S22)-$A$5,0)),0)</f>
        <v>0.32</v>
      </c>
      <c r="T22" s="53">
        <f>IFERROR((VLOOKUP($A22,'Dados StatusInvest'!$A:$AZ,COLUMN(T22)-$A$5,0)/VLOOKUP($A22,'Dados StatusInvest'!$A:$AZ,2,0)*$F22),0)</f>
        <v>-1.838709677</v>
      </c>
      <c r="U22" s="53">
        <f>IFERROR((VLOOKUP($A22,'Dados StatusInvest'!$A:$AZ,COLUMN(U22)-$A$5,0)-VLOOKUP($A22,'Dados StatusInvest'!$A:$AZ,COLUMN(U22)-$A$5-1,0)+T22),0)</f>
        <v>-0.3587096774</v>
      </c>
      <c r="V22" s="56">
        <f>IFERROR((VLOOKUP($A22,'Dados StatusInvest'!$A:$AZ,COLUMN(V22)-$A$5,0)),0)</f>
        <v>0.7</v>
      </c>
      <c r="W22" s="56">
        <f>IFERROR((VLOOKUP($A22,'Dados StatusInvest'!$A:$AZ,COLUMN(W22)-$A$5,0)),0)</f>
        <v>5.45</v>
      </c>
      <c r="X22" s="53">
        <f>IFERROR((VLOOKUP($A22,'Dados StatusInvest'!$A:$AZ,COLUMN(X22)-$A$5,0)/VLOOKUP($A22,'Dados StatusInvest'!$A:$AZ,2,0)*$F22),0)</f>
        <v>0.776344086</v>
      </c>
      <c r="Y22" s="54">
        <f>IFERROR((VLOOKUP($A22,'Dados StatusInvest'!$A:$AZ,COLUMN(Y22)-$A$5,0)/VLOOKUP($A22,'Dados StatusInvest'!$A:$AZ,2,0)*$F22),0)</f>
        <v>21.94193548</v>
      </c>
      <c r="Z22" s="56">
        <f>IFERROR((VLOOKUP($A22,'Dados StatusInvest'!$A:$AZ,COLUMN(Z22)-$A$5,0)),0)</f>
        <v>0.14</v>
      </c>
      <c r="AA22" s="57">
        <f>IFERROR((VLOOKUP($A22,'Dados StatusInvest'!$A:$AZ,COLUMN(AA22)-$A$5,0)),0)</f>
        <v>0.86</v>
      </c>
      <c r="AB22" s="57">
        <f>IFERROR((VLOOKUP($A22,'Dados StatusInvest'!$A:$AZ,COLUMN(AB22)-$A$5,0)),0)</f>
        <v>0.7</v>
      </c>
      <c r="AC22" s="58">
        <f>IFERROR((VLOOKUP($A22,'Dados StatusInvest'!$A:$AZ,COLUMN(AC22)-$A$5,0)),0)</f>
        <v>-13.55</v>
      </c>
      <c r="AD22" s="57">
        <f>IFERROR((VLOOKUP($A22,'Dados StatusInvest'!$A:$AZ,COLUMN(AD22)-$A$5,0)),0)</f>
        <v>0</v>
      </c>
      <c r="AE22" s="56">
        <f>IFERROR((VLOOKUP($A22,'Dados StatusInvest'!$A:$AZ,COLUMN(AE22)-$A$5,0)),0)</f>
        <v>289427.5</v>
      </c>
      <c r="AF22" s="56">
        <f>IFERROR((VLOOKUP($A22,'Dados StatusInvest'!$A:$AZ,COLUMN(AF22)-$A$5,0)),0)</f>
        <v>0.58</v>
      </c>
      <c r="AG22" s="56">
        <f>IFERROR((VLOOKUP($A22,'Dados StatusInvest'!$A:$AZ,COLUMN(AG22)-$A$5,0)),0)</f>
        <v>0.03</v>
      </c>
      <c r="AH22" s="56">
        <f>IFERROR((VLOOKUP($A22,'Dados StatusInvest'!$A:$AZ,COLUMN(AH22)-$A$5,0)),0)</f>
        <v>-0.29</v>
      </c>
      <c r="AI22" s="57">
        <f>IFERROR((VLOOKUP($A22,'Dados StatusInvest'!$A:$AZ,COLUMN(AI22)-$A$5,0)),0)</f>
        <v>477570160.9</v>
      </c>
      <c r="AJ22" s="59" t="str">
        <f>IFERROR((VLOOKUP($A22,'Dados StatusInvest'!$A:$AZ,COLUMN(AJ22)-$A$5,0)),0)</f>
        <v/>
      </c>
      <c r="AK22" s="60">
        <f>IFERROR(__xludf.DUMMYFUNCTION("IFERROR(GOOGLEFINANCE($A22,""high""),"""")"),0.95)</f>
        <v>0.95</v>
      </c>
      <c r="AL22" s="60">
        <f>IFERROR(__xludf.DUMMYFUNCTION("IFERROR(GOOGLEFINANCE($A22,""low""),"""")"),0.93)</f>
        <v>0.93</v>
      </c>
      <c r="AM22" s="61">
        <f t="shared" si="2"/>
        <v>0.02150537634</v>
      </c>
      <c r="AN22" s="62">
        <f>IFERROR(__xludf.DUMMYFUNCTION("IFERROR((GOOGLEFINANCE($A22,""volume"")),0)"),6900.0)</f>
        <v>6900</v>
      </c>
      <c r="AO22" s="60">
        <f>IFERROR(__xludf.DUMMYFUNCTION("IFERROR((GOOGLEFINANCE($A22,""closeyest"")),"""")"),0.93)</f>
        <v>0.93</v>
      </c>
      <c r="AP22" s="60">
        <f>IFERROR(__xludf.DUMMYFUNCTION("IFERROR((GOOGLEFINANCE($A22,""shares"")),"""")"),5.13516302E8)</f>
        <v>513516302</v>
      </c>
      <c r="AQ22" s="18"/>
    </row>
    <row r="23">
      <c r="A23" s="45" t="str">
        <f>'Dados StatusInvest'!A18:A637</f>
        <v>AMBP3</v>
      </c>
      <c r="B23" s="46" t="str">
        <f>IFERROR(__xludf.DUMMYFUNCTION("IFERROR((GOOGLEFINANCE(A23,""name"")),"""")"),"Ambipar Participacoes e Empreendmnts SA")</f>
        <v>Ambipar Participacoes e Empreendmnts SA</v>
      </c>
      <c r="C23" s="46" t="str">
        <f>IFERROR((VLOOKUP(LEFT($A23,4),Setor!$A:$E,3,0)),"")</f>
        <v>Bens Industriais</v>
      </c>
      <c r="D23" s="46" t="str">
        <f>IFERROR((VLOOKUP(LEFT($A23,4),Setor!$A:$E,4,0)),"")</f>
        <v>Serviços Diversos</v>
      </c>
      <c r="E23" s="46" t="str">
        <f>IFERROR((VLOOKUP(LEFT($A23,4),Setor!$A:$E,5,0)),"")</f>
        <v>Serviços Diversos</v>
      </c>
      <c r="F23" s="47">
        <f>IFERROR(__xludf.DUMMYFUNCTION("IFERROR((GOOGLEFINANCE(A23)),"""")"),0.26)</f>
        <v>0.26</v>
      </c>
      <c r="G23" s="48" t="str">
        <f>IFERROR(__xludf.DUMMYFUNCTION("IFERROR((sparkline(GOOGLEFINANCE($A23,""price"",TODAY()-30,TODAY(),""DAILY""),{""charttype"",""line"";""linewidth"",1;""color"",""#5f88cc""})),"""")"),"")</f>
        <v/>
      </c>
      <c r="H23" s="49">
        <f>IFERROR(__xludf.DUMMYFUNCTION("IFERROR((((GOOGLEFINANCE(A23))-(INDEX(GoogleFinance(A23,""PRICE"",$AQ$1),2,2)))/(INDEX(GoogleFinance(A23,""PRICE"",$AQ$1),2,2))),"""")"),-0.10344827586206887)</f>
        <v>-0.1034482759</v>
      </c>
      <c r="I23" s="47">
        <f>IFERROR(__xludf.DUMMYFUNCTION("IFERROR((GOOGLEFINANCE($A23,""high52"")),"""")"),20.5)</f>
        <v>20.5</v>
      </c>
      <c r="J23" s="48" t="str">
        <f>IFERROR(__xludf.DUMMYFUNCTION("IFERROR((sparkline(GOOGLEFINANCE($A23,""price"",TODAY()-365,TODAY(),""DAILY""),{""charttype"",""line"";""linewidth"",1;""color"",""#5f88cc""})),"""")"),"")</f>
        <v/>
      </c>
      <c r="K23" s="50">
        <f>IFERROR(__xludf.DUMMYFUNCTION("IFERROR((((GOOGLEFINANCE(A23))-(INDEX(GoogleFinance(A23,""PRICE"",$AP$1),2,2)))/(INDEX(GoogleFinance(A23,""PRICE"",$AP$1),2,2))),"""")"),-0.978369384359401)</f>
        <v>-0.9783693844</v>
      </c>
      <c r="L23" s="51">
        <f t="shared" si="1"/>
        <v>-0.9873170732</v>
      </c>
      <c r="M23" s="52">
        <f>IFERROR((VLOOKUP($A23,'Dados StatusInvest'!$A:$AZ,COLUMN(M23)-$A$5,0)*VLOOKUP($A23,'Dados StatusInvest'!$A:$AZ,2,0)/$F23/100),0)</f>
        <v>0.1736</v>
      </c>
      <c r="N23" s="53">
        <f>IFERROR((VLOOKUP($A23,'Dados StatusInvest'!$A:$AZ,COLUMN(N23)-$A$5,0)/VLOOKUP($A23,'Dados StatusInvest'!$A:$AZ,2,0)*$F23),"")</f>
        <v>-3.54</v>
      </c>
      <c r="O23" s="53">
        <f>IFERROR((VLOOKUP($A23,'Dados StatusInvest'!$A:$AZ,COLUMN(O23)-$A$5,0)/VLOOKUP($A23,'Dados StatusInvest'!$A:$AZ,2,0)*$F23),0)</f>
        <v>0.35</v>
      </c>
      <c r="P23" s="54">
        <f>IFERROR((VLOOKUP($A23,'Dados StatusInvest'!$A:$AZ,COLUMN(P23)-$A$5,0)/VLOOKUP($A23,'Dados StatusInvest'!$A:$AZ,2,0)*$F23),0)</f>
        <v>5.4</v>
      </c>
      <c r="Q23" s="55">
        <f>IFERROR((VLOOKUP($A23,'Dados StatusInvest'!$A:$AZ,COLUMN(Q23)-$A$5,0)/100),0)</f>
        <v>0.0506</v>
      </c>
      <c r="R23" s="56">
        <f>VLOOKUP($A23,'Dados StatusInvest'!$A:$AZ,COLUMN(R23)-$A$5,0)</f>
        <v>5.81</v>
      </c>
      <c r="S23" s="56">
        <f>IFERROR((VLOOKUP($A23,'Dados StatusInvest'!$A:$AZ,COLUMN(S23)-$A$5,0)),0)</f>
        <v>0.06</v>
      </c>
      <c r="T23" s="53">
        <f>IFERROR((VLOOKUP($A23,'Dados StatusInvest'!$A:$AZ,COLUMN(T23)-$A$5,0)/VLOOKUP($A23,'Dados StatusInvest'!$A:$AZ,2,0)*$F23),0)</f>
        <v>0.09</v>
      </c>
      <c r="U23" s="53">
        <f>IFERROR((VLOOKUP($A23,'Dados StatusInvest'!$A:$AZ,COLUMN(U23)-$A$5,0)-VLOOKUP($A23,'Dados StatusInvest'!$A:$AZ,COLUMN(U23)-$A$5-1,0)+T23),0)</f>
        <v>-0.05</v>
      </c>
      <c r="V23" s="56">
        <f>IFERROR((VLOOKUP($A23,'Dados StatusInvest'!$A:$AZ,COLUMN(V23)-$A$5,0)),0)</f>
        <v>2.72</v>
      </c>
      <c r="W23" s="56">
        <f>IFERROR((VLOOKUP($A23,'Dados StatusInvest'!$A:$AZ,COLUMN(W23)-$A$5,0)),0)</f>
        <v>-23.47</v>
      </c>
      <c r="X23" s="53">
        <f>IFERROR((VLOOKUP($A23,'Dados StatusInvest'!$A:$AZ,COLUMN(X23)-$A$5,0)/VLOOKUP($A23,'Dados StatusInvest'!$A:$AZ,2,0)*$F23),0)</f>
        <v>-1.52</v>
      </c>
      <c r="Y23" s="54">
        <f>IFERROR((VLOOKUP($A23,'Dados StatusInvest'!$A:$AZ,COLUMN(Y23)-$A$5,0)/VLOOKUP($A23,'Dados StatusInvest'!$A:$AZ,2,0)*$F23),0)</f>
        <v>8.91</v>
      </c>
      <c r="Z23" s="56">
        <f>IFERROR((VLOOKUP($A23,'Dados StatusInvest'!$A:$AZ,COLUMN(Z23)-$A$5,0)),0)</f>
        <v>0.06</v>
      </c>
      <c r="AA23" s="57">
        <f>IFERROR((VLOOKUP($A23,'Dados StatusInvest'!$A:$AZ,COLUMN(AA23)-$A$5,0)),0)</f>
        <v>0.87</v>
      </c>
      <c r="AB23" s="57">
        <f>IFERROR((VLOOKUP($A23,'Dados StatusInvest'!$A:$AZ,COLUMN(AB23)-$A$5,0)),0)</f>
        <v>0.43</v>
      </c>
      <c r="AC23" s="58">
        <f>IFERROR((VLOOKUP($A23,'Dados StatusInvest'!$A:$AZ,COLUMN(AC23)-$A$5,0)),0)</f>
        <v>67.64</v>
      </c>
      <c r="AD23" s="57">
        <f>IFERROR((VLOOKUP($A23,'Dados StatusInvest'!$A:$AZ,COLUMN(AD23)-$A$5,0)),0)</f>
        <v>0</v>
      </c>
      <c r="AE23" s="56">
        <f>IFERROR((VLOOKUP($A23,'Dados StatusInvest'!$A:$AZ,COLUMN(AE23)-$A$5,0)),0)</f>
        <v>2280300</v>
      </c>
      <c r="AF23" s="56">
        <f>IFERROR((VLOOKUP($A23,'Dados StatusInvest'!$A:$AZ,COLUMN(AF23)-$A$5,0)),0)</f>
        <v>0.65</v>
      </c>
      <c r="AG23" s="56">
        <f>IFERROR((VLOOKUP($A23,'Dados StatusInvest'!$A:$AZ,COLUMN(AG23)-$A$5,0)),0)</f>
        <v>-0.15</v>
      </c>
      <c r="AH23" s="56">
        <f>IFERROR((VLOOKUP($A23,'Dados StatusInvest'!$A:$AZ,COLUMN(AH23)-$A$5,0)),0)</f>
        <v>0.09</v>
      </c>
      <c r="AI23" s="57">
        <f>IFERROR((VLOOKUP($A23,'Dados StatusInvest'!$A:$AZ,COLUMN(AI23)-$A$5,0)),0)</f>
        <v>434308859.4</v>
      </c>
      <c r="AJ23" s="59" t="str">
        <f>IFERROR((VLOOKUP($A23,'Dados StatusInvest'!$A:$AZ,COLUMN(AJ23)-$A$5,0)),0)</f>
        <v/>
      </c>
      <c r="AK23" s="60">
        <f>IFERROR(__xludf.DUMMYFUNCTION("IFERROR(GOOGLEFINANCE($A23,""high""),"""")"),0.26)</f>
        <v>0.26</v>
      </c>
      <c r="AL23" s="60">
        <f>IFERROR(__xludf.DUMMYFUNCTION("IFERROR(GOOGLEFINANCE($A23,""low""),"""")"),0.25)</f>
        <v>0.25</v>
      </c>
      <c r="AM23" s="61">
        <f t="shared" si="2"/>
        <v>0.04</v>
      </c>
      <c r="AN23" s="62">
        <f>IFERROR(__xludf.DUMMYFUNCTION("IFERROR((GOOGLEFINANCE($A23,""volume"")),0)"),864100.0)</f>
        <v>864100</v>
      </c>
      <c r="AO23" s="60">
        <f>IFERROR(__xludf.DUMMYFUNCTION("IFERROR((GOOGLEFINANCE($A23,""closeyest"")),"""")"),0.26)</f>
        <v>0.26</v>
      </c>
      <c r="AP23" s="60">
        <f>IFERROR(__xludf.DUMMYFUNCTION("IFERROR((GOOGLEFINANCE($A23,""shares"")),"""")"),1.67041869E9)</f>
        <v>1670418690</v>
      </c>
      <c r="AQ23" s="18"/>
    </row>
    <row r="24">
      <c r="A24" s="45" t="str">
        <f>'Dados StatusInvest'!A19:A638</f>
        <v>AMER3</v>
      </c>
      <c r="B24" s="46" t="str">
        <f>IFERROR(__xludf.DUMMYFUNCTION("IFERROR((GOOGLEFINANCE(A24,""name"")),"""")"),"Americanas SA - Em Recuperacao Judicial")</f>
        <v>Americanas SA - Em Recuperacao Judicial</v>
      </c>
      <c r="C24" s="46" t="str">
        <f>IFERROR((VLOOKUP(LEFT($A24,4),Setor!$A:$E,3,0)),"")</f>
        <v/>
      </c>
      <c r="D24" s="46" t="str">
        <f>IFERROR((VLOOKUP(LEFT($A24,4),Setor!$A:$E,4,0)),"")</f>
        <v/>
      </c>
      <c r="E24" s="46" t="str">
        <f>IFERROR((VLOOKUP(LEFT($A24,4),Setor!$A:$E,5,0)),"")</f>
        <v/>
      </c>
      <c r="F24" s="47">
        <f>IFERROR(__xludf.DUMMYFUNCTION("IFERROR((GOOGLEFINANCE(A24)),"""")"),5.61)</f>
        <v>5.61</v>
      </c>
      <c r="G24" s="48" t="str">
        <f>IFERROR(__xludf.DUMMYFUNCTION("IFERROR((sparkline(GOOGLEFINANCE($A24,""price"",TODAY()-30,TODAY(),""DAILY""),{""charttype"",""line"";""linewidth"",1;""color"",""#5f88cc""})),"""")"),"")</f>
        <v/>
      </c>
      <c r="H24" s="49">
        <f>IFERROR(__xludf.DUMMYFUNCTION("IFERROR((((GOOGLEFINANCE(A24))-(INDEX(GoogleFinance(A24,""PRICE"",$AQ$1),2,2)))/(INDEX(GoogleFinance(A24,""PRICE"",$AQ$1),2,2))),"""")"),0.1785714285714287)</f>
        <v>0.1785714286</v>
      </c>
      <c r="I24" s="47">
        <f>IFERROR(__xludf.DUMMYFUNCTION("IFERROR((GOOGLEFINANCE($A24,""high52"")),"""")"),9.5)</f>
        <v>9.5</v>
      </c>
      <c r="J24" s="48" t="str">
        <f>IFERROR(__xludf.DUMMYFUNCTION("IFERROR((sparkline(GOOGLEFINANCE($A24,""price"",TODAY()-365,TODAY(),""DAILY""),{""charttype"",""line"";""linewidth"",1;""color"",""#5f88cc""})),"""")"),"")</f>
        <v/>
      </c>
      <c r="K24" s="50">
        <f>IFERROR(__xludf.DUMMYFUNCTION("IFERROR((((GOOGLEFINANCE(A24))-(INDEX(GoogleFinance(A24,""PRICE"",$AP$1),2,2)))/(INDEX(GoogleFinance(A24,""PRICE"",$AP$1),2,2))),"""")"),-0.02264808362369336)</f>
        <v>-0.02264808362</v>
      </c>
      <c r="L24" s="51">
        <f t="shared" si="1"/>
        <v>-0.4094736842</v>
      </c>
      <c r="M24" s="52">
        <f>IFERROR((VLOOKUP($A24,'Dados StatusInvest'!$A:$AZ,COLUMN(M24)-$A$5,0)*VLOOKUP($A24,'Dados StatusInvest'!$A:$AZ,2,0)/$F24/100),0)</f>
        <v>-0.0248057041</v>
      </c>
      <c r="N24" s="53">
        <f>IFERROR((VLOOKUP($A24,'Dados StatusInvest'!$A:$AZ,COLUMN(N24)-$A$5,0)/VLOOKUP($A24,'Dados StatusInvest'!$A:$AZ,2,0)*$F24),"")</f>
        <v>-5.77790493</v>
      </c>
      <c r="O24" s="53">
        <f>IFERROR((VLOOKUP($A24,'Dados StatusInvest'!$A:$AZ,COLUMN(O24)-$A$5,0)/VLOOKUP($A24,'Dados StatusInvest'!$A:$AZ,2,0)*$F24),0)</f>
        <v>-3.298838028</v>
      </c>
      <c r="P24" s="54">
        <f>IFERROR((VLOOKUP($A24,'Dados StatusInvest'!$A:$AZ,COLUMN(P24)-$A$5,0)/VLOOKUP($A24,'Dados StatusInvest'!$A:$AZ,2,0)*$F24),0)</f>
        <v>-7.150774648</v>
      </c>
      <c r="Q24" s="55">
        <f>IFERROR((VLOOKUP($A24,'Dados StatusInvest'!$A:$AZ,COLUMN(Q24)-$A$5,0)/100),0)</f>
        <v>-0.0391</v>
      </c>
      <c r="R24" s="56">
        <f>VLOOKUP($A24,'Dados StatusInvest'!$A:$AZ,COLUMN(R24)-$A$5,0)</f>
        <v>0.28</v>
      </c>
      <c r="S24" s="56">
        <f>IFERROR((VLOOKUP($A24,'Dados StatusInvest'!$A:$AZ,COLUMN(S24)-$A$5,0)),0)</f>
        <v>0.08</v>
      </c>
      <c r="T24" s="53">
        <f>IFERROR((VLOOKUP($A24,'Dados StatusInvest'!$A:$AZ,COLUMN(T24)-$A$5,0)/VLOOKUP($A24,'Dados StatusInvest'!$A:$AZ,2,0)*$F24),0)</f>
        <v>0.385193662</v>
      </c>
      <c r="U24" s="53">
        <f>IFERROR((VLOOKUP($A24,'Dados StatusInvest'!$A:$AZ,COLUMN(U24)-$A$5,0)-VLOOKUP($A24,'Dados StatusInvest'!$A:$AZ,COLUMN(U24)-$A$5-1,0)+T24),0)</f>
        <v>-0.134806338</v>
      </c>
      <c r="V24" s="56">
        <f>IFERROR((VLOOKUP($A24,'Dados StatusInvest'!$A:$AZ,COLUMN(V24)-$A$5,0)),0)</f>
        <v>1.63</v>
      </c>
      <c r="W24" s="56">
        <f>IFERROR((VLOOKUP($A24,'Dados StatusInvest'!$A:$AZ,COLUMN(W24)-$A$5,0)),0)</f>
        <v>-17.16</v>
      </c>
      <c r="X24" s="53">
        <f>IFERROR((VLOOKUP($A24,'Dados StatusInvest'!$A:$AZ,COLUMN(X24)-$A$5,0)/VLOOKUP($A24,'Dados StatusInvest'!$A:$AZ,2,0)*$F24),0)</f>
        <v>-4.968010563</v>
      </c>
      <c r="Y24" s="54">
        <f>IFERROR((VLOOKUP($A24,'Dados StatusInvest'!$A:$AZ,COLUMN(Y24)-$A$5,0)/VLOOKUP($A24,'Dados StatusInvest'!$A:$AZ,2,0)*$F24),0)</f>
        <v>-7.348309859</v>
      </c>
      <c r="Z24" s="56">
        <f>IFERROR((VLOOKUP($A24,'Dados StatusInvest'!$A:$AZ,COLUMN(Z24)-$A$5,0)),0)</f>
        <v>0.29</v>
      </c>
      <c r="AA24" s="57">
        <f>IFERROR((VLOOKUP($A24,'Dados StatusInvest'!$A:$AZ,COLUMN(AA24)-$A$5,0)),0)</f>
        <v>0.71</v>
      </c>
      <c r="AB24" s="57">
        <f>IFERROR((VLOOKUP($A24,'Dados StatusInvest'!$A:$AZ,COLUMN(AB24)-$A$5,0)),0)</f>
        <v>0.86</v>
      </c>
      <c r="AC24" s="58">
        <f>IFERROR((VLOOKUP($A24,'Dados StatusInvest'!$A:$AZ,COLUMN(AC24)-$A$5,0)),0)</f>
        <v>16.22</v>
      </c>
      <c r="AD24" s="57">
        <f>IFERROR((VLOOKUP($A24,'Dados StatusInvest'!$A:$AZ,COLUMN(AD24)-$A$5,0)),0)</f>
        <v>0</v>
      </c>
      <c r="AE24" s="56">
        <f>IFERROR((VLOOKUP($A24,'Dados StatusInvest'!$A:$AZ,COLUMN(AE24)-$A$5,0)),0)</f>
        <v>11446965</v>
      </c>
      <c r="AF24" s="56">
        <f>IFERROR((VLOOKUP($A24,'Dados StatusInvest'!$A:$AZ,COLUMN(AF24)-$A$5,0)),0)</f>
        <v>23.66</v>
      </c>
      <c r="AG24" s="56">
        <f>IFERROR((VLOOKUP($A24,'Dados StatusInvest'!$A:$AZ,COLUMN(AG24)-$A$5,0)),0)</f>
        <v>-4.06</v>
      </c>
      <c r="AH24" s="56">
        <f>IFERROR((VLOOKUP($A24,'Dados StatusInvest'!$A:$AZ,COLUMN(AH24)-$A$5,0)),0)</f>
        <v>0.01</v>
      </c>
      <c r="AI24" s="57">
        <f>IFERROR((VLOOKUP($A24,'Dados StatusInvest'!$A:$AZ,COLUMN(AI24)-$A$5,0)),0)</f>
        <v>1137391594</v>
      </c>
      <c r="AJ24" s="59" t="str">
        <f>IFERROR((VLOOKUP($A24,'Dados StatusInvest'!$A:$AZ,COLUMN(AJ24)-$A$5,0)),0)</f>
        <v/>
      </c>
      <c r="AK24" s="60">
        <f>IFERROR(__xludf.DUMMYFUNCTION("IFERROR(GOOGLEFINANCE($A24,""high""),"""")"),5.64)</f>
        <v>5.64</v>
      </c>
      <c r="AL24" s="60">
        <f>IFERROR(__xludf.DUMMYFUNCTION("IFERROR(GOOGLEFINANCE($A24,""low""),"""")"),5.58)</f>
        <v>5.58</v>
      </c>
      <c r="AM24" s="61">
        <f t="shared" si="2"/>
        <v>0.01075268817</v>
      </c>
      <c r="AN24" s="62">
        <f>IFERROR(__xludf.DUMMYFUNCTION("IFERROR((GOOGLEFINANCE($A24,""volume"")),0)"),119200.0)</f>
        <v>119200</v>
      </c>
      <c r="AO24" s="60">
        <f>IFERROR(__xludf.DUMMYFUNCTION("IFERROR((GOOGLEFINANCE($A24,""closeyest"")),"""")"),5.68)</f>
        <v>5.68</v>
      </c>
      <c r="AP24" s="60">
        <f>IFERROR(__xludf.DUMMYFUNCTION("IFERROR((GOOGLEFINANCE($A24,""shares"")),"""")"),2.00244999E8)</f>
        <v>200244999</v>
      </c>
      <c r="AQ24" s="18"/>
    </row>
    <row r="25">
      <c r="A25" s="45" t="str">
        <f>'Dados StatusInvest'!A20:A639</f>
        <v>AMOB3</v>
      </c>
      <c r="B25" s="46" t="str">
        <f>IFERROR(__xludf.DUMMYFUNCTION("IFERROR((GOOGLEFINANCE(A25,""name"")),"""")"),"Automob Participacoes SA")</f>
        <v>Automob Participacoes SA</v>
      </c>
      <c r="C25" s="46" t="str">
        <f>IFERROR((VLOOKUP(LEFT($A25,4),Setor!$A:$E,3,0)),"")</f>
        <v/>
      </c>
      <c r="D25" s="46" t="str">
        <f>IFERROR((VLOOKUP(LEFT($A25,4),Setor!$A:$E,4,0)),"")</f>
        <v/>
      </c>
      <c r="E25" s="46" t="str">
        <f>IFERROR((VLOOKUP(LEFT($A25,4),Setor!$A:$E,5,0)),"")</f>
        <v/>
      </c>
      <c r="F25" s="47">
        <f>IFERROR(__xludf.DUMMYFUNCTION("IFERROR((GOOGLEFINANCE(A25)),"""")"),13.3)</f>
        <v>13.3</v>
      </c>
      <c r="G25" s="48" t="str">
        <f>IFERROR(__xludf.DUMMYFUNCTION("IFERROR((sparkline(GOOGLEFINANCE($A25,""price"",TODAY()-30,TODAY(),""DAILY""),{""charttype"",""line"";""linewidth"",1;""color"",""#5f88cc""})),"""")"),"")</f>
        <v/>
      </c>
      <c r="H25" s="49">
        <f>IFERROR(__xludf.DUMMYFUNCTION("IFERROR((((GOOGLEFINANCE(A25))-(INDEX(GoogleFinance(A25,""PRICE"",$AQ$1),2,2)))/(INDEX(GoogleFinance(A25,""PRICE"",$AQ$1),2,2))),"""")"),0.0075757575757576835)</f>
        <v>0.007575757576</v>
      </c>
      <c r="I25" s="47">
        <f>IFERROR(__xludf.DUMMYFUNCTION("IFERROR((GOOGLEFINANCE($A25,""high52"")),"""")"),15.5)</f>
        <v>15.5</v>
      </c>
      <c r="J25" s="48" t="str">
        <f>IFERROR(__xludf.DUMMYFUNCTION("IFERROR((sparkline(GOOGLEFINANCE($A25,""price"",TODAY()-365,TODAY(),""DAILY""),{""charttype"",""line"";""linewidth"",1;""color"",""#5f88cc""})),"""")"),"")</f>
        <v/>
      </c>
      <c r="K25" s="50">
        <f>IFERROR(__xludf.DUMMYFUNCTION("IFERROR((((GOOGLEFINANCE(A25))-(INDEX(GoogleFinance(A25,""PRICE"",$AP$1),2,2)))/(INDEX(GoogleFinance(A25,""PRICE"",$AP$1),2,2))),"""")"),0.02307692307692313)</f>
        <v>0.02307692308</v>
      </c>
      <c r="L25" s="51">
        <f t="shared" si="1"/>
        <v>-0.1419354839</v>
      </c>
      <c r="M25" s="52">
        <f>IFERROR((VLOOKUP($A25,'Dados StatusInvest'!$A:$AZ,COLUMN(M25)-$A$5,0)*VLOOKUP($A25,'Dados StatusInvest'!$A:$AZ,2,0)/$F25/100),0)</f>
        <v>-0.4657357895</v>
      </c>
      <c r="N25" s="53">
        <f>IFERROR((VLOOKUP($A25,'Dados StatusInvest'!$A:$AZ,COLUMN(N25)-$A$5,0)/VLOOKUP($A25,'Dados StatusInvest'!$A:$AZ,2,0)*$F25),"")</f>
        <v>-57.88465608</v>
      </c>
      <c r="O25" s="53">
        <f>IFERROR((VLOOKUP($A25,'Dados StatusInvest'!$A:$AZ,COLUMN(O25)-$A$5,0)/VLOOKUP($A25,'Dados StatusInvest'!$A:$AZ,2,0)*$F25),0)</f>
        <v>0</v>
      </c>
      <c r="P25" s="54">
        <f>IFERROR((VLOOKUP($A25,'Dados StatusInvest'!$A:$AZ,COLUMN(P25)-$A$5,0)/VLOOKUP($A25,'Dados StatusInvest'!$A:$AZ,2,0)*$F25),0)</f>
        <v>0</v>
      </c>
      <c r="Q25" s="55">
        <f>IFERROR((VLOOKUP($A25,'Dados StatusInvest'!$A:$AZ,COLUMN(Q25)-$A$5,0)/100),0)</f>
        <v>-0.0001</v>
      </c>
      <c r="R25" s="56">
        <f>VLOOKUP($A25,'Dados StatusInvest'!$A:$AZ,COLUMN(R25)-$A$5,0)</f>
        <v>0</v>
      </c>
      <c r="S25" s="56">
        <f>IFERROR((VLOOKUP($A25,'Dados StatusInvest'!$A:$AZ,COLUMN(S25)-$A$5,0)),0)</f>
        <v>0</v>
      </c>
      <c r="T25" s="53">
        <f>IFERROR((VLOOKUP($A25,'Dados StatusInvest'!$A:$AZ,COLUMN(T25)-$A$5,0)/VLOOKUP($A25,'Dados StatusInvest'!$A:$AZ,2,0)*$F25),0)</f>
        <v>0</v>
      </c>
      <c r="U25" s="53">
        <f>IFERROR((VLOOKUP($A25,'Dados StatusInvest'!$A:$AZ,COLUMN(U25)-$A$5,0)-VLOOKUP($A25,'Dados StatusInvest'!$A:$AZ,COLUMN(U25)-$A$5-1,0)+T25),0)</f>
        <v>0</v>
      </c>
      <c r="V25" s="56">
        <f>IFERROR((VLOOKUP($A25,'Dados StatusInvest'!$A:$AZ,COLUMN(V25)-$A$5,0)),0)</f>
        <v>0.19</v>
      </c>
      <c r="W25" s="56">
        <f>IFERROR((VLOOKUP($A25,'Dados StatusInvest'!$A:$AZ,COLUMN(W25)-$A$5,0)),0)</f>
        <v>-2595.29</v>
      </c>
      <c r="X25" s="53">
        <f>IFERROR((VLOOKUP($A25,'Dados StatusInvest'!$A:$AZ,COLUMN(X25)-$A$5,0)/VLOOKUP($A25,'Dados StatusInvest'!$A:$AZ,2,0)*$F25),0)</f>
        <v>-6062.166138</v>
      </c>
      <c r="Y25" s="54">
        <f>IFERROR((VLOOKUP($A25,'Dados StatusInvest'!$A:$AZ,COLUMN(Y25)-$A$5,0)/VLOOKUP($A25,'Dados StatusInvest'!$A:$AZ,2,0)*$F25),0)</f>
        <v>2674.435979</v>
      </c>
      <c r="Z25" s="56">
        <f>IFERROR((VLOOKUP($A25,'Dados StatusInvest'!$A:$AZ,COLUMN(Z25)-$A$5,0)),0)</f>
        <v>-2.32</v>
      </c>
      <c r="AA25" s="57">
        <f>IFERROR((VLOOKUP($A25,'Dados StatusInvest'!$A:$AZ,COLUMN(AA25)-$A$5,0)),0)</f>
        <v>3.32</v>
      </c>
      <c r="AB25" s="57">
        <f>IFERROR((VLOOKUP($A25,'Dados StatusInvest'!$A:$AZ,COLUMN(AB25)-$A$5,0)),0)</f>
        <v>104.73</v>
      </c>
      <c r="AC25" s="58">
        <f>IFERROR((VLOOKUP($A25,'Dados StatusInvest'!$A:$AZ,COLUMN(AC25)-$A$5,0)),0)</f>
        <v>0</v>
      </c>
      <c r="AD25" s="57">
        <f>IFERROR((VLOOKUP($A25,'Dados StatusInvest'!$A:$AZ,COLUMN(AD25)-$A$5,0)),0)</f>
        <v>0</v>
      </c>
      <c r="AE25" s="56">
        <f>IFERROR((VLOOKUP($A25,'Dados StatusInvest'!$A:$AZ,COLUMN(AE25)-$A$5,0)),0)</f>
        <v>547696.1</v>
      </c>
      <c r="AF25" s="56">
        <f>IFERROR((VLOOKUP($A25,'Dados StatusInvest'!$A:$AZ,COLUMN(AF25)-$A$5,0)),0)</f>
        <v>0</v>
      </c>
      <c r="AG25" s="56">
        <f>IFERROR((VLOOKUP($A25,'Dados StatusInvest'!$A:$AZ,COLUMN(AG25)-$A$5,0)),0)</f>
        <v>0</v>
      </c>
      <c r="AH25" s="56">
        <f>IFERROR((VLOOKUP($A25,'Dados StatusInvest'!$A:$AZ,COLUMN(AH25)-$A$5,0)),0)</f>
        <v>0</v>
      </c>
      <c r="AI25" s="57">
        <f>IFERROR((VLOOKUP($A25,'Dados StatusInvest'!$A:$AZ,COLUMN(AI25)-$A$5,0)),0)</f>
        <v>0</v>
      </c>
      <c r="AJ25" s="59" t="str">
        <f>IFERROR((VLOOKUP($A25,'Dados StatusInvest'!$A:$AZ,COLUMN(AJ25)-$A$5,0)),0)</f>
        <v/>
      </c>
      <c r="AK25" s="60">
        <f>IFERROR(__xludf.DUMMYFUNCTION("IFERROR(GOOGLEFINANCE($A25,""high""),"""")"),13.37)</f>
        <v>13.37</v>
      </c>
      <c r="AL25" s="60">
        <f>IFERROR(__xludf.DUMMYFUNCTION("IFERROR(GOOGLEFINANCE($A25,""low""),"""")"),13.1)</f>
        <v>13.1</v>
      </c>
      <c r="AM25" s="61">
        <f t="shared" si="2"/>
        <v>0.02061068702</v>
      </c>
      <c r="AN25" s="62">
        <f>IFERROR(__xludf.DUMMYFUNCTION("IFERROR((GOOGLEFINANCE($A25,""volume"")),0)"),2300.0)</f>
        <v>2300</v>
      </c>
      <c r="AO25" s="60">
        <f>IFERROR(__xludf.DUMMYFUNCTION("IFERROR((GOOGLEFINANCE($A25,""closeyest"")),"""")"),13.23)</f>
        <v>13.23</v>
      </c>
      <c r="AP25" s="60">
        <f>IFERROR(__xludf.DUMMYFUNCTION("IFERROR((GOOGLEFINANCE($A25,""shares"")),"""")"),3.7886057E7)</f>
        <v>37886057</v>
      </c>
      <c r="AQ25" s="18"/>
    </row>
    <row r="26">
      <c r="A26" s="45" t="str">
        <f>'Dados StatusInvest'!A21:A640</f>
        <v>ANIM3</v>
      </c>
      <c r="B26" s="46" t="str">
        <f>IFERROR(__xludf.DUMMYFUNCTION("IFERROR((GOOGLEFINANCE(A26,""name"")),"""")"),"Anima Holding SA")</f>
        <v>Anima Holding SA</v>
      </c>
      <c r="C26" s="46" t="str">
        <f>IFERROR((VLOOKUP(LEFT($A26,4),Setor!$A:$E,3,0)),"")</f>
        <v>Consumo Cíclico</v>
      </c>
      <c r="D26" s="46" t="str">
        <f>IFERROR((VLOOKUP(LEFT($A26,4),Setor!$A:$E,4,0)),"")</f>
        <v>Diversos</v>
      </c>
      <c r="E26" s="46" t="str">
        <f>IFERROR((VLOOKUP(LEFT($A26,4),Setor!$A:$E,5,0)),"")</f>
        <v>Serviços Educacionais</v>
      </c>
      <c r="F26" s="47">
        <f>IFERROR(__xludf.DUMMYFUNCTION("IFERROR((GOOGLEFINANCE(A26)),"""")"),4.87)</f>
        <v>4.87</v>
      </c>
      <c r="G26" s="48" t="str">
        <f>IFERROR(__xludf.DUMMYFUNCTION("IFERROR((sparkline(GOOGLEFINANCE($A26,""price"",TODAY()-30,TODAY(),""DAILY""),{""charttype"",""line"";""linewidth"",1;""color"",""#5f88cc""})),"""")"),"")</f>
        <v/>
      </c>
      <c r="H26" s="49">
        <f>IFERROR(__xludf.DUMMYFUNCTION("IFERROR((((GOOGLEFINANCE(A26))-(INDEX(GoogleFinance(A26,""PRICE"",$AQ$1),2,2)))/(INDEX(GoogleFinance(A26,""PRICE"",$AQ$1),2,2))),"""")"),0.10180995475113126)</f>
        <v>0.1018099548</v>
      </c>
      <c r="I26" s="47">
        <f>IFERROR(__xludf.DUMMYFUNCTION("IFERROR((GOOGLEFINANCE($A26,""high52"")),"""")"),5.39)</f>
        <v>5.39</v>
      </c>
      <c r="J26" s="48" t="str">
        <f>IFERROR(__xludf.DUMMYFUNCTION("IFERROR((sparkline(GOOGLEFINANCE($A26,""price"",TODAY()-365,TODAY(),""DAILY""),{""charttype"",""line"";""linewidth"",1;""color"",""#5f88cc""})),"""")"),"")</f>
        <v/>
      </c>
      <c r="K26" s="50">
        <f>IFERROR(__xludf.DUMMYFUNCTION("IFERROR((((GOOGLEFINANCE(A26))-(INDEX(GoogleFinance(A26,""PRICE"",$AP$1),2,2)))/(INDEX(GoogleFinance(A26,""PRICE"",$AP$1),2,2))),"""")"),1.2339449541284402)</f>
        <v>1.233944954</v>
      </c>
      <c r="L26" s="51">
        <f t="shared" si="1"/>
        <v>-0.09647495362</v>
      </c>
      <c r="M26" s="52">
        <f>IFERROR((VLOOKUP($A26,'Dados StatusInvest'!$A:$AZ,COLUMN(M26)-$A$5,0)*VLOOKUP($A26,'Dados StatusInvest'!$A:$AZ,2,0)/$F26/100),0)</f>
        <v>0.2551334702</v>
      </c>
      <c r="N26" s="53">
        <f>IFERROR((VLOOKUP($A26,'Dados StatusInvest'!$A:$AZ,COLUMN(N26)-$A$5,0)/VLOOKUP($A26,'Dados StatusInvest'!$A:$AZ,2,0)*$F26),"")</f>
        <v>3.88626</v>
      </c>
      <c r="O26" s="53">
        <f>IFERROR((VLOOKUP($A26,'Dados StatusInvest'!$A:$AZ,COLUMN(O26)-$A$5,0)/VLOOKUP($A26,'Dados StatusInvest'!$A:$AZ,2,0)*$F26),0)</f>
        <v>2.00644</v>
      </c>
      <c r="P26" s="54">
        <f>IFERROR((VLOOKUP($A26,'Dados StatusInvest'!$A:$AZ,COLUMN(P26)-$A$5,0)/VLOOKUP($A26,'Dados StatusInvest'!$A:$AZ,2,0)*$F26),0)</f>
        <v>5.81478</v>
      </c>
      <c r="Q26" s="55">
        <f>IFERROR((VLOOKUP($A26,'Dados StatusInvest'!$A:$AZ,COLUMN(Q26)-$A$5,0)/100),0)</f>
        <v>0.0391</v>
      </c>
      <c r="R26" s="56">
        <f>VLOOKUP($A26,'Dados StatusInvest'!$A:$AZ,COLUMN(R26)-$A$5,0)</f>
        <v>1.63</v>
      </c>
      <c r="S26" s="56">
        <f>IFERROR((VLOOKUP($A26,'Dados StatusInvest'!$A:$AZ,COLUMN(S26)-$A$5,0)),0)</f>
        <v>0.51</v>
      </c>
      <c r="T26" s="53">
        <f>IFERROR((VLOOKUP($A26,'Dados StatusInvest'!$A:$AZ,COLUMN(T26)-$A$5,0)/VLOOKUP($A26,'Dados StatusInvest'!$A:$AZ,2,0)*$F26),0)</f>
        <v>1.61684</v>
      </c>
      <c r="U26" s="53">
        <f>IFERROR((VLOOKUP($A26,'Dados StatusInvest'!$A:$AZ,COLUMN(U26)-$A$5,0)-VLOOKUP($A26,'Dados StatusInvest'!$A:$AZ,COLUMN(U26)-$A$5-1,0)+T26),0)</f>
        <v>-0.31316</v>
      </c>
      <c r="V26" s="56">
        <f>IFERROR((VLOOKUP($A26,'Dados StatusInvest'!$A:$AZ,COLUMN(V26)-$A$5,0)),0)</f>
        <v>1.92</v>
      </c>
      <c r="W26" s="56">
        <f>IFERROR((VLOOKUP($A26,'Dados StatusInvest'!$A:$AZ,COLUMN(W26)-$A$5,0)),0)</f>
        <v>6.7</v>
      </c>
      <c r="X26" s="53">
        <f>IFERROR((VLOOKUP($A26,'Dados StatusInvest'!$A:$AZ,COLUMN(X26)-$A$5,0)/VLOOKUP($A26,'Dados StatusInvest'!$A:$AZ,2,0)*$F26),0)</f>
        <v>1.51944</v>
      </c>
      <c r="Y26" s="54">
        <f>IFERROR((VLOOKUP($A26,'Dados StatusInvest'!$A:$AZ,COLUMN(Y26)-$A$5,0)/VLOOKUP($A26,'Dados StatusInvest'!$A:$AZ,2,0)*$F26),0)</f>
        <v>11.30814</v>
      </c>
      <c r="Z26" s="56">
        <f>IFERROR((VLOOKUP($A26,'Dados StatusInvest'!$A:$AZ,COLUMN(Z26)-$A$5,0)),0)</f>
        <v>0.23</v>
      </c>
      <c r="AA26" s="57">
        <f>IFERROR((VLOOKUP($A26,'Dados StatusInvest'!$A:$AZ,COLUMN(AA26)-$A$5,0)),0)</f>
        <v>0.71</v>
      </c>
      <c r="AB26" s="57">
        <f>IFERROR((VLOOKUP($A26,'Dados StatusInvest'!$A:$AZ,COLUMN(AB26)-$A$5,0)),0)</f>
        <v>0.39</v>
      </c>
      <c r="AC26" s="58">
        <f>IFERROR((VLOOKUP($A26,'Dados StatusInvest'!$A:$AZ,COLUMN(AC26)-$A$5,0)),0)</f>
        <v>26.33</v>
      </c>
      <c r="AD26" s="57">
        <f>IFERROR((VLOOKUP($A26,'Dados StatusInvest'!$A:$AZ,COLUMN(AD26)-$A$5,0)),0)</f>
        <v>0</v>
      </c>
      <c r="AE26" s="56">
        <f>IFERROR((VLOOKUP($A26,'Dados StatusInvest'!$A:$AZ,COLUMN(AE26)-$A$5,0)),0)</f>
        <v>45686853</v>
      </c>
      <c r="AF26" s="56">
        <f>IFERROR((VLOOKUP($A26,'Dados StatusInvest'!$A:$AZ,COLUMN(AF26)-$A$5,0)),0)</f>
        <v>5.83</v>
      </c>
      <c r="AG26" s="56">
        <f>IFERROR((VLOOKUP($A26,'Dados StatusInvest'!$A:$AZ,COLUMN(AG26)-$A$5,0)),0)</f>
        <v>0.39</v>
      </c>
      <c r="AH26" s="56">
        <f>IFERROR((VLOOKUP($A26,'Dados StatusInvest'!$A:$AZ,COLUMN(AH26)-$A$5,0)),0)</f>
        <v>-0.03</v>
      </c>
      <c r="AI26" s="57">
        <f>IFERROR((VLOOKUP($A26,'Dados StatusInvest'!$A:$AZ,COLUMN(AI26)-$A$5,0)),0)</f>
        <v>2019344025</v>
      </c>
      <c r="AJ26" s="59" t="str">
        <f>IFERROR((VLOOKUP($A26,'Dados StatusInvest'!$A:$AZ,COLUMN(AJ26)-$A$5,0)),0)</f>
        <v/>
      </c>
      <c r="AK26" s="60">
        <f>IFERROR(__xludf.DUMMYFUNCTION("IFERROR(GOOGLEFINANCE($A26,""high""),"""")"),4.99)</f>
        <v>4.99</v>
      </c>
      <c r="AL26" s="60">
        <f>IFERROR(__xludf.DUMMYFUNCTION("IFERROR(GOOGLEFINANCE($A26,""low""),"""")"),4.82)</f>
        <v>4.82</v>
      </c>
      <c r="AM26" s="61">
        <f t="shared" si="2"/>
        <v>0.03526970954</v>
      </c>
      <c r="AN26" s="62">
        <f>IFERROR(__xludf.DUMMYFUNCTION("IFERROR((GOOGLEFINANCE($A26,""volume"")),0)"),707000.0)</f>
        <v>707000</v>
      </c>
      <c r="AO26" s="60">
        <f>IFERROR(__xludf.DUMMYFUNCTION("IFERROR((GOOGLEFINANCE($A26,""closeyest"")),"""")"),5.0)</f>
        <v>5</v>
      </c>
      <c r="AP26" s="60">
        <f>IFERROR(__xludf.DUMMYFUNCTION("IFERROR((GOOGLEFINANCE($A26,""shares"")),"""")"),4.03868805E8)</f>
        <v>403868805</v>
      </c>
      <c r="AQ26" s="18"/>
    </row>
    <row r="27">
      <c r="A27" s="45" t="str">
        <f>'Dados StatusInvest'!A22:A641</f>
        <v>APER3</v>
      </c>
      <c r="B27" s="46" t="str">
        <f>IFERROR(__xludf.DUMMYFUNCTION("IFERROR((GOOGLEFINANCE(A27,""name"")),"""")"),"")</f>
        <v/>
      </c>
      <c r="C27" s="46" t="str">
        <f>IFERROR((VLOOKUP(LEFT($A27,4),Setor!$A:$E,3,0)),"")</f>
        <v>Financeiro</v>
      </c>
      <c r="D27" s="46" t="str">
        <f>IFERROR((VLOOKUP(LEFT($A27,4),Setor!$A:$E,4,0)),"")</f>
        <v>Previdência e Seguros</v>
      </c>
      <c r="E27" s="46" t="str">
        <f>IFERROR((VLOOKUP(LEFT($A27,4),Setor!$A:$E,5,0)),"")</f>
        <v>Corretoras de Seguros</v>
      </c>
      <c r="F27" s="47" t="str">
        <f>IFERROR(__xludf.DUMMYFUNCTION("IFERROR((GOOGLEFINANCE(A27)),"""")"),"")</f>
        <v/>
      </c>
      <c r="G27" s="48" t="str">
        <f>IFERROR(__xludf.DUMMYFUNCTION("IFERROR((sparkline(GOOGLEFINANCE($A27,""price"",TODAY()-30,TODAY(),""DAILY""),{""charttype"",""line"";""linewidth"",1;""color"",""#5f88cc""})),"""")"),"")</f>
        <v/>
      </c>
      <c r="H27" s="49" t="str">
        <f>IFERROR(__xludf.DUMMYFUNCTION("IFERROR((((GOOGLEFINANCE(A27))-(INDEX(GoogleFinance(A27,""PRICE"",$AQ$1),2,2)))/(INDEX(GoogleFinance(A27,""PRICE"",$AQ$1),2,2))),"""")"),"")</f>
        <v/>
      </c>
      <c r="I27" s="47" t="str">
        <f>IFERROR(__xludf.DUMMYFUNCTION("IFERROR((GOOGLEFINANCE($A27,""high52"")),"""")"),"")</f>
        <v/>
      </c>
      <c r="J27" s="48" t="str">
        <f>IFERROR(__xludf.DUMMYFUNCTION("IFERROR((sparkline(GOOGLEFINANCE($A27,""price"",TODAY()-365,TODAY(),""DAILY""),{""charttype"",""line"";""linewidth"",1;""color"",""#5f88cc""})),"""")"),"")</f>
        <v/>
      </c>
      <c r="K27" s="50" t="str">
        <f>IFERROR(__xludf.DUMMYFUNCTION("IFERROR((((GOOGLEFINANCE(A27))-(INDEX(GoogleFinance(A27,""PRICE"",$AP$1),2,2)))/(INDEX(GoogleFinance(A27,""PRICE"",$AP$1),2,2))),"""")"),"")</f>
        <v/>
      </c>
      <c r="L27" s="51">
        <f t="shared" si="1"/>
        <v>0</v>
      </c>
      <c r="M27" s="52">
        <f>IFERROR((VLOOKUP($A27,'Dados StatusInvest'!$A:$AZ,COLUMN(M27)-$A$5,0)*VLOOKUP($A27,'Dados StatusInvest'!$A:$AZ,2,0)/$F27/100),0)</f>
        <v>0</v>
      </c>
      <c r="N27" s="53">
        <f>IFERROR((VLOOKUP($A27,'Dados StatusInvest'!$A:$AZ,COLUMN(N27)-$A$5,0)/VLOOKUP($A27,'Dados StatusInvest'!$A:$AZ,2,0)*$F27),"")</f>
        <v>0</v>
      </c>
      <c r="O27" s="53">
        <f>IFERROR((VLOOKUP($A27,'Dados StatusInvest'!$A:$AZ,COLUMN(O27)-$A$5,0)/VLOOKUP($A27,'Dados StatusInvest'!$A:$AZ,2,0)*$F27),0)</f>
        <v>0</v>
      </c>
      <c r="P27" s="54">
        <f>IFERROR((VLOOKUP($A27,'Dados StatusInvest'!$A:$AZ,COLUMN(P27)-$A$5,0)/VLOOKUP($A27,'Dados StatusInvest'!$A:$AZ,2,0)*$F27),0)</f>
        <v>0</v>
      </c>
      <c r="Q27" s="55">
        <f>IFERROR((VLOOKUP($A27,'Dados StatusInvest'!$A:$AZ,COLUMN(Q27)-$A$5,0)/100),0)</f>
        <v>0.0274</v>
      </c>
      <c r="R27" s="56">
        <f>VLOOKUP($A27,'Dados StatusInvest'!$A:$AZ,COLUMN(R27)-$A$5,0)</f>
        <v>0.14</v>
      </c>
      <c r="S27" s="56">
        <f>IFERROR((VLOOKUP($A27,'Dados StatusInvest'!$A:$AZ,COLUMN(S27)-$A$5,0)),0)</f>
        <v>2.68</v>
      </c>
      <c r="T27" s="53">
        <f>IFERROR((VLOOKUP($A27,'Dados StatusInvest'!$A:$AZ,COLUMN(T27)-$A$5,0)/VLOOKUP($A27,'Dados StatusInvest'!$A:$AZ,2,0)*$F27),0)</f>
        <v>0</v>
      </c>
      <c r="U27" s="53">
        <f>IFERROR((VLOOKUP($A27,'Dados StatusInvest'!$A:$AZ,COLUMN(U27)-$A$5,0)-VLOOKUP($A27,'Dados StatusInvest'!$A:$AZ,COLUMN(U27)-$A$5-1,0)+T27),0)</f>
        <v>-116.66</v>
      </c>
      <c r="V27" s="56">
        <f>IFERROR((VLOOKUP($A27,'Dados StatusInvest'!$A:$AZ,COLUMN(V27)-$A$5,0)),0)</f>
        <v>1.03</v>
      </c>
      <c r="W27" s="56">
        <f>IFERROR((VLOOKUP($A27,'Dados StatusInvest'!$A:$AZ,COLUMN(W27)-$A$5,0)),0)</f>
        <v>-6.15</v>
      </c>
      <c r="X27" s="53">
        <f>IFERROR((VLOOKUP($A27,'Dados StatusInvest'!$A:$AZ,COLUMN(X27)-$A$5,0)/VLOOKUP($A27,'Dados StatusInvest'!$A:$AZ,2,0)*$F27),0)</f>
        <v>0</v>
      </c>
      <c r="Y27" s="54">
        <f>IFERROR((VLOOKUP($A27,'Dados StatusInvest'!$A:$AZ,COLUMN(Y27)-$A$5,0)/VLOOKUP($A27,'Dados StatusInvest'!$A:$AZ,2,0)*$F27),0)</f>
        <v>0</v>
      </c>
      <c r="Z27" s="56">
        <f>IFERROR((VLOOKUP($A27,'Dados StatusInvest'!$A:$AZ,COLUMN(Z27)-$A$5,0)),0)</f>
        <v>0.5</v>
      </c>
      <c r="AA27" s="57">
        <f>IFERROR((VLOOKUP($A27,'Dados StatusInvest'!$A:$AZ,COLUMN(AA27)-$A$5,0)),0)</f>
        <v>0.5</v>
      </c>
      <c r="AB27" s="57">
        <f>IFERROR((VLOOKUP($A27,'Dados StatusInvest'!$A:$AZ,COLUMN(AB27)-$A$5,0)),0)</f>
        <v>0.38</v>
      </c>
      <c r="AC27" s="58">
        <f>IFERROR((VLOOKUP($A27,'Dados StatusInvest'!$A:$AZ,COLUMN(AC27)-$A$5,0)),0)</f>
        <v>29.52</v>
      </c>
      <c r="AD27" s="57">
        <f>IFERROR((VLOOKUP($A27,'Dados StatusInvest'!$A:$AZ,COLUMN(AD27)-$A$5,0)),0)</f>
        <v>0</v>
      </c>
      <c r="AE27" s="56">
        <f>IFERROR((VLOOKUP($A27,'Dados StatusInvest'!$A:$AZ,COLUMN(AE27)-$A$5,0)),0)</f>
        <v>51166</v>
      </c>
      <c r="AF27" s="56">
        <f>IFERROR((VLOOKUP($A27,'Dados StatusInvest'!$A:$AZ,COLUMN(AF27)-$A$5,0)),0)</f>
        <v>23.16</v>
      </c>
      <c r="AG27" s="56">
        <f>IFERROR((VLOOKUP($A27,'Dados StatusInvest'!$A:$AZ,COLUMN(AG27)-$A$5,0)),0)</f>
        <v>-1.42</v>
      </c>
      <c r="AH27" s="56">
        <f>IFERROR((VLOOKUP($A27,'Dados StatusInvest'!$A:$AZ,COLUMN(AH27)-$A$5,0)),0)</f>
        <v>0.16</v>
      </c>
      <c r="AI27" s="57">
        <f>IFERROR((VLOOKUP($A27,'Dados StatusInvest'!$A:$AZ,COLUMN(AI27)-$A$5,0)),0)</f>
        <v>953269946.8</v>
      </c>
      <c r="AJ27" s="59" t="str">
        <f>IFERROR((VLOOKUP($A27,'Dados StatusInvest'!$A:$AZ,COLUMN(AJ27)-$A$5,0)),0)</f>
        <v/>
      </c>
      <c r="AK27" s="60" t="str">
        <f>IFERROR(__xludf.DUMMYFUNCTION("IFERROR(GOOGLEFINANCE($A27,""high""),"""")"),"")</f>
        <v/>
      </c>
      <c r="AL27" s="60" t="str">
        <f>IFERROR(__xludf.DUMMYFUNCTION("IFERROR(GOOGLEFINANCE($A27,""low""),"""")"),"")</f>
        <v/>
      </c>
      <c r="AM27" s="61">
        <f t="shared" si="2"/>
        <v>0</v>
      </c>
      <c r="AN27" s="62">
        <f>IFERROR(__xludf.DUMMYFUNCTION("IFERROR((GOOGLEFINANCE($A27,""volume"")),0)"),0.0)</f>
        <v>0</v>
      </c>
      <c r="AO27" s="60" t="str">
        <f>IFERROR(__xludf.DUMMYFUNCTION("IFERROR((GOOGLEFINANCE($A27,""closeyest"")),"""")"),"")</f>
        <v/>
      </c>
      <c r="AP27" s="60" t="str">
        <f>IFERROR(__xludf.DUMMYFUNCTION("IFERROR((GOOGLEFINANCE($A27,""shares"")),"""")"),"")</f>
        <v/>
      </c>
      <c r="AQ27" s="18"/>
    </row>
    <row r="28">
      <c r="A28" s="45" t="str">
        <f>'Dados StatusInvest'!A23:A642</f>
        <v>APTI3</v>
      </c>
      <c r="B28" s="46" t="str">
        <f>IFERROR(__xludf.DUMMYFUNCTION("IFERROR((GOOGLEFINANCE(A28,""name"")),"""")"),"Siderurgica JL Aliperti SA")</f>
        <v>Siderurgica JL Aliperti SA</v>
      </c>
      <c r="C28" s="46" t="str">
        <f>IFERROR((VLOOKUP(LEFT($A28,4),Setor!$A:$E,3,0)),"")</f>
        <v>Consumo não Cíclico</v>
      </c>
      <c r="D28" s="46" t="str">
        <f>IFERROR((VLOOKUP(LEFT($A28,4),Setor!$A:$E,4,0)),"")</f>
        <v>Agropecuária</v>
      </c>
      <c r="E28" s="46" t="str">
        <f>IFERROR((VLOOKUP(LEFT($A28,4),Setor!$A:$E,5,0)),"")</f>
        <v>Agricultura</v>
      </c>
      <c r="F28" s="47">
        <f>IFERROR(__xludf.DUMMYFUNCTION("IFERROR((GOOGLEFINANCE(A28)),"""")"),0.0)</f>
        <v>0</v>
      </c>
      <c r="G28" s="48" t="str">
        <f>IFERROR(__xludf.DUMMYFUNCTION("IFERROR((sparkline(GOOGLEFINANCE($A28,""price"",TODAY()-30,TODAY(),""DAILY""),{""charttype"",""line"";""linewidth"",1;""color"",""#5f88cc""})),"""")"),"")</f>
        <v/>
      </c>
      <c r="H28" s="49" t="str">
        <f>IFERROR(__xludf.DUMMYFUNCTION("IFERROR((((GOOGLEFINANCE(A28))-(INDEX(GoogleFinance(A28,""PRICE"",$AQ$1),2,2)))/(INDEX(GoogleFinance(A28,""PRICE"",$AQ$1),2,2))),"""")"),"")</f>
        <v/>
      </c>
      <c r="I28" s="47">
        <f>IFERROR(__xludf.DUMMYFUNCTION("IFERROR((GOOGLEFINANCE($A28,""high52"")),"""")"),320.0)</f>
        <v>320</v>
      </c>
      <c r="J28" s="48" t="str">
        <f>IFERROR(__xludf.DUMMYFUNCTION("IFERROR((sparkline(GOOGLEFINANCE($A28,""price"",TODAY()-365,TODAY(),""DAILY""),{""charttype"",""line"";""linewidth"",1;""color"",""#5f88cc""})),"""")"),"")</f>
        <v/>
      </c>
      <c r="K28" s="50" t="str">
        <f>IFERROR(__xludf.DUMMYFUNCTION("IFERROR((((GOOGLEFINANCE(A28))-(INDEX(GoogleFinance(A28,""PRICE"",$AP$1),2,2)))/(INDEX(GoogleFinance(A28,""PRICE"",$AP$1),2,2))),"""")"),"")</f>
        <v/>
      </c>
      <c r="L28" s="51">
        <f t="shared" si="1"/>
        <v>-1</v>
      </c>
      <c r="M28" s="52">
        <f>IFERROR((VLOOKUP($A28,'Dados StatusInvest'!$A:$AZ,COLUMN(M28)-$A$5,0)*VLOOKUP($A28,'Dados StatusInvest'!$A:$AZ,2,0)/$F28/100),0)</f>
        <v>0</v>
      </c>
      <c r="N28" s="53">
        <f>IFERROR((VLOOKUP($A28,'Dados StatusInvest'!$A:$AZ,COLUMN(N28)-$A$5,0)/VLOOKUP($A28,'Dados StatusInvest'!$A:$AZ,2,0)*$F28),"")</f>
        <v>0</v>
      </c>
      <c r="O28" s="53">
        <f>IFERROR((VLOOKUP($A28,'Dados StatusInvest'!$A:$AZ,COLUMN(O28)-$A$5,0)/VLOOKUP($A28,'Dados StatusInvest'!$A:$AZ,2,0)*$F28),0)</f>
        <v>0</v>
      </c>
      <c r="P28" s="54">
        <f>IFERROR((VLOOKUP($A28,'Dados StatusInvest'!$A:$AZ,COLUMN(P28)-$A$5,0)/VLOOKUP($A28,'Dados StatusInvest'!$A:$AZ,2,0)*$F28),0)</f>
        <v>0</v>
      </c>
      <c r="Q28" s="55">
        <f>IFERROR((VLOOKUP($A28,'Dados StatusInvest'!$A:$AZ,COLUMN(Q28)-$A$5,0)/100),0)</f>
        <v>-0.0142</v>
      </c>
      <c r="R28" s="56">
        <f>VLOOKUP($A28,'Dados StatusInvest'!$A:$AZ,COLUMN(R28)-$A$5,0)</f>
        <v>-0.09</v>
      </c>
      <c r="S28" s="56">
        <f>IFERROR((VLOOKUP($A28,'Dados StatusInvest'!$A:$AZ,COLUMN(S28)-$A$5,0)),0)</f>
        <v>0.1</v>
      </c>
      <c r="T28" s="53">
        <f>IFERROR((VLOOKUP($A28,'Dados StatusInvest'!$A:$AZ,COLUMN(T28)-$A$5,0)/VLOOKUP($A28,'Dados StatusInvest'!$A:$AZ,2,0)*$F28),0)</f>
        <v>0</v>
      </c>
      <c r="U28" s="53">
        <f>IFERROR((VLOOKUP($A28,'Dados StatusInvest'!$A:$AZ,COLUMN(U28)-$A$5,0)-VLOOKUP($A28,'Dados StatusInvest'!$A:$AZ,COLUMN(U28)-$A$5-1,0)+T28),0)</f>
        <v>-0.03</v>
      </c>
      <c r="V28" s="56">
        <f>IFERROR((VLOOKUP($A28,'Dados StatusInvest'!$A:$AZ,COLUMN(V28)-$A$5,0)),0)</f>
        <v>10.57</v>
      </c>
      <c r="W28" s="56">
        <f>IFERROR((VLOOKUP($A28,'Dados StatusInvest'!$A:$AZ,COLUMN(W28)-$A$5,0)),0)</f>
        <v>10.94</v>
      </c>
      <c r="X28" s="53">
        <f>IFERROR((VLOOKUP($A28,'Dados StatusInvest'!$A:$AZ,COLUMN(X28)-$A$5,0)/VLOOKUP($A28,'Dados StatusInvest'!$A:$AZ,2,0)*$F28),0)</f>
        <v>0</v>
      </c>
      <c r="Y28" s="54">
        <f>IFERROR((VLOOKUP($A28,'Dados StatusInvest'!$A:$AZ,COLUMN(Y28)-$A$5,0)/VLOOKUP($A28,'Dados StatusInvest'!$A:$AZ,2,0)*$F28),0)</f>
        <v>0</v>
      </c>
      <c r="Z28" s="56">
        <f>IFERROR((VLOOKUP($A28,'Dados StatusInvest'!$A:$AZ,COLUMN(Z28)-$A$5,0)),0)</f>
        <v>0.54</v>
      </c>
      <c r="AA28" s="57">
        <f>IFERROR((VLOOKUP($A28,'Dados StatusInvest'!$A:$AZ,COLUMN(AA28)-$A$5,0)),0)</f>
        <v>0.46</v>
      </c>
      <c r="AB28" s="57">
        <f>IFERROR((VLOOKUP($A28,'Dados StatusInvest'!$A:$AZ,COLUMN(AB28)-$A$5,0)),0)</f>
        <v>0.07</v>
      </c>
      <c r="AC28" s="58">
        <f>IFERROR((VLOOKUP($A28,'Dados StatusInvest'!$A:$AZ,COLUMN(AC28)-$A$5,0)),0)</f>
        <v>-2.98</v>
      </c>
      <c r="AD28" s="57">
        <f>IFERROR((VLOOKUP($A28,'Dados StatusInvest'!$A:$AZ,COLUMN(AD28)-$A$5,0)),0)</f>
        <v>0</v>
      </c>
      <c r="AE28" s="56">
        <f>IFERROR((VLOOKUP($A28,'Dados StatusInvest'!$A:$AZ,COLUMN(AE28)-$A$5,0)),0)</f>
        <v>0</v>
      </c>
      <c r="AF28" s="56">
        <f>IFERROR((VLOOKUP($A28,'Dados StatusInvest'!$A:$AZ,COLUMN(AF28)-$A$5,0)),0)</f>
        <v>14822.32</v>
      </c>
      <c r="AG28" s="56">
        <f>IFERROR((VLOOKUP($A28,'Dados StatusInvest'!$A:$AZ,COLUMN(AG28)-$A$5,0)),0)</f>
        <v>1621.94</v>
      </c>
      <c r="AH28" s="56">
        <f>IFERROR((VLOOKUP($A28,'Dados StatusInvest'!$A:$AZ,COLUMN(AH28)-$A$5,0)),0)</f>
        <v>0</v>
      </c>
      <c r="AI28" s="57">
        <f>IFERROR((VLOOKUP($A28,'Dados StatusInvest'!$A:$AZ,COLUMN(AI28)-$A$5,0)),0)</f>
        <v>37417457.4</v>
      </c>
      <c r="AJ28" s="59" t="str">
        <f>IFERROR((VLOOKUP($A28,'Dados StatusInvest'!$A:$AZ,COLUMN(AJ28)-$A$5,0)),0)</f>
        <v/>
      </c>
      <c r="AK28" s="60" t="str">
        <f>IFERROR(__xludf.DUMMYFUNCTION("IFERROR(GOOGLEFINANCE($A28,""high""),"""")"),"")</f>
        <v/>
      </c>
      <c r="AL28" s="60" t="str">
        <f>IFERROR(__xludf.DUMMYFUNCTION("IFERROR(GOOGLEFINANCE($A28,""low""),"""")"),"")</f>
        <v/>
      </c>
      <c r="AM28" s="61">
        <f t="shared" si="2"/>
        <v>0</v>
      </c>
      <c r="AN28" s="62">
        <f>IFERROR(__xludf.DUMMYFUNCTION("IFERROR((GOOGLEFINANCE($A28,""volume"")),0)"),0.0)</f>
        <v>0</v>
      </c>
      <c r="AO28" s="60" t="str">
        <f>IFERROR(__xludf.DUMMYFUNCTION("IFERROR((GOOGLEFINANCE($A28,""closeyest"")),"""")"),"")</f>
        <v/>
      </c>
      <c r="AP28" s="60">
        <f>IFERROR(__xludf.DUMMYFUNCTION("IFERROR((GOOGLEFINANCE($A28,""shares"")),"""")"),6250.0)</f>
        <v>6250</v>
      </c>
      <c r="AQ28" s="18"/>
    </row>
    <row r="29">
      <c r="A29" s="45" t="str">
        <f>'Dados StatusInvest'!A24:A643</f>
        <v>APTI4</v>
      </c>
      <c r="B29" s="46" t="str">
        <f>IFERROR(__xludf.DUMMYFUNCTION("IFERROR((GOOGLEFINANCE(A29,""name"")),"""")"),"Siderurgica JL Aliperti SA Preference Shares")</f>
        <v>Siderurgica JL Aliperti SA Preference Shares</v>
      </c>
      <c r="C29" s="46" t="str">
        <f>IFERROR((VLOOKUP(LEFT($A29,4),Setor!$A:$E,3,0)),"")</f>
        <v>Consumo não Cíclico</v>
      </c>
      <c r="D29" s="46" t="str">
        <f>IFERROR((VLOOKUP(LEFT($A29,4),Setor!$A:$E,4,0)),"")</f>
        <v>Agropecuária</v>
      </c>
      <c r="E29" s="46" t="str">
        <f>IFERROR((VLOOKUP(LEFT($A29,4),Setor!$A:$E,5,0)),"")</f>
        <v>Agricultura</v>
      </c>
      <c r="F29" s="47">
        <f>IFERROR(__xludf.DUMMYFUNCTION("IFERROR((GOOGLEFINANCE(A29)),"""")"),0.0)</f>
        <v>0</v>
      </c>
      <c r="G29" s="48" t="str">
        <f>IFERROR(__xludf.DUMMYFUNCTION("IFERROR((sparkline(GOOGLEFINANCE($A29,""price"",TODAY()-30,TODAY(),""DAILY""),{""charttype"",""line"";""linewidth"",1;""color"",""#5f88cc""})),"""")"),"")</f>
        <v/>
      </c>
      <c r="H29" s="49" t="str">
        <f>IFERROR(__xludf.DUMMYFUNCTION("IFERROR((((GOOGLEFINANCE(A29))-(INDEX(GoogleFinance(A29,""PRICE"",$AQ$1),2,2)))/(INDEX(GoogleFinance(A29,""PRICE"",$AQ$1),2,2))),"""")"),"")</f>
        <v/>
      </c>
      <c r="I29" s="47">
        <f>IFERROR(__xludf.DUMMYFUNCTION("IFERROR((GOOGLEFINANCE($A29,""high52"")),"""")"),3500.0)</f>
        <v>3500</v>
      </c>
      <c r="J29" s="48" t="str">
        <f>IFERROR(__xludf.DUMMYFUNCTION("IFERROR((sparkline(GOOGLEFINANCE($A29,""price"",TODAY()-365,TODAY(),""DAILY""),{""charttype"",""line"";""linewidth"",1;""color"",""#5f88cc""})),"""")"),"")</f>
        <v/>
      </c>
      <c r="K29" s="50" t="str">
        <f>IFERROR(__xludf.DUMMYFUNCTION("IFERROR((((GOOGLEFINANCE(A29))-(INDEX(GoogleFinance(A29,""PRICE"",$AP$1),2,2)))/(INDEX(GoogleFinance(A29,""PRICE"",$AP$1),2,2))),"""")"),"")</f>
        <v/>
      </c>
      <c r="L29" s="51">
        <f t="shared" si="1"/>
        <v>-1</v>
      </c>
      <c r="M29" s="52">
        <f>IFERROR((VLOOKUP($A29,'Dados StatusInvest'!$A:$AZ,COLUMN(M29)-$A$5,0)*VLOOKUP($A29,'Dados StatusInvest'!$A:$AZ,2,0)/$F29/100),0)</f>
        <v>0</v>
      </c>
      <c r="N29" s="53">
        <f>IFERROR((VLOOKUP($A29,'Dados StatusInvest'!$A:$AZ,COLUMN(N29)-$A$5,0)/VLOOKUP($A29,'Dados StatusInvest'!$A:$AZ,2,0)*$F29),"")</f>
        <v>0</v>
      </c>
      <c r="O29" s="53">
        <f>IFERROR((VLOOKUP($A29,'Dados StatusInvest'!$A:$AZ,COLUMN(O29)-$A$5,0)/VLOOKUP($A29,'Dados StatusInvest'!$A:$AZ,2,0)*$F29),0)</f>
        <v>0</v>
      </c>
      <c r="P29" s="54">
        <f>IFERROR((VLOOKUP($A29,'Dados StatusInvest'!$A:$AZ,COLUMN(P29)-$A$5,0)/VLOOKUP($A29,'Dados StatusInvest'!$A:$AZ,2,0)*$F29),0)</f>
        <v>0</v>
      </c>
      <c r="Q29" s="55">
        <f>IFERROR((VLOOKUP($A29,'Dados StatusInvest'!$A:$AZ,COLUMN(Q29)-$A$5,0)/100),0)</f>
        <v>-0.0142</v>
      </c>
      <c r="R29" s="56">
        <f>VLOOKUP($A29,'Dados StatusInvest'!$A:$AZ,COLUMN(R29)-$A$5,0)</f>
        <v>-0.09</v>
      </c>
      <c r="S29" s="56">
        <f>IFERROR((VLOOKUP($A29,'Dados StatusInvest'!$A:$AZ,COLUMN(S29)-$A$5,0)),0)</f>
        <v>1.47</v>
      </c>
      <c r="T29" s="53">
        <f>IFERROR((VLOOKUP($A29,'Dados StatusInvest'!$A:$AZ,COLUMN(T29)-$A$5,0)/VLOOKUP($A29,'Dados StatusInvest'!$A:$AZ,2,0)*$F29),0)</f>
        <v>0</v>
      </c>
      <c r="U29" s="53">
        <f>IFERROR((VLOOKUP($A29,'Dados StatusInvest'!$A:$AZ,COLUMN(U29)-$A$5,0)-VLOOKUP($A29,'Dados StatusInvest'!$A:$AZ,COLUMN(U29)-$A$5-1,0)+T29),0)</f>
        <v>-0.45</v>
      </c>
      <c r="V29" s="56">
        <f>IFERROR((VLOOKUP($A29,'Dados StatusInvest'!$A:$AZ,COLUMN(V29)-$A$5,0)),0)</f>
        <v>10.57</v>
      </c>
      <c r="W29" s="56">
        <f>IFERROR((VLOOKUP($A29,'Dados StatusInvest'!$A:$AZ,COLUMN(W29)-$A$5,0)),0)</f>
        <v>10.94</v>
      </c>
      <c r="X29" s="53">
        <f>IFERROR((VLOOKUP($A29,'Dados StatusInvest'!$A:$AZ,COLUMN(X29)-$A$5,0)/VLOOKUP($A29,'Dados StatusInvest'!$A:$AZ,2,0)*$F29),0)</f>
        <v>0</v>
      </c>
      <c r="Y29" s="54">
        <f>IFERROR((VLOOKUP($A29,'Dados StatusInvest'!$A:$AZ,COLUMN(Y29)-$A$5,0)/VLOOKUP($A29,'Dados StatusInvest'!$A:$AZ,2,0)*$F29),0)</f>
        <v>0</v>
      </c>
      <c r="Z29" s="56">
        <f>IFERROR((VLOOKUP($A29,'Dados StatusInvest'!$A:$AZ,COLUMN(Z29)-$A$5,0)),0)</f>
        <v>0.54</v>
      </c>
      <c r="AA29" s="57">
        <f>IFERROR((VLOOKUP($A29,'Dados StatusInvest'!$A:$AZ,COLUMN(AA29)-$A$5,0)),0)</f>
        <v>0.46</v>
      </c>
      <c r="AB29" s="57">
        <f>IFERROR((VLOOKUP($A29,'Dados StatusInvest'!$A:$AZ,COLUMN(AB29)-$A$5,0)),0)</f>
        <v>0.07</v>
      </c>
      <c r="AC29" s="58">
        <f>IFERROR((VLOOKUP($A29,'Dados StatusInvest'!$A:$AZ,COLUMN(AC29)-$A$5,0)),0)</f>
        <v>-2.98</v>
      </c>
      <c r="AD29" s="57">
        <f>IFERROR((VLOOKUP($A29,'Dados StatusInvest'!$A:$AZ,COLUMN(AD29)-$A$5,0)),0)</f>
        <v>0</v>
      </c>
      <c r="AE29" s="56">
        <f>IFERROR((VLOOKUP($A29,'Dados StatusInvest'!$A:$AZ,COLUMN(AE29)-$A$5,0)),0)</f>
        <v>0</v>
      </c>
      <c r="AF29" s="56">
        <f>IFERROR((VLOOKUP($A29,'Dados StatusInvest'!$A:$AZ,COLUMN(AF29)-$A$5,0)),0)</f>
        <v>14822.32</v>
      </c>
      <c r="AG29" s="56">
        <f>IFERROR((VLOOKUP($A29,'Dados StatusInvest'!$A:$AZ,COLUMN(AG29)-$A$5,0)),0)</f>
        <v>1621.94</v>
      </c>
      <c r="AH29" s="56">
        <f>IFERROR((VLOOKUP($A29,'Dados StatusInvest'!$A:$AZ,COLUMN(AH29)-$A$5,0)),0)</f>
        <v>-0.04</v>
      </c>
      <c r="AI29" s="57">
        <f>IFERROR((VLOOKUP($A29,'Dados StatusInvest'!$A:$AZ,COLUMN(AI29)-$A$5,0)),0)</f>
        <v>37417457.4</v>
      </c>
      <c r="AJ29" s="59" t="str">
        <f>IFERROR((VLOOKUP($A29,'Dados StatusInvest'!$A:$AZ,COLUMN(AJ29)-$A$5,0)),0)</f>
        <v/>
      </c>
      <c r="AK29" s="60" t="str">
        <f>IFERROR(__xludf.DUMMYFUNCTION("IFERROR(GOOGLEFINANCE($A29,""high""),"""")"),"")</f>
        <v/>
      </c>
      <c r="AL29" s="60" t="str">
        <f>IFERROR(__xludf.DUMMYFUNCTION("IFERROR(GOOGLEFINANCE($A29,""low""),"""")"),"")</f>
        <v/>
      </c>
      <c r="AM29" s="61">
        <f t="shared" si="2"/>
        <v>0</v>
      </c>
      <c r="AN29" s="62">
        <f>IFERROR(__xludf.DUMMYFUNCTION("IFERROR((GOOGLEFINANCE($A29,""volume"")),0)"),0.0)</f>
        <v>0</v>
      </c>
      <c r="AO29" s="60">
        <f>IFERROR(__xludf.DUMMYFUNCTION("IFERROR((GOOGLEFINANCE($A29,""closeyest"")),"""")"),140.22)</f>
        <v>140.22</v>
      </c>
      <c r="AP29" s="60">
        <f>IFERROR(__xludf.DUMMYFUNCTION("IFERROR((GOOGLEFINANCE($A29,""shares"")),"""")"),12345.0)</f>
        <v>12345</v>
      </c>
      <c r="AQ29" s="18"/>
    </row>
    <row r="30">
      <c r="A30" s="45" t="str">
        <f>'Dados StatusInvest'!A25:A644</f>
        <v>ARML3</v>
      </c>
      <c r="B30" s="46" t="str">
        <f>IFERROR(__xludf.DUMMYFUNCTION("IFERROR((GOOGLEFINANCE(A30,""name"")),"""")"),"Armac Locacao Logistica e Servicos SA")</f>
        <v>Armac Locacao Logistica e Servicos SA</v>
      </c>
      <c r="C30" s="46" t="str">
        <f>IFERROR((VLOOKUP(LEFT($A30,4),Setor!$A:$E,3,0)),"")</f>
        <v>Outros</v>
      </c>
      <c r="D30" s="46" t="str">
        <f>IFERROR((VLOOKUP(LEFT($A30,4),Setor!$A:$E,4,0)),"")</f>
        <v>Transporte</v>
      </c>
      <c r="E30" s="46" t="str">
        <f>IFERROR((VLOOKUP(LEFT($A30,4),Setor!$A:$E,5,0)),"")</f>
        <v>Exploração de Rodovias</v>
      </c>
      <c r="F30" s="47">
        <f>IFERROR(__xludf.DUMMYFUNCTION("IFERROR((GOOGLEFINANCE(A30)),"""")"),5.52)</f>
        <v>5.52</v>
      </c>
      <c r="G30" s="48" t="str">
        <f>IFERROR(__xludf.DUMMYFUNCTION("IFERROR((sparkline(GOOGLEFINANCE($A30,""price"",TODAY()-30,TODAY(),""DAILY""),{""charttype"",""line"";""linewidth"",1;""color"",""#5f88cc""})),"""")"),"")</f>
        <v/>
      </c>
      <c r="H30" s="49">
        <f>IFERROR(__xludf.DUMMYFUNCTION("IFERROR((((GOOGLEFINANCE(A30))-(INDEX(GoogleFinance(A30,""PRICE"",$AQ$1),2,2)))/(INDEX(GoogleFinance(A30,""PRICE"",$AQ$1),2,2))),"""")"),0.2748267898383371)</f>
        <v>0.2748267898</v>
      </c>
      <c r="I30" s="47">
        <f>IFERROR(__xludf.DUMMYFUNCTION("IFERROR((GOOGLEFINANCE($A30,""high52"")),"""")"),5.66)</f>
        <v>5.66</v>
      </c>
      <c r="J30" s="48" t="str">
        <f>IFERROR(__xludf.DUMMYFUNCTION("IFERROR((sparkline(GOOGLEFINANCE($A30,""price"",TODAY()-365,TODAY(),""DAILY""),{""charttype"",""line"";""linewidth"",1;""color"",""#5f88cc""})),"""")"),"")</f>
        <v/>
      </c>
      <c r="K30" s="50">
        <f>IFERROR(__xludf.DUMMYFUNCTION("IFERROR((((GOOGLEFINANCE(A30))-(INDEX(GoogleFinance(A30,""PRICE"",$AP$1),2,2)))/(INDEX(GoogleFinance(A30,""PRICE"",$AP$1),2,2))),"""")"),0.21318681318681315)</f>
        <v>0.2131868132</v>
      </c>
      <c r="L30" s="51">
        <f t="shared" si="1"/>
        <v>-0.02473498233</v>
      </c>
      <c r="M30" s="52">
        <f>IFERROR((VLOOKUP($A30,'Dados StatusInvest'!$A:$AZ,COLUMN(M30)-$A$5,0)*VLOOKUP($A30,'Dados StatusInvest'!$A:$AZ,2,0)/$F30/100),0)</f>
        <v>0.2242126812</v>
      </c>
      <c r="N30" s="53">
        <f>IFERROR((VLOOKUP($A30,'Dados StatusInvest'!$A:$AZ,COLUMN(N30)-$A$5,0)/VLOOKUP($A30,'Dados StatusInvest'!$A:$AZ,2,0)*$F30),"")</f>
        <v>2.883877917</v>
      </c>
      <c r="O30" s="53">
        <f>IFERROR((VLOOKUP($A30,'Dados StatusInvest'!$A:$AZ,COLUMN(O30)-$A$5,0)/VLOOKUP($A30,'Dados StatusInvest'!$A:$AZ,2,0)*$F30),0)</f>
        <v>4.628078995</v>
      </c>
      <c r="P30" s="54">
        <f>IFERROR((VLOOKUP($A30,'Dados StatusInvest'!$A:$AZ,COLUMN(P30)-$A$5,0)/VLOOKUP($A30,'Dados StatusInvest'!$A:$AZ,2,0)*$F30),0)</f>
        <v>9.117414722</v>
      </c>
      <c r="Q30" s="55">
        <f>IFERROR((VLOOKUP($A30,'Dados StatusInvest'!$A:$AZ,COLUMN(Q30)-$A$5,0)/100),0)</f>
        <v>0.0453</v>
      </c>
      <c r="R30" s="56">
        <f>VLOOKUP($A30,'Dados StatusInvest'!$A:$AZ,COLUMN(R30)-$A$5,0)</f>
        <v>1.47</v>
      </c>
      <c r="S30" s="56">
        <f>IFERROR((VLOOKUP($A30,'Dados StatusInvest'!$A:$AZ,COLUMN(S30)-$A$5,0)),0)</f>
        <v>1.04</v>
      </c>
      <c r="T30" s="53">
        <f>IFERROR((VLOOKUP($A30,'Dados StatusInvest'!$A:$AZ,COLUMN(T30)-$A$5,0)/VLOOKUP($A30,'Dados StatusInvest'!$A:$AZ,2,0)*$F30),0)</f>
        <v>2.517199282</v>
      </c>
      <c r="U30" s="53">
        <f>IFERROR((VLOOKUP($A30,'Dados StatusInvest'!$A:$AZ,COLUMN(U30)-$A$5,0)-VLOOKUP($A30,'Dados StatusInvest'!$A:$AZ,COLUMN(U30)-$A$5-1,0)+T30),0)</f>
        <v>-0.6128007181</v>
      </c>
      <c r="V30" s="56">
        <f>IFERROR((VLOOKUP($A30,'Dados StatusInvest'!$A:$AZ,COLUMN(V30)-$A$5,0)),0)</f>
        <v>2.21</v>
      </c>
      <c r="W30" s="56">
        <f>IFERROR((VLOOKUP($A30,'Dados StatusInvest'!$A:$AZ,COLUMN(W30)-$A$5,0)),0)</f>
        <v>4.26</v>
      </c>
      <c r="X30" s="53">
        <f>IFERROR((VLOOKUP($A30,'Dados StatusInvest'!$A:$AZ,COLUMN(X30)-$A$5,0)/VLOOKUP($A30,'Dados StatusInvest'!$A:$AZ,2,0)*$F30),0)</f>
        <v>1.159497307</v>
      </c>
      <c r="Y30" s="54">
        <f>IFERROR((VLOOKUP($A30,'Dados StatusInvest'!$A:$AZ,COLUMN(Y30)-$A$5,0)/VLOOKUP($A30,'Dados StatusInvest'!$A:$AZ,2,0)*$F30),0)</f>
        <v>10.3561939</v>
      </c>
      <c r="Z30" s="56">
        <f>IFERROR((VLOOKUP($A30,'Dados StatusInvest'!$A:$AZ,COLUMN(Z30)-$A$5,0)),0)</f>
        <v>0.27</v>
      </c>
      <c r="AA30" s="57">
        <f>IFERROR((VLOOKUP($A30,'Dados StatusInvest'!$A:$AZ,COLUMN(AA30)-$A$5,0)),0)</f>
        <v>0.72</v>
      </c>
      <c r="AB30" s="57">
        <f>IFERROR((VLOOKUP($A30,'Dados StatusInvest'!$A:$AZ,COLUMN(AB30)-$A$5,0)),0)</f>
        <v>0.4</v>
      </c>
      <c r="AC30" s="58">
        <f>IFERROR((VLOOKUP($A30,'Dados StatusInvest'!$A:$AZ,COLUMN(AC30)-$A$5,0)),0)</f>
        <v>95.79</v>
      </c>
      <c r="AD30" s="57">
        <f>IFERROR((VLOOKUP($A30,'Dados StatusInvest'!$A:$AZ,COLUMN(AD30)-$A$5,0)),0)</f>
        <v>42.68</v>
      </c>
      <c r="AE30" s="56">
        <f>IFERROR((VLOOKUP($A30,'Dados StatusInvest'!$A:$AZ,COLUMN(AE30)-$A$5,0)),0)</f>
        <v>4126765</v>
      </c>
      <c r="AF30" s="56">
        <f>IFERROR((VLOOKUP($A30,'Dados StatusInvest'!$A:$AZ,COLUMN(AF30)-$A$5,0)),0)</f>
        <v>3.67</v>
      </c>
      <c r="AG30" s="56">
        <f>IFERROR((VLOOKUP($A30,'Dados StatusInvest'!$A:$AZ,COLUMN(AG30)-$A$5,0)),0)</f>
        <v>0.16</v>
      </c>
      <c r="AH30" s="56">
        <f>IFERROR((VLOOKUP($A30,'Dados StatusInvest'!$A:$AZ,COLUMN(AH30)-$A$5,0)),0)</f>
        <v>-0.48</v>
      </c>
      <c r="AI30" s="57">
        <f>IFERROR((VLOOKUP($A30,'Dados StatusInvest'!$A:$AZ,COLUMN(AI30)-$A$5,0)),0)</f>
        <v>1929972120</v>
      </c>
      <c r="AJ30" s="59" t="str">
        <f>IFERROR((VLOOKUP($A30,'Dados StatusInvest'!$A:$AZ,COLUMN(AJ30)-$A$5,0)),0)</f>
        <v/>
      </c>
      <c r="AK30" s="60">
        <f>IFERROR(__xludf.DUMMYFUNCTION("IFERROR(GOOGLEFINANCE($A30,""high""),"""")"),5.56)</f>
        <v>5.56</v>
      </c>
      <c r="AL30" s="60">
        <f>IFERROR(__xludf.DUMMYFUNCTION("IFERROR(GOOGLEFINANCE($A30,""low""),"""")"),5.49)</f>
        <v>5.49</v>
      </c>
      <c r="AM30" s="61">
        <f t="shared" si="2"/>
        <v>0.01275045537</v>
      </c>
      <c r="AN30" s="62">
        <f>IFERROR(__xludf.DUMMYFUNCTION("IFERROR((GOOGLEFINANCE($A30,""volume"")),0)"),13400.0)</f>
        <v>13400</v>
      </c>
      <c r="AO30" s="60">
        <f>IFERROR(__xludf.DUMMYFUNCTION("IFERROR((GOOGLEFINANCE($A30,""closeyest"")),"""")"),5.57)</f>
        <v>5.57</v>
      </c>
      <c r="AP30" s="60">
        <f>IFERROR(__xludf.DUMMYFUNCTION("IFERROR((GOOGLEFINANCE($A30,""shares"")),"""")"),3.46494097E8)</f>
        <v>346494097</v>
      </c>
      <c r="AQ30" s="18"/>
    </row>
    <row r="31">
      <c r="A31" s="45" t="str">
        <f>'Dados StatusInvest'!A26:A645</f>
        <v>ARND3</v>
      </c>
      <c r="B31" s="46" t="str">
        <f>IFERROR(__xludf.DUMMYFUNCTION("IFERROR((GOOGLEFINANCE(A31,""name"")),"""")"),"Arandu Investimentos SA")</f>
        <v>Arandu Investimentos SA</v>
      </c>
      <c r="C31" s="46" t="str">
        <f>IFERROR((VLOOKUP(LEFT($A31,4),Setor!$A:$E,3,0)),"")</f>
        <v/>
      </c>
      <c r="D31" s="46" t="str">
        <f>IFERROR((VLOOKUP(LEFT($A31,4),Setor!$A:$E,4,0)),"")</f>
        <v/>
      </c>
      <c r="E31" s="46" t="str">
        <f>IFERROR((VLOOKUP(LEFT($A31,4),Setor!$A:$E,5,0)),"")</f>
        <v/>
      </c>
      <c r="F31" s="47">
        <f>IFERROR(__xludf.DUMMYFUNCTION("IFERROR((GOOGLEFINANCE(A31)),"""")"),0.8)</f>
        <v>0.8</v>
      </c>
      <c r="G31" s="48" t="str">
        <f>IFERROR(__xludf.DUMMYFUNCTION("IFERROR((sparkline(GOOGLEFINANCE($A31,""price"",TODAY()-30,TODAY(),""DAILY""),{""charttype"",""line"";""linewidth"",1;""color"",""#5f88cc""})),"""")"),"")</f>
        <v/>
      </c>
      <c r="H31" s="49">
        <f>IFERROR(__xludf.DUMMYFUNCTION("IFERROR((((GOOGLEFINANCE(A31))-(INDEX(GoogleFinance(A31,""PRICE"",$AQ$1),2,2)))/(INDEX(GoogleFinance(A31,""PRICE"",$AQ$1),2,2))),"""")"),-0.08045977011494247)</f>
        <v>-0.08045977011</v>
      </c>
      <c r="I31" s="47">
        <f>IFERROR(__xludf.DUMMYFUNCTION("IFERROR((GOOGLEFINANCE($A31,""high52"")),"""")"),1.58)</f>
        <v>1.58</v>
      </c>
      <c r="J31" s="48" t="str">
        <f>IFERROR(__xludf.DUMMYFUNCTION("IFERROR((sparkline(GOOGLEFINANCE($A31,""price"",TODAY()-365,TODAY(),""DAILY""),{""charttype"",""line"";""linewidth"",1;""color"",""#5f88cc""})),"""")"),"")</f>
        <v/>
      </c>
      <c r="K31" s="50">
        <f>IFERROR(__xludf.DUMMYFUNCTION("IFERROR((((GOOGLEFINANCE(A31))-(INDEX(GoogleFinance(A31,""PRICE"",$AP$1),2,2)))/(INDEX(GoogleFinance(A31,""PRICE"",$AP$1),2,2))),"""")"),-0.8545454545454546)</f>
        <v>-0.8545454545</v>
      </c>
      <c r="L31" s="51">
        <f t="shared" si="1"/>
        <v>-0.4936708861</v>
      </c>
      <c r="M31" s="52">
        <f>IFERROR((VLOOKUP($A31,'Dados StatusInvest'!$A:$AZ,COLUMN(M31)-$A$5,0)*VLOOKUP($A31,'Dados StatusInvest'!$A:$AZ,2,0)/$F31/100),0)</f>
        <v>-0.6173</v>
      </c>
      <c r="N31" s="53">
        <f>IFERROR((VLOOKUP($A31,'Dados StatusInvest'!$A:$AZ,COLUMN(N31)-$A$5,0)/VLOOKUP($A31,'Dados StatusInvest'!$A:$AZ,2,0)*$F31),"")</f>
        <v>56.03</v>
      </c>
      <c r="O31" s="53">
        <f>IFERROR((VLOOKUP($A31,'Dados StatusInvest'!$A:$AZ,COLUMN(O31)-$A$5,0)/VLOOKUP($A31,'Dados StatusInvest'!$A:$AZ,2,0)*$F31),0)</f>
        <v>-3.04</v>
      </c>
      <c r="P31" s="54">
        <f>IFERROR((VLOOKUP($A31,'Dados StatusInvest'!$A:$AZ,COLUMN(P31)-$A$5,0)/VLOOKUP($A31,'Dados StatusInvest'!$A:$AZ,2,0)*$F31),0)</f>
        <v>2.5</v>
      </c>
      <c r="Q31" s="55">
        <f>IFERROR((VLOOKUP($A31,'Dados StatusInvest'!$A:$AZ,COLUMN(Q31)-$A$5,0)/100),0)</f>
        <v>0.0554</v>
      </c>
      <c r="R31" s="56">
        <f>VLOOKUP($A31,'Dados StatusInvest'!$A:$AZ,COLUMN(R31)-$A$5,0)</f>
        <v>-0.67</v>
      </c>
      <c r="S31" s="56">
        <f>IFERROR((VLOOKUP($A31,'Dados StatusInvest'!$A:$AZ,COLUMN(S31)-$A$5,0)),0)</f>
        <v>1.88</v>
      </c>
      <c r="T31" s="53">
        <f>IFERROR((VLOOKUP($A31,'Dados StatusInvest'!$A:$AZ,COLUMN(T31)-$A$5,0)/VLOOKUP($A31,'Dados StatusInvest'!$A:$AZ,2,0)*$F31),0)</f>
        <v>0.41</v>
      </c>
      <c r="U31" s="53">
        <f>IFERROR((VLOOKUP($A31,'Dados StatusInvest'!$A:$AZ,COLUMN(U31)-$A$5,0)-VLOOKUP($A31,'Dados StatusInvest'!$A:$AZ,COLUMN(U31)-$A$5-1,0)+T31),0)</f>
        <v>-3.27</v>
      </c>
      <c r="V31" s="56">
        <f>IFERROR((VLOOKUP($A31,'Dados StatusInvest'!$A:$AZ,COLUMN(V31)-$A$5,0)),0)</f>
        <v>1.34</v>
      </c>
      <c r="W31" s="56">
        <f>IFERROR((VLOOKUP($A31,'Dados StatusInvest'!$A:$AZ,COLUMN(W31)-$A$5,0)),0)</f>
        <v>10.95</v>
      </c>
      <c r="X31" s="53">
        <f>IFERROR((VLOOKUP($A31,'Dados StatusInvest'!$A:$AZ,COLUMN(X31)-$A$5,0)/VLOOKUP($A31,'Dados StatusInvest'!$A:$AZ,2,0)*$F31),0)</f>
        <v>3.02</v>
      </c>
      <c r="Y31" s="54">
        <f>IFERROR((VLOOKUP($A31,'Dados StatusInvest'!$A:$AZ,COLUMN(Y31)-$A$5,0)/VLOOKUP($A31,'Dados StatusInvest'!$A:$AZ,2,0)*$F31),0)</f>
        <v>-17.48</v>
      </c>
      <c r="Z31" s="56">
        <f>IFERROR((VLOOKUP($A31,'Dados StatusInvest'!$A:$AZ,COLUMN(Z31)-$A$5,0)),0)</f>
        <v>0.28</v>
      </c>
      <c r="AA31" s="57">
        <f>IFERROR((VLOOKUP($A31,'Dados StatusInvest'!$A:$AZ,COLUMN(AA31)-$A$5,0)),0)</f>
        <v>0.72</v>
      </c>
      <c r="AB31" s="57">
        <f>IFERROR((VLOOKUP($A31,'Dados StatusInvest'!$A:$AZ,COLUMN(AB31)-$A$5,0)),0)</f>
        <v>0.05</v>
      </c>
      <c r="AC31" s="58">
        <f>IFERROR((VLOOKUP($A31,'Dados StatusInvest'!$A:$AZ,COLUMN(AC31)-$A$5,0)),0)</f>
        <v>22.22</v>
      </c>
      <c r="AD31" s="57">
        <f>IFERROR((VLOOKUP($A31,'Dados StatusInvest'!$A:$AZ,COLUMN(AD31)-$A$5,0)),0)</f>
        <v>0</v>
      </c>
      <c r="AE31" s="56">
        <f>IFERROR((VLOOKUP($A31,'Dados StatusInvest'!$A:$AZ,COLUMN(AE31)-$A$5,0)),0)</f>
        <v>956.45</v>
      </c>
      <c r="AF31" s="56">
        <f>IFERROR((VLOOKUP($A31,'Dados StatusInvest'!$A:$AZ,COLUMN(AF31)-$A$5,0)),0)</f>
        <v>2.18</v>
      </c>
      <c r="AG31" s="56">
        <f>IFERROR((VLOOKUP($A31,'Dados StatusInvest'!$A:$AZ,COLUMN(AG31)-$A$5,0)),0)</f>
        <v>0.24</v>
      </c>
      <c r="AH31" s="56">
        <f>IFERROR((VLOOKUP($A31,'Dados StatusInvest'!$A:$AZ,COLUMN(AH31)-$A$5,0)),0)</f>
        <v>0</v>
      </c>
      <c r="AI31" s="57">
        <f>IFERROR((VLOOKUP($A31,'Dados StatusInvest'!$A:$AZ,COLUMN(AI31)-$A$5,0)),0)</f>
        <v>112793444.8</v>
      </c>
      <c r="AJ31" s="59" t="str">
        <f>IFERROR((VLOOKUP($A31,'Dados StatusInvest'!$A:$AZ,COLUMN(AJ31)-$A$5,0)),0)</f>
        <v/>
      </c>
      <c r="AK31" s="60" t="str">
        <f>IFERROR(__xludf.DUMMYFUNCTION("IFERROR(GOOGLEFINANCE($A31,""high""),"""")"),"")</f>
        <v/>
      </c>
      <c r="AL31" s="60" t="str">
        <f>IFERROR(__xludf.DUMMYFUNCTION("IFERROR(GOOGLEFINANCE($A31,""low""),"""")"),"")</f>
        <v/>
      </c>
      <c r="AM31" s="61">
        <f t="shared" si="2"/>
        <v>0</v>
      </c>
      <c r="AN31" s="62">
        <f>IFERROR(__xludf.DUMMYFUNCTION("IFERROR((GOOGLEFINANCE($A31,""volume"")),0)"),0.0)</f>
        <v>0</v>
      </c>
      <c r="AO31" s="60">
        <f>IFERROR(__xludf.DUMMYFUNCTION("IFERROR((GOOGLEFINANCE($A31,""closeyest"")),"""")"),0.8)</f>
        <v>0.8</v>
      </c>
      <c r="AP31" s="60">
        <f>IFERROR(__xludf.DUMMYFUNCTION("IFERROR((GOOGLEFINANCE($A31,""shares"")),"""")"),1.40991806E8)</f>
        <v>140991806</v>
      </c>
      <c r="AQ31" s="18"/>
    </row>
    <row r="32">
      <c r="A32" s="45" t="str">
        <f>'Dados StatusInvest'!A27:A646</f>
        <v>ASAI3</v>
      </c>
      <c r="B32" s="46" t="str">
        <f>IFERROR(__xludf.DUMMYFUNCTION("IFERROR((GOOGLEFINANCE(A32,""name"")),"""")"),"Sendas Distribuidora SA")</f>
        <v>Sendas Distribuidora SA</v>
      </c>
      <c r="C32" s="46" t="str">
        <f>IFERROR((VLOOKUP(LEFT($A32,4),Setor!$A:$E,3,0)),"")</f>
        <v>Consumo Cíclico</v>
      </c>
      <c r="D32" s="46" t="str">
        <f>IFERROR((VLOOKUP(LEFT($A32,4),Setor!$A:$E,4,0)),"")</f>
        <v>Comércio</v>
      </c>
      <c r="E32" s="46" t="str">
        <f>IFERROR((VLOOKUP(LEFT($A32,4),Setor!$A:$E,5,0)),"")</f>
        <v>Alimentos</v>
      </c>
      <c r="F32" s="47">
        <f>IFERROR(__xludf.DUMMYFUNCTION("IFERROR((GOOGLEFINANCE(A32)),"""")"),9.48)</f>
        <v>9.48</v>
      </c>
      <c r="G32" s="48" t="str">
        <f>IFERROR(__xludf.DUMMYFUNCTION("IFERROR((sparkline(GOOGLEFINANCE($A32,""price"",TODAY()-30,TODAY(),""DAILY""),{""charttype"",""line"";""linewidth"",1;""color"",""#5f88cc""})),"""")"),"")</f>
        <v/>
      </c>
      <c r="H32" s="49">
        <f>IFERROR(__xludf.DUMMYFUNCTION("IFERROR((((GOOGLEFINANCE(A32))-(INDEX(GoogleFinance(A32,""PRICE"",$AQ$1),2,2)))/(INDEX(GoogleFinance(A32,""PRICE"",$AQ$1),2,2))),"""")"),0.22797927461139905)</f>
        <v>0.2279792746</v>
      </c>
      <c r="I32" s="47">
        <f>IFERROR(__xludf.DUMMYFUNCTION("IFERROR((GOOGLEFINANCE($A32,""high52"")),"""")"),11.88)</f>
        <v>11.88</v>
      </c>
      <c r="J32" s="48" t="str">
        <f>IFERROR(__xludf.DUMMYFUNCTION("IFERROR((sparkline(GOOGLEFINANCE($A32,""price"",TODAY()-365,TODAY(),""DAILY""),{""charttype"",""line"";""linewidth"",1;""color"",""#5f88cc""})),"""")"),"")</f>
        <v/>
      </c>
      <c r="K32" s="50">
        <f>IFERROR(__xludf.DUMMYFUNCTION("IFERROR((((GOOGLEFINANCE(A32))-(INDEX(GoogleFinance(A32,""PRICE"",$AP$1),2,2)))/(INDEX(GoogleFinance(A32,""PRICE"",$AP$1),2,2))),"""")"),0.3581661891117478)</f>
        <v>0.3581661891</v>
      </c>
      <c r="L32" s="51">
        <f t="shared" si="1"/>
        <v>-0.202020202</v>
      </c>
      <c r="M32" s="52">
        <f>IFERROR((VLOOKUP($A32,'Dados StatusInvest'!$A:$AZ,COLUMN(M32)-$A$5,0)*VLOOKUP($A32,'Dados StatusInvest'!$A:$AZ,2,0)/$F32/100),0)</f>
        <v>0.05378628692</v>
      </c>
      <c r="N32" s="53">
        <f>IFERROR((VLOOKUP($A32,'Dados StatusInvest'!$A:$AZ,COLUMN(N32)-$A$5,0)/VLOOKUP($A32,'Dados StatusInvest'!$A:$AZ,2,0)*$F32),"")</f>
        <v>1.202536998</v>
      </c>
      <c r="O32" s="53">
        <f>IFERROR((VLOOKUP($A32,'Dados StatusInvest'!$A:$AZ,COLUMN(O32)-$A$5,0)/VLOOKUP($A32,'Dados StatusInvest'!$A:$AZ,2,0)*$F32),0)</f>
        <v>3.106553911</v>
      </c>
      <c r="P32" s="54">
        <f>IFERROR((VLOOKUP($A32,'Dados StatusInvest'!$A:$AZ,COLUMN(P32)-$A$5,0)/VLOOKUP($A32,'Dados StatusInvest'!$A:$AZ,2,0)*$F32),0)</f>
        <v>5.972600423</v>
      </c>
      <c r="Q32" s="55">
        <f>IFERROR((VLOOKUP($A32,'Dados StatusInvest'!$A:$AZ,COLUMN(Q32)-$A$5,0)/100),0)</f>
        <v>0.0286</v>
      </c>
      <c r="R32" s="56">
        <f>VLOOKUP($A32,'Dados StatusInvest'!$A:$AZ,COLUMN(R32)-$A$5,0)</f>
        <v>2.07</v>
      </c>
      <c r="S32" s="56">
        <f>IFERROR((VLOOKUP($A32,'Dados StatusInvest'!$A:$AZ,COLUMN(S32)-$A$5,0)),0)</f>
        <v>0.17</v>
      </c>
      <c r="T32" s="53">
        <f>IFERROR((VLOOKUP($A32,'Dados StatusInvest'!$A:$AZ,COLUMN(T32)-$A$5,0)/VLOOKUP($A32,'Dados StatusInvest'!$A:$AZ,2,0)*$F32),0)</f>
        <v>7.786427061</v>
      </c>
      <c r="U32" s="53">
        <f>IFERROR((VLOOKUP($A32,'Dados StatusInvest'!$A:$AZ,COLUMN(U32)-$A$5,0)-VLOOKUP($A32,'Dados StatusInvest'!$A:$AZ,COLUMN(U32)-$A$5-1,0)+T32),0)</f>
        <v>-0.4235729387</v>
      </c>
      <c r="V32" s="56">
        <f>IFERROR((VLOOKUP($A32,'Dados StatusInvest'!$A:$AZ,COLUMN(V32)-$A$5,0)),0)</f>
        <v>1.12</v>
      </c>
      <c r="W32" s="56">
        <f>IFERROR((VLOOKUP($A32,'Dados StatusInvest'!$A:$AZ,COLUMN(W32)-$A$5,0)),0)</f>
        <v>16.05</v>
      </c>
      <c r="X32" s="53">
        <f>IFERROR((VLOOKUP($A32,'Dados StatusInvest'!$A:$AZ,COLUMN(X32)-$A$5,0)/VLOOKUP($A32,'Dados StatusInvest'!$A:$AZ,2,0)*$F32),0)</f>
        <v>2.034291755</v>
      </c>
      <c r="Y32" s="54">
        <f>IFERROR((VLOOKUP($A32,'Dados StatusInvest'!$A:$AZ,COLUMN(Y32)-$A$5,0)/VLOOKUP($A32,'Dados StatusInvest'!$A:$AZ,2,0)*$F32),0)</f>
        <v>18.61928118</v>
      </c>
      <c r="Z32" s="56">
        <f>IFERROR((VLOOKUP($A32,'Dados StatusInvest'!$A:$AZ,COLUMN(Z32)-$A$5,0)),0)</f>
        <v>0.13</v>
      </c>
      <c r="AA32" s="57">
        <f>IFERROR((VLOOKUP($A32,'Dados StatusInvest'!$A:$AZ,COLUMN(AA32)-$A$5,0)),0)</f>
        <v>0.87</v>
      </c>
      <c r="AB32" s="57">
        <f>IFERROR((VLOOKUP($A32,'Dados StatusInvest'!$A:$AZ,COLUMN(AB32)-$A$5,0)),0)</f>
        <v>1.7</v>
      </c>
      <c r="AC32" s="58">
        <f>IFERROR((VLOOKUP($A32,'Dados StatusInvest'!$A:$AZ,COLUMN(AC32)-$A$5,0)),0)</f>
        <v>21.32</v>
      </c>
      <c r="AD32" s="57">
        <f>IFERROR((VLOOKUP($A32,'Dados StatusInvest'!$A:$AZ,COLUMN(AD32)-$A$5,0)),0)</f>
        <v>-2.6</v>
      </c>
      <c r="AE32" s="56">
        <f>IFERROR((VLOOKUP($A32,'Dados StatusInvest'!$A:$AZ,COLUMN(AE32)-$A$5,0)),0)</f>
        <v>179000000</v>
      </c>
      <c r="AF32" s="56">
        <f>IFERROR((VLOOKUP($A32,'Dados StatusInvest'!$A:$AZ,COLUMN(AF32)-$A$5,0)),0)</f>
        <v>4.23</v>
      </c>
      <c r="AG32" s="56">
        <f>IFERROR((VLOOKUP($A32,'Dados StatusInvest'!$A:$AZ,COLUMN(AG32)-$A$5,0)),0)</f>
        <v>0.68</v>
      </c>
      <c r="AH32" s="56">
        <f>IFERROR((VLOOKUP($A32,'Dados StatusInvest'!$A:$AZ,COLUMN(AH32)-$A$5,0)),0)</f>
        <v>0.31</v>
      </c>
      <c r="AI32" s="57">
        <f>IFERROR((VLOOKUP($A32,'Dados StatusInvest'!$A:$AZ,COLUMN(AI32)-$A$5,0)),0)</f>
        <v>12804081147</v>
      </c>
      <c r="AJ32" s="59" t="str">
        <f>IFERROR((VLOOKUP($A32,'Dados StatusInvest'!$A:$AZ,COLUMN(AJ32)-$A$5,0)),0)</f>
        <v/>
      </c>
      <c r="AK32" s="60">
        <f>IFERROR(__xludf.DUMMYFUNCTION("IFERROR(GOOGLEFINANCE($A32,""high""),"""")"),9.54)</f>
        <v>9.54</v>
      </c>
      <c r="AL32" s="60">
        <f>IFERROR(__xludf.DUMMYFUNCTION("IFERROR(GOOGLEFINANCE($A32,""low""),"""")"),9.28)</f>
        <v>9.28</v>
      </c>
      <c r="AM32" s="61">
        <f t="shared" si="2"/>
        <v>0.02801724138</v>
      </c>
      <c r="AN32" s="62">
        <f>IFERROR(__xludf.DUMMYFUNCTION("IFERROR((GOOGLEFINANCE($A32,""volume"")),0)"),736700.0)</f>
        <v>736700</v>
      </c>
      <c r="AO32" s="60">
        <f>IFERROR(__xludf.DUMMYFUNCTION("IFERROR((GOOGLEFINANCE($A32,""closeyest"")),"""")"),9.46)</f>
        <v>9.46</v>
      </c>
      <c r="AP32" s="60">
        <f>IFERROR(__xludf.DUMMYFUNCTION("IFERROR((GOOGLEFINANCE($A32,""shares"")),"""")"),1.35349695E9)</f>
        <v>1353496950</v>
      </c>
      <c r="AQ32" s="18"/>
    </row>
    <row r="33">
      <c r="A33" s="45" t="str">
        <f>'Dados StatusInvest'!A28:A647</f>
        <v>AUAU3</v>
      </c>
      <c r="B33" s="46" t="str">
        <f>IFERROR(__xludf.DUMMYFUNCTION("IFERROR((GOOGLEFINANCE(A33,""name"")),"""")"),"Uniao Pet Participacoes SA")</f>
        <v>Uniao Pet Participacoes SA</v>
      </c>
      <c r="C33" s="46" t="str">
        <f>IFERROR((VLOOKUP(LEFT($A33,4),Setor!$A:$E,3,0)),"")</f>
        <v/>
      </c>
      <c r="D33" s="46" t="str">
        <f>IFERROR((VLOOKUP(LEFT($A33,4),Setor!$A:$E,4,0)),"")</f>
        <v/>
      </c>
      <c r="E33" s="46" t="str">
        <f>IFERROR((VLOOKUP(LEFT($A33,4),Setor!$A:$E,5,0)),"")</f>
        <v/>
      </c>
      <c r="F33" s="47">
        <f>IFERROR(__xludf.DUMMYFUNCTION("IFERROR((GOOGLEFINANCE(A33)),"""")"),3.09)</f>
        <v>3.09</v>
      </c>
      <c r="G33" s="48" t="str">
        <f>IFERROR(__xludf.DUMMYFUNCTION("IFERROR((sparkline(GOOGLEFINANCE($A33,""price"",TODAY()-30,TODAY(),""DAILY""),{""charttype"",""line"";""linewidth"",1;""color"",""#5f88cc""})),"""")"),"")</f>
        <v/>
      </c>
      <c r="H33" s="49">
        <f>IFERROR(__xludf.DUMMYFUNCTION("IFERROR((((GOOGLEFINANCE(A33))-(INDEX(GoogleFinance(A33,""PRICE"",$AQ$1),2,2)))/(INDEX(GoogleFinance(A33,""PRICE"",$AQ$1),2,2))),"""")"),-0.04923076923076927)</f>
        <v>-0.04923076923</v>
      </c>
      <c r="I33" s="47">
        <f>IFERROR(__xludf.DUMMYFUNCTION("IFERROR((GOOGLEFINANCE($A33,""high52"")),"""")"),4.04)</f>
        <v>4.04</v>
      </c>
      <c r="J33" s="48" t="str">
        <f>IFERROR(__xludf.DUMMYFUNCTION("IFERROR((sparkline(GOOGLEFINANCE($A33,""price"",TODAY()-365,TODAY(),""DAILY""),{""charttype"",""line"";""linewidth"",1;""color"",""#5f88cc""})),"""")"),"")</f>
        <v/>
      </c>
      <c r="K33" s="50" t="str">
        <f>IFERROR(__xludf.DUMMYFUNCTION("IFERROR((((GOOGLEFINANCE(A33))-(INDEX(GoogleFinance(A33,""PRICE"",$AP$1),2,2)))/(INDEX(GoogleFinance(A33,""PRICE"",$AP$1),2,2))),"""")"),"")</f>
        <v/>
      </c>
      <c r="L33" s="51">
        <f t="shared" si="1"/>
        <v>-0.2351485149</v>
      </c>
      <c r="M33" s="52">
        <f>IFERROR((VLOOKUP($A33,'Dados StatusInvest'!$A:$AZ,COLUMN(M33)-$A$5,0)*VLOOKUP($A33,'Dados StatusInvest'!$A:$AZ,2,0)/$F33/100),0)</f>
        <v>0</v>
      </c>
      <c r="N33" s="53">
        <f>IFERROR((VLOOKUP($A33,'Dados StatusInvest'!$A:$AZ,COLUMN(N33)-$A$5,0)/VLOOKUP($A33,'Dados StatusInvest'!$A:$AZ,2,0)*$F33),"")</f>
        <v>0</v>
      </c>
      <c r="O33" s="53">
        <f>IFERROR((VLOOKUP($A33,'Dados StatusInvest'!$A:$AZ,COLUMN(O33)-$A$5,0)/VLOOKUP($A33,'Dados StatusInvest'!$A:$AZ,2,0)*$F33),0)</f>
        <v>0</v>
      </c>
      <c r="P33" s="54">
        <f>IFERROR((VLOOKUP($A33,'Dados StatusInvest'!$A:$AZ,COLUMN(P33)-$A$5,0)/VLOOKUP($A33,'Dados StatusInvest'!$A:$AZ,2,0)*$F33),0)</f>
        <v>0</v>
      </c>
      <c r="Q33" s="55">
        <f>IFERROR((VLOOKUP($A33,'Dados StatusInvest'!$A:$AZ,COLUMN(Q33)-$A$5,0)/100),0)</f>
        <v>0</v>
      </c>
      <c r="R33" s="56">
        <f>VLOOKUP($A33,'Dados StatusInvest'!$A:$AZ,COLUMN(R33)-$A$5,0)</f>
        <v>0</v>
      </c>
      <c r="S33" s="56">
        <f>IFERROR((VLOOKUP($A33,'Dados StatusInvest'!$A:$AZ,COLUMN(S33)-$A$5,0)),0)</f>
        <v>0</v>
      </c>
      <c r="T33" s="53">
        <f>IFERROR((VLOOKUP($A33,'Dados StatusInvest'!$A:$AZ,COLUMN(T33)-$A$5,0)/VLOOKUP($A33,'Dados StatusInvest'!$A:$AZ,2,0)*$F33),0)</f>
        <v>0</v>
      </c>
      <c r="U33" s="53">
        <f>IFERROR((VLOOKUP($A33,'Dados StatusInvest'!$A:$AZ,COLUMN(U33)-$A$5,0)-VLOOKUP($A33,'Dados StatusInvest'!$A:$AZ,COLUMN(U33)-$A$5-1,0)+T33),0)</f>
        <v>0</v>
      </c>
      <c r="V33" s="56">
        <f>IFERROR((VLOOKUP($A33,'Dados StatusInvest'!$A:$AZ,COLUMN(V33)-$A$5,0)),0)</f>
        <v>0</v>
      </c>
      <c r="W33" s="56">
        <f>IFERROR((VLOOKUP($A33,'Dados StatusInvest'!$A:$AZ,COLUMN(W33)-$A$5,0)),0)</f>
        <v>0</v>
      </c>
      <c r="X33" s="53">
        <f>IFERROR((VLOOKUP($A33,'Dados StatusInvest'!$A:$AZ,COLUMN(X33)-$A$5,0)/VLOOKUP($A33,'Dados StatusInvest'!$A:$AZ,2,0)*$F33),0)</f>
        <v>0</v>
      </c>
      <c r="Y33" s="54">
        <f>IFERROR((VLOOKUP($A33,'Dados StatusInvest'!$A:$AZ,COLUMN(Y33)-$A$5,0)/VLOOKUP($A33,'Dados StatusInvest'!$A:$AZ,2,0)*$F33),0)</f>
        <v>0</v>
      </c>
      <c r="Z33" s="56">
        <f>IFERROR((VLOOKUP($A33,'Dados StatusInvest'!$A:$AZ,COLUMN(Z33)-$A$5,0)),0)</f>
        <v>0</v>
      </c>
      <c r="AA33" s="57">
        <f>IFERROR((VLOOKUP($A33,'Dados StatusInvest'!$A:$AZ,COLUMN(AA33)-$A$5,0)),0)</f>
        <v>0</v>
      </c>
      <c r="AB33" s="57">
        <f>IFERROR((VLOOKUP($A33,'Dados StatusInvest'!$A:$AZ,COLUMN(AB33)-$A$5,0)),0)</f>
        <v>0</v>
      </c>
      <c r="AC33" s="58">
        <f>IFERROR((VLOOKUP($A33,'Dados StatusInvest'!$A:$AZ,COLUMN(AC33)-$A$5,0)),0)</f>
        <v>0</v>
      </c>
      <c r="AD33" s="57">
        <f>IFERROR((VLOOKUP($A33,'Dados StatusInvest'!$A:$AZ,COLUMN(AD33)-$A$5,0)),0)</f>
        <v>0</v>
      </c>
      <c r="AE33" s="56">
        <f>IFERROR((VLOOKUP($A33,'Dados StatusInvest'!$A:$AZ,COLUMN(AE33)-$A$5,0)),0)</f>
        <v>14782120</v>
      </c>
      <c r="AF33" s="56">
        <f>IFERROR((VLOOKUP($A33,'Dados StatusInvest'!$A:$AZ,COLUMN(AF33)-$A$5,0)),0)</f>
        <v>0</v>
      </c>
      <c r="AG33" s="56">
        <f>IFERROR((VLOOKUP($A33,'Dados StatusInvest'!$A:$AZ,COLUMN(AG33)-$A$5,0)),0)</f>
        <v>0</v>
      </c>
      <c r="AH33" s="56">
        <f>IFERROR((VLOOKUP($A33,'Dados StatusInvest'!$A:$AZ,COLUMN(AH33)-$A$5,0)),0)</f>
        <v>0</v>
      </c>
      <c r="AI33" s="57">
        <f>IFERROR((VLOOKUP($A33,'Dados StatusInvest'!$A:$AZ,COLUMN(AI33)-$A$5,0)),0)</f>
        <v>0</v>
      </c>
      <c r="AJ33" s="59" t="str">
        <f>IFERROR((VLOOKUP($A33,'Dados StatusInvest'!$A:$AZ,COLUMN(AJ33)-$A$5,0)),0)</f>
        <v/>
      </c>
      <c r="AK33" s="60">
        <f>IFERROR(__xludf.DUMMYFUNCTION("IFERROR(GOOGLEFINANCE($A33,""high""),"""")"),3.1)</f>
        <v>3.1</v>
      </c>
      <c r="AL33" s="60">
        <f>IFERROR(__xludf.DUMMYFUNCTION("IFERROR(GOOGLEFINANCE($A33,""low""),"""")"),3.01)</f>
        <v>3.01</v>
      </c>
      <c r="AM33" s="61">
        <f t="shared" si="2"/>
        <v>0.02990033223</v>
      </c>
      <c r="AN33" s="62">
        <f>IFERROR(__xludf.DUMMYFUNCTION("IFERROR((GOOGLEFINANCE($A33,""volume"")),0)"),621000.0)</f>
        <v>621000</v>
      </c>
      <c r="AO33" s="60">
        <f>IFERROR(__xludf.DUMMYFUNCTION("IFERROR((GOOGLEFINANCE($A33,""closeyest"")),"""")"),3.05)</f>
        <v>3.05</v>
      </c>
      <c r="AP33" s="60">
        <f>IFERROR(__xludf.DUMMYFUNCTION("IFERROR((GOOGLEFINANCE($A33,""shares"")),"""")"),8.60793811E8)</f>
        <v>860793811</v>
      </c>
      <c r="AQ33" s="18"/>
    </row>
    <row r="34">
      <c r="A34" s="45" t="str">
        <f>'Dados StatusInvest'!A29:A648</f>
        <v>AURA33</v>
      </c>
      <c r="B34" s="46" t="str">
        <f>IFERROR(__xludf.DUMMYFUNCTION("IFERROR((GOOGLEFINANCE(A34,""name"")),"""")"),"Aura Minerals Bdr")</f>
        <v>Aura Minerals Bdr</v>
      </c>
      <c r="C34" s="46" t="str">
        <f>IFERROR((VLOOKUP(LEFT($A34,4),Setor!$A:$E,3,0)),"")</f>
        <v>Outros</v>
      </c>
      <c r="D34" s="46" t="str">
        <f>IFERROR((VLOOKUP(LEFT($A34,4),Setor!$A:$E,4,0)),"")</f>
        <v>Mineração</v>
      </c>
      <c r="E34" s="46" t="str">
        <f>IFERROR((VLOOKUP(LEFT($A34,4),Setor!$A:$E,5,0)),"")</f>
        <v>Minerais Metálicos</v>
      </c>
      <c r="F34" s="47">
        <f>IFERROR(__xludf.DUMMYFUNCTION("IFERROR((GOOGLEFINANCE(A34)),"""")"),123.55)</f>
        <v>123.55</v>
      </c>
      <c r="G34" s="48" t="str">
        <f>IFERROR(__xludf.DUMMYFUNCTION("IFERROR((sparkline(GOOGLEFINANCE($A34,""price"",TODAY()-30,TODAY(),""DAILY""),{""charttype"",""line"";""linewidth"",1;""color"",""#5f88cc""})),"""")"),"")</f>
        <v/>
      </c>
      <c r="H34" s="49">
        <f>IFERROR(__xludf.DUMMYFUNCTION("IFERROR((((GOOGLEFINANCE(A34))-(INDEX(GoogleFinance(A34,""PRICE"",$AQ$1),2,2)))/(INDEX(GoogleFinance(A34,""PRICE"",$AQ$1),2,2))),"""")"),0.07025294525294525)</f>
        <v>0.07025294525</v>
      </c>
      <c r="I34" s="47">
        <f>IFERROR(__xludf.DUMMYFUNCTION("IFERROR((GOOGLEFINANCE($A34,""high52"")),"""")"),131.79)</f>
        <v>131.79</v>
      </c>
      <c r="J34" s="48" t="str">
        <f>IFERROR(__xludf.DUMMYFUNCTION("IFERROR((sparkline(GOOGLEFINANCE($A34,""price"",TODAY()-365,TODAY(),""DAILY""),{""charttype"",""line"";""linewidth"",1;""color"",""#5f88cc""})),"""")"),"")</f>
        <v/>
      </c>
      <c r="K34" s="50">
        <f>IFERROR(__xludf.DUMMYFUNCTION("IFERROR((((GOOGLEFINANCE(A34))-(INDEX(GoogleFinance(A34,""PRICE"",$AP$1),2,2)))/(INDEX(GoogleFinance(A34,""PRICE"",$AP$1),2,2))),"""")"),3.06280828674778)</f>
        <v>3.062808287</v>
      </c>
      <c r="L34" s="51">
        <f t="shared" si="1"/>
        <v>-0.06252371197</v>
      </c>
      <c r="M34" s="52">
        <f>IFERROR((VLOOKUP($A34,'Dados StatusInvest'!$A:$AZ,COLUMN(M34)-$A$5,0)*VLOOKUP($A34,'Dados StatusInvest'!$A:$AZ,2,0)/$F34/100),0)</f>
        <v>0.4598102792</v>
      </c>
      <c r="N34" s="53">
        <f>IFERROR((VLOOKUP($A34,'Dados StatusInvest'!$A:$AZ,COLUMN(N34)-$A$5,0)/VLOOKUP($A34,'Dados StatusInvest'!$A:$AZ,2,0)*$F34),"")</f>
        <v>-5.908471652</v>
      </c>
      <c r="O34" s="53">
        <f>IFERROR((VLOOKUP($A34,'Dados StatusInvest'!$A:$AZ,COLUMN(O34)-$A$5,0)/VLOOKUP($A34,'Dados StatusInvest'!$A:$AZ,2,0)*$F34),0)</f>
        <v>13.126553</v>
      </c>
      <c r="P34" s="54">
        <f>IFERROR((VLOOKUP($A34,'Dados StatusInvest'!$A:$AZ,COLUMN(P34)-$A$5,0)/VLOOKUP($A34,'Dados StatusInvest'!$A:$AZ,2,0)*$F34),0)</f>
        <v>13.33974528</v>
      </c>
      <c r="Q34" s="55">
        <f>IFERROR((VLOOKUP($A34,'Dados StatusInvest'!$A:$AZ,COLUMN(Q34)-$A$5,0)/100),0)</f>
        <v>0.002</v>
      </c>
      <c r="R34" s="56">
        <f>VLOOKUP($A34,'Dados StatusInvest'!$A:$AZ,COLUMN(R34)-$A$5,0)</f>
        <v>0.24</v>
      </c>
      <c r="S34" s="56">
        <f>IFERROR((VLOOKUP($A34,'Dados StatusInvest'!$A:$AZ,COLUMN(S34)-$A$5,0)),0)</f>
        <v>6.04</v>
      </c>
      <c r="T34" s="53">
        <f>IFERROR((VLOOKUP($A34,'Dados StatusInvest'!$A:$AZ,COLUMN(T34)-$A$5,0)/VLOOKUP($A34,'Dados StatusInvest'!$A:$AZ,2,0)*$F34),0)</f>
        <v>26.03991372</v>
      </c>
      <c r="U34" s="53">
        <f>IFERROR((VLOOKUP($A34,'Dados StatusInvest'!$A:$AZ,COLUMN(U34)-$A$5,0)-VLOOKUP($A34,'Dados StatusInvest'!$A:$AZ,COLUMN(U34)-$A$5-1,0)+T34),0)</f>
        <v>-5.010086278</v>
      </c>
      <c r="V34" s="56">
        <f>IFERROR((VLOOKUP($A34,'Dados StatusInvest'!$A:$AZ,COLUMN(V34)-$A$5,0)),0)</f>
        <v>1.62</v>
      </c>
      <c r="W34" s="56">
        <f>IFERROR((VLOOKUP($A34,'Dados StatusInvest'!$A:$AZ,COLUMN(W34)-$A$5,0)),0)</f>
        <v>-14.87</v>
      </c>
      <c r="X34" s="53">
        <f>IFERROR((VLOOKUP($A34,'Dados StatusInvest'!$A:$AZ,COLUMN(X34)-$A$5,0)/VLOOKUP($A34,'Dados StatusInvest'!$A:$AZ,2,0)*$F34),0)</f>
        <v>-3.400924404</v>
      </c>
      <c r="Y34" s="54">
        <f>IFERROR((VLOOKUP($A34,'Dados StatusInvest'!$A:$AZ,COLUMN(Y34)-$A$5,0)/VLOOKUP($A34,'Dados StatusInvest'!$A:$AZ,2,0)*$F34),0)</f>
        <v>35.96858258</v>
      </c>
      <c r="Z34" s="56">
        <f>IFERROR((VLOOKUP($A34,'Dados StatusInvest'!$A:$AZ,COLUMN(Z34)-$A$5,0)),0)</f>
        <v>0.23</v>
      </c>
      <c r="AA34" s="57">
        <f>IFERROR((VLOOKUP($A34,'Dados StatusInvest'!$A:$AZ,COLUMN(AA34)-$A$5,0)),0)</f>
        <v>0.77</v>
      </c>
      <c r="AB34" s="57">
        <f>IFERROR((VLOOKUP($A34,'Dados StatusInvest'!$A:$AZ,COLUMN(AB34)-$A$5,0)),0)</f>
        <v>0.58</v>
      </c>
      <c r="AC34" s="58">
        <f>IFERROR((VLOOKUP($A34,'Dados StatusInvest'!$A:$AZ,COLUMN(AC34)-$A$5,0)),0)</f>
        <v>29.1</v>
      </c>
      <c r="AD34" s="57">
        <f>IFERROR((VLOOKUP($A34,'Dados StatusInvest'!$A:$AZ,COLUMN(AD34)-$A$5,0)),0)</f>
        <v>0</v>
      </c>
      <c r="AE34" s="56">
        <f>IFERROR((VLOOKUP($A34,'Dados StatusInvest'!$A:$AZ,COLUMN(AE34)-$A$5,0)),0)</f>
        <v>159000000</v>
      </c>
      <c r="AF34" s="56">
        <f>IFERROR((VLOOKUP($A34,'Dados StatusInvest'!$A:$AZ,COLUMN(AF34)-$A$5,0)),0)</f>
        <v>7.9</v>
      </c>
      <c r="AG34" s="56">
        <f>IFERROR((VLOOKUP($A34,'Dados StatusInvest'!$A:$AZ,COLUMN(AG34)-$A$5,0)),0)</f>
        <v>-1.17</v>
      </c>
      <c r="AH34" s="56">
        <f>IFERROR((VLOOKUP($A34,'Dados StatusInvest'!$A:$AZ,COLUMN(AH34)-$A$5,0)),0)</f>
        <v>13.98</v>
      </c>
      <c r="AI34" s="57">
        <f>IFERROR((VLOOKUP($A34,'Dados StatusInvest'!$A:$AZ,COLUMN(AI34)-$A$5,0)),0)</f>
        <v>26432701478</v>
      </c>
      <c r="AJ34" s="59" t="str">
        <f>IFERROR((VLOOKUP($A34,'Dados StatusInvest'!$A:$AZ,COLUMN(AJ34)-$A$5,0)),0)</f>
        <v/>
      </c>
      <c r="AK34" s="60">
        <f>IFERROR(__xludf.DUMMYFUNCTION("IFERROR(GOOGLEFINANCE($A34,""high""),"""")"),124.98)</f>
        <v>124.98</v>
      </c>
      <c r="AL34" s="60">
        <f>IFERROR(__xludf.DUMMYFUNCTION("IFERROR(GOOGLEFINANCE($A34,""low""),"""")"),122.24)</f>
        <v>122.24</v>
      </c>
      <c r="AM34" s="61">
        <f t="shared" si="2"/>
        <v>0.02241492147</v>
      </c>
      <c r="AN34" s="62">
        <f>IFERROR(__xludf.DUMMYFUNCTION("IFERROR((GOOGLEFINANCE($A34,""volume"")),0)"),63423.0)</f>
        <v>63423</v>
      </c>
      <c r="AO34" s="60">
        <f>IFERROR(__xludf.DUMMYFUNCTION("IFERROR((GOOGLEFINANCE($A34,""closeyest"")),"""")"),121.7)</f>
        <v>121.7</v>
      </c>
      <c r="AP34" s="60">
        <f>IFERROR(__xludf.DUMMYFUNCTION("IFERROR((GOOGLEFINANCE($A34,""shares"")),"""")"),8.3534506E7)</f>
        <v>83534506</v>
      </c>
      <c r="AQ34" s="18"/>
    </row>
    <row r="35">
      <c r="A35" s="45" t="str">
        <f>'Dados StatusInvest'!A30:A649</f>
        <v>AURE3</v>
      </c>
      <c r="B35" s="46" t="str">
        <f>IFERROR(__xludf.DUMMYFUNCTION("IFERROR((GOOGLEFINANCE(A35,""name"")),"""")"),"Auren Energia SA")</f>
        <v>Auren Energia SA</v>
      </c>
      <c r="C35" s="46" t="str">
        <f>IFERROR((VLOOKUP(LEFT($A35,4),Setor!$A:$E,3,0)),"")</f>
        <v/>
      </c>
      <c r="D35" s="46" t="str">
        <f>IFERROR((VLOOKUP(LEFT($A35,4),Setor!$A:$E,4,0)),"")</f>
        <v/>
      </c>
      <c r="E35" s="46" t="str">
        <f>IFERROR((VLOOKUP(LEFT($A35,4),Setor!$A:$E,5,0)),"")</f>
        <v/>
      </c>
      <c r="F35" s="47">
        <f>IFERROR(__xludf.DUMMYFUNCTION("IFERROR((GOOGLEFINANCE(A35)),"""")"),11.56)</f>
        <v>11.56</v>
      </c>
      <c r="G35" s="48" t="str">
        <f>IFERROR(__xludf.DUMMYFUNCTION("IFERROR((sparkline(GOOGLEFINANCE($A35,""price"",TODAY()-30,TODAY(),""DAILY""),{""charttype"",""line"";""linewidth"",1;""color"",""#5f88cc""})),"""")"),"")</f>
        <v/>
      </c>
      <c r="H35" s="49">
        <f>IFERROR(__xludf.DUMMYFUNCTION("IFERROR((((GOOGLEFINANCE(A35))-(INDEX(GoogleFinance(A35,""PRICE"",$AQ$1),2,2)))/(INDEX(GoogleFinance(A35,""PRICE"",$AQ$1),2,2))),"""")"),-0.016170212765957405)</f>
        <v>-0.01617021277</v>
      </c>
      <c r="I35" s="47">
        <f>IFERROR(__xludf.DUMMYFUNCTION("IFERROR((GOOGLEFINANCE($A35,""high52"")),"""")"),12.99)</f>
        <v>12.99</v>
      </c>
      <c r="J35" s="48" t="str">
        <f>IFERROR(__xludf.DUMMYFUNCTION("IFERROR((sparkline(GOOGLEFINANCE($A35,""price"",TODAY()-365,TODAY(),""DAILY""),{""charttype"",""line"";""linewidth"",1;""color"",""#5f88cc""})),"""")"),"")</f>
        <v/>
      </c>
      <c r="K35" s="50">
        <f>IFERROR(__xludf.DUMMYFUNCTION("IFERROR((((GOOGLEFINANCE(A35))-(INDEX(GoogleFinance(A35,""PRICE"",$AP$1),2,2)))/(INDEX(GoogleFinance(A35,""PRICE"",$AP$1),2,2))),"""")"),0.30621468926553685)</f>
        <v>0.3062146893</v>
      </c>
      <c r="L35" s="51">
        <f t="shared" si="1"/>
        <v>-0.1100846805</v>
      </c>
      <c r="M35" s="52">
        <f>IFERROR((VLOOKUP($A35,'Dados StatusInvest'!$A:$AZ,COLUMN(M35)-$A$5,0)*VLOOKUP($A35,'Dados StatusInvest'!$A:$AZ,2,0)/$F35/100),0)</f>
        <v>0.1026311419</v>
      </c>
      <c r="N35" s="53">
        <f>IFERROR((VLOOKUP($A35,'Dados StatusInvest'!$A:$AZ,COLUMN(N35)-$A$5,0)/VLOOKUP($A35,'Dados StatusInvest'!$A:$AZ,2,0)*$F35),"")</f>
        <v>-10.7153441</v>
      </c>
      <c r="O35" s="53">
        <f>IFERROR((VLOOKUP($A35,'Dados StatusInvest'!$A:$AZ,COLUMN(O35)-$A$5,0)/VLOOKUP($A35,'Dados StatusInvest'!$A:$AZ,2,0)*$F35),0)</f>
        <v>9.605505523</v>
      </c>
      <c r="P35" s="54">
        <f>IFERROR((VLOOKUP($A35,'Dados StatusInvest'!$A:$AZ,COLUMN(P35)-$A$5,0)/VLOOKUP($A35,'Dados StatusInvest'!$A:$AZ,2,0)*$F35),0)</f>
        <v>25.07449448</v>
      </c>
      <c r="Q35" s="55">
        <f>IFERROR((VLOOKUP($A35,'Dados StatusInvest'!$A:$AZ,COLUMN(Q35)-$A$5,0)/100),0)</f>
        <v>0.1575</v>
      </c>
      <c r="R35" s="56">
        <f>VLOOKUP($A35,'Dados StatusInvest'!$A:$AZ,COLUMN(R35)-$A$5,0)</f>
        <v>1.62</v>
      </c>
      <c r="S35" s="56">
        <f>IFERROR((VLOOKUP($A35,'Dados StatusInvest'!$A:$AZ,COLUMN(S35)-$A$5,0)),0)</f>
        <v>0.99</v>
      </c>
      <c r="T35" s="53">
        <f>IFERROR((VLOOKUP($A35,'Dados StatusInvest'!$A:$AZ,COLUMN(T35)-$A$5,0)/VLOOKUP($A35,'Dados StatusInvest'!$A:$AZ,2,0)*$F35),0)</f>
        <v>5.951877655</v>
      </c>
      <c r="U35" s="53">
        <f>IFERROR((VLOOKUP($A35,'Dados StatusInvest'!$A:$AZ,COLUMN(U35)-$A$5,0)-VLOOKUP($A35,'Dados StatusInvest'!$A:$AZ,COLUMN(U35)-$A$5-1,0)+T35),0)</f>
        <v>-0.4181223449</v>
      </c>
      <c r="V35" s="56">
        <f>IFERROR((VLOOKUP($A35,'Dados StatusInvest'!$A:$AZ,COLUMN(V35)-$A$5,0)),0)</f>
        <v>1.3</v>
      </c>
      <c r="W35" s="56">
        <f>IFERROR((VLOOKUP($A35,'Dados StatusInvest'!$A:$AZ,COLUMN(W35)-$A$5,0)),0)</f>
        <v>-11.15</v>
      </c>
      <c r="X35" s="53">
        <f>IFERROR((VLOOKUP($A35,'Dados StatusInvest'!$A:$AZ,COLUMN(X35)-$A$5,0)/VLOOKUP($A35,'Dados StatusInvest'!$A:$AZ,2,0)*$F35),0)</f>
        <v>-2.750042481</v>
      </c>
      <c r="Y35" s="54">
        <f>IFERROR((VLOOKUP($A35,'Dados StatusInvest'!$A:$AZ,COLUMN(Y35)-$A$5,0)/VLOOKUP($A35,'Dados StatusInvest'!$A:$AZ,2,0)*$F35),0)</f>
        <v>3.162548853</v>
      </c>
      <c r="Z35" s="56">
        <f>IFERROR((VLOOKUP($A35,'Dados StatusInvest'!$A:$AZ,COLUMN(Z35)-$A$5,0)),0)</f>
        <v>0.25</v>
      </c>
      <c r="AA35" s="57">
        <f>IFERROR((VLOOKUP($A35,'Dados StatusInvest'!$A:$AZ,COLUMN(AA35)-$A$5,0)),0)</f>
        <v>0.72</v>
      </c>
      <c r="AB35" s="57">
        <f>IFERROR((VLOOKUP($A35,'Dados StatusInvest'!$A:$AZ,COLUMN(AB35)-$A$5,0)),0)</f>
        <v>0.26</v>
      </c>
      <c r="AC35" s="58">
        <f>IFERROR((VLOOKUP($A35,'Dados StatusInvest'!$A:$AZ,COLUMN(AC35)-$A$5,0)),0)</f>
        <v>0</v>
      </c>
      <c r="AD35" s="57">
        <f>IFERROR((VLOOKUP($A35,'Dados StatusInvest'!$A:$AZ,COLUMN(AD35)-$A$5,0)),0)</f>
        <v>0</v>
      </c>
      <c r="AE35" s="56">
        <f>IFERROR((VLOOKUP($A35,'Dados StatusInvest'!$A:$AZ,COLUMN(AE35)-$A$5,0)),0)</f>
        <v>58479399</v>
      </c>
      <c r="AF35" s="56">
        <f>IFERROR((VLOOKUP($A35,'Dados StatusInvest'!$A:$AZ,COLUMN(AF35)-$A$5,0)),0)</f>
        <v>11.69</v>
      </c>
      <c r="AG35" s="56">
        <f>IFERROR((VLOOKUP($A35,'Dados StatusInvest'!$A:$AZ,COLUMN(AG35)-$A$5,0)),0)</f>
        <v>-1.3</v>
      </c>
      <c r="AH35" s="56">
        <f>IFERROR((VLOOKUP($A35,'Dados StatusInvest'!$A:$AZ,COLUMN(AH35)-$A$5,0)),0)</f>
        <v>0.03</v>
      </c>
      <c r="AI35" s="57">
        <f>IFERROR((VLOOKUP($A35,'Dados StatusInvest'!$A:$AZ,COLUMN(AI35)-$A$5,0)),0)</f>
        <v>12362948754</v>
      </c>
      <c r="AJ35" s="59" t="str">
        <f>IFERROR((VLOOKUP($A35,'Dados StatusInvest'!$A:$AZ,COLUMN(AJ35)-$A$5,0)),0)</f>
        <v/>
      </c>
      <c r="AK35" s="60">
        <f>IFERROR(__xludf.DUMMYFUNCTION("IFERROR(GOOGLEFINANCE($A35,""high""),"""")"),11.76)</f>
        <v>11.76</v>
      </c>
      <c r="AL35" s="60">
        <f>IFERROR(__xludf.DUMMYFUNCTION("IFERROR(GOOGLEFINANCE($A35,""low""),"""")"),11.45)</f>
        <v>11.45</v>
      </c>
      <c r="AM35" s="61">
        <f t="shared" si="2"/>
        <v>0.02707423581</v>
      </c>
      <c r="AN35" s="62">
        <f>IFERROR(__xludf.DUMMYFUNCTION("IFERROR((GOOGLEFINANCE($A35,""volume"")),0)"),333300.0)</f>
        <v>333300</v>
      </c>
      <c r="AO35" s="60">
        <f>IFERROR(__xludf.DUMMYFUNCTION("IFERROR((GOOGLEFINANCE($A35,""closeyest"")),"""")"),11.77)</f>
        <v>11.77</v>
      </c>
      <c r="AP35" s="60">
        <f>IFERROR(__xludf.DUMMYFUNCTION("IFERROR((GOOGLEFINANCE($A35,""shares"")),"""")"),1.050377974E9)</f>
        <v>1050377974</v>
      </c>
      <c r="AQ35" s="18"/>
    </row>
    <row r="36">
      <c r="A36" s="45" t="str">
        <f>'Dados StatusInvest'!A31:A650</f>
        <v>AVLL3</v>
      </c>
      <c r="B36" s="46" t="str">
        <f>IFERROR(__xludf.DUMMYFUNCTION("IFERROR((GOOGLEFINANCE(A36,""name"")),"""")"),"Alphaville SA")</f>
        <v>Alphaville SA</v>
      </c>
      <c r="C36" s="46" t="str">
        <f>IFERROR((VLOOKUP(LEFT($A36,4),Setor!$A:$E,3,0)),"")</f>
        <v/>
      </c>
      <c r="D36" s="46" t="str">
        <f>IFERROR((VLOOKUP(LEFT($A36,4),Setor!$A:$E,4,0)),"")</f>
        <v/>
      </c>
      <c r="E36" s="46" t="str">
        <f>IFERROR((VLOOKUP(LEFT($A36,4),Setor!$A:$E,5,0)),"")</f>
        <v/>
      </c>
      <c r="F36" s="47">
        <f>IFERROR(__xludf.DUMMYFUNCTION("IFERROR((GOOGLEFINANCE(A36)),"""")"),0.85)</f>
        <v>0.85</v>
      </c>
      <c r="G36" s="48" t="str">
        <f>IFERROR(__xludf.DUMMYFUNCTION("IFERROR((sparkline(GOOGLEFINANCE($A36,""price"",TODAY()-30,TODAY(),""DAILY""),{""charttype"",""line"";""linewidth"",1;""color"",""#5f88cc""})),"""")"),"")</f>
        <v/>
      </c>
      <c r="H36" s="49">
        <f>IFERROR(__xludf.DUMMYFUNCTION("IFERROR((((GOOGLEFINANCE(A36))-(INDEX(GoogleFinance(A36,""PRICE"",$AQ$1),2,2)))/(INDEX(GoogleFinance(A36,""PRICE"",$AQ$1),2,2))),"""")"),-0.011627906976744196)</f>
        <v>-0.01162790698</v>
      </c>
      <c r="I36" s="47">
        <f>IFERROR(__xludf.DUMMYFUNCTION("IFERROR((GOOGLEFINANCE($A36,""high52"")),"""")"),2.65)</f>
        <v>2.65</v>
      </c>
      <c r="J36" s="48" t="str">
        <f>IFERROR(__xludf.DUMMYFUNCTION("IFERROR((sparkline(GOOGLEFINANCE($A36,""price"",TODAY()-365,TODAY(),""DAILY""),{""charttype"",""line"";""linewidth"",1;""color"",""#5f88cc""})),"""")"),"")</f>
        <v/>
      </c>
      <c r="K36" s="50">
        <f>IFERROR(__xludf.DUMMYFUNCTION("IFERROR((((GOOGLEFINANCE(A36))-(INDEX(GoogleFinance(A36,""PRICE"",$AP$1),2,2)))/(INDEX(GoogleFinance(A36,""PRICE"",$AP$1),2,2))),"""")"),-0.6271929824561403)</f>
        <v>-0.6271929825</v>
      </c>
      <c r="L36" s="51">
        <f t="shared" si="1"/>
        <v>-0.679245283</v>
      </c>
      <c r="M36" s="52">
        <f>IFERROR((VLOOKUP($A36,'Dados StatusInvest'!$A:$AZ,COLUMN(M36)-$A$5,0)*VLOOKUP($A36,'Dados StatusInvest'!$A:$AZ,2,0)/$F36/100),0)</f>
        <v>0.1884588235</v>
      </c>
      <c r="N36" s="53">
        <f>IFERROR((VLOOKUP($A36,'Dados StatusInvest'!$A:$AZ,COLUMN(N36)-$A$5,0)/VLOOKUP($A36,'Dados StatusInvest'!$A:$AZ,2,0)*$F36),"")</f>
        <v>-18.68975904</v>
      </c>
      <c r="O36" s="53">
        <f>IFERROR((VLOOKUP($A36,'Dados StatusInvest'!$A:$AZ,COLUMN(O36)-$A$5,0)/VLOOKUP($A36,'Dados StatusInvest'!$A:$AZ,2,0)*$F36),0)</f>
        <v>1.321084337</v>
      </c>
      <c r="P36" s="54">
        <f>IFERROR((VLOOKUP($A36,'Dados StatusInvest'!$A:$AZ,COLUMN(P36)-$A$5,0)/VLOOKUP($A36,'Dados StatusInvest'!$A:$AZ,2,0)*$F36),0)</f>
        <v>5.734939759</v>
      </c>
      <c r="Q36" s="55">
        <f>IFERROR((VLOOKUP($A36,'Dados StatusInvest'!$A:$AZ,COLUMN(Q36)-$A$5,0)/100),0)</f>
        <v>0.0431</v>
      </c>
      <c r="R36" s="56">
        <f>VLOOKUP($A36,'Dados StatusInvest'!$A:$AZ,COLUMN(R36)-$A$5,0)</f>
        <v>0</v>
      </c>
      <c r="S36" s="56">
        <f>IFERROR((VLOOKUP($A36,'Dados StatusInvest'!$A:$AZ,COLUMN(S36)-$A$5,0)),0)</f>
        <v>0.25</v>
      </c>
      <c r="T36" s="53">
        <f>IFERROR((VLOOKUP($A36,'Dados StatusInvest'!$A:$AZ,COLUMN(T36)-$A$5,0)/VLOOKUP($A36,'Dados StatusInvest'!$A:$AZ,2,0)*$F36),0)</f>
        <v>-3.13373494</v>
      </c>
      <c r="U36" s="53">
        <f>IFERROR((VLOOKUP($A36,'Dados StatusInvest'!$A:$AZ,COLUMN(U36)-$A$5,0)-VLOOKUP($A36,'Dados StatusInvest'!$A:$AZ,COLUMN(U36)-$A$5-1,0)+T36),0)</f>
        <v>-0.2737349398</v>
      </c>
      <c r="V36" s="56">
        <f>IFERROR((VLOOKUP($A36,'Dados StatusInvest'!$A:$AZ,COLUMN(V36)-$A$5,0)),0)</f>
        <v>0.91</v>
      </c>
      <c r="W36" s="56">
        <f>IFERROR((VLOOKUP($A36,'Dados StatusInvest'!$A:$AZ,COLUMN(W36)-$A$5,0)),0)</f>
        <v>-62.83</v>
      </c>
      <c r="X36" s="53">
        <f>IFERROR((VLOOKUP($A36,'Dados StatusInvest'!$A:$AZ,COLUMN(X36)-$A$5,0)/VLOOKUP($A36,'Dados StatusInvest'!$A:$AZ,2,0)*$F36),0)</f>
        <v>-9.073493976</v>
      </c>
      <c r="Y36" s="54">
        <f>IFERROR((VLOOKUP($A36,'Dados StatusInvest'!$A:$AZ,COLUMN(Y36)-$A$5,0)/VLOOKUP($A36,'Dados StatusInvest'!$A:$AZ,2,0)*$F36),0)</f>
        <v>22.00783133</v>
      </c>
      <c r="Z36" s="56">
        <f>IFERROR((VLOOKUP($A36,'Dados StatusInvest'!$A:$AZ,COLUMN(Z36)-$A$5,0)),0)</f>
        <v>-0.14</v>
      </c>
      <c r="AA36" s="57">
        <f>IFERROR((VLOOKUP($A36,'Dados StatusInvest'!$A:$AZ,COLUMN(AA36)-$A$5,0)),0)</f>
        <v>1.11</v>
      </c>
      <c r="AB36" s="57">
        <f>IFERROR((VLOOKUP($A36,'Dados StatusInvest'!$A:$AZ,COLUMN(AB36)-$A$5,0)),0)</f>
        <v>0.49</v>
      </c>
      <c r="AC36" s="58">
        <f>IFERROR((VLOOKUP($A36,'Dados StatusInvest'!$A:$AZ,COLUMN(AC36)-$A$5,0)),0)</f>
        <v>32.82</v>
      </c>
      <c r="AD36" s="57">
        <f>IFERROR((VLOOKUP($A36,'Dados StatusInvest'!$A:$AZ,COLUMN(AD36)-$A$5,0)),0)</f>
        <v>0</v>
      </c>
      <c r="AE36" s="56">
        <f>IFERROR((VLOOKUP($A36,'Dados StatusInvest'!$A:$AZ,COLUMN(AE36)-$A$5,0)),0)</f>
        <v>11173.05</v>
      </c>
      <c r="AF36" s="56">
        <f>IFERROR((VLOOKUP($A36,'Dados StatusInvest'!$A:$AZ,COLUMN(AF36)-$A$5,0)),0)</f>
        <v>-0.97</v>
      </c>
      <c r="AG36" s="56">
        <f>IFERROR((VLOOKUP($A36,'Dados StatusInvest'!$A:$AZ,COLUMN(AG36)-$A$5,0)),0)</f>
        <v>-0.61</v>
      </c>
      <c r="AH36" s="56">
        <f>IFERROR((VLOOKUP($A36,'Dados StatusInvest'!$A:$AZ,COLUMN(AH36)-$A$5,0)),0)</f>
        <v>0.04</v>
      </c>
      <c r="AI36" s="57">
        <f>IFERROR((VLOOKUP($A36,'Dados StatusInvest'!$A:$AZ,COLUMN(AI36)-$A$5,0)),0)</f>
        <v>162123950.6</v>
      </c>
      <c r="AJ36" s="59" t="str">
        <f>IFERROR((VLOOKUP($A36,'Dados StatusInvest'!$A:$AZ,COLUMN(AJ36)-$A$5,0)),0)</f>
        <v/>
      </c>
      <c r="AK36" s="60">
        <f>IFERROR(__xludf.DUMMYFUNCTION("IFERROR(GOOGLEFINANCE($A36,""high""),"""")"),0.85)</f>
        <v>0.85</v>
      </c>
      <c r="AL36" s="60">
        <f>IFERROR(__xludf.DUMMYFUNCTION("IFERROR(GOOGLEFINANCE($A36,""low""),"""")"),0.81)</f>
        <v>0.81</v>
      </c>
      <c r="AM36" s="61">
        <f t="shared" si="2"/>
        <v>0.04938271605</v>
      </c>
      <c r="AN36" s="62">
        <f>IFERROR(__xludf.DUMMYFUNCTION("IFERROR((GOOGLEFINANCE($A36,""volume"")),0)"),1200.0)</f>
        <v>1200</v>
      </c>
      <c r="AO36" s="60">
        <f>IFERROR(__xludf.DUMMYFUNCTION("IFERROR((GOOGLEFINANCE($A36,""closeyest"")),"""")"),0.83)</f>
        <v>0.83</v>
      </c>
      <c r="AP36" s="60">
        <f>IFERROR(__xludf.DUMMYFUNCTION("IFERROR((GOOGLEFINANCE($A36,""shares"")),"""")"),1.95330061E8)</f>
        <v>195330061</v>
      </c>
      <c r="AQ36" s="18"/>
    </row>
    <row r="37">
      <c r="A37" s="45" t="str">
        <f>'Dados StatusInvest'!A32:A651</f>
        <v>AXIA3</v>
      </c>
      <c r="B37" s="46" t="str">
        <f>IFERROR(__xludf.DUMMYFUNCTION("IFERROR((GOOGLEFINANCE(A37,""name"")),"""")"),"Centrais Eletricas Brasilrs SA - Eltrbrs")</f>
        <v>Centrais Eletricas Brasilrs SA - Eltrbrs</v>
      </c>
      <c r="C37" s="46" t="str">
        <f>IFERROR((VLOOKUP(LEFT($A37,4),Setor!$A:$E,3,0)),"")</f>
        <v/>
      </c>
      <c r="D37" s="46" t="str">
        <f>IFERROR((VLOOKUP(LEFT($A37,4),Setor!$A:$E,4,0)),"")</f>
        <v/>
      </c>
      <c r="E37" s="46" t="str">
        <f>IFERROR((VLOOKUP(LEFT($A37,4),Setor!$A:$E,5,0)),"")</f>
        <v/>
      </c>
      <c r="F37" s="47">
        <f>IFERROR(__xludf.DUMMYFUNCTION("IFERROR((GOOGLEFINANCE(A37)),"""")"),60.91)</f>
        <v>60.91</v>
      </c>
      <c r="G37" s="48" t="str">
        <f>IFERROR(__xludf.DUMMYFUNCTION("IFERROR((sparkline(GOOGLEFINANCE($A37,""price"",TODAY()-30,TODAY(),""DAILY""),{""charttype"",""line"";""linewidth"",1;""color"",""#5f88cc""})),"""")"),"")</f>
        <v/>
      </c>
      <c r="H37" s="49">
        <f>IFERROR(__xludf.DUMMYFUNCTION("IFERROR((((GOOGLEFINANCE(A37))-(INDEX(GoogleFinance(A37,""PRICE"",$AQ$1),2,2)))/(INDEX(GoogleFinance(A37,""PRICE"",$AQ$1),2,2))),"""")"),0.1529434033692977)</f>
        <v>0.1529434034</v>
      </c>
      <c r="I37" s="47">
        <f>IFERROR(__xludf.DUMMYFUNCTION("IFERROR((GOOGLEFINANCE($A37,""high52"")),"""")"),67.84)</f>
        <v>67.84</v>
      </c>
      <c r="J37" s="48" t="str">
        <f>IFERROR(__xludf.DUMMYFUNCTION("IFERROR((sparkline(GOOGLEFINANCE($A37,""price"",TODAY()-365,TODAY(),""DAILY""),{""charttype"",""line"";""linewidth"",1;""color"",""#5f88cc""})),"""")"),"")</f>
        <v/>
      </c>
      <c r="K37" s="50">
        <f>IFERROR(__xludf.DUMMYFUNCTION("IFERROR((((GOOGLEFINANCE(A37))-(INDEX(GoogleFinance(A37,""PRICE"",$AP$1),2,2)))/(INDEX(GoogleFinance(A37,""PRICE"",$AP$1),2,2))),"""")"),1.0425888665325285)</f>
        <v>1.042588867</v>
      </c>
      <c r="L37" s="51">
        <f t="shared" si="1"/>
        <v>-0.1021521226</v>
      </c>
      <c r="M37" s="52">
        <f>IFERROR((VLOOKUP($A37,'Dados StatusInvest'!$A:$AZ,COLUMN(M37)-$A$5,0)*VLOOKUP($A37,'Dados StatusInvest'!$A:$AZ,2,0)/$F37/100),0)</f>
        <v>0.1101862748</v>
      </c>
      <c r="N37" s="53">
        <f>IFERROR((VLOOKUP($A37,'Dados StatusInvest'!$A:$AZ,COLUMN(N37)-$A$5,0)/VLOOKUP($A37,'Dados StatusInvest'!$A:$AZ,2,0)*$F37),"")</f>
        <v>-14.03777378</v>
      </c>
      <c r="O37" s="53">
        <f>IFERROR((VLOOKUP($A37,'Dados StatusInvest'!$A:$AZ,COLUMN(O37)-$A$5,0)/VLOOKUP($A37,'Dados StatusInvest'!$A:$AZ,2,0)*$F37),0)</f>
        <v>37.97168029</v>
      </c>
      <c r="P37" s="54">
        <f>IFERROR((VLOOKUP($A37,'Dados StatusInvest'!$A:$AZ,COLUMN(P37)-$A$5,0)/VLOOKUP($A37,'Dados StatusInvest'!$A:$AZ,2,0)*$F37),0)</f>
        <v>48.04701863</v>
      </c>
      <c r="Q37" s="55">
        <f>IFERROR((VLOOKUP($A37,'Dados StatusInvest'!$A:$AZ,COLUMN(Q37)-$A$5,0)/100),0)</f>
        <v>0.0911</v>
      </c>
      <c r="R37" s="56">
        <f>VLOOKUP($A37,'Dados StatusInvest'!$A:$AZ,COLUMN(R37)-$A$5,0)</f>
        <v>0.39</v>
      </c>
      <c r="S37" s="56">
        <f>IFERROR((VLOOKUP($A37,'Dados StatusInvest'!$A:$AZ,COLUMN(S37)-$A$5,0)),0)</f>
        <v>4.18</v>
      </c>
      <c r="T37" s="53">
        <f>IFERROR((VLOOKUP($A37,'Dados StatusInvest'!$A:$AZ,COLUMN(T37)-$A$5,0)/VLOOKUP($A37,'Dados StatusInvest'!$A:$AZ,2,0)*$F37),0)</f>
        <v>7.088577967</v>
      </c>
      <c r="U37" s="53">
        <f>IFERROR((VLOOKUP($A37,'Dados StatusInvest'!$A:$AZ,COLUMN(U37)-$A$5,0)-VLOOKUP($A37,'Dados StatusInvest'!$A:$AZ,COLUMN(U37)-$A$5-1,0)+T37),0)</f>
        <v>-0.8614220333</v>
      </c>
      <c r="V37" s="56">
        <f>IFERROR((VLOOKUP($A37,'Dados StatusInvest'!$A:$AZ,COLUMN(V37)-$A$5,0)),0)</f>
        <v>1.92</v>
      </c>
      <c r="W37" s="56">
        <f>IFERROR((VLOOKUP($A37,'Dados StatusInvest'!$A:$AZ,COLUMN(W37)-$A$5,0)),0)</f>
        <v>-5.5</v>
      </c>
      <c r="X37" s="53">
        <f>IFERROR((VLOOKUP($A37,'Dados StatusInvest'!$A:$AZ,COLUMN(X37)-$A$5,0)/VLOOKUP($A37,'Dados StatusInvest'!$A:$AZ,2,0)*$F37),0)</f>
        <v>-2.250026152</v>
      </c>
      <c r="Y37" s="54">
        <f>IFERROR((VLOOKUP($A37,'Dados StatusInvest'!$A:$AZ,COLUMN(Y37)-$A$5,0)/VLOOKUP($A37,'Dados StatusInvest'!$A:$AZ,2,0)*$F37),0)</f>
        <v>1.642718209</v>
      </c>
      <c r="Z37" s="56">
        <f>IFERROR((VLOOKUP($A37,'Dados StatusInvest'!$A:$AZ,COLUMN(Z37)-$A$5,0)),0)</f>
        <v>0.41</v>
      </c>
      <c r="AA37" s="57">
        <f>IFERROR((VLOOKUP($A37,'Dados StatusInvest'!$A:$AZ,COLUMN(AA37)-$A$5,0)),0)</f>
        <v>0.59</v>
      </c>
      <c r="AB37" s="57">
        <f>IFERROR((VLOOKUP($A37,'Dados StatusInvest'!$A:$AZ,COLUMN(AB37)-$A$5,0)),0)</f>
        <v>0.16</v>
      </c>
      <c r="AC37" s="58">
        <f>IFERROR((VLOOKUP($A37,'Dados StatusInvest'!$A:$AZ,COLUMN(AC37)-$A$5,0)),0)</f>
        <v>7.7</v>
      </c>
      <c r="AD37" s="57">
        <f>IFERROR((VLOOKUP($A37,'Dados StatusInvest'!$A:$AZ,COLUMN(AD37)-$A$5,0)),0)</f>
        <v>0</v>
      </c>
      <c r="AE37" s="56">
        <f>IFERROR((VLOOKUP($A37,'Dados StatusInvest'!$A:$AZ,COLUMN(AE37)-$A$5,0)),0)</f>
        <v>687000000</v>
      </c>
      <c r="AF37" s="56">
        <f>IFERROR((VLOOKUP($A37,'Dados StatusInvest'!$A:$AZ,COLUMN(AF37)-$A$5,0)),0)</f>
        <v>37.49</v>
      </c>
      <c r="AG37" s="56">
        <f>IFERROR((VLOOKUP($A37,'Dados StatusInvest'!$A:$AZ,COLUMN(AG37)-$A$5,0)),0)</f>
        <v>-2.06</v>
      </c>
      <c r="AH37" s="56">
        <f>IFERROR((VLOOKUP($A37,'Dados StatusInvest'!$A:$AZ,COLUMN(AH37)-$A$5,0)),0)</f>
        <v>0.19</v>
      </c>
      <c r="AI37" s="57">
        <f>IFERROR((VLOOKUP($A37,'Dados StatusInvest'!$A:$AZ,COLUMN(AI37)-$A$5,0)),0)</f>
        <v>183120000000</v>
      </c>
      <c r="AJ37" s="59" t="str">
        <f>IFERROR((VLOOKUP($A37,'Dados StatusInvest'!$A:$AZ,COLUMN(AJ37)-$A$5,0)),0)</f>
        <v/>
      </c>
      <c r="AK37" s="60">
        <f>IFERROR(__xludf.DUMMYFUNCTION("IFERROR(GOOGLEFINANCE($A37,""high""),"""")"),60.98)</f>
        <v>60.98</v>
      </c>
      <c r="AL37" s="60">
        <f>IFERROR(__xludf.DUMMYFUNCTION("IFERROR(GOOGLEFINANCE($A37,""low""),"""")"),60.27)</f>
        <v>60.27</v>
      </c>
      <c r="AM37" s="61">
        <f t="shared" si="2"/>
        <v>0.01178032188</v>
      </c>
      <c r="AN37" s="62">
        <f>IFERROR(__xludf.DUMMYFUNCTION("IFERROR((GOOGLEFINANCE($A37,""volume"")),0)"),393400.0)</f>
        <v>393400</v>
      </c>
      <c r="AO37" s="60">
        <f>IFERROR(__xludf.DUMMYFUNCTION("IFERROR((GOOGLEFINANCE($A37,""closeyest"")),"""")"),61.18)</f>
        <v>61.18</v>
      </c>
      <c r="AP37" s="60">
        <f>IFERROR(__xludf.DUMMYFUNCTION("IFERROR((GOOGLEFINANCE($A37,""shares"")),"""")"),2.028544286E9)</f>
        <v>2028544286</v>
      </c>
      <c r="AQ37" s="18"/>
    </row>
    <row r="38">
      <c r="A38" s="45" t="str">
        <f>'Dados StatusInvest'!A33:A652</f>
        <v>AXIA5</v>
      </c>
      <c r="B38" s="46" t="str">
        <f>IFERROR(__xludf.DUMMYFUNCTION("IFERROR((GOOGLEFINANCE(A38,""name"")),"""")"),"Centrais Eletricas Brasilrs SA - Eltrbrs Preference Shares Class A")</f>
        <v>Centrais Eletricas Brasilrs SA - Eltrbrs Preference Shares Class A</v>
      </c>
      <c r="C38" s="46" t="str">
        <f>IFERROR((VLOOKUP(LEFT($A38,4),Setor!$A:$E,3,0)),"")</f>
        <v/>
      </c>
      <c r="D38" s="46" t="str">
        <f>IFERROR((VLOOKUP(LEFT($A38,4),Setor!$A:$E,4,0)),"")</f>
        <v/>
      </c>
      <c r="E38" s="46" t="str">
        <f>IFERROR((VLOOKUP(LEFT($A38,4),Setor!$A:$E,5,0)),"")</f>
        <v/>
      </c>
      <c r="F38" s="47">
        <f>IFERROR(__xludf.DUMMYFUNCTION("IFERROR((GOOGLEFINANCE(A38)),"""")"),79.0)</f>
        <v>79</v>
      </c>
      <c r="G38" s="48" t="str">
        <f>IFERROR(__xludf.DUMMYFUNCTION("IFERROR((sparkline(GOOGLEFINANCE($A38,""price"",TODAY()-30,TODAY(),""DAILY""),{""charttype"",""line"";""linewidth"",1;""color"",""#5f88cc""})),"""")"),"")</f>
        <v/>
      </c>
      <c r="H38" s="49" t="str">
        <f>IFERROR(__xludf.DUMMYFUNCTION("IFERROR((((GOOGLEFINANCE(A38))-(INDEX(GoogleFinance(A38,""PRICE"",$AQ$1),2,2)))/(INDEX(GoogleFinance(A38,""PRICE"",$AQ$1),2,2))),"""")"),"")</f>
        <v/>
      </c>
      <c r="I38" s="47">
        <f>IFERROR(__xludf.DUMMYFUNCTION("IFERROR((GOOGLEFINANCE($A38,""high52"")),"""")"),79.0)</f>
        <v>79</v>
      </c>
      <c r="J38" s="48" t="str">
        <f>IFERROR(__xludf.DUMMYFUNCTION("IFERROR((sparkline(GOOGLEFINANCE($A38,""price"",TODAY()-365,TODAY(),""DAILY""),{""charttype"",""line"";""linewidth"",1;""color"",""#5f88cc""})),"""")"),"")</f>
        <v/>
      </c>
      <c r="K38" s="50" t="str">
        <f>IFERROR(__xludf.DUMMYFUNCTION("IFERROR((((GOOGLEFINANCE(A38))-(INDEX(GoogleFinance(A38,""PRICE"",$AP$1),2,2)))/(INDEX(GoogleFinance(A38,""PRICE"",$AP$1),2,2))),"""")"),"")</f>
        <v/>
      </c>
      <c r="L38" s="51">
        <f t="shared" si="1"/>
        <v>0</v>
      </c>
      <c r="M38" s="52">
        <f>IFERROR((VLOOKUP($A38,'Dados StatusInvest'!$A:$AZ,COLUMN(M38)-$A$5,0)*VLOOKUP($A38,'Dados StatusInvest'!$A:$AZ,2,0)/$F38/100),0)</f>
        <v>0.1097</v>
      </c>
      <c r="N38" s="53">
        <f>IFERROR((VLOOKUP($A38,'Dados StatusInvest'!$A:$AZ,COLUMN(N38)-$A$5,0)/VLOOKUP($A38,'Dados StatusInvest'!$A:$AZ,2,0)*$F38),"")</f>
        <v>-14.1</v>
      </c>
      <c r="O38" s="53">
        <f>IFERROR((VLOOKUP($A38,'Dados StatusInvest'!$A:$AZ,COLUMN(O38)-$A$5,0)/VLOOKUP($A38,'Dados StatusInvest'!$A:$AZ,2,0)*$F38),0)</f>
        <v>49.25</v>
      </c>
      <c r="P38" s="54">
        <f>IFERROR((VLOOKUP($A38,'Dados StatusInvest'!$A:$AZ,COLUMN(P38)-$A$5,0)/VLOOKUP($A38,'Dados StatusInvest'!$A:$AZ,2,0)*$F38),0)</f>
        <v>48.26</v>
      </c>
      <c r="Q38" s="55">
        <f>IFERROR((VLOOKUP($A38,'Dados StatusInvest'!$A:$AZ,COLUMN(Q38)-$A$5,0)/100),0)</f>
        <v>0.0911</v>
      </c>
      <c r="R38" s="56">
        <f>VLOOKUP($A38,'Dados StatusInvest'!$A:$AZ,COLUMN(R38)-$A$5,0)</f>
        <v>0.39</v>
      </c>
      <c r="S38" s="56">
        <f>IFERROR((VLOOKUP($A38,'Dados StatusInvest'!$A:$AZ,COLUMN(S38)-$A$5,0)),0)</f>
        <v>5.4</v>
      </c>
      <c r="T38" s="53">
        <f>IFERROR((VLOOKUP($A38,'Dados StatusInvest'!$A:$AZ,COLUMN(T38)-$A$5,0)/VLOOKUP($A38,'Dados StatusInvest'!$A:$AZ,2,0)*$F38),0)</f>
        <v>9.19</v>
      </c>
      <c r="U38" s="53">
        <f>IFERROR((VLOOKUP($A38,'Dados StatusInvest'!$A:$AZ,COLUMN(U38)-$A$5,0)-VLOOKUP($A38,'Dados StatusInvest'!$A:$AZ,COLUMN(U38)-$A$5-1,0)+T38),0)</f>
        <v>-1.08</v>
      </c>
      <c r="V38" s="56">
        <f>IFERROR((VLOOKUP($A38,'Dados StatusInvest'!$A:$AZ,COLUMN(V38)-$A$5,0)),0)</f>
        <v>1.92</v>
      </c>
      <c r="W38" s="56">
        <f>IFERROR((VLOOKUP($A38,'Dados StatusInvest'!$A:$AZ,COLUMN(W38)-$A$5,0)),0)</f>
        <v>-5.5</v>
      </c>
      <c r="X38" s="53">
        <f>IFERROR((VLOOKUP($A38,'Dados StatusInvest'!$A:$AZ,COLUMN(X38)-$A$5,0)/VLOOKUP($A38,'Dados StatusInvest'!$A:$AZ,2,0)*$F38),0)</f>
        <v>-2.26</v>
      </c>
      <c r="Y38" s="54">
        <f>IFERROR((VLOOKUP($A38,'Dados StatusInvest'!$A:$AZ,COLUMN(Y38)-$A$5,0)/VLOOKUP($A38,'Dados StatusInvest'!$A:$AZ,2,0)*$F38),0)</f>
        <v>1.65</v>
      </c>
      <c r="Z38" s="56">
        <f>IFERROR((VLOOKUP($A38,'Dados StatusInvest'!$A:$AZ,COLUMN(Z38)-$A$5,0)),0)</f>
        <v>0.41</v>
      </c>
      <c r="AA38" s="57">
        <f>IFERROR((VLOOKUP($A38,'Dados StatusInvest'!$A:$AZ,COLUMN(AA38)-$A$5,0)),0)</f>
        <v>0.59</v>
      </c>
      <c r="AB38" s="57">
        <f>IFERROR((VLOOKUP($A38,'Dados StatusInvest'!$A:$AZ,COLUMN(AB38)-$A$5,0)),0)</f>
        <v>0.16</v>
      </c>
      <c r="AC38" s="58">
        <f>IFERROR((VLOOKUP($A38,'Dados StatusInvest'!$A:$AZ,COLUMN(AC38)-$A$5,0)),0)</f>
        <v>7.7</v>
      </c>
      <c r="AD38" s="57">
        <f>IFERROR((VLOOKUP($A38,'Dados StatusInvest'!$A:$AZ,COLUMN(AD38)-$A$5,0)),0)</f>
        <v>0</v>
      </c>
      <c r="AE38" s="56">
        <f>IFERROR((VLOOKUP($A38,'Dados StatusInvest'!$A:$AZ,COLUMN(AE38)-$A$5,0)),0)</f>
        <v>31051</v>
      </c>
      <c r="AF38" s="56">
        <f>IFERROR((VLOOKUP($A38,'Dados StatusInvest'!$A:$AZ,COLUMN(AF38)-$A$5,0)),0)</f>
        <v>37.49</v>
      </c>
      <c r="AG38" s="56">
        <f>IFERROR((VLOOKUP($A38,'Dados StatusInvest'!$A:$AZ,COLUMN(AG38)-$A$5,0)),0)</f>
        <v>-2.06</v>
      </c>
      <c r="AH38" s="56">
        <f>IFERROR((VLOOKUP($A38,'Dados StatusInvest'!$A:$AZ,COLUMN(AH38)-$A$5,0)),0)</f>
        <v>0.24</v>
      </c>
      <c r="AI38" s="57">
        <f>IFERROR((VLOOKUP($A38,'Dados StatusInvest'!$A:$AZ,COLUMN(AI38)-$A$5,0)),0)</f>
        <v>183120000000</v>
      </c>
      <c r="AJ38" s="59" t="str">
        <f>IFERROR((VLOOKUP($A38,'Dados StatusInvest'!$A:$AZ,COLUMN(AJ38)-$A$5,0)),0)</f>
        <v/>
      </c>
      <c r="AK38" s="60" t="str">
        <f>IFERROR(__xludf.DUMMYFUNCTION("IFERROR(GOOGLEFINANCE($A38,""high""),"""")"),"")</f>
        <v/>
      </c>
      <c r="AL38" s="60" t="str">
        <f>IFERROR(__xludf.DUMMYFUNCTION("IFERROR(GOOGLEFINANCE($A38,""low""),"""")"),"")</f>
        <v/>
      </c>
      <c r="AM38" s="61">
        <f t="shared" si="2"/>
        <v>0</v>
      </c>
      <c r="AN38" s="62">
        <f>IFERROR(__xludf.DUMMYFUNCTION("IFERROR((GOOGLEFINANCE($A38,""volume"")),0)"),0.0)</f>
        <v>0</v>
      </c>
      <c r="AO38" s="60">
        <f>IFERROR(__xludf.DUMMYFUNCTION("IFERROR((GOOGLEFINANCE($A38,""closeyest"")),"""")"),64.63)</f>
        <v>64.63</v>
      </c>
      <c r="AP38" s="60">
        <f>IFERROR(__xludf.DUMMYFUNCTION("IFERROR((GOOGLEFINANCE($A38,""shares"")),"""")"),146920.0)</f>
        <v>146920</v>
      </c>
      <c r="AQ38" s="18"/>
    </row>
    <row r="39">
      <c r="A39" s="45" t="str">
        <f>'Dados StatusInvest'!A34:A653</f>
        <v>AXIA6</v>
      </c>
      <c r="B39" s="46" t="str">
        <f>IFERROR(__xludf.DUMMYFUNCTION("IFERROR((GOOGLEFINANCE(A39,""name"")),"""")"),"Centrais Eletricas Brasilrs SA - Eltrbrs Preference Shares Class B")</f>
        <v>Centrais Eletricas Brasilrs SA - Eltrbrs Preference Shares Class B</v>
      </c>
      <c r="C39" s="46" t="str">
        <f>IFERROR((VLOOKUP(LEFT($A39,4),Setor!$A:$E,3,0)),"")</f>
        <v/>
      </c>
      <c r="D39" s="46" t="str">
        <f>IFERROR((VLOOKUP(LEFT($A39,4),Setor!$A:$E,4,0)),"")</f>
        <v/>
      </c>
      <c r="E39" s="46" t="str">
        <f>IFERROR((VLOOKUP(LEFT($A39,4),Setor!$A:$E,5,0)),"")</f>
        <v/>
      </c>
      <c r="F39" s="47">
        <f>IFERROR(__xludf.DUMMYFUNCTION("IFERROR((GOOGLEFINANCE(A39)),"""")"),66.18)</f>
        <v>66.18</v>
      </c>
      <c r="G39" s="48" t="str">
        <f>IFERROR(__xludf.DUMMYFUNCTION("IFERROR((sparkline(GOOGLEFINANCE($A39,""price"",TODAY()-30,TODAY(),""DAILY""),{""charttype"",""line"";""linewidth"",1;""color"",""#5f88cc""})),"""")"),"")</f>
        <v/>
      </c>
      <c r="H39" s="49">
        <f>IFERROR(__xludf.DUMMYFUNCTION("IFERROR((((GOOGLEFINANCE(A39))-(INDEX(GoogleFinance(A39,""PRICE"",$AQ$1),2,2)))/(INDEX(GoogleFinance(A39,""PRICE"",$AQ$1),2,2))),"""")"),0.1725726435152376)</f>
        <v>0.1725726435</v>
      </c>
      <c r="I39" s="47">
        <f>IFERROR(__xludf.DUMMYFUNCTION("IFERROR((GOOGLEFINANCE($A39,""high52"")),"""")"),71.5)</f>
        <v>71.5</v>
      </c>
      <c r="J39" s="48" t="str">
        <f>IFERROR(__xludf.DUMMYFUNCTION("IFERROR((sparkline(GOOGLEFINANCE($A39,""price"",TODAY()-365,TODAY(),""DAILY""),{""charttype"",""line"";""linewidth"",1;""color"",""#5f88cc""})),"""")"),"")</f>
        <v/>
      </c>
      <c r="K39" s="50">
        <f>IFERROR(__xludf.DUMMYFUNCTION("IFERROR((((GOOGLEFINANCE(A39))-(INDEX(GoogleFinance(A39,""PRICE"",$AP$1),2,2)))/(INDEX(GoogleFinance(A39,""PRICE"",$AP$1),2,2))),"""")"),0.9873873873873877)</f>
        <v>0.9873873874</v>
      </c>
      <c r="L39" s="51">
        <f t="shared" si="1"/>
        <v>-0.07440559441</v>
      </c>
      <c r="M39" s="52">
        <f>IFERROR((VLOOKUP($A39,'Dados StatusInvest'!$A:$AZ,COLUMN(M39)-$A$5,0)*VLOOKUP($A39,'Dados StatusInvest'!$A:$AZ,2,0)/$F39/100),0)</f>
        <v>0.1102967362</v>
      </c>
      <c r="N39" s="53">
        <f>IFERROR((VLOOKUP($A39,'Dados StatusInvest'!$A:$AZ,COLUMN(N39)-$A$5,0)/VLOOKUP($A39,'Dados StatusInvest'!$A:$AZ,2,0)*$F39),"")</f>
        <v>-14.02371506</v>
      </c>
      <c r="O39" s="53">
        <f>IFERROR((VLOOKUP($A39,'Dados StatusInvest'!$A:$AZ,COLUMN(O39)-$A$5,0)/VLOOKUP($A39,'Dados StatusInvest'!$A:$AZ,2,0)*$F39),0)</f>
        <v>41.25558161</v>
      </c>
      <c r="P39" s="54">
        <f>IFERROR((VLOOKUP($A39,'Dados StatusInvest'!$A:$AZ,COLUMN(P39)-$A$5,0)/VLOOKUP($A39,'Dados StatusInvest'!$A:$AZ,2,0)*$F39),0)</f>
        <v>47.99889991</v>
      </c>
      <c r="Q39" s="55">
        <f>IFERROR((VLOOKUP($A39,'Dados StatusInvest'!$A:$AZ,COLUMN(Q39)-$A$5,0)/100),0)</f>
        <v>0.0911</v>
      </c>
      <c r="R39" s="56">
        <f>VLOOKUP($A39,'Dados StatusInvest'!$A:$AZ,COLUMN(R39)-$A$5,0)</f>
        <v>0.39</v>
      </c>
      <c r="S39" s="56">
        <f>IFERROR((VLOOKUP($A39,'Dados StatusInvest'!$A:$AZ,COLUMN(S39)-$A$5,0)),0)</f>
        <v>4.55</v>
      </c>
      <c r="T39" s="53">
        <f>IFERROR((VLOOKUP($A39,'Dados StatusInvest'!$A:$AZ,COLUMN(T39)-$A$5,0)/VLOOKUP($A39,'Dados StatusInvest'!$A:$AZ,2,0)*$F39),0)</f>
        <v>7.698124436</v>
      </c>
      <c r="U39" s="53">
        <f>IFERROR((VLOOKUP($A39,'Dados StatusInvest'!$A:$AZ,COLUMN(U39)-$A$5,0)-VLOOKUP($A39,'Dados StatusInvest'!$A:$AZ,COLUMN(U39)-$A$5-1,0)+T39),0)</f>
        <v>-0.9518755636</v>
      </c>
      <c r="V39" s="56">
        <f>IFERROR((VLOOKUP($A39,'Dados StatusInvest'!$A:$AZ,COLUMN(V39)-$A$5,0)),0)</f>
        <v>1.92</v>
      </c>
      <c r="W39" s="56">
        <f>IFERROR((VLOOKUP($A39,'Dados StatusInvest'!$A:$AZ,COLUMN(W39)-$A$5,0)),0)</f>
        <v>-5.5</v>
      </c>
      <c r="X39" s="53">
        <f>IFERROR((VLOOKUP($A39,'Dados StatusInvest'!$A:$AZ,COLUMN(X39)-$A$5,0)/VLOOKUP($A39,'Dados StatusInvest'!$A:$AZ,2,0)*$F39),0)</f>
        <v>-2.247772768</v>
      </c>
      <c r="Y39" s="54">
        <f>IFERROR((VLOOKUP($A39,'Dados StatusInvest'!$A:$AZ,COLUMN(Y39)-$A$5,0)/VLOOKUP($A39,'Dados StatusInvest'!$A:$AZ,2,0)*$F39),0)</f>
        <v>1.641073039</v>
      </c>
      <c r="Z39" s="56">
        <f>IFERROR((VLOOKUP($A39,'Dados StatusInvest'!$A:$AZ,COLUMN(Z39)-$A$5,0)),0)</f>
        <v>0.41</v>
      </c>
      <c r="AA39" s="57">
        <f>IFERROR((VLOOKUP($A39,'Dados StatusInvest'!$A:$AZ,COLUMN(AA39)-$A$5,0)),0)</f>
        <v>0.59</v>
      </c>
      <c r="AB39" s="57">
        <f>IFERROR((VLOOKUP($A39,'Dados StatusInvest'!$A:$AZ,COLUMN(AB39)-$A$5,0)),0)</f>
        <v>0.16</v>
      </c>
      <c r="AC39" s="58">
        <f>IFERROR((VLOOKUP($A39,'Dados StatusInvest'!$A:$AZ,COLUMN(AC39)-$A$5,0)),0)</f>
        <v>7.7</v>
      </c>
      <c r="AD39" s="57">
        <f>IFERROR((VLOOKUP($A39,'Dados StatusInvest'!$A:$AZ,COLUMN(AD39)-$A$5,0)),0)</f>
        <v>0</v>
      </c>
      <c r="AE39" s="56">
        <f>IFERROR((VLOOKUP($A39,'Dados StatusInvest'!$A:$AZ,COLUMN(AE39)-$A$5,0)),0)</f>
        <v>86185274</v>
      </c>
      <c r="AF39" s="56">
        <f>IFERROR((VLOOKUP($A39,'Dados StatusInvest'!$A:$AZ,COLUMN(AF39)-$A$5,0)),0)</f>
        <v>37.49</v>
      </c>
      <c r="AG39" s="56">
        <f>IFERROR((VLOOKUP($A39,'Dados StatusInvest'!$A:$AZ,COLUMN(AG39)-$A$5,0)),0)</f>
        <v>-2.06</v>
      </c>
      <c r="AH39" s="56">
        <f>IFERROR((VLOOKUP($A39,'Dados StatusInvest'!$A:$AZ,COLUMN(AH39)-$A$5,0)),0)</f>
        <v>0.2</v>
      </c>
      <c r="AI39" s="57">
        <f>IFERROR((VLOOKUP($A39,'Dados StatusInvest'!$A:$AZ,COLUMN(AI39)-$A$5,0)),0)</f>
        <v>183120000000</v>
      </c>
      <c r="AJ39" s="59" t="str">
        <f>IFERROR((VLOOKUP($A39,'Dados StatusInvest'!$A:$AZ,COLUMN(AJ39)-$A$5,0)),0)</f>
        <v/>
      </c>
      <c r="AK39" s="60">
        <f>IFERROR(__xludf.DUMMYFUNCTION("IFERROR(GOOGLEFINANCE($A39,""high""),"""")"),66.25)</f>
        <v>66.25</v>
      </c>
      <c r="AL39" s="60">
        <f>IFERROR(__xludf.DUMMYFUNCTION("IFERROR(GOOGLEFINANCE($A39,""low""),"""")"),65.49)</f>
        <v>65.49</v>
      </c>
      <c r="AM39" s="61">
        <f t="shared" si="2"/>
        <v>0.01160482516</v>
      </c>
      <c r="AN39" s="62">
        <f>IFERROR(__xludf.DUMMYFUNCTION("IFERROR((GOOGLEFINANCE($A39,""volume"")),0)"),117000.0)</f>
        <v>117000</v>
      </c>
      <c r="AO39" s="60">
        <f>IFERROR(__xludf.DUMMYFUNCTION("IFERROR((GOOGLEFINANCE($A39,""closeyest"")),"""")"),66.54)</f>
        <v>66.54</v>
      </c>
      <c r="AP39" s="60">
        <f>IFERROR(__xludf.DUMMYFUNCTION("IFERROR((GOOGLEFINANCE($A39,""shares"")),"""")"),2.79941394E8)</f>
        <v>279941394</v>
      </c>
      <c r="AQ39" s="18"/>
    </row>
    <row r="40">
      <c r="A40" s="45" t="str">
        <f>'Dados StatusInvest'!A35:A654</f>
        <v>AXIA7</v>
      </c>
      <c r="B40" s="46" t="str">
        <f>IFERROR(__xludf.DUMMYFUNCTION("IFERROR((GOOGLEFINANCE(A40,""name"")),"""")"),"Centrais Elet Bras Prf Shs")</f>
        <v>Centrais Elet Bras Prf Shs</v>
      </c>
      <c r="C40" s="46" t="str">
        <f>IFERROR((VLOOKUP(LEFT($A40,4),Setor!$A:$E,3,0)),"")</f>
        <v/>
      </c>
      <c r="D40" s="46" t="str">
        <f>IFERROR((VLOOKUP(LEFT($A40,4),Setor!$A:$E,4,0)),"")</f>
        <v/>
      </c>
      <c r="E40" s="46" t="str">
        <f>IFERROR((VLOOKUP(LEFT($A40,4),Setor!$A:$E,5,0)),"")</f>
        <v/>
      </c>
      <c r="F40" s="47">
        <f>IFERROR(__xludf.DUMMYFUNCTION("IFERROR((GOOGLEFINANCE(A40)),"""")"),58.82)</f>
        <v>58.82</v>
      </c>
      <c r="G40" s="48" t="str">
        <f>IFERROR(__xludf.DUMMYFUNCTION("IFERROR((sparkline(GOOGLEFINANCE($A40,""price"",TODAY()-30,TODAY(),""DAILY""),{""charttype"",""line"";""linewidth"",1;""color"",""#5f88cc""})),"""")"),"")</f>
        <v/>
      </c>
      <c r="H40" s="49">
        <f>IFERROR(__xludf.DUMMYFUNCTION("IFERROR((((GOOGLEFINANCE(A40))-(INDEX(GoogleFinance(A40,""PRICE"",$AQ$1),2,2)))/(INDEX(GoogleFinance(A40,""PRICE"",$AQ$1),2,2))),"""")"),0.15107632093933462)</f>
        <v>0.1510763209</v>
      </c>
      <c r="I40" s="47">
        <f>IFERROR(__xludf.DUMMYFUNCTION("IFERROR((GOOGLEFINANCE($A40,""high52"")),"""")"),58.69)</f>
        <v>58.69</v>
      </c>
      <c r="J40" s="48" t="str">
        <f>IFERROR(__xludf.DUMMYFUNCTION("IFERROR((sparkline(GOOGLEFINANCE($A40,""price"",TODAY()-365,TODAY(),""DAILY""),{""charttype"",""line"";""linewidth"",1;""color"",""#5f88cc""})),"""")"),"")</f>
        <v/>
      </c>
      <c r="K40" s="50" t="str">
        <f>IFERROR(__xludf.DUMMYFUNCTION("IFERROR((((GOOGLEFINANCE(A40))-(INDEX(GoogleFinance(A40,""PRICE"",$AP$1),2,2)))/(INDEX(GoogleFinance(A40,""PRICE"",$AP$1),2,2))),"""")"),"")</f>
        <v/>
      </c>
      <c r="L40" s="51">
        <f t="shared" si="1"/>
        <v>0.002215028114</v>
      </c>
      <c r="M40" s="52">
        <f>IFERROR((VLOOKUP($A40,'Dados StatusInvest'!$A:$AZ,COLUMN(M40)-$A$5,0)*VLOOKUP($A40,'Dados StatusInvest'!$A:$AZ,2,0)/$F40/100),0)</f>
        <v>0.1103900544</v>
      </c>
      <c r="N40" s="53">
        <f>IFERROR((VLOOKUP($A40,'Dados StatusInvest'!$A:$AZ,COLUMN(N40)-$A$5,0)/VLOOKUP($A40,'Dados StatusInvest'!$A:$AZ,2,0)*$F40),"")</f>
        <v>-14.01186011</v>
      </c>
      <c r="O40" s="53">
        <f>IFERROR((VLOOKUP($A40,'Dados StatusInvest'!$A:$AZ,COLUMN(O40)-$A$5,0)/VLOOKUP($A40,'Dados StatusInvest'!$A:$AZ,2,0)*$F40),0)</f>
        <v>36.66933604</v>
      </c>
      <c r="P40" s="54">
        <f>IFERROR((VLOOKUP($A40,'Dados StatusInvest'!$A:$AZ,COLUMN(P40)-$A$5,0)/VLOOKUP($A40,'Dados StatusInvest'!$A:$AZ,2,0)*$F40),0)</f>
        <v>47.95832404</v>
      </c>
      <c r="Q40" s="55">
        <f>IFERROR((VLOOKUP($A40,'Dados StatusInvest'!$A:$AZ,COLUMN(Q40)-$A$5,0)/100),0)</f>
        <v>0.0911</v>
      </c>
      <c r="R40" s="56">
        <f>VLOOKUP($A40,'Dados StatusInvest'!$A:$AZ,COLUMN(R40)-$A$5,0)</f>
        <v>0.39</v>
      </c>
      <c r="S40" s="56">
        <f>IFERROR((VLOOKUP($A40,'Dados StatusInvest'!$A:$AZ,COLUMN(S40)-$A$5,0)),0)</f>
        <v>4.05</v>
      </c>
      <c r="T40" s="53">
        <f>IFERROR((VLOOKUP($A40,'Dados StatusInvest'!$A:$AZ,COLUMN(T40)-$A$5,0)/VLOOKUP($A40,'Dados StatusInvest'!$A:$AZ,2,0)*$F40),0)</f>
        <v>6.836992735</v>
      </c>
      <c r="U40" s="53">
        <f>IFERROR((VLOOKUP($A40,'Dados StatusInvest'!$A:$AZ,COLUMN(U40)-$A$5,0)-VLOOKUP($A40,'Dados StatusInvest'!$A:$AZ,COLUMN(U40)-$A$5-1,0)+T40),0)</f>
        <v>-0.8530072647</v>
      </c>
      <c r="V40" s="56">
        <f>IFERROR((VLOOKUP($A40,'Dados StatusInvest'!$A:$AZ,COLUMN(V40)-$A$5,0)),0)</f>
        <v>1.92</v>
      </c>
      <c r="W40" s="56">
        <f>IFERROR((VLOOKUP($A40,'Dados StatusInvest'!$A:$AZ,COLUMN(W40)-$A$5,0)),0)</f>
        <v>-5.5</v>
      </c>
      <c r="X40" s="53">
        <f>IFERROR((VLOOKUP($A40,'Dados StatusInvest'!$A:$AZ,COLUMN(X40)-$A$5,0)/VLOOKUP($A40,'Dados StatusInvest'!$A:$AZ,2,0)*$F40),0)</f>
        <v>-2.245872614</v>
      </c>
      <c r="Y40" s="54">
        <f>IFERROR((VLOOKUP($A40,'Dados StatusInvest'!$A:$AZ,COLUMN(Y40)-$A$5,0)/VLOOKUP($A40,'Dados StatusInvest'!$A:$AZ,2,0)*$F40),0)</f>
        <v>1.639685758</v>
      </c>
      <c r="Z40" s="56">
        <f>IFERROR((VLOOKUP($A40,'Dados StatusInvest'!$A:$AZ,COLUMN(Z40)-$A$5,0)),0)</f>
        <v>0.41</v>
      </c>
      <c r="AA40" s="57">
        <f>IFERROR((VLOOKUP($A40,'Dados StatusInvest'!$A:$AZ,COLUMN(AA40)-$A$5,0)),0)</f>
        <v>0.59</v>
      </c>
      <c r="AB40" s="57">
        <f>IFERROR((VLOOKUP($A40,'Dados StatusInvest'!$A:$AZ,COLUMN(AB40)-$A$5,0)),0)</f>
        <v>0.16</v>
      </c>
      <c r="AC40" s="58">
        <f>IFERROR((VLOOKUP($A40,'Dados StatusInvest'!$A:$AZ,COLUMN(AC40)-$A$5,0)),0)</f>
        <v>7.7</v>
      </c>
      <c r="AD40" s="57">
        <f>IFERROR((VLOOKUP($A40,'Dados StatusInvest'!$A:$AZ,COLUMN(AD40)-$A$5,0)),0)</f>
        <v>0</v>
      </c>
      <c r="AE40" s="56">
        <f>IFERROR((VLOOKUP($A40,'Dados StatusInvest'!$A:$AZ,COLUMN(AE40)-$A$5,0)),0)</f>
        <v>189000000</v>
      </c>
      <c r="AF40" s="56">
        <f>IFERROR((VLOOKUP($A40,'Dados StatusInvest'!$A:$AZ,COLUMN(AF40)-$A$5,0)),0)</f>
        <v>37.49</v>
      </c>
      <c r="AG40" s="56">
        <f>IFERROR((VLOOKUP($A40,'Dados StatusInvest'!$A:$AZ,COLUMN(AG40)-$A$5,0)),0)</f>
        <v>-2.06</v>
      </c>
      <c r="AH40" s="56">
        <f>IFERROR((VLOOKUP($A40,'Dados StatusInvest'!$A:$AZ,COLUMN(AH40)-$A$5,0)),0)</f>
        <v>0.18</v>
      </c>
      <c r="AI40" s="57">
        <f>IFERROR((VLOOKUP($A40,'Dados StatusInvest'!$A:$AZ,COLUMN(AI40)-$A$5,0)),0)</f>
        <v>183120000000</v>
      </c>
      <c r="AJ40" s="59" t="str">
        <f>IFERROR((VLOOKUP($A40,'Dados StatusInvest'!$A:$AZ,COLUMN(AJ40)-$A$5,0)),0)</f>
        <v/>
      </c>
      <c r="AK40" s="60">
        <f>IFERROR(__xludf.DUMMYFUNCTION("IFERROR(GOOGLEFINANCE($A40,""high""),"""")"),58.81)</f>
        <v>58.81</v>
      </c>
      <c r="AL40" s="60">
        <f>IFERROR(__xludf.DUMMYFUNCTION("IFERROR(GOOGLEFINANCE($A40,""low""),"""")"),58.41)</f>
        <v>58.41</v>
      </c>
      <c r="AM40" s="61">
        <f t="shared" si="2"/>
        <v>0.006848142441</v>
      </c>
      <c r="AN40" s="62">
        <f>IFERROR(__xludf.DUMMYFUNCTION("IFERROR((GOOGLEFINANCE($A40,""volume"")),0)"),34000.0)</f>
        <v>34000</v>
      </c>
      <c r="AO40" s="60">
        <f>IFERROR(__xludf.DUMMYFUNCTION("IFERROR((GOOGLEFINANCE($A40,""closeyest"")),"""")"),59.19)</f>
        <v>59.19</v>
      </c>
      <c r="AP40" s="60">
        <f>IFERROR(__xludf.DUMMYFUNCTION("IFERROR((GOOGLEFINANCE($A40,""shares"")),"""")"),6.06796117E8)</f>
        <v>606796117</v>
      </c>
      <c r="AQ40" s="18"/>
    </row>
    <row r="41">
      <c r="A41" s="45" t="str">
        <f>'Dados StatusInvest'!A36:A655</f>
        <v>AZEV3</v>
      </c>
      <c r="B41" s="46" t="str">
        <f>IFERROR(__xludf.DUMMYFUNCTION("IFERROR((GOOGLEFINANCE(A41,""name"")),"""")"),"Azevedo &amp; Travassos SA")</f>
        <v>Azevedo &amp; Travassos SA</v>
      </c>
      <c r="C41" s="46" t="str">
        <f>IFERROR((VLOOKUP(LEFT($A41,4),Setor!$A:$E,3,0)),"")</f>
        <v>Bens Industriais</v>
      </c>
      <c r="D41" s="46" t="str">
        <f>IFERROR((VLOOKUP(LEFT($A41,4),Setor!$A:$E,4,0)),"")</f>
        <v>Construção e Engenharia</v>
      </c>
      <c r="E41" s="46" t="str">
        <f>IFERROR((VLOOKUP(LEFT($A41,4),Setor!$A:$E,5,0)),"")</f>
        <v>Construção Pesada</v>
      </c>
      <c r="F41" s="47">
        <f>IFERROR(__xludf.DUMMYFUNCTION("IFERROR((GOOGLEFINANCE(A41)),"""")"),0.25)</f>
        <v>0.25</v>
      </c>
      <c r="G41" s="48" t="str">
        <f>IFERROR(__xludf.DUMMYFUNCTION("IFERROR((sparkline(GOOGLEFINANCE($A41,""price"",TODAY()-30,TODAY(),""DAILY""),{""charttype"",""line"";""linewidth"",1;""color"",""#5f88cc""})),"""")"),"")</f>
        <v/>
      </c>
      <c r="H41" s="49">
        <f>IFERROR(__xludf.DUMMYFUNCTION("IFERROR((((GOOGLEFINANCE(A41))-(INDEX(GoogleFinance(A41,""PRICE"",$AQ$1),2,2)))/(INDEX(GoogleFinance(A41,""PRICE"",$AQ$1),2,2))),"""")"),-0.3055555555555555)</f>
        <v>-0.3055555556</v>
      </c>
      <c r="I41" s="47">
        <f>IFERROR(__xludf.DUMMYFUNCTION("IFERROR((GOOGLEFINANCE($A41,""high52"")),"""")"),1.33)</f>
        <v>1.33</v>
      </c>
      <c r="J41" s="48" t="str">
        <f>IFERROR(__xludf.DUMMYFUNCTION("IFERROR((sparkline(GOOGLEFINANCE($A41,""price"",TODAY()-365,TODAY(),""DAILY""),{""charttype"",""line"";""linewidth"",1;""color"",""#5f88cc""})),"""")"),"")</f>
        <v/>
      </c>
      <c r="K41" s="50">
        <f>IFERROR(__xludf.DUMMYFUNCTION("IFERROR((((GOOGLEFINANCE(A41))-(INDEX(GoogleFinance(A41,""PRICE"",$AP$1),2,2)))/(INDEX(GoogleFinance(A41,""PRICE"",$AP$1),2,2))),"""")"),-0.6835443037974683)</f>
        <v>-0.6835443038</v>
      </c>
      <c r="L41" s="51">
        <f t="shared" si="1"/>
        <v>-0.8120300752</v>
      </c>
      <c r="M41" s="52">
        <f>IFERROR((VLOOKUP($A41,'Dados StatusInvest'!$A:$AZ,COLUMN(M41)-$A$5,0)*VLOOKUP($A41,'Dados StatusInvest'!$A:$AZ,2,0)/$F41/100),0)</f>
        <v>-1.8196</v>
      </c>
      <c r="N41" s="53">
        <f>IFERROR((VLOOKUP($A41,'Dados StatusInvest'!$A:$AZ,COLUMN(N41)-$A$5,0)/VLOOKUP($A41,'Dados StatusInvest'!$A:$AZ,2,0)*$F41),"")</f>
        <v>-269.37</v>
      </c>
      <c r="O41" s="53">
        <f>IFERROR((VLOOKUP($A41,'Dados StatusInvest'!$A:$AZ,COLUMN(O41)-$A$5,0)/VLOOKUP($A41,'Dados StatusInvest'!$A:$AZ,2,0)*$F41),0)</f>
        <v>-0.3</v>
      </c>
      <c r="P41" s="54">
        <f>IFERROR((VLOOKUP($A41,'Dados StatusInvest'!$A:$AZ,COLUMN(P41)-$A$5,0)/VLOOKUP($A41,'Dados StatusInvest'!$A:$AZ,2,0)*$F41),0)</f>
        <v>-0.37</v>
      </c>
      <c r="Q41" s="55">
        <f>IFERROR((VLOOKUP($A41,'Dados StatusInvest'!$A:$AZ,COLUMN(Q41)-$A$5,0)/100),0)</f>
        <v>-0.0012</v>
      </c>
      <c r="R41" s="56">
        <f>VLOOKUP($A41,'Dados StatusInvest'!$A:$AZ,COLUMN(R41)-$A$5,0)</f>
        <v>0.36</v>
      </c>
      <c r="S41" s="56">
        <f>IFERROR((VLOOKUP($A41,'Dados StatusInvest'!$A:$AZ,COLUMN(S41)-$A$5,0)),0)</f>
        <v>0.55</v>
      </c>
      <c r="T41" s="53">
        <f>IFERROR((VLOOKUP($A41,'Dados StatusInvest'!$A:$AZ,COLUMN(T41)-$A$5,0)/VLOOKUP($A41,'Dados StatusInvest'!$A:$AZ,2,0)*$F41),0)</f>
        <v>-1.27</v>
      </c>
      <c r="U41" s="53">
        <f>IFERROR((VLOOKUP($A41,'Dados StatusInvest'!$A:$AZ,COLUMN(U41)-$A$5,0)-VLOOKUP($A41,'Dados StatusInvest'!$A:$AZ,COLUMN(U41)-$A$5-1,0)+T41),0)</f>
        <v>-0.18</v>
      </c>
      <c r="V41" s="56">
        <f>IFERROR((VLOOKUP($A41,'Dados StatusInvest'!$A:$AZ,COLUMN(V41)-$A$5,0)),0)</f>
        <v>0.65</v>
      </c>
      <c r="W41" s="56">
        <f>IFERROR((VLOOKUP($A41,'Dados StatusInvest'!$A:$AZ,COLUMN(W41)-$A$5,0)),0)</f>
        <v>-453.29</v>
      </c>
      <c r="X41" s="53">
        <f>IFERROR((VLOOKUP($A41,'Dados StatusInvest'!$A:$AZ,COLUMN(X41)-$A$5,0)/VLOOKUP($A41,'Dados StatusInvest'!$A:$AZ,2,0)*$F41),0)</f>
        <v>-69.02</v>
      </c>
      <c r="Y41" s="54">
        <f>IFERROR((VLOOKUP($A41,'Dados StatusInvest'!$A:$AZ,COLUMN(Y41)-$A$5,0)/VLOOKUP($A41,'Dados StatusInvest'!$A:$AZ,2,0)*$F41),0)</f>
        <v>-250.88</v>
      </c>
      <c r="Z41" s="56">
        <f>IFERROR((VLOOKUP($A41,'Dados StatusInvest'!$A:$AZ,COLUMN(Z41)-$A$5,0)),0)</f>
        <v>0.15</v>
      </c>
      <c r="AA41" s="57">
        <f>IFERROR((VLOOKUP($A41,'Dados StatusInvest'!$A:$AZ,COLUMN(AA41)-$A$5,0)),0)</f>
        <v>0.85</v>
      </c>
      <c r="AB41" s="57">
        <f>IFERROR((VLOOKUP($A41,'Dados StatusInvest'!$A:$AZ,COLUMN(AB41)-$A$5,0)),0)</f>
        <v>0.26</v>
      </c>
      <c r="AC41" s="58">
        <f>IFERROR((VLOOKUP($A41,'Dados StatusInvest'!$A:$AZ,COLUMN(AC41)-$A$5,0)),0)</f>
        <v>144.07</v>
      </c>
      <c r="AD41" s="57">
        <f>IFERROR((VLOOKUP($A41,'Dados StatusInvest'!$A:$AZ,COLUMN(AD41)-$A$5,0)),0)</f>
        <v>0</v>
      </c>
      <c r="AE41" s="56">
        <f>IFERROR((VLOOKUP($A41,'Dados StatusInvest'!$A:$AZ,COLUMN(AE41)-$A$5,0)),0)</f>
        <v>483773.5</v>
      </c>
      <c r="AF41" s="56">
        <f>IFERROR((VLOOKUP($A41,'Dados StatusInvest'!$A:$AZ,COLUMN(AF41)-$A$5,0)),0)</f>
        <v>0.27</v>
      </c>
      <c r="AG41" s="56">
        <f>IFERROR((VLOOKUP($A41,'Dados StatusInvest'!$A:$AZ,COLUMN(AG41)-$A$5,0)),0)</f>
        <v>-1.22</v>
      </c>
      <c r="AH41" s="56">
        <f>IFERROR((VLOOKUP($A41,'Dados StatusInvest'!$A:$AZ,COLUMN(AH41)-$A$5,0)),0)</f>
        <v>0</v>
      </c>
      <c r="AI41" s="57">
        <f>IFERROR((VLOOKUP($A41,'Dados StatusInvest'!$A:$AZ,COLUMN(AI41)-$A$5,0)),0)</f>
        <v>124742289.5</v>
      </c>
      <c r="AJ41" s="59" t="str">
        <f>IFERROR((VLOOKUP($A41,'Dados StatusInvest'!$A:$AZ,COLUMN(AJ41)-$A$5,0)),0)</f>
        <v/>
      </c>
      <c r="AK41" s="60">
        <f>IFERROR(__xludf.DUMMYFUNCTION("IFERROR(GOOGLEFINANCE($A41,""high""),"""")"),0.26)</f>
        <v>0.26</v>
      </c>
      <c r="AL41" s="60">
        <f>IFERROR(__xludf.DUMMYFUNCTION("IFERROR(GOOGLEFINANCE($A41,""low""),"""")"),0.24)</f>
        <v>0.24</v>
      </c>
      <c r="AM41" s="61">
        <f t="shared" si="2"/>
        <v>0.08333333333</v>
      </c>
      <c r="AN41" s="62">
        <f>IFERROR(__xludf.DUMMYFUNCTION("IFERROR((GOOGLEFINANCE($A41,""volume"")),0)"),200800.0)</f>
        <v>200800</v>
      </c>
      <c r="AO41" s="60">
        <f>IFERROR(__xludf.DUMMYFUNCTION("IFERROR((GOOGLEFINANCE($A41,""closeyest"")),"""")"),0.25)</f>
        <v>0.25</v>
      </c>
      <c r="AP41" s="60">
        <f>IFERROR(__xludf.DUMMYFUNCTION("IFERROR((GOOGLEFINANCE($A41,""shares"")),"""")"),2.01978758E8)</f>
        <v>201978758</v>
      </c>
      <c r="AQ41" s="18"/>
    </row>
    <row r="42">
      <c r="A42" s="45" t="str">
        <f>'Dados StatusInvest'!A37:A656</f>
        <v>AZEV4</v>
      </c>
      <c r="B42" s="46" t="str">
        <f>IFERROR(__xludf.DUMMYFUNCTION("IFERROR((GOOGLEFINANCE(A42,""name"")),"""")"),"Azevedo &amp; Travassos SA Preference Shares")</f>
        <v>Azevedo &amp; Travassos SA Preference Shares</v>
      </c>
      <c r="C42" s="46" t="str">
        <f>IFERROR((VLOOKUP(LEFT($A42,4),Setor!$A:$E,3,0)),"")</f>
        <v>Bens Industriais</v>
      </c>
      <c r="D42" s="46" t="str">
        <f>IFERROR((VLOOKUP(LEFT($A42,4),Setor!$A:$E,4,0)),"")</f>
        <v>Construção e Engenharia</v>
      </c>
      <c r="E42" s="46" t="str">
        <f>IFERROR((VLOOKUP(LEFT($A42,4),Setor!$A:$E,5,0)),"")</f>
        <v>Construção Pesada</v>
      </c>
      <c r="F42" s="47">
        <f>IFERROR(__xludf.DUMMYFUNCTION("IFERROR((GOOGLEFINANCE(A42)),"""")"),0.19)</f>
        <v>0.19</v>
      </c>
      <c r="G42" s="48" t="str">
        <f>IFERROR(__xludf.DUMMYFUNCTION("IFERROR((sparkline(GOOGLEFINANCE($A42,""price"",TODAY()-30,TODAY(),""DAILY""),{""charttype"",""line"";""linewidth"",1;""color"",""#5f88cc""})),"""")"),"")</f>
        <v/>
      </c>
      <c r="H42" s="49">
        <f>IFERROR(__xludf.DUMMYFUNCTION("IFERROR((((GOOGLEFINANCE(A42))-(INDEX(GoogleFinance(A42,""PRICE"",$AQ$1),2,2)))/(INDEX(GoogleFinance(A42,""PRICE"",$AQ$1),2,2))),"""")"),-0.09523809523809519)</f>
        <v>-0.09523809524</v>
      </c>
      <c r="I42" s="47">
        <f>IFERROR(__xludf.DUMMYFUNCTION("IFERROR((GOOGLEFINANCE($A42,""high52"")),"""")"),1.41)</f>
        <v>1.41</v>
      </c>
      <c r="J42" s="48" t="str">
        <f>IFERROR(__xludf.DUMMYFUNCTION("IFERROR((sparkline(GOOGLEFINANCE($A42,""price"",TODAY()-365,TODAY(),""DAILY""),{""charttype"",""line"";""linewidth"",1;""color"",""#5f88cc""})),"""")"),"")</f>
        <v/>
      </c>
      <c r="K42" s="50">
        <f>IFERROR(__xludf.DUMMYFUNCTION("IFERROR((((GOOGLEFINANCE(A42))-(INDEX(GoogleFinance(A42,""PRICE"",$AP$1),2,2)))/(INDEX(GoogleFinance(A42,""PRICE"",$AP$1),2,2))),"""")"),-0.7738095238095237)</f>
        <v>-0.7738095238</v>
      </c>
      <c r="L42" s="51">
        <f t="shared" si="1"/>
        <v>-0.865248227</v>
      </c>
      <c r="M42" s="52">
        <f>IFERROR((VLOOKUP($A42,'Dados StatusInvest'!$A:$AZ,COLUMN(M42)-$A$5,0)*VLOOKUP($A42,'Dados StatusInvest'!$A:$AZ,2,0)/$F42/100),0)</f>
        <v>-1.8196</v>
      </c>
      <c r="N42" s="53">
        <f>IFERROR((VLOOKUP($A42,'Dados StatusInvest'!$A:$AZ,COLUMN(N42)-$A$5,0)/VLOOKUP($A42,'Dados StatusInvest'!$A:$AZ,2,0)*$F42),"")</f>
        <v>-269.37</v>
      </c>
      <c r="O42" s="53">
        <f>IFERROR((VLOOKUP($A42,'Dados StatusInvest'!$A:$AZ,COLUMN(O42)-$A$5,0)/VLOOKUP($A42,'Dados StatusInvest'!$A:$AZ,2,0)*$F42),0)</f>
        <v>-0.23</v>
      </c>
      <c r="P42" s="54">
        <f>IFERROR((VLOOKUP($A42,'Dados StatusInvest'!$A:$AZ,COLUMN(P42)-$A$5,0)/VLOOKUP($A42,'Dados StatusInvest'!$A:$AZ,2,0)*$F42),0)</f>
        <v>-0.37</v>
      </c>
      <c r="Q42" s="55">
        <f>IFERROR((VLOOKUP($A42,'Dados StatusInvest'!$A:$AZ,COLUMN(Q42)-$A$5,0)/100),0)</f>
        <v>-0.0012</v>
      </c>
      <c r="R42" s="56">
        <f>VLOOKUP($A42,'Dados StatusInvest'!$A:$AZ,COLUMN(R42)-$A$5,0)</f>
        <v>0.36</v>
      </c>
      <c r="S42" s="56">
        <f>IFERROR((VLOOKUP($A42,'Dados StatusInvest'!$A:$AZ,COLUMN(S42)-$A$5,0)),0)</f>
        <v>0.42</v>
      </c>
      <c r="T42" s="53">
        <f>IFERROR((VLOOKUP($A42,'Dados StatusInvest'!$A:$AZ,COLUMN(T42)-$A$5,0)/VLOOKUP($A42,'Dados StatusInvest'!$A:$AZ,2,0)*$F42),0)</f>
        <v>-0.97</v>
      </c>
      <c r="U42" s="53">
        <f>IFERROR((VLOOKUP($A42,'Dados StatusInvest'!$A:$AZ,COLUMN(U42)-$A$5,0)-VLOOKUP($A42,'Dados StatusInvest'!$A:$AZ,COLUMN(U42)-$A$5-1,0)+T42),0)</f>
        <v>-0.14</v>
      </c>
      <c r="V42" s="56">
        <f>IFERROR((VLOOKUP($A42,'Dados StatusInvest'!$A:$AZ,COLUMN(V42)-$A$5,0)),0)</f>
        <v>0.65</v>
      </c>
      <c r="W42" s="56">
        <f>IFERROR((VLOOKUP($A42,'Dados StatusInvest'!$A:$AZ,COLUMN(W42)-$A$5,0)),0)</f>
        <v>-453.29</v>
      </c>
      <c r="X42" s="53">
        <f>IFERROR((VLOOKUP($A42,'Dados StatusInvest'!$A:$AZ,COLUMN(X42)-$A$5,0)/VLOOKUP($A42,'Dados StatusInvest'!$A:$AZ,2,0)*$F42),0)</f>
        <v>-69.02</v>
      </c>
      <c r="Y42" s="54">
        <f>IFERROR((VLOOKUP($A42,'Dados StatusInvest'!$A:$AZ,COLUMN(Y42)-$A$5,0)/VLOOKUP($A42,'Dados StatusInvest'!$A:$AZ,2,0)*$F42),0)</f>
        <v>-250.88</v>
      </c>
      <c r="Z42" s="56">
        <f>IFERROR((VLOOKUP($A42,'Dados StatusInvest'!$A:$AZ,COLUMN(Z42)-$A$5,0)),0)</f>
        <v>0.15</v>
      </c>
      <c r="AA42" s="57">
        <f>IFERROR((VLOOKUP($A42,'Dados StatusInvest'!$A:$AZ,COLUMN(AA42)-$A$5,0)),0)</f>
        <v>0.85</v>
      </c>
      <c r="AB42" s="57">
        <f>IFERROR((VLOOKUP($A42,'Dados StatusInvest'!$A:$AZ,COLUMN(AB42)-$A$5,0)),0)</f>
        <v>0.26</v>
      </c>
      <c r="AC42" s="58">
        <f>IFERROR((VLOOKUP($A42,'Dados StatusInvest'!$A:$AZ,COLUMN(AC42)-$A$5,0)),0)</f>
        <v>144.07</v>
      </c>
      <c r="AD42" s="57">
        <f>IFERROR((VLOOKUP($A42,'Dados StatusInvest'!$A:$AZ,COLUMN(AD42)-$A$5,0)),0)</f>
        <v>0</v>
      </c>
      <c r="AE42" s="56">
        <f>IFERROR((VLOOKUP($A42,'Dados StatusInvest'!$A:$AZ,COLUMN(AE42)-$A$5,0)),0)</f>
        <v>927072.3</v>
      </c>
      <c r="AF42" s="56">
        <f>IFERROR((VLOOKUP($A42,'Dados StatusInvest'!$A:$AZ,COLUMN(AF42)-$A$5,0)),0)</f>
        <v>0.27</v>
      </c>
      <c r="AG42" s="56">
        <f>IFERROR((VLOOKUP($A42,'Dados StatusInvest'!$A:$AZ,COLUMN(AG42)-$A$5,0)),0)</f>
        <v>-1.22</v>
      </c>
      <c r="AH42" s="56">
        <f>IFERROR((VLOOKUP($A42,'Dados StatusInvest'!$A:$AZ,COLUMN(AH42)-$A$5,0)),0)</f>
        <v>0</v>
      </c>
      <c r="AI42" s="57">
        <f>IFERROR((VLOOKUP($A42,'Dados StatusInvest'!$A:$AZ,COLUMN(AI42)-$A$5,0)),0)</f>
        <v>124742289.5</v>
      </c>
      <c r="AJ42" s="59" t="str">
        <f>IFERROR((VLOOKUP($A42,'Dados StatusInvest'!$A:$AZ,COLUMN(AJ42)-$A$5,0)),0)</f>
        <v/>
      </c>
      <c r="AK42" s="60">
        <f>IFERROR(__xludf.DUMMYFUNCTION("IFERROR(GOOGLEFINANCE($A42,""high""),"""")"),0.19)</f>
        <v>0.19</v>
      </c>
      <c r="AL42" s="60">
        <f>IFERROR(__xludf.DUMMYFUNCTION("IFERROR(GOOGLEFINANCE($A42,""low""),"""")"),0.18)</f>
        <v>0.18</v>
      </c>
      <c r="AM42" s="61">
        <f t="shared" si="2"/>
        <v>0.05555555556</v>
      </c>
      <c r="AN42" s="62">
        <f>IFERROR(__xludf.DUMMYFUNCTION("IFERROR((GOOGLEFINANCE($A42,""volume"")),0)"),203400.0)</f>
        <v>203400</v>
      </c>
      <c r="AO42" s="60">
        <f>IFERROR(__xludf.DUMMYFUNCTION("IFERROR((GOOGLEFINANCE($A42,""closeyest"")),"""")"),0.19)</f>
        <v>0.19</v>
      </c>
      <c r="AP42" s="60">
        <f>IFERROR(__xludf.DUMMYFUNCTION("IFERROR((GOOGLEFINANCE($A42,""shares"")),"""")"),3.9077684E8)</f>
        <v>390776840</v>
      </c>
      <c r="AQ42" s="18"/>
    </row>
    <row r="43">
      <c r="A43" s="45" t="str">
        <f>'Dados StatusInvest'!A38:A657</f>
        <v>AZTE3</v>
      </c>
      <c r="B43" s="46" t="str">
        <f>IFERROR(__xludf.DUMMYFUNCTION("IFERROR((GOOGLEFINANCE(A43,""name"")),"""")"),"Azevedo e Travassos Energia Ord Shs")</f>
        <v>Azevedo e Travassos Energia Ord Shs</v>
      </c>
      <c r="C43" s="46" t="str">
        <f>IFERROR((VLOOKUP(LEFT($A43,4),Setor!$A:$E,3,0)),"")</f>
        <v/>
      </c>
      <c r="D43" s="46" t="str">
        <f>IFERROR((VLOOKUP(LEFT($A43,4),Setor!$A:$E,4,0)),"")</f>
        <v/>
      </c>
      <c r="E43" s="46" t="str">
        <f>IFERROR((VLOOKUP(LEFT($A43,4),Setor!$A:$E,5,0)),"")</f>
        <v/>
      </c>
      <c r="F43" s="47">
        <f>IFERROR(__xludf.DUMMYFUNCTION("IFERROR((GOOGLEFINANCE(A43)),"""")"),0.29)</f>
        <v>0.29</v>
      </c>
      <c r="G43" s="48" t="str">
        <f>IFERROR(__xludf.DUMMYFUNCTION("IFERROR((sparkline(GOOGLEFINANCE($A43,""price"",TODAY()-30,TODAY(),""DAILY""),{""charttype"",""line"";""linewidth"",1;""color"",""#5f88cc""})),"""")"),"")</f>
        <v/>
      </c>
      <c r="H43" s="49">
        <f>IFERROR(__xludf.DUMMYFUNCTION("IFERROR((((GOOGLEFINANCE(A43))-(INDEX(GoogleFinance(A43,""PRICE"",$AQ$1),2,2)))/(INDEX(GoogleFinance(A43,""PRICE"",$AQ$1),2,2))),"""")"),-0.21621621621621626)</f>
        <v>-0.2162162162</v>
      </c>
      <c r="I43" s="47">
        <f>IFERROR(__xludf.DUMMYFUNCTION("IFERROR((GOOGLEFINANCE($A43,""high52"")),"""")"),1.57)</f>
        <v>1.57</v>
      </c>
      <c r="J43" s="48" t="str">
        <f>IFERROR(__xludf.DUMMYFUNCTION("IFERROR((sparkline(GOOGLEFINANCE($A43,""price"",TODAY()-365,TODAY(),""DAILY""),{""charttype"",""line"";""linewidth"",1;""color"",""#5f88cc""})),"""")"),"")</f>
        <v/>
      </c>
      <c r="K43" s="50">
        <f>IFERROR(__xludf.DUMMYFUNCTION("IFERROR((((GOOGLEFINANCE(A43))-(INDEX(GoogleFinance(A43,""PRICE"",$AP$1),2,2)))/(INDEX(GoogleFinance(A43,""PRICE"",$AP$1),2,2))),"""")"),-0.7211538461538461)</f>
        <v>-0.7211538462</v>
      </c>
      <c r="L43" s="51">
        <f t="shared" si="1"/>
        <v>-0.8152866242</v>
      </c>
      <c r="M43" s="52">
        <f>IFERROR((VLOOKUP($A43,'Dados StatusInvest'!$A:$AZ,COLUMN(M43)-$A$5,0)*VLOOKUP($A43,'Dados StatusInvest'!$A:$AZ,2,0)/$F43/100),0)</f>
        <v>0</v>
      </c>
      <c r="N43" s="53">
        <f>IFERROR((VLOOKUP($A43,'Dados StatusInvest'!$A:$AZ,COLUMN(N43)-$A$5,0)/VLOOKUP($A43,'Dados StatusInvest'!$A:$AZ,2,0)*$F43),"")</f>
        <v>0</v>
      </c>
      <c r="O43" s="53">
        <f>IFERROR((VLOOKUP($A43,'Dados StatusInvest'!$A:$AZ,COLUMN(O43)-$A$5,0)/VLOOKUP($A43,'Dados StatusInvest'!$A:$AZ,2,0)*$F43),0)</f>
        <v>0</v>
      </c>
      <c r="P43" s="54">
        <f>IFERROR((VLOOKUP($A43,'Dados StatusInvest'!$A:$AZ,COLUMN(P43)-$A$5,0)/VLOOKUP($A43,'Dados StatusInvest'!$A:$AZ,2,0)*$F43),0)</f>
        <v>0</v>
      </c>
      <c r="Q43" s="55">
        <f>IFERROR((VLOOKUP($A43,'Dados StatusInvest'!$A:$AZ,COLUMN(Q43)-$A$5,0)/100),0)</f>
        <v>0</v>
      </c>
      <c r="R43" s="56">
        <f>VLOOKUP($A43,'Dados StatusInvest'!$A:$AZ,COLUMN(R43)-$A$5,0)</f>
        <v>0</v>
      </c>
      <c r="S43" s="56">
        <f>IFERROR((VLOOKUP($A43,'Dados StatusInvest'!$A:$AZ,COLUMN(S43)-$A$5,0)),0)</f>
        <v>0</v>
      </c>
      <c r="T43" s="53">
        <f>IFERROR((VLOOKUP($A43,'Dados StatusInvest'!$A:$AZ,COLUMN(T43)-$A$5,0)/VLOOKUP($A43,'Dados StatusInvest'!$A:$AZ,2,0)*$F43),0)</f>
        <v>0</v>
      </c>
      <c r="U43" s="53">
        <f>IFERROR((VLOOKUP($A43,'Dados StatusInvest'!$A:$AZ,COLUMN(U43)-$A$5,0)-VLOOKUP($A43,'Dados StatusInvest'!$A:$AZ,COLUMN(U43)-$A$5-1,0)+T43),0)</f>
        <v>0</v>
      </c>
      <c r="V43" s="56">
        <f>IFERROR((VLOOKUP($A43,'Dados StatusInvest'!$A:$AZ,COLUMN(V43)-$A$5,0)),0)</f>
        <v>0</v>
      </c>
      <c r="W43" s="56">
        <f>IFERROR((VLOOKUP($A43,'Dados StatusInvest'!$A:$AZ,COLUMN(W43)-$A$5,0)),0)</f>
        <v>0</v>
      </c>
      <c r="X43" s="53">
        <f>IFERROR((VLOOKUP($A43,'Dados StatusInvest'!$A:$AZ,COLUMN(X43)-$A$5,0)/VLOOKUP($A43,'Dados StatusInvest'!$A:$AZ,2,0)*$F43),0)</f>
        <v>0</v>
      </c>
      <c r="Y43" s="54">
        <f>IFERROR((VLOOKUP($A43,'Dados StatusInvest'!$A:$AZ,COLUMN(Y43)-$A$5,0)/VLOOKUP($A43,'Dados StatusInvest'!$A:$AZ,2,0)*$F43),0)</f>
        <v>0</v>
      </c>
      <c r="Z43" s="56">
        <f>IFERROR((VLOOKUP($A43,'Dados StatusInvest'!$A:$AZ,COLUMN(Z43)-$A$5,0)),0)</f>
        <v>0</v>
      </c>
      <c r="AA43" s="57">
        <f>IFERROR((VLOOKUP($A43,'Dados StatusInvest'!$A:$AZ,COLUMN(AA43)-$A$5,0)),0)</f>
        <v>0</v>
      </c>
      <c r="AB43" s="57">
        <f>IFERROR((VLOOKUP($A43,'Dados StatusInvest'!$A:$AZ,COLUMN(AB43)-$A$5,0)),0)</f>
        <v>0</v>
      </c>
      <c r="AC43" s="58">
        <f>IFERROR((VLOOKUP($A43,'Dados StatusInvest'!$A:$AZ,COLUMN(AC43)-$A$5,0)),0)</f>
        <v>0</v>
      </c>
      <c r="AD43" s="57">
        <f>IFERROR((VLOOKUP($A43,'Dados StatusInvest'!$A:$AZ,COLUMN(AD43)-$A$5,0)),0)</f>
        <v>0</v>
      </c>
      <c r="AE43" s="56">
        <f>IFERROR((VLOOKUP($A43,'Dados StatusInvest'!$A:$AZ,COLUMN(AE43)-$A$5,0)),0)</f>
        <v>803727.6</v>
      </c>
      <c r="AF43" s="56">
        <f>IFERROR((VLOOKUP($A43,'Dados StatusInvest'!$A:$AZ,COLUMN(AF43)-$A$5,0)),0)</f>
        <v>0</v>
      </c>
      <c r="AG43" s="56">
        <f>IFERROR((VLOOKUP($A43,'Dados StatusInvest'!$A:$AZ,COLUMN(AG43)-$A$5,0)),0)</f>
        <v>0</v>
      </c>
      <c r="AH43" s="56">
        <f>IFERROR((VLOOKUP($A43,'Dados StatusInvest'!$A:$AZ,COLUMN(AH43)-$A$5,0)),0)</f>
        <v>0</v>
      </c>
      <c r="AI43" s="57">
        <f>IFERROR((VLOOKUP($A43,'Dados StatusInvest'!$A:$AZ,COLUMN(AI43)-$A$5,0)),0)</f>
        <v>0</v>
      </c>
      <c r="AJ43" s="59" t="str">
        <f>IFERROR((VLOOKUP($A43,'Dados StatusInvest'!$A:$AZ,COLUMN(AJ43)-$A$5,0)),0)</f>
        <v/>
      </c>
      <c r="AK43" s="60">
        <f>IFERROR(__xludf.DUMMYFUNCTION("IFERROR(GOOGLEFINANCE($A43,""high""),"""")"),0.29)</f>
        <v>0.29</v>
      </c>
      <c r="AL43" s="60">
        <f>IFERROR(__xludf.DUMMYFUNCTION("IFERROR(GOOGLEFINANCE($A43,""low""),"""")"),0.27)</f>
        <v>0.27</v>
      </c>
      <c r="AM43" s="61">
        <f t="shared" si="2"/>
        <v>0.07407407407</v>
      </c>
      <c r="AN43" s="62">
        <f>IFERROR(__xludf.DUMMYFUNCTION("IFERROR((GOOGLEFINANCE($A43,""volume"")),0)"),1375600.0)</f>
        <v>1375600</v>
      </c>
      <c r="AO43" s="60">
        <f>IFERROR(__xludf.DUMMYFUNCTION("IFERROR((GOOGLEFINANCE($A43,""closeyest"")),"""")"),0.27)</f>
        <v>0.27</v>
      </c>
      <c r="AP43" s="60">
        <f>IFERROR(__xludf.DUMMYFUNCTION("IFERROR((GOOGLEFINANCE($A43,""shares"")),"""")"),3.39094779E8)</f>
        <v>339094779</v>
      </c>
      <c r="AQ43" s="18"/>
    </row>
    <row r="44">
      <c r="A44" s="45" t="str">
        <f>'Dados StatusInvest'!A39:A658</f>
        <v>AZUL53</v>
      </c>
      <c r="B44" s="46" t="str">
        <f>IFERROR(__xludf.DUMMYFUNCTION("IFERROR((GOOGLEFINANCE(A44,""name"")),"""")"),"Azul Ord Shs")</f>
        <v>Azul Ord Shs</v>
      </c>
      <c r="C44" s="46" t="str">
        <f>IFERROR((VLOOKUP(LEFT($A44,4),Setor!$A:$E,3,0)),"")</f>
        <v>Bens Industriais</v>
      </c>
      <c r="D44" s="46" t="str">
        <f>IFERROR((VLOOKUP(LEFT($A44,4),Setor!$A:$E,4,0)),"")</f>
        <v>Transporte</v>
      </c>
      <c r="E44" s="46" t="str">
        <f>IFERROR((VLOOKUP(LEFT($A44,4),Setor!$A:$E,5,0)),"")</f>
        <v>Transporte Aéreo</v>
      </c>
      <c r="F44" s="47">
        <f>IFERROR(__xludf.DUMMYFUNCTION("IFERROR((GOOGLEFINANCE(A44)),"""")"),159.6)</f>
        <v>159.6</v>
      </c>
      <c r="G44" s="48" t="str">
        <f>IFERROR(__xludf.DUMMYFUNCTION("IFERROR((sparkline(GOOGLEFINANCE($A44,""price"",TODAY()-30,TODAY(),""DAILY""),{""charttype"",""line"";""linewidth"",1;""color"",""#5f88cc""})),"""")"),"")</f>
        <v/>
      </c>
      <c r="H44" s="49">
        <f>IFERROR(__xludf.DUMMYFUNCTION("IFERROR((((GOOGLEFINANCE(A44))-(INDEX(GoogleFinance(A44,""PRICE"",$AQ$1),2,2)))/(INDEX(GoogleFinance(A44,""PRICE"",$AQ$1),2,2))),"""")"),-0.8108444444444444)</f>
        <v>-0.8108444444</v>
      </c>
      <c r="I44" s="47">
        <f>IFERROR(__xludf.DUMMYFUNCTION("IFERROR((GOOGLEFINANCE($A44,""high52"")),"""")"),175.0)</f>
        <v>175</v>
      </c>
      <c r="J44" s="48" t="str">
        <f>IFERROR(__xludf.DUMMYFUNCTION("IFERROR((sparkline(GOOGLEFINANCE($A44,""price"",TODAY()-365,TODAY(),""DAILY""),{""charttype"",""line"";""linewidth"",1;""color"",""#5f88cc""})),"""")"),"")</f>
        <v/>
      </c>
      <c r="K44" s="50" t="str">
        <f>IFERROR(__xludf.DUMMYFUNCTION("IFERROR((((GOOGLEFINANCE(A44))-(INDEX(GoogleFinance(A44,""PRICE"",$AP$1),2,2)))/(INDEX(GoogleFinance(A44,""PRICE"",$AP$1),2,2))),"""")"),"")</f>
        <v/>
      </c>
      <c r="L44" s="51">
        <f t="shared" si="1"/>
        <v>-0.088</v>
      </c>
      <c r="M44" s="52">
        <f>IFERROR((VLOOKUP($A44,'Dados StatusInvest'!$A:$AZ,COLUMN(M44)-$A$5,0)*VLOOKUP($A44,'Dados StatusInvest'!$A:$AZ,2,0)/$F44/100),0)</f>
        <v>0.1526237469</v>
      </c>
      <c r="N44" s="53">
        <f>IFERROR((VLOOKUP($A44,'Dados StatusInvest'!$A:$AZ,COLUMN(N44)-$A$5,0)/VLOOKUP($A44,'Dados StatusInvest'!$A:$AZ,2,0)*$F44),"")</f>
        <v>71.25526154</v>
      </c>
      <c r="O44" s="53">
        <f>IFERROR((VLOOKUP($A44,'Dados StatusInvest'!$A:$AZ,COLUMN(O44)-$A$5,0)/VLOOKUP($A44,'Dados StatusInvest'!$A:$AZ,2,0)*$F44),0)</f>
        <v>2696176.327</v>
      </c>
      <c r="P44" s="54">
        <f>IFERROR((VLOOKUP($A44,'Dados StatusInvest'!$A:$AZ,COLUMN(P44)-$A$5,0)/VLOOKUP($A44,'Dados StatusInvest'!$A:$AZ,2,0)*$F44),0)</f>
        <v>16049.58225</v>
      </c>
      <c r="Q44" s="55">
        <f>IFERROR((VLOOKUP($A44,'Dados StatusInvest'!$A:$AZ,COLUMN(Q44)-$A$5,0)/100),0)</f>
        <v>0.1099</v>
      </c>
      <c r="R44" s="56">
        <f>VLOOKUP($A44,'Dados StatusInvest'!$A:$AZ,COLUMN(R44)-$A$5,0)</f>
        <v>0</v>
      </c>
      <c r="S44" s="56">
        <f>IFERROR((VLOOKUP($A44,'Dados StatusInvest'!$A:$AZ,COLUMN(S44)-$A$5,0)),0)</f>
        <v>411381.4</v>
      </c>
      <c r="T44" s="53">
        <f>IFERROR((VLOOKUP($A44,'Dados StatusInvest'!$A:$AZ,COLUMN(T44)-$A$5,0)/VLOOKUP($A44,'Dados StatusInvest'!$A:$AZ,2,0)*$F44),0)</f>
        <v>-447273.8437</v>
      </c>
      <c r="U44" s="53">
        <f>IFERROR((VLOOKUP($A44,'Dados StatusInvest'!$A:$AZ,COLUMN(U44)-$A$5,0)-VLOOKUP($A44,'Dados StatusInvest'!$A:$AZ,COLUMN(U44)-$A$5-1,0)+T44),0)</f>
        <v>-429397.8437</v>
      </c>
      <c r="V44" s="56">
        <f>IFERROR((VLOOKUP($A44,'Dados StatusInvest'!$A:$AZ,COLUMN(V44)-$A$5,0)),0)</f>
        <v>0.27</v>
      </c>
      <c r="W44" s="56">
        <f>IFERROR((VLOOKUP($A44,'Dados StatusInvest'!$A:$AZ,COLUMN(W44)-$A$5,0)),0)</f>
        <v>-57.23</v>
      </c>
      <c r="X44" s="53">
        <f>IFERROR((VLOOKUP($A44,'Dados StatusInvest'!$A:$AZ,COLUMN(X44)-$A$5,0)/VLOOKUP($A44,'Dados StatusInvest'!$A:$AZ,2,0)*$F44),0)</f>
        <v>55.75687385</v>
      </c>
      <c r="Y44" s="54">
        <f>IFERROR((VLOOKUP($A44,'Dados StatusInvest'!$A:$AZ,COLUMN(Y44)-$A$5,0)/VLOOKUP($A44,'Dados StatusInvest'!$A:$AZ,2,0)*$F44),0)</f>
        <v>31.93964308</v>
      </c>
      <c r="Z44" s="56">
        <f>IFERROR((VLOOKUP($A44,'Dados StatusInvest'!$A:$AZ,COLUMN(Z44)-$A$5,0)),0)</f>
        <v>-0.99</v>
      </c>
      <c r="AA44" s="57">
        <f>IFERROR((VLOOKUP($A44,'Dados StatusInvest'!$A:$AZ,COLUMN(AA44)-$A$5,0)),0)</f>
        <v>1.99</v>
      </c>
      <c r="AB44" s="57">
        <f>IFERROR((VLOOKUP($A44,'Dados StatusInvest'!$A:$AZ,COLUMN(AB44)-$A$5,0)),0)</f>
        <v>0.78</v>
      </c>
      <c r="AC44" s="58">
        <f>IFERROR((VLOOKUP($A44,'Dados StatusInvest'!$A:$AZ,COLUMN(AC44)-$A$5,0)),0)</f>
        <v>11.28</v>
      </c>
      <c r="AD44" s="57">
        <f>IFERROR((VLOOKUP($A44,'Dados StatusInvest'!$A:$AZ,COLUMN(AD44)-$A$5,0)),0)</f>
        <v>0</v>
      </c>
      <c r="AE44" s="56">
        <f>IFERROR((VLOOKUP($A44,'Dados StatusInvest'!$A:$AZ,COLUMN(AE44)-$A$5,0)),0)</f>
        <v>3868102</v>
      </c>
      <c r="AF44" s="56">
        <f>IFERROR((VLOOKUP($A44,'Dados StatusInvest'!$A:$AZ,COLUMN(AF44)-$A$5,0)),0)</f>
        <v>0</v>
      </c>
      <c r="AG44" s="56">
        <f>IFERROR((VLOOKUP($A44,'Dados StatusInvest'!$A:$AZ,COLUMN(AG44)-$A$5,0)),0)</f>
        <v>0</v>
      </c>
      <c r="AH44" s="56">
        <f>IFERROR((VLOOKUP($A44,'Dados StatusInvest'!$A:$AZ,COLUMN(AH44)-$A$5,0)),0)</f>
        <v>-25.25</v>
      </c>
      <c r="AI44" s="57">
        <f>IFERROR((VLOOKUP($A44,'Dados StatusInvest'!$A:$AZ,COLUMN(AI44)-$A$5,0)),0)</f>
        <v>52906500000000</v>
      </c>
      <c r="AJ44" s="59" t="str">
        <f>IFERROR((VLOOKUP($A44,'Dados StatusInvest'!$A:$AZ,COLUMN(AJ44)-$A$5,0)),0)</f>
        <v/>
      </c>
      <c r="AK44" s="60">
        <f>IFERROR(__xludf.DUMMYFUNCTION("IFERROR(GOOGLEFINANCE($A44,""high""),"""")"),175.0)</f>
        <v>175</v>
      </c>
      <c r="AL44" s="60">
        <f>IFERROR(__xludf.DUMMYFUNCTION("IFERROR(GOOGLEFINANCE($A44,""low""),"""")"),152.01)</f>
        <v>152.01</v>
      </c>
      <c r="AM44" s="61">
        <f t="shared" si="2"/>
        <v>0.15124005</v>
      </c>
      <c r="AN44" s="62">
        <f>IFERROR(__xludf.DUMMYFUNCTION("IFERROR((GOOGLEFINANCE($A44,""volume"")),0)"),2.328032704E9)</f>
        <v>2328032704</v>
      </c>
      <c r="AO44" s="60">
        <f>IFERROR(__xludf.DUMMYFUNCTION("IFERROR((GOOGLEFINANCE($A44,""closeyest"")),"""")"),162.5)</f>
        <v>162.5</v>
      </c>
      <c r="AP44" s="60">
        <f>IFERROR(__xludf.DUMMYFUNCTION("IFERROR((GOOGLEFINANCE($A44,""shares"")),"""")"),9.2531440949E12)</f>
        <v>9253144094900</v>
      </c>
      <c r="AQ44" s="18"/>
    </row>
    <row r="45">
      <c r="A45" s="45" t="str">
        <f>'Dados StatusInvest'!A40:A659</f>
        <v>AZUL54</v>
      </c>
      <c r="B45" s="46" t="str">
        <f>IFERROR(__xludf.DUMMYFUNCTION("IFERROR((GOOGLEFINANCE(A45,""name"")),"""")"),"")</f>
        <v/>
      </c>
      <c r="C45" s="46" t="str">
        <f>IFERROR((VLOOKUP(LEFT($A45,4),Setor!$A:$E,3,0)),"")</f>
        <v>Bens Industriais</v>
      </c>
      <c r="D45" s="46" t="str">
        <f>IFERROR((VLOOKUP(LEFT($A45,4),Setor!$A:$E,4,0)),"")</f>
        <v>Transporte</v>
      </c>
      <c r="E45" s="46" t="str">
        <f>IFERROR((VLOOKUP(LEFT($A45,4),Setor!$A:$E,5,0)),"")</f>
        <v>Transporte Aéreo</v>
      </c>
      <c r="F45" s="47" t="str">
        <f>IFERROR(__xludf.DUMMYFUNCTION("IFERROR((GOOGLEFINANCE(A45)),"""")"),"")</f>
        <v/>
      </c>
      <c r="G45" s="48" t="str">
        <f>IFERROR(__xludf.DUMMYFUNCTION("IFERROR((sparkline(GOOGLEFINANCE($A45,""price"",TODAY()-30,TODAY(),""DAILY""),{""charttype"",""line"";""linewidth"",1;""color"",""#5f88cc""})),"""")"),"")</f>
        <v/>
      </c>
      <c r="H45" s="49" t="str">
        <f>IFERROR(__xludf.DUMMYFUNCTION("IFERROR((((GOOGLEFINANCE(A45))-(INDEX(GoogleFinance(A45,""PRICE"",$AQ$1),2,2)))/(INDEX(GoogleFinance(A45,""PRICE"",$AQ$1),2,2))),"""")"),"")</f>
        <v/>
      </c>
      <c r="I45" s="47" t="str">
        <f>IFERROR(__xludf.DUMMYFUNCTION("IFERROR((GOOGLEFINANCE($A45,""high52"")),"""")"),"")</f>
        <v/>
      </c>
      <c r="J45" s="48" t="str">
        <f>IFERROR(__xludf.DUMMYFUNCTION("IFERROR((sparkline(GOOGLEFINANCE($A45,""price"",TODAY()-365,TODAY(),""DAILY""),{""charttype"",""line"";""linewidth"",1;""color"",""#5f88cc""})),"""")"),"")</f>
        <v/>
      </c>
      <c r="K45" s="50" t="str">
        <f>IFERROR(__xludf.DUMMYFUNCTION("IFERROR((((GOOGLEFINANCE(A45))-(INDEX(GoogleFinance(A45,""PRICE"",$AP$1),2,2)))/(INDEX(GoogleFinance(A45,""PRICE"",$AP$1),2,2))),"""")"),"")</f>
        <v/>
      </c>
      <c r="L45" s="51">
        <f t="shared" si="1"/>
        <v>0</v>
      </c>
      <c r="M45" s="52">
        <f>IFERROR((VLOOKUP($A45,'Dados StatusInvest'!$A:$AZ,COLUMN(M45)-$A$5,0)*VLOOKUP($A45,'Dados StatusInvest'!$A:$AZ,2,0)/$F45/100),0)</f>
        <v>0</v>
      </c>
      <c r="N45" s="53">
        <f>IFERROR((VLOOKUP($A45,'Dados StatusInvest'!$A:$AZ,COLUMN(N45)-$A$5,0)/VLOOKUP($A45,'Dados StatusInvest'!$A:$AZ,2,0)*$F45),"")</f>
        <v>0</v>
      </c>
      <c r="O45" s="53">
        <f>IFERROR((VLOOKUP($A45,'Dados StatusInvest'!$A:$AZ,COLUMN(O45)-$A$5,0)/VLOOKUP($A45,'Dados StatusInvest'!$A:$AZ,2,0)*$F45),0)</f>
        <v>0</v>
      </c>
      <c r="P45" s="54">
        <f>IFERROR((VLOOKUP($A45,'Dados StatusInvest'!$A:$AZ,COLUMN(P45)-$A$5,0)/VLOOKUP($A45,'Dados StatusInvest'!$A:$AZ,2,0)*$F45),0)</f>
        <v>0</v>
      </c>
      <c r="Q45" s="55">
        <f>IFERROR((VLOOKUP($A45,'Dados StatusInvest'!$A:$AZ,COLUMN(Q45)-$A$5,0)/100),0)</f>
        <v>0.1099</v>
      </c>
      <c r="R45" s="56">
        <f>VLOOKUP($A45,'Dados StatusInvest'!$A:$AZ,COLUMN(R45)-$A$5,0)</f>
        <v>0</v>
      </c>
      <c r="S45" s="56">
        <f>IFERROR((VLOOKUP($A45,'Dados StatusInvest'!$A:$AZ,COLUMN(S45)-$A$5,0)),0)</f>
        <v>183539.4</v>
      </c>
      <c r="T45" s="53">
        <f>IFERROR((VLOOKUP($A45,'Dados StatusInvest'!$A:$AZ,COLUMN(T45)-$A$5,0)/VLOOKUP($A45,'Dados StatusInvest'!$A:$AZ,2,0)*$F45),0)</f>
        <v>0</v>
      </c>
      <c r="U45" s="53">
        <f>IFERROR((VLOOKUP($A45,'Dados StatusInvest'!$A:$AZ,COLUMN(U45)-$A$5,0)-VLOOKUP($A45,'Dados StatusInvest'!$A:$AZ,COLUMN(U45)-$A$5-1,0)+T45),0)</f>
        <v>7975</v>
      </c>
      <c r="V45" s="56">
        <f>IFERROR((VLOOKUP($A45,'Dados StatusInvest'!$A:$AZ,COLUMN(V45)-$A$5,0)),0)</f>
        <v>0.27</v>
      </c>
      <c r="W45" s="56">
        <f>IFERROR((VLOOKUP($A45,'Dados StatusInvest'!$A:$AZ,COLUMN(W45)-$A$5,0)),0)</f>
        <v>-57.23</v>
      </c>
      <c r="X45" s="53">
        <f>IFERROR((VLOOKUP($A45,'Dados StatusInvest'!$A:$AZ,COLUMN(X45)-$A$5,0)/VLOOKUP($A45,'Dados StatusInvest'!$A:$AZ,2,0)*$F45),0)</f>
        <v>0</v>
      </c>
      <c r="Y45" s="54">
        <f>IFERROR((VLOOKUP($A45,'Dados StatusInvest'!$A:$AZ,COLUMN(Y45)-$A$5,0)/VLOOKUP($A45,'Dados StatusInvest'!$A:$AZ,2,0)*$F45),0)</f>
        <v>0</v>
      </c>
      <c r="Z45" s="56">
        <f>IFERROR((VLOOKUP($A45,'Dados StatusInvest'!$A:$AZ,COLUMN(Z45)-$A$5,0)),0)</f>
        <v>-0.99</v>
      </c>
      <c r="AA45" s="57">
        <f>IFERROR((VLOOKUP($A45,'Dados StatusInvest'!$A:$AZ,COLUMN(AA45)-$A$5,0)),0)</f>
        <v>1.99</v>
      </c>
      <c r="AB45" s="57">
        <f>IFERROR((VLOOKUP($A45,'Dados StatusInvest'!$A:$AZ,COLUMN(AB45)-$A$5,0)),0)</f>
        <v>0.78</v>
      </c>
      <c r="AC45" s="58">
        <f>IFERROR((VLOOKUP($A45,'Dados StatusInvest'!$A:$AZ,COLUMN(AC45)-$A$5,0)),0)</f>
        <v>11.28</v>
      </c>
      <c r="AD45" s="57">
        <f>IFERROR((VLOOKUP($A45,'Dados StatusInvest'!$A:$AZ,COLUMN(AD45)-$A$5,0)),0)</f>
        <v>0</v>
      </c>
      <c r="AE45" s="56">
        <f>IFERROR((VLOOKUP($A45,'Dados StatusInvest'!$A:$AZ,COLUMN(AE45)-$A$5,0)),0)</f>
        <v>20945788</v>
      </c>
      <c r="AF45" s="56">
        <f>IFERROR((VLOOKUP($A45,'Dados StatusInvest'!$A:$AZ,COLUMN(AF45)-$A$5,0)),0)</f>
        <v>0</v>
      </c>
      <c r="AG45" s="56">
        <f>IFERROR((VLOOKUP($A45,'Dados StatusInvest'!$A:$AZ,COLUMN(AG45)-$A$5,0)),0)</f>
        <v>0</v>
      </c>
      <c r="AH45" s="56">
        <f>IFERROR((VLOOKUP($A45,'Dados StatusInvest'!$A:$AZ,COLUMN(AH45)-$A$5,0)),0)</f>
        <v>-11.27</v>
      </c>
      <c r="AI45" s="57">
        <f>IFERROR((VLOOKUP($A45,'Dados StatusInvest'!$A:$AZ,COLUMN(AI45)-$A$5,0)),0)</f>
        <v>52906500000000</v>
      </c>
      <c r="AJ45" s="59" t="str">
        <f>IFERROR((VLOOKUP($A45,'Dados StatusInvest'!$A:$AZ,COLUMN(AJ45)-$A$5,0)),0)</f>
        <v/>
      </c>
      <c r="AK45" s="60" t="str">
        <f>IFERROR(__xludf.DUMMYFUNCTION("IFERROR(GOOGLEFINANCE($A45,""high""),"""")"),"")</f>
        <v/>
      </c>
      <c r="AL45" s="60" t="str">
        <f>IFERROR(__xludf.DUMMYFUNCTION("IFERROR(GOOGLEFINANCE($A45,""low""),"""")"),"")</f>
        <v/>
      </c>
      <c r="AM45" s="61">
        <f t="shared" si="2"/>
        <v>0</v>
      </c>
      <c r="AN45" s="62">
        <f>IFERROR(__xludf.DUMMYFUNCTION("IFERROR((GOOGLEFINANCE($A45,""volume"")),0)"),0.0)</f>
        <v>0</v>
      </c>
      <c r="AO45" s="60" t="str">
        <f>IFERROR(__xludf.DUMMYFUNCTION("IFERROR((GOOGLEFINANCE($A45,""closeyest"")),"""")"),"")</f>
        <v/>
      </c>
      <c r="AP45" s="60" t="str">
        <f>IFERROR(__xludf.DUMMYFUNCTION("IFERROR((GOOGLEFINANCE($A45,""shares"")),"""")"),"")</f>
        <v/>
      </c>
      <c r="AQ45" s="18"/>
    </row>
    <row r="46">
      <c r="A46" s="45" t="str">
        <f>'Dados StatusInvest'!A41:A660</f>
        <v>AZZA3</v>
      </c>
      <c r="B46" s="46" t="str">
        <f>IFERROR(__xludf.DUMMYFUNCTION("IFERROR((GOOGLEFINANCE(A46,""name"")),"""")"),"Azzas 2154 SA")</f>
        <v>Azzas 2154 SA</v>
      </c>
      <c r="C46" s="46" t="str">
        <f>IFERROR((VLOOKUP(LEFT($A46,4),Setor!$A:$E,3,0)),"")</f>
        <v/>
      </c>
      <c r="D46" s="46" t="str">
        <f>IFERROR((VLOOKUP(LEFT($A46,4),Setor!$A:$E,4,0)),"")</f>
        <v/>
      </c>
      <c r="E46" s="46" t="str">
        <f>IFERROR((VLOOKUP(LEFT($A46,4),Setor!$A:$E,5,0)),"")</f>
        <v/>
      </c>
      <c r="F46" s="47">
        <f>IFERROR(__xludf.DUMMYFUNCTION("IFERROR((GOOGLEFINANCE(A46)),"""")"),25.11)</f>
        <v>25.11</v>
      </c>
      <c r="G46" s="48" t="str">
        <f>IFERROR(__xludf.DUMMYFUNCTION("IFERROR((sparkline(GOOGLEFINANCE($A46,""price"",TODAY()-30,TODAY(),""DAILY""),{""charttype"",""line"";""linewidth"",1;""color"",""#5f88cc""})),"""")"),"")</f>
        <v/>
      </c>
      <c r="H46" s="49">
        <f>IFERROR(__xludf.DUMMYFUNCTION("IFERROR((((GOOGLEFINANCE(A46))-(INDEX(GoogleFinance(A46,""PRICE"",$AQ$1),2,2)))/(INDEX(GoogleFinance(A46,""PRICE"",$AQ$1),2,2))),"""")"),0.014545454545454523)</f>
        <v>0.01454545455</v>
      </c>
      <c r="I46" s="47">
        <f>IFERROR(__xludf.DUMMYFUNCTION("IFERROR((GOOGLEFINANCE($A46,""high52"")),"""")"),41.49)</f>
        <v>41.49</v>
      </c>
      <c r="J46" s="48" t="str">
        <f>IFERROR(__xludf.DUMMYFUNCTION("IFERROR((sparkline(GOOGLEFINANCE($A46,""price"",TODAY()-365,TODAY(),""DAILY""),{""charttype"",""line"";""linewidth"",1;""color"",""#5f88cc""})),"""")"),"")</f>
        <v/>
      </c>
      <c r="K46" s="50">
        <f>IFERROR(__xludf.DUMMYFUNCTION("IFERROR((((GOOGLEFINANCE(A46))-(INDEX(GoogleFinance(A46,""PRICE"",$AP$1),2,2)))/(INDEX(GoogleFinance(A46,""PRICE"",$AP$1),2,2))),"""")"),-0.21037735849056607)</f>
        <v>-0.2103773585</v>
      </c>
      <c r="L46" s="51">
        <f t="shared" si="1"/>
        <v>-0.3947939262</v>
      </c>
      <c r="M46" s="52">
        <f>IFERROR((VLOOKUP($A46,'Dados StatusInvest'!$A:$AZ,COLUMN(M46)-$A$5,0)*VLOOKUP($A46,'Dados StatusInvest'!$A:$AZ,2,0)/$F46/100),0)</f>
        <v>0.05831111111</v>
      </c>
      <c r="N46" s="53">
        <f>IFERROR((VLOOKUP($A46,'Dados StatusInvest'!$A:$AZ,COLUMN(N46)-$A$5,0)/VLOOKUP($A46,'Dados StatusInvest'!$A:$AZ,2,0)*$F46),"")</f>
        <v>6.223170732</v>
      </c>
      <c r="O46" s="53">
        <f>IFERROR((VLOOKUP($A46,'Dados StatusInvest'!$A:$AZ,COLUMN(O46)-$A$5,0)/VLOOKUP($A46,'Dados StatusInvest'!$A:$AZ,2,0)*$F46),0)</f>
        <v>7.517195122</v>
      </c>
      <c r="P46" s="54">
        <f>IFERROR((VLOOKUP($A46,'Dados StatusInvest'!$A:$AZ,COLUMN(P46)-$A$5,0)/VLOOKUP($A46,'Dados StatusInvest'!$A:$AZ,2,0)*$F46),0)</f>
        <v>10.85597561</v>
      </c>
      <c r="Q46" s="55">
        <f>IFERROR((VLOOKUP($A46,'Dados StatusInvest'!$A:$AZ,COLUMN(Q46)-$A$5,0)/100),0)</f>
        <v>0.0338</v>
      </c>
      <c r="R46" s="56">
        <f>VLOOKUP($A46,'Dados StatusInvest'!$A:$AZ,COLUMN(R46)-$A$5,0)</f>
        <v>0.28</v>
      </c>
      <c r="S46" s="56">
        <f>IFERROR((VLOOKUP($A46,'Dados StatusInvest'!$A:$AZ,COLUMN(S46)-$A$5,0)),0)</f>
        <v>0.44</v>
      </c>
      <c r="T46" s="53">
        <f>IFERROR((VLOOKUP($A46,'Dados StatusInvest'!$A:$AZ,COLUMN(T46)-$A$5,0)/VLOOKUP($A46,'Dados StatusInvest'!$A:$AZ,2,0)*$F46),0)</f>
        <v>1.600243902</v>
      </c>
      <c r="U46" s="53">
        <f>IFERROR((VLOOKUP($A46,'Dados StatusInvest'!$A:$AZ,COLUMN(U46)-$A$5,0)-VLOOKUP($A46,'Dados StatusInvest'!$A:$AZ,COLUMN(U46)-$A$5-1,0)+T46),0)</f>
        <v>-0.6297560976</v>
      </c>
      <c r="V46" s="56">
        <f>IFERROR((VLOOKUP($A46,'Dados StatusInvest'!$A:$AZ,COLUMN(V46)-$A$5,0)),0)</f>
        <v>1.9</v>
      </c>
      <c r="W46" s="56">
        <f>IFERROR((VLOOKUP($A46,'Dados StatusInvest'!$A:$AZ,COLUMN(W46)-$A$5,0)),0)</f>
        <v>9.02</v>
      </c>
      <c r="X46" s="53">
        <f>IFERROR((VLOOKUP($A46,'Dados StatusInvest'!$A:$AZ,COLUMN(X46)-$A$5,0)/VLOOKUP($A46,'Dados StatusInvest'!$A:$AZ,2,0)*$F46),0)</f>
        <v>4.790853659</v>
      </c>
      <c r="Y46" s="54">
        <f>IFERROR((VLOOKUP($A46,'Dados StatusInvest'!$A:$AZ,COLUMN(Y46)-$A$5,0)/VLOOKUP($A46,'Dados StatusInvest'!$A:$AZ,2,0)*$F46),0)</f>
        <v>-1.817560976</v>
      </c>
      <c r="Z46" s="56">
        <f>IFERROR((VLOOKUP($A46,'Dados StatusInvest'!$A:$AZ,COLUMN(Z46)-$A$5,0)),0)</f>
        <v>0.54</v>
      </c>
      <c r="AA46" s="57">
        <f>IFERROR((VLOOKUP($A46,'Dados StatusInvest'!$A:$AZ,COLUMN(AA46)-$A$5,0)),0)</f>
        <v>0.46</v>
      </c>
      <c r="AB46" s="57">
        <f>IFERROR((VLOOKUP($A46,'Dados StatusInvest'!$A:$AZ,COLUMN(AB46)-$A$5,0)),0)</f>
        <v>0.77</v>
      </c>
      <c r="AC46" s="58">
        <f>IFERROR((VLOOKUP($A46,'Dados StatusInvest'!$A:$AZ,COLUMN(AC46)-$A$5,0)),0)</f>
        <v>37.92</v>
      </c>
      <c r="AD46" s="57">
        <f>IFERROR((VLOOKUP($A46,'Dados StatusInvest'!$A:$AZ,COLUMN(AD46)-$A$5,0)),0)</f>
        <v>35.96</v>
      </c>
      <c r="AE46" s="56">
        <f>IFERROR((VLOOKUP($A46,'Dados StatusInvest'!$A:$AZ,COLUMN(AE46)-$A$5,0)),0)</f>
        <v>70676079</v>
      </c>
      <c r="AF46" s="56">
        <f>IFERROR((VLOOKUP($A46,'Dados StatusInvest'!$A:$AZ,COLUMN(AF46)-$A$5,0)),0)</f>
        <v>40.43</v>
      </c>
      <c r="AG46" s="56">
        <f>IFERROR((VLOOKUP($A46,'Dados StatusInvest'!$A:$AZ,COLUMN(AG46)-$A$5,0)),0)</f>
        <v>3.65</v>
      </c>
      <c r="AH46" s="56">
        <f>IFERROR((VLOOKUP($A46,'Dados StatusInvest'!$A:$AZ,COLUMN(AH46)-$A$5,0)),0)</f>
        <v>0.17</v>
      </c>
      <c r="AI46" s="57">
        <f>IFERROR((VLOOKUP($A46,'Dados StatusInvest'!$A:$AZ,COLUMN(AI46)-$A$5,0)),0)</f>
        <v>5248971046</v>
      </c>
      <c r="AJ46" s="59" t="str">
        <f>IFERROR((VLOOKUP($A46,'Dados StatusInvest'!$A:$AZ,COLUMN(AJ46)-$A$5,0)),0)</f>
        <v/>
      </c>
      <c r="AK46" s="60">
        <f>IFERROR(__xludf.DUMMYFUNCTION("IFERROR(GOOGLEFINANCE($A46,""high""),"""")"),25.29)</f>
        <v>25.29</v>
      </c>
      <c r="AL46" s="60">
        <f>IFERROR(__xludf.DUMMYFUNCTION("IFERROR(GOOGLEFINANCE($A46,""low""),"""")"),25.02)</f>
        <v>25.02</v>
      </c>
      <c r="AM46" s="61">
        <f t="shared" si="2"/>
        <v>0.01079136691</v>
      </c>
      <c r="AN46" s="62">
        <f>IFERROR(__xludf.DUMMYFUNCTION("IFERROR((GOOGLEFINANCE($A46,""volume"")),0)"),148700.0)</f>
        <v>148700</v>
      </c>
      <c r="AO46" s="60">
        <f>IFERROR(__xludf.DUMMYFUNCTION("IFERROR((GOOGLEFINANCE($A46,""closeyest"")),"""")"),25.42)</f>
        <v>25.42</v>
      </c>
      <c r="AP46" s="60">
        <f>IFERROR(__xludf.DUMMYFUNCTION("IFERROR((GOOGLEFINANCE($A46,""shares"")),"""")"),2.06489813E8)</f>
        <v>206489813</v>
      </c>
      <c r="AQ46" s="18"/>
    </row>
    <row r="47">
      <c r="A47" s="45" t="str">
        <f>'Dados StatusInvest'!A42:A661</f>
        <v>B3SA3</v>
      </c>
      <c r="B47" s="46" t="str">
        <f>IFERROR(__xludf.DUMMYFUNCTION("IFERROR((GOOGLEFINANCE(A47,""name"")),"""")"),"B3 SA Brasil Bolsa Balcao")</f>
        <v>B3 SA Brasil Bolsa Balcao</v>
      </c>
      <c r="C47" s="46" t="str">
        <f>IFERROR((VLOOKUP(LEFT($A47,4),Setor!$A:$E,3,0)),"")</f>
        <v>Financeiro</v>
      </c>
      <c r="D47" s="46" t="str">
        <f>IFERROR((VLOOKUP(LEFT($A47,4),Setor!$A:$E,4,0)),"")</f>
        <v>Serviços Financeiros Diversos</v>
      </c>
      <c r="E47" s="46" t="str">
        <f>IFERROR((VLOOKUP(LEFT($A47,4),Setor!$A:$E,5,0)),"")</f>
        <v>Serviços Financeiros Diversos</v>
      </c>
      <c r="F47" s="47">
        <f>IFERROR(__xludf.DUMMYFUNCTION("IFERROR((GOOGLEFINANCE(A47)),"""")"),17.52)</f>
        <v>17.52</v>
      </c>
      <c r="G47" s="48" t="str">
        <f>IFERROR(__xludf.DUMMYFUNCTION("IFERROR((sparkline(GOOGLEFINANCE($A47,""price"",TODAY()-30,TODAY(),""DAILY""),{""charttype"",""line"";""linewidth"",1;""color"",""#5f88cc""})),"""")"),"")</f>
        <v/>
      </c>
      <c r="H47" s="49">
        <f>IFERROR(__xludf.DUMMYFUNCTION("IFERROR((((GOOGLEFINANCE(A47))-(INDEX(GoogleFinance(A47,""PRICE"",$AQ$1),2,2)))/(INDEX(GoogleFinance(A47,""PRICE"",$AQ$1),2,2))),"""")"),0.13032258064516125)</f>
        <v>0.1303225806</v>
      </c>
      <c r="I47" s="47">
        <f>IFERROR(__xludf.DUMMYFUNCTION("IFERROR((GOOGLEFINANCE($A47,""high52"")),"""")"),17.75)</f>
        <v>17.75</v>
      </c>
      <c r="J47" s="48" t="str">
        <f>IFERROR(__xludf.DUMMYFUNCTION("IFERROR((sparkline(GOOGLEFINANCE($A47,""price"",TODAY()-365,TODAY(),""DAILY""),{""charttype"",""line"";""linewidth"",1;""color"",""#5f88cc""})),"""")"),"")</f>
        <v/>
      </c>
      <c r="K47" s="50">
        <f>IFERROR(__xludf.DUMMYFUNCTION("IFERROR((((GOOGLEFINANCE(A47))-(INDEX(GoogleFinance(A47,""PRICE"",$AP$1),2,2)))/(INDEX(GoogleFinance(A47,""PRICE"",$AP$1),2,2))),"""")"),0.5518157661647476)</f>
        <v>0.5518157662</v>
      </c>
      <c r="L47" s="51">
        <f t="shared" si="1"/>
        <v>-0.01295774648</v>
      </c>
      <c r="M47" s="52">
        <f>IFERROR((VLOOKUP($A47,'Dados StatusInvest'!$A:$AZ,COLUMN(M47)-$A$5,0)*VLOOKUP($A47,'Dados StatusInvest'!$A:$AZ,2,0)/$F47/100),0)</f>
        <v>0.5977454338</v>
      </c>
      <c r="N47" s="53">
        <f>IFERROR((VLOOKUP($A47,'Dados StatusInvest'!$A:$AZ,COLUMN(N47)-$A$5,0)/VLOOKUP($A47,'Dados StatusInvest'!$A:$AZ,2,0)*$F47),"")</f>
        <v>44.22936338</v>
      </c>
      <c r="O47" s="53">
        <f>IFERROR((VLOOKUP($A47,'Dados StatusInvest'!$A:$AZ,COLUMN(O47)-$A$5,0)/VLOOKUP($A47,'Dados StatusInvest'!$A:$AZ,2,0)*$F47),0)</f>
        <v>14.43055775</v>
      </c>
      <c r="P47" s="54">
        <f>IFERROR((VLOOKUP($A47,'Dados StatusInvest'!$A:$AZ,COLUMN(P47)-$A$5,0)/VLOOKUP($A47,'Dados StatusInvest'!$A:$AZ,2,0)*$F47),0)</f>
        <v>14.25289014</v>
      </c>
      <c r="Q47" s="55">
        <f>IFERROR((VLOOKUP($A47,'Dados StatusInvest'!$A:$AZ,COLUMN(Q47)-$A$5,0)/100),0)</f>
        <v>-0.0018</v>
      </c>
      <c r="R47" s="56">
        <f>VLOOKUP($A47,'Dados StatusInvest'!$A:$AZ,COLUMN(R47)-$A$5,0)</f>
        <v>-0.06</v>
      </c>
      <c r="S47" s="56">
        <f>IFERROR((VLOOKUP($A47,'Dados StatusInvest'!$A:$AZ,COLUMN(S47)-$A$5,0)),0)</f>
        <v>8.63</v>
      </c>
      <c r="T47" s="53">
        <f>IFERROR((VLOOKUP($A47,'Dados StatusInvest'!$A:$AZ,COLUMN(T47)-$A$5,0)/VLOOKUP($A47,'Dados StatusInvest'!$A:$AZ,2,0)*$F47),0)</f>
        <v>8.666230986</v>
      </c>
      <c r="U47" s="53">
        <f>IFERROR((VLOOKUP($A47,'Dados StatusInvest'!$A:$AZ,COLUMN(U47)-$A$5,0)-VLOOKUP($A47,'Dados StatusInvest'!$A:$AZ,COLUMN(U47)-$A$5-1,0)+T47),0)</f>
        <v>-3.213769014</v>
      </c>
      <c r="V47" s="56">
        <f>IFERROR((VLOOKUP($A47,'Dados StatusInvest'!$A:$AZ,COLUMN(V47)-$A$5,0)),0)</f>
        <v>2.62</v>
      </c>
      <c r="W47" s="56">
        <f>IFERROR((VLOOKUP($A47,'Dados StatusInvest'!$A:$AZ,COLUMN(W47)-$A$5,0)),0)</f>
        <v>24.55</v>
      </c>
      <c r="X47" s="53">
        <f>IFERROR((VLOOKUP($A47,'Dados StatusInvest'!$A:$AZ,COLUMN(X47)-$A$5,0)/VLOOKUP($A47,'Dados StatusInvest'!$A:$AZ,2,0)*$F47),0)</f>
        <v>10.12705352</v>
      </c>
      <c r="Y47" s="54">
        <f>IFERROR((VLOOKUP($A47,'Dados StatusInvest'!$A:$AZ,COLUMN(Y47)-$A$5,0)/VLOOKUP($A47,'Dados StatusInvest'!$A:$AZ,2,0)*$F47),0)</f>
        <v>9.347290141</v>
      </c>
      <c r="Z47" s="56">
        <f>IFERROR((VLOOKUP($A47,'Dados StatusInvest'!$A:$AZ,COLUMN(Z47)-$A$5,0)),0)</f>
        <v>0.42</v>
      </c>
      <c r="AA47" s="57">
        <f>IFERROR((VLOOKUP($A47,'Dados StatusInvest'!$A:$AZ,COLUMN(AA47)-$A$5,0)),0)</f>
        <v>0.58</v>
      </c>
      <c r="AB47" s="57">
        <f>IFERROR((VLOOKUP($A47,'Dados StatusInvest'!$A:$AZ,COLUMN(AB47)-$A$5,0)),0)</f>
        <v>0.23</v>
      </c>
      <c r="AC47" s="58">
        <f>IFERROR((VLOOKUP($A47,'Dados StatusInvest'!$A:$AZ,COLUMN(AC47)-$A$5,0)),0)</f>
        <v>12.34</v>
      </c>
      <c r="AD47" s="57">
        <f>IFERROR((VLOOKUP($A47,'Dados StatusInvest'!$A:$AZ,COLUMN(AD47)-$A$5,0)),0)</f>
        <v>12.34</v>
      </c>
      <c r="AE47" s="56">
        <f>IFERROR((VLOOKUP($A47,'Dados StatusInvest'!$A:$AZ,COLUMN(AE47)-$A$5,0)),0)</f>
        <v>866000000</v>
      </c>
      <c r="AF47" s="56">
        <f>IFERROR((VLOOKUP($A47,'Dados StatusInvest'!$A:$AZ,COLUMN(AF47)-$A$5,0)),0)</f>
        <v>3.76</v>
      </c>
      <c r="AG47" s="56">
        <f>IFERROR((VLOOKUP($A47,'Dados StatusInvest'!$A:$AZ,COLUMN(AG47)-$A$5,0)),0)</f>
        <v>0.92</v>
      </c>
      <c r="AH47" s="56">
        <f>IFERROR((VLOOKUP($A47,'Dados StatusInvest'!$A:$AZ,COLUMN(AH47)-$A$5,0)),0)</f>
        <v>1.53</v>
      </c>
      <c r="AI47" s="57">
        <f>IFERROR((VLOOKUP($A47,'Dados StatusInvest'!$A:$AZ,COLUMN(AI47)-$A$5,0)),0)</f>
        <v>93480375000</v>
      </c>
      <c r="AJ47" s="59" t="str">
        <f>IFERROR((VLOOKUP($A47,'Dados StatusInvest'!$A:$AZ,COLUMN(AJ47)-$A$5,0)),0)</f>
        <v/>
      </c>
      <c r="AK47" s="60">
        <f>IFERROR(__xludf.DUMMYFUNCTION("IFERROR(GOOGLEFINANCE($A47,""high""),"""")"),17.64)</f>
        <v>17.64</v>
      </c>
      <c r="AL47" s="60">
        <f>IFERROR(__xludf.DUMMYFUNCTION("IFERROR(GOOGLEFINANCE($A47,""low""),"""")"),17.5)</f>
        <v>17.5</v>
      </c>
      <c r="AM47" s="61">
        <f t="shared" si="2"/>
        <v>0.008</v>
      </c>
      <c r="AN47" s="62">
        <f>IFERROR(__xludf.DUMMYFUNCTION("IFERROR((GOOGLEFINANCE($A47,""volume"")),0)"),1476100.0)</f>
        <v>1476100</v>
      </c>
      <c r="AO47" s="60">
        <f>IFERROR(__xludf.DUMMYFUNCTION("IFERROR((GOOGLEFINANCE($A47,""closeyest"")),"""")"),17.75)</f>
        <v>17.75</v>
      </c>
      <c r="AP47" s="60">
        <f>IFERROR(__xludf.DUMMYFUNCTION("IFERROR((GOOGLEFINANCE($A47,""shares"")),"""")"),5.2665E9)</f>
        <v>5266500000</v>
      </c>
      <c r="AQ47" s="18"/>
    </row>
    <row r="48">
      <c r="A48" s="45" t="str">
        <f>'Dados StatusInvest'!A43:A662</f>
        <v>BAHI3</v>
      </c>
      <c r="B48" s="46" t="str">
        <f>IFERROR(__xludf.DUMMYFUNCTION("IFERROR((GOOGLEFINANCE(A48,""name"")),"""")"),"")</f>
        <v/>
      </c>
      <c r="C48" s="46" t="str">
        <f>IFERROR((VLOOKUP(LEFT($A48,4),Setor!$A:$E,3,0)),"")</f>
        <v>Consumo Cíclico</v>
      </c>
      <c r="D48" s="46" t="str">
        <f>IFERROR((VLOOKUP(LEFT($A48,4),Setor!$A:$E,4,0)),"")</f>
        <v>Diversos</v>
      </c>
      <c r="E48" s="46" t="str">
        <f>IFERROR((VLOOKUP(LEFT($A48,4),Setor!$A:$E,5,0)),"")</f>
        <v>Serviços Educacionais</v>
      </c>
      <c r="F48" s="47" t="str">
        <f>IFERROR(__xludf.DUMMYFUNCTION("IFERROR((GOOGLEFINANCE(A48)),"""")"),"")</f>
        <v/>
      </c>
      <c r="G48" s="48" t="str">
        <f>IFERROR(__xludf.DUMMYFUNCTION("IFERROR((sparkline(GOOGLEFINANCE($A48,""price"",TODAY()-30,TODAY(),""DAILY""),{""charttype"",""line"";""linewidth"",1;""color"",""#5f88cc""})),"""")"),"")</f>
        <v/>
      </c>
      <c r="H48" s="49" t="str">
        <f>IFERROR(__xludf.DUMMYFUNCTION("IFERROR((((GOOGLEFINANCE(A48))-(INDEX(GoogleFinance(A48,""PRICE"",$AQ$1),2,2)))/(INDEX(GoogleFinance(A48,""PRICE"",$AQ$1),2,2))),"""")"),"")</f>
        <v/>
      </c>
      <c r="I48" s="47" t="str">
        <f>IFERROR(__xludf.DUMMYFUNCTION("IFERROR((GOOGLEFINANCE($A48,""high52"")),"""")"),"")</f>
        <v/>
      </c>
      <c r="J48" s="48" t="str">
        <f>IFERROR(__xludf.DUMMYFUNCTION("IFERROR((sparkline(GOOGLEFINANCE($A48,""price"",TODAY()-365,TODAY(),""DAILY""),{""charttype"",""line"";""linewidth"",1;""color"",""#5f88cc""})),"""")"),"")</f>
        <v/>
      </c>
      <c r="K48" s="50" t="str">
        <f>IFERROR(__xludf.DUMMYFUNCTION("IFERROR((((GOOGLEFINANCE(A48))-(INDEX(GoogleFinance(A48,""PRICE"",$AP$1),2,2)))/(INDEX(GoogleFinance(A48,""PRICE"",$AP$1),2,2))),"""")"),"")</f>
        <v/>
      </c>
      <c r="L48" s="51">
        <f t="shared" si="1"/>
        <v>0</v>
      </c>
      <c r="M48" s="52">
        <f>IFERROR((VLOOKUP($A48,'Dados StatusInvest'!$A:$AZ,COLUMN(M48)-$A$5,0)*VLOOKUP($A48,'Dados StatusInvest'!$A:$AZ,2,0)/$F48/100),0)</f>
        <v>0</v>
      </c>
      <c r="N48" s="53">
        <f>IFERROR((VLOOKUP($A48,'Dados StatusInvest'!$A:$AZ,COLUMN(N48)-$A$5,0)/VLOOKUP($A48,'Dados StatusInvest'!$A:$AZ,2,0)*$F48),"")</f>
        <v>0</v>
      </c>
      <c r="O48" s="53">
        <f>IFERROR((VLOOKUP($A48,'Dados StatusInvest'!$A:$AZ,COLUMN(O48)-$A$5,0)/VLOOKUP($A48,'Dados StatusInvest'!$A:$AZ,2,0)*$F48),0)</f>
        <v>0</v>
      </c>
      <c r="P48" s="54">
        <f>IFERROR((VLOOKUP($A48,'Dados StatusInvest'!$A:$AZ,COLUMN(P48)-$A$5,0)/VLOOKUP($A48,'Dados StatusInvest'!$A:$AZ,2,0)*$F48),0)</f>
        <v>0</v>
      </c>
      <c r="Q48" s="55">
        <f>IFERROR((VLOOKUP($A48,'Dados StatusInvest'!$A:$AZ,COLUMN(Q48)-$A$5,0)/100),0)</f>
        <v>-0.0238</v>
      </c>
      <c r="R48" s="56">
        <f>VLOOKUP($A48,'Dados StatusInvest'!$A:$AZ,COLUMN(R48)-$A$5,0)</f>
        <v>0.49</v>
      </c>
      <c r="S48" s="56">
        <f>IFERROR((VLOOKUP($A48,'Dados StatusInvest'!$A:$AZ,COLUMN(S48)-$A$5,0)),0)</f>
        <v>0.35</v>
      </c>
      <c r="T48" s="53">
        <f>IFERROR((VLOOKUP($A48,'Dados StatusInvest'!$A:$AZ,COLUMN(T48)-$A$5,0)/VLOOKUP($A48,'Dados StatusInvest'!$A:$AZ,2,0)*$F48),0)</f>
        <v>0</v>
      </c>
      <c r="U48" s="53">
        <f>IFERROR((VLOOKUP($A48,'Dados StatusInvest'!$A:$AZ,COLUMN(U48)-$A$5,0)-VLOOKUP($A48,'Dados StatusInvest'!$A:$AZ,COLUMN(U48)-$A$5-1,0)+T48),0)</f>
        <v>0.86</v>
      </c>
      <c r="V48" s="56">
        <f>IFERROR((VLOOKUP($A48,'Dados StatusInvest'!$A:$AZ,COLUMN(V48)-$A$5,0)),0)</f>
        <v>0.33</v>
      </c>
      <c r="W48" s="56">
        <f>IFERROR((VLOOKUP($A48,'Dados StatusInvest'!$A:$AZ,COLUMN(W48)-$A$5,0)),0)</f>
        <v>-82.07</v>
      </c>
      <c r="X48" s="53">
        <f>IFERROR((VLOOKUP($A48,'Dados StatusInvest'!$A:$AZ,COLUMN(X48)-$A$5,0)/VLOOKUP($A48,'Dados StatusInvest'!$A:$AZ,2,0)*$F48),0)</f>
        <v>0</v>
      </c>
      <c r="Y48" s="54">
        <f>IFERROR((VLOOKUP($A48,'Dados StatusInvest'!$A:$AZ,COLUMN(Y48)-$A$5,0)/VLOOKUP($A48,'Dados StatusInvest'!$A:$AZ,2,0)*$F48),0)</f>
        <v>0</v>
      </c>
      <c r="Z48" s="56">
        <f>IFERROR((VLOOKUP($A48,'Dados StatusInvest'!$A:$AZ,COLUMN(Z48)-$A$5,0)),0)</f>
        <v>0.15</v>
      </c>
      <c r="AA48" s="57">
        <f>IFERROR((VLOOKUP($A48,'Dados StatusInvest'!$A:$AZ,COLUMN(AA48)-$A$5,0)),0)</f>
        <v>0.78</v>
      </c>
      <c r="AB48" s="57">
        <f>IFERROR((VLOOKUP($A48,'Dados StatusInvest'!$A:$AZ,COLUMN(AB48)-$A$5,0)),0)</f>
        <v>0.77</v>
      </c>
      <c r="AC48" s="58">
        <f>IFERROR((VLOOKUP($A48,'Dados StatusInvest'!$A:$AZ,COLUMN(AC48)-$A$5,0)),0)</f>
        <v>46.22</v>
      </c>
      <c r="AD48" s="57">
        <f>IFERROR((VLOOKUP($A48,'Dados StatusInvest'!$A:$AZ,COLUMN(AD48)-$A$5,0)),0)</f>
        <v>0</v>
      </c>
      <c r="AE48" s="56">
        <f>IFERROR((VLOOKUP($A48,'Dados StatusInvest'!$A:$AZ,COLUMN(AE48)-$A$5,0)),0)</f>
        <v>16499</v>
      </c>
      <c r="AF48" s="56">
        <f>IFERROR((VLOOKUP($A48,'Dados StatusInvest'!$A:$AZ,COLUMN(AF48)-$A$5,0)),0)</f>
        <v>2.53</v>
      </c>
      <c r="AG48" s="56">
        <f>IFERROR((VLOOKUP($A48,'Dados StatusInvest'!$A:$AZ,COLUMN(AG48)-$A$5,0)),0)</f>
        <v>-2.07</v>
      </c>
      <c r="AH48" s="56">
        <f>IFERROR((VLOOKUP($A48,'Dados StatusInvest'!$A:$AZ,COLUMN(AH48)-$A$5,0)),0)</f>
        <v>0</v>
      </c>
      <c r="AI48" s="57">
        <f>IFERROR((VLOOKUP($A48,'Dados StatusInvest'!$A:$AZ,COLUMN(AI48)-$A$5,0)),0)</f>
        <v>119021524.8</v>
      </c>
      <c r="AJ48" s="59" t="str">
        <f>IFERROR((VLOOKUP($A48,'Dados StatusInvest'!$A:$AZ,COLUMN(AJ48)-$A$5,0)),0)</f>
        <v/>
      </c>
      <c r="AK48" s="60" t="str">
        <f>IFERROR(__xludf.DUMMYFUNCTION("IFERROR(GOOGLEFINANCE($A48,""high""),"""")"),"")</f>
        <v/>
      </c>
      <c r="AL48" s="60" t="str">
        <f>IFERROR(__xludf.DUMMYFUNCTION("IFERROR(GOOGLEFINANCE($A48,""low""),"""")"),"")</f>
        <v/>
      </c>
      <c r="AM48" s="61">
        <f t="shared" si="2"/>
        <v>0</v>
      </c>
      <c r="AN48" s="62">
        <f>IFERROR(__xludf.DUMMYFUNCTION("IFERROR((GOOGLEFINANCE($A48,""volume"")),0)"),0.0)</f>
        <v>0</v>
      </c>
      <c r="AO48" s="60" t="str">
        <f>IFERROR(__xludf.DUMMYFUNCTION("IFERROR((GOOGLEFINANCE($A48,""closeyest"")),"""")"),"")</f>
        <v/>
      </c>
      <c r="AP48" s="60" t="str">
        <f>IFERROR(__xludf.DUMMYFUNCTION("IFERROR((GOOGLEFINANCE($A48,""shares"")),"""")"),"")</f>
        <v/>
      </c>
      <c r="AQ48" s="18"/>
    </row>
    <row r="49">
      <c r="A49" s="45" t="str">
        <f>'Dados StatusInvest'!A44:A663</f>
        <v>BALM3</v>
      </c>
      <c r="B49" s="46" t="str">
        <f>IFERROR(__xludf.DUMMYFUNCTION("IFERROR((GOOGLEFINANCE(A49,""name"")),"""")"),"Baumer SA")</f>
        <v>Baumer SA</v>
      </c>
      <c r="C49" s="46" t="str">
        <f>IFERROR((VLOOKUP(LEFT($A49,4),Setor!$A:$E,3,0)),"")</f>
        <v>Saúde</v>
      </c>
      <c r="D49" s="46" t="str">
        <f>IFERROR((VLOOKUP(LEFT($A49,4),Setor!$A:$E,4,0)),"")</f>
        <v>Equipamentos</v>
      </c>
      <c r="E49" s="46" t="str">
        <f>IFERROR((VLOOKUP(LEFT($A49,4),Setor!$A:$E,5,0)),"")</f>
        <v>Equipamentos</v>
      </c>
      <c r="F49" s="47">
        <f>IFERROR(__xludf.DUMMYFUNCTION("IFERROR((GOOGLEFINANCE(A49)),"""")"),26.0)</f>
        <v>26</v>
      </c>
      <c r="G49" s="48" t="str">
        <f>IFERROR(__xludf.DUMMYFUNCTION("IFERROR((sparkline(GOOGLEFINANCE($A49,""price"",TODAY()-30,TODAY(),""DAILY""),{""charttype"",""line"";""linewidth"",1;""color"",""#5f88cc""})),"""")"),"")</f>
        <v/>
      </c>
      <c r="H49" s="49">
        <f>IFERROR(__xludf.DUMMYFUNCTION("IFERROR((((GOOGLEFINANCE(A49))-(INDEX(GoogleFinance(A49,""PRICE"",$AQ$1),2,2)))/(INDEX(GoogleFinance(A49,""PRICE"",$AQ$1),2,2))),"""")"),-0.13333333333333333)</f>
        <v>-0.1333333333</v>
      </c>
      <c r="I49" s="47">
        <f>IFERROR(__xludf.DUMMYFUNCTION("IFERROR((GOOGLEFINANCE($A49,""high52"")),"""")"),30.0)</f>
        <v>30</v>
      </c>
      <c r="J49" s="48" t="str">
        <f>IFERROR(__xludf.DUMMYFUNCTION("IFERROR((sparkline(GOOGLEFINANCE($A49,""price"",TODAY()-365,TODAY(),""DAILY""),{""charttype"",""line"";""linewidth"",1;""color"",""#5f88cc""})),"""")"),"")</f>
        <v/>
      </c>
      <c r="K49" s="50">
        <f>IFERROR(__xludf.DUMMYFUNCTION("IFERROR((((GOOGLEFINANCE(A49))-(INDEX(GoogleFinance(A49,""PRICE"",$AP$1),2,2)))/(INDEX(GoogleFinance(A49,""PRICE"",$AP$1),2,2))),"""")"),0.5312131919905771)</f>
        <v>0.531213192</v>
      </c>
      <c r="L49" s="51">
        <f t="shared" si="1"/>
        <v>-0.1333333333</v>
      </c>
      <c r="M49" s="52">
        <f>IFERROR((VLOOKUP($A49,'Dados StatusInvest'!$A:$AZ,COLUMN(M49)-$A$5,0)*VLOOKUP($A49,'Dados StatusInvest'!$A:$AZ,2,0)/$F49/100),0)</f>
        <v>0.2078</v>
      </c>
      <c r="N49" s="53">
        <f>IFERROR((VLOOKUP($A49,'Dados StatusInvest'!$A:$AZ,COLUMN(N49)-$A$5,0)/VLOOKUP($A49,'Dados StatusInvest'!$A:$AZ,2,0)*$F49),"")</f>
        <v>11.28</v>
      </c>
      <c r="O49" s="53">
        <f>IFERROR((VLOOKUP($A49,'Dados StatusInvest'!$A:$AZ,COLUMN(O49)-$A$5,0)/VLOOKUP($A49,'Dados StatusInvest'!$A:$AZ,2,0)*$F49),0)</f>
        <v>5.59</v>
      </c>
      <c r="P49" s="54">
        <f>IFERROR((VLOOKUP($A49,'Dados StatusInvest'!$A:$AZ,COLUMN(P49)-$A$5,0)/VLOOKUP($A49,'Dados StatusInvest'!$A:$AZ,2,0)*$F49),0)</f>
        <v>3.25</v>
      </c>
      <c r="Q49" s="55">
        <f>IFERROR((VLOOKUP($A49,'Dados StatusInvest'!$A:$AZ,COLUMN(Q49)-$A$5,0)/100),0)</f>
        <v>-0.0156</v>
      </c>
      <c r="R49" s="56">
        <f>VLOOKUP($A49,'Dados StatusInvest'!$A:$AZ,COLUMN(R49)-$A$5,0)</f>
        <v>-0.39</v>
      </c>
      <c r="S49" s="56">
        <f>IFERROR((VLOOKUP($A49,'Dados StatusInvest'!$A:$AZ,COLUMN(S49)-$A$5,0)),0)</f>
        <v>1.16</v>
      </c>
      <c r="T49" s="53">
        <f>IFERROR((VLOOKUP($A49,'Dados StatusInvest'!$A:$AZ,COLUMN(T49)-$A$5,0)/VLOOKUP($A49,'Dados StatusInvest'!$A:$AZ,2,0)*$F49),0)</f>
        <v>1.67</v>
      </c>
      <c r="U49" s="53">
        <f>IFERROR((VLOOKUP($A49,'Dados StatusInvest'!$A:$AZ,COLUMN(U49)-$A$5,0)-VLOOKUP($A49,'Dados StatusInvest'!$A:$AZ,COLUMN(U49)-$A$5-1,0)+T49),0)</f>
        <v>-3.34</v>
      </c>
      <c r="V49" s="56">
        <f>IFERROR((VLOOKUP($A49,'Dados StatusInvest'!$A:$AZ,COLUMN(V49)-$A$5,0)),0)</f>
        <v>3.12</v>
      </c>
      <c r="W49" s="56">
        <f>IFERROR((VLOOKUP($A49,'Dados StatusInvest'!$A:$AZ,COLUMN(W49)-$A$5,0)),0)</f>
        <v>13.52</v>
      </c>
      <c r="X49" s="53">
        <f>IFERROR((VLOOKUP($A49,'Dados StatusInvest'!$A:$AZ,COLUMN(X49)-$A$5,0)/VLOOKUP($A49,'Dados StatusInvest'!$A:$AZ,2,0)*$F49),0)</f>
        <v>8.23</v>
      </c>
      <c r="Y49" s="54">
        <f>IFERROR((VLOOKUP($A49,'Dados StatusInvest'!$A:$AZ,COLUMN(Y49)-$A$5,0)/VLOOKUP($A49,'Dados StatusInvest'!$A:$AZ,2,0)*$F49),0)</f>
        <v>19.28</v>
      </c>
      <c r="Z49" s="56">
        <f>IFERROR((VLOOKUP($A49,'Dados StatusInvest'!$A:$AZ,COLUMN(Z49)-$A$5,0)),0)</f>
        <v>0.61</v>
      </c>
      <c r="AA49" s="57">
        <f>IFERROR((VLOOKUP($A49,'Dados StatusInvest'!$A:$AZ,COLUMN(AA49)-$A$5,0)),0)</f>
        <v>0.39</v>
      </c>
      <c r="AB49" s="57">
        <f>IFERROR((VLOOKUP($A49,'Dados StatusInvest'!$A:$AZ,COLUMN(AB49)-$A$5,0)),0)</f>
        <v>0.73</v>
      </c>
      <c r="AC49" s="58">
        <f>IFERROR((VLOOKUP($A49,'Dados StatusInvest'!$A:$AZ,COLUMN(AC49)-$A$5,0)),0)</f>
        <v>5.42</v>
      </c>
      <c r="AD49" s="57">
        <f>IFERROR((VLOOKUP($A49,'Dados StatusInvest'!$A:$AZ,COLUMN(AD49)-$A$5,0)),0)</f>
        <v>31.66</v>
      </c>
      <c r="AE49" s="56">
        <f>IFERROR((VLOOKUP($A49,'Dados StatusInvest'!$A:$AZ,COLUMN(AE49)-$A$5,0)),0)</f>
        <v>7411.71</v>
      </c>
      <c r="AF49" s="56">
        <f>IFERROR((VLOOKUP($A49,'Dados StatusInvest'!$A:$AZ,COLUMN(AF49)-$A$5,0)),0)</f>
        <v>18.67</v>
      </c>
      <c r="AG49" s="56">
        <f>IFERROR((VLOOKUP($A49,'Dados StatusInvest'!$A:$AZ,COLUMN(AG49)-$A$5,0)),0)</f>
        <v>2.52</v>
      </c>
      <c r="AH49" s="56">
        <f>IFERROR((VLOOKUP($A49,'Dados StatusInvest'!$A:$AZ,COLUMN(AH49)-$A$5,0)),0)</f>
        <v>0.42</v>
      </c>
      <c r="AI49" s="57">
        <f>IFERROR((VLOOKUP($A49,'Dados StatusInvest'!$A:$AZ,COLUMN(AI49)-$A$5,0)),0)</f>
        <v>219324000</v>
      </c>
      <c r="AJ49" s="59" t="str">
        <f>IFERROR((VLOOKUP($A49,'Dados StatusInvest'!$A:$AZ,COLUMN(AJ49)-$A$5,0)),0)</f>
        <v/>
      </c>
      <c r="AK49" s="60" t="str">
        <f>IFERROR(__xludf.DUMMYFUNCTION("IFERROR(GOOGLEFINANCE($A49,""high""),"""")"),"")</f>
        <v/>
      </c>
      <c r="AL49" s="60" t="str">
        <f>IFERROR(__xludf.DUMMYFUNCTION("IFERROR(GOOGLEFINANCE($A49,""low""),"""")"),"")</f>
        <v/>
      </c>
      <c r="AM49" s="61">
        <f t="shared" si="2"/>
        <v>0</v>
      </c>
      <c r="AN49" s="62">
        <f>IFERROR(__xludf.DUMMYFUNCTION("IFERROR((GOOGLEFINANCE($A49,""volume"")),0)"),0.0)</f>
        <v>0</v>
      </c>
      <c r="AO49" s="60">
        <f>IFERROR(__xludf.DUMMYFUNCTION("IFERROR((GOOGLEFINANCE($A49,""closeyest"")),"""")"),26.0)</f>
        <v>26</v>
      </c>
      <c r="AP49" s="60">
        <f>IFERROR(__xludf.DUMMYFUNCTION("IFERROR((GOOGLEFINANCE($A49,""shares"")),"""")"),4900000.0)</f>
        <v>4900000</v>
      </c>
      <c r="AQ49" s="18"/>
    </row>
    <row r="50">
      <c r="A50" s="45" t="str">
        <f>'Dados StatusInvest'!A45:A664</f>
        <v>BALM4</v>
      </c>
      <c r="B50" s="46" t="str">
        <f>IFERROR(__xludf.DUMMYFUNCTION("IFERROR((GOOGLEFINANCE(A50,""name"")),"""")"),"Baumer SA Preference Shares")</f>
        <v>Baumer SA Preference Shares</v>
      </c>
      <c r="C50" s="46" t="str">
        <f>IFERROR((VLOOKUP(LEFT($A50,4),Setor!$A:$E,3,0)),"")</f>
        <v>Saúde</v>
      </c>
      <c r="D50" s="46" t="str">
        <f>IFERROR((VLOOKUP(LEFT($A50,4),Setor!$A:$E,4,0)),"")</f>
        <v>Equipamentos</v>
      </c>
      <c r="E50" s="46" t="str">
        <f>IFERROR((VLOOKUP(LEFT($A50,4),Setor!$A:$E,5,0)),"")</f>
        <v>Equipamentos</v>
      </c>
      <c r="F50" s="47">
        <f>IFERROR(__xludf.DUMMYFUNCTION("IFERROR((GOOGLEFINANCE(A50)),"""")"),18.51)</f>
        <v>18.51</v>
      </c>
      <c r="G50" s="48" t="str">
        <f>IFERROR(__xludf.DUMMYFUNCTION("IFERROR((sparkline(GOOGLEFINANCE($A50,""price"",TODAY()-30,TODAY(),""DAILY""),{""charttype"",""line"";""linewidth"",1;""color"",""#5f88cc""})),"""")"),"")</f>
        <v/>
      </c>
      <c r="H50" s="49">
        <f>IFERROR(__xludf.DUMMYFUNCTION("IFERROR((((GOOGLEFINANCE(A50))-(INDEX(GoogleFinance(A50,""PRICE"",$AQ$1),2,2)))/(INDEX(GoogleFinance(A50,""PRICE"",$AQ$1),2,2))),"""")"),0.006525285481239858)</f>
        <v>0.006525285481</v>
      </c>
      <c r="I50" s="47">
        <f>IFERROR(__xludf.DUMMYFUNCTION("IFERROR((GOOGLEFINANCE($A50,""high52"")),"""")"),21.8)</f>
        <v>21.8</v>
      </c>
      <c r="J50" s="48" t="str">
        <f>IFERROR(__xludf.DUMMYFUNCTION("IFERROR((sparkline(GOOGLEFINANCE($A50,""price"",TODAY()-365,TODAY(),""DAILY""),{""charttype"",""line"";""linewidth"",1;""color"",""#5f88cc""})),"""")"),"")</f>
        <v/>
      </c>
      <c r="K50" s="50">
        <f>IFERROR(__xludf.DUMMYFUNCTION("IFERROR((((GOOGLEFINANCE(A50))-(INDEX(GoogleFinance(A50,""PRICE"",$AP$1),2,2)))/(INDEX(GoogleFinance(A50,""PRICE"",$AP$1),2,2))),"""")"),0.698165137614679)</f>
        <v>0.6981651376</v>
      </c>
      <c r="L50" s="51">
        <f t="shared" si="1"/>
        <v>-0.1509174312</v>
      </c>
      <c r="M50" s="52">
        <f>IFERROR((VLOOKUP($A50,'Dados StatusInvest'!$A:$AZ,COLUMN(M50)-$A$5,0)*VLOOKUP($A50,'Dados StatusInvest'!$A:$AZ,2,0)/$F50/100),0)</f>
        <v>0.210606591</v>
      </c>
      <c r="N50" s="53">
        <f>IFERROR((VLOOKUP($A50,'Dados StatusInvest'!$A:$AZ,COLUMN(N50)-$A$5,0)/VLOOKUP($A50,'Dados StatusInvest'!$A:$AZ,2,0)*$F50),"")</f>
        <v>11.12968017</v>
      </c>
      <c r="O50" s="53">
        <f>IFERROR((VLOOKUP($A50,'Dados StatusInvest'!$A:$AZ,COLUMN(O50)-$A$5,0)/VLOOKUP($A50,'Dados StatusInvest'!$A:$AZ,2,0)*$F50),0)</f>
        <v>3.976295309</v>
      </c>
      <c r="P50" s="54">
        <f>IFERROR((VLOOKUP($A50,'Dados StatusInvest'!$A:$AZ,COLUMN(P50)-$A$5,0)/VLOOKUP($A50,'Dados StatusInvest'!$A:$AZ,2,0)*$F50),0)</f>
        <v>3.206689765</v>
      </c>
      <c r="Q50" s="55">
        <f>IFERROR((VLOOKUP($A50,'Dados StatusInvest'!$A:$AZ,COLUMN(Q50)-$A$5,0)/100),0)</f>
        <v>-0.0156</v>
      </c>
      <c r="R50" s="56">
        <f>VLOOKUP($A50,'Dados StatusInvest'!$A:$AZ,COLUMN(R50)-$A$5,0)</f>
        <v>-0.39</v>
      </c>
      <c r="S50" s="56">
        <f>IFERROR((VLOOKUP($A50,'Dados StatusInvest'!$A:$AZ,COLUMN(S50)-$A$5,0)),0)</f>
        <v>0.84</v>
      </c>
      <c r="T50" s="53">
        <f>IFERROR((VLOOKUP($A50,'Dados StatusInvest'!$A:$AZ,COLUMN(T50)-$A$5,0)/VLOOKUP($A50,'Dados StatusInvest'!$A:$AZ,2,0)*$F50),0)</f>
        <v>1.193875267</v>
      </c>
      <c r="U50" s="53">
        <f>IFERROR((VLOOKUP($A50,'Dados StatusInvest'!$A:$AZ,COLUMN(U50)-$A$5,0)-VLOOKUP($A50,'Dados StatusInvest'!$A:$AZ,COLUMN(U50)-$A$5-1,0)+T50),0)</f>
        <v>-2.426124733</v>
      </c>
      <c r="V50" s="56">
        <f>IFERROR((VLOOKUP($A50,'Dados StatusInvest'!$A:$AZ,COLUMN(V50)-$A$5,0)),0)</f>
        <v>3.12</v>
      </c>
      <c r="W50" s="56">
        <f>IFERROR((VLOOKUP($A50,'Dados StatusInvest'!$A:$AZ,COLUMN(W50)-$A$5,0)),0)</f>
        <v>13.52</v>
      </c>
      <c r="X50" s="53">
        <f>IFERROR((VLOOKUP($A50,'Dados StatusInvest'!$A:$AZ,COLUMN(X50)-$A$5,0)/VLOOKUP($A50,'Dados StatusInvest'!$A:$AZ,2,0)*$F50),0)</f>
        <v>8.12032516</v>
      </c>
      <c r="Y50" s="54">
        <f>IFERROR((VLOOKUP($A50,'Dados StatusInvest'!$A:$AZ,COLUMN(Y50)-$A$5,0)/VLOOKUP($A50,'Dados StatusInvest'!$A:$AZ,2,0)*$F50),0)</f>
        <v>19.02307036</v>
      </c>
      <c r="Z50" s="56">
        <f>IFERROR((VLOOKUP($A50,'Dados StatusInvest'!$A:$AZ,COLUMN(Z50)-$A$5,0)),0)</f>
        <v>0.61</v>
      </c>
      <c r="AA50" s="57">
        <f>IFERROR((VLOOKUP($A50,'Dados StatusInvest'!$A:$AZ,COLUMN(AA50)-$A$5,0)),0)</f>
        <v>0.39</v>
      </c>
      <c r="AB50" s="57">
        <f>IFERROR((VLOOKUP($A50,'Dados StatusInvest'!$A:$AZ,COLUMN(AB50)-$A$5,0)),0)</f>
        <v>0.73</v>
      </c>
      <c r="AC50" s="58">
        <f>IFERROR((VLOOKUP($A50,'Dados StatusInvest'!$A:$AZ,COLUMN(AC50)-$A$5,0)),0)</f>
        <v>5.42</v>
      </c>
      <c r="AD50" s="57">
        <f>IFERROR((VLOOKUP($A50,'Dados StatusInvest'!$A:$AZ,COLUMN(AD50)-$A$5,0)),0)</f>
        <v>31.66</v>
      </c>
      <c r="AE50" s="56">
        <f>IFERROR((VLOOKUP($A50,'Dados StatusInvest'!$A:$AZ,COLUMN(AE50)-$A$5,0)),0)</f>
        <v>20127.4</v>
      </c>
      <c r="AF50" s="56">
        <f>IFERROR((VLOOKUP($A50,'Dados StatusInvest'!$A:$AZ,COLUMN(AF50)-$A$5,0)),0)</f>
        <v>18.67</v>
      </c>
      <c r="AG50" s="56">
        <f>IFERROR((VLOOKUP($A50,'Dados StatusInvest'!$A:$AZ,COLUMN(AG50)-$A$5,0)),0)</f>
        <v>2.52</v>
      </c>
      <c r="AH50" s="56">
        <f>IFERROR((VLOOKUP($A50,'Dados StatusInvest'!$A:$AZ,COLUMN(AH50)-$A$5,0)),0)</f>
        <v>0.3</v>
      </c>
      <c r="AI50" s="57">
        <f>IFERROR((VLOOKUP($A50,'Dados StatusInvest'!$A:$AZ,COLUMN(AI50)-$A$5,0)),0)</f>
        <v>219324000</v>
      </c>
      <c r="AJ50" s="59" t="str">
        <f>IFERROR((VLOOKUP($A50,'Dados StatusInvest'!$A:$AZ,COLUMN(AJ50)-$A$5,0)),0)</f>
        <v/>
      </c>
      <c r="AK50" s="60">
        <f>IFERROR(__xludf.DUMMYFUNCTION("IFERROR(GOOGLEFINANCE($A50,""high""),"""")"),18.51)</f>
        <v>18.51</v>
      </c>
      <c r="AL50" s="60">
        <f>IFERROR(__xludf.DUMMYFUNCTION("IFERROR(GOOGLEFINANCE($A50,""low""),"""")"),18.51)</f>
        <v>18.51</v>
      </c>
      <c r="AM50" s="61">
        <f t="shared" si="2"/>
        <v>0</v>
      </c>
      <c r="AN50" s="62">
        <f>IFERROR(__xludf.DUMMYFUNCTION("IFERROR((GOOGLEFINANCE($A50,""volume"")),0)"),500.0)</f>
        <v>500</v>
      </c>
      <c r="AO50" s="60">
        <f>IFERROR(__xludf.DUMMYFUNCTION("IFERROR((GOOGLEFINANCE($A50,""closeyest"")),"""")"),18.76)</f>
        <v>18.76</v>
      </c>
      <c r="AP50" s="60">
        <f>IFERROR(__xludf.DUMMYFUNCTION("IFERROR((GOOGLEFINANCE($A50,""shares"")),"""")"),4900000.0)</f>
        <v>4900000</v>
      </c>
      <c r="AQ50" s="18"/>
    </row>
    <row r="51">
      <c r="A51" s="45" t="str">
        <f>'Dados StatusInvest'!A46:A665</f>
        <v>BAUH3</v>
      </c>
      <c r="B51" s="46" t="str">
        <f>IFERROR(__xludf.DUMMYFUNCTION("IFERROR((GOOGLEFINANCE(A51,""name"")),"""")"),"Excelsior Alimentos SA")</f>
        <v>Excelsior Alimentos SA</v>
      </c>
      <c r="C51" s="46" t="str">
        <f>IFERROR((VLOOKUP(LEFT($A51,4),Setor!$A:$E,3,0)),"")</f>
        <v>Consumo não Cíclico</v>
      </c>
      <c r="D51" s="46" t="str">
        <f>IFERROR((VLOOKUP(LEFT($A51,4),Setor!$A:$E,4,0)),"")</f>
        <v>Alimentos Processados</v>
      </c>
      <c r="E51" s="46" t="str">
        <f>IFERROR((VLOOKUP(LEFT($A51,4),Setor!$A:$E,5,0)),"")</f>
        <v>Carnes e Derivados</v>
      </c>
      <c r="F51" s="47">
        <f>IFERROR(__xludf.DUMMYFUNCTION("IFERROR((GOOGLEFINANCE(A51)),"""")"),0.0)</f>
        <v>0</v>
      </c>
      <c r="G51" s="48" t="str">
        <f>IFERROR(__xludf.DUMMYFUNCTION("IFERROR((sparkline(GOOGLEFINANCE($A51,""price"",TODAY()-30,TODAY(),""DAILY""),{""charttype"",""line"";""linewidth"",1;""color"",""#5f88cc""})),"""")"),"")</f>
        <v/>
      </c>
      <c r="H51" s="49" t="str">
        <f>IFERROR(__xludf.DUMMYFUNCTION("IFERROR((((GOOGLEFINANCE(A51))-(INDEX(GoogleFinance(A51,""PRICE"",$AQ$1),2,2)))/(INDEX(GoogleFinance(A51,""PRICE"",$AQ$1),2,2))),"""")"),"")</f>
        <v/>
      </c>
      <c r="I51" s="47" t="str">
        <f>IFERROR(__xludf.DUMMYFUNCTION("IFERROR((GOOGLEFINANCE($A51,""high52"")),"""")"),"")</f>
        <v/>
      </c>
      <c r="J51" s="48" t="str">
        <f>IFERROR(__xludf.DUMMYFUNCTION("IFERROR((sparkline(GOOGLEFINANCE($A51,""price"",TODAY()-365,TODAY(),""DAILY""),{""charttype"",""line"";""linewidth"",1;""color"",""#5f88cc""})),"""")"),"")</f>
        <v/>
      </c>
      <c r="K51" s="50" t="str">
        <f>IFERROR(__xludf.DUMMYFUNCTION("IFERROR((((GOOGLEFINANCE(A51))-(INDEX(GoogleFinance(A51,""PRICE"",$AP$1),2,2)))/(INDEX(GoogleFinance(A51,""PRICE"",$AP$1),2,2))),"""")"),"")</f>
        <v/>
      </c>
      <c r="L51" s="51">
        <f t="shared" si="1"/>
        <v>0</v>
      </c>
      <c r="M51" s="52">
        <f>IFERROR((VLOOKUP($A51,'Dados StatusInvest'!$A:$AZ,COLUMN(M51)-$A$5,0)*VLOOKUP($A51,'Dados StatusInvest'!$A:$AZ,2,0)/$F51/100),0)</f>
        <v>0</v>
      </c>
      <c r="N51" s="53" t="str">
        <f>IFERROR((VLOOKUP($A51,'Dados StatusInvest'!$A:$AZ,COLUMN(N51)-$A$5,0)/VLOOKUP($A51,'Dados StatusInvest'!$A:$AZ,2,0)*$F51),"")</f>
        <v/>
      </c>
      <c r="O51" s="53">
        <f>IFERROR((VLOOKUP($A51,'Dados StatusInvest'!$A:$AZ,COLUMN(O51)-$A$5,0)/VLOOKUP($A51,'Dados StatusInvest'!$A:$AZ,2,0)*$F51),0)</f>
        <v>0</v>
      </c>
      <c r="P51" s="54">
        <f>IFERROR((VLOOKUP($A51,'Dados StatusInvest'!$A:$AZ,COLUMN(P51)-$A$5,0)/VLOOKUP($A51,'Dados StatusInvest'!$A:$AZ,2,0)*$F51),0)</f>
        <v>0</v>
      </c>
      <c r="Q51" s="55">
        <f>IFERROR((VLOOKUP($A51,'Dados StatusInvest'!$A:$AZ,COLUMN(Q51)-$A$5,0)/100),0)</f>
        <v>-0.03</v>
      </c>
      <c r="R51" s="56">
        <f>VLOOKUP($A51,'Dados StatusInvest'!$A:$AZ,COLUMN(R51)-$A$5,0)</f>
        <v>-0.46</v>
      </c>
      <c r="S51" s="56">
        <f>IFERROR((VLOOKUP($A51,'Dados StatusInvest'!$A:$AZ,COLUMN(S51)-$A$5,0)),0)</f>
        <v>0</v>
      </c>
      <c r="T51" s="53">
        <f>IFERROR((VLOOKUP($A51,'Dados StatusInvest'!$A:$AZ,COLUMN(T51)-$A$5,0)/VLOOKUP($A51,'Dados StatusInvest'!$A:$AZ,2,0)*$F51),0)</f>
        <v>0</v>
      </c>
      <c r="U51" s="53">
        <f>IFERROR((VLOOKUP($A51,'Dados StatusInvest'!$A:$AZ,COLUMN(U51)-$A$5,0)-VLOOKUP($A51,'Dados StatusInvest'!$A:$AZ,COLUMN(U51)-$A$5-1,0)+T51),0)</f>
        <v>0</v>
      </c>
      <c r="V51" s="56">
        <f>IFERROR((VLOOKUP($A51,'Dados StatusInvest'!$A:$AZ,COLUMN(V51)-$A$5,0)),0)</f>
        <v>1.93</v>
      </c>
      <c r="W51" s="56">
        <f>IFERROR((VLOOKUP($A51,'Dados StatusInvest'!$A:$AZ,COLUMN(W51)-$A$5,0)),0)</f>
        <v>19.75</v>
      </c>
      <c r="X51" s="53">
        <f>IFERROR((VLOOKUP($A51,'Dados StatusInvest'!$A:$AZ,COLUMN(X51)-$A$5,0)/VLOOKUP($A51,'Dados StatusInvest'!$A:$AZ,2,0)*$F51),0)</f>
        <v>0</v>
      </c>
      <c r="Y51" s="54">
        <f>IFERROR((VLOOKUP($A51,'Dados StatusInvest'!$A:$AZ,COLUMN(Y51)-$A$5,0)/VLOOKUP($A51,'Dados StatusInvest'!$A:$AZ,2,0)*$F51),0)</f>
        <v>0</v>
      </c>
      <c r="Z51" s="56">
        <f>IFERROR((VLOOKUP($A51,'Dados StatusInvest'!$A:$AZ,COLUMN(Z51)-$A$5,0)),0)</f>
        <v>0.69</v>
      </c>
      <c r="AA51" s="57">
        <f>IFERROR((VLOOKUP($A51,'Dados StatusInvest'!$A:$AZ,COLUMN(AA51)-$A$5,0)),0)</f>
        <v>0.31</v>
      </c>
      <c r="AB51" s="57">
        <f>IFERROR((VLOOKUP($A51,'Dados StatusInvest'!$A:$AZ,COLUMN(AB51)-$A$5,0)),0)</f>
        <v>1.33</v>
      </c>
      <c r="AC51" s="58">
        <f>IFERROR((VLOOKUP($A51,'Dados StatusInvest'!$A:$AZ,COLUMN(AC51)-$A$5,0)),0)</f>
        <v>6.53</v>
      </c>
      <c r="AD51" s="57">
        <f>IFERROR((VLOOKUP($A51,'Dados StatusInvest'!$A:$AZ,COLUMN(AD51)-$A$5,0)),0)</f>
        <v>0.81</v>
      </c>
      <c r="AE51" s="56">
        <f>IFERROR((VLOOKUP($A51,'Dados StatusInvest'!$A:$AZ,COLUMN(AE51)-$A$5,0)),0)</f>
        <v>0</v>
      </c>
      <c r="AF51" s="56">
        <f>IFERROR((VLOOKUP($A51,'Dados StatusInvest'!$A:$AZ,COLUMN(AF51)-$A$5,0)),0)</f>
        <v>27.11</v>
      </c>
      <c r="AG51" s="56">
        <f>IFERROR((VLOOKUP($A51,'Dados StatusInvest'!$A:$AZ,COLUMN(AG51)-$A$5,0)),0)</f>
        <v>5.35</v>
      </c>
      <c r="AH51" s="56">
        <f>IFERROR((VLOOKUP($A51,'Dados StatusInvest'!$A:$AZ,COLUMN(AH51)-$A$5,0)),0)</f>
        <v>0</v>
      </c>
      <c r="AI51" s="57">
        <f>IFERROR((VLOOKUP($A51,'Dados StatusInvest'!$A:$AZ,COLUMN(AI51)-$A$5,0)),0)</f>
        <v>0</v>
      </c>
      <c r="AJ51" s="59" t="str">
        <f>IFERROR((VLOOKUP($A51,'Dados StatusInvest'!$A:$AZ,COLUMN(AJ51)-$A$5,0)),0)</f>
        <v/>
      </c>
      <c r="AK51" s="60" t="str">
        <f>IFERROR(__xludf.DUMMYFUNCTION("IFERROR(GOOGLEFINANCE($A51,""high""),"""")"),"")</f>
        <v/>
      </c>
      <c r="AL51" s="60" t="str">
        <f>IFERROR(__xludf.DUMMYFUNCTION("IFERROR(GOOGLEFINANCE($A51,""low""),"""")"),"")</f>
        <v/>
      </c>
      <c r="AM51" s="61">
        <f t="shared" si="2"/>
        <v>0</v>
      </c>
      <c r="AN51" s="62">
        <f>IFERROR(__xludf.DUMMYFUNCTION("IFERROR((GOOGLEFINANCE($A51,""volume"")),0)"),0.0)</f>
        <v>0</v>
      </c>
      <c r="AO51" s="60" t="str">
        <f>IFERROR(__xludf.DUMMYFUNCTION("IFERROR((GOOGLEFINANCE($A51,""closeyest"")),"""")"),"")</f>
        <v/>
      </c>
      <c r="AP51" s="60">
        <f>IFERROR(__xludf.DUMMYFUNCTION("IFERROR((GOOGLEFINANCE($A51,""shares"")),"""")"),2846929.0)</f>
        <v>2846929</v>
      </c>
      <c r="AQ51" s="18"/>
    </row>
    <row r="52">
      <c r="A52" s="45" t="str">
        <f>'Dados StatusInvest'!A47:A666</f>
        <v>BAUH4</v>
      </c>
      <c r="B52" s="46" t="str">
        <f>IFERROR(__xludf.DUMMYFUNCTION("IFERROR((GOOGLEFINANCE(A52,""name"")),"""")"),"Excelsior Alimentos SA Preference Shares")</f>
        <v>Excelsior Alimentos SA Preference Shares</v>
      </c>
      <c r="C52" s="46" t="str">
        <f>IFERROR((VLOOKUP(LEFT($A52,4),Setor!$A:$E,3,0)),"")</f>
        <v>Consumo não Cíclico</v>
      </c>
      <c r="D52" s="46" t="str">
        <f>IFERROR((VLOOKUP(LEFT($A52,4),Setor!$A:$E,4,0)),"")</f>
        <v>Alimentos Processados</v>
      </c>
      <c r="E52" s="46" t="str">
        <f>IFERROR((VLOOKUP(LEFT($A52,4),Setor!$A:$E,5,0)),"")</f>
        <v>Carnes e Derivados</v>
      </c>
      <c r="F52" s="47">
        <f>IFERROR(__xludf.DUMMYFUNCTION("IFERROR((GOOGLEFINANCE(A52)),"""")"),92.99)</f>
        <v>92.99</v>
      </c>
      <c r="G52" s="48" t="str">
        <f>IFERROR(__xludf.DUMMYFUNCTION("IFERROR((sparkline(GOOGLEFINANCE($A52,""price"",TODAY()-30,TODAY(),""DAILY""),{""charttype"",""line"";""linewidth"",1;""color"",""#5f88cc""})),"""")"),"")</f>
        <v/>
      </c>
      <c r="H52" s="49" t="str">
        <f>IFERROR(__xludf.DUMMYFUNCTION("IFERROR((((GOOGLEFINANCE(A52))-(INDEX(GoogleFinance(A52,""PRICE"",$AQ$1),2,2)))/(INDEX(GoogleFinance(A52,""PRICE"",$AQ$1),2,2))),"""")"),"")</f>
        <v/>
      </c>
      <c r="I52" s="47">
        <f>IFERROR(__xludf.DUMMYFUNCTION("IFERROR((GOOGLEFINANCE($A52,""high52"")),"""")"),93.5)</f>
        <v>93.5</v>
      </c>
      <c r="J52" s="48" t="str">
        <f>IFERROR(__xludf.DUMMYFUNCTION("IFERROR((sparkline(GOOGLEFINANCE($A52,""price"",TODAY()-365,TODAY(),""DAILY""),{""charttype"",""line"";""linewidth"",1;""color"",""#5f88cc""})),"""")"),"")</f>
        <v/>
      </c>
      <c r="K52" s="50" t="str">
        <f>IFERROR(__xludf.DUMMYFUNCTION("IFERROR((((GOOGLEFINANCE(A52))-(INDEX(GoogleFinance(A52,""PRICE"",$AP$1),2,2)))/(INDEX(GoogleFinance(A52,""PRICE"",$AP$1),2,2))),"""")"),"")</f>
        <v/>
      </c>
      <c r="L52" s="51">
        <f t="shared" si="1"/>
        <v>-0.005454545455</v>
      </c>
      <c r="M52" s="52">
        <f>IFERROR((VLOOKUP($A52,'Dados StatusInvest'!$A:$AZ,COLUMN(M52)-$A$5,0)*VLOOKUP($A52,'Dados StatusInvest'!$A:$AZ,2,0)/$F52/100),0)</f>
        <v>0.0797</v>
      </c>
      <c r="N52" s="53">
        <f>IFERROR((VLOOKUP($A52,'Dados StatusInvest'!$A:$AZ,COLUMN(N52)-$A$5,0)/VLOOKUP($A52,'Dados StatusInvest'!$A:$AZ,2,0)*$F52),"")</f>
        <v>10.25</v>
      </c>
      <c r="O52" s="53">
        <f>IFERROR((VLOOKUP($A52,'Dados StatusInvest'!$A:$AZ,COLUMN(O52)-$A$5,0)/VLOOKUP($A52,'Dados StatusInvest'!$A:$AZ,2,0)*$F52),0)</f>
        <v>22.33</v>
      </c>
      <c r="P52" s="54">
        <f>IFERROR((VLOOKUP($A52,'Dados StatusInvest'!$A:$AZ,COLUMN(P52)-$A$5,0)/VLOOKUP($A52,'Dados StatusInvest'!$A:$AZ,2,0)*$F52),0)</f>
        <v>0</v>
      </c>
      <c r="Q52" s="55">
        <f>IFERROR((VLOOKUP($A52,'Dados StatusInvest'!$A:$AZ,COLUMN(Q52)-$A$5,0)/100),0)</f>
        <v>-0.03</v>
      </c>
      <c r="R52" s="56">
        <f>VLOOKUP($A52,'Dados StatusInvest'!$A:$AZ,COLUMN(R52)-$A$5,0)</f>
        <v>-0.46</v>
      </c>
      <c r="S52" s="56">
        <f>IFERROR((VLOOKUP($A52,'Dados StatusInvest'!$A:$AZ,COLUMN(S52)-$A$5,0)),0)</f>
        <v>1.78</v>
      </c>
      <c r="T52" s="53">
        <f>IFERROR((VLOOKUP($A52,'Dados StatusInvest'!$A:$AZ,COLUMN(T52)-$A$5,0)/VLOOKUP($A52,'Dados StatusInvest'!$A:$AZ,2,0)*$F52),0)</f>
        <v>8.72</v>
      </c>
      <c r="U52" s="53">
        <f>IFERROR((VLOOKUP($A52,'Dados StatusInvest'!$A:$AZ,COLUMN(U52)-$A$5,0)-VLOOKUP($A52,'Dados StatusInvest'!$A:$AZ,COLUMN(U52)-$A$5-1,0)+T52),0)</f>
        <v>-5.45</v>
      </c>
      <c r="V52" s="56">
        <f>IFERROR((VLOOKUP($A52,'Dados StatusInvest'!$A:$AZ,COLUMN(V52)-$A$5,0)),0)</f>
        <v>1.93</v>
      </c>
      <c r="W52" s="56">
        <f>IFERROR((VLOOKUP($A52,'Dados StatusInvest'!$A:$AZ,COLUMN(W52)-$A$5,0)),0)</f>
        <v>19.75</v>
      </c>
      <c r="X52" s="53">
        <f>IFERROR((VLOOKUP($A52,'Dados StatusInvest'!$A:$AZ,COLUMN(X52)-$A$5,0)/VLOOKUP($A52,'Dados StatusInvest'!$A:$AZ,2,0)*$F52),0)</f>
        <v>13.66</v>
      </c>
      <c r="Y52" s="54">
        <f>IFERROR((VLOOKUP($A52,'Dados StatusInvest'!$A:$AZ,COLUMN(Y52)-$A$5,0)/VLOOKUP($A52,'Dados StatusInvest'!$A:$AZ,2,0)*$F52),0)</f>
        <v>13.47</v>
      </c>
      <c r="Z52" s="56">
        <f>IFERROR((VLOOKUP($A52,'Dados StatusInvest'!$A:$AZ,COLUMN(Z52)-$A$5,0)),0)</f>
        <v>0.69</v>
      </c>
      <c r="AA52" s="57">
        <f>IFERROR((VLOOKUP($A52,'Dados StatusInvest'!$A:$AZ,COLUMN(AA52)-$A$5,0)),0)</f>
        <v>0.31</v>
      </c>
      <c r="AB52" s="57">
        <f>IFERROR((VLOOKUP($A52,'Dados StatusInvest'!$A:$AZ,COLUMN(AB52)-$A$5,0)),0)</f>
        <v>1.33</v>
      </c>
      <c r="AC52" s="58">
        <f>IFERROR((VLOOKUP($A52,'Dados StatusInvest'!$A:$AZ,COLUMN(AC52)-$A$5,0)),0)</f>
        <v>6.53</v>
      </c>
      <c r="AD52" s="57">
        <f>IFERROR((VLOOKUP($A52,'Dados StatusInvest'!$A:$AZ,COLUMN(AD52)-$A$5,0)),0)</f>
        <v>0.81</v>
      </c>
      <c r="AE52" s="56">
        <f>IFERROR((VLOOKUP($A52,'Dados StatusInvest'!$A:$AZ,COLUMN(AE52)-$A$5,0)),0)</f>
        <v>57895.75</v>
      </c>
      <c r="AF52" s="56">
        <f>IFERROR((VLOOKUP($A52,'Dados StatusInvest'!$A:$AZ,COLUMN(AF52)-$A$5,0)),0)</f>
        <v>27.11</v>
      </c>
      <c r="AG52" s="56">
        <f>IFERROR((VLOOKUP($A52,'Dados StatusInvest'!$A:$AZ,COLUMN(AG52)-$A$5,0)),0)</f>
        <v>5.35</v>
      </c>
      <c r="AH52" s="56">
        <f>IFERROR((VLOOKUP($A52,'Dados StatusInvest'!$A:$AZ,COLUMN(AH52)-$A$5,0)),0)</f>
        <v>1.47</v>
      </c>
      <c r="AI52" s="57">
        <f>IFERROR((VLOOKUP($A52,'Dados StatusInvest'!$A:$AZ,COLUMN(AI52)-$A$5,0)),0)</f>
        <v>0</v>
      </c>
      <c r="AJ52" s="59" t="str">
        <f>IFERROR((VLOOKUP($A52,'Dados StatusInvest'!$A:$AZ,COLUMN(AJ52)-$A$5,0)),0)</f>
        <v/>
      </c>
      <c r="AK52" s="60" t="str">
        <f>IFERROR(__xludf.DUMMYFUNCTION("IFERROR(GOOGLEFINANCE($A52,""high""),"""")"),"")</f>
        <v/>
      </c>
      <c r="AL52" s="60" t="str">
        <f>IFERROR(__xludf.DUMMYFUNCTION("IFERROR(GOOGLEFINANCE($A52,""low""),"""")"),"")</f>
        <v/>
      </c>
      <c r="AM52" s="61">
        <f t="shared" si="2"/>
        <v>0</v>
      </c>
      <c r="AN52" s="62">
        <f>IFERROR(__xludf.DUMMYFUNCTION("IFERROR((GOOGLEFINANCE($A52,""volume"")),0)"),0.0)</f>
        <v>0</v>
      </c>
      <c r="AO52" s="60">
        <f>IFERROR(__xludf.DUMMYFUNCTION("IFERROR((GOOGLEFINANCE($A52,""closeyest"")),"""")"),92.99)</f>
        <v>92.99</v>
      </c>
      <c r="AP52" s="60">
        <f>IFERROR(__xludf.DUMMYFUNCTION("IFERROR((GOOGLEFINANCE($A52,""shares"")),"""")"),2375293.0)</f>
        <v>2375293</v>
      </c>
      <c r="AQ52" s="18"/>
    </row>
    <row r="53">
      <c r="A53" s="45" t="str">
        <f>'Dados StatusInvest'!A48:A667</f>
        <v>BAZA3</v>
      </c>
      <c r="B53" s="46" t="str">
        <f>IFERROR(__xludf.DUMMYFUNCTION("IFERROR((GOOGLEFINANCE(A53,""name"")),"""")"),"Banco da Amazonia SA")</f>
        <v>Banco da Amazonia SA</v>
      </c>
      <c r="C53" s="46" t="str">
        <f>IFERROR((VLOOKUP(LEFT($A53,4),Setor!$A:$E,3,0)),"")</f>
        <v>Financeiro</v>
      </c>
      <c r="D53" s="46" t="str">
        <f>IFERROR((VLOOKUP(LEFT($A53,4),Setor!$A:$E,4,0)),"")</f>
        <v>Intermediários Financeiros</v>
      </c>
      <c r="E53" s="46" t="str">
        <f>IFERROR((VLOOKUP(LEFT($A53,4),Setor!$A:$E,5,0)),"")</f>
        <v>Bancos</v>
      </c>
      <c r="F53" s="47">
        <f>IFERROR(__xludf.DUMMYFUNCTION("IFERROR((GOOGLEFINANCE(A53)),"""")"),88.49)</f>
        <v>88.49</v>
      </c>
      <c r="G53" s="48" t="str">
        <f>IFERROR(__xludf.DUMMYFUNCTION("IFERROR((sparkline(GOOGLEFINANCE($A53,""price"",TODAY()-30,TODAY(),""DAILY""),{""charttype"",""line"";""linewidth"",1;""color"",""#5f88cc""})),"""")"),"")</f>
        <v/>
      </c>
      <c r="H53" s="49">
        <f>IFERROR(__xludf.DUMMYFUNCTION("IFERROR((((GOOGLEFINANCE(A53))-(INDEX(GoogleFinance(A53,""PRICE"",$AQ$1),2,2)))/(INDEX(GoogleFinance(A53,""PRICE"",$AQ$1),2,2))),"""")"),0.16022027009309034)</f>
        <v>0.1602202701</v>
      </c>
      <c r="I53" s="47">
        <f>IFERROR(__xludf.DUMMYFUNCTION("IFERROR((GOOGLEFINANCE($A53,""high52"")),"""")"),91.0)</f>
        <v>91</v>
      </c>
      <c r="J53" s="48" t="str">
        <f>IFERROR(__xludf.DUMMYFUNCTION("IFERROR((sparkline(GOOGLEFINANCE($A53,""price"",TODAY()-365,TODAY(),""DAILY""),{""charttype"",""line"";""linewidth"",1;""color"",""#5f88cc""})),"""")"),"")</f>
        <v/>
      </c>
      <c r="K53" s="50">
        <f>IFERROR(__xludf.DUMMYFUNCTION("IFERROR((((GOOGLEFINANCE(A53))-(INDEX(GoogleFinance(A53,""PRICE"",$AP$1),2,2)))/(INDEX(GoogleFinance(A53,""PRICE"",$AP$1),2,2))),"""")"),-0.029608509705011547)</f>
        <v>-0.02960850971</v>
      </c>
      <c r="L53" s="51">
        <f t="shared" si="1"/>
        <v>-0.02758241758</v>
      </c>
      <c r="M53" s="52">
        <f>IFERROR((VLOOKUP($A53,'Dados StatusInvest'!$A:$AZ,COLUMN(M53)-$A$5,0)*VLOOKUP($A53,'Dados StatusInvest'!$A:$AZ,2,0)/$F53/100),0)</f>
        <v>0.1866277319</v>
      </c>
      <c r="N53" s="53">
        <f>IFERROR((VLOOKUP($A53,'Dados StatusInvest'!$A:$AZ,COLUMN(N53)-$A$5,0)/VLOOKUP($A53,'Dados StatusInvest'!$A:$AZ,2,0)*$F53),"")</f>
        <v>17.56274893</v>
      </c>
      <c r="O53" s="53">
        <f>IFERROR((VLOOKUP($A53,'Dados StatusInvest'!$A:$AZ,COLUMN(O53)-$A$5,0)/VLOOKUP($A53,'Dados StatusInvest'!$A:$AZ,2,0)*$F53),0)</f>
        <v>4.395659699</v>
      </c>
      <c r="P53" s="54">
        <f>IFERROR((VLOOKUP($A53,'Dados StatusInvest'!$A:$AZ,COLUMN(P53)-$A$5,0)/VLOOKUP($A53,'Dados StatusInvest'!$A:$AZ,2,0)*$F53),0)</f>
        <v>4.395659699</v>
      </c>
      <c r="Q53" s="55">
        <f>IFERROR((VLOOKUP($A53,'Dados StatusInvest'!$A:$AZ,COLUMN(Q53)-$A$5,0)/100),0)</f>
        <v>0</v>
      </c>
      <c r="R53" s="56">
        <f>VLOOKUP($A53,'Dados StatusInvest'!$A:$AZ,COLUMN(R53)-$A$5,0)</f>
        <v>0</v>
      </c>
      <c r="S53" s="56">
        <f>IFERROR((VLOOKUP($A53,'Dados StatusInvest'!$A:$AZ,COLUMN(S53)-$A$5,0)),0)</f>
        <v>0.82</v>
      </c>
      <c r="T53" s="53">
        <f>IFERROR((VLOOKUP($A53,'Dados StatusInvest'!$A:$AZ,COLUMN(T53)-$A$5,0)/VLOOKUP($A53,'Dados StatusInvest'!$A:$AZ,2,0)*$F53),0)</f>
        <v>111.0152697</v>
      </c>
      <c r="U53" s="53">
        <f>IFERROR((VLOOKUP($A53,'Dados StatusInvest'!$A:$AZ,COLUMN(U53)-$A$5,0)-VLOOKUP($A53,'Dados StatusInvest'!$A:$AZ,COLUMN(U53)-$A$5-1,0)+T53),0)</f>
        <v>-0.6947302765</v>
      </c>
      <c r="V53" s="56">
        <f>IFERROR((VLOOKUP($A53,'Dados StatusInvest'!$A:$AZ,COLUMN(V53)-$A$5,0)),0)</f>
        <v>0</v>
      </c>
      <c r="W53" s="56">
        <f>IFERROR((VLOOKUP($A53,'Dados StatusInvest'!$A:$AZ,COLUMN(W53)-$A$5,0)),0)</f>
        <v>14.74</v>
      </c>
      <c r="X53" s="53">
        <f>IFERROR((VLOOKUP($A53,'Dados StatusInvest'!$A:$AZ,COLUMN(X53)-$A$5,0)/VLOOKUP($A53,'Dados StatusInvest'!$A:$AZ,2,0)*$F53),0)</f>
        <v>1.770197797</v>
      </c>
      <c r="Y53" s="54">
        <f>IFERROR((VLOOKUP($A53,'Dados StatusInvest'!$A:$AZ,COLUMN(Y53)-$A$5,0)/VLOOKUP($A53,'Dados StatusInvest'!$A:$AZ,2,0)*$F53),0)</f>
        <v>0</v>
      </c>
      <c r="Z53" s="56">
        <f>IFERROR((VLOOKUP($A53,'Dados StatusInvest'!$A:$AZ,COLUMN(Z53)-$A$5,0)),0)</f>
        <v>0.12</v>
      </c>
      <c r="AA53" s="57">
        <f>IFERROR((VLOOKUP($A53,'Dados StatusInvest'!$A:$AZ,COLUMN(AA53)-$A$5,0)),0)</f>
        <v>0.88</v>
      </c>
      <c r="AB53" s="57">
        <f>IFERROR((VLOOKUP($A53,'Dados StatusInvest'!$A:$AZ,COLUMN(AB53)-$A$5,0)),0)</f>
        <v>0.1</v>
      </c>
      <c r="AC53" s="58">
        <f>IFERROR((VLOOKUP($A53,'Dados StatusInvest'!$A:$AZ,COLUMN(AC53)-$A$5,0)),0)</f>
        <v>26.63</v>
      </c>
      <c r="AD53" s="57">
        <f>IFERROR((VLOOKUP($A53,'Dados StatusInvest'!$A:$AZ,COLUMN(AD53)-$A$5,0)),0)</f>
        <v>31.27</v>
      </c>
      <c r="AE53" s="56">
        <f>IFERROR((VLOOKUP($A53,'Dados StatusInvest'!$A:$AZ,COLUMN(AE53)-$A$5,0)),0)</f>
        <v>413630.1</v>
      </c>
      <c r="AF53" s="56">
        <f>IFERROR((VLOOKUP($A53,'Dados StatusInvest'!$A:$AZ,COLUMN(AF53)-$A$5,0)),0)</f>
        <v>129.92</v>
      </c>
      <c r="AG53" s="56">
        <f>IFERROR((VLOOKUP($A53,'Dados StatusInvest'!$A:$AZ,COLUMN(AG53)-$A$5,0)),0)</f>
        <v>19.15</v>
      </c>
      <c r="AH53" s="56">
        <f>IFERROR((VLOOKUP($A53,'Dados StatusInvest'!$A:$AZ,COLUMN(AH53)-$A$5,0)),0)</f>
        <v>-0.26</v>
      </c>
      <c r="AI53" s="57">
        <f>IFERROR((VLOOKUP($A53,'Dados StatusInvest'!$A:$AZ,COLUMN(AI53)-$A$5,0)),0)</f>
        <v>4988068869</v>
      </c>
      <c r="AJ53" s="59" t="str">
        <f>IFERROR((VLOOKUP($A53,'Dados StatusInvest'!$A:$AZ,COLUMN(AJ53)-$A$5,0)),0)</f>
        <v/>
      </c>
      <c r="AK53" s="60">
        <f>IFERROR(__xludf.DUMMYFUNCTION("IFERROR(GOOGLEFINANCE($A53,""high""),"""")"),88.49)</f>
        <v>88.49</v>
      </c>
      <c r="AL53" s="60">
        <f>IFERROR(__xludf.DUMMYFUNCTION("IFERROR(GOOGLEFINANCE($A53,""low""),"""")"),86.02)</f>
        <v>86.02</v>
      </c>
      <c r="AM53" s="61">
        <f t="shared" si="2"/>
        <v>0.0287142525</v>
      </c>
      <c r="AN53" s="62">
        <f>IFERROR(__xludf.DUMMYFUNCTION("IFERROR((GOOGLEFINANCE($A53,""volume"")),0)"),1200.0)</f>
        <v>1200</v>
      </c>
      <c r="AO53" s="60">
        <f>IFERROR(__xludf.DUMMYFUNCTION("IFERROR((GOOGLEFINANCE($A53,""closeyest"")),"""")"),88.98)</f>
        <v>88.98</v>
      </c>
      <c r="AP53" s="60">
        <f>IFERROR(__xludf.DUMMYFUNCTION("IFERROR((GOOGLEFINANCE($A53,""shares"")),"""")"),1.68174945E8)</f>
        <v>168174945</v>
      </c>
      <c r="AQ53" s="18"/>
    </row>
    <row r="54">
      <c r="A54" s="45" t="str">
        <f>'Dados StatusInvest'!A49:A668</f>
        <v>BBAS3</v>
      </c>
      <c r="B54" s="46" t="str">
        <f>IFERROR(__xludf.DUMMYFUNCTION("IFERROR((GOOGLEFINANCE(A54,""name"")),"""")"),"BANCO DO BRASIL CEDAR")</f>
        <v>BANCO DO BRASIL CEDAR</v>
      </c>
      <c r="C54" s="46" t="str">
        <f>IFERROR((VLOOKUP(LEFT($A54,4),Setor!$A:$E,3,0)),"")</f>
        <v>Financeiro</v>
      </c>
      <c r="D54" s="46" t="str">
        <f>IFERROR((VLOOKUP(LEFT($A54,4),Setor!$A:$E,4,0)),"")</f>
        <v>Intermediários Financeiros</v>
      </c>
      <c r="E54" s="46" t="str">
        <f>IFERROR((VLOOKUP(LEFT($A54,4),Setor!$A:$E,5,0)),"")</f>
        <v>Bancos</v>
      </c>
      <c r="F54" s="47">
        <f>IFERROR(__xludf.DUMMYFUNCTION("IFERROR((GOOGLEFINANCE(A54)),"""")"),3652.5)</f>
        <v>3652.5</v>
      </c>
      <c r="G54" s="48" t="str">
        <f>IFERROR(__xludf.DUMMYFUNCTION("IFERROR((sparkline(GOOGLEFINANCE($A54,""price"",TODAY()-30,TODAY(),""DAILY""),{""charttype"",""line"";""linewidth"",1;""color"",""#5f88cc""})),"""")"),"")</f>
        <v/>
      </c>
      <c r="H54" s="49">
        <f>IFERROR(__xludf.DUMMYFUNCTION("IFERROR((((GOOGLEFINANCE(A54))-(INDEX(GoogleFinance(A54,""PRICE"",$AQ$1),2,2)))/(INDEX(GoogleFinance(A54,""PRICE"",$AQ$1),2,2))),"""")"),0.15676959619952494)</f>
        <v>0.1567695962</v>
      </c>
      <c r="I54" s="47">
        <f>IFERROR(__xludf.DUMMYFUNCTION("IFERROR((GOOGLEFINANCE($A54,""high52"")),"""")"),3800.0)</f>
        <v>3800</v>
      </c>
      <c r="J54" s="48" t="str">
        <f>IFERROR(__xludf.DUMMYFUNCTION("IFERROR((sparkline(GOOGLEFINANCE($A54,""price"",TODAY()-365,TODAY(),""DAILY""),{""charttype"",""line"";""linewidth"",1;""color"",""#5f88cc""})),"""")"),"")</f>
        <v/>
      </c>
      <c r="K54" s="50">
        <f>IFERROR(__xludf.DUMMYFUNCTION("IFERROR((((GOOGLEFINANCE(A54))-(INDEX(GoogleFinance(A54,""PRICE"",$AP$1),2,2)))/(INDEX(GoogleFinance(A54,""PRICE"",$AP$1),2,2))),"""")"),0.22157190635451504)</f>
        <v>0.2215719064</v>
      </c>
      <c r="L54" s="51">
        <f t="shared" si="1"/>
        <v>-0.03881578947</v>
      </c>
      <c r="M54" s="52">
        <f>IFERROR((VLOOKUP($A54,'Dados StatusInvest'!$A:$AZ,COLUMN(M54)-$A$5,0)*VLOOKUP($A54,'Dados StatusInvest'!$A:$AZ,2,0)/$F54/100),0)</f>
        <v>0.0001354694045</v>
      </c>
      <c r="N54" s="53">
        <f>IFERROR((VLOOKUP($A54,'Dados StatusInvest'!$A:$AZ,COLUMN(N54)-$A$5,0)/VLOOKUP($A54,'Dados StatusInvest'!$A:$AZ,2,0)*$F54),"")</f>
        <v>717.8004535</v>
      </c>
      <c r="O54" s="53">
        <f>IFERROR((VLOOKUP($A54,'Dados StatusInvest'!$A:$AZ,COLUMN(O54)-$A$5,0)/VLOOKUP($A54,'Dados StatusInvest'!$A:$AZ,2,0)*$F54),0)</f>
        <v>3663.543084</v>
      </c>
      <c r="P54" s="54">
        <f>IFERROR((VLOOKUP($A54,'Dados StatusInvest'!$A:$AZ,COLUMN(P54)-$A$5,0)/VLOOKUP($A54,'Dados StatusInvest'!$A:$AZ,2,0)*$F54),0)</f>
        <v>3663.543084</v>
      </c>
      <c r="Q54" s="55">
        <f>IFERROR((VLOOKUP($A54,'Dados StatusInvest'!$A:$AZ,COLUMN(Q54)-$A$5,0)/100),0)</f>
        <v>0</v>
      </c>
      <c r="R54" s="56">
        <f>VLOOKUP($A54,'Dados StatusInvest'!$A:$AZ,COLUMN(R54)-$A$5,0)</f>
        <v>0</v>
      </c>
      <c r="S54" s="56">
        <f>IFERROR((VLOOKUP($A54,'Dados StatusInvest'!$A:$AZ,COLUMN(S54)-$A$5,0)),0)</f>
        <v>0.5</v>
      </c>
      <c r="T54" s="53">
        <f>IFERROR((VLOOKUP($A54,'Dados StatusInvest'!$A:$AZ,COLUMN(T54)-$A$5,0)/VLOOKUP($A54,'Dados StatusInvest'!$A:$AZ,2,0)*$F54),0)</f>
        <v>368.5629252</v>
      </c>
      <c r="U54" s="53">
        <f>IFERROR((VLOOKUP($A54,'Dados StatusInvest'!$A:$AZ,COLUMN(U54)-$A$5,0)-VLOOKUP($A54,'Dados StatusInvest'!$A:$AZ,COLUMN(U54)-$A$5-1,0)+T54),0)</f>
        <v>365.8329252</v>
      </c>
      <c r="V54" s="56">
        <f>IFERROR((VLOOKUP($A54,'Dados StatusInvest'!$A:$AZ,COLUMN(V54)-$A$5,0)),0)</f>
        <v>7.39</v>
      </c>
      <c r="W54" s="56">
        <f>IFERROR((VLOOKUP($A54,'Dados StatusInvest'!$A:$AZ,COLUMN(W54)-$A$5,0)),0)</f>
        <v>8.73</v>
      </c>
      <c r="X54" s="53">
        <f>IFERROR((VLOOKUP($A54,'Dados StatusInvest'!$A:$AZ,COLUMN(X54)-$A$5,0)/VLOOKUP($A54,'Dados StatusInvest'!$A:$AZ,2,0)*$F54),0)</f>
        <v>86.96428571</v>
      </c>
      <c r="Y54" s="54">
        <f>IFERROR((VLOOKUP($A54,'Dados StatusInvest'!$A:$AZ,COLUMN(Y54)-$A$5,0)/VLOOKUP($A54,'Dados StatusInvest'!$A:$AZ,2,0)*$F54),0)</f>
        <v>0</v>
      </c>
      <c r="Z54" s="56">
        <f>IFERROR((VLOOKUP($A54,'Dados StatusInvest'!$A:$AZ,COLUMN(Z54)-$A$5,0)),0)</f>
        <v>0.07</v>
      </c>
      <c r="AA54" s="57">
        <f>IFERROR((VLOOKUP($A54,'Dados StatusInvest'!$A:$AZ,COLUMN(AA54)-$A$5,0)),0)</f>
        <v>0.93</v>
      </c>
      <c r="AB54" s="57">
        <f>IFERROR((VLOOKUP($A54,'Dados StatusInvest'!$A:$AZ,COLUMN(AB54)-$A$5,0)),0)</f>
        <v>0.12</v>
      </c>
      <c r="AC54" s="58">
        <f>IFERROR((VLOOKUP($A54,'Dados StatusInvest'!$A:$AZ,COLUMN(AC54)-$A$5,0)),0)</f>
        <v>17.31</v>
      </c>
      <c r="AD54" s="57">
        <f>IFERROR((VLOOKUP($A54,'Dados StatusInvest'!$A:$AZ,COLUMN(AD54)-$A$5,0)),0)</f>
        <v>-0.6</v>
      </c>
      <c r="AE54" s="56">
        <f>IFERROR((VLOOKUP($A54,'Dados StatusInvest'!$A:$AZ,COLUMN(AE54)-$A$5,0)),0)</f>
        <v>983000000</v>
      </c>
      <c r="AF54" s="56">
        <f>IFERROR((VLOOKUP($A54,'Dados StatusInvest'!$A:$AZ,COLUMN(AF54)-$A$5,0)),0)</f>
        <v>31.78</v>
      </c>
      <c r="AG54" s="56">
        <f>IFERROR((VLOOKUP($A54,'Dados StatusInvest'!$A:$AZ,COLUMN(AG54)-$A$5,0)),0)</f>
        <v>2.78</v>
      </c>
      <c r="AH54" s="56">
        <f>IFERROR((VLOOKUP($A54,'Dados StatusInvest'!$A:$AZ,COLUMN(AH54)-$A$5,0)),0)</f>
        <v>-0.19</v>
      </c>
      <c r="AI54" s="57">
        <f>IFERROR((VLOOKUP($A54,'Dados StatusInvest'!$A:$AZ,COLUMN(AI54)-$A$5,0)),0)</f>
        <v>151638000000</v>
      </c>
      <c r="AJ54" s="59" t="str">
        <f>IFERROR((VLOOKUP($A54,'Dados StatusInvest'!$A:$AZ,COLUMN(AJ54)-$A$5,0)),0)</f>
        <v/>
      </c>
      <c r="AK54" s="60" t="str">
        <f>IFERROR(__xludf.DUMMYFUNCTION("IFERROR(GOOGLEFINANCE($A54,""high""),"""")"),"")</f>
        <v/>
      </c>
      <c r="AL54" s="60">
        <f>IFERROR(__xludf.DUMMYFUNCTION("IFERROR(GOOGLEFINANCE($A54,""low""),"""")"),3602.5)</f>
        <v>3602.5</v>
      </c>
      <c r="AM54" s="61">
        <f t="shared" si="2"/>
        <v>-1</v>
      </c>
      <c r="AN54" s="62">
        <f>IFERROR(__xludf.DUMMYFUNCTION("IFERROR((GOOGLEFINANCE($A54,""volume"")),0)"),0.0)</f>
        <v>0</v>
      </c>
      <c r="AO54" s="60">
        <f>IFERROR(__xludf.DUMMYFUNCTION("IFERROR((GOOGLEFINANCE($A54,""closeyest"")),"""")"),3680.0)</f>
        <v>3680</v>
      </c>
      <c r="AP54" s="60">
        <f>IFERROR(__xludf.DUMMYFUNCTION("IFERROR((GOOGLEFINANCE($A54,""shares"")),"""")"),5.73083404E9)</f>
        <v>5730834040</v>
      </c>
      <c r="AQ54" s="18"/>
    </row>
    <row r="55">
      <c r="A55" s="45" t="str">
        <f>'Dados StatusInvest'!A50:A669</f>
        <v>BBDC3</v>
      </c>
      <c r="B55" s="46" t="str">
        <f>IFERROR(__xludf.DUMMYFUNCTION("IFERROR((GOOGLEFINANCE(A55,""name"")),"""")"),"Banco Bradesco Cedear")</f>
        <v>Banco Bradesco Cedear</v>
      </c>
      <c r="C55" s="46" t="str">
        <f>IFERROR((VLOOKUP(LEFT($A55,4),Setor!$A:$E,3,0)),"")</f>
        <v>Financeiro</v>
      </c>
      <c r="D55" s="46" t="str">
        <f>IFERROR((VLOOKUP(LEFT($A55,4),Setor!$A:$E,4,0)),"")</f>
        <v>Intermediários Financeiros</v>
      </c>
      <c r="E55" s="46" t="str">
        <f>IFERROR((VLOOKUP(LEFT($A55,4),Setor!$A:$E,5,0)),"")</f>
        <v>Bancos</v>
      </c>
      <c r="F55" s="47">
        <f>IFERROR(__xludf.DUMMYFUNCTION("IFERROR((GOOGLEFINANCE(A55)),"""")"),5060.0)</f>
        <v>5060</v>
      </c>
      <c r="G55" s="48" t="str">
        <f>IFERROR(__xludf.DUMMYFUNCTION("IFERROR((sparkline(GOOGLEFINANCE($A55,""price"",TODAY()-30,TODAY(),""DAILY""),{""charttype"",""line"";""linewidth"",1;""color"",""#5f88cc""})),"""")"),"")</f>
        <v/>
      </c>
      <c r="H55" s="49">
        <f>IFERROR(__xludf.DUMMYFUNCTION("IFERROR((((GOOGLEFINANCE(A55))-(INDEX(GoogleFinance(A55,""PRICE"",$AQ$1),2,2)))/(INDEX(GoogleFinance(A55,""PRICE"",$AQ$1),2,2))),"""")"),0.039014373716632446)</f>
        <v>0.03901437372</v>
      </c>
      <c r="I55" s="47">
        <f>IFERROR(__xludf.DUMMYFUNCTION("IFERROR((GOOGLEFINANCE($A55,""high52"")),"""")"),5450.0)</f>
        <v>5450</v>
      </c>
      <c r="J55" s="48" t="str">
        <f>IFERROR(__xludf.DUMMYFUNCTION("IFERROR((sparkline(GOOGLEFINANCE($A55,""price"",TODAY()-365,TODAY(),""DAILY""),{""charttype"",""line"";""linewidth"",1;""color"",""#5f88cc""})),"""")"),"")</f>
        <v/>
      </c>
      <c r="K55" s="50">
        <f>IFERROR(__xludf.DUMMYFUNCTION("IFERROR((((GOOGLEFINANCE(A55))-(INDEX(GoogleFinance(A55,""PRICE"",$AP$1),2,2)))/(INDEX(GoogleFinance(A55,""PRICE"",$AP$1),2,2))),"""")"),1.1623931623931625)</f>
        <v>1.162393162</v>
      </c>
      <c r="L55" s="51">
        <f t="shared" si="1"/>
        <v>-0.07155963303</v>
      </c>
      <c r="M55" s="52">
        <f>IFERROR((VLOOKUP($A55,'Dados StatusInvest'!$A:$AZ,COLUMN(M55)-$A$5,0)*VLOOKUP($A55,'Dados StatusInvest'!$A:$AZ,2,0)/$F55/100),0)</f>
        <v>0.0002822940711</v>
      </c>
      <c r="N55" s="53">
        <f>IFERROR((VLOOKUP($A55,'Dados StatusInvest'!$A:$AZ,COLUMN(N55)-$A$5,0)/VLOOKUP($A55,'Dados StatusInvest'!$A:$AZ,2,0)*$F55),"")</f>
        <v>2439.052288</v>
      </c>
      <c r="O55" s="53">
        <f>IFERROR((VLOOKUP($A55,'Dados StatusInvest'!$A:$AZ,COLUMN(O55)-$A$5,0)/VLOOKUP($A55,'Dados StatusInvest'!$A:$AZ,2,0)*$F55),0)</f>
        <v>2549.291939</v>
      </c>
      <c r="P55" s="54">
        <f>IFERROR((VLOOKUP($A55,'Dados StatusInvest'!$A:$AZ,COLUMN(P55)-$A$5,0)/VLOOKUP($A55,'Dados StatusInvest'!$A:$AZ,2,0)*$F55),0)</f>
        <v>2755.991285</v>
      </c>
      <c r="Q55" s="55">
        <f>IFERROR((VLOOKUP($A55,'Dados StatusInvest'!$A:$AZ,COLUMN(Q55)-$A$5,0)/100),0)</f>
        <v>0</v>
      </c>
      <c r="R55" s="56">
        <f>VLOOKUP($A55,'Dados StatusInvest'!$A:$AZ,COLUMN(R55)-$A$5,0)</f>
        <v>0</v>
      </c>
      <c r="S55" s="56">
        <f>IFERROR((VLOOKUP($A55,'Dados StatusInvest'!$A:$AZ,COLUMN(S55)-$A$5,0)),0)</f>
        <v>0.72</v>
      </c>
      <c r="T55" s="53">
        <f>IFERROR((VLOOKUP($A55,'Dados StatusInvest'!$A:$AZ,COLUMN(T55)-$A$5,0)/VLOOKUP($A55,'Dados StatusInvest'!$A:$AZ,2,0)*$F55),0)</f>
        <v>305.9150327</v>
      </c>
      <c r="U55" s="53">
        <f>IFERROR((VLOOKUP($A55,'Dados StatusInvest'!$A:$AZ,COLUMN(U55)-$A$5,0)-VLOOKUP($A55,'Dados StatusInvest'!$A:$AZ,COLUMN(U55)-$A$5-1,0)+T55),0)</f>
        <v>304.7150327</v>
      </c>
      <c r="V55" s="56">
        <f>IFERROR((VLOOKUP($A55,'Dados StatusInvest'!$A:$AZ,COLUMN(V55)-$A$5,0)),0)</f>
        <v>10.59</v>
      </c>
      <c r="W55" s="56">
        <f>IFERROR((VLOOKUP($A55,'Dados StatusInvest'!$A:$AZ,COLUMN(W55)-$A$5,0)),0)</f>
        <v>13.37</v>
      </c>
      <c r="X55" s="53">
        <f>IFERROR((VLOOKUP($A55,'Dados StatusInvest'!$A:$AZ,COLUMN(X55)-$A$5,0)/VLOOKUP($A55,'Dados StatusInvest'!$A:$AZ,2,0)*$F55),0)</f>
        <v>283.8671024</v>
      </c>
      <c r="Y55" s="54">
        <f>IFERROR((VLOOKUP($A55,'Dados StatusInvest'!$A:$AZ,COLUMN(Y55)-$A$5,0)/VLOOKUP($A55,'Dados StatusInvest'!$A:$AZ,2,0)*$F55),0)</f>
        <v>0</v>
      </c>
      <c r="Z55" s="56">
        <f>IFERROR((VLOOKUP($A55,'Dados StatusInvest'!$A:$AZ,COLUMN(Z55)-$A$5,0)),0)</f>
        <v>0.08</v>
      </c>
      <c r="AA55" s="57">
        <f>IFERROR((VLOOKUP($A55,'Dados StatusInvest'!$A:$AZ,COLUMN(AA55)-$A$5,0)),0)</f>
        <v>0.92</v>
      </c>
      <c r="AB55" s="57">
        <f>IFERROR((VLOOKUP($A55,'Dados StatusInvest'!$A:$AZ,COLUMN(AB55)-$A$5,0)),0)</f>
        <v>0.12</v>
      </c>
      <c r="AC55" s="58">
        <f>IFERROR((VLOOKUP($A55,'Dados StatusInvest'!$A:$AZ,COLUMN(AC55)-$A$5,0)),0)</f>
        <v>22.38</v>
      </c>
      <c r="AD55" s="57">
        <f>IFERROR((VLOOKUP($A55,'Dados StatusInvest'!$A:$AZ,COLUMN(AD55)-$A$5,0)),0)</f>
        <v>8.33</v>
      </c>
      <c r="AE55" s="56">
        <f>IFERROR((VLOOKUP($A55,'Dados StatusInvest'!$A:$AZ,COLUMN(AE55)-$A$5,0)),0)</f>
        <v>136000000</v>
      </c>
      <c r="AF55" s="56">
        <f>IFERROR((VLOOKUP($A55,'Dados StatusInvest'!$A:$AZ,COLUMN(AF55)-$A$5,0)),0)</f>
        <v>16.89</v>
      </c>
      <c r="AG55" s="56">
        <f>IFERROR((VLOOKUP($A55,'Dados StatusInvest'!$A:$AZ,COLUMN(AG55)-$A$5,0)),0)</f>
        <v>2.26</v>
      </c>
      <c r="AH55" s="56">
        <f>IFERROR((VLOOKUP($A55,'Dados StatusInvest'!$A:$AZ,COLUMN(AH55)-$A$5,0)),0)</f>
        <v>0.22</v>
      </c>
      <c r="AI55" s="57">
        <f>IFERROR((VLOOKUP($A55,'Dados StatusInvest'!$A:$AZ,COLUMN(AI55)-$A$5,0)),0)</f>
        <v>210175000000</v>
      </c>
      <c r="AJ55" s="59" t="str">
        <f>IFERROR((VLOOKUP($A55,'Dados StatusInvest'!$A:$AZ,COLUMN(AJ55)-$A$5,0)),0)</f>
        <v/>
      </c>
      <c r="AK55" s="60" t="str">
        <f>IFERROR(__xludf.DUMMYFUNCTION("IFERROR(GOOGLEFINANCE($A55,""high""),"""")"),"")</f>
        <v/>
      </c>
      <c r="AL55" s="60" t="str">
        <f>IFERROR(__xludf.DUMMYFUNCTION("IFERROR(GOOGLEFINANCE($A55,""low""),"""")"),"")</f>
        <v/>
      </c>
      <c r="AM55" s="61">
        <f t="shared" si="2"/>
        <v>0</v>
      </c>
      <c r="AN55" s="62">
        <f>IFERROR(__xludf.DUMMYFUNCTION("IFERROR((GOOGLEFINANCE($A55,""volume"")),0)"),0.0)</f>
        <v>0</v>
      </c>
      <c r="AO55" s="60">
        <f>IFERROR(__xludf.DUMMYFUNCTION("IFERROR((GOOGLEFINANCE($A55,""closeyest"")),"""")"),5060.0)</f>
        <v>5060</v>
      </c>
      <c r="AP55" s="60" t="str">
        <f>IFERROR(__xludf.DUMMYFUNCTION("IFERROR((GOOGLEFINANCE($A55,""shares"")),"""")"),"")</f>
        <v/>
      </c>
      <c r="AQ55" s="18"/>
    </row>
    <row r="56">
      <c r="A56" s="45" t="str">
        <f>'Dados StatusInvest'!A51:A670</f>
        <v>BBDC4</v>
      </c>
      <c r="B56" s="46" t="str">
        <f>IFERROR(__xludf.DUMMYFUNCTION("IFERROR((GOOGLEFINANCE(A56,""name"")),"""")"),"Banco Bradesco SA Preference Shares")</f>
        <v>Banco Bradesco SA Preference Shares</v>
      </c>
      <c r="C56" s="46" t="str">
        <f>IFERROR((VLOOKUP(LEFT($A56,4),Setor!$A:$E,3,0)),"")</f>
        <v>Financeiro</v>
      </c>
      <c r="D56" s="46" t="str">
        <f>IFERROR((VLOOKUP(LEFT($A56,4),Setor!$A:$E,4,0)),"")</f>
        <v>Intermediários Financeiros</v>
      </c>
      <c r="E56" s="46" t="str">
        <f>IFERROR((VLOOKUP(LEFT($A56,4),Setor!$A:$E,5,0)),"")</f>
        <v>Bancos</v>
      </c>
      <c r="F56" s="47">
        <f>IFERROR(__xludf.DUMMYFUNCTION("IFERROR((GOOGLEFINANCE(A56)),"""")"),21.19)</f>
        <v>21.19</v>
      </c>
      <c r="G56" s="48" t="str">
        <f>IFERROR(__xludf.DUMMYFUNCTION("IFERROR((sparkline(GOOGLEFINANCE($A56,""price"",TODAY()-30,TODAY(),""DAILY""),{""charttype"",""line"";""linewidth"",1;""color"",""#5f88cc""})),"""")"),"")</f>
        <v/>
      </c>
      <c r="H56" s="49">
        <f>IFERROR(__xludf.DUMMYFUNCTION("IFERROR((((GOOGLEFINANCE(A56))-(INDEX(GoogleFinance(A56,""PRICE"",$AQ$1),2,2)))/(INDEX(GoogleFinance(A56,""PRICE"",$AQ$1),2,2))),"""")"),0.07236842105263155)</f>
        <v>0.07236842105</v>
      </c>
      <c r="I56" s="47">
        <f>IFERROR(__xludf.DUMMYFUNCTION("IFERROR((GOOGLEFINANCE($A56,""high52"")),"""")"),22.12)</f>
        <v>22.12</v>
      </c>
      <c r="J56" s="48" t="str">
        <f>IFERROR(__xludf.DUMMYFUNCTION("IFERROR((sparkline(GOOGLEFINANCE($A56,""price"",TODAY()-365,TODAY(),""DAILY""),{""charttype"",""line"";""linewidth"",1;""color"",""#5f88cc""})),"""")"),"")</f>
        <v/>
      </c>
      <c r="K56" s="50">
        <f>IFERROR(__xludf.DUMMYFUNCTION("IFERROR((((GOOGLEFINANCE(A56))-(INDEX(GoogleFinance(A56,""PRICE"",$AP$1),2,2)))/(INDEX(GoogleFinance(A56,""PRICE"",$AP$1),2,2))),"""")"),0.7732217573221759)</f>
        <v>0.7732217573</v>
      </c>
      <c r="L56" s="51">
        <f t="shared" si="1"/>
        <v>-0.04204339964</v>
      </c>
      <c r="M56" s="52">
        <f>IFERROR((VLOOKUP($A56,'Dados StatusInvest'!$A:$AZ,COLUMN(M56)-$A$5,0)*VLOOKUP($A56,'Dados StatusInvest'!$A:$AZ,2,0)/$F56/100),0)</f>
        <v>0.07831401605</v>
      </c>
      <c r="N56" s="53">
        <f>IFERROR((VLOOKUP($A56,'Dados StatusInvest'!$A:$AZ,COLUMN(N56)-$A$5,0)/VLOOKUP($A56,'Dados StatusInvest'!$A:$AZ,2,0)*$F56),"")</f>
        <v>8.791912799</v>
      </c>
      <c r="O56" s="53">
        <f>IFERROR((VLOOKUP($A56,'Dados StatusInvest'!$A:$AZ,COLUMN(O56)-$A$5,0)/VLOOKUP($A56,'Dados StatusInvest'!$A:$AZ,2,0)*$F56),0)</f>
        <v>10.6794421</v>
      </c>
      <c r="P56" s="54">
        <f>IFERROR((VLOOKUP($A56,'Dados StatusInvest'!$A:$AZ,COLUMN(P56)-$A$5,0)/VLOOKUP($A56,'Dados StatusInvest'!$A:$AZ,2,0)*$F56),0)</f>
        <v>9.934364744</v>
      </c>
      <c r="Q56" s="55">
        <f>IFERROR((VLOOKUP($A56,'Dados StatusInvest'!$A:$AZ,COLUMN(Q56)-$A$5,0)/100),0)</f>
        <v>0</v>
      </c>
      <c r="R56" s="56">
        <f>VLOOKUP($A56,'Dados StatusInvest'!$A:$AZ,COLUMN(R56)-$A$5,0)</f>
        <v>0</v>
      </c>
      <c r="S56" s="56">
        <f>IFERROR((VLOOKUP($A56,'Dados StatusInvest'!$A:$AZ,COLUMN(S56)-$A$5,0)),0)</f>
        <v>0.84</v>
      </c>
      <c r="T56" s="53">
        <f>IFERROR((VLOOKUP($A56,'Dados StatusInvest'!$A:$AZ,COLUMN(T56)-$A$5,0)/VLOOKUP($A56,'Dados StatusInvest'!$A:$AZ,2,0)*$F56),0)</f>
        <v>1.281533052</v>
      </c>
      <c r="U56" s="53">
        <f>IFERROR((VLOOKUP($A56,'Dados StatusInvest'!$A:$AZ,COLUMN(U56)-$A$5,0)-VLOOKUP($A56,'Dados StatusInvest'!$A:$AZ,COLUMN(U56)-$A$5-1,0)+T56),0)</f>
        <v>-0.118466948</v>
      </c>
      <c r="V56" s="56">
        <f>IFERROR((VLOOKUP($A56,'Dados StatusInvest'!$A:$AZ,COLUMN(V56)-$A$5,0)),0)</f>
        <v>10.59</v>
      </c>
      <c r="W56" s="56">
        <f>IFERROR((VLOOKUP($A56,'Dados StatusInvest'!$A:$AZ,COLUMN(W56)-$A$5,0)),0)</f>
        <v>13.37</v>
      </c>
      <c r="X56" s="53">
        <f>IFERROR((VLOOKUP($A56,'Dados StatusInvest'!$A:$AZ,COLUMN(X56)-$A$5,0)/VLOOKUP($A56,'Dados StatusInvest'!$A:$AZ,2,0)*$F56),0)</f>
        <v>1.023239569</v>
      </c>
      <c r="Y56" s="54">
        <f>IFERROR((VLOOKUP($A56,'Dados StatusInvest'!$A:$AZ,COLUMN(Y56)-$A$5,0)/VLOOKUP($A56,'Dados StatusInvest'!$A:$AZ,2,0)*$F56),0)</f>
        <v>0</v>
      </c>
      <c r="Z56" s="56">
        <f>IFERROR((VLOOKUP($A56,'Dados StatusInvest'!$A:$AZ,COLUMN(Z56)-$A$5,0)),0)</f>
        <v>0.08</v>
      </c>
      <c r="AA56" s="57">
        <f>IFERROR((VLOOKUP($A56,'Dados StatusInvest'!$A:$AZ,COLUMN(AA56)-$A$5,0)),0)</f>
        <v>0.92</v>
      </c>
      <c r="AB56" s="57">
        <f>IFERROR((VLOOKUP($A56,'Dados StatusInvest'!$A:$AZ,COLUMN(AB56)-$A$5,0)),0)</f>
        <v>0.12</v>
      </c>
      <c r="AC56" s="58">
        <f>IFERROR((VLOOKUP($A56,'Dados StatusInvest'!$A:$AZ,COLUMN(AC56)-$A$5,0)),0)</f>
        <v>22.38</v>
      </c>
      <c r="AD56" s="57">
        <f>IFERROR((VLOOKUP($A56,'Dados StatusInvest'!$A:$AZ,COLUMN(AD56)-$A$5,0)),0)</f>
        <v>8.33</v>
      </c>
      <c r="AE56" s="56">
        <f>IFERROR((VLOOKUP($A56,'Dados StatusInvest'!$A:$AZ,COLUMN(AE56)-$A$5,0)),0)</f>
        <v>827000000</v>
      </c>
      <c r="AF56" s="56">
        <f>IFERROR((VLOOKUP($A56,'Dados StatusInvest'!$A:$AZ,COLUMN(AF56)-$A$5,0)),0)</f>
        <v>16.89</v>
      </c>
      <c r="AG56" s="56">
        <f>IFERROR((VLOOKUP($A56,'Dados StatusInvest'!$A:$AZ,COLUMN(AG56)-$A$5,0)),0)</f>
        <v>2.26</v>
      </c>
      <c r="AH56" s="56">
        <f>IFERROR((VLOOKUP($A56,'Dados StatusInvest'!$A:$AZ,COLUMN(AH56)-$A$5,0)),0)</f>
        <v>0.26</v>
      </c>
      <c r="AI56" s="57">
        <f>IFERROR((VLOOKUP($A56,'Dados StatusInvest'!$A:$AZ,COLUMN(AI56)-$A$5,0)),0)</f>
        <v>210175000000</v>
      </c>
      <c r="AJ56" s="59" t="str">
        <f>IFERROR((VLOOKUP($A56,'Dados StatusInvest'!$A:$AZ,COLUMN(AJ56)-$A$5,0)),0)</f>
        <v/>
      </c>
      <c r="AK56" s="60">
        <f>IFERROR(__xludf.DUMMYFUNCTION("IFERROR(GOOGLEFINANCE($A56,""high""),"""")"),21.28)</f>
        <v>21.28</v>
      </c>
      <c r="AL56" s="60">
        <f>IFERROR(__xludf.DUMMYFUNCTION("IFERROR(GOOGLEFINANCE($A56,""low""),"""")"),21.04)</f>
        <v>21.04</v>
      </c>
      <c r="AM56" s="61">
        <f t="shared" si="2"/>
        <v>0.01140684411</v>
      </c>
      <c r="AN56" s="62">
        <f>IFERROR(__xludf.DUMMYFUNCTION("IFERROR((GOOGLEFINANCE($A56,""volume"")),0)"),2162500.0)</f>
        <v>2162500</v>
      </c>
      <c r="AO56" s="60">
        <f>IFERROR(__xludf.DUMMYFUNCTION("IFERROR((GOOGLEFINANCE($A56,""closeyest"")),"""")"),21.33)</f>
        <v>21.33</v>
      </c>
      <c r="AP56" s="60">
        <f>IFERROR(__xludf.DUMMYFUNCTION("IFERROR((GOOGLEFINANCE($A56,""shares"")),"""")"),5.288141247E9)</f>
        <v>5288141247</v>
      </c>
      <c r="AQ56" s="18"/>
    </row>
    <row r="57">
      <c r="A57" s="45" t="str">
        <f>'Dados StatusInvest'!A52:A671</f>
        <v>BBML3</v>
      </c>
      <c r="B57" s="46" t="str">
        <f>IFERROR(__xludf.DUMMYFUNCTION("IFERROR((GOOGLEFINANCE(A57,""name"")),"""")"),"BBM Logistica SA")</f>
        <v>BBM Logistica SA</v>
      </c>
      <c r="C57" s="46" t="str">
        <f>IFERROR((VLOOKUP(LEFT($A57,4),Setor!$A:$E,3,0)),"")</f>
        <v>Bens Industriais</v>
      </c>
      <c r="D57" s="46" t="str">
        <f>IFERROR((VLOOKUP(LEFT($A57,4),Setor!$A:$E,4,0)),"")</f>
        <v>Serviços Diversos</v>
      </c>
      <c r="E57" s="46" t="str">
        <f>IFERROR((VLOOKUP(LEFT($A57,4),Setor!$A:$E,5,0)),"")</f>
        <v>Serviços Diversos</v>
      </c>
      <c r="F57" s="47">
        <f>IFERROR(__xludf.DUMMYFUNCTION("IFERROR((GOOGLEFINANCE(A57)),"""")"),0.0)</f>
        <v>0</v>
      </c>
      <c r="G57" s="48" t="str">
        <f>IFERROR(__xludf.DUMMYFUNCTION("IFERROR((sparkline(GOOGLEFINANCE($A57,""price"",TODAY()-30,TODAY(),""DAILY""),{""charttype"",""line"";""linewidth"",1;""color"",""#5f88cc""})),"""")"),"")</f>
        <v/>
      </c>
      <c r="H57" s="49" t="str">
        <f>IFERROR(__xludf.DUMMYFUNCTION("IFERROR((((GOOGLEFINANCE(A57))-(INDEX(GoogleFinance(A57,""PRICE"",$AQ$1),2,2)))/(INDEX(GoogleFinance(A57,""PRICE"",$AQ$1),2,2))),"""")"),"")</f>
        <v/>
      </c>
      <c r="I57" s="47" t="str">
        <f>IFERROR(__xludf.DUMMYFUNCTION("IFERROR((GOOGLEFINANCE($A57,""high52"")),"""")"),"")</f>
        <v/>
      </c>
      <c r="J57" s="48" t="str">
        <f>IFERROR(__xludf.DUMMYFUNCTION("IFERROR((sparkline(GOOGLEFINANCE($A57,""price"",TODAY()-365,TODAY(),""DAILY""),{""charttype"",""line"";""linewidth"",1;""color"",""#5f88cc""})),"""")"),"")</f>
        <v/>
      </c>
      <c r="K57" s="50" t="str">
        <f>IFERROR(__xludf.DUMMYFUNCTION("IFERROR((((GOOGLEFINANCE(A57))-(INDEX(GoogleFinance(A57,""PRICE"",$AP$1),2,2)))/(INDEX(GoogleFinance(A57,""PRICE"",$AP$1),2,2))),"""")"),"")</f>
        <v/>
      </c>
      <c r="L57" s="51">
        <f t="shared" si="1"/>
        <v>0</v>
      </c>
      <c r="M57" s="52">
        <f>IFERROR((VLOOKUP($A57,'Dados StatusInvest'!$A:$AZ,COLUMN(M57)-$A$5,0)*VLOOKUP($A57,'Dados StatusInvest'!$A:$AZ,2,0)/$F57/100),0)</f>
        <v>0</v>
      </c>
      <c r="N57" s="53">
        <f>IFERROR((VLOOKUP($A57,'Dados StatusInvest'!$A:$AZ,COLUMN(N57)-$A$5,0)/VLOOKUP($A57,'Dados StatusInvest'!$A:$AZ,2,0)*$F57),"")</f>
        <v>0</v>
      </c>
      <c r="O57" s="53">
        <f>IFERROR((VLOOKUP($A57,'Dados StatusInvest'!$A:$AZ,COLUMN(O57)-$A$5,0)/VLOOKUP($A57,'Dados StatusInvest'!$A:$AZ,2,0)*$F57),0)</f>
        <v>0</v>
      </c>
      <c r="P57" s="54">
        <f>IFERROR((VLOOKUP($A57,'Dados StatusInvest'!$A:$AZ,COLUMN(P57)-$A$5,0)/VLOOKUP($A57,'Dados StatusInvest'!$A:$AZ,2,0)*$F57),0)</f>
        <v>0</v>
      </c>
      <c r="Q57" s="55">
        <f>IFERROR((VLOOKUP($A57,'Dados StatusInvest'!$A:$AZ,COLUMN(Q57)-$A$5,0)/100),0)</f>
        <v>-0.0456</v>
      </c>
      <c r="R57" s="56">
        <f>VLOOKUP($A57,'Dados StatusInvest'!$A:$AZ,COLUMN(R57)-$A$5,0)</f>
        <v>0</v>
      </c>
      <c r="S57" s="56">
        <f>IFERROR((VLOOKUP($A57,'Dados StatusInvest'!$A:$AZ,COLUMN(S57)-$A$5,0)),0)</f>
        <v>117.74</v>
      </c>
      <c r="T57" s="53">
        <f>IFERROR((VLOOKUP($A57,'Dados StatusInvest'!$A:$AZ,COLUMN(T57)-$A$5,0)/VLOOKUP($A57,'Dados StatusInvest'!$A:$AZ,2,0)*$F57),0)</f>
        <v>0</v>
      </c>
      <c r="U57" s="53">
        <f>IFERROR((VLOOKUP($A57,'Dados StatusInvest'!$A:$AZ,COLUMN(U57)-$A$5,0)-VLOOKUP($A57,'Dados StatusInvest'!$A:$AZ,COLUMN(U57)-$A$5-1,0)+T57),0)</f>
        <v>-60.51</v>
      </c>
      <c r="V57" s="56">
        <f>IFERROR((VLOOKUP($A57,'Dados StatusInvest'!$A:$AZ,COLUMN(V57)-$A$5,0)),0)</f>
        <v>0.22</v>
      </c>
      <c r="W57" s="56">
        <f>IFERROR((VLOOKUP($A57,'Dados StatusInvest'!$A:$AZ,COLUMN(W57)-$A$5,0)),0)</f>
        <v>-54.89</v>
      </c>
      <c r="X57" s="53">
        <f>IFERROR((VLOOKUP($A57,'Dados StatusInvest'!$A:$AZ,COLUMN(X57)-$A$5,0)/VLOOKUP($A57,'Dados StatusInvest'!$A:$AZ,2,0)*$F57),0)</f>
        <v>0</v>
      </c>
      <c r="Y57" s="54">
        <f>IFERROR((VLOOKUP($A57,'Dados StatusInvest'!$A:$AZ,COLUMN(Y57)-$A$5,0)/VLOOKUP($A57,'Dados StatusInvest'!$A:$AZ,2,0)*$F57),0)</f>
        <v>0</v>
      </c>
      <c r="Z57" s="56">
        <f>IFERROR((VLOOKUP($A57,'Dados StatusInvest'!$A:$AZ,COLUMN(Z57)-$A$5,0)),0)</f>
        <v>-0.45</v>
      </c>
      <c r="AA57" s="57">
        <f>IFERROR((VLOOKUP($A57,'Dados StatusInvest'!$A:$AZ,COLUMN(AA57)-$A$5,0)),0)</f>
        <v>1.45</v>
      </c>
      <c r="AB57" s="57">
        <f>IFERROR((VLOOKUP($A57,'Dados StatusInvest'!$A:$AZ,COLUMN(AB57)-$A$5,0)),0)</f>
        <v>1.24</v>
      </c>
      <c r="AC57" s="58">
        <f>IFERROR((VLOOKUP($A57,'Dados StatusInvest'!$A:$AZ,COLUMN(AC57)-$A$5,0)),0)</f>
        <v>18.96</v>
      </c>
      <c r="AD57" s="57">
        <f>IFERROR((VLOOKUP($A57,'Dados StatusInvest'!$A:$AZ,COLUMN(AD57)-$A$5,0)),0)</f>
        <v>0</v>
      </c>
      <c r="AE57" s="56">
        <f>IFERROR((VLOOKUP($A57,'Dados StatusInvest'!$A:$AZ,COLUMN(AE57)-$A$5,0)),0)</f>
        <v>0</v>
      </c>
      <c r="AF57" s="56">
        <f>IFERROR((VLOOKUP($A57,'Dados StatusInvest'!$A:$AZ,COLUMN(AF57)-$A$5,0)),0)</f>
        <v>-12.02</v>
      </c>
      <c r="AG57" s="56">
        <f>IFERROR((VLOOKUP($A57,'Dados StatusInvest'!$A:$AZ,COLUMN(AG57)-$A$5,0)),0)</f>
        <v>-6.6</v>
      </c>
      <c r="AH57" s="56">
        <f>IFERROR((VLOOKUP($A57,'Dados StatusInvest'!$A:$AZ,COLUMN(AH57)-$A$5,0)),0)</f>
        <v>-9.99</v>
      </c>
      <c r="AI57" s="57">
        <f>IFERROR((VLOOKUP($A57,'Dados StatusInvest'!$A:$AZ,COLUMN(AI57)-$A$5,0)),0)</f>
        <v>160452000000</v>
      </c>
      <c r="AJ57" s="59" t="str">
        <f>IFERROR((VLOOKUP($A57,'Dados StatusInvest'!$A:$AZ,COLUMN(AJ57)-$A$5,0)),0)</f>
        <v/>
      </c>
      <c r="AK57" s="60" t="str">
        <f>IFERROR(__xludf.DUMMYFUNCTION("IFERROR(GOOGLEFINANCE($A57,""high""),"""")"),"")</f>
        <v/>
      </c>
      <c r="AL57" s="60" t="str">
        <f>IFERROR(__xludf.DUMMYFUNCTION("IFERROR(GOOGLEFINANCE($A57,""low""),"""")"),"")</f>
        <v/>
      </c>
      <c r="AM57" s="61">
        <f t="shared" si="2"/>
        <v>0</v>
      </c>
      <c r="AN57" s="62">
        <f>IFERROR(__xludf.DUMMYFUNCTION("IFERROR((GOOGLEFINANCE($A57,""volume"")),0)"),0.0)</f>
        <v>0</v>
      </c>
      <c r="AO57" s="60" t="str">
        <f>IFERROR(__xludf.DUMMYFUNCTION("IFERROR((GOOGLEFINANCE($A57,""closeyest"")),"""")"),"")</f>
        <v/>
      </c>
      <c r="AP57" s="60">
        <f>IFERROR(__xludf.DUMMYFUNCTION("IFERROR((GOOGLEFINANCE($A57,""shares"")),"""")"),4.0760818E7)</f>
        <v>40760818</v>
      </c>
      <c r="AQ57" s="18"/>
    </row>
    <row r="58">
      <c r="A58" s="45" t="str">
        <f>'Dados StatusInvest'!A53:A672</f>
        <v>BBSE3</v>
      </c>
      <c r="B58" s="46" t="str">
        <f>IFERROR(__xludf.DUMMYFUNCTION("IFERROR((GOOGLEFINANCE(A58,""name"")),"""")"),"BB Seguridade Participacoes SA")</f>
        <v>BB Seguridade Participacoes SA</v>
      </c>
      <c r="C58" s="46" t="str">
        <f>IFERROR((VLOOKUP(LEFT($A58,4),Setor!$A:$E,3,0)),"")</f>
        <v>Financeiro</v>
      </c>
      <c r="D58" s="46" t="str">
        <f>IFERROR((VLOOKUP(LEFT($A58,4),Setor!$A:$E,4,0)),"")</f>
        <v>Previdência e Seguros</v>
      </c>
      <c r="E58" s="46" t="str">
        <f>IFERROR((VLOOKUP(LEFT($A58,4),Setor!$A:$E,5,0)),"")</f>
        <v>Seguradoras</v>
      </c>
      <c r="F58" s="47">
        <f>IFERROR(__xludf.DUMMYFUNCTION("IFERROR((GOOGLEFINANCE(A58)),"""")"),33.67)</f>
        <v>33.67</v>
      </c>
      <c r="G58" s="48" t="str">
        <f>IFERROR(__xludf.DUMMYFUNCTION("IFERROR((sparkline(GOOGLEFINANCE($A58,""price"",TODAY()-30,TODAY(),""DAILY""),{""charttype"",""line"";""linewidth"",1;""color"",""#5f88cc""})),"""")"),"")</f>
        <v/>
      </c>
      <c r="H58" s="49">
        <f>IFERROR(__xludf.DUMMYFUNCTION("IFERROR((((GOOGLEFINANCE(A58))-(INDEX(GoogleFinance(A58,""PRICE"",$AQ$1),2,2)))/(INDEX(GoogleFinance(A58,""PRICE"",$AQ$1),2,2))),"""")"),-0.06963249516440995)</f>
        <v>-0.06963249516</v>
      </c>
      <c r="I58" s="47">
        <f>IFERROR(__xludf.DUMMYFUNCTION("IFERROR((GOOGLEFINANCE($A58,""high52"")),"""")"),37.64)</f>
        <v>37.64</v>
      </c>
      <c r="J58" s="48" t="str">
        <f>IFERROR(__xludf.DUMMYFUNCTION("IFERROR((sparkline(GOOGLEFINANCE($A58,""price"",TODAY()-365,TODAY(),""DAILY""),{""charttype"",""line"";""linewidth"",1;""color"",""#5f88cc""})),"""")"),"")</f>
        <v/>
      </c>
      <c r="K58" s="50">
        <f>IFERROR(__xludf.DUMMYFUNCTION("IFERROR((((GOOGLEFINANCE(A58))-(INDEX(GoogleFinance(A58,""PRICE"",$AP$1),2,2)))/(INDEX(GoogleFinance(A58,""PRICE"",$AP$1),2,2))),"""")"),-0.15529352734570992)</f>
        <v>-0.1552935273</v>
      </c>
      <c r="L58" s="51">
        <f t="shared" si="1"/>
        <v>-0.1054729012</v>
      </c>
      <c r="M58" s="52">
        <f>IFERROR((VLOOKUP($A58,'Dados StatusInvest'!$A:$AZ,COLUMN(M58)-$A$5,0)*VLOOKUP($A58,'Dados StatusInvest'!$A:$AZ,2,0)/$F58/100),0)</f>
        <v>0</v>
      </c>
      <c r="N58" s="53">
        <f>IFERROR((VLOOKUP($A58,'Dados StatusInvest'!$A:$AZ,COLUMN(N58)-$A$5,0)/VLOOKUP($A58,'Dados StatusInvest'!$A:$AZ,2,0)*$F58),"")</f>
        <v>0</v>
      </c>
      <c r="O58" s="53">
        <f>IFERROR((VLOOKUP($A58,'Dados StatusInvest'!$A:$AZ,COLUMN(O58)-$A$5,0)/VLOOKUP($A58,'Dados StatusInvest'!$A:$AZ,2,0)*$F58),0)</f>
        <v>6.808198332</v>
      </c>
      <c r="P58" s="54">
        <f>IFERROR((VLOOKUP($A58,'Dados StatusInvest'!$A:$AZ,COLUMN(P58)-$A$5,0)/VLOOKUP($A58,'Dados StatusInvest'!$A:$AZ,2,0)*$F58),0)</f>
        <v>6.808198332</v>
      </c>
      <c r="Q58" s="55">
        <f>IFERROR((VLOOKUP($A58,'Dados StatusInvest'!$A:$AZ,COLUMN(Q58)-$A$5,0)/100),0)</f>
        <v>0</v>
      </c>
      <c r="R58" s="56">
        <f>VLOOKUP($A58,'Dados StatusInvest'!$A:$AZ,COLUMN(R58)-$A$5,0)</f>
        <v>0</v>
      </c>
      <c r="S58" s="56">
        <f>IFERROR((VLOOKUP($A58,'Dados StatusInvest'!$A:$AZ,COLUMN(S58)-$A$5,0)),0)</f>
        <v>0</v>
      </c>
      <c r="T58" s="53">
        <f>IFERROR((VLOOKUP($A58,'Dados StatusInvest'!$A:$AZ,COLUMN(T58)-$A$5,0)/VLOOKUP($A58,'Dados StatusInvest'!$A:$AZ,2,0)*$F58),0)</f>
        <v>13.51612865</v>
      </c>
      <c r="U58" s="53">
        <f>IFERROR((VLOOKUP($A58,'Dados StatusInvest'!$A:$AZ,COLUMN(U58)-$A$5,0)-VLOOKUP($A58,'Dados StatusInvest'!$A:$AZ,COLUMN(U58)-$A$5-1,0)+T58),0)</f>
        <v>-5.663871352</v>
      </c>
      <c r="V58" s="56">
        <f>IFERROR((VLOOKUP($A58,'Dados StatusInvest'!$A:$AZ,COLUMN(V58)-$A$5,0)),0)</f>
        <v>2.35</v>
      </c>
      <c r="W58" s="56">
        <f>IFERROR((VLOOKUP($A58,'Dados StatusInvest'!$A:$AZ,COLUMN(W58)-$A$5,0)),0)</f>
        <v>69.93</v>
      </c>
      <c r="X58" s="53">
        <f>IFERROR((VLOOKUP($A58,'Dados StatusInvest'!$A:$AZ,COLUMN(X58)-$A$5,0)/VLOOKUP($A58,'Dados StatusInvest'!$A:$AZ,2,0)*$F58),0)</f>
        <v>44.14800774</v>
      </c>
      <c r="Y58" s="54">
        <f>IFERROR((VLOOKUP($A58,'Dados StatusInvest'!$A:$AZ,COLUMN(Y58)-$A$5,0)/VLOOKUP($A58,'Dados StatusInvest'!$A:$AZ,2,0)*$F58),0)</f>
        <v>0</v>
      </c>
      <c r="Z58" s="56">
        <f>IFERROR((VLOOKUP($A58,'Dados StatusInvest'!$A:$AZ,COLUMN(Z58)-$A$5,0)),0)</f>
        <v>0.63</v>
      </c>
      <c r="AA58" s="57">
        <f>IFERROR((VLOOKUP($A58,'Dados StatusInvest'!$A:$AZ,COLUMN(AA58)-$A$5,0)),0)</f>
        <v>0.37</v>
      </c>
      <c r="AB58" s="57">
        <f>IFERROR((VLOOKUP($A58,'Dados StatusInvest'!$A:$AZ,COLUMN(AB58)-$A$5,0)),0)</f>
        <v>0</v>
      </c>
      <c r="AC58" s="58">
        <f>IFERROR((VLOOKUP($A58,'Dados StatusInvest'!$A:$AZ,COLUMN(AC58)-$A$5,0)),0)</f>
        <v>0</v>
      </c>
      <c r="AD58" s="57">
        <f>IFERROR((VLOOKUP($A58,'Dados StatusInvest'!$A:$AZ,COLUMN(AD58)-$A$5,0)),0)</f>
        <v>6.21</v>
      </c>
      <c r="AE58" s="56">
        <f>IFERROR((VLOOKUP($A58,'Dados StatusInvest'!$A:$AZ,COLUMN(AE58)-$A$5,0)),0)</f>
        <v>309000000</v>
      </c>
      <c r="AF58" s="56">
        <f>IFERROR((VLOOKUP($A58,'Dados StatusInvest'!$A:$AZ,COLUMN(AF58)-$A$5,0)),0)</f>
        <v>6.43</v>
      </c>
      <c r="AG58" s="56">
        <f>IFERROR((VLOOKUP($A58,'Dados StatusInvest'!$A:$AZ,COLUMN(AG58)-$A$5,0)),0)</f>
        <v>4.5</v>
      </c>
      <c r="AH58" s="56">
        <f>IFERROR((VLOOKUP($A58,'Dados StatusInvest'!$A:$AZ,COLUMN(AH58)-$A$5,0)),0)</f>
        <v>1.31</v>
      </c>
      <c r="AI58" s="57">
        <f>IFERROR((VLOOKUP($A58,'Dados StatusInvest'!$A:$AZ,COLUMN(AI58)-$A$5,0)),0)</f>
        <v>67160000000</v>
      </c>
      <c r="AJ58" s="59" t="str">
        <f>IFERROR((VLOOKUP($A58,'Dados StatusInvest'!$A:$AZ,COLUMN(AJ58)-$A$5,0)),0)</f>
        <v/>
      </c>
      <c r="AK58" s="60">
        <f>IFERROR(__xludf.DUMMYFUNCTION("IFERROR(GOOGLEFINANCE($A58,""high""),"""")"),33.81)</f>
        <v>33.81</v>
      </c>
      <c r="AL58" s="60">
        <f>IFERROR(__xludf.DUMMYFUNCTION("IFERROR(GOOGLEFINANCE($A58,""low""),"""")"),33.47)</f>
        <v>33.47</v>
      </c>
      <c r="AM58" s="61">
        <f t="shared" si="2"/>
        <v>0.01015835076</v>
      </c>
      <c r="AN58" s="62">
        <f>IFERROR(__xludf.DUMMYFUNCTION("IFERROR((GOOGLEFINANCE($A58,""volume"")),0)"),429500.0)</f>
        <v>429500</v>
      </c>
      <c r="AO58" s="60">
        <f>IFERROR(__xludf.DUMMYFUNCTION("IFERROR((GOOGLEFINANCE($A58,""closeyest"")),"""")"),33.58)</f>
        <v>33.58</v>
      </c>
      <c r="AP58" s="60">
        <f>IFERROR(__xludf.DUMMYFUNCTION("IFERROR((GOOGLEFINANCE($A58,""shares"")),"""")"),2.0E9)</f>
        <v>2000000000</v>
      </c>
      <c r="AQ58" s="18"/>
    </row>
    <row r="59">
      <c r="A59" s="45" t="str">
        <f>'Dados StatusInvest'!A54:A673</f>
        <v>BDLL3</v>
      </c>
      <c r="B59" s="46" t="str">
        <f>IFERROR(__xludf.DUMMYFUNCTION("IFERROR((GOOGLEFINANCE(A59,""name"")),"""")"),"Bardella SA Indstrs Mcncs em Rprc Jdcl")</f>
        <v>Bardella SA Indstrs Mcncs em Rprc Jdcl</v>
      </c>
      <c r="C59" s="46" t="str">
        <f>IFERROR((VLOOKUP(LEFT($A59,4),Setor!$A:$E,3,0)),"")</f>
        <v>Bens Industriais</v>
      </c>
      <c r="D59" s="46" t="str">
        <f>IFERROR((VLOOKUP(LEFT($A59,4),Setor!$A:$E,4,0)),"")</f>
        <v>Máquinas e Equipamentos</v>
      </c>
      <c r="E59" s="46" t="str">
        <f>IFERROR((VLOOKUP(LEFT($A59,4),Setor!$A:$E,5,0)),"")</f>
        <v>Máq. e Equip. Industriais</v>
      </c>
      <c r="F59" s="47">
        <f>IFERROR(__xludf.DUMMYFUNCTION("IFERROR((GOOGLEFINANCE(A59)),"""")"),7.05)</f>
        <v>7.05</v>
      </c>
      <c r="G59" s="48" t="str">
        <f>IFERROR(__xludf.DUMMYFUNCTION("IFERROR((sparkline(GOOGLEFINANCE($A59,""price"",TODAY()-30,TODAY(),""DAILY""),{""charttype"",""line"";""linewidth"",1;""color"",""#5f88cc""})),"""")"),"")</f>
        <v/>
      </c>
      <c r="H59" s="49" t="str">
        <f>IFERROR(__xludf.DUMMYFUNCTION("IFERROR((((GOOGLEFINANCE(A59))-(INDEX(GoogleFinance(A59,""PRICE"",$AQ$1),2,2)))/(INDEX(GoogleFinance(A59,""PRICE"",$AQ$1),2,2))),"""")"),"")</f>
        <v/>
      </c>
      <c r="I59" s="47">
        <f>IFERROR(__xludf.DUMMYFUNCTION("IFERROR((GOOGLEFINANCE($A59,""high52"")),"""")"),11.0)</f>
        <v>11</v>
      </c>
      <c r="J59" s="48" t="str">
        <f>IFERROR(__xludf.DUMMYFUNCTION("IFERROR((sparkline(GOOGLEFINANCE($A59,""price"",TODAY()-365,TODAY(),""DAILY""),{""charttype"",""line"";""linewidth"",1;""color"",""#5f88cc""})),"""")"),"")</f>
        <v/>
      </c>
      <c r="K59" s="50">
        <f>IFERROR(__xludf.DUMMYFUNCTION("IFERROR((((GOOGLEFINANCE(A59))-(INDEX(GoogleFinance(A59,""PRICE"",$AP$1),2,2)))/(INDEX(GoogleFinance(A59,""PRICE"",$AP$1),2,2))),"""")"),-0.3590909090909091)</f>
        <v>-0.3590909091</v>
      </c>
      <c r="L59" s="51">
        <f t="shared" si="1"/>
        <v>-0.3590909091</v>
      </c>
      <c r="M59" s="52">
        <f>IFERROR((VLOOKUP($A59,'Dados StatusInvest'!$A:$AZ,COLUMN(M59)-$A$5,0)*VLOOKUP($A59,'Dados StatusInvest'!$A:$AZ,2,0)/$F59/100),0)</f>
        <v>0.1916</v>
      </c>
      <c r="N59" s="53">
        <f>IFERROR((VLOOKUP($A59,'Dados StatusInvest'!$A:$AZ,COLUMN(N59)-$A$5,0)/VLOOKUP($A59,'Dados StatusInvest'!$A:$AZ,2,0)*$F59),"")</f>
        <v>25.56</v>
      </c>
      <c r="O59" s="53">
        <f>IFERROR((VLOOKUP($A59,'Dados StatusInvest'!$A:$AZ,COLUMN(O59)-$A$5,0)/VLOOKUP($A59,'Dados StatusInvest'!$A:$AZ,2,0)*$F59),0)</f>
        <v>1</v>
      </c>
      <c r="P59" s="54">
        <f>IFERROR((VLOOKUP($A59,'Dados StatusInvest'!$A:$AZ,COLUMN(P59)-$A$5,0)/VLOOKUP($A59,'Dados StatusInvest'!$A:$AZ,2,0)*$F59),0)</f>
        <v>16.32</v>
      </c>
      <c r="Q59" s="55">
        <f>IFERROR((VLOOKUP($A59,'Dados StatusInvest'!$A:$AZ,COLUMN(Q59)-$A$5,0)/100),0)</f>
        <v>0.1539</v>
      </c>
      <c r="R59" s="56">
        <f>VLOOKUP($A59,'Dados StatusInvest'!$A:$AZ,COLUMN(R59)-$A$5,0)</f>
        <v>0</v>
      </c>
      <c r="S59" s="56">
        <f>IFERROR((VLOOKUP($A59,'Dados StatusInvest'!$A:$AZ,COLUMN(S59)-$A$5,0)),0)</f>
        <v>0.19</v>
      </c>
      <c r="T59" s="53">
        <f>IFERROR((VLOOKUP($A59,'Dados StatusInvest'!$A:$AZ,COLUMN(T59)-$A$5,0)/VLOOKUP($A59,'Dados StatusInvest'!$A:$AZ,2,0)*$F59),0)</f>
        <v>-0.07</v>
      </c>
      <c r="U59" s="53">
        <f>IFERROR((VLOOKUP($A59,'Dados StatusInvest'!$A:$AZ,COLUMN(U59)-$A$5,0)-VLOOKUP($A59,'Dados StatusInvest'!$A:$AZ,COLUMN(U59)-$A$5-1,0)+T59),0)</f>
        <v>-0.05</v>
      </c>
      <c r="V59" s="56">
        <f>IFERROR((VLOOKUP($A59,'Dados StatusInvest'!$A:$AZ,COLUMN(V59)-$A$5,0)),0)</f>
        <v>0.55</v>
      </c>
      <c r="W59" s="56">
        <f>IFERROR((VLOOKUP($A59,'Dados StatusInvest'!$A:$AZ,COLUMN(W59)-$A$5,0)),0)</f>
        <v>-6.83</v>
      </c>
      <c r="X59" s="53">
        <f>IFERROR((VLOOKUP($A59,'Dados StatusInvest'!$A:$AZ,COLUMN(X59)-$A$5,0)/VLOOKUP($A59,'Dados StatusInvest'!$A:$AZ,2,0)*$F59),0)</f>
        <v>3.46</v>
      </c>
      <c r="Y59" s="54">
        <f>IFERROR((VLOOKUP($A59,'Dados StatusInvest'!$A:$AZ,COLUMN(Y59)-$A$5,0)/VLOOKUP($A59,'Dados StatusInvest'!$A:$AZ,2,0)*$F59),0)</f>
        <v>23.3</v>
      </c>
      <c r="Z59" s="56">
        <f>IFERROR((VLOOKUP($A59,'Dados StatusInvest'!$A:$AZ,COLUMN(Z59)-$A$5,0)),0)</f>
        <v>-0.51</v>
      </c>
      <c r="AA59" s="57">
        <f>IFERROR((VLOOKUP($A59,'Dados StatusInvest'!$A:$AZ,COLUMN(AA59)-$A$5,0)),0)</f>
        <v>1.51</v>
      </c>
      <c r="AB59" s="57">
        <f>IFERROR((VLOOKUP($A59,'Dados StatusInvest'!$A:$AZ,COLUMN(AB59)-$A$5,0)),0)</f>
        <v>0.14</v>
      </c>
      <c r="AC59" s="58">
        <f>IFERROR((VLOOKUP($A59,'Dados StatusInvest'!$A:$AZ,COLUMN(AC59)-$A$5,0)),0)</f>
        <v>-2.75</v>
      </c>
      <c r="AD59" s="57">
        <f>IFERROR((VLOOKUP($A59,'Dados StatusInvest'!$A:$AZ,COLUMN(AD59)-$A$5,0)),0)</f>
        <v>0</v>
      </c>
      <c r="AE59" s="56">
        <f>IFERROR((VLOOKUP($A59,'Dados StatusInvest'!$A:$AZ,COLUMN(AE59)-$A$5,0)),0)</f>
        <v>448.13</v>
      </c>
      <c r="AF59" s="56">
        <f>IFERROR((VLOOKUP($A59,'Dados StatusInvest'!$A:$AZ,COLUMN(AF59)-$A$5,0)),0)</f>
        <v>-137.84</v>
      </c>
      <c r="AG59" s="56">
        <f>IFERROR((VLOOKUP($A59,'Dados StatusInvest'!$A:$AZ,COLUMN(AG59)-$A$5,0)),0)</f>
        <v>9.42</v>
      </c>
      <c r="AH59" s="56">
        <f>IFERROR((VLOOKUP($A59,'Dados StatusInvest'!$A:$AZ,COLUMN(AH59)-$A$5,0)),0)</f>
        <v>-0.01</v>
      </c>
      <c r="AI59" s="57">
        <f>IFERROR((VLOOKUP($A59,'Dados StatusInvest'!$A:$AZ,COLUMN(AI59)-$A$5,0)),0)</f>
        <v>10594962.48</v>
      </c>
      <c r="AJ59" s="59" t="str">
        <f>IFERROR((VLOOKUP($A59,'Dados StatusInvest'!$A:$AZ,COLUMN(AJ59)-$A$5,0)),0)</f>
        <v/>
      </c>
      <c r="AK59" s="60" t="str">
        <f>IFERROR(__xludf.DUMMYFUNCTION("IFERROR(GOOGLEFINANCE($A59,""high""),"""")"),"")</f>
        <v/>
      </c>
      <c r="AL59" s="60" t="str">
        <f>IFERROR(__xludf.DUMMYFUNCTION("IFERROR(GOOGLEFINANCE($A59,""low""),"""")"),"")</f>
        <v/>
      </c>
      <c r="AM59" s="61">
        <f t="shared" si="2"/>
        <v>0</v>
      </c>
      <c r="AN59" s="62">
        <f>IFERROR(__xludf.DUMMYFUNCTION("IFERROR((GOOGLEFINANCE($A59,""volume"")),0)"),0.0)</f>
        <v>0</v>
      </c>
      <c r="AO59" s="60">
        <f>IFERROR(__xludf.DUMMYFUNCTION("IFERROR((GOOGLEFINANCE($A59,""closeyest"")),"""")"),7.05)</f>
        <v>7.05</v>
      </c>
      <c r="AP59" s="60">
        <f>IFERROR(__xludf.DUMMYFUNCTION("IFERROR((GOOGLEFINANCE($A59,""shares"")),"""")"),607192.0)</f>
        <v>607192</v>
      </c>
      <c r="AQ59" s="18"/>
    </row>
    <row r="60">
      <c r="A60" s="45" t="str">
        <f>'Dados StatusInvest'!A55:A674</f>
        <v>BDLL4</v>
      </c>
      <c r="B60" s="46" t="str">
        <f>IFERROR(__xludf.DUMMYFUNCTION("IFERROR((GOOGLEFINANCE(A60,""name"")),"""")"),"Bardella SA Indstrs Mcncs em Rprc Jdcl Preference Shares")</f>
        <v>Bardella SA Indstrs Mcncs em Rprc Jdcl Preference Shares</v>
      </c>
      <c r="C60" s="46" t="str">
        <f>IFERROR((VLOOKUP(LEFT($A60,4),Setor!$A:$E,3,0)),"")</f>
        <v>Bens Industriais</v>
      </c>
      <c r="D60" s="46" t="str">
        <f>IFERROR((VLOOKUP(LEFT($A60,4),Setor!$A:$E,4,0)),"")</f>
        <v>Máquinas e Equipamentos</v>
      </c>
      <c r="E60" s="46" t="str">
        <f>IFERROR((VLOOKUP(LEFT($A60,4),Setor!$A:$E,5,0)),"")</f>
        <v>Máq. e Equip. Industriais</v>
      </c>
      <c r="F60" s="47">
        <f>IFERROR(__xludf.DUMMYFUNCTION("IFERROR((GOOGLEFINANCE(A60)),"""")"),6.36)</f>
        <v>6.36</v>
      </c>
      <c r="G60" s="48" t="str">
        <f>IFERROR(__xludf.DUMMYFUNCTION("IFERROR((sparkline(GOOGLEFINANCE($A60,""price"",TODAY()-30,TODAY(),""DAILY""),{""charttype"",""line"";""linewidth"",1;""color"",""#5f88cc""})),"""")"),"")</f>
        <v/>
      </c>
      <c r="H60" s="49">
        <f>IFERROR(__xludf.DUMMYFUNCTION("IFERROR((((GOOGLEFINANCE(A60))-(INDEX(GoogleFinance(A60,""PRICE"",$AQ$1),2,2)))/(INDEX(GoogleFinance(A60,""PRICE"",$AQ$1),2,2))),"""")"),-0.036363636363636265)</f>
        <v>-0.03636363636</v>
      </c>
      <c r="I60" s="47">
        <f>IFERROR(__xludf.DUMMYFUNCTION("IFERROR((GOOGLEFINANCE($A60,""high52"")),"""")"),9.8)</f>
        <v>9.8</v>
      </c>
      <c r="J60" s="48" t="str">
        <f>IFERROR(__xludf.DUMMYFUNCTION("IFERROR((sparkline(GOOGLEFINANCE($A60,""price"",TODAY()-365,TODAY(),""DAILY""),{""charttype"",""line"";""linewidth"",1;""color"",""#5f88cc""})),"""")"),"")</f>
        <v/>
      </c>
      <c r="K60" s="50">
        <f>IFERROR(__xludf.DUMMYFUNCTION("IFERROR((((GOOGLEFINANCE(A60))-(INDEX(GoogleFinance(A60,""PRICE"",$AP$1),2,2)))/(INDEX(GoogleFinance(A60,""PRICE"",$AP$1),2,2))),"""")"),-0.3510204081632653)</f>
        <v>-0.3510204082</v>
      </c>
      <c r="L60" s="51">
        <f t="shared" si="1"/>
        <v>-0.3510204082</v>
      </c>
      <c r="M60" s="52">
        <f>IFERROR((VLOOKUP($A60,'Dados StatusInvest'!$A:$AZ,COLUMN(M60)-$A$5,0)*VLOOKUP($A60,'Dados StatusInvest'!$A:$AZ,2,0)/$F60/100),0)</f>
        <v>0.1916</v>
      </c>
      <c r="N60" s="53">
        <f>IFERROR((VLOOKUP($A60,'Dados StatusInvest'!$A:$AZ,COLUMN(N60)-$A$5,0)/VLOOKUP($A60,'Dados StatusInvest'!$A:$AZ,2,0)*$F60),"")</f>
        <v>25.56</v>
      </c>
      <c r="O60" s="53">
        <f>IFERROR((VLOOKUP($A60,'Dados StatusInvest'!$A:$AZ,COLUMN(O60)-$A$5,0)/VLOOKUP($A60,'Dados StatusInvest'!$A:$AZ,2,0)*$F60),0)</f>
        <v>0.9</v>
      </c>
      <c r="P60" s="54">
        <f>IFERROR((VLOOKUP($A60,'Dados StatusInvest'!$A:$AZ,COLUMN(P60)-$A$5,0)/VLOOKUP($A60,'Dados StatusInvest'!$A:$AZ,2,0)*$F60),0)</f>
        <v>16.32</v>
      </c>
      <c r="Q60" s="55">
        <f>IFERROR((VLOOKUP($A60,'Dados StatusInvest'!$A:$AZ,COLUMN(Q60)-$A$5,0)/100),0)</f>
        <v>0.1539</v>
      </c>
      <c r="R60" s="56">
        <f>VLOOKUP($A60,'Dados StatusInvest'!$A:$AZ,COLUMN(R60)-$A$5,0)</f>
        <v>0</v>
      </c>
      <c r="S60" s="56">
        <f>IFERROR((VLOOKUP($A60,'Dados StatusInvest'!$A:$AZ,COLUMN(S60)-$A$5,0)),0)</f>
        <v>0.17</v>
      </c>
      <c r="T60" s="53">
        <f>IFERROR((VLOOKUP($A60,'Dados StatusInvest'!$A:$AZ,COLUMN(T60)-$A$5,0)/VLOOKUP($A60,'Dados StatusInvest'!$A:$AZ,2,0)*$F60),0)</f>
        <v>-0.06</v>
      </c>
      <c r="U60" s="53">
        <f>IFERROR((VLOOKUP($A60,'Dados StatusInvest'!$A:$AZ,COLUMN(U60)-$A$5,0)-VLOOKUP($A60,'Dados StatusInvest'!$A:$AZ,COLUMN(U60)-$A$5-1,0)+T60),0)</f>
        <v>-0.04</v>
      </c>
      <c r="V60" s="56">
        <f>IFERROR((VLOOKUP($A60,'Dados StatusInvest'!$A:$AZ,COLUMN(V60)-$A$5,0)),0)</f>
        <v>0.55</v>
      </c>
      <c r="W60" s="56">
        <f>IFERROR((VLOOKUP($A60,'Dados StatusInvest'!$A:$AZ,COLUMN(W60)-$A$5,0)),0)</f>
        <v>-6.83</v>
      </c>
      <c r="X60" s="53">
        <f>IFERROR((VLOOKUP($A60,'Dados StatusInvest'!$A:$AZ,COLUMN(X60)-$A$5,0)/VLOOKUP($A60,'Dados StatusInvest'!$A:$AZ,2,0)*$F60),0)</f>
        <v>3.46</v>
      </c>
      <c r="Y60" s="54">
        <f>IFERROR((VLOOKUP($A60,'Dados StatusInvest'!$A:$AZ,COLUMN(Y60)-$A$5,0)/VLOOKUP($A60,'Dados StatusInvest'!$A:$AZ,2,0)*$F60),0)</f>
        <v>23.3</v>
      </c>
      <c r="Z60" s="56">
        <f>IFERROR((VLOOKUP($A60,'Dados StatusInvest'!$A:$AZ,COLUMN(Z60)-$A$5,0)),0)</f>
        <v>-0.51</v>
      </c>
      <c r="AA60" s="57">
        <f>IFERROR((VLOOKUP($A60,'Dados StatusInvest'!$A:$AZ,COLUMN(AA60)-$A$5,0)),0)</f>
        <v>1.51</v>
      </c>
      <c r="AB60" s="57">
        <f>IFERROR((VLOOKUP($A60,'Dados StatusInvest'!$A:$AZ,COLUMN(AB60)-$A$5,0)),0)</f>
        <v>0.14</v>
      </c>
      <c r="AC60" s="58">
        <f>IFERROR((VLOOKUP($A60,'Dados StatusInvest'!$A:$AZ,COLUMN(AC60)-$A$5,0)),0)</f>
        <v>-2.75</v>
      </c>
      <c r="AD60" s="57">
        <f>IFERROR((VLOOKUP($A60,'Dados StatusInvest'!$A:$AZ,COLUMN(AD60)-$A$5,0)),0)</f>
        <v>0</v>
      </c>
      <c r="AE60" s="56">
        <f>IFERROR((VLOOKUP($A60,'Dados StatusInvest'!$A:$AZ,COLUMN(AE60)-$A$5,0)),0)</f>
        <v>2010.87</v>
      </c>
      <c r="AF60" s="56">
        <f>IFERROR((VLOOKUP($A60,'Dados StatusInvest'!$A:$AZ,COLUMN(AF60)-$A$5,0)),0)</f>
        <v>-137.84</v>
      </c>
      <c r="AG60" s="56">
        <f>IFERROR((VLOOKUP($A60,'Dados StatusInvest'!$A:$AZ,COLUMN(AG60)-$A$5,0)),0)</f>
        <v>9.42</v>
      </c>
      <c r="AH60" s="56">
        <f>IFERROR((VLOOKUP($A60,'Dados StatusInvest'!$A:$AZ,COLUMN(AH60)-$A$5,0)),0)</f>
        <v>-0.01</v>
      </c>
      <c r="AI60" s="57">
        <f>IFERROR((VLOOKUP($A60,'Dados StatusInvest'!$A:$AZ,COLUMN(AI60)-$A$5,0)),0)</f>
        <v>10594962.48</v>
      </c>
      <c r="AJ60" s="59" t="str">
        <f>IFERROR((VLOOKUP($A60,'Dados StatusInvest'!$A:$AZ,COLUMN(AJ60)-$A$5,0)),0)</f>
        <v/>
      </c>
      <c r="AK60" s="60" t="str">
        <f>IFERROR(__xludf.DUMMYFUNCTION("IFERROR(GOOGLEFINANCE($A60,""high""),"""")"),"")</f>
        <v/>
      </c>
      <c r="AL60" s="60" t="str">
        <f>IFERROR(__xludf.DUMMYFUNCTION("IFERROR(GOOGLEFINANCE($A60,""low""),"""")"),"")</f>
        <v/>
      </c>
      <c r="AM60" s="61">
        <f t="shared" si="2"/>
        <v>0</v>
      </c>
      <c r="AN60" s="62">
        <f>IFERROR(__xludf.DUMMYFUNCTION("IFERROR((GOOGLEFINANCE($A60,""volume"")),0)"),0.0)</f>
        <v>0</v>
      </c>
      <c r="AO60" s="60">
        <f>IFERROR(__xludf.DUMMYFUNCTION("IFERROR((GOOGLEFINANCE($A60,""closeyest"")),"""")"),6.36)</f>
        <v>6.36</v>
      </c>
      <c r="AP60" s="60">
        <f>IFERROR(__xludf.DUMMYFUNCTION("IFERROR((GOOGLEFINANCE($A60,""shares"")),"""")"),992808.0)</f>
        <v>992808</v>
      </c>
      <c r="AQ60" s="18"/>
    </row>
    <row r="61">
      <c r="A61" s="45" t="str">
        <f>'Dados StatusInvest'!A56:A675</f>
        <v>BEEF3</v>
      </c>
      <c r="B61" s="46" t="str">
        <f>IFERROR(__xludf.DUMMYFUNCTION("IFERROR((GOOGLEFINANCE(A61,""name"")),"""")"),"Minerva SA")</f>
        <v>Minerva SA</v>
      </c>
      <c r="C61" s="46" t="str">
        <f>IFERROR((VLOOKUP(LEFT($A61,4),Setor!$A:$E,3,0)),"")</f>
        <v>Consumo não Cíclico</v>
      </c>
      <c r="D61" s="46" t="str">
        <f>IFERROR((VLOOKUP(LEFT($A61,4),Setor!$A:$E,4,0)),"")</f>
        <v>Alimentos Processados</v>
      </c>
      <c r="E61" s="46" t="str">
        <f>IFERROR((VLOOKUP(LEFT($A61,4),Setor!$A:$E,5,0)),"")</f>
        <v>Carnes e Derivados</v>
      </c>
      <c r="F61" s="47">
        <f>IFERROR(__xludf.DUMMYFUNCTION("IFERROR((GOOGLEFINANCE(A61)),"""")"),5.64)</f>
        <v>5.64</v>
      </c>
      <c r="G61" s="48" t="str">
        <f>IFERROR(__xludf.DUMMYFUNCTION("IFERROR((sparkline(GOOGLEFINANCE($A61,""price"",TODAY()-30,TODAY(),""DAILY""),{""charttype"",""line"";""linewidth"",1;""color"",""#5f88cc""})),"""")"),"")</f>
        <v/>
      </c>
      <c r="H61" s="49">
        <f>IFERROR(__xludf.DUMMYFUNCTION("IFERROR((((GOOGLEFINANCE(A61))-(INDEX(GoogleFinance(A61,""PRICE"",$AQ$1),2,2)))/(INDEX(GoogleFinance(A61,""PRICE"",$AQ$1),2,2))),"""")"),-0.04729729729729734)</f>
        <v>-0.0472972973</v>
      </c>
      <c r="I61" s="47">
        <f>IFERROR(__xludf.DUMMYFUNCTION("IFERROR((GOOGLEFINANCE($A61,""high52"")),"""")"),7.37)</f>
        <v>7.37</v>
      </c>
      <c r="J61" s="48" t="str">
        <f>IFERROR(__xludf.DUMMYFUNCTION("IFERROR((sparkline(GOOGLEFINANCE($A61,""price"",TODAY()-365,TODAY(),""DAILY""),{""charttype"",""line"";""linewidth"",1;""color"",""#5f88cc""})),"""")"),"")</f>
        <v/>
      </c>
      <c r="K61" s="50">
        <f>IFERROR(__xludf.DUMMYFUNCTION("IFERROR((((GOOGLEFINANCE(A61))-(INDEX(GoogleFinance(A61,""PRICE"",$AP$1),2,2)))/(INDEX(GoogleFinance(A61,""PRICE"",$AP$1),2,2))),"""")"),0.4029850746268657)</f>
        <v>0.4029850746</v>
      </c>
      <c r="L61" s="51">
        <f t="shared" si="1"/>
        <v>-0.2347354138</v>
      </c>
      <c r="M61" s="52">
        <f>IFERROR((VLOOKUP($A61,'Dados StatusInvest'!$A:$AZ,COLUMN(M61)-$A$5,0)*VLOOKUP($A61,'Dados StatusInvest'!$A:$AZ,2,0)/$F61/100),0)</f>
        <v>0.07105106383</v>
      </c>
      <c r="N61" s="53">
        <f>IFERROR((VLOOKUP($A61,'Dados StatusInvest'!$A:$AZ,COLUMN(N61)-$A$5,0)/VLOOKUP($A61,'Dados StatusInvest'!$A:$AZ,2,0)*$F61),"")</f>
        <v>-1.584381625</v>
      </c>
      <c r="O61" s="53">
        <f>IFERROR((VLOOKUP($A61,'Dados StatusInvest'!$A:$AZ,COLUMN(O61)-$A$5,0)/VLOOKUP($A61,'Dados StatusInvest'!$A:$AZ,2,0)*$F61),0)</f>
        <v>1.554487633</v>
      </c>
      <c r="P61" s="54">
        <f>IFERROR((VLOOKUP($A61,'Dados StatusInvest'!$A:$AZ,COLUMN(P61)-$A$5,0)/VLOOKUP($A61,'Dados StatusInvest'!$A:$AZ,2,0)*$F61),0)</f>
        <v>4.783038869</v>
      </c>
      <c r="Q61" s="55">
        <f>IFERROR((VLOOKUP($A61,'Dados StatusInvest'!$A:$AZ,COLUMN(Q61)-$A$5,0)/100),0)</f>
        <v>0.0325</v>
      </c>
      <c r="R61" s="56">
        <f>VLOOKUP($A61,'Dados StatusInvest'!$A:$AZ,COLUMN(R61)-$A$5,0)</f>
        <v>9.13</v>
      </c>
      <c r="S61" s="56">
        <f>IFERROR((VLOOKUP($A61,'Dados StatusInvest'!$A:$AZ,COLUMN(S61)-$A$5,0)),0)</f>
        <v>0.11</v>
      </c>
      <c r="T61" s="53">
        <f>IFERROR((VLOOKUP($A61,'Dados StatusInvest'!$A:$AZ,COLUMN(T61)-$A$5,0)/VLOOKUP($A61,'Dados StatusInvest'!$A:$AZ,2,0)*$F61),0)</f>
        <v>0.7672791519</v>
      </c>
      <c r="U61" s="53">
        <f>IFERROR((VLOOKUP($A61,'Dados StatusInvest'!$A:$AZ,COLUMN(U61)-$A$5,0)-VLOOKUP($A61,'Dados StatusInvest'!$A:$AZ,COLUMN(U61)-$A$5-1,0)+T61),0)</f>
        <v>-0.3327208481</v>
      </c>
      <c r="V61" s="56">
        <f>IFERROR((VLOOKUP($A61,'Dados StatusInvest'!$A:$AZ,COLUMN(V61)-$A$5,0)),0)</f>
        <v>1.35</v>
      </c>
      <c r="W61" s="56">
        <f>IFERROR((VLOOKUP($A61,'Dados StatusInvest'!$A:$AZ,COLUMN(W61)-$A$5,0)),0)</f>
        <v>-63.09</v>
      </c>
      <c r="X61" s="53">
        <f>IFERROR((VLOOKUP($A61,'Dados StatusInvest'!$A:$AZ,COLUMN(X61)-$A$5,0)/VLOOKUP($A61,'Dados StatusInvest'!$A:$AZ,2,0)*$F61),0)</f>
        <v>-1.793639576</v>
      </c>
      <c r="Y61" s="54">
        <f>IFERROR((VLOOKUP($A61,'Dados StatusInvest'!$A:$AZ,COLUMN(Y61)-$A$5,0)/VLOOKUP($A61,'Dados StatusInvest'!$A:$AZ,2,0)*$F61),0)</f>
        <v>12.66508834</v>
      </c>
      <c r="Z61" s="56">
        <f>IFERROR((VLOOKUP($A61,'Dados StatusInvest'!$A:$AZ,COLUMN(Z61)-$A$5,0)),0)</f>
        <v>0.03</v>
      </c>
      <c r="AA61" s="57">
        <f>IFERROR((VLOOKUP($A61,'Dados StatusInvest'!$A:$AZ,COLUMN(AA61)-$A$5,0)),0)</f>
        <v>0.96</v>
      </c>
      <c r="AB61" s="57">
        <f>IFERROR((VLOOKUP($A61,'Dados StatusInvest'!$A:$AZ,COLUMN(AB61)-$A$5,0)),0)</f>
        <v>1.13</v>
      </c>
      <c r="AC61" s="58">
        <f>IFERROR((VLOOKUP($A61,'Dados StatusInvest'!$A:$AZ,COLUMN(AC61)-$A$5,0)),0)</f>
        <v>14.75</v>
      </c>
      <c r="AD61" s="57">
        <f>IFERROR((VLOOKUP($A61,'Dados StatusInvest'!$A:$AZ,COLUMN(AD61)-$A$5,0)),0)</f>
        <v>0</v>
      </c>
      <c r="AE61" s="56">
        <f>IFERROR((VLOOKUP($A61,'Dados StatusInvest'!$A:$AZ,COLUMN(AE61)-$A$5,0)),0)</f>
        <v>76635501</v>
      </c>
      <c r="AF61" s="56">
        <f>IFERROR((VLOOKUP($A61,'Dados StatusInvest'!$A:$AZ,COLUMN(AF61)-$A$5,0)),0)</f>
        <v>1.29</v>
      </c>
      <c r="AG61" s="56">
        <f>IFERROR((VLOOKUP($A61,'Dados StatusInvest'!$A:$AZ,COLUMN(AG61)-$A$5,0)),0)</f>
        <v>-0.81</v>
      </c>
      <c r="AH61" s="56">
        <f>IFERROR((VLOOKUP($A61,'Dados StatusInvest'!$A:$AZ,COLUMN(AH61)-$A$5,0)),0)</f>
        <v>0</v>
      </c>
      <c r="AI61" s="57">
        <f>IFERROR((VLOOKUP($A61,'Dados StatusInvest'!$A:$AZ,COLUMN(AI61)-$A$5,0)),0)</f>
        <v>5661726334</v>
      </c>
      <c r="AJ61" s="59" t="str">
        <f>IFERROR((VLOOKUP($A61,'Dados StatusInvest'!$A:$AZ,COLUMN(AJ61)-$A$5,0)),0)</f>
        <v/>
      </c>
      <c r="AK61" s="60">
        <f>IFERROR(__xludf.DUMMYFUNCTION("IFERROR(GOOGLEFINANCE($A61,""high""),"""")"),5.66)</f>
        <v>5.66</v>
      </c>
      <c r="AL61" s="60">
        <f>IFERROR(__xludf.DUMMYFUNCTION("IFERROR(GOOGLEFINANCE($A61,""low""),"""")"),5.6)</f>
        <v>5.6</v>
      </c>
      <c r="AM61" s="61">
        <f t="shared" si="2"/>
        <v>0.01071428571</v>
      </c>
      <c r="AN61" s="62">
        <f>IFERROR(__xludf.DUMMYFUNCTION("IFERROR((GOOGLEFINANCE($A61,""volume"")),0)"),740200.0)</f>
        <v>740200</v>
      </c>
      <c r="AO61" s="60">
        <f>IFERROR(__xludf.DUMMYFUNCTION("IFERROR((GOOGLEFINANCE($A61,""closeyest"")),"""")"),5.66)</f>
        <v>5.66</v>
      </c>
      <c r="AP61" s="60">
        <f>IFERROR(__xludf.DUMMYFUNCTION("IFERROR((GOOGLEFINANCE($A61,""shares"")),"""")"),1.000305006E9)</f>
        <v>1000305006</v>
      </c>
      <c r="AQ61" s="18"/>
    </row>
    <row r="62">
      <c r="A62" s="45" t="str">
        <f>'Dados StatusInvest'!A57:A676</f>
        <v>BEES3</v>
      </c>
      <c r="B62" s="46" t="str">
        <f>IFERROR(__xludf.DUMMYFUNCTION("IFERROR((GOOGLEFINANCE(A62,""name"")),"""")"),"Banestes SA Banco do Estado Esprt Santo")</f>
        <v>Banestes SA Banco do Estado Esprt Santo</v>
      </c>
      <c r="C62" s="46" t="str">
        <f>IFERROR((VLOOKUP(LEFT($A62,4),Setor!$A:$E,3,0)),"")</f>
        <v>Financeiro</v>
      </c>
      <c r="D62" s="46" t="str">
        <f>IFERROR((VLOOKUP(LEFT($A62,4),Setor!$A:$E,4,0)),"")</f>
        <v>Intermediários Financeiros</v>
      </c>
      <c r="E62" s="46" t="str">
        <f>IFERROR((VLOOKUP(LEFT($A62,4),Setor!$A:$E,5,0)),"")</f>
        <v>Bancos</v>
      </c>
      <c r="F62" s="47">
        <f>IFERROR(__xludf.DUMMYFUNCTION("IFERROR((GOOGLEFINANCE(A62)),"""")"),8.35)</f>
        <v>8.35</v>
      </c>
      <c r="G62" s="48" t="str">
        <f>IFERROR(__xludf.DUMMYFUNCTION("IFERROR((sparkline(GOOGLEFINANCE($A62,""price"",TODAY()-30,TODAY(),""DAILY""),{""charttype"",""line"";""linewidth"",1;""color"",""#5f88cc""})),"""")"),"")</f>
        <v/>
      </c>
      <c r="H62" s="49">
        <f>IFERROR(__xludf.DUMMYFUNCTION("IFERROR((((GOOGLEFINANCE(A62))-(INDEX(GoogleFinance(A62,""PRICE"",$AQ$1),2,2)))/(INDEX(GoogleFinance(A62,""PRICE"",$AQ$1),2,2))),"""")"),0.009673518742442573)</f>
        <v>0.009673518742</v>
      </c>
      <c r="I62" s="47">
        <f>IFERROR(__xludf.DUMMYFUNCTION("IFERROR((GOOGLEFINANCE($A62,""high52"")),"""")"),8.47)</f>
        <v>8.47</v>
      </c>
      <c r="J62" s="48" t="str">
        <f>IFERROR(__xludf.DUMMYFUNCTION("IFERROR((sparkline(GOOGLEFINANCE($A62,""price"",TODAY()-365,TODAY(),""DAILY""),{""charttype"",""line"";""linewidth"",1;""color"",""#5f88cc""})),"""")"),"")</f>
        <v/>
      </c>
      <c r="K62" s="50">
        <f>IFERROR(__xludf.DUMMYFUNCTION("IFERROR((((GOOGLEFINANCE(A62))-(INDEX(GoogleFinance(A62,""PRICE"",$AP$1),2,2)))/(INDEX(GoogleFinance(A62,""PRICE"",$AP$1),2,2))),"""")"),0.126855600539811)</f>
        <v>0.1268556005</v>
      </c>
      <c r="L62" s="51">
        <f t="shared" si="1"/>
        <v>-0.01416765053</v>
      </c>
      <c r="M62" s="52">
        <f>IFERROR((VLOOKUP($A62,'Dados StatusInvest'!$A:$AZ,COLUMN(M62)-$A$5,0)*VLOOKUP($A62,'Dados StatusInvest'!$A:$AZ,2,0)/$F62/100),0)</f>
        <v>0.08519784431</v>
      </c>
      <c r="N62" s="53">
        <f>IFERROR((VLOOKUP($A62,'Dados StatusInvest'!$A:$AZ,COLUMN(N62)-$A$5,0)/VLOOKUP($A62,'Dados StatusInvest'!$A:$AZ,2,0)*$F62),"")</f>
        <v>6.688009592</v>
      </c>
      <c r="O62" s="53">
        <f>IFERROR((VLOOKUP($A62,'Dados StatusInvest'!$A:$AZ,COLUMN(O62)-$A$5,0)/VLOOKUP($A62,'Dados StatusInvest'!$A:$AZ,2,0)*$F62),0)</f>
        <v>6.647961631</v>
      </c>
      <c r="P62" s="54">
        <f>IFERROR((VLOOKUP($A62,'Dados StatusInvest'!$A:$AZ,COLUMN(P62)-$A$5,0)/VLOOKUP($A62,'Dados StatusInvest'!$A:$AZ,2,0)*$F62),0)</f>
        <v>6.667985612</v>
      </c>
      <c r="Q62" s="55">
        <f>IFERROR((VLOOKUP($A62,'Dados StatusInvest'!$A:$AZ,COLUMN(Q62)-$A$5,0)/100),0)</f>
        <v>0</v>
      </c>
      <c r="R62" s="56">
        <f>VLOOKUP($A62,'Dados StatusInvest'!$A:$AZ,COLUMN(R62)-$A$5,0)</f>
        <v>0</v>
      </c>
      <c r="S62" s="56">
        <f>IFERROR((VLOOKUP($A62,'Dados StatusInvest'!$A:$AZ,COLUMN(S62)-$A$5,0)),0)</f>
        <v>0.57</v>
      </c>
      <c r="T62" s="53">
        <f>IFERROR((VLOOKUP($A62,'Dados StatusInvest'!$A:$AZ,COLUMN(T62)-$A$5,0)/VLOOKUP($A62,'Dados StatusInvest'!$A:$AZ,2,0)*$F62),0)</f>
        <v>0.320383693</v>
      </c>
      <c r="U62" s="53">
        <f>IFERROR((VLOOKUP($A62,'Dados StatusInvest'!$A:$AZ,COLUMN(U62)-$A$5,0)-VLOOKUP($A62,'Dados StatusInvest'!$A:$AZ,COLUMN(U62)-$A$5-1,0)+T62),0)</f>
        <v>-0.09961630695</v>
      </c>
      <c r="V62" s="56">
        <f>IFERROR((VLOOKUP($A62,'Dados StatusInvest'!$A:$AZ,COLUMN(V62)-$A$5,0)),0)</f>
        <v>0</v>
      </c>
      <c r="W62" s="56">
        <f>IFERROR((VLOOKUP($A62,'Dados StatusInvest'!$A:$AZ,COLUMN(W62)-$A$5,0)),0)</f>
        <v>13.96</v>
      </c>
      <c r="X62" s="53">
        <f>IFERROR((VLOOKUP($A62,'Dados StatusInvest'!$A:$AZ,COLUMN(X62)-$A$5,0)/VLOOKUP($A62,'Dados StatusInvest'!$A:$AZ,2,0)*$F62),0)</f>
        <v>0.8710431655</v>
      </c>
      <c r="Y62" s="54">
        <f>IFERROR((VLOOKUP($A62,'Dados StatusInvest'!$A:$AZ,COLUMN(Y62)-$A$5,0)/VLOOKUP($A62,'Dados StatusInvest'!$A:$AZ,2,0)*$F62),0)</f>
        <v>0</v>
      </c>
      <c r="Z62" s="56">
        <f>IFERROR((VLOOKUP($A62,'Dados StatusInvest'!$A:$AZ,COLUMN(Z62)-$A$5,0)),0)</f>
        <v>0.06</v>
      </c>
      <c r="AA62" s="57">
        <f>IFERROR((VLOOKUP($A62,'Dados StatusInvest'!$A:$AZ,COLUMN(AA62)-$A$5,0)),0)</f>
        <v>0.94</v>
      </c>
      <c r="AB62" s="57">
        <f>IFERROR((VLOOKUP($A62,'Dados StatusInvest'!$A:$AZ,COLUMN(AB62)-$A$5,0)),0)</f>
        <v>0.13</v>
      </c>
      <c r="AC62" s="58">
        <f>IFERROR((VLOOKUP($A62,'Dados StatusInvest'!$A:$AZ,COLUMN(AC62)-$A$5,0)),0)</f>
        <v>17.11</v>
      </c>
      <c r="AD62" s="57">
        <f>IFERROR((VLOOKUP($A62,'Dados StatusInvest'!$A:$AZ,COLUMN(AD62)-$A$5,0)),0)</f>
        <v>9.69</v>
      </c>
      <c r="AE62" s="56">
        <f>IFERROR((VLOOKUP($A62,'Dados StatusInvest'!$A:$AZ,COLUMN(AE62)-$A$5,0)),0)</f>
        <v>147559.3</v>
      </c>
      <c r="AF62" s="56">
        <f>IFERROR((VLOOKUP($A62,'Dados StatusInvest'!$A:$AZ,COLUMN(AF62)-$A$5,0)),0)</f>
        <v>7.04</v>
      </c>
      <c r="AG62" s="56">
        <f>IFERROR((VLOOKUP($A62,'Dados StatusInvest'!$A:$AZ,COLUMN(AG62)-$A$5,0)),0)</f>
        <v>0.98</v>
      </c>
      <c r="AH62" s="56">
        <f>IFERROR((VLOOKUP($A62,'Dados StatusInvest'!$A:$AZ,COLUMN(AH62)-$A$5,0)),0)</f>
        <v>-0.85</v>
      </c>
      <c r="AI62" s="57">
        <f>IFERROR((VLOOKUP($A62,'Dados StatusInvest'!$A:$AZ,COLUMN(AI62)-$A$5,0)),0)</f>
        <v>2905656381</v>
      </c>
      <c r="AJ62" s="59" t="str">
        <f>IFERROR((VLOOKUP($A62,'Dados StatusInvest'!$A:$AZ,COLUMN(AJ62)-$A$5,0)),0)</f>
        <v/>
      </c>
      <c r="AK62" s="60">
        <f>IFERROR(__xludf.DUMMYFUNCTION("IFERROR(GOOGLEFINANCE($A62,""high""),"""")"),8.38)</f>
        <v>8.38</v>
      </c>
      <c r="AL62" s="60">
        <f>IFERROR(__xludf.DUMMYFUNCTION("IFERROR(GOOGLEFINANCE($A62,""low""),"""")"),8.34)</f>
        <v>8.34</v>
      </c>
      <c r="AM62" s="61">
        <f t="shared" si="2"/>
        <v>0.00479616307</v>
      </c>
      <c r="AN62" s="62">
        <f>IFERROR(__xludf.DUMMYFUNCTION("IFERROR((GOOGLEFINANCE($A62,""volume"")),0)"),800.0)</f>
        <v>800</v>
      </c>
      <c r="AO62" s="60">
        <f>IFERROR(__xludf.DUMMYFUNCTION("IFERROR((GOOGLEFINANCE($A62,""closeyest"")),"""")"),8.34)</f>
        <v>8.34</v>
      </c>
      <c r="AP62" s="60">
        <f>IFERROR(__xludf.DUMMYFUNCTION("IFERROR((GOOGLEFINANCE($A62,""shares"")),"""")"),2.541066E8)</f>
        <v>254106600</v>
      </c>
      <c r="AQ62" s="18"/>
    </row>
    <row r="63">
      <c r="A63" s="45" t="str">
        <f>'Dados StatusInvest'!A58:A677</f>
        <v>BEES4</v>
      </c>
      <c r="B63" s="46" t="str">
        <f>IFERROR(__xludf.DUMMYFUNCTION("IFERROR((GOOGLEFINANCE(A63,""name"")),"""")"),"Banestes SA Banco do Estado Esprt Santo Preference Shares")</f>
        <v>Banestes SA Banco do Estado Esprt Santo Preference Shares</v>
      </c>
      <c r="C63" s="46" t="str">
        <f>IFERROR((VLOOKUP(LEFT($A63,4),Setor!$A:$E,3,0)),"")</f>
        <v>Financeiro</v>
      </c>
      <c r="D63" s="46" t="str">
        <f>IFERROR((VLOOKUP(LEFT($A63,4),Setor!$A:$E,4,0)),"")</f>
        <v>Intermediários Financeiros</v>
      </c>
      <c r="E63" s="46" t="str">
        <f>IFERROR((VLOOKUP(LEFT($A63,4),Setor!$A:$E,5,0)),"")</f>
        <v>Bancos</v>
      </c>
      <c r="F63" s="47">
        <f>IFERROR(__xludf.DUMMYFUNCTION("IFERROR((GOOGLEFINANCE(A63)),"""")"),8.43)</f>
        <v>8.43</v>
      </c>
      <c r="G63" s="48" t="str">
        <f>IFERROR(__xludf.DUMMYFUNCTION("IFERROR((sparkline(GOOGLEFINANCE($A63,""price"",TODAY()-30,TODAY(),""DAILY""),{""charttype"",""line"";""linewidth"",1;""color"",""#5f88cc""})),"""")"),"")</f>
        <v/>
      </c>
      <c r="H63" s="49">
        <f>IFERROR(__xludf.DUMMYFUNCTION("IFERROR((((GOOGLEFINANCE(A63))-(INDEX(GoogleFinance(A63,""PRICE"",$AQ$1),2,2)))/(INDEX(GoogleFinance(A63,""PRICE"",$AQ$1),2,2))),"""")"),0.028048780487804934)</f>
        <v>0.02804878049</v>
      </c>
      <c r="I63" s="47">
        <f>IFERROR(__xludf.DUMMYFUNCTION("IFERROR((GOOGLEFINANCE($A63,""high52"")),"""")"),8.56)</f>
        <v>8.56</v>
      </c>
      <c r="J63" s="48" t="str">
        <f>IFERROR(__xludf.DUMMYFUNCTION("IFERROR((sparkline(GOOGLEFINANCE($A63,""price"",TODAY()-365,TODAY(),""DAILY""),{""charttype"",""line"";""linewidth"",1;""color"",""#5f88cc""})),"""")"),"")</f>
        <v/>
      </c>
      <c r="K63" s="50">
        <f>IFERROR(__xludf.DUMMYFUNCTION("IFERROR((((GOOGLEFINANCE(A63))-(INDEX(GoogleFinance(A63,""PRICE"",$AP$1),2,2)))/(INDEX(GoogleFinance(A63,""PRICE"",$AP$1),2,2))),"""")"),0.10484927916120575)</f>
        <v>0.1048492792</v>
      </c>
      <c r="L63" s="51">
        <f t="shared" si="1"/>
        <v>-0.01518691589</v>
      </c>
      <c r="M63" s="52">
        <f>IFERROR((VLOOKUP($A63,'Dados StatusInvest'!$A:$AZ,COLUMN(M63)-$A$5,0)*VLOOKUP($A63,'Dados StatusInvest'!$A:$AZ,2,0)/$F63/100),0)</f>
        <v>0.08519881376</v>
      </c>
      <c r="N63" s="53">
        <f>IFERROR((VLOOKUP($A63,'Dados StatusInvest'!$A:$AZ,COLUMN(N63)-$A$5,0)/VLOOKUP($A63,'Dados StatusInvest'!$A:$AZ,2,0)*$F63),"")</f>
        <v>6.687933492</v>
      </c>
      <c r="O63" s="53">
        <f>IFERROR((VLOOKUP($A63,'Dados StatusInvest'!$A:$AZ,COLUMN(O63)-$A$5,0)/VLOOKUP($A63,'Dados StatusInvest'!$A:$AZ,2,0)*$F63),0)</f>
        <v>6.717969121</v>
      </c>
      <c r="P63" s="54">
        <f>IFERROR((VLOOKUP($A63,'Dados StatusInvest'!$A:$AZ,COLUMN(P63)-$A$5,0)/VLOOKUP($A63,'Dados StatusInvest'!$A:$AZ,2,0)*$F63),0)</f>
        <v>6.667909739</v>
      </c>
      <c r="Q63" s="55">
        <f>IFERROR((VLOOKUP($A63,'Dados StatusInvest'!$A:$AZ,COLUMN(Q63)-$A$5,0)/100),0)</f>
        <v>0</v>
      </c>
      <c r="R63" s="56">
        <f>VLOOKUP($A63,'Dados StatusInvest'!$A:$AZ,COLUMN(R63)-$A$5,0)</f>
        <v>0</v>
      </c>
      <c r="S63" s="56">
        <f>IFERROR((VLOOKUP($A63,'Dados StatusInvest'!$A:$AZ,COLUMN(S63)-$A$5,0)),0)</f>
        <v>0.57</v>
      </c>
      <c r="T63" s="53">
        <f>IFERROR((VLOOKUP($A63,'Dados StatusInvest'!$A:$AZ,COLUMN(T63)-$A$5,0)/VLOOKUP($A63,'Dados StatusInvest'!$A:$AZ,2,0)*$F63),0)</f>
        <v>0.3203800475</v>
      </c>
      <c r="U63" s="53">
        <f>IFERROR((VLOOKUP($A63,'Dados StatusInvest'!$A:$AZ,COLUMN(U63)-$A$5,0)-VLOOKUP($A63,'Dados StatusInvest'!$A:$AZ,COLUMN(U63)-$A$5-1,0)+T63),0)</f>
        <v>-0.09961995249</v>
      </c>
      <c r="V63" s="56">
        <f>IFERROR((VLOOKUP($A63,'Dados StatusInvest'!$A:$AZ,COLUMN(V63)-$A$5,0)),0)</f>
        <v>0</v>
      </c>
      <c r="W63" s="56">
        <f>IFERROR((VLOOKUP($A63,'Dados StatusInvest'!$A:$AZ,COLUMN(W63)-$A$5,0)),0)</f>
        <v>13.96</v>
      </c>
      <c r="X63" s="53">
        <f>IFERROR((VLOOKUP($A63,'Dados StatusInvest'!$A:$AZ,COLUMN(X63)-$A$5,0)/VLOOKUP($A63,'Dados StatusInvest'!$A:$AZ,2,0)*$F63),0)</f>
        <v>0.8710332542</v>
      </c>
      <c r="Y63" s="54">
        <f>IFERROR((VLOOKUP($A63,'Dados StatusInvest'!$A:$AZ,COLUMN(Y63)-$A$5,0)/VLOOKUP($A63,'Dados StatusInvest'!$A:$AZ,2,0)*$F63),0)</f>
        <v>0</v>
      </c>
      <c r="Z63" s="56">
        <f>IFERROR((VLOOKUP($A63,'Dados StatusInvest'!$A:$AZ,COLUMN(Z63)-$A$5,0)),0)</f>
        <v>0.06</v>
      </c>
      <c r="AA63" s="57">
        <f>IFERROR((VLOOKUP($A63,'Dados StatusInvest'!$A:$AZ,COLUMN(AA63)-$A$5,0)),0)</f>
        <v>0.94</v>
      </c>
      <c r="AB63" s="57">
        <f>IFERROR((VLOOKUP($A63,'Dados StatusInvest'!$A:$AZ,COLUMN(AB63)-$A$5,0)),0)</f>
        <v>0.13</v>
      </c>
      <c r="AC63" s="58">
        <f>IFERROR((VLOOKUP($A63,'Dados StatusInvest'!$A:$AZ,COLUMN(AC63)-$A$5,0)),0)</f>
        <v>17.11</v>
      </c>
      <c r="AD63" s="57">
        <f>IFERROR((VLOOKUP($A63,'Dados StatusInvest'!$A:$AZ,COLUMN(AD63)-$A$5,0)),0)</f>
        <v>9.69</v>
      </c>
      <c r="AE63" s="56">
        <f>IFERROR((VLOOKUP($A63,'Dados StatusInvest'!$A:$AZ,COLUMN(AE63)-$A$5,0)),0)</f>
        <v>45167.33</v>
      </c>
      <c r="AF63" s="56">
        <f>IFERROR((VLOOKUP($A63,'Dados StatusInvest'!$A:$AZ,COLUMN(AF63)-$A$5,0)),0)</f>
        <v>7.04</v>
      </c>
      <c r="AG63" s="56">
        <f>IFERROR((VLOOKUP($A63,'Dados StatusInvest'!$A:$AZ,COLUMN(AG63)-$A$5,0)),0)</f>
        <v>0.98</v>
      </c>
      <c r="AH63" s="56">
        <f>IFERROR((VLOOKUP($A63,'Dados StatusInvest'!$A:$AZ,COLUMN(AH63)-$A$5,0)),0)</f>
        <v>-0.86</v>
      </c>
      <c r="AI63" s="57">
        <f>IFERROR((VLOOKUP($A63,'Dados StatusInvest'!$A:$AZ,COLUMN(AI63)-$A$5,0)),0)</f>
        <v>2905656381</v>
      </c>
      <c r="AJ63" s="59" t="str">
        <f>IFERROR((VLOOKUP($A63,'Dados StatusInvest'!$A:$AZ,COLUMN(AJ63)-$A$5,0)),0)</f>
        <v/>
      </c>
      <c r="AK63" s="60">
        <f>IFERROR(__xludf.DUMMYFUNCTION("IFERROR(GOOGLEFINANCE($A63,""high""),"""")"),8.49)</f>
        <v>8.49</v>
      </c>
      <c r="AL63" s="60">
        <f>IFERROR(__xludf.DUMMYFUNCTION("IFERROR(GOOGLEFINANCE($A63,""low""),"""")"),8.43)</f>
        <v>8.43</v>
      </c>
      <c r="AM63" s="61">
        <f t="shared" si="2"/>
        <v>0.007117437722</v>
      </c>
      <c r="AN63" s="62">
        <f>IFERROR(__xludf.DUMMYFUNCTION("IFERROR((GOOGLEFINANCE($A63,""volume"")),0)"),200.0)</f>
        <v>200</v>
      </c>
      <c r="AO63" s="60">
        <f>IFERROR(__xludf.DUMMYFUNCTION("IFERROR((GOOGLEFINANCE($A63,""closeyest"")),"""")"),8.42)</f>
        <v>8.42</v>
      </c>
      <c r="AP63" s="60">
        <f>IFERROR(__xludf.DUMMYFUNCTION("IFERROR((GOOGLEFINANCE($A63,""shares"")),"""")"),9.3397546E7)</f>
        <v>93397546</v>
      </c>
      <c r="AQ63" s="18"/>
    </row>
    <row r="64">
      <c r="A64" s="45" t="str">
        <f>'Dados StatusInvest'!A59:A678</f>
        <v>BFRE11</v>
      </c>
      <c r="B64" s="46" t="str">
        <f>IFERROR(__xludf.DUMMYFUNCTION("IFERROR((GOOGLEFINANCE(A64,""name"")),"""")"),"")</f>
        <v/>
      </c>
      <c r="C64" s="46" t="str">
        <f>IFERROR((VLOOKUP(LEFT($A64,4),Setor!$A:$E,3,0)),"")</f>
        <v>Financeiro</v>
      </c>
      <c r="D64" s="46" t="str">
        <f>IFERROR((VLOOKUP(LEFT($A64,4),Setor!$A:$E,4,0)),"")</f>
        <v>Serviços Financeiros Diversos</v>
      </c>
      <c r="E64" s="46" t="str">
        <f>IFERROR((VLOOKUP(LEFT($A64,4),Setor!$A:$E,5,0)),"")</f>
        <v>Gestão de Recursos e Investimentos</v>
      </c>
      <c r="F64" s="47" t="str">
        <f>IFERROR(__xludf.DUMMYFUNCTION("IFERROR((GOOGLEFINANCE(A64)),"""")"),"")</f>
        <v/>
      </c>
      <c r="G64" s="48" t="str">
        <f>IFERROR(__xludf.DUMMYFUNCTION("IFERROR((sparkline(GOOGLEFINANCE($A64,""price"",TODAY()-30,TODAY(),""DAILY""),{""charttype"",""line"";""linewidth"",1;""color"",""#5f88cc""})),"""")"),"")</f>
        <v/>
      </c>
      <c r="H64" s="49" t="str">
        <f>IFERROR(__xludf.DUMMYFUNCTION("IFERROR((((GOOGLEFINANCE(A64))-(INDEX(GoogleFinance(A64,""PRICE"",$AQ$1),2,2)))/(INDEX(GoogleFinance(A64,""PRICE"",$AQ$1),2,2))),"""")"),"")</f>
        <v/>
      </c>
      <c r="I64" s="47" t="str">
        <f>IFERROR(__xludf.DUMMYFUNCTION("IFERROR((GOOGLEFINANCE($A64,""high52"")),"""")"),"")</f>
        <v/>
      </c>
      <c r="J64" s="48" t="str">
        <f>IFERROR(__xludf.DUMMYFUNCTION("IFERROR((sparkline(GOOGLEFINANCE($A64,""price"",TODAY()-365,TODAY(),""DAILY""),{""charttype"",""line"";""linewidth"",1;""color"",""#5f88cc""})),"""")"),"")</f>
        <v/>
      </c>
      <c r="K64" s="50" t="str">
        <f>IFERROR(__xludf.DUMMYFUNCTION("IFERROR((((GOOGLEFINANCE(A64))-(INDEX(GoogleFinance(A64,""PRICE"",$AP$1),2,2)))/(INDEX(GoogleFinance(A64,""PRICE"",$AP$1),2,2))),"""")"),"")</f>
        <v/>
      </c>
      <c r="L64" s="51">
        <f t="shared" si="1"/>
        <v>0</v>
      </c>
      <c r="M64" s="52">
        <f>IFERROR((VLOOKUP($A64,'Dados StatusInvest'!$A:$AZ,COLUMN(M64)-$A$5,0)*VLOOKUP($A64,'Dados StatusInvest'!$A:$AZ,2,0)/$F64/100),0)</f>
        <v>0</v>
      </c>
      <c r="N64" s="53" t="str">
        <f>IFERROR((VLOOKUP($A64,'Dados StatusInvest'!$A:$AZ,COLUMN(N64)-$A$5,0)/VLOOKUP($A64,'Dados StatusInvest'!$A:$AZ,2,0)*$F64),"")</f>
        <v/>
      </c>
      <c r="O64" s="53">
        <f>IFERROR((VLOOKUP($A64,'Dados StatusInvest'!$A:$AZ,COLUMN(O64)-$A$5,0)/VLOOKUP($A64,'Dados StatusInvest'!$A:$AZ,2,0)*$F64),0)</f>
        <v>0</v>
      </c>
      <c r="P64" s="54">
        <f>IFERROR((VLOOKUP($A64,'Dados StatusInvest'!$A:$AZ,COLUMN(P64)-$A$5,0)/VLOOKUP($A64,'Dados StatusInvest'!$A:$AZ,2,0)*$F64),0)</f>
        <v>0</v>
      </c>
      <c r="Q64" s="55">
        <f>IFERROR((VLOOKUP($A64,'Dados StatusInvest'!$A:$AZ,COLUMN(Q64)-$A$5,0)/100),0)</f>
        <v>0</v>
      </c>
      <c r="R64" s="56">
        <f>VLOOKUP($A64,'Dados StatusInvest'!$A:$AZ,COLUMN(R64)-$A$5,0)</f>
        <v>0</v>
      </c>
      <c r="S64" s="56">
        <f>IFERROR((VLOOKUP($A64,'Dados StatusInvest'!$A:$AZ,COLUMN(S64)-$A$5,0)),0)</f>
        <v>0</v>
      </c>
      <c r="T64" s="53">
        <f>IFERROR((VLOOKUP($A64,'Dados StatusInvest'!$A:$AZ,COLUMN(T64)-$A$5,0)/VLOOKUP($A64,'Dados StatusInvest'!$A:$AZ,2,0)*$F64),0)</f>
        <v>0</v>
      </c>
      <c r="U64" s="53">
        <f>IFERROR((VLOOKUP($A64,'Dados StatusInvest'!$A:$AZ,COLUMN(U64)-$A$5,0)-VLOOKUP($A64,'Dados StatusInvest'!$A:$AZ,COLUMN(U64)-$A$5-1,0)+T64),0)</f>
        <v>0</v>
      </c>
      <c r="V64" s="56">
        <f>IFERROR((VLOOKUP($A64,'Dados StatusInvest'!$A:$AZ,COLUMN(V64)-$A$5,0)),0)</f>
        <v>0</v>
      </c>
      <c r="W64" s="56">
        <f>IFERROR((VLOOKUP($A64,'Dados StatusInvest'!$A:$AZ,COLUMN(W64)-$A$5,0)),0)</f>
        <v>6.82</v>
      </c>
      <c r="X64" s="53">
        <f>IFERROR((VLOOKUP($A64,'Dados StatusInvest'!$A:$AZ,COLUMN(X64)-$A$5,0)/VLOOKUP($A64,'Dados StatusInvest'!$A:$AZ,2,0)*$F64),0)</f>
        <v>0</v>
      </c>
      <c r="Y64" s="54">
        <f>IFERROR((VLOOKUP($A64,'Dados StatusInvest'!$A:$AZ,COLUMN(Y64)-$A$5,0)/VLOOKUP($A64,'Dados StatusInvest'!$A:$AZ,2,0)*$F64),0)</f>
        <v>0</v>
      </c>
      <c r="Z64" s="56">
        <f>IFERROR((VLOOKUP($A64,'Dados StatusInvest'!$A:$AZ,COLUMN(Z64)-$A$5,0)),0)</f>
        <v>0.88</v>
      </c>
      <c r="AA64" s="57">
        <f>IFERROR((VLOOKUP($A64,'Dados StatusInvest'!$A:$AZ,COLUMN(AA64)-$A$5,0)),0)</f>
        <v>0.1</v>
      </c>
      <c r="AB64" s="57">
        <f>IFERROR((VLOOKUP($A64,'Dados StatusInvest'!$A:$AZ,COLUMN(AB64)-$A$5,0)),0)</f>
        <v>0.05</v>
      </c>
      <c r="AC64" s="58">
        <f>IFERROR((VLOOKUP($A64,'Dados StatusInvest'!$A:$AZ,COLUMN(AC64)-$A$5,0)),0)</f>
        <v>0</v>
      </c>
      <c r="AD64" s="57">
        <f>IFERROR((VLOOKUP($A64,'Dados StatusInvest'!$A:$AZ,COLUMN(AD64)-$A$5,0)),0)</f>
        <v>6.26</v>
      </c>
      <c r="AE64" s="56">
        <f>IFERROR((VLOOKUP($A64,'Dados StatusInvest'!$A:$AZ,COLUMN(AE64)-$A$5,0)),0)</f>
        <v>0</v>
      </c>
      <c r="AF64" s="56">
        <f>IFERROR((VLOOKUP($A64,'Dados StatusInvest'!$A:$AZ,COLUMN(AF64)-$A$5,0)),0)</f>
        <v>309815.9</v>
      </c>
      <c r="AG64" s="56">
        <f>IFERROR((VLOOKUP($A64,'Dados StatusInvest'!$A:$AZ,COLUMN(AG64)-$A$5,0)),0)</f>
        <v>21126.92</v>
      </c>
      <c r="AH64" s="56">
        <f>IFERROR((VLOOKUP($A64,'Dados StatusInvest'!$A:$AZ,COLUMN(AH64)-$A$5,0)),0)</f>
        <v>0</v>
      </c>
      <c r="AI64" s="57">
        <f>IFERROR((VLOOKUP($A64,'Dados StatusInvest'!$A:$AZ,COLUMN(AI64)-$A$5,0)),0)</f>
        <v>0</v>
      </c>
      <c r="AJ64" s="59" t="str">
        <f>IFERROR((VLOOKUP($A64,'Dados StatusInvest'!$A:$AZ,COLUMN(AJ64)-$A$5,0)),0)</f>
        <v/>
      </c>
      <c r="AK64" s="60" t="str">
        <f>IFERROR(__xludf.DUMMYFUNCTION("IFERROR(GOOGLEFINANCE($A64,""high""),"""")"),"")</f>
        <v/>
      </c>
      <c r="AL64" s="60" t="str">
        <f>IFERROR(__xludf.DUMMYFUNCTION("IFERROR(GOOGLEFINANCE($A64,""low""),"""")"),"")</f>
        <v/>
      </c>
      <c r="AM64" s="61">
        <f t="shared" si="2"/>
        <v>0</v>
      </c>
      <c r="AN64" s="62">
        <f>IFERROR(__xludf.DUMMYFUNCTION("IFERROR((GOOGLEFINANCE($A64,""volume"")),0)"),0.0)</f>
        <v>0</v>
      </c>
      <c r="AO64" s="60" t="str">
        <f>IFERROR(__xludf.DUMMYFUNCTION("IFERROR((GOOGLEFINANCE($A64,""closeyest"")),"""")"),"")</f>
        <v/>
      </c>
      <c r="AP64" s="60" t="str">
        <f>IFERROR(__xludf.DUMMYFUNCTION("IFERROR((GOOGLEFINANCE($A64,""shares"")),"""")"),"")</f>
        <v/>
      </c>
      <c r="AQ64" s="18"/>
    </row>
    <row r="65">
      <c r="A65" s="45" t="str">
        <f>'Dados StatusInvest'!A60:A679</f>
        <v>BFRE12</v>
      </c>
      <c r="B65" s="46" t="str">
        <f>IFERROR(__xludf.DUMMYFUNCTION("IFERROR((GOOGLEFINANCE(A65,""name"")),"""")"),"")</f>
        <v/>
      </c>
      <c r="C65" s="46" t="str">
        <f>IFERROR((VLOOKUP(LEFT($A65,4),Setor!$A:$E,3,0)),"")</f>
        <v>Financeiro</v>
      </c>
      <c r="D65" s="46" t="str">
        <f>IFERROR((VLOOKUP(LEFT($A65,4),Setor!$A:$E,4,0)),"")</f>
        <v>Serviços Financeiros Diversos</v>
      </c>
      <c r="E65" s="46" t="str">
        <f>IFERROR((VLOOKUP(LEFT($A65,4),Setor!$A:$E,5,0)),"")</f>
        <v>Gestão de Recursos e Investimentos</v>
      </c>
      <c r="F65" s="47" t="str">
        <f>IFERROR(__xludf.DUMMYFUNCTION("IFERROR((GOOGLEFINANCE(A65)),"""")"),"")</f>
        <v/>
      </c>
      <c r="G65" s="48" t="str">
        <f>IFERROR(__xludf.DUMMYFUNCTION("IFERROR((sparkline(GOOGLEFINANCE($A65,""price"",TODAY()-30,TODAY(),""DAILY""),{""charttype"",""line"";""linewidth"",1;""color"",""#5f88cc""})),"""")"),"")</f>
        <v/>
      </c>
      <c r="H65" s="49" t="str">
        <f>IFERROR(__xludf.DUMMYFUNCTION("IFERROR((((GOOGLEFINANCE(A65))-(INDEX(GoogleFinance(A65,""PRICE"",$AQ$1),2,2)))/(INDEX(GoogleFinance(A65,""PRICE"",$AQ$1),2,2))),"""")"),"")</f>
        <v/>
      </c>
      <c r="I65" s="47" t="str">
        <f>IFERROR(__xludf.DUMMYFUNCTION("IFERROR((GOOGLEFINANCE($A65,""high52"")),"""")"),"")</f>
        <v/>
      </c>
      <c r="J65" s="48" t="str">
        <f>IFERROR(__xludf.DUMMYFUNCTION("IFERROR((sparkline(GOOGLEFINANCE($A65,""price"",TODAY()-365,TODAY(),""DAILY""),{""charttype"",""line"";""linewidth"",1;""color"",""#5f88cc""})),"""")"),"")</f>
        <v/>
      </c>
      <c r="K65" s="50" t="str">
        <f>IFERROR(__xludf.DUMMYFUNCTION("IFERROR((((GOOGLEFINANCE(A65))-(INDEX(GoogleFinance(A65,""PRICE"",$AP$1),2,2)))/(INDEX(GoogleFinance(A65,""PRICE"",$AP$1),2,2))),"""")"),"")</f>
        <v/>
      </c>
      <c r="L65" s="51">
        <f t="shared" si="1"/>
        <v>0</v>
      </c>
      <c r="M65" s="52">
        <f>IFERROR((VLOOKUP($A65,'Dados StatusInvest'!$A:$AZ,COLUMN(M65)-$A$5,0)*VLOOKUP($A65,'Dados StatusInvest'!$A:$AZ,2,0)/$F65/100),0)</f>
        <v>0</v>
      </c>
      <c r="N65" s="53" t="str">
        <f>IFERROR((VLOOKUP($A65,'Dados StatusInvest'!$A:$AZ,COLUMN(N65)-$A$5,0)/VLOOKUP($A65,'Dados StatusInvest'!$A:$AZ,2,0)*$F65),"")</f>
        <v/>
      </c>
      <c r="O65" s="53">
        <f>IFERROR((VLOOKUP($A65,'Dados StatusInvest'!$A:$AZ,COLUMN(O65)-$A$5,0)/VLOOKUP($A65,'Dados StatusInvest'!$A:$AZ,2,0)*$F65),0)</f>
        <v>0</v>
      </c>
      <c r="P65" s="54">
        <f>IFERROR((VLOOKUP($A65,'Dados StatusInvest'!$A:$AZ,COLUMN(P65)-$A$5,0)/VLOOKUP($A65,'Dados StatusInvest'!$A:$AZ,2,0)*$F65),0)</f>
        <v>0</v>
      </c>
      <c r="Q65" s="55">
        <f>IFERROR((VLOOKUP($A65,'Dados StatusInvest'!$A:$AZ,COLUMN(Q65)-$A$5,0)/100),0)</f>
        <v>0</v>
      </c>
      <c r="R65" s="56">
        <f>VLOOKUP($A65,'Dados StatusInvest'!$A:$AZ,COLUMN(R65)-$A$5,0)</f>
        <v>0</v>
      </c>
      <c r="S65" s="56">
        <f>IFERROR((VLOOKUP($A65,'Dados StatusInvest'!$A:$AZ,COLUMN(S65)-$A$5,0)),0)</f>
        <v>0</v>
      </c>
      <c r="T65" s="53">
        <f>IFERROR((VLOOKUP($A65,'Dados StatusInvest'!$A:$AZ,COLUMN(T65)-$A$5,0)/VLOOKUP($A65,'Dados StatusInvest'!$A:$AZ,2,0)*$F65),0)</f>
        <v>0</v>
      </c>
      <c r="U65" s="53">
        <f>IFERROR((VLOOKUP($A65,'Dados StatusInvest'!$A:$AZ,COLUMN(U65)-$A$5,0)-VLOOKUP($A65,'Dados StatusInvest'!$A:$AZ,COLUMN(U65)-$A$5-1,0)+T65),0)</f>
        <v>0</v>
      </c>
      <c r="V65" s="56">
        <f>IFERROR((VLOOKUP($A65,'Dados StatusInvest'!$A:$AZ,COLUMN(V65)-$A$5,0)),0)</f>
        <v>0</v>
      </c>
      <c r="W65" s="56">
        <f>IFERROR((VLOOKUP($A65,'Dados StatusInvest'!$A:$AZ,COLUMN(W65)-$A$5,0)),0)</f>
        <v>6.82</v>
      </c>
      <c r="X65" s="53">
        <f>IFERROR((VLOOKUP($A65,'Dados StatusInvest'!$A:$AZ,COLUMN(X65)-$A$5,0)/VLOOKUP($A65,'Dados StatusInvest'!$A:$AZ,2,0)*$F65),0)</f>
        <v>0</v>
      </c>
      <c r="Y65" s="54">
        <f>IFERROR((VLOOKUP($A65,'Dados StatusInvest'!$A:$AZ,COLUMN(Y65)-$A$5,0)/VLOOKUP($A65,'Dados StatusInvest'!$A:$AZ,2,0)*$F65),0)</f>
        <v>0</v>
      </c>
      <c r="Z65" s="56">
        <f>IFERROR((VLOOKUP($A65,'Dados StatusInvest'!$A:$AZ,COLUMN(Z65)-$A$5,0)),0)</f>
        <v>0.88</v>
      </c>
      <c r="AA65" s="57">
        <f>IFERROR((VLOOKUP($A65,'Dados StatusInvest'!$A:$AZ,COLUMN(AA65)-$A$5,0)),0)</f>
        <v>0.1</v>
      </c>
      <c r="AB65" s="57">
        <f>IFERROR((VLOOKUP($A65,'Dados StatusInvest'!$A:$AZ,COLUMN(AB65)-$A$5,0)),0)</f>
        <v>0.05</v>
      </c>
      <c r="AC65" s="58">
        <f>IFERROR((VLOOKUP($A65,'Dados StatusInvest'!$A:$AZ,COLUMN(AC65)-$A$5,0)),0)</f>
        <v>0</v>
      </c>
      <c r="AD65" s="57">
        <f>IFERROR((VLOOKUP($A65,'Dados StatusInvest'!$A:$AZ,COLUMN(AD65)-$A$5,0)),0)</f>
        <v>6.26</v>
      </c>
      <c r="AE65" s="56">
        <f>IFERROR((VLOOKUP($A65,'Dados StatusInvest'!$A:$AZ,COLUMN(AE65)-$A$5,0)),0)</f>
        <v>0</v>
      </c>
      <c r="AF65" s="56">
        <f>IFERROR((VLOOKUP($A65,'Dados StatusInvest'!$A:$AZ,COLUMN(AF65)-$A$5,0)),0)</f>
        <v>309815.9</v>
      </c>
      <c r="AG65" s="56">
        <f>IFERROR((VLOOKUP($A65,'Dados StatusInvest'!$A:$AZ,COLUMN(AG65)-$A$5,0)),0)</f>
        <v>21126.92</v>
      </c>
      <c r="AH65" s="56">
        <f>IFERROR((VLOOKUP($A65,'Dados StatusInvest'!$A:$AZ,COLUMN(AH65)-$A$5,0)),0)</f>
        <v>0</v>
      </c>
      <c r="AI65" s="57">
        <f>IFERROR((VLOOKUP($A65,'Dados StatusInvest'!$A:$AZ,COLUMN(AI65)-$A$5,0)),0)</f>
        <v>0</v>
      </c>
      <c r="AJ65" s="59" t="str">
        <f>IFERROR((VLOOKUP($A65,'Dados StatusInvest'!$A:$AZ,COLUMN(AJ65)-$A$5,0)),0)</f>
        <v/>
      </c>
      <c r="AK65" s="60" t="str">
        <f>IFERROR(__xludf.DUMMYFUNCTION("IFERROR(GOOGLEFINANCE($A65,""high""),"""")"),"")</f>
        <v/>
      </c>
      <c r="AL65" s="60" t="str">
        <f>IFERROR(__xludf.DUMMYFUNCTION("IFERROR(GOOGLEFINANCE($A65,""low""),"""")"),"")</f>
        <v/>
      </c>
      <c r="AM65" s="61">
        <f t="shared" si="2"/>
        <v>0</v>
      </c>
      <c r="AN65" s="62">
        <f>IFERROR(__xludf.DUMMYFUNCTION("IFERROR((GOOGLEFINANCE($A65,""volume"")),0)"),0.0)</f>
        <v>0</v>
      </c>
      <c r="AO65" s="60" t="str">
        <f>IFERROR(__xludf.DUMMYFUNCTION("IFERROR((GOOGLEFINANCE($A65,""closeyest"")),"""")"),"")</f>
        <v/>
      </c>
      <c r="AP65" s="60" t="str">
        <f>IFERROR(__xludf.DUMMYFUNCTION("IFERROR((GOOGLEFINANCE($A65,""shares"")),"""")"),"")</f>
        <v/>
      </c>
      <c r="AQ65" s="18"/>
    </row>
    <row r="66">
      <c r="A66" s="45" t="str">
        <f>'Dados StatusInvest'!A61:A680</f>
        <v>BGIP3</v>
      </c>
      <c r="B66" s="46" t="str">
        <f>IFERROR(__xludf.DUMMYFUNCTION("IFERROR((GOOGLEFINANCE(A66,""name"")),"""")"),"Banco do Estado de Sergipe SA")</f>
        <v>Banco do Estado de Sergipe SA</v>
      </c>
      <c r="C66" s="46" t="str">
        <f>IFERROR((VLOOKUP(LEFT($A66,4),Setor!$A:$E,3,0)),"")</f>
        <v>Financeiro</v>
      </c>
      <c r="D66" s="46" t="str">
        <f>IFERROR((VLOOKUP(LEFT($A66,4),Setor!$A:$E,4,0)),"")</f>
        <v>Intermediários Financeiros</v>
      </c>
      <c r="E66" s="46" t="str">
        <f>IFERROR((VLOOKUP(LEFT($A66,4),Setor!$A:$E,5,0)),"")</f>
        <v>Bancos</v>
      </c>
      <c r="F66" s="47">
        <f>IFERROR(__xludf.DUMMYFUNCTION("IFERROR((GOOGLEFINANCE(A66)),"""")"),51.74)</f>
        <v>51.74</v>
      </c>
      <c r="G66" s="48" t="str">
        <f>IFERROR(__xludf.DUMMYFUNCTION("IFERROR((sparkline(GOOGLEFINANCE($A66,""price"",TODAY()-30,TODAY(),""DAILY""),{""charttype"",""line"";""linewidth"",1;""color"",""#5f88cc""})),"""")"),"")</f>
        <v/>
      </c>
      <c r="H66" s="49">
        <f>IFERROR(__xludf.DUMMYFUNCTION("IFERROR((((GOOGLEFINANCE(A66))-(INDEX(GoogleFinance(A66,""PRICE"",$AQ$1),2,2)))/(INDEX(GoogleFinance(A66,""PRICE"",$AQ$1),2,2))),"""")"),0.1634809984259052)</f>
        <v>0.1634809984</v>
      </c>
      <c r="I66" s="47">
        <f>IFERROR(__xludf.DUMMYFUNCTION("IFERROR((GOOGLEFINANCE($A66,""high52"")),"""")"),51.74)</f>
        <v>51.74</v>
      </c>
      <c r="J66" s="48" t="str">
        <f>IFERROR(__xludf.DUMMYFUNCTION("IFERROR((sparkline(GOOGLEFINANCE($A66,""price"",TODAY()-365,TODAY(),""DAILY""),{""charttype"",""line"";""linewidth"",1;""color"",""#5f88cc""})),"""")"),"")</f>
        <v/>
      </c>
      <c r="K66" s="50">
        <f>IFERROR(__xludf.DUMMYFUNCTION("IFERROR((((GOOGLEFINANCE(A66))-(INDEX(GoogleFinance(A66,""PRICE"",$AP$1),2,2)))/(INDEX(GoogleFinance(A66,""PRICE"",$AP$1),2,2))),"""")"),1.0588937524870674)</f>
        <v>1.058893752</v>
      </c>
      <c r="L66" s="51">
        <f t="shared" si="1"/>
        <v>0</v>
      </c>
      <c r="M66" s="52">
        <f>IFERROR((VLOOKUP($A66,'Dados StatusInvest'!$A:$AZ,COLUMN(M66)-$A$5,0)*VLOOKUP($A66,'Dados StatusInvest'!$A:$AZ,2,0)/$F66/100),0)</f>
        <v>0.1176</v>
      </c>
      <c r="N66" s="53">
        <f>IFERROR((VLOOKUP($A66,'Dados StatusInvest'!$A:$AZ,COLUMN(N66)-$A$5,0)/VLOOKUP($A66,'Dados StatusInvest'!$A:$AZ,2,0)*$F66),"")</f>
        <v>7.75</v>
      </c>
      <c r="O66" s="53">
        <f>IFERROR((VLOOKUP($A66,'Dados StatusInvest'!$A:$AZ,COLUMN(O66)-$A$5,0)/VLOOKUP($A66,'Dados StatusInvest'!$A:$AZ,2,0)*$F66),0)</f>
        <v>5.55</v>
      </c>
      <c r="P66" s="54">
        <f>IFERROR((VLOOKUP($A66,'Dados StatusInvest'!$A:$AZ,COLUMN(P66)-$A$5,0)/VLOOKUP($A66,'Dados StatusInvest'!$A:$AZ,2,0)*$F66),0)</f>
        <v>4.65</v>
      </c>
      <c r="Q66" s="55">
        <f>IFERROR((VLOOKUP($A66,'Dados StatusInvest'!$A:$AZ,COLUMN(Q66)-$A$5,0)/100),0)</f>
        <v>0</v>
      </c>
      <c r="R66" s="56">
        <f>VLOOKUP($A66,'Dados StatusInvest'!$A:$AZ,COLUMN(R66)-$A$5,0)</f>
        <v>0</v>
      </c>
      <c r="S66" s="56">
        <f>IFERROR((VLOOKUP($A66,'Dados StatusInvest'!$A:$AZ,COLUMN(S66)-$A$5,0)),0)</f>
        <v>0.65</v>
      </c>
      <c r="T66" s="53">
        <f>IFERROR((VLOOKUP($A66,'Dados StatusInvest'!$A:$AZ,COLUMN(T66)-$A$5,0)/VLOOKUP($A66,'Dados StatusInvest'!$A:$AZ,2,0)*$F66),0)</f>
        <v>13.61</v>
      </c>
      <c r="U66" s="53">
        <f>IFERROR((VLOOKUP($A66,'Dados StatusInvest'!$A:$AZ,COLUMN(U66)-$A$5,0)-VLOOKUP($A66,'Dados StatusInvest'!$A:$AZ,COLUMN(U66)-$A$5-1,0)+T66),0)</f>
        <v>-0.09</v>
      </c>
      <c r="V66" s="56">
        <f>IFERROR((VLOOKUP($A66,'Dados StatusInvest'!$A:$AZ,COLUMN(V66)-$A$5,0)),0)</f>
        <v>0</v>
      </c>
      <c r="W66" s="56">
        <f>IFERROR((VLOOKUP($A66,'Dados StatusInvest'!$A:$AZ,COLUMN(W66)-$A$5,0)),0)</f>
        <v>15.25</v>
      </c>
      <c r="X66" s="53">
        <f>IFERROR((VLOOKUP($A66,'Dados StatusInvest'!$A:$AZ,COLUMN(X66)-$A$5,0)/VLOOKUP($A66,'Dados StatusInvest'!$A:$AZ,2,0)*$F66),0)</f>
        <v>1.01</v>
      </c>
      <c r="Y66" s="54">
        <f>IFERROR((VLOOKUP($A66,'Dados StatusInvest'!$A:$AZ,COLUMN(Y66)-$A$5,0)/VLOOKUP($A66,'Dados StatusInvest'!$A:$AZ,2,0)*$F66),0)</f>
        <v>0</v>
      </c>
      <c r="Z66" s="56">
        <f>IFERROR((VLOOKUP($A66,'Dados StatusInvest'!$A:$AZ,COLUMN(Z66)-$A$5,0)),0)</f>
        <v>0.07</v>
      </c>
      <c r="AA66" s="57">
        <f>IFERROR((VLOOKUP($A66,'Dados StatusInvest'!$A:$AZ,COLUMN(AA66)-$A$5,0)),0)</f>
        <v>0.93</v>
      </c>
      <c r="AB66" s="57">
        <f>IFERROR((VLOOKUP($A66,'Dados StatusInvest'!$A:$AZ,COLUMN(AB66)-$A$5,0)),0)</f>
        <v>0.13</v>
      </c>
      <c r="AC66" s="58">
        <f>IFERROR((VLOOKUP($A66,'Dados StatusInvest'!$A:$AZ,COLUMN(AC66)-$A$5,0)),0)</f>
        <v>13.57</v>
      </c>
      <c r="AD66" s="57">
        <f>IFERROR((VLOOKUP($A66,'Dados StatusInvest'!$A:$AZ,COLUMN(AD66)-$A$5,0)),0)</f>
        <v>9.63</v>
      </c>
      <c r="AE66" s="56">
        <f>IFERROR((VLOOKUP($A66,'Dados StatusInvest'!$A:$AZ,COLUMN(AE66)-$A$5,0)),0)</f>
        <v>15227</v>
      </c>
      <c r="AF66" s="56">
        <f>IFERROR((VLOOKUP($A66,'Dados StatusInvest'!$A:$AZ,COLUMN(AF66)-$A$5,0)),0)</f>
        <v>40.31</v>
      </c>
      <c r="AG66" s="56">
        <f>IFERROR((VLOOKUP($A66,'Dados StatusInvest'!$A:$AZ,COLUMN(AG66)-$A$5,0)),0)</f>
        <v>6.15</v>
      </c>
      <c r="AH66" s="56">
        <f>IFERROR((VLOOKUP($A66,'Dados StatusInvest'!$A:$AZ,COLUMN(AH66)-$A$5,0)),0)</f>
        <v>-0.83</v>
      </c>
      <c r="AI66" s="57">
        <f>IFERROR((VLOOKUP($A66,'Dados StatusInvest'!$A:$AZ,COLUMN(AI66)-$A$5,0)),0)</f>
        <v>933469237</v>
      </c>
      <c r="AJ66" s="59" t="str">
        <f>IFERROR((VLOOKUP($A66,'Dados StatusInvest'!$A:$AZ,COLUMN(AJ66)-$A$5,0)),0)</f>
        <v/>
      </c>
      <c r="AK66" s="60" t="str">
        <f>IFERROR(__xludf.DUMMYFUNCTION("IFERROR(GOOGLEFINANCE($A66,""high""),"""")"),"")</f>
        <v/>
      </c>
      <c r="AL66" s="60" t="str">
        <f>IFERROR(__xludf.DUMMYFUNCTION("IFERROR(GOOGLEFINANCE($A66,""low""),"""")"),"")</f>
        <v/>
      </c>
      <c r="AM66" s="61">
        <f t="shared" si="2"/>
        <v>0</v>
      </c>
      <c r="AN66" s="62">
        <f>IFERROR(__xludf.DUMMYFUNCTION("IFERROR((GOOGLEFINANCE($A66,""volume"")),0)"),0.0)</f>
        <v>0</v>
      </c>
      <c r="AO66" s="60">
        <f>IFERROR(__xludf.DUMMYFUNCTION("IFERROR((GOOGLEFINANCE($A66,""closeyest"")),"""")"),51.74)</f>
        <v>51.74</v>
      </c>
      <c r="AP66" s="60">
        <f>IFERROR(__xludf.DUMMYFUNCTION("IFERROR((GOOGLEFINANCE($A66,""shares"")),"""")"),1.0774114E7)</f>
        <v>10774114</v>
      </c>
      <c r="AQ66" s="18"/>
    </row>
    <row r="67">
      <c r="A67" s="45" t="str">
        <f>'Dados StatusInvest'!A62:A681</f>
        <v>BGIP4</v>
      </c>
      <c r="B67" s="46" t="str">
        <f>IFERROR(__xludf.DUMMYFUNCTION("IFERROR((GOOGLEFINANCE(A67,""name"")),"""")"),"Banco do Estado de Sergipe SA Preference Shares")</f>
        <v>Banco do Estado de Sergipe SA Preference Shares</v>
      </c>
      <c r="C67" s="46" t="str">
        <f>IFERROR((VLOOKUP(LEFT($A67,4),Setor!$A:$E,3,0)),"")</f>
        <v>Financeiro</v>
      </c>
      <c r="D67" s="46" t="str">
        <f>IFERROR((VLOOKUP(LEFT($A67,4),Setor!$A:$E,4,0)),"")</f>
        <v>Intermediários Financeiros</v>
      </c>
      <c r="E67" s="46" t="str">
        <f>IFERROR((VLOOKUP(LEFT($A67,4),Setor!$A:$E,5,0)),"")</f>
        <v>Bancos</v>
      </c>
      <c r="F67" s="47">
        <f>IFERROR(__xludf.DUMMYFUNCTION("IFERROR((GOOGLEFINANCE(A67)),"""")"),34.88)</f>
        <v>34.88</v>
      </c>
      <c r="G67" s="48" t="str">
        <f>IFERROR(__xludf.DUMMYFUNCTION("IFERROR((sparkline(GOOGLEFINANCE($A67,""price"",TODAY()-30,TODAY(),""DAILY""),{""charttype"",""line"";""linewidth"",1;""color"",""#5f88cc""})),"""")"),"")</f>
        <v/>
      </c>
      <c r="H67" s="49">
        <f>IFERROR(__xludf.DUMMYFUNCTION("IFERROR((((GOOGLEFINANCE(A67))-(INDEX(GoogleFinance(A67,""PRICE"",$AQ$1),2,2)))/(INDEX(GoogleFinance(A67,""PRICE"",$AQ$1),2,2))),"""")"),-0.09166666666666656)</f>
        <v>-0.09166666667</v>
      </c>
      <c r="I67" s="47">
        <f>IFERROR(__xludf.DUMMYFUNCTION("IFERROR((GOOGLEFINANCE($A67,""high52"")),"""")"),38.04)</f>
        <v>38.04</v>
      </c>
      <c r="J67" s="48" t="str">
        <f>IFERROR(__xludf.DUMMYFUNCTION("IFERROR((sparkline(GOOGLEFINANCE($A67,""price"",TODAY()-365,TODAY(),""DAILY""),{""charttype"",""line"";""linewidth"",1;""color"",""#5f88cc""})),"""")"),"")</f>
        <v/>
      </c>
      <c r="K67" s="50">
        <f>IFERROR(__xludf.DUMMYFUNCTION("IFERROR((((GOOGLEFINANCE(A67))-(INDEX(GoogleFinance(A67,""PRICE"",$AP$1),2,2)))/(INDEX(GoogleFinance(A67,""PRICE"",$AP$1),2,2))),"""")"),0.4563674321503133)</f>
        <v>0.4563674322</v>
      </c>
      <c r="L67" s="51">
        <f t="shared" si="1"/>
        <v>-0.08307045216</v>
      </c>
      <c r="M67" s="52">
        <f>IFERROR((VLOOKUP($A67,'Dados StatusInvest'!$A:$AZ,COLUMN(M67)-$A$5,0)*VLOOKUP($A67,'Dados StatusInvest'!$A:$AZ,2,0)/$F67/100),0)</f>
        <v>0.1176674312</v>
      </c>
      <c r="N67" s="53">
        <f>IFERROR((VLOOKUP($A67,'Dados StatusInvest'!$A:$AZ,COLUMN(N67)-$A$5,0)/VLOOKUP($A67,'Dados StatusInvest'!$A:$AZ,2,0)*$F67),"")</f>
        <v>7.745558739</v>
      </c>
      <c r="O67" s="53">
        <f>IFERROR((VLOOKUP($A67,'Dados StatusInvest'!$A:$AZ,COLUMN(O67)-$A$5,0)/VLOOKUP($A67,'Dados StatusInvest'!$A:$AZ,2,0)*$F67),0)</f>
        <v>3.737856734</v>
      </c>
      <c r="P67" s="54">
        <f>IFERROR((VLOOKUP($A67,'Dados StatusInvest'!$A:$AZ,COLUMN(P67)-$A$5,0)/VLOOKUP($A67,'Dados StatusInvest'!$A:$AZ,2,0)*$F67),0)</f>
        <v>4.647335244</v>
      </c>
      <c r="Q67" s="55">
        <f>IFERROR((VLOOKUP($A67,'Dados StatusInvest'!$A:$AZ,COLUMN(Q67)-$A$5,0)/100),0)</f>
        <v>0</v>
      </c>
      <c r="R67" s="56">
        <f>VLOOKUP($A67,'Dados StatusInvest'!$A:$AZ,COLUMN(R67)-$A$5,0)</f>
        <v>0</v>
      </c>
      <c r="S67" s="56">
        <f>IFERROR((VLOOKUP($A67,'Dados StatusInvest'!$A:$AZ,COLUMN(S67)-$A$5,0)),0)</f>
        <v>0.44</v>
      </c>
      <c r="T67" s="53">
        <f>IFERROR((VLOOKUP($A67,'Dados StatusInvest'!$A:$AZ,COLUMN(T67)-$A$5,0)/VLOOKUP($A67,'Dados StatusInvest'!$A:$AZ,2,0)*$F67),0)</f>
        <v>9.174739255</v>
      </c>
      <c r="U67" s="53">
        <f>IFERROR((VLOOKUP($A67,'Dados StatusInvest'!$A:$AZ,COLUMN(U67)-$A$5,0)-VLOOKUP($A67,'Dados StatusInvest'!$A:$AZ,COLUMN(U67)-$A$5-1,0)+T67),0)</f>
        <v>-0.06526074499</v>
      </c>
      <c r="V67" s="56">
        <f>IFERROR((VLOOKUP($A67,'Dados StatusInvest'!$A:$AZ,COLUMN(V67)-$A$5,0)),0)</f>
        <v>0</v>
      </c>
      <c r="W67" s="56">
        <f>IFERROR((VLOOKUP($A67,'Dados StatusInvest'!$A:$AZ,COLUMN(W67)-$A$5,0)),0)</f>
        <v>15.25</v>
      </c>
      <c r="X67" s="53">
        <f>IFERROR((VLOOKUP($A67,'Dados StatusInvest'!$A:$AZ,COLUMN(X67)-$A$5,0)/VLOOKUP($A67,'Dados StatusInvest'!$A:$AZ,2,0)*$F67),0)</f>
        <v>1.009421203</v>
      </c>
      <c r="Y67" s="54">
        <f>IFERROR((VLOOKUP($A67,'Dados StatusInvest'!$A:$AZ,COLUMN(Y67)-$A$5,0)/VLOOKUP($A67,'Dados StatusInvest'!$A:$AZ,2,0)*$F67),0)</f>
        <v>0</v>
      </c>
      <c r="Z67" s="56">
        <f>IFERROR((VLOOKUP($A67,'Dados StatusInvest'!$A:$AZ,COLUMN(Z67)-$A$5,0)),0)</f>
        <v>0.07</v>
      </c>
      <c r="AA67" s="57">
        <f>IFERROR((VLOOKUP($A67,'Dados StatusInvest'!$A:$AZ,COLUMN(AA67)-$A$5,0)),0)</f>
        <v>0.93</v>
      </c>
      <c r="AB67" s="57">
        <f>IFERROR((VLOOKUP($A67,'Dados StatusInvest'!$A:$AZ,COLUMN(AB67)-$A$5,0)),0)</f>
        <v>0.13</v>
      </c>
      <c r="AC67" s="58">
        <f>IFERROR((VLOOKUP($A67,'Dados StatusInvest'!$A:$AZ,COLUMN(AC67)-$A$5,0)),0)</f>
        <v>13.57</v>
      </c>
      <c r="AD67" s="57">
        <f>IFERROR((VLOOKUP($A67,'Dados StatusInvest'!$A:$AZ,COLUMN(AD67)-$A$5,0)),0)</f>
        <v>9.63</v>
      </c>
      <c r="AE67" s="56">
        <f>IFERROR((VLOOKUP($A67,'Dados StatusInvest'!$A:$AZ,COLUMN(AE67)-$A$5,0)),0)</f>
        <v>90723.38</v>
      </c>
      <c r="AF67" s="56">
        <f>IFERROR((VLOOKUP($A67,'Dados StatusInvest'!$A:$AZ,COLUMN(AF67)-$A$5,0)),0)</f>
        <v>40.31</v>
      </c>
      <c r="AG67" s="56">
        <f>IFERROR((VLOOKUP($A67,'Dados StatusInvest'!$A:$AZ,COLUMN(AG67)-$A$5,0)),0)</f>
        <v>6.15</v>
      </c>
      <c r="AH67" s="56">
        <f>IFERROR((VLOOKUP($A67,'Dados StatusInvest'!$A:$AZ,COLUMN(AH67)-$A$5,0)),0)</f>
        <v>-0.56</v>
      </c>
      <c r="AI67" s="57">
        <f>IFERROR((VLOOKUP($A67,'Dados StatusInvest'!$A:$AZ,COLUMN(AI67)-$A$5,0)),0)</f>
        <v>933469237</v>
      </c>
      <c r="AJ67" s="59" t="str">
        <f>IFERROR((VLOOKUP($A67,'Dados StatusInvest'!$A:$AZ,COLUMN(AJ67)-$A$5,0)),0)</f>
        <v/>
      </c>
      <c r="AK67" s="60">
        <f>IFERROR(__xludf.DUMMYFUNCTION("IFERROR(GOOGLEFINANCE($A67,""high""),"""")"),34.88)</f>
        <v>34.88</v>
      </c>
      <c r="AL67" s="60">
        <f>IFERROR(__xludf.DUMMYFUNCTION("IFERROR(GOOGLEFINANCE($A67,""low""),"""")"),34.88)</f>
        <v>34.88</v>
      </c>
      <c r="AM67" s="61">
        <f t="shared" si="2"/>
        <v>0</v>
      </c>
      <c r="AN67" s="62">
        <f>IFERROR(__xludf.DUMMYFUNCTION("IFERROR((GOOGLEFINANCE($A67,""volume"")),0)"),100.0)</f>
        <v>100</v>
      </c>
      <c r="AO67" s="60">
        <f>IFERROR(__xludf.DUMMYFUNCTION("IFERROR((GOOGLEFINANCE($A67,""closeyest"")),"""")"),34.95)</f>
        <v>34.95</v>
      </c>
      <c r="AP67" s="60">
        <f>IFERROR(__xludf.DUMMYFUNCTION("IFERROR((GOOGLEFINANCE($A67,""shares"")),"""")"),1.0774114E7)</f>
        <v>10774114</v>
      </c>
      <c r="AQ67" s="18"/>
    </row>
    <row r="68">
      <c r="A68" s="45" t="str">
        <f>'Dados StatusInvest'!A63:A682</f>
        <v>BHIA3</v>
      </c>
      <c r="B68" s="46" t="str">
        <f>IFERROR(__xludf.DUMMYFUNCTION("IFERROR((GOOGLEFINANCE(A68,""name"")),"""")"),"Grupo Casas Bahia SA")</f>
        <v>Grupo Casas Bahia SA</v>
      </c>
      <c r="C68" s="46" t="str">
        <f>IFERROR((VLOOKUP(LEFT($A68,4),Setor!$A:$E,3,0)),"")</f>
        <v/>
      </c>
      <c r="D68" s="46" t="str">
        <f>IFERROR((VLOOKUP(LEFT($A68,4),Setor!$A:$E,4,0)),"")</f>
        <v/>
      </c>
      <c r="E68" s="46" t="str">
        <f>IFERROR((VLOOKUP(LEFT($A68,4),Setor!$A:$E,5,0)),"")</f>
        <v/>
      </c>
      <c r="F68" s="47">
        <f>IFERROR(__xludf.DUMMYFUNCTION("IFERROR((GOOGLEFINANCE(A68)),"""")"),3.01)</f>
        <v>3.01</v>
      </c>
      <c r="G68" s="48" t="str">
        <f>IFERROR(__xludf.DUMMYFUNCTION("IFERROR((sparkline(GOOGLEFINANCE($A68,""price"",TODAY()-30,TODAY(),""DAILY""),{""charttype"",""line"";""linewidth"",1;""color"",""#5f88cc""})),"""")"),"")</f>
        <v/>
      </c>
      <c r="H68" s="49">
        <f>IFERROR(__xludf.DUMMYFUNCTION("IFERROR((((GOOGLEFINANCE(A68))-(INDEX(GoogleFinance(A68,""PRICE"",$AQ$1),2,2)))/(INDEX(GoogleFinance(A68,""PRICE"",$AQ$1),2,2))),"""")"),0.023809523809523756)</f>
        <v>0.02380952381</v>
      </c>
      <c r="I68" s="47">
        <f>IFERROR(__xludf.DUMMYFUNCTION("IFERROR((GOOGLEFINANCE($A68,""high52"")),"""")"),11.21)</f>
        <v>11.21</v>
      </c>
      <c r="J68" s="48" t="str">
        <f>IFERROR(__xludf.DUMMYFUNCTION("IFERROR((sparkline(GOOGLEFINANCE($A68,""price"",TODAY()-365,TODAY(),""DAILY""),{""charttype"",""line"";""linewidth"",1;""color"",""#5f88cc""})),"""")"),"")</f>
        <v/>
      </c>
      <c r="K68" s="50">
        <f>IFERROR(__xludf.DUMMYFUNCTION("IFERROR((((GOOGLEFINANCE(A68))-(INDEX(GoogleFinance(A68,""PRICE"",$AP$1),2,2)))/(INDEX(GoogleFinance(A68,""PRICE"",$AP$1),2,2))),"""")"),-0.04140127388535043)</f>
        <v>-0.04140127389</v>
      </c>
      <c r="L68" s="51">
        <f t="shared" si="1"/>
        <v>-0.7314897413</v>
      </c>
      <c r="M68" s="52">
        <f>IFERROR((VLOOKUP($A68,'Dados StatusInvest'!$A:$AZ,COLUMN(M68)-$A$5,0)*VLOOKUP($A68,'Dados StatusInvest'!$A:$AZ,2,0)/$F68/100),0)</f>
        <v>-0.0182</v>
      </c>
      <c r="N68" s="53">
        <f>IFERROR((VLOOKUP($A68,'Dados StatusInvest'!$A:$AZ,COLUMN(N68)-$A$5,0)/VLOOKUP($A68,'Dados StatusInvest'!$A:$AZ,2,0)*$F68),"")</f>
        <v>-5.98</v>
      </c>
      <c r="O68" s="53">
        <f>IFERROR((VLOOKUP($A68,'Dados StatusInvest'!$A:$AZ,COLUMN(O68)-$A$5,0)/VLOOKUP($A68,'Dados StatusInvest'!$A:$AZ,2,0)*$F68),0)</f>
        <v>-5.8</v>
      </c>
      <c r="P68" s="54">
        <f>IFERROR((VLOOKUP($A68,'Dados StatusInvest'!$A:$AZ,COLUMN(P68)-$A$5,0)/VLOOKUP($A68,'Dados StatusInvest'!$A:$AZ,2,0)*$F68),0)</f>
        <v>-20.17</v>
      </c>
      <c r="Q68" s="55">
        <f>IFERROR((VLOOKUP($A68,'Dados StatusInvest'!$A:$AZ,COLUMN(Q68)-$A$5,0)/100),0)</f>
        <v>-0.1438</v>
      </c>
      <c r="R68" s="56">
        <f>VLOOKUP($A68,'Dados StatusInvest'!$A:$AZ,COLUMN(R68)-$A$5,0)</f>
        <v>2.15</v>
      </c>
      <c r="S68" s="56">
        <f>IFERROR((VLOOKUP($A68,'Dados StatusInvest'!$A:$AZ,COLUMN(S68)-$A$5,0)),0)</f>
        <v>0.11</v>
      </c>
      <c r="T68" s="53">
        <f>IFERROR((VLOOKUP($A68,'Dados StatusInvest'!$A:$AZ,COLUMN(T68)-$A$5,0)/VLOOKUP($A68,'Dados StatusInvest'!$A:$AZ,2,0)*$F68),0)</f>
        <v>-0.69</v>
      </c>
      <c r="U68" s="53">
        <f>IFERROR((VLOOKUP($A68,'Dados StatusInvest'!$A:$AZ,COLUMN(U68)-$A$5,0)-VLOOKUP($A68,'Dados StatusInvest'!$A:$AZ,COLUMN(U68)-$A$5-1,0)+T68),0)</f>
        <v>-0.15</v>
      </c>
      <c r="V68" s="56">
        <f>IFERROR((VLOOKUP($A68,'Dados StatusInvest'!$A:$AZ,COLUMN(V68)-$A$5,0)),0)</f>
        <v>0.76</v>
      </c>
      <c r="W68" s="56">
        <f>IFERROR((VLOOKUP($A68,'Dados StatusInvest'!$A:$AZ,COLUMN(W68)-$A$5,0)),0)</f>
        <v>-49.14</v>
      </c>
      <c r="X68" s="53">
        <f>IFERROR((VLOOKUP($A68,'Dados StatusInvest'!$A:$AZ,COLUMN(X68)-$A$5,0)/VLOOKUP($A68,'Dados StatusInvest'!$A:$AZ,2,0)*$F68),0)</f>
        <v>-5.11</v>
      </c>
      <c r="Y68" s="54">
        <f>IFERROR((VLOOKUP($A68,'Dados StatusInvest'!$A:$AZ,COLUMN(Y68)-$A$5,0)/VLOOKUP($A68,'Dados StatusInvest'!$A:$AZ,2,0)*$F68),0)</f>
        <v>-11.4</v>
      </c>
      <c r="Z68" s="56">
        <f>IFERROR((VLOOKUP($A68,'Dados StatusInvest'!$A:$AZ,COLUMN(Z68)-$A$5,0)),0)</f>
        <v>0.1</v>
      </c>
      <c r="AA68" s="57">
        <f>IFERROR((VLOOKUP($A68,'Dados StatusInvest'!$A:$AZ,COLUMN(AA68)-$A$5,0)),0)</f>
        <v>0.9</v>
      </c>
      <c r="AB68" s="57">
        <f>IFERROR((VLOOKUP($A68,'Dados StatusInvest'!$A:$AZ,COLUMN(AB68)-$A$5,0)),0)</f>
        <v>0.85</v>
      </c>
      <c r="AC68" s="58">
        <f>IFERROR((VLOOKUP($A68,'Dados StatusInvest'!$A:$AZ,COLUMN(AC68)-$A$5,0)),0)</f>
        <v>1.39</v>
      </c>
      <c r="AD68" s="57">
        <f>IFERROR((VLOOKUP($A68,'Dados StatusInvest'!$A:$AZ,COLUMN(AD68)-$A$5,0)),0)</f>
        <v>0</v>
      </c>
      <c r="AE68" s="56">
        <f>IFERROR((VLOOKUP($A68,'Dados StatusInvest'!$A:$AZ,COLUMN(AE68)-$A$5,0)),0)</f>
        <v>12991516</v>
      </c>
      <c r="AF68" s="56">
        <f>IFERROR((VLOOKUP($A68,'Dados StatusInvest'!$A:$AZ,COLUMN(AF68)-$A$5,0)),0)</f>
        <v>3.48</v>
      </c>
      <c r="AG68" s="56">
        <f>IFERROR((VLOOKUP($A68,'Dados StatusInvest'!$A:$AZ,COLUMN(AG68)-$A$5,0)),0)</f>
        <v>-1.71</v>
      </c>
      <c r="AH68" s="56">
        <f>IFERROR((VLOOKUP($A68,'Dados StatusInvest'!$A:$AZ,COLUMN(AH68)-$A$5,0)),0)</f>
        <v>0.16</v>
      </c>
      <c r="AI68" s="57">
        <f>IFERROR((VLOOKUP($A68,'Dados StatusInvest'!$A:$AZ,COLUMN(AI68)-$A$5,0)),0)</f>
        <v>2805369852</v>
      </c>
      <c r="AJ68" s="59" t="str">
        <f>IFERROR((VLOOKUP($A68,'Dados StatusInvest'!$A:$AZ,COLUMN(AJ68)-$A$5,0)),0)</f>
        <v/>
      </c>
      <c r="AK68" s="60">
        <f>IFERROR(__xludf.DUMMYFUNCTION("IFERROR(GOOGLEFINANCE($A68,""high""),"""")"),3.01)</f>
        <v>3.01</v>
      </c>
      <c r="AL68" s="60">
        <f>IFERROR(__xludf.DUMMYFUNCTION("IFERROR(GOOGLEFINANCE($A68,""low""),"""")"),2.99)</f>
        <v>2.99</v>
      </c>
      <c r="AM68" s="61">
        <f t="shared" si="2"/>
        <v>0.006688963211</v>
      </c>
      <c r="AN68" s="62">
        <f>IFERROR(__xludf.DUMMYFUNCTION("IFERROR((GOOGLEFINANCE($A68,""volume"")),0)"),190300.0)</f>
        <v>190300</v>
      </c>
      <c r="AO68" s="60">
        <f>IFERROR(__xludf.DUMMYFUNCTION("IFERROR((GOOGLEFINANCE($A68,""closeyest"")),"""")"),3.01)</f>
        <v>3.01</v>
      </c>
      <c r="AP68" s="60">
        <f>IFERROR(__xludf.DUMMYFUNCTION("IFERROR((GOOGLEFINANCE($A68,""shares"")),"""")"),9.32016562E8)</f>
        <v>932016562</v>
      </c>
      <c r="AQ68" s="18"/>
    </row>
    <row r="69">
      <c r="A69" s="45" t="str">
        <f>'Dados StatusInvest'!A64:A683</f>
        <v>BIDI11</v>
      </c>
      <c r="B69" s="46" t="str">
        <f>IFERROR(__xludf.DUMMYFUNCTION("IFERROR((GOOGLEFINANCE(A69,""name"")),"""")"),"")</f>
        <v/>
      </c>
      <c r="C69" s="46" t="str">
        <f>IFERROR((VLOOKUP(LEFT($A69,4),Setor!$A:$E,3,0)),"")</f>
        <v>Financeiro</v>
      </c>
      <c r="D69" s="46" t="str">
        <f>IFERROR((VLOOKUP(LEFT($A69,4),Setor!$A:$E,4,0)),"")</f>
        <v>Intermediários Financeiros</v>
      </c>
      <c r="E69" s="46" t="str">
        <f>IFERROR((VLOOKUP(LEFT($A69,4),Setor!$A:$E,5,0)),"")</f>
        <v>Bancos</v>
      </c>
      <c r="F69" s="47" t="str">
        <f>IFERROR(__xludf.DUMMYFUNCTION("IFERROR((GOOGLEFINANCE(A69)),"""")"),"")</f>
        <v/>
      </c>
      <c r="G69" s="48" t="str">
        <f>IFERROR(__xludf.DUMMYFUNCTION("IFERROR((sparkline(GOOGLEFINANCE($A69,""price"",TODAY()-30,TODAY(),""DAILY""),{""charttype"",""line"";""linewidth"",1;""color"",""#5f88cc""})),"""")"),"")</f>
        <v/>
      </c>
      <c r="H69" s="49" t="str">
        <f>IFERROR(__xludf.DUMMYFUNCTION("IFERROR((((GOOGLEFINANCE(A69))-(INDEX(GoogleFinance(A69,""PRICE"",$AQ$1),2,2)))/(INDEX(GoogleFinance(A69,""PRICE"",$AQ$1),2,2))),"""")"),"")</f>
        <v/>
      </c>
      <c r="I69" s="47" t="str">
        <f>IFERROR(__xludf.DUMMYFUNCTION("IFERROR((GOOGLEFINANCE($A69,""high52"")),"""")"),"")</f>
        <v/>
      </c>
      <c r="J69" s="48" t="str">
        <f>IFERROR(__xludf.DUMMYFUNCTION("IFERROR((sparkline(GOOGLEFINANCE($A69,""price"",TODAY()-365,TODAY(),""DAILY""),{""charttype"",""line"";""linewidth"",1;""color"",""#5f88cc""})),"""")"),"")</f>
        <v/>
      </c>
      <c r="K69" s="50" t="str">
        <f>IFERROR(__xludf.DUMMYFUNCTION("IFERROR((((GOOGLEFINANCE(A69))-(INDEX(GoogleFinance(A69,""PRICE"",$AP$1),2,2)))/(INDEX(GoogleFinance(A69,""PRICE"",$AP$1),2,2))),"""")"),"")</f>
        <v/>
      </c>
      <c r="L69" s="51">
        <f t="shared" si="1"/>
        <v>0</v>
      </c>
      <c r="M69" s="52">
        <f>IFERROR((VLOOKUP($A69,'Dados StatusInvest'!$A:$AZ,COLUMN(M69)-$A$5,0)*VLOOKUP($A69,'Dados StatusInvest'!$A:$AZ,2,0)/$F69/100),0)</f>
        <v>0</v>
      </c>
      <c r="N69" s="53">
        <f>IFERROR((VLOOKUP($A69,'Dados StatusInvest'!$A:$AZ,COLUMN(N69)-$A$5,0)/VLOOKUP($A69,'Dados StatusInvest'!$A:$AZ,2,0)*$F69),"")</f>
        <v>0</v>
      </c>
      <c r="O69" s="53">
        <f>IFERROR((VLOOKUP($A69,'Dados StatusInvest'!$A:$AZ,COLUMN(O69)-$A$5,0)/VLOOKUP($A69,'Dados StatusInvest'!$A:$AZ,2,0)*$F69),0)</f>
        <v>0</v>
      </c>
      <c r="P69" s="54">
        <f>IFERROR((VLOOKUP($A69,'Dados StatusInvest'!$A:$AZ,COLUMN(P69)-$A$5,0)/VLOOKUP($A69,'Dados StatusInvest'!$A:$AZ,2,0)*$F69),0)</f>
        <v>0</v>
      </c>
      <c r="Q69" s="55">
        <f>IFERROR((VLOOKUP($A69,'Dados StatusInvest'!$A:$AZ,COLUMN(Q69)-$A$5,0)/100),0)</f>
        <v>0</v>
      </c>
      <c r="R69" s="56">
        <f>VLOOKUP($A69,'Dados StatusInvest'!$A:$AZ,COLUMN(R69)-$A$5,0)</f>
        <v>0</v>
      </c>
      <c r="S69" s="56">
        <f>IFERROR((VLOOKUP($A69,'Dados StatusInvest'!$A:$AZ,COLUMN(S69)-$A$5,0)),0)</f>
        <v>12.42</v>
      </c>
      <c r="T69" s="53">
        <f>IFERROR((VLOOKUP($A69,'Dados StatusInvest'!$A:$AZ,COLUMN(T69)-$A$5,0)/VLOOKUP($A69,'Dados StatusInvest'!$A:$AZ,2,0)*$F69),0)</f>
        <v>0</v>
      </c>
      <c r="U69" s="53">
        <f>IFERROR((VLOOKUP($A69,'Dados StatusInvest'!$A:$AZ,COLUMN(U69)-$A$5,0)-VLOOKUP($A69,'Dados StatusInvest'!$A:$AZ,COLUMN(U69)-$A$5-1,0)+T69),0)</f>
        <v>-0.24</v>
      </c>
      <c r="V69" s="56">
        <f>IFERROR((VLOOKUP($A69,'Dados StatusInvest'!$A:$AZ,COLUMN(V69)-$A$5,0)),0)</f>
        <v>0</v>
      </c>
      <c r="W69" s="56">
        <f>IFERROR((VLOOKUP($A69,'Dados StatusInvest'!$A:$AZ,COLUMN(W69)-$A$5,0)),0)</f>
        <v>-0.45</v>
      </c>
      <c r="X69" s="53">
        <f>IFERROR((VLOOKUP($A69,'Dados StatusInvest'!$A:$AZ,COLUMN(X69)-$A$5,0)/VLOOKUP($A69,'Dados StatusInvest'!$A:$AZ,2,0)*$F69),0)</f>
        <v>0</v>
      </c>
      <c r="Y69" s="54">
        <f>IFERROR((VLOOKUP($A69,'Dados StatusInvest'!$A:$AZ,COLUMN(Y69)-$A$5,0)/VLOOKUP($A69,'Dados StatusInvest'!$A:$AZ,2,0)*$F69),0)</f>
        <v>0</v>
      </c>
      <c r="Z69" s="56">
        <f>IFERROR((VLOOKUP($A69,'Dados StatusInvest'!$A:$AZ,COLUMN(Z69)-$A$5,0)),0)</f>
        <v>0.22</v>
      </c>
      <c r="AA69" s="57">
        <f>IFERROR((VLOOKUP($A69,'Dados StatusInvest'!$A:$AZ,COLUMN(AA69)-$A$5,0)),0)</f>
        <v>0.78</v>
      </c>
      <c r="AB69" s="57">
        <f>IFERROR((VLOOKUP($A69,'Dados StatusInvest'!$A:$AZ,COLUMN(AB69)-$A$5,0)),0)</f>
        <v>0.02</v>
      </c>
      <c r="AC69" s="58">
        <f>IFERROR((VLOOKUP($A69,'Dados StatusInvest'!$A:$AZ,COLUMN(AC69)-$A$5,0)),0)</f>
        <v>5.8</v>
      </c>
      <c r="AD69" s="57">
        <f>IFERROR((VLOOKUP($A69,'Dados StatusInvest'!$A:$AZ,COLUMN(AD69)-$A$5,0)),0)</f>
        <v>0</v>
      </c>
      <c r="AE69" s="56">
        <f>IFERROR((VLOOKUP($A69,'Dados StatusInvest'!$A:$AZ,COLUMN(AE69)-$A$5,0)),0)</f>
        <v>0</v>
      </c>
      <c r="AF69" s="56">
        <f>IFERROR((VLOOKUP($A69,'Dados StatusInvest'!$A:$AZ,COLUMN(AF69)-$A$5,0)),0)</f>
        <v>9.67</v>
      </c>
      <c r="AG69" s="56">
        <f>IFERROR((VLOOKUP($A69,'Dados StatusInvest'!$A:$AZ,COLUMN(AG69)-$A$5,0)),0)</f>
        <v>-0.04</v>
      </c>
      <c r="AH69" s="56">
        <f>IFERROR((VLOOKUP($A69,'Dados StatusInvest'!$A:$AZ,COLUMN(AH69)-$A$5,0)),0)</f>
        <v>0.13</v>
      </c>
      <c r="AI69" s="57">
        <f>IFERROR((VLOOKUP($A69,'Dados StatusInvest'!$A:$AZ,COLUMN(AI69)-$A$5,0)),0)</f>
        <v>8991139765</v>
      </c>
      <c r="AJ69" s="59" t="str">
        <f>IFERROR((VLOOKUP($A69,'Dados StatusInvest'!$A:$AZ,COLUMN(AJ69)-$A$5,0)),0)</f>
        <v/>
      </c>
      <c r="AK69" s="60" t="str">
        <f>IFERROR(__xludf.DUMMYFUNCTION("IFERROR(GOOGLEFINANCE($A69,""high""),"""")"),"")</f>
        <v/>
      </c>
      <c r="AL69" s="60" t="str">
        <f>IFERROR(__xludf.DUMMYFUNCTION("IFERROR(GOOGLEFINANCE($A69,""low""),"""")"),"")</f>
        <v/>
      </c>
      <c r="AM69" s="61">
        <f t="shared" si="2"/>
        <v>0</v>
      </c>
      <c r="AN69" s="62">
        <f>IFERROR(__xludf.DUMMYFUNCTION("IFERROR((GOOGLEFINANCE($A69,""volume"")),0)"),0.0)</f>
        <v>0</v>
      </c>
      <c r="AO69" s="60" t="str">
        <f>IFERROR(__xludf.DUMMYFUNCTION("IFERROR((GOOGLEFINANCE($A69,""closeyest"")),"""")"),"")</f>
        <v/>
      </c>
      <c r="AP69" s="60" t="str">
        <f>IFERROR(__xludf.DUMMYFUNCTION("IFERROR((GOOGLEFINANCE($A69,""shares"")),"""")"),"")</f>
        <v/>
      </c>
      <c r="AQ69" s="18"/>
    </row>
    <row r="70">
      <c r="A70" s="45" t="str">
        <f>'Dados StatusInvest'!A65:A684</f>
        <v>BIDI3</v>
      </c>
      <c r="B70" s="46" t="str">
        <f>IFERROR(__xludf.DUMMYFUNCTION("IFERROR((GOOGLEFINANCE(A70,""name"")),"""")"),"")</f>
        <v/>
      </c>
      <c r="C70" s="46" t="str">
        <f>IFERROR((VLOOKUP(LEFT($A70,4),Setor!$A:$E,3,0)),"")</f>
        <v>Financeiro</v>
      </c>
      <c r="D70" s="46" t="str">
        <f>IFERROR((VLOOKUP(LEFT($A70,4),Setor!$A:$E,4,0)),"")</f>
        <v>Intermediários Financeiros</v>
      </c>
      <c r="E70" s="46" t="str">
        <f>IFERROR((VLOOKUP(LEFT($A70,4),Setor!$A:$E,5,0)),"")</f>
        <v>Bancos</v>
      </c>
      <c r="F70" s="47" t="str">
        <f>IFERROR(__xludf.DUMMYFUNCTION("IFERROR((GOOGLEFINANCE(A70)),"""")"),"")</f>
        <v/>
      </c>
      <c r="G70" s="48" t="str">
        <f>IFERROR(__xludf.DUMMYFUNCTION("IFERROR((sparkline(GOOGLEFINANCE($A70,""price"",TODAY()-30,TODAY(),""DAILY""),{""charttype"",""line"";""linewidth"",1;""color"",""#5f88cc""})),"""")"),"")</f>
        <v/>
      </c>
      <c r="H70" s="49" t="str">
        <f>IFERROR(__xludf.DUMMYFUNCTION("IFERROR((((GOOGLEFINANCE(A70))-(INDEX(GoogleFinance(A70,""PRICE"",$AQ$1),2,2)))/(INDEX(GoogleFinance(A70,""PRICE"",$AQ$1),2,2))),"""")"),"")</f>
        <v/>
      </c>
      <c r="I70" s="47" t="str">
        <f>IFERROR(__xludf.DUMMYFUNCTION("IFERROR((GOOGLEFINANCE($A70,""high52"")),"""")"),"")</f>
        <v/>
      </c>
      <c r="J70" s="48" t="str">
        <f>IFERROR(__xludf.DUMMYFUNCTION("IFERROR((sparkline(GOOGLEFINANCE($A70,""price"",TODAY()-365,TODAY(),""DAILY""),{""charttype"",""line"";""linewidth"",1;""color"",""#5f88cc""})),"""")"),"")</f>
        <v/>
      </c>
      <c r="K70" s="50" t="str">
        <f>IFERROR(__xludf.DUMMYFUNCTION("IFERROR((((GOOGLEFINANCE(A70))-(INDEX(GoogleFinance(A70,""PRICE"",$AP$1),2,2)))/(INDEX(GoogleFinance(A70,""PRICE"",$AP$1),2,2))),"""")"),"")</f>
        <v/>
      </c>
      <c r="L70" s="51">
        <f t="shared" si="1"/>
        <v>0</v>
      </c>
      <c r="M70" s="52">
        <f>IFERROR((VLOOKUP($A70,'Dados StatusInvest'!$A:$AZ,COLUMN(M70)-$A$5,0)*VLOOKUP($A70,'Dados StatusInvest'!$A:$AZ,2,0)/$F70/100),0)</f>
        <v>0</v>
      </c>
      <c r="N70" s="53">
        <f>IFERROR((VLOOKUP($A70,'Dados StatusInvest'!$A:$AZ,COLUMN(N70)-$A$5,0)/VLOOKUP($A70,'Dados StatusInvest'!$A:$AZ,2,0)*$F70),"")</f>
        <v>0</v>
      </c>
      <c r="O70" s="53">
        <f>IFERROR((VLOOKUP($A70,'Dados StatusInvest'!$A:$AZ,COLUMN(O70)-$A$5,0)/VLOOKUP($A70,'Dados StatusInvest'!$A:$AZ,2,0)*$F70),0)</f>
        <v>0</v>
      </c>
      <c r="P70" s="54">
        <f>IFERROR((VLOOKUP($A70,'Dados StatusInvest'!$A:$AZ,COLUMN(P70)-$A$5,0)/VLOOKUP($A70,'Dados StatusInvest'!$A:$AZ,2,0)*$F70),0)</f>
        <v>0</v>
      </c>
      <c r="Q70" s="55">
        <f>IFERROR((VLOOKUP($A70,'Dados StatusInvest'!$A:$AZ,COLUMN(Q70)-$A$5,0)/100),0)</f>
        <v>0</v>
      </c>
      <c r="R70" s="56">
        <f>VLOOKUP($A70,'Dados StatusInvest'!$A:$AZ,COLUMN(R70)-$A$5,0)</f>
        <v>0</v>
      </c>
      <c r="S70" s="56">
        <f>IFERROR((VLOOKUP($A70,'Dados StatusInvest'!$A:$AZ,COLUMN(S70)-$A$5,0)),0)</f>
        <v>12.19</v>
      </c>
      <c r="T70" s="53">
        <f>IFERROR((VLOOKUP($A70,'Dados StatusInvest'!$A:$AZ,COLUMN(T70)-$A$5,0)/VLOOKUP($A70,'Dados StatusInvest'!$A:$AZ,2,0)*$F70),0)</f>
        <v>0</v>
      </c>
      <c r="U70" s="53">
        <f>IFERROR((VLOOKUP($A70,'Dados StatusInvest'!$A:$AZ,COLUMN(U70)-$A$5,0)-VLOOKUP($A70,'Dados StatusInvest'!$A:$AZ,COLUMN(U70)-$A$5-1,0)+T70),0)</f>
        <v>-0.24</v>
      </c>
      <c r="V70" s="56">
        <f>IFERROR((VLOOKUP($A70,'Dados StatusInvest'!$A:$AZ,COLUMN(V70)-$A$5,0)),0)</f>
        <v>0</v>
      </c>
      <c r="W70" s="56">
        <f>IFERROR((VLOOKUP($A70,'Dados StatusInvest'!$A:$AZ,COLUMN(W70)-$A$5,0)),0)</f>
        <v>-0.45</v>
      </c>
      <c r="X70" s="53">
        <f>IFERROR((VLOOKUP($A70,'Dados StatusInvest'!$A:$AZ,COLUMN(X70)-$A$5,0)/VLOOKUP($A70,'Dados StatusInvest'!$A:$AZ,2,0)*$F70),0)</f>
        <v>0</v>
      </c>
      <c r="Y70" s="54">
        <f>IFERROR((VLOOKUP($A70,'Dados StatusInvest'!$A:$AZ,COLUMN(Y70)-$A$5,0)/VLOOKUP($A70,'Dados StatusInvest'!$A:$AZ,2,0)*$F70),0)</f>
        <v>0</v>
      </c>
      <c r="Z70" s="56">
        <f>IFERROR((VLOOKUP($A70,'Dados StatusInvest'!$A:$AZ,COLUMN(Z70)-$A$5,0)),0)</f>
        <v>0.22</v>
      </c>
      <c r="AA70" s="57">
        <f>IFERROR((VLOOKUP($A70,'Dados StatusInvest'!$A:$AZ,COLUMN(AA70)-$A$5,0)),0)</f>
        <v>0.78</v>
      </c>
      <c r="AB70" s="57">
        <f>IFERROR((VLOOKUP($A70,'Dados StatusInvest'!$A:$AZ,COLUMN(AB70)-$A$5,0)),0)</f>
        <v>0.02</v>
      </c>
      <c r="AC70" s="58">
        <f>IFERROR((VLOOKUP($A70,'Dados StatusInvest'!$A:$AZ,COLUMN(AC70)-$A$5,0)),0)</f>
        <v>5.8</v>
      </c>
      <c r="AD70" s="57">
        <f>IFERROR((VLOOKUP($A70,'Dados StatusInvest'!$A:$AZ,COLUMN(AD70)-$A$5,0)),0)</f>
        <v>0</v>
      </c>
      <c r="AE70" s="56">
        <f>IFERROR((VLOOKUP($A70,'Dados StatusInvest'!$A:$AZ,COLUMN(AE70)-$A$5,0)),0)</f>
        <v>0</v>
      </c>
      <c r="AF70" s="56">
        <f>IFERROR((VLOOKUP($A70,'Dados StatusInvest'!$A:$AZ,COLUMN(AF70)-$A$5,0)),0)</f>
        <v>3.22</v>
      </c>
      <c r="AG70" s="56">
        <f>IFERROR((VLOOKUP($A70,'Dados StatusInvest'!$A:$AZ,COLUMN(AG70)-$A$5,0)),0)</f>
        <v>-0.01</v>
      </c>
      <c r="AH70" s="56">
        <f>IFERROR((VLOOKUP($A70,'Dados StatusInvest'!$A:$AZ,COLUMN(AH70)-$A$5,0)),0)</f>
        <v>0.12</v>
      </c>
      <c r="AI70" s="57">
        <f>IFERROR((VLOOKUP($A70,'Dados StatusInvest'!$A:$AZ,COLUMN(AI70)-$A$5,0)),0)</f>
        <v>8991139765</v>
      </c>
      <c r="AJ70" s="59" t="str">
        <f>IFERROR((VLOOKUP($A70,'Dados StatusInvest'!$A:$AZ,COLUMN(AJ70)-$A$5,0)),0)</f>
        <v/>
      </c>
      <c r="AK70" s="60" t="str">
        <f>IFERROR(__xludf.DUMMYFUNCTION("IFERROR(GOOGLEFINANCE($A70,""high""),"""")"),"")</f>
        <v/>
      </c>
      <c r="AL70" s="60" t="str">
        <f>IFERROR(__xludf.DUMMYFUNCTION("IFERROR(GOOGLEFINANCE($A70,""low""),"""")"),"")</f>
        <v/>
      </c>
      <c r="AM70" s="61">
        <f t="shared" si="2"/>
        <v>0</v>
      </c>
      <c r="AN70" s="62">
        <f>IFERROR(__xludf.DUMMYFUNCTION("IFERROR((GOOGLEFINANCE($A70,""volume"")),0)"),0.0)</f>
        <v>0</v>
      </c>
      <c r="AO70" s="60" t="str">
        <f>IFERROR(__xludf.DUMMYFUNCTION("IFERROR((GOOGLEFINANCE($A70,""closeyest"")),"""")"),"")</f>
        <v/>
      </c>
      <c r="AP70" s="60" t="str">
        <f>IFERROR(__xludf.DUMMYFUNCTION("IFERROR((GOOGLEFINANCE($A70,""shares"")),"""")"),"")</f>
        <v/>
      </c>
      <c r="AQ70" s="18"/>
    </row>
    <row r="71">
      <c r="A71" s="45" t="str">
        <f>'Dados StatusInvest'!A66:A685</f>
        <v>BIDI4</v>
      </c>
      <c r="B71" s="46" t="str">
        <f>IFERROR(__xludf.DUMMYFUNCTION("IFERROR((GOOGLEFINANCE(A71,""name"")),"""")"),"")</f>
        <v/>
      </c>
      <c r="C71" s="46" t="str">
        <f>IFERROR((VLOOKUP(LEFT($A71,4),Setor!$A:$E,3,0)),"")</f>
        <v>Financeiro</v>
      </c>
      <c r="D71" s="46" t="str">
        <f>IFERROR((VLOOKUP(LEFT($A71,4),Setor!$A:$E,4,0)),"")</f>
        <v>Intermediários Financeiros</v>
      </c>
      <c r="E71" s="46" t="str">
        <f>IFERROR((VLOOKUP(LEFT($A71,4),Setor!$A:$E,5,0)),"")</f>
        <v>Bancos</v>
      </c>
      <c r="F71" s="47" t="str">
        <f>IFERROR(__xludf.DUMMYFUNCTION("IFERROR((GOOGLEFINANCE(A71)),"""")"),"")</f>
        <v/>
      </c>
      <c r="G71" s="48" t="str">
        <f>IFERROR(__xludf.DUMMYFUNCTION("IFERROR((sparkline(GOOGLEFINANCE($A71,""price"",TODAY()-30,TODAY(),""DAILY""),{""charttype"",""line"";""linewidth"",1;""color"",""#5f88cc""})),"""")"),"")</f>
        <v/>
      </c>
      <c r="H71" s="49" t="str">
        <f>IFERROR(__xludf.DUMMYFUNCTION("IFERROR((((GOOGLEFINANCE(A71))-(INDEX(GoogleFinance(A71,""PRICE"",$AQ$1),2,2)))/(INDEX(GoogleFinance(A71,""PRICE"",$AQ$1),2,2))),"""")"),"")</f>
        <v/>
      </c>
      <c r="I71" s="47" t="str">
        <f>IFERROR(__xludf.DUMMYFUNCTION("IFERROR((GOOGLEFINANCE($A71,""high52"")),"""")"),"")</f>
        <v/>
      </c>
      <c r="J71" s="48" t="str">
        <f>IFERROR(__xludf.DUMMYFUNCTION("IFERROR((sparkline(GOOGLEFINANCE($A71,""price"",TODAY()-365,TODAY(),""DAILY""),{""charttype"",""line"";""linewidth"",1;""color"",""#5f88cc""})),"""")"),"")</f>
        <v/>
      </c>
      <c r="K71" s="50" t="str">
        <f>IFERROR(__xludf.DUMMYFUNCTION("IFERROR((((GOOGLEFINANCE(A71))-(INDEX(GoogleFinance(A71,""PRICE"",$AP$1),2,2)))/(INDEX(GoogleFinance(A71,""PRICE"",$AP$1),2,2))),"""")"),"")</f>
        <v/>
      </c>
      <c r="L71" s="51">
        <f t="shared" si="1"/>
        <v>0</v>
      </c>
      <c r="M71" s="52">
        <f>IFERROR((VLOOKUP($A71,'Dados StatusInvest'!$A:$AZ,COLUMN(M71)-$A$5,0)*VLOOKUP($A71,'Dados StatusInvest'!$A:$AZ,2,0)/$F71/100),0)</f>
        <v>0</v>
      </c>
      <c r="N71" s="53">
        <f>IFERROR((VLOOKUP($A71,'Dados StatusInvest'!$A:$AZ,COLUMN(N71)-$A$5,0)/VLOOKUP($A71,'Dados StatusInvest'!$A:$AZ,2,0)*$F71),"")</f>
        <v>0</v>
      </c>
      <c r="O71" s="53">
        <f>IFERROR((VLOOKUP($A71,'Dados StatusInvest'!$A:$AZ,COLUMN(O71)-$A$5,0)/VLOOKUP($A71,'Dados StatusInvest'!$A:$AZ,2,0)*$F71),0)</f>
        <v>0</v>
      </c>
      <c r="P71" s="54">
        <f>IFERROR((VLOOKUP($A71,'Dados StatusInvest'!$A:$AZ,COLUMN(P71)-$A$5,0)/VLOOKUP($A71,'Dados StatusInvest'!$A:$AZ,2,0)*$F71),0)</f>
        <v>0</v>
      </c>
      <c r="Q71" s="55">
        <f>IFERROR((VLOOKUP($A71,'Dados StatusInvest'!$A:$AZ,COLUMN(Q71)-$A$5,0)/100),0)</f>
        <v>0</v>
      </c>
      <c r="R71" s="56">
        <f>VLOOKUP($A71,'Dados StatusInvest'!$A:$AZ,COLUMN(R71)-$A$5,0)</f>
        <v>0</v>
      </c>
      <c r="S71" s="56">
        <f>IFERROR((VLOOKUP($A71,'Dados StatusInvest'!$A:$AZ,COLUMN(S71)-$A$5,0)),0)</f>
        <v>12.22</v>
      </c>
      <c r="T71" s="53">
        <f>IFERROR((VLOOKUP($A71,'Dados StatusInvest'!$A:$AZ,COLUMN(T71)-$A$5,0)/VLOOKUP($A71,'Dados StatusInvest'!$A:$AZ,2,0)*$F71),0)</f>
        <v>0</v>
      </c>
      <c r="U71" s="53">
        <f>IFERROR((VLOOKUP($A71,'Dados StatusInvest'!$A:$AZ,COLUMN(U71)-$A$5,0)-VLOOKUP($A71,'Dados StatusInvest'!$A:$AZ,COLUMN(U71)-$A$5-1,0)+T71),0)</f>
        <v>-0.24</v>
      </c>
      <c r="V71" s="56">
        <f>IFERROR((VLOOKUP($A71,'Dados StatusInvest'!$A:$AZ,COLUMN(V71)-$A$5,0)),0)</f>
        <v>0</v>
      </c>
      <c r="W71" s="56">
        <f>IFERROR((VLOOKUP($A71,'Dados StatusInvest'!$A:$AZ,COLUMN(W71)-$A$5,0)),0)</f>
        <v>-0.45</v>
      </c>
      <c r="X71" s="53">
        <f>IFERROR((VLOOKUP($A71,'Dados StatusInvest'!$A:$AZ,COLUMN(X71)-$A$5,0)/VLOOKUP($A71,'Dados StatusInvest'!$A:$AZ,2,0)*$F71),0)</f>
        <v>0</v>
      </c>
      <c r="Y71" s="54">
        <f>IFERROR((VLOOKUP($A71,'Dados StatusInvest'!$A:$AZ,COLUMN(Y71)-$A$5,0)/VLOOKUP($A71,'Dados StatusInvest'!$A:$AZ,2,0)*$F71),0)</f>
        <v>0</v>
      </c>
      <c r="Z71" s="56">
        <f>IFERROR((VLOOKUP($A71,'Dados StatusInvest'!$A:$AZ,COLUMN(Z71)-$A$5,0)),0)</f>
        <v>0.22</v>
      </c>
      <c r="AA71" s="57">
        <f>IFERROR((VLOOKUP($A71,'Dados StatusInvest'!$A:$AZ,COLUMN(AA71)-$A$5,0)),0)</f>
        <v>0.78</v>
      </c>
      <c r="AB71" s="57">
        <f>IFERROR((VLOOKUP($A71,'Dados StatusInvest'!$A:$AZ,COLUMN(AB71)-$A$5,0)),0)</f>
        <v>0.02</v>
      </c>
      <c r="AC71" s="58">
        <f>IFERROR((VLOOKUP($A71,'Dados StatusInvest'!$A:$AZ,COLUMN(AC71)-$A$5,0)),0)</f>
        <v>5.8</v>
      </c>
      <c r="AD71" s="57">
        <f>IFERROR((VLOOKUP($A71,'Dados StatusInvest'!$A:$AZ,COLUMN(AD71)-$A$5,0)),0)</f>
        <v>0</v>
      </c>
      <c r="AE71" s="56">
        <f>IFERROR((VLOOKUP($A71,'Dados StatusInvest'!$A:$AZ,COLUMN(AE71)-$A$5,0)),0)</f>
        <v>0</v>
      </c>
      <c r="AF71" s="56">
        <f>IFERROR((VLOOKUP($A71,'Dados StatusInvest'!$A:$AZ,COLUMN(AF71)-$A$5,0)),0)</f>
        <v>3.22</v>
      </c>
      <c r="AG71" s="56">
        <f>IFERROR((VLOOKUP($A71,'Dados StatusInvest'!$A:$AZ,COLUMN(AG71)-$A$5,0)),0)</f>
        <v>-0.01</v>
      </c>
      <c r="AH71" s="56">
        <f>IFERROR((VLOOKUP($A71,'Dados StatusInvest'!$A:$AZ,COLUMN(AH71)-$A$5,0)),0)</f>
        <v>0.12</v>
      </c>
      <c r="AI71" s="57">
        <f>IFERROR((VLOOKUP($A71,'Dados StatusInvest'!$A:$AZ,COLUMN(AI71)-$A$5,0)),0)</f>
        <v>8991139765</v>
      </c>
      <c r="AJ71" s="59" t="str">
        <f>IFERROR((VLOOKUP($A71,'Dados StatusInvest'!$A:$AZ,COLUMN(AJ71)-$A$5,0)),0)</f>
        <v/>
      </c>
      <c r="AK71" s="60" t="str">
        <f>IFERROR(__xludf.DUMMYFUNCTION("IFERROR(GOOGLEFINANCE($A71,""high""),"""")"),"")</f>
        <v/>
      </c>
      <c r="AL71" s="60" t="str">
        <f>IFERROR(__xludf.DUMMYFUNCTION("IFERROR(GOOGLEFINANCE($A71,""low""),"""")"),"")</f>
        <v/>
      </c>
      <c r="AM71" s="61">
        <f t="shared" si="2"/>
        <v>0</v>
      </c>
      <c r="AN71" s="62">
        <f>IFERROR(__xludf.DUMMYFUNCTION("IFERROR((GOOGLEFINANCE($A71,""volume"")),0)"),0.0)</f>
        <v>0</v>
      </c>
      <c r="AO71" s="60" t="str">
        <f>IFERROR(__xludf.DUMMYFUNCTION("IFERROR((GOOGLEFINANCE($A71,""closeyest"")),"""")"),"")</f>
        <v/>
      </c>
      <c r="AP71" s="60" t="str">
        <f>IFERROR(__xludf.DUMMYFUNCTION("IFERROR((GOOGLEFINANCE($A71,""shares"")),"""")"),"")</f>
        <v/>
      </c>
      <c r="AQ71" s="18"/>
    </row>
    <row r="72">
      <c r="A72" s="45" t="str">
        <f>'Dados StatusInvest'!A67:A686</f>
        <v>BIOM3</v>
      </c>
      <c r="B72" s="46" t="str">
        <f>IFERROR(__xludf.DUMMYFUNCTION("IFERROR((GOOGLEFINANCE(A72,""name"")),"""")"),"Biomm SA")</f>
        <v>Biomm SA</v>
      </c>
      <c r="C72" s="46" t="str">
        <f>IFERROR((VLOOKUP(LEFT($A72,4),Setor!$A:$E,3,0)),"")</f>
        <v>Saúde</v>
      </c>
      <c r="D72" s="46" t="str">
        <f>IFERROR((VLOOKUP(LEFT($A72,4),Setor!$A:$E,4,0)),"")</f>
        <v>Medicamentos e Outros Produtos</v>
      </c>
      <c r="E72" s="46" t="str">
        <f>IFERROR((VLOOKUP(LEFT($A72,4),Setor!$A:$E,5,0)),"")</f>
        <v>Medicamentos e Outros Produtos</v>
      </c>
      <c r="F72" s="47">
        <f>IFERROR(__xludf.DUMMYFUNCTION("IFERROR((GOOGLEFINANCE(A72)),"""")"),6.25)</f>
        <v>6.25</v>
      </c>
      <c r="G72" s="48" t="str">
        <f>IFERROR(__xludf.DUMMYFUNCTION("IFERROR((sparkline(GOOGLEFINANCE($A72,""price"",TODAY()-30,TODAY(),""DAILY""),{""charttype"",""line"";""linewidth"",1;""color"",""#5f88cc""})),"""")"),"")</f>
        <v/>
      </c>
      <c r="H72" s="49">
        <f>IFERROR(__xludf.DUMMYFUNCTION("IFERROR((((GOOGLEFINANCE(A72))-(INDEX(GoogleFinance(A72,""PRICE"",$AQ$1),2,2)))/(INDEX(GoogleFinance(A72,""PRICE"",$AQ$1),2,2))),"""")"),0.059322033898305024)</f>
        <v>0.0593220339</v>
      </c>
      <c r="I72" s="47">
        <f>IFERROR(__xludf.DUMMYFUNCTION("IFERROR((GOOGLEFINANCE($A72,""high52"")),"""")"),10.72)</f>
        <v>10.72</v>
      </c>
      <c r="J72" s="48" t="str">
        <f>IFERROR(__xludf.DUMMYFUNCTION("IFERROR((sparkline(GOOGLEFINANCE($A72,""price"",TODAY()-365,TODAY(),""DAILY""),{""charttype"",""line"";""linewidth"",1;""color"",""#5f88cc""})),"""")"),"")</f>
        <v/>
      </c>
      <c r="K72" s="50">
        <f>IFERROR(__xludf.DUMMYFUNCTION("IFERROR((((GOOGLEFINANCE(A72))-(INDEX(GoogleFinance(A72,""PRICE"",$AP$1),2,2)))/(INDEX(GoogleFinance(A72,""PRICE"",$AP$1),2,2))),"""")"),-0.38302073050345514)</f>
        <v>-0.3830207305</v>
      </c>
      <c r="L72" s="51">
        <f t="shared" si="1"/>
        <v>-0.4169776119</v>
      </c>
      <c r="M72" s="52">
        <f>IFERROR((VLOOKUP($A72,'Dados StatusInvest'!$A:$AZ,COLUMN(M72)-$A$5,0)*VLOOKUP($A72,'Dados StatusInvest'!$A:$AZ,2,0)/$F72/100),0)</f>
        <v>-0.3009728</v>
      </c>
      <c r="N72" s="53">
        <f>IFERROR((VLOOKUP($A72,'Dados StatusInvest'!$A:$AZ,COLUMN(N72)-$A$5,0)/VLOOKUP($A72,'Dados StatusInvest'!$A:$AZ,2,0)*$F72),"")</f>
        <v>-43.61895161</v>
      </c>
      <c r="O72" s="53">
        <f>IFERROR((VLOOKUP($A72,'Dados StatusInvest'!$A:$AZ,COLUMN(O72)-$A$5,0)/VLOOKUP($A72,'Dados StatusInvest'!$A:$AZ,2,0)*$F72),0)</f>
        <v>-19.77822581</v>
      </c>
      <c r="P72" s="54">
        <f>IFERROR((VLOOKUP($A72,'Dados StatusInvest'!$A:$AZ,COLUMN(P72)-$A$5,0)/VLOOKUP($A72,'Dados StatusInvest'!$A:$AZ,2,0)*$F72),0)</f>
        <v>-20.41330645</v>
      </c>
      <c r="Q72" s="55">
        <f>IFERROR((VLOOKUP($A72,'Dados StatusInvest'!$A:$AZ,COLUMN(Q72)-$A$5,0)/100),0)</f>
        <v>-0.0063</v>
      </c>
      <c r="R72" s="56">
        <f>VLOOKUP($A72,'Dados StatusInvest'!$A:$AZ,COLUMN(R72)-$A$5,0)</f>
        <v>0.1</v>
      </c>
      <c r="S72" s="56">
        <f>IFERROR((VLOOKUP($A72,'Dados StatusInvest'!$A:$AZ,COLUMN(S72)-$A$5,0)),0)</f>
        <v>5.95</v>
      </c>
      <c r="T72" s="53">
        <f>IFERROR((VLOOKUP($A72,'Dados StatusInvest'!$A:$AZ,COLUMN(T72)-$A$5,0)/VLOOKUP($A72,'Dados StatusInvest'!$A:$AZ,2,0)*$F72),0)</f>
        <v>5.584677419</v>
      </c>
      <c r="U72" s="53">
        <f>IFERROR((VLOOKUP($A72,'Dados StatusInvest'!$A:$AZ,COLUMN(U72)-$A$5,0)-VLOOKUP($A72,'Dados StatusInvest'!$A:$AZ,COLUMN(U72)-$A$5-1,0)+T72),0)</f>
        <v>-3.705322581</v>
      </c>
      <c r="V72" s="56">
        <f>IFERROR((VLOOKUP($A72,'Dados StatusInvest'!$A:$AZ,COLUMN(V72)-$A$5,0)),0)</f>
        <v>2.45</v>
      </c>
      <c r="W72" s="56">
        <f>IFERROR((VLOOKUP($A72,'Dados StatusInvest'!$A:$AZ,COLUMN(W72)-$A$5,0)),0)</f>
        <v>-21.71</v>
      </c>
      <c r="X72" s="53">
        <f>IFERROR((VLOOKUP($A72,'Dados StatusInvest'!$A:$AZ,COLUMN(X72)-$A$5,0)/VLOOKUP($A72,'Dados StatusInvest'!$A:$AZ,2,0)*$F72),0)</f>
        <v>-12.82258065</v>
      </c>
      <c r="Y72" s="54">
        <f>IFERROR((VLOOKUP($A72,'Dados StatusInvest'!$A:$AZ,COLUMN(Y72)-$A$5,0)/VLOOKUP($A72,'Dados StatusInvest'!$A:$AZ,2,0)*$F72),0)</f>
        <v>-11.60282258</v>
      </c>
      <c r="Z72" s="56">
        <f>IFERROR((VLOOKUP($A72,'Dados StatusInvest'!$A:$AZ,COLUMN(Z72)-$A$5,0)),0)</f>
        <v>0.59</v>
      </c>
      <c r="AA72" s="57">
        <f>IFERROR((VLOOKUP($A72,'Dados StatusInvest'!$A:$AZ,COLUMN(AA72)-$A$5,0)),0)</f>
        <v>0.41</v>
      </c>
      <c r="AB72" s="57">
        <f>IFERROR((VLOOKUP($A72,'Dados StatusInvest'!$A:$AZ,COLUMN(AB72)-$A$5,0)),0)</f>
        <v>0.29</v>
      </c>
      <c r="AC72" s="58">
        <f>IFERROR((VLOOKUP($A72,'Dados StatusInvest'!$A:$AZ,COLUMN(AC72)-$A$5,0)),0)</f>
        <v>74.06</v>
      </c>
      <c r="AD72" s="57">
        <f>IFERROR((VLOOKUP($A72,'Dados StatusInvest'!$A:$AZ,COLUMN(AD72)-$A$5,0)),0)</f>
        <v>0</v>
      </c>
      <c r="AE72" s="56">
        <f>IFERROR((VLOOKUP($A72,'Dados StatusInvest'!$A:$AZ,COLUMN(AE72)-$A$5,0)),0)</f>
        <v>624041.3</v>
      </c>
      <c r="AF72" s="56">
        <f>IFERROR((VLOOKUP($A72,'Dados StatusInvest'!$A:$AZ,COLUMN(AF72)-$A$5,0)),0)</f>
        <v>2.08</v>
      </c>
      <c r="AG72" s="56">
        <f>IFERROR((VLOOKUP($A72,'Dados StatusInvest'!$A:$AZ,COLUMN(AG72)-$A$5,0)),0)</f>
        <v>-0.45</v>
      </c>
      <c r="AH72" s="56">
        <f>IFERROR((VLOOKUP($A72,'Dados StatusInvest'!$A:$AZ,COLUMN(AH72)-$A$5,0)),0)</f>
        <v>0.78</v>
      </c>
      <c r="AI72" s="57">
        <f>IFERROR((VLOOKUP($A72,'Dados StatusInvest'!$A:$AZ,COLUMN(AI72)-$A$5,0)),0)</f>
        <v>848417498.4</v>
      </c>
      <c r="AJ72" s="59" t="str">
        <f>IFERROR((VLOOKUP($A72,'Dados StatusInvest'!$A:$AZ,COLUMN(AJ72)-$A$5,0)),0)</f>
        <v/>
      </c>
      <c r="AK72" s="60">
        <f>IFERROR(__xludf.DUMMYFUNCTION("IFERROR(GOOGLEFINANCE($A72,""high""),"""")"),6.25)</f>
        <v>6.25</v>
      </c>
      <c r="AL72" s="60">
        <f>IFERROR(__xludf.DUMMYFUNCTION("IFERROR(GOOGLEFINANCE($A72,""low""),"""")"),6.25)</f>
        <v>6.25</v>
      </c>
      <c r="AM72" s="61">
        <f t="shared" si="2"/>
        <v>0</v>
      </c>
      <c r="AN72" s="62">
        <f>IFERROR(__xludf.DUMMYFUNCTION("IFERROR((GOOGLEFINANCE($A72,""volume"")),0)"),100.0)</f>
        <v>100</v>
      </c>
      <c r="AO72" s="60">
        <f>IFERROR(__xludf.DUMMYFUNCTION("IFERROR((GOOGLEFINANCE($A72,""closeyest"")),"""")"),6.2)</f>
        <v>6.2</v>
      </c>
      <c r="AP72" s="60">
        <f>IFERROR(__xludf.DUMMYFUNCTION("IFERROR((GOOGLEFINANCE($A72,""shares"")),"""")"),1.36841532E8)</f>
        <v>136841532</v>
      </c>
      <c r="AQ72" s="18"/>
    </row>
    <row r="73">
      <c r="A73" s="45" t="str">
        <f>'Dados StatusInvest'!A68:A687</f>
        <v>BLAU3</v>
      </c>
      <c r="B73" s="46" t="str">
        <f>IFERROR(__xludf.DUMMYFUNCTION("IFERROR((GOOGLEFINANCE(A73,""name"")),"""")"),"Blau Farmaceutica SA")</f>
        <v>Blau Farmaceutica SA</v>
      </c>
      <c r="C73" s="46" t="str">
        <f>IFERROR((VLOOKUP(LEFT($A73,4),Setor!$A:$E,3,0)),"")</f>
        <v>Consumo Cíclico</v>
      </c>
      <c r="D73" s="46" t="str">
        <f>IFERROR((VLOOKUP(LEFT($A73,4),Setor!$A:$E,4,0)),"")</f>
        <v>Medicamentos e Outros Produtos</v>
      </c>
      <c r="E73" s="46" t="str">
        <f>IFERROR((VLOOKUP(LEFT($A73,4),Setor!$A:$E,5,0)),"")</f>
        <v>Medicamentos e Outros Produtos</v>
      </c>
      <c r="F73" s="47">
        <f>IFERROR(__xludf.DUMMYFUNCTION("IFERROR((GOOGLEFINANCE(A73)),"""")"),11.17)</f>
        <v>11.17</v>
      </c>
      <c r="G73" s="48" t="str">
        <f>IFERROR(__xludf.DUMMYFUNCTION("IFERROR((sparkline(GOOGLEFINANCE($A73,""price"",TODAY()-30,TODAY(),""DAILY""),{""charttype"",""line"";""linewidth"",1;""color"",""#5f88cc""})),"""")"),"")</f>
        <v/>
      </c>
      <c r="H73" s="49">
        <f>IFERROR(__xludf.DUMMYFUNCTION("IFERROR((((GOOGLEFINANCE(A73))-(INDEX(GoogleFinance(A73,""PRICE"",$AQ$1),2,2)))/(INDEX(GoogleFinance(A73,""PRICE"",$AQ$1),2,2))),"""")"),0.23973362930077693)</f>
        <v>0.2397336293</v>
      </c>
      <c r="I73" s="47">
        <f>IFERROR(__xludf.DUMMYFUNCTION("IFERROR((GOOGLEFINANCE($A73,""high52"")),"""")"),11.51)</f>
        <v>11.51</v>
      </c>
      <c r="J73" s="48" t="str">
        <f>IFERROR(__xludf.DUMMYFUNCTION("IFERROR((sparkline(GOOGLEFINANCE($A73,""price"",TODAY()-365,TODAY(),""DAILY""),{""charttype"",""line"";""linewidth"",1;""color"",""#5f88cc""})),"""")"),"")</f>
        <v/>
      </c>
      <c r="K73" s="50">
        <f>IFERROR(__xludf.DUMMYFUNCTION("IFERROR((((GOOGLEFINANCE(A73))-(INDEX(GoogleFinance(A73,""PRICE"",$AP$1),2,2)))/(INDEX(GoogleFinance(A73,""PRICE"",$AP$1),2,2))),"""")"),0.18829787234042547)</f>
        <v>0.1882978723</v>
      </c>
      <c r="L73" s="51">
        <f t="shared" si="1"/>
        <v>-0.02953953084</v>
      </c>
      <c r="M73" s="52">
        <f>IFERROR((VLOOKUP($A73,'Dados StatusInvest'!$A:$AZ,COLUMN(M73)-$A$5,0)*VLOOKUP($A73,'Dados StatusInvest'!$A:$AZ,2,0)/$F73/100),0)</f>
        <v>0.2324529991</v>
      </c>
      <c r="N73" s="53">
        <f>IFERROR((VLOOKUP($A73,'Dados StatusInvest'!$A:$AZ,COLUMN(N73)-$A$5,0)/VLOOKUP($A73,'Dados StatusInvest'!$A:$AZ,2,0)*$F73),"")</f>
        <v>17.76278222</v>
      </c>
      <c r="O73" s="53">
        <f>IFERROR((VLOOKUP($A73,'Dados StatusInvest'!$A:$AZ,COLUMN(O73)-$A$5,0)/VLOOKUP($A73,'Dados StatusInvest'!$A:$AZ,2,0)*$F73),0)</f>
        <v>6.384275556</v>
      </c>
      <c r="P73" s="54">
        <f>IFERROR((VLOOKUP($A73,'Dados StatusInvest'!$A:$AZ,COLUMN(P73)-$A$5,0)/VLOOKUP($A73,'Dados StatusInvest'!$A:$AZ,2,0)*$F73),0)</f>
        <v>6.950222222</v>
      </c>
      <c r="Q73" s="55">
        <f>IFERROR((VLOOKUP($A73,'Dados StatusInvest'!$A:$AZ,COLUMN(Q73)-$A$5,0)/100),0)</f>
        <v>0.0057</v>
      </c>
      <c r="R73" s="56">
        <f>VLOOKUP($A73,'Dados StatusInvest'!$A:$AZ,COLUMN(R73)-$A$5,0)</f>
        <v>0.1</v>
      </c>
      <c r="S73" s="56">
        <f>IFERROR((VLOOKUP($A73,'Dados StatusInvest'!$A:$AZ,COLUMN(S73)-$A$5,0)),0)</f>
        <v>1.48</v>
      </c>
      <c r="T73" s="53">
        <f>IFERROR((VLOOKUP($A73,'Dados StatusInvest'!$A:$AZ,COLUMN(T73)-$A$5,0)/VLOOKUP($A73,'Dados StatusInvest'!$A:$AZ,2,0)*$F73),0)</f>
        <v>2.015564444</v>
      </c>
      <c r="U73" s="53">
        <f>IFERROR((VLOOKUP($A73,'Dados StatusInvest'!$A:$AZ,COLUMN(U73)-$A$5,0)-VLOOKUP($A73,'Dados StatusInvest'!$A:$AZ,COLUMN(U73)-$A$5-1,0)+T73),0)</f>
        <v>-1.604435556</v>
      </c>
      <c r="V73" s="56">
        <f>IFERROR((VLOOKUP($A73,'Dados StatusInvest'!$A:$AZ,COLUMN(V73)-$A$5,0)),0)</f>
        <v>2.9</v>
      </c>
      <c r="W73" s="56">
        <f>IFERROR((VLOOKUP($A73,'Dados StatusInvest'!$A:$AZ,COLUMN(W73)-$A$5,0)),0)</f>
        <v>13.47</v>
      </c>
      <c r="X73" s="53">
        <f>IFERROR((VLOOKUP($A73,'Dados StatusInvest'!$A:$AZ,COLUMN(X73)-$A$5,0)/VLOOKUP($A73,'Dados StatusInvest'!$A:$AZ,2,0)*$F73),0)</f>
        <v>8.677848889</v>
      </c>
      <c r="Y73" s="54">
        <f>IFERROR((VLOOKUP($A73,'Dados StatusInvest'!$A:$AZ,COLUMN(Y73)-$A$5,0)/VLOOKUP($A73,'Dados StatusInvest'!$A:$AZ,2,0)*$F73),0)</f>
        <v>7.605528889</v>
      </c>
      <c r="Z73" s="56">
        <f>IFERROR((VLOOKUP($A73,'Dados StatusInvest'!$A:$AZ,COLUMN(Z73)-$A$5,0)),0)</f>
        <v>0.65</v>
      </c>
      <c r="AA73" s="57">
        <f>IFERROR((VLOOKUP($A73,'Dados StatusInvest'!$A:$AZ,COLUMN(AA73)-$A$5,0)),0)</f>
        <v>0.36</v>
      </c>
      <c r="AB73" s="57">
        <f>IFERROR((VLOOKUP($A73,'Dados StatusInvest'!$A:$AZ,COLUMN(AB73)-$A$5,0)),0)</f>
        <v>0.49</v>
      </c>
      <c r="AC73" s="58">
        <f>IFERROR((VLOOKUP($A73,'Dados StatusInvest'!$A:$AZ,COLUMN(AC73)-$A$5,0)),0)</f>
        <v>12.41</v>
      </c>
      <c r="AD73" s="57">
        <f>IFERROR((VLOOKUP($A73,'Dados StatusInvest'!$A:$AZ,COLUMN(AD73)-$A$5,0)),0)</f>
        <v>9.59</v>
      </c>
      <c r="AE73" s="56">
        <f>IFERROR((VLOOKUP($A73,'Dados StatusInvest'!$A:$AZ,COLUMN(AE73)-$A$5,0)),0)</f>
        <v>7043886</v>
      </c>
      <c r="AF73" s="56">
        <f>IFERROR((VLOOKUP($A73,'Dados StatusInvest'!$A:$AZ,COLUMN(AF73)-$A$5,0)),0)</f>
        <v>10.08</v>
      </c>
      <c r="AG73" s="56">
        <f>IFERROR((VLOOKUP($A73,'Dados StatusInvest'!$A:$AZ,COLUMN(AG73)-$A$5,0)),0)</f>
        <v>1.36</v>
      </c>
      <c r="AH73" s="56">
        <f>IFERROR((VLOOKUP($A73,'Dados StatusInvest'!$A:$AZ,COLUMN(AH73)-$A$5,0)),0)</f>
        <v>0.12</v>
      </c>
      <c r="AI73" s="57">
        <f>IFERROR((VLOOKUP($A73,'Dados StatusInvest'!$A:$AZ,COLUMN(AI73)-$A$5,0)),0)</f>
        <v>2623636361</v>
      </c>
      <c r="AJ73" s="59" t="str">
        <f>IFERROR((VLOOKUP($A73,'Dados StatusInvest'!$A:$AZ,COLUMN(AJ73)-$A$5,0)),0)</f>
        <v/>
      </c>
      <c r="AK73" s="60">
        <f>IFERROR(__xludf.DUMMYFUNCTION("IFERROR(GOOGLEFINANCE($A73,""high""),"""")"),11.26)</f>
        <v>11.26</v>
      </c>
      <c r="AL73" s="60">
        <f>IFERROR(__xludf.DUMMYFUNCTION("IFERROR(GOOGLEFINANCE($A73,""low""),"""")"),11.12)</f>
        <v>11.12</v>
      </c>
      <c r="AM73" s="61">
        <f t="shared" si="2"/>
        <v>0.01258992806</v>
      </c>
      <c r="AN73" s="62">
        <f>IFERROR(__xludf.DUMMYFUNCTION("IFERROR((GOOGLEFINANCE($A73,""volume"")),0)"),18200.0)</f>
        <v>18200</v>
      </c>
      <c r="AO73" s="60">
        <f>IFERROR(__xludf.DUMMYFUNCTION("IFERROR((GOOGLEFINANCE($A73,""closeyest"")),"""")"),11.25)</f>
        <v>11.25</v>
      </c>
      <c r="AP73" s="60">
        <f>IFERROR(__xludf.DUMMYFUNCTION("IFERROR((GOOGLEFINANCE($A73,""shares"")),"""")"),2.33212121E8)</f>
        <v>233212121</v>
      </c>
      <c r="AQ73" s="18"/>
    </row>
    <row r="74">
      <c r="A74" s="45" t="str">
        <f>'Dados StatusInvest'!A69:A688</f>
        <v>BLUT3</v>
      </c>
      <c r="B74" s="46" t="str">
        <f>IFERROR(__xludf.DUMMYFUNCTION("IFERROR((GOOGLEFINANCE(A74,""name"")),"""")"),"")</f>
        <v/>
      </c>
      <c r="C74" s="46" t="str">
        <f>IFERROR((VLOOKUP(LEFT($A74,4),Setor!$A:$E,3,0)),"")</f>
        <v/>
      </c>
      <c r="D74" s="46" t="str">
        <f>IFERROR((VLOOKUP(LEFT($A74,4),Setor!$A:$E,4,0)),"")</f>
        <v/>
      </c>
      <c r="E74" s="46" t="str">
        <f>IFERROR((VLOOKUP(LEFT($A74,4),Setor!$A:$E,5,0)),"")</f>
        <v/>
      </c>
      <c r="F74" s="47" t="str">
        <f>IFERROR(__xludf.DUMMYFUNCTION("IFERROR((GOOGLEFINANCE(A74)),"""")"),"")</f>
        <v/>
      </c>
      <c r="G74" s="48" t="str">
        <f>IFERROR(__xludf.DUMMYFUNCTION("IFERROR((sparkline(GOOGLEFINANCE($A74,""price"",TODAY()-30,TODAY(),""DAILY""),{""charttype"",""line"";""linewidth"",1;""color"",""#5f88cc""})),"""")"),"")</f>
        <v/>
      </c>
      <c r="H74" s="49" t="str">
        <f>IFERROR(__xludf.DUMMYFUNCTION("IFERROR((((GOOGLEFINANCE(A74))-(INDEX(GoogleFinance(A74,""PRICE"",$AQ$1),2,2)))/(INDEX(GoogleFinance(A74,""PRICE"",$AQ$1),2,2))),"""")"),"")</f>
        <v/>
      </c>
      <c r="I74" s="47" t="str">
        <f>IFERROR(__xludf.DUMMYFUNCTION("IFERROR((GOOGLEFINANCE($A74,""high52"")),"""")"),"")</f>
        <v/>
      </c>
      <c r="J74" s="48" t="str">
        <f>IFERROR(__xludf.DUMMYFUNCTION("IFERROR((sparkline(GOOGLEFINANCE($A74,""price"",TODAY()-365,TODAY(),""DAILY""),{""charttype"",""line"";""linewidth"",1;""color"",""#5f88cc""})),"""")"),"")</f>
        <v/>
      </c>
      <c r="K74" s="50" t="str">
        <f>IFERROR(__xludf.DUMMYFUNCTION("IFERROR((((GOOGLEFINANCE(A74))-(INDEX(GoogleFinance(A74,""PRICE"",$AP$1),2,2)))/(INDEX(GoogleFinance(A74,""PRICE"",$AP$1),2,2))),"""")"),"")</f>
        <v/>
      </c>
      <c r="L74" s="51">
        <f t="shared" si="1"/>
        <v>0</v>
      </c>
      <c r="M74" s="52">
        <f>IFERROR((VLOOKUP($A74,'Dados StatusInvest'!$A:$AZ,COLUMN(M74)-$A$5,0)*VLOOKUP($A74,'Dados StatusInvest'!$A:$AZ,2,0)/$F74/100),0)</f>
        <v>0</v>
      </c>
      <c r="N74" s="53">
        <f>IFERROR((VLOOKUP($A74,'Dados StatusInvest'!$A:$AZ,COLUMN(N74)-$A$5,0)/VLOOKUP($A74,'Dados StatusInvest'!$A:$AZ,2,0)*$F74),"")</f>
        <v>0</v>
      </c>
      <c r="O74" s="53">
        <f>IFERROR((VLOOKUP($A74,'Dados StatusInvest'!$A:$AZ,COLUMN(O74)-$A$5,0)/VLOOKUP($A74,'Dados StatusInvest'!$A:$AZ,2,0)*$F74),0)</f>
        <v>0</v>
      </c>
      <c r="P74" s="54">
        <f>IFERROR((VLOOKUP($A74,'Dados StatusInvest'!$A:$AZ,COLUMN(P74)-$A$5,0)/VLOOKUP($A74,'Dados StatusInvest'!$A:$AZ,2,0)*$F74),0)</f>
        <v>0</v>
      </c>
      <c r="Q74" s="55">
        <f>IFERROR((VLOOKUP($A74,'Dados StatusInvest'!$A:$AZ,COLUMN(Q74)-$A$5,0)/100),0)</f>
        <v>-0.0159</v>
      </c>
      <c r="R74" s="56">
        <f>VLOOKUP($A74,'Dados StatusInvest'!$A:$AZ,COLUMN(R74)-$A$5,0)</f>
        <v>0.12</v>
      </c>
      <c r="S74" s="56">
        <f>IFERROR((VLOOKUP($A74,'Dados StatusInvest'!$A:$AZ,COLUMN(S74)-$A$5,0)),0)</f>
        <v>0</v>
      </c>
      <c r="T74" s="53">
        <f>IFERROR((VLOOKUP($A74,'Dados StatusInvest'!$A:$AZ,COLUMN(T74)-$A$5,0)/VLOOKUP($A74,'Dados StatusInvest'!$A:$AZ,2,0)*$F74),0)</f>
        <v>0</v>
      </c>
      <c r="U74" s="53">
        <f>IFERROR((VLOOKUP($A74,'Dados StatusInvest'!$A:$AZ,COLUMN(U74)-$A$5,0)-VLOOKUP($A74,'Dados StatusInvest'!$A:$AZ,COLUMN(U74)-$A$5-1,0)+T74),0)</f>
        <v>0.62</v>
      </c>
      <c r="V74" s="56">
        <f>IFERROR((VLOOKUP($A74,'Dados StatusInvest'!$A:$AZ,COLUMN(V74)-$A$5,0)),0)</f>
        <v>0</v>
      </c>
      <c r="W74" s="56">
        <f>IFERROR((VLOOKUP($A74,'Dados StatusInvest'!$A:$AZ,COLUMN(W74)-$A$5,0)),0)</f>
        <v>-8.24</v>
      </c>
      <c r="X74" s="53">
        <f>IFERROR((VLOOKUP($A74,'Dados StatusInvest'!$A:$AZ,COLUMN(X74)-$A$5,0)/VLOOKUP($A74,'Dados StatusInvest'!$A:$AZ,2,0)*$F74),0)</f>
        <v>0</v>
      </c>
      <c r="Y74" s="54">
        <f>IFERROR((VLOOKUP($A74,'Dados StatusInvest'!$A:$AZ,COLUMN(Y74)-$A$5,0)/VLOOKUP($A74,'Dados StatusInvest'!$A:$AZ,2,0)*$F74),0)</f>
        <v>0</v>
      </c>
      <c r="Z74" s="56">
        <f>IFERROR((VLOOKUP($A74,'Dados StatusInvest'!$A:$AZ,COLUMN(Z74)-$A$5,0)),0)</f>
        <v>0.3</v>
      </c>
      <c r="AA74" s="57">
        <f>IFERROR((VLOOKUP($A74,'Dados StatusInvest'!$A:$AZ,COLUMN(AA74)-$A$5,0)),0)</f>
        <v>0.7</v>
      </c>
      <c r="AB74" s="57">
        <f>IFERROR((VLOOKUP($A74,'Dados StatusInvest'!$A:$AZ,COLUMN(AB74)-$A$5,0)),0)</f>
        <v>0</v>
      </c>
      <c r="AC74" s="58">
        <f>IFERROR((VLOOKUP($A74,'Dados StatusInvest'!$A:$AZ,COLUMN(AC74)-$A$5,0)),0)</f>
        <v>0</v>
      </c>
      <c r="AD74" s="57">
        <f>IFERROR((VLOOKUP($A74,'Dados StatusInvest'!$A:$AZ,COLUMN(AD74)-$A$5,0)),0)</f>
        <v>0</v>
      </c>
      <c r="AE74" s="56">
        <f>IFERROR((VLOOKUP($A74,'Dados StatusInvest'!$A:$AZ,COLUMN(AE74)-$A$5,0)),0)</f>
        <v>0</v>
      </c>
      <c r="AF74" s="56">
        <f>IFERROR((VLOOKUP($A74,'Dados StatusInvest'!$A:$AZ,COLUMN(AF74)-$A$5,0)),0)</f>
        <v>11.09</v>
      </c>
      <c r="AG74" s="56">
        <f>IFERROR((VLOOKUP($A74,'Dados StatusInvest'!$A:$AZ,COLUMN(AG74)-$A$5,0)),0)</f>
        <v>-0.91</v>
      </c>
      <c r="AH74" s="56">
        <f>IFERROR((VLOOKUP($A74,'Dados StatusInvest'!$A:$AZ,COLUMN(AH74)-$A$5,0)),0)</f>
        <v>0.2</v>
      </c>
      <c r="AI74" s="57">
        <f>IFERROR((VLOOKUP($A74,'Dados StatusInvest'!$A:$AZ,COLUMN(AI74)-$A$5,0)),0)</f>
        <v>14115600.06</v>
      </c>
      <c r="AJ74" s="59" t="str">
        <f>IFERROR((VLOOKUP($A74,'Dados StatusInvest'!$A:$AZ,COLUMN(AJ74)-$A$5,0)),0)</f>
        <v/>
      </c>
      <c r="AK74" s="60" t="str">
        <f>IFERROR(__xludf.DUMMYFUNCTION("IFERROR(GOOGLEFINANCE($A74,""high""),"""")"),"")</f>
        <v/>
      </c>
      <c r="AL74" s="60" t="str">
        <f>IFERROR(__xludf.DUMMYFUNCTION("IFERROR(GOOGLEFINANCE($A74,""low""),"""")"),"")</f>
        <v/>
      </c>
      <c r="AM74" s="61">
        <f t="shared" si="2"/>
        <v>0</v>
      </c>
      <c r="AN74" s="62">
        <f>IFERROR(__xludf.DUMMYFUNCTION("IFERROR((GOOGLEFINANCE($A74,""volume"")),0)"),0.0)</f>
        <v>0</v>
      </c>
      <c r="AO74" s="60" t="str">
        <f>IFERROR(__xludf.DUMMYFUNCTION("IFERROR((GOOGLEFINANCE($A74,""closeyest"")),"""")"),"")</f>
        <v/>
      </c>
      <c r="AP74" s="60" t="str">
        <f>IFERROR(__xludf.DUMMYFUNCTION("IFERROR((GOOGLEFINANCE($A74,""shares"")),"""")"),"")</f>
        <v/>
      </c>
      <c r="AQ74" s="18"/>
    </row>
    <row r="75">
      <c r="A75" s="45" t="str">
        <f>'Dados StatusInvest'!A70:A689</f>
        <v>BLUT4</v>
      </c>
      <c r="B75" s="46" t="str">
        <f>IFERROR(__xludf.DUMMYFUNCTION("IFERROR((GOOGLEFINANCE(A75,""name"")),"""")"),"")</f>
        <v/>
      </c>
      <c r="C75" s="46" t="str">
        <f>IFERROR((VLOOKUP(LEFT($A75,4),Setor!$A:$E,3,0)),"")</f>
        <v/>
      </c>
      <c r="D75" s="46" t="str">
        <f>IFERROR((VLOOKUP(LEFT($A75,4),Setor!$A:$E,4,0)),"")</f>
        <v/>
      </c>
      <c r="E75" s="46" t="str">
        <f>IFERROR((VLOOKUP(LEFT($A75,4),Setor!$A:$E,5,0)),"")</f>
        <v/>
      </c>
      <c r="F75" s="47" t="str">
        <f>IFERROR(__xludf.DUMMYFUNCTION("IFERROR((GOOGLEFINANCE(A75)),"""")"),"")</f>
        <v/>
      </c>
      <c r="G75" s="48" t="str">
        <f>IFERROR(__xludf.DUMMYFUNCTION("IFERROR((sparkline(GOOGLEFINANCE($A75,""price"",TODAY()-30,TODAY(),""DAILY""),{""charttype"",""line"";""linewidth"",1;""color"",""#5f88cc""})),"""")"),"")</f>
        <v/>
      </c>
      <c r="H75" s="49" t="str">
        <f>IFERROR(__xludf.DUMMYFUNCTION("IFERROR((((GOOGLEFINANCE(A75))-(INDEX(GoogleFinance(A75,""PRICE"",$AQ$1),2,2)))/(INDEX(GoogleFinance(A75,""PRICE"",$AQ$1),2,2))),"""")"),"")</f>
        <v/>
      </c>
      <c r="I75" s="47" t="str">
        <f>IFERROR(__xludf.DUMMYFUNCTION("IFERROR((GOOGLEFINANCE($A75,""high52"")),"""")"),"")</f>
        <v/>
      </c>
      <c r="J75" s="48" t="str">
        <f>IFERROR(__xludf.DUMMYFUNCTION("IFERROR((sparkline(GOOGLEFINANCE($A75,""price"",TODAY()-365,TODAY(),""DAILY""),{""charttype"",""line"";""linewidth"",1;""color"",""#5f88cc""})),"""")"),"")</f>
        <v/>
      </c>
      <c r="K75" s="50" t="str">
        <f>IFERROR(__xludf.DUMMYFUNCTION("IFERROR((((GOOGLEFINANCE(A75))-(INDEX(GoogleFinance(A75,""PRICE"",$AP$1),2,2)))/(INDEX(GoogleFinance(A75,""PRICE"",$AP$1),2,2))),"""")"),"")</f>
        <v/>
      </c>
      <c r="L75" s="51">
        <f t="shared" si="1"/>
        <v>0</v>
      </c>
      <c r="M75" s="52">
        <f>IFERROR((VLOOKUP($A75,'Dados StatusInvest'!$A:$AZ,COLUMN(M75)-$A$5,0)*VLOOKUP($A75,'Dados StatusInvest'!$A:$AZ,2,0)/$F75/100),0)</f>
        <v>0</v>
      </c>
      <c r="N75" s="53">
        <f>IFERROR((VLOOKUP($A75,'Dados StatusInvest'!$A:$AZ,COLUMN(N75)-$A$5,0)/VLOOKUP($A75,'Dados StatusInvest'!$A:$AZ,2,0)*$F75),"")</f>
        <v>0</v>
      </c>
      <c r="O75" s="53">
        <f>IFERROR((VLOOKUP($A75,'Dados StatusInvest'!$A:$AZ,COLUMN(O75)-$A$5,0)/VLOOKUP($A75,'Dados StatusInvest'!$A:$AZ,2,0)*$F75),0)</f>
        <v>0</v>
      </c>
      <c r="P75" s="54">
        <f>IFERROR((VLOOKUP($A75,'Dados StatusInvest'!$A:$AZ,COLUMN(P75)-$A$5,0)/VLOOKUP($A75,'Dados StatusInvest'!$A:$AZ,2,0)*$F75),0)</f>
        <v>0</v>
      </c>
      <c r="Q75" s="55">
        <f>IFERROR((VLOOKUP($A75,'Dados StatusInvest'!$A:$AZ,COLUMN(Q75)-$A$5,0)/100),0)</f>
        <v>-0.0159</v>
      </c>
      <c r="R75" s="56">
        <f>VLOOKUP($A75,'Dados StatusInvest'!$A:$AZ,COLUMN(R75)-$A$5,0)</f>
        <v>0.12</v>
      </c>
      <c r="S75" s="56">
        <f>IFERROR((VLOOKUP($A75,'Dados StatusInvest'!$A:$AZ,COLUMN(S75)-$A$5,0)),0)</f>
        <v>0</v>
      </c>
      <c r="T75" s="53">
        <f>IFERROR((VLOOKUP($A75,'Dados StatusInvest'!$A:$AZ,COLUMN(T75)-$A$5,0)/VLOOKUP($A75,'Dados StatusInvest'!$A:$AZ,2,0)*$F75),0)</f>
        <v>0</v>
      </c>
      <c r="U75" s="53">
        <f>IFERROR((VLOOKUP($A75,'Dados StatusInvest'!$A:$AZ,COLUMN(U75)-$A$5,0)-VLOOKUP($A75,'Dados StatusInvest'!$A:$AZ,COLUMN(U75)-$A$5-1,0)+T75),0)</f>
        <v>0.18</v>
      </c>
      <c r="V75" s="56">
        <f>IFERROR((VLOOKUP($A75,'Dados StatusInvest'!$A:$AZ,COLUMN(V75)-$A$5,0)),0)</f>
        <v>0</v>
      </c>
      <c r="W75" s="56">
        <f>IFERROR((VLOOKUP($A75,'Dados StatusInvest'!$A:$AZ,COLUMN(W75)-$A$5,0)),0)</f>
        <v>-8.24</v>
      </c>
      <c r="X75" s="53">
        <f>IFERROR((VLOOKUP($A75,'Dados StatusInvest'!$A:$AZ,COLUMN(X75)-$A$5,0)/VLOOKUP($A75,'Dados StatusInvest'!$A:$AZ,2,0)*$F75),0)</f>
        <v>0</v>
      </c>
      <c r="Y75" s="54">
        <f>IFERROR((VLOOKUP($A75,'Dados StatusInvest'!$A:$AZ,COLUMN(Y75)-$A$5,0)/VLOOKUP($A75,'Dados StatusInvest'!$A:$AZ,2,0)*$F75),0)</f>
        <v>0</v>
      </c>
      <c r="Z75" s="56">
        <f>IFERROR((VLOOKUP($A75,'Dados StatusInvest'!$A:$AZ,COLUMN(Z75)-$A$5,0)),0)</f>
        <v>0.3</v>
      </c>
      <c r="AA75" s="57">
        <f>IFERROR((VLOOKUP($A75,'Dados StatusInvest'!$A:$AZ,COLUMN(AA75)-$A$5,0)),0)</f>
        <v>0.7</v>
      </c>
      <c r="AB75" s="57">
        <f>IFERROR((VLOOKUP($A75,'Dados StatusInvest'!$A:$AZ,COLUMN(AB75)-$A$5,0)),0)</f>
        <v>0</v>
      </c>
      <c r="AC75" s="58">
        <f>IFERROR((VLOOKUP($A75,'Dados StatusInvest'!$A:$AZ,COLUMN(AC75)-$A$5,0)),0)</f>
        <v>0</v>
      </c>
      <c r="AD75" s="57">
        <f>IFERROR((VLOOKUP($A75,'Dados StatusInvest'!$A:$AZ,COLUMN(AD75)-$A$5,0)),0)</f>
        <v>0</v>
      </c>
      <c r="AE75" s="56">
        <f>IFERROR((VLOOKUP($A75,'Dados StatusInvest'!$A:$AZ,COLUMN(AE75)-$A$5,0)),0)</f>
        <v>0</v>
      </c>
      <c r="AF75" s="56">
        <f>IFERROR((VLOOKUP($A75,'Dados StatusInvest'!$A:$AZ,COLUMN(AF75)-$A$5,0)),0)</f>
        <v>11.09</v>
      </c>
      <c r="AG75" s="56">
        <f>IFERROR((VLOOKUP($A75,'Dados StatusInvest'!$A:$AZ,COLUMN(AG75)-$A$5,0)),0)</f>
        <v>-0.91</v>
      </c>
      <c r="AH75" s="56">
        <f>IFERROR((VLOOKUP($A75,'Dados StatusInvest'!$A:$AZ,COLUMN(AH75)-$A$5,0)),0)</f>
        <v>0.06</v>
      </c>
      <c r="AI75" s="57">
        <f>IFERROR((VLOOKUP($A75,'Dados StatusInvest'!$A:$AZ,COLUMN(AI75)-$A$5,0)),0)</f>
        <v>14115600.06</v>
      </c>
      <c r="AJ75" s="59" t="str">
        <f>IFERROR((VLOOKUP($A75,'Dados StatusInvest'!$A:$AZ,COLUMN(AJ75)-$A$5,0)),0)</f>
        <v/>
      </c>
      <c r="AK75" s="60" t="str">
        <f>IFERROR(__xludf.DUMMYFUNCTION("IFERROR(GOOGLEFINANCE($A75,""high""),"""")"),"")</f>
        <v/>
      </c>
      <c r="AL75" s="60" t="str">
        <f>IFERROR(__xludf.DUMMYFUNCTION("IFERROR(GOOGLEFINANCE($A75,""low""),"""")"),"")</f>
        <v/>
      </c>
      <c r="AM75" s="61">
        <f t="shared" si="2"/>
        <v>0</v>
      </c>
      <c r="AN75" s="62">
        <f>IFERROR(__xludf.DUMMYFUNCTION("IFERROR((GOOGLEFINANCE($A75,""volume"")),0)"),0.0)</f>
        <v>0</v>
      </c>
      <c r="AO75" s="60" t="str">
        <f>IFERROR(__xludf.DUMMYFUNCTION("IFERROR((GOOGLEFINANCE($A75,""closeyest"")),"""")"),"")</f>
        <v/>
      </c>
      <c r="AP75" s="60" t="str">
        <f>IFERROR(__xludf.DUMMYFUNCTION("IFERROR((GOOGLEFINANCE($A75,""shares"")),"""")"),"")</f>
        <v/>
      </c>
      <c r="AQ75" s="18"/>
    </row>
    <row r="76">
      <c r="A76" s="45" t="str">
        <f>'Dados StatusInvest'!A71:A690</f>
        <v>BMEB3</v>
      </c>
      <c r="B76" s="46" t="str">
        <f>IFERROR(__xludf.DUMMYFUNCTION("IFERROR((GOOGLEFINANCE(A76,""name"")),"""")"),"Banco Mercantil do Brasil SA")</f>
        <v>Banco Mercantil do Brasil SA</v>
      </c>
      <c r="C76" s="46" t="str">
        <f>IFERROR((VLOOKUP(LEFT($A76,4),Setor!$A:$E,3,0)),"")</f>
        <v>Financeiro</v>
      </c>
      <c r="D76" s="46" t="str">
        <f>IFERROR((VLOOKUP(LEFT($A76,4),Setor!$A:$E,4,0)),"")</f>
        <v>Intermediários Financeiros</v>
      </c>
      <c r="E76" s="46" t="str">
        <f>IFERROR((VLOOKUP(LEFT($A76,4),Setor!$A:$E,5,0)),"")</f>
        <v>Bancos</v>
      </c>
      <c r="F76" s="47">
        <f>IFERROR(__xludf.DUMMYFUNCTION("IFERROR((GOOGLEFINANCE(A76)),"""")"),57.5)</f>
        <v>57.5</v>
      </c>
      <c r="G76" s="48" t="str">
        <f>IFERROR(__xludf.DUMMYFUNCTION("IFERROR((sparkline(GOOGLEFINANCE($A76,""price"",TODAY()-30,TODAY(),""DAILY""),{""charttype"",""line"";""linewidth"",1;""color"",""#5f88cc""})),"""")"),"")</f>
        <v/>
      </c>
      <c r="H76" s="49">
        <f>IFERROR(__xludf.DUMMYFUNCTION("IFERROR((((GOOGLEFINANCE(A76))-(INDEX(GoogleFinance(A76,""PRICE"",$AQ$1),2,2)))/(INDEX(GoogleFinance(A76,""PRICE"",$AQ$1),2,2))),"""")"),0.22470713525026617)</f>
        <v>0.2247071353</v>
      </c>
      <c r="I76" s="47">
        <f>IFERROR(__xludf.DUMMYFUNCTION("IFERROR((GOOGLEFINANCE($A76,""high52"")),"""")"),67.15)</f>
        <v>67.15</v>
      </c>
      <c r="J76" s="48" t="str">
        <f>IFERROR(__xludf.DUMMYFUNCTION("IFERROR((sparkline(GOOGLEFINANCE($A76,""price"",TODAY()-365,TODAY(),""DAILY""),{""charttype"",""line"";""linewidth"",1;""color"",""#5f88cc""})),"""")"),"")</f>
        <v/>
      </c>
      <c r="K76" s="50">
        <f>IFERROR(__xludf.DUMMYFUNCTION("IFERROR((((GOOGLEFINANCE(A76))-(INDEX(GoogleFinance(A76,""PRICE"",$AP$1),2,2)))/(INDEX(GoogleFinance(A76,""PRICE"",$AP$1),2,2))),"""")"),0.9230769230769231)</f>
        <v>0.9230769231</v>
      </c>
      <c r="L76" s="51">
        <f t="shared" si="1"/>
        <v>-0.1437081162</v>
      </c>
      <c r="M76" s="52">
        <f>IFERROR((VLOOKUP($A76,'Dados StatusInvest'!$A:$AZ,COLUMN(M76)-$A$5,0)*VLOOKUP($A76,'Dados StatusInvest'!$A:$AZ,2,0)/$F76/100),0)</f>
        <v>0.0783026087</v>
      </c>
      <c r="N76" s="53">
        <f>IFERROR((VLOOKUP($A76,'Dados StatusInvest'!$A:$AZ,COLUMN(N76)-$A$5,0)/VLOOKUP($A76,'Dados StatusInvest'!$A:$AZ,2,0)*$F76),"")</f>
        <v>8.460714286</v>
      </c>
      <c r="O76" s="53">
        <f>IFERROR((VLOOKUP($A76,'Dados StatusInvest'!$A:$AZ,COLUMN(O76)-$A$5,0)/VLOOKUP($A76,'Dados StatusInvest'!$A:$AZ,2,0)*$F76),0)</f>
        <v>9.929017857</v>
      </c>
      <c r="P76" s="54">
        <f>IFERROR((VLOOKUP($A76,'Dados StatusInvest'!$A:$AZ,COLUMN(P76)-$A$5,0)/VLOOKUP($A76,'Dados StatusInvest'!$A:$AZ,2,0)*$F76),0)</f>
        <v>10.84285714</v>
      </c>
      <c r="Q76" s="55">
        <f>IFERROR((VLOOKUP($A76,'Dados StatusInvest'!$A:$AZ,COLUMN(Q76)-$A$5,0)/100),0)</f>
        <v>0</v>
      </c>
      <c r="R76" s="56">
        <f>VLOOKUP($A76,'Dados StatusInvest'!$A:$AZ,COLUMN(R76)-$A$5,0)</f>
        <v>0</v>
      </c>
      <c r="S76" s="56">
        <f>IFERROR((VLOOKUP($A76,'Dados StatusInvest'!$A:$AZ,COLUMN(S76)-$A$5,0)),0)</f>
        <v>0.78</v>
      </c>
      <c r="T76" s="53">
        <f>IFERROR((VLOOKUP($A76,'Dados StatusInvest'!$A:$AZ,COLUMN(T76)-$A$5,0)/VLOOKUP($A76,'Dados StatusInvest'!$A:$AZ,2,0)*$F76),0)</f>
        <v>1.037053571</v>
      </c>
      <c r="U76" s="53">
        <f>IFERROR((VLOOKUP($A76,'Dados StatusInvest'!$A:$AZ,COLUMN(U76)-$A$5,0)-VLOOKUP($A76,'Dados StatusInvest'!$A:$AZ,COLUMN(U76)-$A$5-1,0)+T76),0)</f>
        <v>-0.2029464286</v>
      </c>
      <c r="V76" s="56">
        <f>IFERROR((VLOOKUP($A76,'Dados StatusInvest'!$A:$AZ,COLUMN(V76)-$A$5,0)),0)</f>
        <v>0</v>
      </c>
      <c r="W76" s="56">
        <f>IFERROR((VLOOKUP($A76,'Dados StatusInvest'!$A:$AZ,COLUMN(W76)-$A$5,0)),0)</f>
        <v>27.54</v>
      </c>
      <c r="X76" s="53">
        <f>IFERROR((VLOOKUP($A76,'Dados StatusInvest'!$A:$AZ,COLUMN(X76)-$A$5,0)/VLOOKUP($A76,'Dados StatusInvest'!$A:$AZ,2,0)*$F76),0)</f>
        <v>2.022767857</v>
      </c>
      <c r="Y76" s="54">
        <f>IFERROR((VLOOKUP($A76,'Dados StatusInvest'!$A:$AZ,COLUMN(Y76)-$A$5,0)/VLOOKUP($A76,'Dados StatusInvest'!$A:$AZ,2,0)*$F76),0)</f>
        <v>0</v>
      </c>
      <c r="Z76" s="56">
        <f>IFERROR((VLOOKUP($A76,'Dados StatusInvest'!$A:$AZ,COLUMN(Z76)-$A$5,0)),0)</f>
        <v>0.07</v>
      </c>
      <c r="AA76" s="57">
        <f>IFERROR((VLOOKUP($A76,'Dados StatusInvest'!$A:$AZ,COLUMN(AA76)-$A$5,0)),0)</f>
        <v>0.93</v>
      </c>
      <c r="AB76" s="57">
        <f>IFERROR((VLOOKUP($A76,'Dados StatusInvest'!$A:$AZ,COLUMN(AB76)-$A$5,0)),0)</f>
        <v>0.24</v>
      </c>
      <c r="AC76" s="58">
        <f>IFERROR((VLOOKUP($A76,'Dados StatusInvest'!$A:$AZ,COLUMN(AC76)-$A$5,0)),0)</f>
        <v>21.54</v>
      </c>
      <c r="AD76" s="57">
        <f>IFERROR((VLOOKUP($A76,'Dados StatusInvest'!$A:$AZ,COLUMN(AD76)-$A$5,0)),0)</f>
        <v>41.2</v>
      </c>
      <c r="AE76" s="56">
        <f>IFERROR((VLOOKUP($A76,'Dados StatusInvest'!$A:$AZ,COLUMN(AE76)-$A$5,0)),0)</f>
        <v>169413.8</v>
      </c>
      <c r="AF76" s="56">
        <f>IFERROR((VLOOKUP($A76,'Dados StatusInvest'!$A:$AZ,COLUMN(AF76)-$A$5,0)),0)</f>
        <v>21.53</v>
      </c>
      <c r="AG76" s="56">
        <f>IFERROR((VLOOKUP($A76,'Dados StatusInvest'!$A:$AZ,COLUMN(AG76)-$A$5,0)),0)</f>
        <v>5.93</v>
      </c>
      <c r="AH76" s="56">
        <f>IFERROR((VLOOKUP($A76,'Dados StatusInvest'!$A:$AZ,COLUMN(AH76)-$A$5,0)),0)</f>
        <v>-1.23</v>
      </c>
      <c r="AI76" s="57">
        <f>IFERROR((VLOOKUP($A76,'Dados StatusInvest'!$A:$AZ,COLUMN(AI76)-$A$5,0)),0)</f>
        <v>6406192266</v>
      </c>
      <c r="AJ76" s="59" t="str">
        <f>IFERROR((VLOOKUP($A76,'Dados StatusInvest'!$A:$AZ,COLUMN(AJ76)-$A$5,0)),0)</f>
        <v/>
      </c>
      <c r="AK76" s="60">
        <f>IFERROR(__xludf.DUMMYFUNCTION("IFERROR(GOOGLEFINANCE($A76,""high""),"""")"),57.5)</f>
        <v>57.5</v>
      </c>
      <c r="AL76" s="60">
        <f>IFERROR(__xludf.DUMMYFUNCTION("IFERROR(GOOGLEFINANCE($A76,""low""),"""")"),57.5)</f>
        <v>57.5</v>
      </c>
      <c r="AM76" s="61">
        <f t="shared" si="2"/>
        <v>0</v>
      </c>
      <c r="AN76" s="62">
        <f>IFERROR(__xludf.DUMMYFUNCTION("IFERROR((GOOGLEFINANCE($A76,""volume"")),0)"),100.0)</f>
        <v>100</v>
      </c>
      <c r="AO76" s="60">
        <f>IFERROR(__xludf.DUMMYFUNCTION("IFERROR((GOOGLEFINANCE($A76,""closeyest"")),"""")"),56.0)</f>
        <v>56</v>
      </c>
      <c r="AP76" s="60">
        <f>IFERROR(__xludf.DUMMYFUNCTION("IFERROR((GOOGLEFINANCE($A76,""shares"")),"""")"),6.5155744E7)</f>
        <v>65155744</v>
      </c>
      <c r="AQ76" s="18"/>
    </row>
    <row r="77">
      <c r="A77" s="45" t="str">
        <f>'Dados StatusInvest'!A72:A691</f>
        <v>BMEB4</v>
      </c>
      <c r="B77" s="46" t="str">
        <f>IFERROR(__xludf.DUMMYFUNCTION("IFERROR((GOOGLEFINANCE(A77,""name"")),"""")"),"Banco Mercantil do Brasil SA Preference Shares")</f>
        <v>Banco Mercantil do Brasil SA Preference Shares</v>
      </c>
      <c r="C77" s="46" t="str">
        <f>IFERROR((VLOOKUP(LEFT($A77,4),Setor!$A:$E,3,0)),"")</f>
        <v>Financeiro</v>
      </c>
      <c r="D77" s="46" t="str">
        <f>IFERROR((VLOOKUP(LEFT($A77,4),Setor!$A:$E,4,0)),"")</f>
        <v>Intermediários Financeiros</v>
      </c>
      <c r="E77" s="46" t="str">
        <f>IFERROR((VLOOKUP(LEFT($A77,4),Setor!$A:$E,5,0)),"")</f>
        <v>Bancos</v>
      </c>
      <c r="F77" s="47">
        <f>IFERROR(__xludf.DUMMYFUNCTION("IFERROR((GOOGLEFINANCE(A77)),"""")"),69.49)</f>
        <v>69.49</v>
      </c>
      <c r="G77" s="48" t="str">
        <f>IFERROR(__xludf.DUMMYFUNCTION("IFERROR((sparkline(GOOGLEFINANCE($A77,""price"",TODAY()-30,TODAY(),""DAILY""),{""charttype"",""line"";""linewidth"",1;""color"",""#5f88cc""})),"""")"),"")</f>
        <v/>
      </c>
      <c r="H77" s="49">
        <f>IFERROR(__xludf.DUMMYFUNCTION("IFERROR((((GOOGLEFINANCE(A77))-(INDEX(GoogleFinance(A77,""PRICE"",$AQ$1),2,2)))/(INDEX(GoogleFinance(A77,""PRICE"",$AQ$1),2,2))),"""")"),0.2108381251089039)</f>
        <v>0.2108381251</v>
      </c>
      <c r="I77" s="47">
        <f>IFERROR(__xludf.DUMMYFUNCTION("IFERROR((GOOGLEFINANCE($A77,""high52"")),"""")"),82.86)</f>
        <v>82.86</v>
      </c>
      <c r="J77" s="48" t="str">
        <f>IFERROR(__xludf.DUMMYFUNCTION("IFERROR((sparkline(GOOGLEFINANCE($A77,""price"",TODAY()-365,TODAY(),""DAILY""),{""charttype"",""line"";""linewidth"",1;""color"",""#5f88cc""})),"""")"),"")</f>
        <v/>
      </c>
      <c r="K77" s="50">
        <f>IFERROR(__xludf.DUMMYFUNCTION("IFERROR((((GOOGLEFINANCE(A77))-(INDEX(GoogleFinance(A77,""PRICE"",$AP$1),2,2)))/(INDEX(GoogleFinance(A77,""PRICE"",$AP$1),2,2))),"""")"),0.8049350649350648)</f>
        <v>0.8049350649</v>
      </c>
      <c r="L77" s="51">
        <f t="shared" si="1"/>
        <v>-0.1613565049</v>
      </c>
      <c r="M77" s="52">
        <f>IFERROR((VLOOKUP($A77,'Dados StatusInvest'!$A:$AZ,COLUMN(M77)-$A$5,0)*VLOOKUP($A77,'Dados StatusInvest'!$A:$AZ,2,0)/$F77/100),0)</f>
        <v>0.08041157001</v>
      </c>
      <c r="N77" s="53">
        <f>IFERROR((VLOOKUP($A77,'Dados StatusInvest'!$A:$AZ,COLUMN(N77)-$A$5,0)/VLOOKUP($A77,'Dados StatusInvest'!$A:$AZ,2,0)*$F77),"")</f>
        <v>8.238814388</v>
      </c>
      <c r="O77" s="53">
        <f>IFERROR((VLOOKUP($A77,'Dados StatusInvest'!$A:$AZ,COLUMN(O77)-$A$5,0)/VLOOKUP($A77,'Dados StatusInvest'!$A:$AZ,2,0)*$F77),0)</f>
        <v>12.00827194</v>
      </c>
      <c r="P77" s="54">
        <f>IFERROR((VLOOKUP($A77,'Dados StatusInvest'!$A:$AZ,COLUMN(P77)-$A$5,0)/VLOOKUP($A77,'Dados StatusInvest'!$A:$AZ,2,0)*$F77),0)</f>
        <v>10.55848058</v>
      </c>
      <c r="Q77" s="55">
        <f>IFERROR((VLOOKUP($A77,'Dados StatusInvest'!$A:$AZ,COLUMN(Q77)-$A$5,0)/100),0)</f>
        <v>0</v>
      </c>
      <c r="R77" s="56">
        <f>VLOOKUP($A77,'Dados StatusInvest'!$A:$AZ,COLUMN(R77)-$A$5,0)</f>
        <v>0</v>
      </c>
      <c r="S77" s="56">
        <f>IFERROR((VLOOKUP($A77,'Dados StatusInvest'!$A:$AZ,COLUMN(S77)-$A$5,0)),0)</f>
        <v>0.97</v>
      </c>
      <c r="T77" s="53">
        <f>IFERROR((VLOOKUP($A77,'Dados StatusInvest'!$A:$AZ,COLUMN(T77)-$A$5,0)/VLOOKUP($A77,'Dados StatusInvest'!$A:$AZ,2,0)*$F77),0)</f>
        <v>1.249820144</v>
      </c>
      <c r="U77" s="53">
        <f>IFERROR((VLOOKUP($A77,'Dados StatusInvest'!$A:$AZ,COLUMN(U77)-$A$5,0)-VLOOKUP($A77,'Dados StatusInvest'!$A:$AZ,COLUMN(U77)-$A$5-1,0)+T77),0)</f>
        <v>-0.2801798561</v>
      </c>
      <c r="V77" s="56">
        <f>IFERROR((VLOOKUP($A77,'Dados StatusInvest'!$A:$AZ,COLUMN(V77)-$A$5,0)),0)</f>
        <v>0</v>
      </c>
      <c r="W77" s="56">
        <f>IFERROR((VLOOKUP($A77,'Dados StatusInvest'!$A:$AZ,COLUMN(W77)-$A$5,0)),0)</f>
        <v>27.54</v>
      </c>
      <c r="X77" s="53">
        <f>IFERROR((VLOOKUP($A77,'Dados StatusInvest'!$A:$AZ,COLUMN(X77)-$A$5,0)/VLOOKUP($A77,'Dados StatusInvest'!$A:$AZ,2,0)*$F77),0)</f>
        <v>1.969716547</v>
      </c>
      <c r="Y77" s="54">
        <f>IFERROR((VLOOKUP($A77,'Dados StatusInvest'!$A:$AZ,COLUMN(Y77)-$A$5,0)/VLOOKUP($A77,'Dados StatusInvest'!$A:$AZ,2,0)*$F77),0)</f>
        <v>0</v>
      </c>
      <c r="Z77" s="56">
        <f>IFERROR((VLOOKUP($A77,'Dados StatusInvest'!$A:$AZ,COLUMN(Z77)-$A$5,0)),0)</f>
        <v>0.07</v>
      </c>
      <c r="AA77" s="57">
        <f>IFERROR((VLOOKUP($A77,'Dados StatusInvest'!$A:$AZ,COLUMN(AA77)-$A$5,0)),0)</f>
        <v>0.93</v>
      </c>
      <c r="AB77" s="57">
        <f>IFERROR((VLOOKUP($A77,'Dados StatusInvest'!$A:$AZ,COLUMN(AB77)-$A$5,0)),0)</f>
        <v>0.24</v>
      </c>
      <c r="AC77" s="58">
        <f>IFERROR((VLOOKUP($A77,'Dados StatusInvest'!$A:$AZ,COLUMN(AC77)-$A$5,0)),0)</f>
        <v>21.54</v>
      </c>
      <c r="AD77" s="57">
        <f>IFERROR((VLOOKUP($A77,'Dados StatusInvest'!$A:$AZ,COLUMN(AD77)-$A$5,0)),0)</f>
        <v>41.2</v>
      </c>
      <c r="AE77" s="56">
        <f>IFERROR((VLOOKUP($A77,'Dados StatusInvest'!$A:$AZ,COLUMN(AE77)-$A$5,0)),0)</f>
        <v>2506846</v>
      </c>
      <c r="AF77" s="56">
        <f>IFERROR((VLOOKUP($A77,'Dados StatusInvest'!$A:$AZ,COLUMN(AF77)-$A$5,0)),0)</f>
        <v>21.53</v>
      </c>
      <c r="AG77" s="56">
        <f>IFERROR((VLOOKUP($A77,'Dados StatusInvest'!$A:$AZ,COLUMN(AG77)-$A$5,0)),0)</f>
        <v>5.93</v>
      </c>
      <c r="AH77" s="56">
        <f>IFERROR((VLOOKUP($A77,'Dados StatusInvest'!$A:$AZ,COLUMN(AH77)-$A$5,0)),0)</f>
        <v>-1.52</v>
      </c>
      <c r="AI77" s="57">
        <f>IFERROR((VLOOKUP($A77,'Dados StatusInvest'!$A:$AZ,COLUMN(AI77)-$A$5,0)),0)</f>
        <v>6406192266</v>
      </c>
      <c r="AJ77" s="59" t="str">
        <f>IFERROR((VLOOKUP($A77,'Dados StatusInvest'!$A:$AZ,COLUMN(AJ77)-$A$5,0)),0)</f>
        <v/>
      </c>
      <c r="AK77" s="60">
        <f>IFERROR(__xludf.DUMMYFUNCTION("IFERROR(GOOGLEFINANCE($A77,""high""),"""")"),69.0)</f>
        <v>69</v>
      </c>
      <c r="AL77" s="60">
        <f>IFERROR(__xludf.DUMMYFUNCTION("IFERROR(GOOGLEFINANCE($A77,""low""),"""")"),68.28)</f>
        <v>68.28</v>
      </c>
      <c r="AM77" s="61">
        <f t="shared" si="2"/>
        <v>0.01054481547</v>
      </c>
      <c r="AN77" s="62">
        <f>IFERROR(__xludf.DUMMYFUNCTION("IFERROR((GOOGLEFINANCE($A77,""volume"")),0)"),1100.0)</f>
        <v>1100</v>
      </c>
      <c r="AO77" s="60">
        <f>IFERROR(__xludf.DUMMYFUNCTION("IFERROR((GOOGLEFINANCE($A77,""closeyest"")),"""")"),69.5)</f>
        <v>69.5</v>
      </c>
      <c r="AP77" s="60">
        <f>IFERROR(__xludf.DUMMYFUNCTION("IFERROR((GOOGLEFINANCE($A77,""shares"")),"""")"),3.9675836E7)</f>
        <v>39675836</v>
      </c>
      <c r="AQ77" s="18"/>
    </row>
    <row r="78">
      <c r="A78" s="45" t="str">
        <f>'Dados StatusInvest'!A73:A692</f>
        <v>BMGB4</v>
      </c>
      <c r="B78" s="46" t="str">
        <f>IFERROR(__xludf.DUMMYFUNCTION("IFERROR((GOOGLEFINANCE(A78,""name"")),"""")"),"Banco BMG Sa")</f>
        <v>Banco BMG Sa</v>
      </c>
      <c r="C78" s="46" t="str">
        <f>IFERROR((VLOOKUP(LEFT($A78,4),Setor!$A:$E,3,0)),"")</f>
        <v>Financeiro</v>
      </c>
      <c r="D78" s="46" t="str">
        <f>IFERROR((VLOOKUP(LEFT($A78,4),Setor!$A:$E,4,0)),"")</f>
        <v>Intermediários Financeiros</v>
      </c>
      <c r="E78" s="46" t="str">
        <f>IFERROR((VLOOKUP(LEFT($A78,4),Setor!$A:$E,5,0)),"")</f>
        <v>Bancos</v>
      </c>
      <c r="F78" s="47">
        <f>IFERROR(__xludf.DUMMYFUNCTION("IFERROR((GOOGLEFINANCE(A78)),"""")"),4.79)</f>
        <v>4.79</v>
      </c>
      <c r="G78" s="48" t="str">
        <f>IFERROR(__xludf.DUMMYFUNCTION("IFERROR((sparkline(GOOGLEFINANCE($A78,""price"",TODAY()-30,TODAY(),""DAILY""),{""charttype"",""line"";""linewidth"",1;""color"",""#5f88cc""})),"""")"),"")</f>
        <v/>
      </c>
      <c r="H78" s="49">
        <f>IFERROR(__xludf.DUMMYFUNCTION("IFERROR((((GOOGLEFINANCE(A78))-(INDEX(GoogleFinance(A78,""PRICE"",$AQ$1),2,2)))/(INDEX(GoogleFinance(A78,""PRICE"",$AQ$1),2,2))),"""")"),-0.09280303030303035)</f>
        <v>-0.0928030303</v>
      </c>
      <c r="I78" s="47">
        <f>IFERROR(__xludf.DUMMYFUNCTION("IFERROR((GOOGLEFINANCE($A78,""high52"")),"""")"),5.3)</f>
        <v>5.3</v>
      </c>
      <c r="J78" s="48" t="str">
        <f>IFERROR(__xludf.DUMMYFUNCTION("IFERROR((sparkline(GOOGLEFINANCE($A78,""price"",TODAY()-365,TODAY(),""DAILY""),{""charttype"",""line"";""linewidth"",1;""color"",""#5f88cc""})),"""")"),"")</f>
        <v/>
      </c>
      <c r="K78" s="50">
        <f>IFERROR(__xludf.DUMMYFUNCTION("IFERROR((((GOOGLEFINANCE(A78))-(INDEX(GoogleFinance(A78,""PRICE"",$AP$1),2,2)))/(INDEX(GoogleFinance(A78,""PRICE"",$AP$1),2,2))),"""")"),0.25721784776902884)</f>
        <v>0.2572178478</v>
      </c>
      <c r="L78" s="51">
        <f t="shared" si="1"/>
        <v>-0.09622641509</v>
      </c>
      <c r="M78" s="52">
        <f>IFERROR((VLOOKUP($A78,'Dados StatusInvest'!$A:$AZ,COLUMN(M78)-$A$5,0)*VLOOKUP($A78,'Dados StatusInvest'!$A:$AZ,2,0)/$F78/100),0)</f>
        <v>0.02854070981</v>
      </c>
      <c r="N78" s="53">
        <f>IFERROR((VLOOKUP($A78,'Dados StatusInvest'!$A:$AZ,COLUMN(N78)-$A$5,0)/VLOOKUP($A78,'Dados StatusInvest'!$A:$AZ,2,0)*$F78),"")</f>
        <v>4.223020408</v>
      </c>
      <c r="O78" s="53">
        <f>IFERROR((VLOOKUP($A78,'Dados StatusInvest'!$A:$AZ,COLUMN(O78)-$A$5,0)/VLOOKUP($A78,'Dados StatusInvest'!$A:$AZ,2,0)*$F78),0)</f>
        <v>11.22228571</v>
      </c>
      <c r="P78" s="54">
        <f>IFERROR((VLOOKUP($A78,'Dados StatusInvest'!$A:$AZ,COLUMN(P78)-$A$5,0)/VLOOKUP($A78,'Dados StatusInvest'!$A:$AZ,2,0)*$F78),0)</f>
        <v>11.22228571</v>
      </c>
      <c r="Q78" s="55">
        <f>IFERROR((VLOOKUP($A78,'Dados StatusInvest'!$A:$AZ,COLUMN(Q78)-$A$5,0)/100),0)</f>
        <v>0</v>
      </c>
      <c r="R78" s="56">
        <f>VLOOKUP($A78,'Dados StatusInvest'!$A:$AZ,COLUMN(R78)-$A$5,0)</f>
        <v>0</v>
      </c>
      <c r="S78" s="56">
        <f>IFERROR((VLOOKUP($A78,'Dados StatusInvest'!$A:$AZ,COLUMN(S78)-$A$5,0)),0)</f>
        <v>0.32</v>
      </c>
      <c r="T78" s="53">
        <f>IFERROR((VLOOKUP($A78,'Dados StatusInvest'!$A:$AZ,COLUMN(T78)-$A$5,0)/VLOOKUP($A78,'Dados StatusInvest'!$A:$AZ,2,0)*$F78),0)</f>
        <v>-0.1466326531</v>
      </c>
      <c r="U78" s="53">
        <f>IFERROR((VLOOKUP($A78,'Dados StatusInvest'!$A:$AZ,COLUMN(U78)-$A$5,0)-VLOOKUP($A78,'Dados StatusInvest'!$A:$AZ,COLUMN(U78)-$A$5-1,0)+T78),0)</f>
        <v>-0.05663265306</v>
      </c>
      <c r="V78" s="56">
        <f>IFERROR((VLOOKUP($A78,'Dados StatusInvest'!$A:$AZ,COLUMN(V78)-$A$5,0)),0)</f>
        <v>0.02</v>
      </c>
      <c r="W78" s="56">
        <f>IFERROR((VLOOKUP($A78,'Dados StatusInvest'!$A:$AZ,COLUMN(W78)-$A$5,0)),0)</f>
        <v>8.62</v>
      </c>
      <c r="X78" s="53">
        <f>IFERROR((VLOOKUP($A78,'Dados StatusInvest'!$A:$AZ,COLUMN(X78)-$A$5,0)/VLOOKUP($A78,'Dados StatusInvest'!$A:$AZ,2,0)*$F78),0)</f>
        <v>0.8015918367</v>
      </c>
      <c r="Y78" s="54">
        <f>IFERROR((VLOOKUP($A78,'Dados StatusInvest'!$A:$AZ,COLUMN(Y78)-$A$5,0)/VLOOKUP($A78,'Dados StatusInvest'!$A:$AZ,2,0)*$F78),0)</f>
        <v>0</v>
      </c>
      <c r="Z78" s="56">
        <f>IFERROR((VLOOKUP($A78,'Dados StatusInvest'!$A:$AZ,COLUMN(Z78)-$A$5,0)),0)</f>
        <v>0.1</v>
      </c>
      <c r="AA78" s="57">
        <f>IFERROR((VLOOKUP($A78,'Dados StatusInvest'!$A:$AZ,COLUMN(AA78)-$A$5,0)),0)</f>
        <v>0.9</v>
      </c>
      <c r="AB78" s="57">
        <f>IFERROR((VLOOKUP($A78,'Dados StatusInvest'!$A:$AZ,COLUMN(AB78)-$A$5,0)),0)</f>
        <v>0.19</v>
      </c>
      <c r="AC78" s="58">
        <f>IFERROR((VLOOKUP($A78,'Dados StatusInvest'!$A:$AZ,COLUMN(AC78)-$A$5,0)),0)</f>
        <v>20.01</v>
      </c>
      <c r="AD78" s="57">
        <f>IFERROR((VLOOKUP($A78,'Dados StatusInvest'!$A:$AZ,COLUMN(AD78)-$A$5,0)),0)</f>
        <v>0.44</v>
      </c>
      <c r="AE78" s="56">
        <f>IFERROR((VLOOKUP($A78,'Dados StatusInvest'!$A:$AZ,COLUMN(AE78)-$A$5,0)),0)</f>
        <v>6577541</v>
      </c>
      <c r="AF78" s="56">
        <f>IFERROR((VLOOKUP($A78,'Dados StatusInvest'!$A:$AZ,COLUMN(AF78)-$A$5,0)),0)</f>
        <v>7.67</v>
      </c>
      <c r="AG78" s="56">
        <f>IFERROR((VLOOKUP($A78,'Dados StatusInvest'!$A:$AZ,COLUMN(AG78)-$A$5,0)),0)</f>
        <v>0.66</v>
      </c>
      <c r="AH78" s="56">
        <f>IFERROR((VLOOKUP($A78,'Dados StatusInvest'!$A:$AZ,COLUMN(AH78)-$A$5,0)),0)</f>
        <v>1.03</v>
      </c>
      <c r="AI78" s="57">
        <f>IFERROR((VLOOKUP($A78,'Dados StatusInvest'!$A:$AZ,COLUMN(AI78)-$A$5,0)),0)</f>
        <v>2935532641</v>
      </c>
      <c r="AJ78" s="59" t="str">
        <f>IFERROR((VLOOKUP($A78,'Dados StatusInvest'!$A:$AZ,COLUMN(AJ78)-$A$5,0)),0)</f>
        <v/>
      </c>
      <c r="AK78" s="60">
        <f>IFERROR(__xludf.DUMMYFUNCTION("IFERROR(GOOGLEFINANCE($A78,""high""),"""")"),4.9)</f>
        <v>4.9</v>
      </c>
      <c r="AL78" s="60">
        <f>IFERROR(__xludf.DUMMYFUNCTION("IFERROR(GOOGLEFINANCE($A78,""low""),"""")"),4.77)</f>
        <v>4.77</v>
      </c>
      <c r="AM78" s="61">
        <f t="shared" si="2"/>
        <v>0.02725366876</v>
      </c>
      <c r="AN78" s="62">
        <f>IFERROR(__xludf.DUMMYFUNCTION("IFERROR((GOOGLEFINANCE($A78,""volume"")),0)"),324000.0)</f>
        <v>324000</v>
      </c>
      <c r="AO78" s="60">
        <f>IFERROR(__xludf.DUMMYFUNCTION("IFERROR((GOOGLEFINANCE($A78,""closeyest"")),"""")"),4.9)</f>
        <v>4.9</v>
      </c>
      <c r="AP78" s="60">
        <f>IFERROR(__xludf.DUMMYFUNCTION("IFERROR((GOOGLEFINANCE($A78,""shares"")),"""")"),2.16251515E8)</f>
        <v>216251515</v>
      </c>
      <c r="AQ78" s="18"/>
    </row>
    <row r="79">
      <c r="A79" s="45" t="str">
        <f>'Dados StatusInvest'!A74:A693</f>
        <v>BMIN3</v>
      </c>
      <c r="B79" s="46" t="str">
        <f>IFERROR(__xludf.DUMMYFUNCTION("IFERROR((GOOGLEFINANCE(A79,""name"")),"""")"),"Banco Mercantil de Investimentos SA")</f>
        <v>Banco Mercantil de Investimentos SA</v>
      </c>
      <c r="C79" s="46" t="str">
        <f>IFERROR((VLOOKUP(LEFT($A79,4),Setor!$A:$E,3,0)),"")</f>
        <v>Financeiro</v>
      </c>
      <c r="D79" s="46" t="str">
        <f>IFERROR((VLOOKUP(LEFT($A79,4),Setor!$A:$E,4,0)),"")</f>
        <v>Intermediários Financeiros</v>
      </c>
      <c r="E79" s="46" t="str">
        <f>IFERROR((VLOOKUP(LEFT($A79,4),Setor!$A:$E,5,0)),"")</f>
        <v>Bancos</v>
      </c>
      <c r="F79" s="47">
        <f>IFERROR(__xludf.DUMMYFUNCTION("IFERROR((GOOGLEFINANCE(A79)),"""")"),22.99)</f>
        <v>22.99</v>
      </c>
      <c r="G79" s="48" t="str">
        <f>IFERROR(__xludf.DUMMYFUNCTION("IFERROR((sparkline(GOOGLEFINANCE($A79,""price"",TODAY()-30,TODAY(),""DAILY""),{""charttype"",""line"";""linewidth"",1;""color"",""#5f88cc""})),"""")"),"")</f>
        <v/>
      </c>
      <c r="H79" s="49" t="str">
        <f>IFERROR(__xludf.DUMMYFUNCTION("IFERROR((((GOOGLEFINANCE(A79))-(INDEX(GoogleFinance(A79,""PRICE"",$AQ$1),2,2)))/(INDEX(GoogleFinance(A79,""PRICE"",$AQ$1),2,2))),"""")"),"")</f>
        <v/>
      </c>
      <c r="I79" s="47">
        <f>IFERROR(__xludf.DUMMYFUNCTION("IFERROR((GOOGLEFINANCE($A79,""high52"")),"""")"),22.99)</f>
        <v>22.99</v>
      </c>
      <c r="J79" s="48" t="str">
        <f>IFERROR(__xludf.DUMMYFUNCTION("IFERROR((sparkline(GOOGLEFINANCE($A79,""price"",TODAY()-365,TODAY(),""DAILY""),{""charttype"",""line"";""linewidth"",1;""color"",""#5f88cc""})),"""")"),"")</f>
        <v/>
      </c>
      <c r="K79" s="50">
        <f>IFERROR(__xludf.DUMMYFUNCTION("IFERROR((((GOOGLEFINANCE(A79))-(INDEX(GoogleFinance(A79,""PRICE"",$AP$1),2,2)))/(INDEX(GoogleFinance(A79,""PRICE"",$AP$1),2,2))),"""")"),0.27722222222222215)</f>
        <v>0.2772222222</v>
      </c>
      <c r="L79" s="51">
        <f t="shared" si="1"/>
        <v>0</v>
      </c>
      <c r="M79" s="52">
        <f>IFERROR((VLOOKUP($A79,'Dados StatusInvest'!$A:$AZ,COLUMN(M79)-$A$5,0)*VLOOKUP($A79,'Dados StatusInvest'!$A:$AZ,2,0)/$F79/100),0)</f>
        <v>0.25</v>
      </c>
      <c r="N79" s="53">
        <f>IFERROR((VLOOKUP($A79,'Dados StatusInvest'!$A:$AZ,COLUMN(N79)-$A$5,0)/VLOOKUP($A79,'Dados StatusInvest'!$A:$AZ,2,0)*$F79),"")</f>
        <v>12.76</v>
      </c>
      <c r="O79" s="53">
        <f>IFERROR((VLOOKUP($A79,'Dados StatusInvest'!$A:$AZ,COLUMN(O79)-$A$5,0)/VLOOKUP($A79,'Dados StatusInvest'!$A:$AZ,2,0)*$F79),0)</f>
        <v>7.04</v>
      </c>
      <c r="P79" s="54">
        <f>IFERROR((VLOOKUP($A79,'Dados StatusInvest'!$A:$AZ,COLUMN(P79)-$A$5,0)/VLOOKUP($A79,'Dados StatusInvest'!$A:$AZ,2,0)*$F79),0)</f>
        <v>6.86</v>
      </c>
      <c r="Q79" s="55">
        <f>IFERROR((VLOOKUP($A79,'Dados StatusInvest'!$A:$AZ,COLUMN(Q79)-$A$5,0)/100),0)</f>
        <v>0</v>
      </c>
      <c r="R79" s="56">
        <f>VLOOKUP($A79,'Dados StatusInvest'!$A:$AZ,COLUMN(R79)-$A$5,0)</f>
        <v>0</v>
      </c>
      <c r="S79" s="56">
        <f>IFERROR((VLOOKUP($A79,'Dados StatusInvest'!$A:$AZ,COLUMN(S79)-$A$5,0)),0)</f>
        <v>1.76</v>
      </c>
      <c r="T79" s="53">
        <f>IFERROR((VLOOKUP($A79,'Dados StatusInvest'!$A:$AZ,COLUMN(T79)-$A$5,0)/VLOOKUP($A79,'Dados StatusInvest'!$A:$AZ,2,0)*$F79),0)</f>
        <v>35.98</v>
      </c>
      <c r="U79" s="53">
        <f>IFERROR((VLOOKUP($A79,'Dados StatusInvest'!$A:$AZ,COLUMN(U79)-$A$5,0)-VLOOKUP($A79,'Dados StatusInvest'!$A:$AZ,COLUMN(U79)-$A$5-1,0)+T79),0)</f>
        <v>-0.17</v>
      </c>
      <c r="V79" s="56">
        <f>IFERROR((VLOOKUP($A79,'Dados StatusInvest'!$A:$AZ,COLUMN(V79)-$A$5,0)),0)</f>
        <v>0</v>
      </c>
      <c r="W79" s="56">
        <f>IFERROR((VLOOKUP($A79,'Dados StatusInvest'!$A:$AZ,COLUMN(W79)-$A$5,0)),0)</f>
        <v>5.57</v>
      </c>
      <c r="X79" s="53">
        <f>IFERROR((VLOOKUP($A79,'Dados StatusInvest'!$A:$AZ,COLUMN(X79)-$A$5,0)/VLOOKUP($A79,'Dados StatusInvest'!$A:$AZ,2,0)*$F79),0)</f>
        <v>1.23</v>
      </c>
      <c r="Y79" s="54">
        <f>IFERROR((VLOOKUP($A79,'Dados StatusInvest'!$A:$AZ,COLUMN(Y79)-$A$5,0)/VLOOKUP($A79,'Dados StatusInvest'!$A:$AZ,2,0)*$F79),0)</f>
        <v>0</v>
      </c>
      <c r="Z79" s="56">
        <f>IFERROR((VLOOKUP($A79,'Dados StatusInvest'!$A:$AZ,COLUMN(Z79)-$A$5,0)),0)</f>
        <v>0.22</v>
      </c>
      <c r="AA79" s="57">
        <f>IFERROR((VLOOKUP($A79,'Dados StatusInvest'!$A:$AZ,COLUMN(AA79)-$A$5,0)),0)</f>
        <v>0.78</v>
      </c>
      <c r="AB79" s="57">
        <f>IFERROR((VLOOKUP($A79,'Dados StatusInvest'!$A:$AZ,COLUMN(AB79)-$A$5,0)),0)</f>
        <v>0.1</v>
      </c>
      <c r="AC79" s="58">
        <f>IFERROR((VLOOKUP($A79,'Dados StatusInvest'!$A:$AZ,COLUMN(AC79)-$A$5,0)),0)</f>
        <v>24.69</v>
      </c>
      <c r="AD79" s="57">
        <f>IFERROR((VLOOKUP($A79,'Dados StatusInvest'!$A:$AZ,COLUMN(AD79)-$A$5,0)),0)</f>
        <v>29.3</v>
      </c>
      <c r="AE79" s="56">
        <f>IFERROR((VLOOKUP($A79,'Dados StatusInvest'!$A:$AZ,COLUMN(AE79)-$A$5,0)),0)</f>
        <v>2299</v>
      </c>
      <c r="AF79" s="56">
        <f>IFERROR((VLOOKUP($A79,'Dados StatusInvest'!$A:$AZ,COLUMN(AF79)-$A$5,0)),0)</f>
        <v>29.92</v>
      </c>
      <c r="AG79" s="56">
        <f>IFERROR((VLOOKUP($A79,'Dados StatusInvest'!$A:$AZ,COLUMN(AG79)-$A$5,0)),0)</f>
        <v>1.67</v>
      </c>
      <c r="AH79" s="56">
        <f>IFERROR((VLOOKUP($A79,'Dados StatusInvest'!$A:$AZ,COLUMN(AH79)-$A$5,0)),0)</f>
        <v>-5.95</v>
      </c>
      <c r="AI79" s="57">
        <f>IFERROR((VLOOKUP($A79,'Dados StatusInvest'!$A:$AZ,COLUMN(AI79)-$A$5,0)),0)</f>
        <v>108133384.6</v>
      </c>
      <c r="AJ79" s="59" t="str">
        <f>IFERROR((VLOOKUP($A79,'Dados StatusInvest'!$A:$AZ,COLUMN(AJ79)-$A$5,0)),0)</f>
        <v/>
      </c>
      <c r="AK79" s="60" t="str">
        <f>IFERROR(__xludf.DUMMYFUNCTION("IFERROR(GOOGLEFINANCE($A79,""high""),"""")"),"")</f>
        <v/>
      </c>
      <c r="AL79" s="60" t="str">
        <f>IFERROR(__xludf.DUMMYFUNCTION("IFERROR(GOOGLEFINANCE($A79,""low""),"""")"),"")</f>
        <v/>
      </c>
      <c r="AM79" s="61">
        <f t="shared" si="2"/>
        <v>0</v>
      </c>
      <c r="AN79" s="62">
        <f>IFERROR(__xludf.DUMMYFUNCTION("IFERROR((GOOGLEFINANCE($A79,""volume"")),0)"),0.0)</f>
        <v>0</v>
      </c>
      <c r="AO79" s="60">
        <f>IFERROR(__xludf.DUMMYFUNCTION("IFERROR((GOOGLEFINANCE($A79,""closeyest"")),"""")"),22.99)</f>
        <v>22.99</v>
      </c>
      <c r="AP79" s="60">
        <f>IFERROR(__xludf.DUMMYFUNCTION("IFERROR((GOOGLEFINANCE($A79,""shares"")),"""")"),4115057.0)</f>
        <v>4115057</v>
      </c>
      <c r="AQ79" s="18"/>
    </row>
    <row r="80">
      <c r="A80" s="45" t="str">
        <f>'Dados StatusInvest'!A75:A694</f>
        <v>BMIN4</v>
      </c>
      <c r="B80" s="46" t="str">
        <f>IFERROR(__xludf.DUMMYFUNCTION("IFERROR((GOOGLEFINANCE(A80,""name"")),"""")"),"Banco Mercantil de Investimentos SA Preference Shares")</f>
        <v>Banco Mercantil de Investimentos SA Preference Shares</v>
      </c>
      <c r="C80" s="46" t="str">
        <f>IFERROR((VLOOKUP(LEFT($A80,4),Setor!$A:$E,3,0)),"")</f>
        <v>Financeiro</v>
      </c>
      <c r="D80" s="46" t="str">
        <f>IFERROR((VLOOKUP(LEFT($A80,4),Setor!$A:$E,4,0)),"")</f>
        <v>Intermediários Financeiros</v>
      </c>
      <c r="E80" s="46" t="str">
        <f>IFERROR((VLOOKUP(LEFT($A80,4),Setor!$A:$E,5,0)),"")</f>
        <v>Bancos</v>
      </c>
      <c r="F80" s="47">
        <f>IFERROR(__xludf.DUMMYFUNCTION("IFERROR((GOOGLEFINANCE(A80)),"""")"),19.05)</f>
        <v>19.05</v>
      </c>
      <c r="G80" s="48" t="str">
        <f>IFERROR(__xludf.DUMMYFUNCTION("IFERROR((sparkline(GOOGLEFINANCE($A80,""price"",TODAY()-30,TODAY(),""DAILY""),{""charttype"",""line"";""linewidth"",1;""color"",""#5f88cc""})),"""")"),"")</f>
        <v/>
      </c>
      <c r="H80" s="49">
        <f>IFERROR(__xludf.DUMMYFUNCTION("IFERROR((((GOOGLEFINANCE(A80))-(INDEX(GoogleFinance(A80,""PRICE"",$AQ$1),2,2)))/(INDEX(GoogleFinance(A80,""PRICE"",$AQ$1),2,2))),"""")"),0.013297872340425532)</f>
        <v>0.01329787234</v>
      </c>
      <c r="I80" s="47">
        <f>IFERROR(__xludf.DUMMYFUNCTION("IFERROR((GOOGLEFINANCE($A80,""high52"")),"""")"),21.0)</f>
        <v>21</v>
      </c>
      <c r="J80" s="48" t="str">
        <f>IFERROR(__xludf.DUMMYFUNCTION("IFERROR((sparkline(GOOGLEFINANCE($A80,""price"",TODAY()-365,TODAY(),""DAILY""),{""charttype"",""line"";""linewidth"",1;""color"",""#5f88cc""})),"""")"),"")</f>
        <v/>
      </c>
      <c r="K80" s="50">
        <f>IFERROR(__xludf.DUMMYFUNCTION("IFERROR((((GOOGLEFINANCE(A80))-(INDEX(GoogleFinance(A80,""PRICE"",$AP$1),2,2)))/(INDEX(GoogleFinance(A80,""PRICE"",$AP$1),2,2))),"""")"),0.1644254278728607)</f>
        <v>0.1644254279</v>
      </c>
      <c r="L80" s="51">
        <f t="shared" si="1"/>
        <v>-0.09285714286</v>
      </c>
      <c r="M80" s="52">
        <f>IFERROR((VLOOKUP($A80,'Dados StatusInvest'!$A:$AZ,COLUMN(M80)-$A$5,0)*VLOOKUP($A80,'Dados StatusInvest'!$A:$AZ,2,0)/$F80/100),0)</f>
        <v>0.25</v>
      </c>
      <c r="N80" s="53">
        <f>IFERROR((VLOOKUP($A80,'Dados StatusInvest'!$A:$AZ,COLUMN(N80)-$A$5,0)/VLOOKUP($A80,'Dados StatusInvest'!$A:$AZ,2,0)*$F80),"")</f>
        <v>12.76</v>
      </c>
      <c r="O80" s="53">
        <f>IFERROR((VLOOKUP($A80,'Dados StatusInvest'!$A:$AZ,COLUMN(O80)-$A$5,0)/VLOOKUP($A80,'Dados StatusInvest'!$A:$AZ,2,0)*$F80),0)</f>
        <v>5.83</v>
      </c>
      <c r="P80" s="54">
        <f>IFERROR((VLOOKUP($A80,'Dados StatusInvest'!$A:$AZ,COLUMN(P80)-$A$5,0)/VLOOKUP($A80,'Dados StatusInvest'!$A:$AZ,2,0)*$F80),0)</f>
        <v>6.86</v>
      </c>
      <c r="Q80" s="55">
        <f>IFERROR((VLOOKUP($A80,'Dados StatusInvest'!$A:$AZ,COLUMN(Q80)-$A$5,0)/100),0)</f>
        <v>0</v>
      </c>
      <c r="R80" s="56">
        <f>VLOOKUP($A80,'Dados StatusInvest'!$A:$AZ,COLUMN(R80)-$A$5,0)</f>
        <v>0</v>
      </c>
      <c r="S80" s="56">
        <f>IFERROR((VLOOKUP($A80,'Dados StatusInvest'!$A:$AZ,COLUMN(S80)-$A$5,0)),0)</f>
        <v>1.46</v>
      </c>
      <c r="T80" s="53">
        <f>IFERROR((VLOOKUP($A80,'Dados StatusInvest'!$A:$AZ,COLUMN(T80)-$A$5,0)/VLOOKUP($A80,'Dados StatusInvest'!$A:$AZ,2,0)*$F80),0)</f>
        <v>29.82</v>
      </c>
      <c r="U80" s="53">
        <f>IFERROR((VLOOKUP($A80,'Dados StatusInvest'!$A:$AZ,COLUMN(U80)-$A$5,0)-VLOOKUP($A80,'Dados StatusInvest'!$A:$AZ,COLUMN(U80)-$A$5-1,0)+T80),0)</f>
        <v>-0.14</v>
      </c>
      <c r="V80" s="56">
        <f>IFERROR((VLOOKUP($A80,'Dados StatusInvest'!$A:$AZ,COLUMN(V80)-$A$5,0)),0)</f>
        <v>0</v>
      </c>
      <c r="W80" s="56">
        <f>IFERROR((VLOOKUP($A80,'Dados StatusInvest'!$A:$AZ,COLUMN(W80)-$A$5,0)),0)</f>
        <v>5.57</v>
      </c>
      <c r="X80" s="53">
        <f>IFERROR((VLOOKUP($A80,'Dados StatusInvest'!$A:$AZ,COLUMN(X80)-$A$5,0)/VLOOKUP($A80,'Dados StatusInvest'!$A:$AZ,2,0)*$F80),0)</f>
        <v>1.23</v>
      </c>
      <c r="Y80" s="54">
        <f>IFERROR((VLOOKUP($A80,'Dados StatusInvest'!$A:$AZ,COLUMN(Y80)-$A$5,0)/VLOOKUP($A80,'Dados StatusInvest'!$A:$AZ,2,0)*$F80),0)</f>
        <v>0</v>
      </c>
      <c r="Z80" s="56">
        <f>IFERROR((VLOOKUP($A80,'Dados StatusInvest'!$A:$AZ,COLUMN(Z80)-$A$5,0)),0)</f>
        <v>0.22</v>
      </c>
      <c r="AA80" s="57">
        <f>IFERROR((VLOOKUP($A80,'Dados StatusInvest'!$A:$AZ,COLUMN(AA80)-$A$5,0)),0)</f>
        <v>0.78</v>
      </c>
      <c r="AB80" s="57">
        <f>IFERROR((VLOOKUP($A80,'Dados StatusInvest'!$A:$AZ,COLUMN(AB80)-$A$5,0)),0)</f>
        <v>0.1</v>
      </c>
      <c r="AC80" s="58">
        <f>IFERROR((VLOOKUP($A80,'Dados StatusInvest'!$A:$AZ,COLUMN(AC80)-$A$5,0)),0)</f>
        <v>24.69</v>
      </c>
      <c r="AD80" s="57">
        <f>IFERROR((VLOOKUP($A80,'Dados StatusInvest'!$A:$AZ,COLUMN(AD80)-$A$5,0)),0)</f>
        <v>29.3</v>
      </c>
      <c r="AE80" s="56">
        <f>IFERROR((VLOOKUP($A80,'Dados StatusInvest'!$A:$AZ,COLUMN(AE80)-$A$5,0)),0)</f>
        <v>3498.5</v>
      </c>
      <c r="AF80" s="56">
        <f>IFERROR((VLOOKUP($A80,'Dados StatusInvest'!$A:$AZ,COLUMN(AF80)-$A$5,0)),0)</f>
        <v>29.92</v>
      </c>
      <c r="AG80" s="56">
        <f>IFERROR((VLOOKUP($A80,'Dados StatusInvest'!$A:$AZ,COLUMN(AG80)-$A$5,0)),0)</f>
        <v>1.67</v>
      </c>
      <c r="AH80" s="56">
        <f>IFERROR((VLOOKUP($A80,'Dados StatusInvest'!$A:$AZ,COLUMN(AH80)-$A$5,0)),0)</f>
        <v>-4.93</v>
      </c>
      <c r="AI80" s="57">
        <f>IFERROR((VLOOKUP($A80,'Dados StatusInvest'!$A:$AZ,COLUMN(AI80)-$A$5,0)),0)</f>
        <v>108133384.6</v>
      </c>
      <c r="AJ80" s="59" t="str">
        <f>IFERROR((VLOOKUP($A80,'Dados StatusInvest'!$A:$AZ,COLUMN(AJ80)-$A$5,0)),0)</f>
        <v/>
      </c>
      <c r="AK80" s="60" t="str">
        <f>IFERROR(__xludf.DUMMYFUNCTION("IFERROR(GOOGLEFINANCE($A80,""high""),"""")"),"")</f>
        <v/>
      </c>
      <c r="AL80" s="60" t="str">
        <f>IFERROR(__xludf.DUMMYFUNCTION("IFERROR(GOOGLEFINANCE($A80,""low""),"""")"),"")</f>
        <v/>
      </c>
      <c r="AM80" s="61">
        <f t="shared" si="2"/>
        <v>0</v>
      </c>
      <c r="AN80" s="62">
        <f>IFERROR(__xludf.DUMMYFUNCTION("IFERROR((GOOGLEFINANCE($A80,""volume"")),0)"),0.0)</f>
        <v>0</v>
      </c>
      <c r="AO80" s="60">
        <f>IFERROR(__xludf.DUMMYFUNCTION("IFERROR((GOOGLEFINANCE($A80,""closeyest"")),"""")"),19.05)</f>
        <v>19.05</v>
      </c>
      <c r="AP80" s="60">
        <f>IFERROR(__xludf.DUMMYFUNCTION("IFERROR((GOOGLEFINANCE($A80,""shares"")),"""")"),710143.0)</f>
        <v>710143</v>
      </c>
      <c r="AQ80" s="18"/>
    </row>
    <row r="81">
      <c r="A81" s="45" t="str">
        <f>'Dados StatusInvest'!A76:A695</f>
        <v>BMKS3</v>
      </c>
      <c r="B81" s="46" t="str">
        <f>IFERROR(__xludf.DUMMYFUNCTION("IFERROR((GOOGLEFINANCE(A81,""name"")),"""")"),"Bicicletas Monark SA")</f>
        <v>Bicicletas Monark SA</v>
      </c>
      <c r="C81" s="46" t="str">
        <f>IFERROR((VLOOKUP(LEFT($A81,4),Setor!$A:$E,3,0)),"")</f>
        <v>Consumo Cíclico</v>
      </c>
      <c r="D81" s="46" t="str">
        <f>IFERROR((VLOOKUP(LEFT($A81,4),Setor!$A:$E,4,0)),"")</f>
        <v>Viagens e Lazer</v>
      </c>
      <c r="E81" s="46" t="str">
        <f>IFERROR((VLOOKUP(LEFT($A81,4),Setor!$A:$E,5,0)),"")</f>
        <v>Bicicletas</v>
      </c>
      <c r="F81" s="47">
        <f>IFERROR(__xludf.DUMMYFUNCTION("IFERROR((GOOGLEFINANCE(A81)),"""")"),374.12)</f>
        <v>374.12</v>
      </c>
      <c r="G81" s="48" t="str">
        <f>IFERROR(__xludf.DUMMYFUNCTION("IFERROR((sparkline(GOOGLEFINANCE($A81,""price"",TODAY()-30,TODAY(),""DAILY""),{""charttype"",""line"";""linewidth"",1;""color"",""#5f88cc""})),"""")"),"")</f>
        <v/>
      </c>
      <c r="H81" s="49">
        <f>IFERROR(__xludf.DUMMYFUNCTION("IFERROR((((GOOGLEFINANCE(A81))-(INDEX(GoogleFinance(A81,""PRICE"",$AQ$1),2,2)))/(INDEX(GoogleFinance(A81,""PRICE"",$AQ$1),2,2))),"""")"),-0.04680374022268084)</f>
        <v>-0.04680374022</v>
      </c>
      <c r="I81" s="47">
        <f>IFERROR(__xludf.DUMMYFUNCTION("IFERROR((GOOGLEFINANCE($A81,""high52"")),"""")"),408.03)</f>
        <v>408.03</v>
      </c>
      <c r="J81" s="48" t="str">
        <f>IFERROR(__xludf.DUMMYFUNCTION("IFERROR((sparkline(GOOGLEFINANCE($A81,""price"",TODAY()-365,TODAY(),""DAILY""),{""charttype"",""line"";""linewidth"",1;""color"",""#5f88cc""})),"""")"),"")</f>
        <v/>
      </c>
      <c r="K81" s="50">
        <f>IFERROR(__xludf.DUMMYFUNCTION("IFERROR((((GOOGLEFINANCE(A81))-(INDEX(GoogleFinance(A81,""PRICE"",$AP$1),2,2)))/(INDEX(GoogleFinance(A81,""PRICE"",$AP$1),2,2))),"""")"),0.05683615819209041)</f>
        <v>0.05683615819</v>
      </c>
      <c r="L81" s="51">
        <f t="shared" si="1"/>
        <v>-0.08310663432</v>
      </c>
      <c r="M81" s="52">
        <f>IFERROR((VLOOKUP($A81,'Dados StatusInvest'!$A:$AZ,COLUMN(M81)-$A$5,0)*VLOOKUP($A81,'Dados StatusInvest'!$A:$AZ,2,0)/$F81/100),0)</f>
        <v>-1.51156032</v>
      </c>
      <c r="N81" s="53">
        <f>IFERROR((VLOOKUP($A81,'Dados StatusInvest'!$A:$AZ,COLUMN(N81)-$A$5,0)/VLOOKUP($A81,'Dados StatusInvest'!$A:$AZ,2,0)*$F81),"")</f>
        <v>426.3277233</v>
      </c>
      <c r="O81" s="53">
        <f>IFERROR((VLOOKUP($A81,'Dados StatusInvest'!$A:$AZ,COLUMN(O81)-$A$5,0)/VLOOKUP($A81,'Dados StatusInvest'!$A:$AZ,2,0)*$F81),0)</f>
        <v>-7.878124241</v>
      </c>
      <c r="P81" s="54">
        <f>IFERROR((VLOOKUP($A81,'Dados StatusInvest'!$A:$AZ,COLUMN(P81)-$A$5,0)/VLOOKUP($A81,'Dados StatusInvest'!$A:$AZ,2,0)*$F81),0)</f>
        <v>0.6969109905</v>
      </c>
      <c r="Q81" s="55">
        <f>IFERROR((VLOOKUP($A81,'Dados StatusInvest'!$A:$AZ,COLUMN(Q81)-$A$5,0)/100),0)</f>
        <v>0.0849</v>
      </c>
      <c r="R81" s="56">
        <f>VLOOKUP($A81,'Dados StatusInvest'!$A:$AZ,COLUMN(R81)-$A$5,0)</f>
        <v>-0.75</v>
      </c>
      <c r="S81" s="56">
        <f>IFERROR((VLOOKUP($A81,'Dados StatusInvest'!$A:$AZ,COLUMN(S81)-$A$5,0)),0)</f>
        <v>11.9</v>
      </c>
      <c r="T81" s="53">
        <f>IFERROR((VLOOKUP($A81,'Dados StatusInvest'!$A:$AZ,COLUMN(T81)-$A$5,0)/VLOOKUP($A81,'Dados StatusInvest'!$A:$AZ,2,0)*$F81),0)</f>
        <v>0.7979125834</v>
      </c>
      <c r="U81" s="53">
        <f>IFERROR((VLOOKUP($A81,'Dados StatusInvest'!$A:$AZ,COLUMN(U81)-$A$5,0)-VLOOKUP($A81,'Dados StatusInvest'!$A:$AZ,COLUMN(U81)-$A$5-1,0)+T81),0)</f>
        <v>-3.272087417</v>
      </c>
      <c r="V81" s="56">
        <f>IFERROR((VLOOKUP($A81,'Dados StatusInvest'!$A:$AZ,COLUMN(V81)-$A$5,0)),0)</f>
        <v>58.78</v>
      </c>
      <c r="W81" s="56">
        <f>IFERROR((VLOOKUP($A81,'Dados StatusInvest'!$A:$AZ,COLUMN(W81)-$A$5,0)),0)</f>
        <v>24.32</v>
      </c>
      <c r="X81" s="53">
        <f>IFERROR((VLOOKUP($A81,'Dados StatusInvest'!$A:$AZ,COLUMN(X81)-$A$5,0)/VLOOKUP($A81,'Dados StatusInvest'!$A:$AZ,2,0)*$F81),0)</f>
        <v>22.40215329</v>
      </c>
      <c r="Y81" s="54">
        <f>IFERROR((VLOOKUP($A81,'Dados StatusInvest'!$A:$AZ,COLUMN(Y81)-$A$5,0)/VLOOKUP($A81,'Dados StatusInvest'!$A:$AZ,2,0)*$F81),0)</f>
        <v>-23.33136794</v>
      </c>
      <c r="Z81" s="56">
        <f>IFERROR((VLOOKUP($A81,'Dados StatusInvest'!$A:$AZ,COLUMN(Z81)-$A$5,0)),0)</f>
        <v>0.91</v>
      </c>
      <c r="AA81" s="57">
        <f>IFERROR((VLOOKUP($A81,'Dados StatusInvest'!$A:$AZ,COLUMN(AA81)-$A$5,0)),0)</f>
        <v>0.09</v>
      </c>
      <c r="AB81" s="57">
        <f>IFERROR((VLOOKUP($A81,'Dados StatusInvest'!$A:$AZ,COLUMN(AB81)-$A$5,0)),0)</f>
        <v>0.05</v>
      </c>
      <c r="AC81" s="58">
        <f>IFERROR((VLOOKUP($A81,'Dados StatusInvest'!$A:$AZ,COLUMN(AC81)-$A$5,0)),0)</f>
        <v>-0.59</v>
      </c>
      <c r="AD81" s="57">
        <f>IFERROR((VLOOKUP($A81,'Dados StatusInvest'!$A:$AZ,COLUMN(AD81)-$A$5,0)),0)</f>
        <v>85.96</v>
      </c>
      <c r="AE81" s="56">
        <f>IFERROR((VLOOKUP($A81,'Dados StatusInvest'!$A:$AZ,COLUMN(AE81)-$A$5,0)),0)</f>
        <v>43088.95</v>
      </c>
      <c r="AF81" s="56">
        <f>IFERROR((VLOOKUP($A81,'Dados StatusInvest'!$A:$AZ,COLUMN(AF81)-$A$5,0)),0)</f>
        <v>540.16</v>
      </c>
      <c r="AG81" s="56">
        <f>IFERROR((VLOOKUP($A81,'Dados StatusInvest'!$A:$AZ,COLUMN(AG81)-$A$5,0)),0)</f>
        <v>131.35</v>
      </c>
      <c r="AH81" s="56">
        <f>IFERROR((VLOOKUP($A81,'Dados StatusInvest'!$A:$AZ,COLUMN(AH81)-$A$5,0)),0)</f>
        <v>0.01</v>
      </c>
      <c r="AI81" s="57">
        <f>IFERROR((VLOOKUP($A81,'Dados StatusInvest'!$A:$AZ,COLUMN(AI81)-$A$5,0)),0)</f>
        <v>168443947.5</v>
      </c>
      <c r="AJ81" s="59" t="str">
        <f>IFERROR((VLOOKUP($A81,'Dados StatusInvest'!$A:$AZ,COLUMN(AJ81)-$A$5,0)),0)</f>
        <v/>
      </c>
      <c r="AK81" s="60">
        <f>IFERROR(__xludf.DUMMYFUNCTION("IFERROR(GOOGLEFINANCE($A81,""high""),"""")"),374.12)</f>
        <v>374.12</v>
      </c>
      <c r="AL81" s="60">
        <f>IFERROR(__xludf.DUMMYFUNCTION("IFERROR(GOOGLEFINANCE($A81,""low""),"""")"),374.12)</f>
        <v>374.12</v>
      </c>
      <c r="AM81" s="61">
        <f t="shared" si="2"/>
        <v>0</v>
      </c>
      <c r="AN81" s="62">
        <f>IFERROR(__xludf.DUMMYFUNCTION("IFERROR((GOOGLEFINANCE($A81,""volume"")),0)"),5.0)</f>
        <v>5</v>
      </c>
      <c r="AO81" s="60">
        <f>IFERROR(__xludf.DUMMYFUNCTION("IFERROR((GOOGLEFINANCE($A81,""closeyest"")),"""")"),370.41)</f>
        <v>370.41</v>
      </c>
      <c r="AP81" s="60">
        <f>IFERROR(__xludf.DUMMYFUNCTION("IFERROR((GOOGLEFINANCE($A81,""shares"")),"""")"),454750.0)</f>
        <v>454750</v>
      </c>
      <c r="AQ81" s="18"/>
    </row>
    <row r="82">
      <c r="A82" s="45" t="str">
        <f>'Dados StatusInvest'!A77:A696</f>
        <v>BMOB3</v>
      </c>
      <c r="B82" s="46" t="str">
        <f>IFERROR(__xludf.DUMMYFUNCTION("IFERROR((GOOGLEFINANCE(A82,""name"")),"""")"),"Bemobi Mobile Tech SA")</f>
        <v>Bemobi Mobile Tech SA</v>
      </c>
      <c r="C82" s="46" t="str">
        <f>IFERROR((VLOOKUP(LEFT($A82,4),Setor!$A:$E,3,0)),"")</f>
        <v/>
      </c>
      <c r="D82" s="46" t="str">
        <f>IFERROR((VLOOKUP(LEFT($A82,4),Setor!$A:$E,4,0)),"")</f>
        <v/>
      </c>
      <c r="E82" s="46" t="str">
        <f>IFERROR((VLOOKUP(LEFT($A82,4),Setor!$A:$E,5,0)),"")</f>
        <v/>
      </c>
      <c r="F82" s="47">
        <f>IFERROR(__xludf.DUMMYFUNCTION("IFERROR((GOOGLEFINANCE(A82)),"""")"),24.72)</f>
        <v>24.72</v>
      </c>
      <c r="G82" s="48" t="str">
        <f>IFERROR(__xludf.DUMMYFUNCTION("IFERROR((sparkline(GOOGLEFINANCE($A82,""price"",TODAY()-30,TODAY(),""DAILY""),{""charttype"",""line"";""linewidth"",1;""color"",""#5f88cc""})),"""")"),"")</f>
        <v/>
      </c>
      <c r="H82" s="49">
        <f>IFERROR(__xludf.DUMMYFUNCTION("IFERROR((((GOOGLEFINANCE(A82))-(INDEX(GoogleFinance(A82,""PRICE"",$AQ$1),2,2)))/(INDEX(GoogleFinance(A82,""PRICE"",$AQ$1),2,2))),"""")"),0.03691275167785231)</f>
        <v>0.03691275168</v>
      </c>
      <c r="I82" s="47">
        <f>IFERROR(__xludf.DUMMYFUNCTION("IFERROR((GOOGLEFINANCE($A82,""high52"")),"""")"),26.65)</f>
        <v>26.65</v>
      </c>
      <c r="J82" s="48" t="str">
        <f>IFERROR(__xludf.DUMMYFUNCTION("IFERROR((sparkline(GOOGLEFINANCE($A82,""price"",TODAY()-365,TODAY(),""DAILY""),{""charttype"",""line"";""linewidth"",1;""color"",""#5f88cc""})),"""")"),"")</f>
        <v/>
      </c>
      <c r="K82" s="50">
        <f>IFERROR(__xludf.DUMMYFUNCTION("IFERROR((((GOOGLEFINANCE(A82))-(INDEX(GoogleFinance(A82,""PRICE"",$AP$1),2,2)))/(INDEX(GoogleFinance(A82,""PRICE"",$AP$1),2,2))),"""")"),0.7154753643303261)</f>
        <v>0.7154753643</v>
      </c>
      <c r="L82" s="51">
        <f t="shared" si="1"/>
        <v>-0.07242026266</v>
      </c>
      <c r="M82" s="52">
        <f>IFERROR((VLOOKUP($A82,'Dados StatusInvest'!$A:$AZ,COLUMN(M82)-$A$5,0)*VLOOKUP($A82,'Dados StatusInvest'!$A:$AZ,2,0)/$F82/100),0)</f>
        <v>0.08786468447</v>
      </c>
      <c r="N82" s="53">
        <f>IFERROR((VLOOKUP($A82,'Dados StatusInvest'!$A:$AZ,COLUMN(N82)-$A$5,0)/VLOOKUP($A82,'Dados StatusInvest'!$A:$AZ,2,0)*$F82),"")</f>
        <v>8.840525687</v>
      </c>
      <c r="O82" s="53">
        <f>IFERROR((VLOOKUP($A82,'Dados StatusInvest'!$A:$AZ,COLUMN(O82)-$A$5,0)/VLOOKUP($A82,'Dados StatusInvest'!$A:$AZ,2,0)*$F82),0)</f>
        <v>14.97376344</v>
      </c>
      <c r="P82" s="54">
        <f>IFERROR((VLOOKUP($A82,'Dados StatusInvest'!$A:$AZ,COLUMN(P82)-$A$5,0)/VLOOKUP($A82,'Dados StatusInvest'!$A:$AZ,2,0)*$F82),0)</f>
        <v>11.7939307</v>
      </c>
      <c r="Q82" s="55">
        <f>IFERROR((VLOOKUP($A82,'Dados StatusInvest'!$A:$AZ,COLUMN(Q82)-$A$5,0)/100),0)</f>
        <v>-0.0323</v>
      </c>
      <c r="R82" s="56">
        <f>VLOOKUP($A82,'Dados StatusInvest'!$A:$AZ,COLUMN(R82)-$A$5,0)</f>
        <v>-0.4</v>
      </c>
      <c r="S82" s="56">
        <f>IFERROR((VLOOKUP($A82,'Dados StatusInvest'!$A:$AZ,COLUMN(S82)-$A$5,0)),0)</f>
        <v>1.32</v>
      </c>
      <c r="T82" s="53">
        <f>IFERROR((VLOOKUP($A82,'Dados StatusInvest'!$A:$AZ,COLUMN(T82)-$A$5,0)/VLOOKUP($A82,'Dados StatusInvest'!$A:$AZ,2,0)*$F82),0)</f>
        <v>3.081385902</v>
      </c>
      <c r="U82" s="53">
        <f>IFERROR((VLOOKUP($A82,'Dados StatusInvest'!$A:$AZ,COLUMN(U82)-$A$5,0)-VLOOKUP($A82,'Dados StatusInvest'!$A:$AZ,COLUMN(U82)-$A$5-1,0)+T82),0)</f>
        <v>-4.088614098</v>
      </c>
      <c r="V82" s="56">
        <f>IFERROR((VLOOKUP($A82,'Dados StatusInvest'!$A:$AZ,COLUMN(V82)-$A$5,0)),0)</f>
        <v>2.34</v>
      </c>
      <c r="W82" s="56">
        <f>IFERROR((VLOOKUP($A82,'Dados StatusInvest'!$A:$AZ,COLUMN(W82)-$A$5,0)),0)</f>
        <v>12.93</v>
      </c>
      <c r="X82" s="53">
        <f>IFERROR((VLOOKUP($A82,'Dados StatusInvest'!$A:$AZ,COLUMN(X82)-$A$5,0)/VLOOKUP($A82,'Dados StatusInvest'!$A:$AZ,2,0)*$F82),0)</f>
        <v>8.358136201</v>
      </c>
      <c r="Y82" s="54">
        <f>IFERROR((VLOOKUP($A82,'Dados StatusInvest'!$A:$AZ,COLUMN(Y82)-$A$5,0)/VLOOKUP($A82,'Dados StatusInvest'!$A:$AZ,2,0)*$F82),0)</f>
        <v>7.541027479</v>
      </c>
      <c r="Z82" s="56">
        <f>IFERROR((VLOOKUP($A82,'Dados StatusInvest'!$A:$AZ,COLUMN(Z82)-$A$5,0)),0)</f>
        <v>0.66</v>
      </c>
      <c r="AA82" s="57">
        <f>IFERROR((VLOOKUP($A82,'Dados StatusInvest'!$A:$AZ,COLUMN(AA82)-$A$5,0)),0)</f>
        <v>0.34</v>
      </c>
      <c r="AB82" s="57">
        <f>IFERROR((VLOOKUP($A82,'Dados StatusInvest'!$A:$AZ,COLUMN(AB82)-$A$5,0)),0)</f>
        <v>0.95</v>
      </c>
      <c r="AC82" s="58">
        <f>IFERROR((VLOOKUP($A82,'Dados StatusInvest'!$A:$AZ,COLUMN(AC82)-$A$5,0)),0)</f>
        <v>57.5</v>
      </c>
      <c r="AD82" s="57">
        <f>IFERROR((VLOOKUP($A82,'Dados StatusInvest'!$A:$AZ,COLUMN(AD82)-$A$5,0)),0)</f>
        <v>32.15</v>
      </c>
      <c r="AE82" s="56">
        <f>IFERROR((VLOOKUP($A82,'Dados StatusInvest'!$A:$AZ,COLUMN(AE82)-$A$5,0)),0)</f>
        <v>10326971</v>
      </c>
      <c r="AF82" s="56">
        <f>IFERROR((VLOOKUP($A82,'Dados StatusInvest'!$A:$AZ,COLUMN(AF82)-$A$5,0)),0)</f>
        <v>13.27</v>
      </c>
      <c r="AG82" s="56">
        <f>IFERROR((VLOOKUP($A82,'Dados StatusInvest'!$A:$AZ,COLUMN(AG82)-$A$5,0)),0)</f>
        <v>1.72</v>
      </c>
      <c r="AH82" s="56">
        <f>IFERROR((VLOOKUP($A82,'Dados StatusInvest'!$A:$AZ,COLUMN(AH82)-$A$5,0)),0)</f>
        <v>0.63</v>
      </c>
      <c r="AI82" s="57">
        <f>IFERROR((VLOOKUP($A82,'Dados StatusInvest'!$A:$AZ,COLUMN(AI82)-$A$5,0)),0)</f>
        <v>2149626723</v>
      </c>
      <c r="AJ82" s="59" t="str">
        <f>IFERROR((VLOOKUP($A82,'Dados StatusInvest'!$A:$AZ,COLUMN(AJ82)-$A$5,0)),0)</f>
        <v/>
      </c>
      <c r="AK82" s="60">
        <f>IFERROR(__xludf.DUMMYFUNCTION("IFERROR(GOOGLEFINANCE($A82,""high""),"""")"),25.09)</f>
        <v>25.09</v>
      </c>
      <c r="AL82" s="60">
        <f>IFERROR(__xludf.DUMMYFUNCTION("IFERROR(GOOGLEFINANCE($A82,""low""),"""")"),24.43)</f>
        <v>24.43</v>
      </c>
      <c r="AM82" s="61">
        <f t="shared" si="2"/>
        <v>0.02701596398</v>
      </c>
      <c r="AN82" s="62">
        <f>IFERROR(__xludf.DUMMYFUNCTION("IFERROR((GOOGLEFINANCE($A82,""volume"")),0)"),19000.0)</f>
        <v>19000</v>
      </c>
      <c r="AO82" s="60">
        <f>IFERROR(__xludf.DUMMYFUNCTION("IFERROR((GOOGLEFINANCE($A82,""closeyest"")),"""")"),25.11)</f>
        <v>25.11</v>
      </c>
      <c r="AP82" s="60">
        <f>IFERROR(__xludf.DUMMYFUNCTION("IFERROR((GOOGLEFINANCE($A82,""shares"")),"""")"),8.5608392E7)</f>
        <v>85608392</v>
      </c>
      <c r="AQ82" s="18"/>
    </row>
    <row r="83">
      <c r="A83" s="45" t="str">
        <f>'Dados StatusInvest'!A78:A697</f>
        <v>BNBR3</v>
      </c>
      <c r="B83" s="46" t="str">
        <f>IFERROR(__xludf.DUMMYFUNCTION("IFERROR((GOOGLEFINANCE(A83,""name"")),"""")"),"Banco do Nordeste do Brasil SA")</f>
        <v>Banco do Nordeste do Brasil SA</v>
      </c>
      <c r="C83" s="46" t="str">
        <f>IFERROR((VLOOKUP(LEFT($A83,4),Setor!$A:$E,3,0)),"")</f>
        <v>Financeiro</v>
      </c>
      <c r="D83" s="46" t="str">
        <f>IFERROR((VLOOKUP(LEFT($A83,4),Setor!$A:$E,4,0)),"")</f>
        <v>Intermediários Financeiros</v>
      </c>
      <c r="E83" s="46" t="str">
        <f>IFERROR((VLOOKUP(LEFT($A83,4),Setor!$A:$E,5,0)),"")</f>
        <v>Bancos</v>
      </c>
      <c r="F83" s="47">
        <f>IFERROR(__xludf.DUMMYFUNCTION("IFERROR((GOOGLEFINANCE(A83)),"""")"),121.5)</f>
        <v>121.5</v>
      </c>
      <c r="G83" s="48" t="str">
        <f>IFERROR(__xludf.DUMMYFUNCTION("IFERROR((sparkline(GOOGLEFINANCE($A83,""price"",TODAY()-30,TODAY(),""DAILY""),{""charttype"",""line"";""linewidth"",1;""color"",""#5f88cc""})),"""")"),"")</f>
        <v/>
      </c>
      <c r="H83" s="49">
        <f>IFERROR(__xludf.DUMMYFUNCTION("IFERROR((((GOOGLEFINANCE(A83))-(INDEX(GoogleFinance(A83,""PRICE"",$AQ$1),2,2)))/(INDEX(GoogleFinance(A83,""PRICE"",$AQ$1),2,2))),"""")"),0.04741379310344827)</f>
        <v>0.0474137931</v>
      </c>
      <c r="I83" s="47">
        <f>IFERROR(__xludf.DUMMYFUNCTION("IFERROR((GOOGLEFINANCE($A83,""high52"")),"""")"),124.75)</f>
        <v>124.75</v>
      </c>
      <c r="J83" s="48" t="str">
        <f>IFERROR(__xludf.DUMMYFUNCTION("IFERROR((sparkline(GOOGLEFINANCE($A83,""price"",TODAY()-365,TODAY(),""DAILY""),{""charttype"",""line"";""linewidth"",1;""color"",""#5f88cc""})),"""")"),"")</f>
        <v/>
      </c>
      <c r="K83" s="50">
        <f>IFERROR(__xludf.DUMMYFUNCTION("IFERROR((((GOOGLEFINANCE(A83))-(INDEX(GoogleFinance(A83,""PRICE"",$AP$1),2,2)))/(INDEX(GoogleFinance(A83,""PRICE"",$AP$1),2,2))),"""")"),0.2527064645839778)</f>
        <v>0.2527064646</v>
      </c>
      <c r="L83" s="51">
        <f t="shared" si="1"/>
        <v>-0.02605210421</v>
      </c>
      <c r="M83" s="52">
        <f>IFERROR((VLOOKUP($A83,'Dados StatusInvest'!$A:$AZ,COLUMN(M83)-$A$5,0)*VLOOKUP($A83,'Dados StatusInvest'!$A:$AZ,2,0)/$F83/100),0)</f>
        <v>0.5032</v>
      </c>
      <c r="N83" s="53">
        <f>IFERROR((VLOOKUP($A83,'Dados StatusInvest'!$A:$AZ,COLUMN(N83)-$A$5,0)/VLOOKUP($A83,'Dados StatusInvest'!$A:$AZ,2,0)*$F83),"")</f>
        <v>28.85</v>
      </c>
      <c r="O83" s="53">
        <f>IFERROR((VLOOKUP($A83,'Dados StatusInvest'!$A:$AZ,COLUMN(O83)-$A$5,0)/VLOOKUP($A83,'Dados StatusInvest'!$A:$AZ,2,0)*$F83),0)</f>
        <v>2.44</v>
      </c>
      <c r="P83" s="54">
        <f>IFERROR((VLOOKUP($A83,'Dados StatusInvest'!$A:$AZ,COLUMN(P83)-$A$5,0)/VLOOKUP($A83,'Dados StatusInvest'!$A:$AZ,2,0)*$F83),0)</f>
        <v>2.44</v>
      </c>
      <c r="Q83" s="55">
        <f>IFERROR((VLOOKUP($A83,'Dados StatusInvest'!$A:$AZ,COLUMN(Q83)-$A$5,0)/100),0)</f>
        <v>0</v>
      </c>
      <c r="R83" s="56">
        <f>VLOOKUP($A83,'Dados StatusInvest'!$A:$AZ,COLUMN(R83)-$A$5,0)</f>
        <v>0</v>
      </c>
      <c r="S83" s="56">
        <f>IFERROR((VLOOKUP($A83,'Dados StatusInvest'!$A:$AZ,COLUMN(S83)-$A$5,0)),0)</f>
        <v>1.23</v>
      </c>
      <c r="T83" s="53">
        <f>IFERROR((VLOOKUP($A83,'Dados StatusInvest'!$A:$AZ,COLUMN(T83)-$A$5,0)/VLOOKUP($A83,'Dados StatusInvest'!$A:$AZ,2,0)*$F83),0)</f>
        <v>18.84</v>
      </c>
      <c r="U83" s="53">
        <f>IFERROR((VLOOKUP($A83,'Dados StatusInvest'!$A:$AZ,COLUMN(U83)-$A$5,0)-VLOOKUP($A83,'Dados StatusInvest'!$A:$AZ,COLUMN(U83)-$A$5-1,0)+T83),0)</f>
        <v>-0.17</v>
      </c>
      <c r="V83" s="56">
        <f>IFERROR((VLOOKUP($A83,'Dados StatusInvest'!$A:$AZ,COLUMN(V83)-$A$5,0)),0)</f>
        <v>0</v>
      </c>
      <c r="W83" s="56">
        <f>IFERROR((VLOOKUP($A83,'Dados StatusInvest'!$A:$AZ,COLUMN(W83)-$A$5,0)),0)</f>
        <v>18.19</v>
      </c>
      <c r="X83" s="53">
        <f>IFERROR((VLOOKUP($A83,'Dados StatusInvest'!$A:$AZ,COLUMN(X83)-$A$5,0)/VLOOKUP($A83,'Dados StatusInvest'!$A:$AZ,2,0)*$F83),0)</f>
        <v>3.97</v>
      </c>
      <c r="Y83" s="54">
        <f>IFERROR((VLOOKUP($A83,'Dados StatusInvest'!$A:$AZ,COLUMN(Y83)-$A$5,0)/VLOOKUP($A83,'Dados StatusInvest'!$A:$AZ,2,0)*$F83),0)</f>
        <v>0</v>
      </c>
      <c r="Z83" s="56">
        <f>IFERROR((VLOOKUP($A83,'Dados StatusInvest'!$A:$AZ,COLUMN(Z83)-$A$5,0)),0)</f>
        <v>0.22</v>
      </c>
      <c r="AA83" s="57">
        <f>IFERROR((VLOOKUP($A83,'Dados StatusInvest'!$A:$AZ,COLUMN(AA83)-$A$5,0)),0)</f>
        <v>0.78</v>
      </c>
      <c r="AB83" s="57">
        <f>IFERROR((VLOOKUP($A83,'Dados StatusInvest'!$A:$AZ,COLUMN(AB83)-$A$5,0)),0)</f>
        <v>0.14</v>
      </c>
      <c r="AC83" s="58">
        <f>IFERROR((VLOOKUP($A83,'Dados StatusInvest'!$A:$AZ,COLUMN(AC83)-$A$5,0)),0)</f>
        <v>8.63</v>
      </c>
      <c r="AD83" s="57">
        <f>IFERROR((VLOOKUP($A83,'Dados StatusInvest'!$A:$AZ,COLUMN(AD83)-$A$5,0)),0)</f>
        <v>10.2</v>
      </c>
      <c r="AE83" s="56">
        <f>IFERROR((VLOOKUP($A83,'Dados StatusInvest'!$A:$AZ,COLUMN(AE83)-$A$5,0)),0)</f>
        <v>46197.88</v>
      </c>
      <c r="AF83" s="56">
        <f>IFERROR((VLOOKUP($A83,'Dados StatusInvest'!$A:$AZ,COLUMN(AF83)-$A$5,0)),0)</f>
        <v>157.26</v>
      </c>
      <c r="AG83" s="56">
        <f>IFERROR((VLOOKUP($A83,'Dados StatusInvest'!$A:$AZ,COLUMN(AG83)-$A$5,0)),0)</f>
        <v>28.6</v>
      </c>
      <c r="AH83" s="56">
        <f>IFERROR((VLOOKUP($A83,'Dados StatusInvest'!$A:$AZ,COLUMN(AH83)-$A$5,0)),0)</f>
        <v>0.13</v>
      </c>
      <c r="AI83" s="57">
        <f>IFERROR((VLOOKUP($A83,'Dados StatusInvest'!$A:$AZ,COLUMN(AI83)-$A$5,0)),0)</f>
        <v>11992019504</v>
      </c>
      <c r="AJ83" s="59" t="str">
        <f>IFERROR((VLOOKUP($A83,'Dados StatusInvest'!$A:$AZ,COLUMN(AJ83)-$A$5,0)),0)</f>
        <v/>
      </c>
      <c r="AK83" s="60" t="str">
        <f>IFERROR(__xludf.DUMMYFUNCTION("IFERROR(GOOGLEFINANCE($A83,""high""),"""")"),"")</f>
        <v/>
      </c>
      <c r="AL83" s="60" t="str">
        <f>IFERROR(__xludf.DUMMYFUNCTION("IFERROR(GOOGLEFINANCE($A83,""low""),"""")"),"")</f>
        <v/>
      </c>
      <c r="AM83" s="61">
        <f t="shared" si="2"/>
        <v>0</v>
      </c>
      <c r="AN83" s="62">
        <f>IFERROR(__xludf.DUMMYFUNCTION("IFERROR((GOOGLEFINANCE($A83,""volume"")),0)"),0.0)</f>
        <v>0</v>
      </c>
      <c r="AO83" s="60">
        <f>IFERROR(__xludf.DUMMYFUNCTION("IFERROR((GOOGLEFINANCE($A83,""closeyest"")),"""")"),121.5)</f>
        <v>121.5</v>
      </c>
      <c r="AP83" s="60">
        <f>IFERROR(__xludf.DUMMYFUNCTION("IFERROR((GOOGLEFINANCE($A83,""shares"")),"""")"),9.8699749E7)</f>
        <v>98699749</v>
      </c>
      <c r="AQ83" s="18"/>
    </row>
    <row r="84">
      <c r="A84" s="45" t="str">
        <f>'Dados StatusInvest'!A79:A698</f>
        <v>BOAS3</v>
      </c>
      <c r="B84" s="46" t="str">
        <f>IFERROR(__xludf.DUMMYFUNCTION("IFERROR((GOOGLEFINANCE(A84,""name"")),"""")"),"")</f>
        <v/>
      </c>
      <c r="C84" s="46" t="str">
        <f>IFERROR((VLOOKUP(LEFT($A84,4),Setor!$A:$E,3,0)),"")</f>
        <v>Financeiro</v>
      </c>
      <c r="D84" s="46" t="str">
        <f>IFERROR((VLOOKUP(LEFT($A84,4),Setor!$A:$E,4,0)),"")</f>
        <v>Serviços Financeiros Diversos</v>
      </c>
      <c r="E84" s="46" t="str">
        <f>IFERROR((VLOOKUP(LEFT($A84,4),Setor!$A:$E,5,0)),"")</f>
        <v>Serviços Financeiros Diversos</v>
      </c>
      <c r="F84" s="47" t="str">
        <f>IFERROR(__xludf.DUMMYFUNCTION("IFERROR((GOOGLEFINANCE(A84)),"""")"),"")</f>
        <v/>
      </c>
      <c r="G84" s="48" t="str">
        <f>IFERROR(__xludf.DUMMYFUNCTION("IFERROR((sparkline(GOOGLEFINANCE($A84,""price"",TODAY()-30,TODAY(),""DAILY""),{""charttype"",""line"";""linewidth"",1;""color"",""#5f88cc""})),"""")"),"")</f>
        <v/>
      </c>
      <c r="H84" s="49" t="str">
        <f>IFERROR(__xludf.DUMMYFUNCTION("IFERROR((((GOOGLEFINANCE(A84))-(INDEX(GoogleFinance(A84,""PRICE"",$AQ$1),2,2)))/(INDEX(GoogleFinance(A84,""PRICE"",$AQ$1),2,2))),"""")"),"")</f>
        <v/>
      </c>
      <c r="I84" s="47" t="str">
        <f>IFERROR(__xludf.DUMMYFUNCTION("IFERROR((GOOGLEFINANCE($A84,""high52"")),"""")"),"")</f>
        <v/>
      </c>
      <c r="J84" s="48" t="str">
        <f>IFERROR(__xludf.DUMMYFUNCTION("IFERROR((sparkline(GOOGLEFINANCE($A84,""price"",TODAY()-365,TODAY(),""DAILY""),{""charttype"",""line"";""linewidth"",1;""color"",""#5f88cc""})),"""")"),"")</f>
        <v/>
      </c>
      <c r="K84" s="50" t="str">
        <f>IFERROR(__xludf.DUMMYFUNCTION("IFERROR((((GOOGLEFINANCE(A84))-(INDEX(GoogleFinance(A84,""PRICE"",$AP$1),2,2)))/(INDEX(GoogleFinance(A84,""PRICE"",$AP$1),2,2))),"""")"),"")</f>
        <v/>
      </c>
      <c r="L84" s="51">
        <f t="shared" si="1"/>
        <v>0</v>
      </c>
      <c r="M84" s="52">
        <f>IFERROR((VLOOKUP($A84,'Dados StatusInvest'!$A:$AZ,COLUMN(M84)-$A$5,0)*VLOOKUP($A84,'Dados StatusInvest'!$A:$AZ,2,0)/$F84/100),0)</f>
        <v>0</v>
      </c>
      <c r="N84" s="53">
        <f>IFERROR((VLOOKUP($A84,'Dados StatusInvest'!$A:$AZ,COLUMN(N84)-$A$5,0)/VLOOKUP($A84,'Dados StatusInvest'!$A:$AZ,2,0)*$F84),"")</f>
        <v>0</v>
      </c>
      <c r="O84" s="53">
        <f>IFERROR((VLOOKUP($A84,'Dados StatusInvest'!$A:$AZ,COLUMN(O84)-$A$5,0)/VLOOKUP($A84,'Dados StatusInvest'!$A:$AZ,2,0)*$F84),0)</f>
        <v>0</v>
      </c>
      <c r="P84" s="54">
        <f>IFERROR((VLOOKUP($A84,'Dados StatusInvest'!$A:$AZ,COLUMN(P84)-$A$5,0)/VLOOKUP($A84,'Dados StatusInvest'!$A:$AZ,2,0)*$F84),0)</f>
        <v>0</v>
      </c>
      <c r="Q84" s="55">
        <f>IFERROR((VLOOKUP($A84,'Dados StatusInvest'!$A:$AZ,COLUMN(Q84)-$A$5,0)/100),0)</f>
        <v>-0.0692</v>
      </c>
      <c r="R84" s="56">
        <f>VLOOKUP($A84,'Dados StatusInvest'!$A:$AZ,COLUMN(R84)-$A$5,0)</f>
        <v>-0.5</v>
      </c>
      <c r="S84" s="56">
        <f>IFERROR((VLOOKUP($A84,'Dados StatusInvest'!$A:$AZ,COLUMN(S84)-$A$5,0)),0)</f>
        <v>4.93</v>
      </c>
      <c r="T84" s="53">
        <f>IFERROR((VLOOKUP($A84,'Dados StatusInvest'!$A:$AZ,COLUMN(T84)-$A$5,0)/VLOOKUP($A84,'Dados StatusInvest'!$A:$AZ,2,0)*$F84),0)</f>
        <v>0</v>
      </c>
      <c r="U84" s="53">
        <f>IFERROR((VLOOKUP($A84,'Dados StatusInvest'!$A:$AZ,COLUMN(U84)-$A$5,0)-VLOOKUP($A84,'Dados StatusInvest'!$A:$AZ,COLUMN(U84)-$A$5-1,0)+T84),0)</f>
        <v>-7.14</v>
      </c>
      <c r="V84" s="56">
        <f>IFERROR((VLOOKUP($A84,'Dados StatusInvest'!$A:$AZ,COLUMN(V84)-$A$5,0)),0)</f>
        <v>12.37</v>
      </c>
      <c r="W84" s="56">
        <f>IFERROR((VLOOKUP($A84,'Dados StatusInvest'!$A:$AZ,COLUMN(W84)-$A$5,0)),0)</f>
        <v>12.04</v>
      </c>
      <c r="X84" s="53">
        <f>IFERROR((VLOOKUP($A84,'Dados StatusInvest'!$A:$AZ,COLUMN(X84)-$A$5,0)/VLOOKUP($A84,'Dados StatusInvest'!$A:$AZ,2,0)*$F84),0)</f>
        <v>0</v>
      </c>
      <c r="Y84" s="54">
        <f>IFERROR((VLOOKUP($A84,'Dados StatusInvest'!$A:$AZ,COLUMN(Y84)-$A$5,0)/VLOOKUP($A84,'Dados StatusInvest'!$A:$AZ,2,0)*$F84),0)</f>
        <v>0</v>
      </c>
      <c r="Z84" s="56">
        <f>IFERROR((VLOOKUP($A84,'Dados StatusInvest'!$A:$AZ,COLUMN(Z84)-$A$5,0)),0)</f>
        <v>0.93</v>
      </c>
      <c r="AA84" s="57">
        <f>IFERROR((VLOOKUP($A84,'Dados StatusInvest'!$A:$AZ,COLUMN(AA84)-$A$5,0)),0)</f>
        <v>0.07</v>
      </c>
      <c r="AB84" s="57">
        <f>IFERROR((VLOOKUP($A84,'Dados StatusInvest'!$A:$AZ,COLUMN(AB84)-$A$5,0)),0)</f>
        <v>0.34</v>
      </c>
      <c r="AC84" s="58">
        <f>IFERROR((VLOOKUP($A84,'Dados StatusInvest'!$A:$AZ,COLUMN(AC84)-$A$5,0)),0)</f>
        <v>8.81</v>
      </c>
      <c r="AD84" s="57">
        <f>IFERROR((VLOOKUP($A84,'Dados StatusInvest'!$A:$AZ,COLUMN(AD84)-$A$5,0)),0)</f>
        <v>74.34</v>
      </c>
      <c r="AE84" s="56">
        <f>IFERROR((VLOOKUP($A84,'Dados StatusInvest'!$A:$AZ,COLUMN(AE84)-$A$5,0)),0)</f>
        <v>0</v>
      </c>
      <c r="AF84" s="56">
        <f>IFERROR((VLOOKUP($A84,'Dados StatusInvest'!$A:$AZ,COLUMN(AF84)-$A$5,0)),0)</f>
        <v>4.34</v>
      </c>
      <c r="AG84" s="56">
        <f>IFERROR((VLOOKUP($A84,'Dados StatusInvest'!$A:$AZ,COLUMN(AG84)-$A$5,0)),0)</f>
        <v>0.52</v>
      </c>
      <c r="AH84" s="56">
        <f>IFERROR((VLOOKUP($A84,'Dados StatusInvest'!$A:$AZ,COLUMN(AH84)-$A$5,0)),0)</f>
        <v>5.59</v>
      </c>
      <c r="AI84" s="57">
        <f>IFERROR((VLOOKUP($A84,'Dados StatusInvest'!$A:$AZ,COLUMN(AI84)-$A$5,0)),0)</f>
        <v>4212250618</v>
      </c>
      <c r="AJ84" s="59" t="str">
        <f>IFERROR((VLOOKUP($A84,'Dados StatusInvest'!$A:$AZ,COLUMN(AJ84)-$A$5,0)),0)</f>
        <v/>
      </c>
      <c r="AK84" s="60" t="str">
        <f>IFERROR(__xludf.DUMMYFUNCTION("IFERROR(GOOGLEFINANCE($A84,""high""),"""")"),"")</f>
        <v/>
      </c>
      <c r="AL84" s="60" t="str">
        <f>IFERROR(__xludf.DUMMYFUNCTION("IFERROR(GOOGLEFINANCE($A84,""low""),"""")"),"")</f>
        <v/>
      </c>
      <c r="AM84" s="61">
        <f t="shared" si="2"/>
        <v>0</v>
      </c>
      <c r="AN84" s="62">
        <f>IFERROR(__xludf.DUMMYFUNCTION("IFERROR((GOOGLEFINANCE($A84,""volume"")),0)"),0.0)</f>
        <v>0</v>
      </c>
      <c r="AO84" s="60" t="str">
        <f>IFERROR(__xludf.DUMMYFUNCTION("IFERROR((GOOGLEFINANCE($A84,""closeyest"")),"""")"),"")</f>
        <v/>
      </c>
      <c r="AP84" s="60" t="str">
        <f>IFERROR(__xludf.DUMMYFUNCTION("IFERROR((GOOGLEFINANCE($A84,""shares"")),"""")"),"")</f>
        <v/>
      </c>
      <c r="AQ84" s="18"/>
    </row>
    <row r="85">
      <c r="A85" s="45" t="str">
        <f>'Dados StatusInvest'!A80:A699</f>
        <v>BOBR3</v>
      </c>
      <c r="B85" s="46" t="str">
        <f>IFERROR(__xludf.DUMMYFUNCTION("IFERROR((GOOGLEFINANCE(A85,""name"")),"""")"),"Bombril SA")</f>
        <v>Bombril SA</v>
      </c>
      <c r="C85" s="46" t="str">
        <f>IFERROR((VLOOKUP(LEFT($A85,4),Setor!$A:$E,3,0)),"")</f>
        <v>Consumo não Cíclico</v>
      </c>
      <c r="D85" s="46" t="str">
        <f>IFERROR((VLOOKUP(LEFT($A85,4),Setor!$A:$E,4,0)),"")</f>
        <v>Produtos de Uso Pessoal e de Limpeza</v>
      </c>
      <c r="E85" s="46" t="str">
        <f>IFERROR((VLOOKUP(LEFT($A85,4),Setor!$A:$E,5,0)),"")</f>
        <v>Produtos de Limpeza</v>
      </c>
      <c r="F85" s="47">
        <f>IFERROR(__xludf.DUMMYFUNCTION("IFERROR((GOOGLEFINANCE(A85)),"""")"),0.0)</f>
        <v>0</v>
      </c>
      <c r="G85" s="48" t="str">
        <f>IFERROR(__xludf.DUMMYFUNCTION("IFERROR((sparkline(GOOGLEFINANCE($A85,""price"",TODAY()-30,TODAY(),""DAILY""),{""charttype"",""line"";""linewidth"",1;""color"",""#5f88cc""})),"""")"),"")</f>
        <v/>
      </c>
      <c r="H85" s="49" t="str">
        <f>IFERROR(__xludf.DUMMYFUNCTION("IFERROR((((GOOGLEFINANCE(A85))-(INDEX(GoogleFinance(A85,""PRICE"",$AQ$1),2,2)))/(INDEX(GoogleFinance(A85,""PRICE"",$AQ$1),2,2))),"""")"),"")</f>
        <v/>
      </c>
      <c r="I85" s="47">
        <f>IFERROR(__xludf.DUMMYFUNCTION("IFERROR((GOOGLEFINANCE($A85,""high52"")),"""")"),1.0)</f>
        <v>1</v>
      </c>
      <c r="J85" s="48" t="str">
        <f>IFERROR(__xludf.DUMMYFUNCTION("IFERROR((sparkline(GOOGLEFINANCE($A85,""price"",TODAY()-365,TODAY(),""DAILY""),{""charttype"",""line"";""linewidth"",1;""color"",""#5f88cc""})),"""")"),"")</f>
        <v/>
      </c>
      <c r="K85" s="50" t="str">
        <f>IFERROR(__xludf.DUMMYFUNCTION("IFERROR((((GOOGLEFINANCE(A85))-(INDEX(GoogleFinance(A85,""PRICE"",$AP$1),2,2)))/(INDEX(GoogleFinance(A85,""PRICE"",$AP$1),2,2))),"""")"),"")</f>
        <v/>
      </c>
      <c r="L85" s="51">
        <f t="shared" si="1"/>
        <v>-1</v>
      </c>
      <c r="M85" s="52">
        <f>IFERROR((VLOOKUP($A85,'Dados StatusInvest'!$A:$AZ,COLUMN(M85)-$A$5,0)*VLOOKUP($A85,'Dados StatusInvest'!$A:$AZ,2,0)/$F85/100),0)</f>
        <v>0</v>
      </c>
      <c r="N85" s="53">
        <f>IFERROR((VLOOKUP($A85,'Dados StatusInvest'!$A:$AZ,COLUMN(N85)-$A$5,0)/VLOOKUP($A85,'Dados StatusInvest'!$A:$AZ,2,0)*$F85),"")</f>
        <v>0</v>
      </c>
      <c r="O85" s="53">
        <f>IFERROR((VLOOKUP($A85,'Dados StatusInvest'!$A:$AZ,COLUMN(O85)-$A$5,0)/VLOOKUP($A85,'Dados StatusInvest'!$A:$AZ,2,0)*$F85),0)</f>
        <v>0</v>
      </c>
      <c r="P85" s="54">
        <f>IFERROR((VLOOKUP($A85,'Dados StatusInvest'!$A:$AZ,COLUMN(P85)-$A$5,0)/VLOOKUP($A85,'Dados StatusInvest'!$A:$AZ,2,0)*$F85),0)</f>
        <v>0</v>
      </c>
      <c r="Q85" s="55">
        <f>IFERROR((VLOOKUP($A85,'Dados StatusInvest'!$A:$AZ,COLUMN(Q85)-$A$5,0)/100),0)</f>
        <v>0.009</v>
      </c>
      <c r="R85" s="56">
        <f>VLOOKUP($A85,'Dados StatusInvest'!$A:$AZ,COLUMN(R85)-$A$5,0)</f>
        <v>0</v>
      </c>
      <c r="S85" s="56">
        <f>IFERROR((VLOOKUP($A85,'Dados StatusInvest'!$A:$AZ,COLUMN(S85)-$A$5,0)),0)</f>
        <v>0.16</v>
      </c>
      <c r="T85" s="53">
        <f>IFERROR((VLOOKUP($A85,'Dados StatusInvest'!$A:$AZ,COLUMN(T85)-$A$5,0)/VLOOKUP($A85,'Dados StatusInvest'!$A:$AZ,2,0)*$F85),0)</f>
        <v>0</v>
      </c>
      <c r="U85" s="53">
        <f>IFERROR((VLOOKUP($A85,'Dados StatusInvest'!$A:$AZ,COLUMN(U85)-$A$5,0)-VLOOKUP($A85,'Dados StatusInvest'!$A:$AZ,COLUMN(U85)-$A$5-1,0)+T85),0)</f>
        <v>4.69</v>
      </c>
      <c r="V85" s="56">
        <f>IFERROR((VLOOKUP($A85,'Dados StatusInvest'!$A:$AZ,COLUMN(V85)-$A$5,0)),0)</f>
        <v>0.89</v>
      </c>
      <c r="W85" s="56">
        <f>IFERROR((VLOOKUP($A85,'Dados StatusInvest'!$A:$AZ,COLUMN(W85)-$A$5,0)),0)</f>
        <v>-96.55</v>
      </c>
      <c r="X85" s="53">
        <f>IFERROR((VLOOKUP($A85,'Dados StatusInvest'!$A:$AZ,COLUMN(X85)-$A$5,0)/VLOOKUP($A85,'Dados StatusInvest'!$A:$AZ,2,0)*$F85),0)</f>
        <v>0</v>
      </c>
      <c r="Y85" s="54">
        <f>IFERROR((VLOOKUP($A85,'Dados StatusInvest'!$A:$AZ,COLUMN(Y85)-$A$5,0)/VLOOKUP($A85,'Dados StatusInvest'!$A:$AZ,2,0)*$F85),0)</f>
        <v>0</v>
      </c>
      <c r="Z85" s="56">
        <f>IFERROR((VLOOKUP($A85,'Dados StatusInvest'!$A:$AZ,COLUMN(Z85)-$A$5,0)),0)</f>
        <v>-1.94</v>
      </c>
      <c r="AA85" s="57">
        <f>IFERROR((VLOOKUP($A85,'Dados StatusInvest'!$A:$AZ,COLUMN(AA85)-$A$5,0)),0)</f>
        <v>2.94</v>
      </c>
      <c r="AB85" s="57">
        <f>IFERROR((VLOOKUP($A85,'Dados StatusInvest'!$A:$AZ,COLUMN(AB85)-$A$5,0)),0)</f>
        <v>1.93</v>
      </c>
      <c r="AC85" s="58">
        <f>IFERROR((VLOOKUP($A85,'Dados StatusInvest'!$A:$AZ,COLUMN(AC85)-$A$5,0)),0)</f>
        <v>8.56</v>
      </c>
      <c r="AD85" s="57">
        <f>IFERROR((VLOOKUP($A85,'Dados StatusInvest'!$A:$AZ,COLUMN(AD85)-$A$5,0)),0)</f>
        <v>0</v>
      </c>
      <c r="AE85" s="56">
        <f>IFERROR((VLOOKUP($A85,'Dados StatusInvest'!$A:$AZ,COLUMN(AE85)-$A$5,0)),0)</f>
        <v>0</v>
      </c>
      <c r="AF85" s="56">
        <f>IFERROR((VLOOKUP($A85,'Dados StatusInvest'!$A:$AZ,COLUMN(AF85)-$A$5,0)),0)</f>
        <v>-6.17</v>
      </c>
      <c r="AG85" s="56">
        <f>IFERROR((VLOOKUP($A85,'Dados StatusInvest'!$A:$AZ,COLUMN(AG85)-$A$5,0)),0)</f>
        <v>-5.96</v>
      </c>
      <c r="AH85" s="56">
        <f>IFERROR((VLOOKUP($A85,'Dados StatusInvest'!$A:$AZ,COLUMN(AH85)-$A$5,0)),0)</f>
        <v>0</v>
      </c>
      <c r="AI85" s="57">
        <f>IFERROR((VLOOKUP($A85,'Dados StatusInvest'!$A:$AZ,COLUMN(AI85)-$A$5,0)),0)</f>
        <v>287546560.6</v>
      </c>
      <c r="AJ85" s="59" t="str">
        <f>IFERROR((VLOOKUP($A85,'Dados StatusInvest'!$A:$AZ,COLUMN(AJ85)-$A$5,0)),0)</f>
        <v/>
      </c>
      <c r="AK85" s="60" t="str">
        <f>IFERROR(__xludf.DUMMYFUNCTION("IFERROR(GOOGLEFINANCE($A85,""high""),"""")"),"")</f>
        <v/>
      </c>
      <c r="AL85" s="60" t="str">
        <f>IFERROR(__xludf.DUMMYFUNCTION("IFERROR(GOOGLEFINANCE($A85,""low""),"""")"),"")</f>
        <v/>
      </c>
      <c r="AM85" s="61">
        <f t="shared" si="2"/>
        <v>0</v>
      </c>
      <c r="AN85" s="62">
        <f>IFERROR(__xludf.DUMMYFUNCTION("IFERROR((GOOGLEFINANCE($A85,""volume"")),0)"),0.0)</f>
        <v>0</v>
      </c>
      <c r="AO85" s="60">
        <f>IFERROR(__xludf.DUMMYFUNCTION("IFERROR((GOOGLEFINANCE($A85,""closeyest"")),"""")"),1.0)</f>
        <v>1</v>
      </c>
      <c r="AP85" s="60">
        <f>IFERROR(__xludf.DUMMYFUNCTION("IFERROR((GOOGLEFINANCE($A85,""shares"")),"""")"),1.37615317E8)</f>
        <v>137615317</v>
      </c>
      <c r="AQ85" s="18"/>
    </row>
    <row r="86">
      <c r="A86" s="45" t="str">
        <f>'Dados StatusInvest'!A81:A700</f>
        <v>BOBR4</v>
      </c>
      <c r="B86" s="46" t="str">
        <f>IFERROR(__xludf.DUMMYFUNCTION("IFERROR((GOOGLEFINANCE(A86,""name"")),"""")"),"Bombril SA Preference Shares")</f>
        <v>Bombril SA Preference Shares</v>
      </c>
      <c r="C86" s="46" t="str">
        <f>IFERROR((VLOOKUP(LEFT($A86,4),Setor!$A:$E,3,0)),"")</f>
        <v>Consumo não Cíclico</v>
      </c>
      <c r="D86" s="46" t="str">
        <f>IFERROR((VLOOKUP(LEFT($A86,4),Setor!$A:$E,4,0)),"")</f>
        <v>Produtos de Uso Pessoal e de Limpeza</v>
      </c>
      <c r="E86" s="46" t="str">
        <f>IFERROR((VLOOKUP(LEFT($A86,4),Setor!$A:$E,5,0)),"")</f>
        <v>Produtos de Limpeza</v>
      </c>
      <c r="F86" s="47">
        <f>IFERROR(__xludf.DUMMYFUNCTION("IFERROR((GOOGLEFINANCE(A86)),"""")"),1.22)</f>
        <v>1.22</v>
      </c>
      <c r="G86" s="48" t="str">
        <f>IFERROR(__xludf.DUMMYFUNCTION("IFERROR((sparkline(GOOGLEFINANCE($A86,""price"",TODAY()-30,TODAY(),""DAILY""),{""charttype"",""line"";""linewidth"",1;""color"",""#5f88cc""})),"""")"),"")</f>
        <v/>
      </c>
      <c r="H86" s="49">
        <f>IFERROR(__xludf.DUMMYFUNCTION("IFERROR((((GOOGLEFINANCE(A86))-(INDEX(GoogleFinance(A86,""PRICE"",$AQ$1),2,2)))/(INDEX(GoogleFinance(A86,""PRICE"",$AQ$1),2,2))),"""")"),-0.039370078740157514)</f>
        <v>-0.03937007874</v>
      </c>
      <c r="I86" s="47">
        <f>IFERROR(__xludf.DUMMYFUNCTION("IFERROR((GOOGLEFINANCE($A86,""high52"")),"""")"),1.82)</f>
        <v>1.82</v>
      </c>
      <c r="J86" s="48" t="str">
        <f>IFERROR(__xludf.DUMMYFUNCTION("IFERROR((sparkline(GOOGLEFINANCE($A86,""price"",TODAY()-365,TODAY(),""DAILY""),{""charttype"",""line"";""linewidth"",1;""color"",""#5f88cc""})),"""")"),"")</f>
        <v/>
      </c>
      <c r="K86" s="50">
        <f>IFERROR(__xludf.DUMMYFUNCTION("IFERROR((((GOOGLEFINANCE(A86))-(INDEX(GoogleFinance(A86,""PRICE"",$AP$1),2,2)))/(INDEX(GoogleFinance(A86,""PRICE"",$AP$1),2,2))),"""")"),-0.2823529411764706)</f>
        <v>-0.2823529412</v>
      </c>
      <c r="L86" s="51">
        <f t="shared" si="1"/>
        <v>-0.3296703297</v>
      </c>
      <c r="M86" s="52">
        <f>IFERROR((VLOOKUP($A86,'Dados StatusInvest'!$A:$AZ,COLUMN(M86)-$A$5,0)*VLOOKUP($A86,'Dados StatusInvest'!$A:$AZ,2,0)/$F86/100),0)</f>
        <v>0.1686</v>
      </c>
      <c r="N86" s="53">
        <f>IFERROR((VLOOKUP($A86,'Dados StatusInvest'!$A:$AZ,COLUMN(N86)-$A$5,0)/VLOOKUP($A86,'Dados StatusInvest'!$A:$AZ,2,0)*$F86),"")</f>
        <v>-97.15</v>
      </c>
      <c r="O86" s="53">
        <f>IFERROR((VLOOKUP($A86,'Dados StatusInvest'!$A:$AZ,COLUMN(O86)-$A$5,0)/VLOOKUP($A86,'Dados StatusInvest'!$A:$AZ,2,0)*$F86),0)</f>
        <v>1.18</v>
      </c>
      <c r="P86" s="54">
        <f>IFERROR((VLOOKUP($A86,'Dados StatusInvest'!$A:$AZ,COLUMN(P86)-$A$5,0)/VLOOKUP($A86,'Dados StatusInvest'!$A:$AZ,2,0)*$F86),0)</f>
        <v>1.96</v>
      </c>
      <c r="Q86" s="55">
        <f>IFERROR((VLOOKUP($A86,'Dados StatusInvest'!$A:$AZ,COLUMN(Q86)-$A$5,0)/100),0)</f>
        <v>0.009</v>
      </c>
      <c r="R86" s="56">
        <f>VLOOKUP($A86,'Dados StatusInvest'!$A:$AZ,COLUMN(R86)-$A$5,0)</f>
        <v>0</v>
      </c>
      <c r="S86" s="56">
        <f>IFERROR((VLOOKUP($A86,'Dados StatusInvest'!$A:$AZ,COLUMN(S86)-$A$5,0)),0)</f>
        <v>0.2</v>
      </c>
      <c r="T86" s="53">
        <f>IFERROR((VLOOKUP($A86,'Dados StatusInvest'!$A:$AZ,COLUMN(T86)-$A$5,0)/VLOOKUP($A86,'Dados StatusInvest'!$A:$AZ,2,0)*$F86),0)</f>
        <v>-6.43</v>
      </c>
      <c r="U86" s="53">
        <f>IFERROR((VLOOKUP($A86,'Dados StatusInvest'!$A:$AZ,COLUMN(U86)-$A$5,0)-VLOOKUP($A86,'Dados StatusInvest'!$A:$AZ,COLUMN(U86)-$A$5-1,0)+T86),0)</f>
        <v>-0.71</v>
      </c>
      <c r="V86" s="56">
        <f>IFERROR((VLOOKUP($A86,'Dados StatusInvest'!$A:$AZ,COLUMN(V86)-$A$5,0)),0)</f>
        <v>0.89</v>
      </c>
      <c r="W86" s="56">
        <f>IFERROR((VLOOKUP($A86,'Dados StatusInvest'!$A:$AZ,COLUMN(W86)-$A$5,0)),0)</f>
        <v>-96.55</v>
      </c>
      <c r="X86" s="53">
        <f>IFERROR((VLOOKUP($A86,'Dados StatusInvest'!$A:$AZ,COLUMN(X86)-$A$5,0)/VLOOKUP($A86,'Dados StatusInvest'!$A:$AZ,2,0)*$F86),0)</f>
        <v>-187.1</v>
      </c>
      <c r="Y86" s="54">
        <f>IFERROR((VLOOKUP($A86,'Dados StatusInvest'!$A:$AZ,COLUMN(Y86)-$A$5,0)/VLOOKUP($A86,'Dados StatusInvest'!$A:$AZ,2,0)*$F86),0)</f>
        <v>-15.91</v>
      </c>
      <c r="Z86" s="56">
        <f>IFERROR((VLOOKUP($A86,'Dados StatusInvest'!$A:$AZ,COLUMN(Z86)-$A$5,0)),0)</f>
        <v>-1.94</v>
      </c>
      <c r="AA86" s="57">
        <f>IFERROR((VLOOKUP($A86,'Dados StatusInvest'!$A:$AZ,COLUMN(AA86)-$A$5,0)),0)</f>
        <v>2.94</v>
      </c>
      <c r="AB86" s="57">
        <f>IFERROR((VLOOKUP($A86,'Dados StatusInvest'!$A:$AZ,COLUMN(AB86)-$A$5,0)),0)</f>
        <v>1.93</v>
      </c>
      <c r="AC86" s="58">
        <f>IFERROR((VLOOKUP($A86,'Dados StatusInvest'!$A:$AZ,COLUMN(AC86)-$A$5,0)),0)</f>
        <v>8.56</v>
      </c>
      <c r="AD86" s="57">
        <f>IFERROR((VLOOKUP($A86,'Dados StatusInvest'!$A:$AZ,COLUMN(AD86)-$A$5,0)),0)</f>
        <v>0</v>
      </c>
      <c r="AE86" s="56">
        <f>IFERROR((VLOOKUP($A86,'Dados StatusInvest'!$A:$AZ,COLUMN(AE86)-$A$5,0)),0)</f>
        <v>20796.38</v>
      </c>
      <c r="AF86" s="56">
        <f>IFERROR((VLOOKUP($A86,'Dados StatusInvest'!$A:$AZ,COLUMN(AF86)-$A$5,0)),0)</f>
        <v>-6.17</v>
      </c>
      <c r="AG86" s="56">
        <f>IFERROR((VLOOKUP($A86,'Dados StatusInvest'!$A:$AZ,COLUMN(AG86)-$A$5,0)),0)</f>
        <v>-5.96</v>
      </c>
      <c r="AH86" s="56">
        <f>IFERROR((VLOOKUP($A86,'Dados StatusInvest'!$A:$AZ,COLUMN(AH86)-$A$5,0)),0)</f>
        <v>0</v>
      </c>
      <c r="AI86" s="57">
        <f>IFERROR((VLOOKUP($A86,'Dados StatusInvest'!$A:$AZ,COLUMN(AI86)-$A$5,0)),0)</f>
        <v>287546560.6</v>
      </c>
      <c r="AJ86" s="59" t="str">
        <f>IFERROR((VLOOKUP($A86,'Dados StatusInvest'!$A:$AZ,COLUMN(AJ86)-$A$5,0)),0)</f>
        <v/>
      </c>
      <c r="AK86" s="60" t="str">
        <f>IFERROR(__xludf.DUMMYFUNCTION("IFERROR(GOOGLEFINANCE($A86,""high""),"""")"),"")</f>
        <v/>
      </c>
      <c r="AL86" s="60" t="str">
        <f>IFERROR(__xludf.DUMMYFUNCTION("IFERROR(GOOGLEFINANCE($A86,""low""),"""")"),"")</f>
        <v/>
      </c>
      <c r="AM86" s="61">
        <f t="shared" si="2"/>
        <v>0</v>
      </c>
      <c r="AN86" s="62">
        <f>IFERROR(__xludf.DUMMYFUNCTION("IFERROR((GOOGLEFINANCE($A86,""volume"")),0)"),0.0)</f>
        <v>0</v>
      </c>
      <c r="AO86" s="60">
        <f>IFERROR(__xludf.DUMMYFUNCTION("IFERROR((GOOGLEFINANCE($A86,""closeyest"")),"""")"),1.22)</f>
        <v>1.22</v>
      </c>
      <c r="AP86" s="60">
        <f>IFERROR(__xludf.DUMMYFUNCTION("IFERROR((GOOGLEFINANCE($A86,""shares"")),"""")"),1.22894462E8)</f>
        <v>122894462</v>
      </c>
      <c r="AQ86" s="18"/>
    </row>
    <row r="87">
      <c r="A87" s="45" t="str">
        <f>'Dados StatusInvest'!A82:A701</f>
        <v>BPAC11</v>
      </c>
      <c r="B87" s="46" t="str">
        <f>IFERROR(__xludf.DUMMYFUNCTION("IFERROR((GOOGLEFINANCE(A87,""name"")),"""")"),"Banco BTG Pactual SA Unit")</f>
        <v>Banco BTG Pactual SA Unit</v>
      </c>
      <c r="C87" s="46" t="str">
        <f>IFERROR((VLOOKUP(LEFT($A87,4),Setor!$A:$E,3,0)),"")</f>
        <v>Financeiro</v>
      </c>
      <c r="D87" s="46" t="str">
        <f>IFERROR((VLOOKUP(LEFT($A87,4),Setor!$A:$E,4,0)),"")</f>
        <v>Intermediários Financeiros</v>
      </c>
      <c r="E87" s="46" t="str">
        <f>IFERROR((VLOOKUP(LEFT($A87,4),Setor!$A:$E,5,0)),"")</f>
        <v>Bancos</v>
      </c>
      <c r="F87" s="47">
        <f>IFERROR(__xludf.DUMMYFUNCTION("IFERROR((GOOGLEFINANCE(A87)),"""")"),61.34)</f>
        <v>61.34</v>
      </c>
      <c r="G87" s="48" t="str">
        <f>IFERROR(__xludf.DUMMYFUNCTION("IFERROR((sparkline(GOOGLEFINANCE($A87,""price"",TODAY()-30,TODAY(),""DAILY""),{""charttype"",""line"";""linewidth"",1;""color"",""#5f88cc""})),"""")"),"")</f>
        <v/>
      </c>
      <c r="H87" s="49">
        <f>IFERROR(__xludf.DUMMYFUNCTION("IFERROR((((GOOGLEFINANCE(A87))-(INDEX(GoogleFinance(A87,""PRICE"",$AQ$1),2,2)))/(INDEX(GoogleFinance(A87,""PRICE"",$AQ$1),2,2))),"""")"),0.06253247878053017)</f>
        <v>0.06253247878</v>
      </c>
      <c r="I87" s="47">
        <f>IFERROR(__xludf.DUMMYFUNCTION("IFERROR((GOOGLEFINANCE($A87,""high52"")),"""")"),62.99)</f>
        <v>62.99</v>
      </c>
      <c r="J87" s="48" t="str">
        <f>IFERROR(__xludf.DUMMYFUNCTION("IFERROR((sparkline(GOOGLEFINANCE($A87,""price"",TODAY()-365,TODAY(),""DAILY""),{""charttype"",""line"";""linewidth"",1;""color"",""#5f88cc""})),"""")"),"")</f>
        <v/>
      </c>
      <c r="K87" s="50">
        <f>IFERROR(__xludf.DUMMYFUNCTION("IFERROR((((GOOGLEFINANCE(A87))-(INDEX(GoogleFinance(A87,""PRICE"",$AP$1),2,2)))/(INDEX(GoogleFinance(A87,""PRICE"",$AP$1),2,2))),"""")"),0.8420420420420422)</f>
        <v>0.842042042</v>
      </c>
      <c r="L87" s="51">
        <f t="shared" si="1"/>
        <v>-0.02619463407</v>
      </c>
      <c r="M87" s="52">
        <f>IFERROR((VLOOKUP($A87,'Dados StatusInvest'!$A:$AZ,COLUMN(M87)-$A$5,0)*VLOOKUP($A87,'Dados StatusInvest'!$A:$AZ,2,0)/$F87/100),0)</f>
        <v>0.4593880013</v>
      </c>
      <c r="N87" s="53">
        <f>IFERROR((VLOOKUP($A87,'Dados StatusInvest'!$A:$AZ,COLUMN(N87)-$A$5,0)/VLOOKUP($A87,'Dados StatusInvest'!$A:$AZ,2,0)*$F87),"")</f>
        <v>36.57589652</v>
      </c>
      <c r="O87" s="53">
        <f>IFERROR((VLOOKUP($A87,'Dados StatusInvest'!$A:$AZ,COLUMN(O87)-$A$5,0)/VLOOKUP($A87,'Dados StatusInvest'!$A:$AZ,2,0)*$F87),0)</f>
        <v>13.62670331</v>
      </c>
      <c r="P87" s="54">
        <f>IFERROR((VLOOKUP($A87,'Dados StatusInvest'!$A:$AZ,COLUMN(P87)-$A$5,0)/VLOOKUP($A87,'Dados StatusInvest'!$A:$AZ,2,0)*$F87),0)</f>
        <v>13.62670331</v>
      </c>
      <c r="Q87" s="55">
        <f>IFERROR((VLOOKUP($A87,'Dados StatusInvest'!$A:$AZ,COLUMN(Q87)-$A$5,0)/100),0)</f>
        <v>0</v>
      </c>
      <c r="R87" s="56">
        <f>VLOOKUP($A87,'Dados StatusInvest'!$A:$AZ,COLUMN(R87)-$A$5,0)</f>
        <v>0</v>
      </c>
      <c r="S87" s="56">
        <f>IFERROR((VLOOKUP($A87,'Dados StatusInvest'!$A:$AZ,COLUMN(S87)-$A$5,0)),0)</f>
        <v>6.26</v>
      </c>
      <c r="T87" s="53">
        <f>IFERROR((VLOOKUP($A87,'Dados StatusInvest'!$A:$AZ,COLUMN(T87)-$A$5,0)/VLOOKUP($A87,'Dados StatusInvest'!$A:$AZ,2,0)*$F87),0)</f>
        <v>-0.4661244947</v>
      </c>
      <c r="U87" s="53">
        <f>IFERROR((VLOOKUP($A87,'Dados StatusInvest'!$A:$AZ,COLUMN(U87)-$A$5,0)-VLOOKUP($A87,'Dados StatusInvest'!$A:$AZ,COLUMN(U87)-$A$5-1,0)+T87),0)</f>
        <v>-0.3461244947</v>
      </c>
      <c r="V87" s="56">
        <f>IFERROR((VLOOKUP($A87,'Dados StatusInvest'!$A:$AZ,COLUMN(V87)-$A$5,0)),0)</f>
        <v>0.01</v>
      </c>
      <c r="W87" s="56">
        <f>IFERROR((VLOOKUP($A87,'Dados StatusInvest'!$A:$AZ,COLUMN(W87)-$A$5,0)),0)</f>
        <v>20.6</v>
      </c>
      <c r="X87" s="53">
        <f>IFERROR((VLOOKUP($A87,'Dados StatusInvest'!$A:$AZ,COLUMN(X87)-$A$5,0)/VLOOKUP($A87,'Dados StatusInvest'!$A:$AZ,2,0)*$F87),0)</f>
        <v>2.043013743</v>
      </c>
      <c r="Y87" s="54">
        <f>IFERROR((VLOOKUP($A87,'Dados StatusInvest'!$A:$AZ,COLUMN(Y87)-$A$5,0)/VLOOKUP($A87,'Dados StatusInvest'!$A:$AZ,2,0)*$F87),0)</f>
        <v>0</v>
      </c>
      <c r="Z87" s="56">
        <f>IFERROR((VLOOKUP($A87,'Dados StatusInvest'!$A:$AZ,COLUMN(Z87)-$A$5,0)),0)</f>
        <v>0.1</v>
      </c>
      <c r="AA87" s="57">
        <f>IFERROR((VLOOKUP($A87,'Dados StatusInvest'!$A:$AZ,COLUMN(AA87)-$A$5,0)),0)</f>
        <v>0.89</v>
      </c>
      <c r="AB87" s="57">
        <f>IFERROR((VLOOKUP($A87,'Dados StatusInvest'!$A:$AZ,COLUMN(AB87)-$A$5,0)),0)</f>
        <v>0.06</v>
      </c>
      <c r="AC87" s="58">
        <f>IFERROR((VLOOKUP($A87,'Dados StatusInvest'!$A:$AZ,COLUMN(AC87)-$A$5,0)),0)</f>
        <v>25.49</v>
      </c>
      <c r="AD87" s="57">
        <f>IFERROR((VLOOKUP($A87,'Dados StatusInvest'!$A:$AZ,COLUMN(AD87)-$A$5,0)),0)</f>
        <v>30.46</v>
      </c>
      <c r="AE87" s="56">
        <f>IFERROR((VLOOKUP($A87,'Dados StatusInvest'!$A:$AZ,COLUMN(AE87)-$A$5,0)),0)</f>
        <v>694000000</v>
      </c>
      <c r="AF87" s="56">
        <f>IFERROR((VLOOKUP($A87,'Dados StatusInvest'!$A:$AZ,COLUMN(AF87)-$A$5,0)),0)</f>
        <v>17.69</v>
      </c>
      <c r="AG87" s="56">
        <f>IFERROR((VLOOKUP($A87,'Dados StatusInvest'!$A:$AZ,COLUMN(AG87)-$A$5,0)),0)</f>
        <v>3.64</v>
      </c>
      <c r="AH87" s="56">
        <f>IFERROR((VLOOKUP($A87,'Dados StatusInvest'!$A:$AZ,COLUMN(AH87)-$A$5,0)),0)</f>
        <v>0.57</v>
      </c>
      <c r="AI87" s="57">
        <f>IFERROR((VLOOKUP($A87,'Dados StatusInvest'!$A:$AZ,COLUMN(AI87)-$A$5,0)),0)</f>
        <v>240598000000</v>
      </c>
      <c r="AJ87" s="59" t="str">
        <f>IFERROR((VLOOKUP($A87,'Dados StatusInvest'!$A:$AZ,COLUMN(AJ87)-$A$5,0)),0)</f>
        <v/>
      </c>
      <c r="AK87" s="60">
        <f>IFERROR(__xludf.DUMMYFUNCTION("IFERROR(GOOGLEFINANCE($A87,""high""),"""")"),61.43)</f>
        <v>61.43</v>
      </c>
      <c r="AL87" s="60">
        <f>IFERROR(__xludf.DUMMYFUNCTION("IFERROR(GOOGLEFINANCE($A87,""low""),"""")"),60.87)</f>
        <v>60.87</v>
      </c>
      <c r="AM87" s="61">
        <f t="shared" si="2"/>
        <v>0.009199934286</v>
      </c>
      <c r="AN87" s="62">
        <f>IFERROR(__xludf.DUMMYFUNCTION("IFERROR((GOOGLEFINANCE($A87,""volume"")),0)"),217900.0)</f>
        <v>217900</v>
      </c>
      <c r="AO87" s="60">
        <f>IFERROR(__xludf.DUMMYFUNCTION("IFERROR((GOOGLEFINANCE($A87,""closeyest"")),"""")"),61.85)</f>
        <v>61.85</v>
      </c>
      <c r="AP87" s="60">
        <f>IFERROR(__xludf.DUMMYFUNCTION("IFERROR((GOOGLEFINANCE($A87,""shares"")),"""")"),0.0)</f>
        <v>0</v>
      </c>
      <c r="AQ87" s="18"/>
    </row>
    <row r="88">
      <c r="A88" s="45" t="str">
        <f>'Dados StatusInvest'!A83:A702</f>
        <v>BPAC3</v>
      </c>
      <c r="B88" s="46" t="str">
        <f>IFERROR(__xludf.DUMMYFUNCTION("IFERROR((GOOGLEFINANCE(A88,""name"")),"""")"),"Banco BTG Pactual SA")</f>
        <v>Banco BTG Pactual SA</v>
      </c>
      <c r="C88" s="46" t="str">
        <f>IFERROR((VLOOKUP(LEFT($A88,4),Setor!$A:$E,3,0)),"")</f>
        <v>Financeiro</v>
      </c>
      <c r="D88" s="46" t="str">
        <f>IFERROR((VLOOKUP(LEFT($A88,4),Setor!$A:$E,4,0)),"")</f>
        <v>Intermediários Financeiros</v>
      </c>
      <c r="E88" s="46" t="str">
        <f>IFERROR((VLOOKUP(LEFT($A88,4),Setor!$A:$E,5,0)),"")</f>
        <v>Bancos</v>
      </c>
      <c r="F88" s="47">
        <f>IFERROR(__xludf.DUMMYFUNCTION("IFERROR((GOOGLEFINANCE(A88)),"""")"),44.02)</f>
        <v>44.02</v>
      </c>
      <c r="G88" s="48" t="str">
        <f>IFERROR(__xludf.DUMMYFUNCTION("IFERROR((sparkline(GOOGLEFINANCE($A88,""price"",TODAY()-30,TODAY(),""DAILY""),{""charttype"",""line"";""linewidth"",1;""color"",""#5f88cc""})),"""")"),"")</f>
        <v/>
      </c>
      <c r="H88" s="49">
        <f>IFERROR(__xludf.DUMMYFUNCTION("IFERROR((((GOOGLEFINANCE(A88))-(INDEX(GoogleFinance(A88,""PRICE"",$AQ$1),2,2)))/(INDEX(GoogleFinance(A88,""PRICE"",$AQ$1),2,2))),"""")"),0.1448634590377113)</f>
        <v>0.144863459</v>
      </c>
      <c r="I88" s="47">
        <f>IFERROR(__xludf.DUMMYFUNCTION("IFERROR((GOOGLEFINANCE($A88,""high52"")),"""")"),46.3)</f>
        <v>46.3</v>
      </c>
      <c r="J88" s="48" t="str">
        <f>IFERROR(__xludf.DUMMYFUNCTION("IFERROR((sparkline(GOOGLEFINANCE($A88,""price"",TODAY()-365,TODAY(),""DAILY""),{""charttype"",""line"";""linewidth"",1;""color"",""#5f88cc""})),"""")"),"")</f>
        <v/>
      </c>
      <c r="K88" s="50">
        <f>IFERROR(__xludf.DUMMYFUNCTION("IFERROR((((GOOGLEFINANCE(A88))-(INDEX(GoogleFinance(A88,""PRICE"",$AP$1),2,2)))/(INDEX(GoogleFinance(A88,""PRICE"",$AP$1),2,2))),"""")"),1.7512500000000002)</f>
        <v>1.75125</v>
      </c>
      <c r="L88" s="51">
        <f t="shared" si="1"/>
        <v>-0.04924406048</v>
      </c>
      <c r="M88" s="52">
        <f>IFERROR((VLOOKUP($A88,'Dados StatusInvest'!$A:$AZ,COLUMN(M88)-$A$5,0)*VLOOKUP($A88,'Dados StatusInvest'!$A:$AZ,2,0)/$F88/100),0)</f>
        <v>0.4597399364</v>
      </c>
      <c r="N88" s="53">
        <f>IFERROR((VLOOKUP($A88,'Dados StatusInvest'!$A:$AZ,COLUMN(N88)-$A$5,0)/VLOOKUP($A88,'Dados StatusInvest'!$A:$AZ,2,0)*$F88),"")</f>
        <v>36.54789734</v>
      </c>
      <c r="O88" s="53">
        <f>IFERROR((VLOOKUP($A88,'Dados StatusInvest'!$A:$AZ,COLUMN(O88)-$A$5,0)/VLOOKUP($A88,'Dados StatusInvest'!$A:$AZ,2,0)*$F88),0)</f>
        <v>29.3334534</v>
      </c>
      <c r="P88" s="54">
        <f>IFERROR((VLOOKUP($A88,'Dados StatusInvest'!$A:$AZ,COLUMN(P88)-$A$5,0)/VLOOKUP($A88,'Dados StatusInvest'!$A:$AZ,2,0)*$F88),0)</f>
        <v>13.61627195</v>
      </c>
      <c r="Q88" s="55">
        <f>IFERROR((VLOOKUP($A88,'Dados StatusInvest'!$A:$AZ,COLUMN(Q88)-$A$5,0)/100),0)</f>
        <v>0</v>
      </c>
      <c r="R88" s="56">
        <f>VLOOKUP($A88,'Dados StatusInvest'!$A:$AZ,COLUMN(R88)-$A$5,0)</f>
        <v>0</v>
      </c>
      <c r="S88" s="56">
        <f>IFERROR((VLOOKUP($A88,'Dados StatusInvest'!$A:$AZ,COLUMN(S88)-$A$5,0)),0)</f>
        <v>13.48</v>
      </c>
      <c r="T88" s="53">
        <f>IFERROR((VLOOKUP($A88,'Dados StatusInvest'!$A:$AZ,COLUMN(T88)-$A$5,0)/VLOOKUP($A88,'Dados StatusInvest'!$A:$AZ,2,0)*$F88),0)</f>
        <v>-1.010814948</v>
      </c>
      <c r="U88" s="53">
        <f>IFERROR((VLOOKUP($A88,'Dados StatusInvest'!$A:$AZ,COLUMN(U88)-$A$5,0)-VLOOKUP($A88,'Dados StatusInvest'!$A:$AZ,COLUMN(U88)-$A$5-1,0)+T88),0)</f>
        <v>-0.7508149482</v>
      </c>
      <c r="V88" s="56">
        <f>IFERROR((VLOOKUP($A88,'Dados StatusInvest'!$A:$AZ,COLUMN(V88)-$A$5,0)),0)</f>
        <v>0.01</v>
      </c>
      <c r="W88" s="56">
        <f>IFERROR((VLOOKUP($A88,'Dados StatusInvest'!$A:$AZ,COLUMN(W88)-$A$5,0)),0)</f>
        <v>20.6</v>
      </c>
      <c r="X88" s="53">
        <f>IFERROR((VLOOKUP($A88,'Dados StatusInvest'!$A:$AZ,COLUMN(X88)-$A$5,0)/VLOOKUP($A88,'Dados StatusInvest'!$A:$AZ,2,0)*$F88),0)</f>
        <v>2.041449797</v>
      </c>
      <c r="Y88" s="54">
        <f>IFERROR((VLOOKUP($A88,'Dados StatusInvest'!$A:$AZ,COLUMN(Y88)-$A$5,0)/VLOOKUP($A88,'Dados StatusInvest'!$A:$AZ,2,0)*$F88),0)</f>
        <v>0</v>
      </c>
      <c r="Z88" s="56">
        <f>IFERROR((VLOOKUP($A88,'Dados StatusInvest'!$A:$AZ,COLUMN(Z88)-$A$5,0)),0)</f>
        <v>0.1</v>
      </c>
      <c r="AA88" s="57">
        <f>IFERROR((VLOOKUP($A88,'Dados StatusInvest'!$A:$AZ,COLUMN(AA88)-$A$5,0)),0)</f>
        <v>0.89</v>
      </c>
      <c r="AB88" s="57">
        <f>IFERROR((VLOOKUP($A88,'Dados StatusInvest'!$A:$AZ,COLUMN(AB88)-$A$5,0)),0)</f>
        <v>0.06</v>
      </c>
      <c r="AC88" s="58">
        <f>IFERROR((VLOOKUP($A88,'Dados StatusInvest'!$A:$AZ,COLUMN(AC88)-$A$5,0)),0)</f>
        <v>25.49</v>
      </c>
      <c r="AD88" s="57">
        <f>IFERROR((VLOOKUP($A88,'Dados StatusInvest'!$A:$AZ,COLUMN(AD88)-$A$5,0)),0)</f>
        <v>30.46</v>
      </c>
      <c r="AE88" s="56">
        <f>IFERROR((VLOOKUP($A88,'Dados StatusInvest'!$A:$AZ,COLUMN(AE88)-$A$5,0)),0)</f>
        <v>366670.2</v>
      </c>
      <c r="AF88" s="56">
        <f>IFERROR((VLOOKUP($A88,'Dados StatusInvest'!$A:$AZ,COLUMN(AF88)-$A$5,0)),0)</f>
        <v>5.9</v>
      </c>
      <c r="AG88" s="56">
        <f>IFERROR((VLOOKUP($A88,'Dados StatusInvest'!$A:$AZ,COLUMN(AG88)-$A$5,0)),0)</f>
        <v>1.21</v>
      </c>
      <c r="AH88" s="56">
        <f>IFERROR((VLOOKUP($A88,'Dados StatusInvest'!$A:$AZ,COLUMN(AH88)-$A$5,0)),0)</f>
        <v>1.22</v>
      </c>
      <c r="AI88" s="57">
        <f>IFERROR((VLOOKUP($A88,'Dados StatusInvest'!$A:$AZ,COLUMN(AI88)-$A$5,0)),0)</f>
        <v>240598000000</v>
      </c>
      <c r="AJ88" s="59" t="str">
        <f>IFERROR((VLOOKUP($A88,'Dados StatusInvest'!$A:$AZ,COLUMN(AJ88)-$A$5,0)),0)</f>
        <v/>
      </c>
      <c r="AK88" s="60">
        <f>IFERROR(__xludf.DUMMYFUNCTION("IFERROR(GOOGLEFINANCE($A88,""high""),"""")"),44.96)</f>
        <v>44.96</v>
      </c>
      <c r="AL88" s="60">
        <f>IFERROR(__xludf.DUMMYFUNCTION("IFERROR(GOOGLEFINANCE($A88,""low""),"""")"),44.02)</f>
        <v>44.02</v>
      </c>
      <c r="AM88" s="61">
        <f t="shared" si="2"/>
        <v>0.02135393003</v>
      </c>
      <c r="AN88" s="62">
        <f>IFERROR(__xludf.DUMMYFUNCTION("IFERROR((GOOGLEFINANCE($A88,""volume"")),0)"),300.0)</f>
        <v>300</v>
      </c>
      <c r="AO88" s="60">
        <f>IFERROR(__xludf.DUMMYFUNCTION("IFERROR((GOOGLEFINANCE($A88,""closeyest"")),"""")"),44.42)</f>
        <v>44.42</v>
      </c>
      <c r="AP88" s="60">
        <f>IFERROR(__xludf.DUMMYFUNCTION("IFERROR((GOOGLEFINANCE($A88,""shares"")),"""")"),7.298078695E9)</f>
        <v>7298078695</v>
      </c>
      <c r="AQ88" s="18"/>
    </row>
    <row r="89">
      <c r="A89" s="45" t="str">
        <f>'Dados StatusInvest'!A84:A703</f>
        <v>BPAC5</v>
      </c>
      <c r="B89" s="46" t="str">
        <f>IFERROR(__xludf.DUMMYFUNCTION("IFERROR((GOOGLEFINANCE(A89,""name"")),"""")"),"Banco BTG Pactual SA Preference Shares Class A")</f>
        <v>Banco BTG Pactual SA Preference Shares Class A</v>
      </c>
      <c r="C89" s="46" t="str">
        <f>IFERROR((VLOOKUP(LEFT($A89,4),Setor!$A:$E,3,0)),"")</f>
        <v>Financeiro</v>
      </c>
      <c r="D89" s="46" t="str">
        <f>IFERROR((VLOOKUP(LEFT($A89,4),Setor!$A:$E,4,0)),"")</f>
        <v>Intermediários Financeiros</v>
      </c>
      <c r="E89" s="46" t="str">
        <f>IFERROR((VLOOKUP(LEFT($A89,4),Setor!$A:$E,5,0)),"")</f>
        <v>Bancos</v>
      </c>
      <c r="F89" s="47">
        <f>IFERROR(__xludf.DUMMYFUNCTION("IFERROR((GOOGLEFINANCE(A89)),"""")"),11.5)</f>
        <v>11.5</v>
      </c>
      <c r="G89" s="48" t="str">
        <f>IFERROR(__xludf.DUMMYFUNCTION("IFERROR((sparkline(GOOGLEFINANCE($A89,""price"",TODAY()-30,TODAY(),""DAILY""),{""charttype"",""line"";""linewidth"",1;""color"",""#5f88cc""})),"""")"),"")</f>
        <v/>
      </c>
      <c r="H89" s="49">
        <f>IFERROR(__xludf.DUMMYFUNCTION("IFERROR((((GOOGLEFINANCE(A89))-(INDEX(GoogleFinance(A89,""PRICE"",$AQ$1),2,2)))/(INDEX(GoogleFinance(A89,""PRICE"",$AQ$1),2,2))),"""")"),0.027703306523681904)</f>
        <v>0.02770330652</v>
      </c>
      <c r="I89" s="47">
        <f>IFERROR(__xludf.DUMMYFUNCTION("IFERROR((GOOGLEFINANCE($A89,""high52"")),"""")"),12.37)</f>
        <v>12.37</v>
      </c>
      <c r="J89" s="48" t="str">
        <f>IFERROR(__xludf.DUMMYFUNCTION("IFERROR((sparkline(GOOGLEFINANCE($A89,""price"",TODAY()-365,TODAY(),""DAILY""),{""charttype"",""line"";""linewidth"",1;""color"",""#5f88cc""})),"""")"),"")</f>
        <v/>
      </c>
      <c r="K89" s="50">
        <f>IFERROR(__xludf.DUMMYFUNCTION("IFERROR((((GOOGLEFINANCE(A89))-(INDEX(GoogleFinance(A89,""PRICE"",$AP$1),2,2)))/(INDEX(GoogleFinance(A89,""PRICE"",$AP$1),2,2))),"""")"),0.4041514041514042)</f>
        <v>0.4041514042</v>
      </c>
      <c r="L89" s="51">
        <f t="shared" si="1"/>
        <v>-0.07033144705</v>
      </c>
      <c r="M89" s="52">
        <f>IFERROR((VLOOKUP($A89,'Dados StatusInvest'!$A:$AZ,COLUMN(M89)-$A$5,0)*VLOOKUP($A89,'Dados StatusInvest'!$A:$AZ,2,0)/$F89/100),0)</f>
        <v>0.4536191304</v>
      </c>
      <c r="N89" s="53">
        <f>IFERROR((VLOOKUP($A89,'Dados StatusInvest'!$A:$AZ,COLUMN(N89)-$A$5,0)/VLOOKUP($A89,'Dados StatusInvest'!$A:$AZ,2,0)*$F89),"")</f>
        <v>37.04104803</v>
      </c>
      <c r="O89" s="53">
        <f>IFERROR((VLOOKUP($A89,'Dados StatusInvest'!$A:$AZ,COLUMN(O89)-$A$5,0)/VLOOKUP($A89,'Dados StatusInvest'!$A:$AZ,2,0)*$F89),0)</f>
        <v>7.663318777</v>
      </c>
      <c r="P89" s="54">
        <f>IFERROR((VLOOKUP($A89,'Dados StatusInvest'!$A:$AZ,COLUMN(P89)-$A$5,0)/VLOOKUP($A89,'Dados StatusInvest'!$A:$AZ,2,0)*$F89),0)</f>
        <v>13.8</v>
      </c>
      <c r="Q89" s="55">
        <f>IFERROR((VLOOKUP($A89,'Dados StatusInvest'!$A:$AZ,COLUMN(Q89)-$A$5,0)/100),0)</f>
        <v>0</v>
      </c>
      <c r="R89" s="56">
        <f>VLOOKUP($A89,'Dados StatusInvest'!$A:$AZ,COLUMN(R89)-$A$5,0)</f>
        <v>0</v>
      </c>
      <c r="S89" s="56">
        <f>IFERROR((VLOOKUP($A89,'Dados StatusInvest'!$A:$AZ,COLUMN(S89)-$A$5,0)),0)</f>
        <v>3.48</v>
      </c>
      <c r="T89" s="53">
        <f>IFERROR((VLOOKUP($A89,'Dados StatusInvest'!$A:$AZ,COLUMN(T89)-$A$5,0)/VLOOKUP($A89,'Dados StatusInvest'!$A:$AZ,2,0)*$F89),0)</f>
        <v>-0.2611353712</v>
      </c>
      <c r="U89" s="53">
        <f>IFERROR((VLOOKUP($A89,'Dados StatusInvest'!$A:$AZ,COLUMN(U89)-$A$5,0)-VLOOKUP($A89,'Dados StatusInvest'!$A:$AZ,COLUMN(U89)-$A$5-1,0)+T89),0)</f>
        <v>-0.2011353712</v>
      </c>
      <c r="V89" s="56">
        <f>IFERROR((VLOOKUP($A89,'Dados StatusInvest'!$A:$AZ,COLUMN(V89)-$A$5,0)),0)</f>
        <v>0.01</v>
      </c>
      <c r="W89" s="56">
        <f>IFERROR((VLOOKUP($A89,'Dados StatusInvest'!$A:$AZ,COLUMN(W89)-$A$5,0)),0)</f>
        <v>20.6</v>
      </c>
      <c r="X89" s="53">
        <f>IFERROR((VLOOKUP($A89,'Dados StatusInvest'!$A:$AZ,COLUMN(X89)-$A$5,0)/VLOOKUP($A89,'Dados StatusInvest'!$A:$AZ,2,0)*$F89),0)</f>
        <v>2.068995633</v>
      </c>
      <c r="Y89" s="54">
        <f>IFERROR((VLOOKUP($A89,'Dados StatusInvest'!$A:$AZ,COLUMN(Y89)-$A$5,0)/VLOOKUP($A89,'Dados StatusInvest'!$A:$AZ,2,0)*$F89),0)</f>
        <v>0</v>
      </c>
      <c r="Z89" s="56">
        <f>IFERROR((VLOOKUP($A89,'Dados StatusInvest'!$A:$AZ,COLUMN(Z89)-$A$5,0)),0)</f>
        <v>0.1</v>
      </c>
      <c r="AA89" s="57">
        <f>IFERROR((VLOOKUP($A89,'Dados StatusInvest'!$A:$AZ,COLUMN(AA89)-$A$5,0)),0)</f>
        <v>0.89</v>
      </c>
      <c r="AB89" s="57">
        <f>IFERROR((VLOOKUP($A89,'Dados StatusInvest'!$A:$AZ,COLUMN(AB89)-$A$5,0)),0)</f>
        <v>0.06</v>
      </c>
      <c r="AC89" s="58">
        <f>IFERROR((VLOOKUP($A89,'Dados StatusInvest'!$A:$AZ,COLUMN(AC89)-$A$5,0)),0)</f>
        <v>25.49</v>
      </c>
      <c r="AD89" s="57">
        <f>IFERROR((VLOOKUP($A89,'Dados StatusInvest'!$A:$AZ,COLUMN(AD89)-$A$5,0)),0)</f>
        <v>30.46</v>
      </c>
      <c r="AE89" s="56">
        <f>IFERROR((VLOOKUP($A89,'Dados StatusInvest'!$A:$AZ,COLUMN(AE89)-$A$5,0)),0)</f>
        <v>152157.7</v>
      </c>
      <c r="AF89" s="56">
        <f>IFERROR((VLOOKUP($A89,'Dados StatusInvest'!$A:$AZ,COLUMN(AF89)-$A$5,0)),0)</f>
        <v>5.9</v>
      </c>
      <c r="AG89" s="56">
        <f>IFERROR((VLOOKUP($A89,'Dados StatusInvest'!$A:$AZ,COLUMN(AG89)-$A$5,0)),0)</f>
        <v>1.21</v>
      </c>
      <c r="AH89" s="56">
        <f>IFERROR((VLOOKUP($A89,'Dados StatusInvest'!$A:$AZ,COLUMN(AH89)-$A$5,0)),0)</f>
        <v>0.32</v>
      </c>
      <c r="AI89" s="57">
        <f>IFERROR((VLOOKUP($A89,'Dados StatusInvest'!$A:$AZ,COLUMN(AI89)-$A$5,0)),0)</f>
        <v>240598000000</v>
      </c>
      <c r="AJ89" s="59" t="str">
        <f>IFERROR((VLOOKUP($A89,'Dados StatusInvest'!$A:$AZ,COLUMN(AJ89)-$A$5,0)),0)</f>
        <v/>
      </c>
      <c r="AK89" s="60">
        <f>IFERROR(__xludf.DUMMYFUNCTION("IFERROR(GOOGLEFINANCE($A89,""high""),"""")"),11.51)</f>
        <v>11.51</v>
      </c>
      <c r="AL89" s="60">
        <f>IFERROR(__xludf.DUMMYFUNCTION("IFERROR(GOOGLEFINANCE($A89,""low""),"""")"),11.5)</f>
        <v>11.5</v>
      </c>
      <c r="AM89" s="61">
        <f t="shared" si="2"/>
        <v>0.0008695652174</v>
      </c>
      <c r="AN89" s="62">
        <f>IFERROR(__xludf.DUMMYFUNCTION("IFERROR((GOOGLEFINANCE($A89,""volume"")),0)"),200.0)</f>
        <v>200</v>
      </c>
      <c r="AO89" s="60">
        <f>IFERROR(__xludf.DUMMYFUNCTION("IFERROR((GOOGLEFINANCE($A89,""closeyest"")),"""")"),11.7)</f>
        <v>11.7</v>
      </c>
      <c r="AP89" s="60">
        <f>IFERROR(__xludf.DUMMYFUNCTION("IFERROR((GOOGLEFINANCE($A89,""shares"")),"""")"),2.972355254E9)</f>
        <v>2972355254</v>
      </c>
      <c r="AQ89" s="18"/>
    </row>
    <row r="90">
      <c r="A90" s="45" t="str">
        <f>'Dados StatusInvest'!A85:A704</f>
        <v>BPAN4</v>
      </c>
      <c r="B90" s="46" t="str">
        <f>IFERROR(__xludf.DUMMYFUNCTION("IFERROR((GOOGLEFINANCE(A90,""name"")),"""")"),"")</f>
        <v/>
      </c>
      <c r="C90" s="46" t="str">
        <f>IFERROR((VLOOKUP(LEFT($A90,4),Setor!$A:$E,3,0)),"")</f>
        <v>Financeiro</v>
      </c>
      <c r="D90" s="46" t="str">
        <f>IFERROR((VLOOKUP(LEFT($A90,4),Setor!$A:$E,4,0)),"")</f>
        <v>Intermediários Financeiros</v>
      </c>
      <c r="E90" s="46" t="str">
        <f>IFERROR((VLOOKUP(LEFT($A90,4),Setor!$A:$E,5,0)),"")</f>
        <v>Bancos</v>
      </c>
      <c r="F90" s="47" t="str">
        <f>IFERROR(__xludf.DUMMYFUNCTION("IFERROR((GOOGLEFINANCE(A90)),"""")"),"")</f>
        <v/>
      </c>
      <c r="G90" s="48" t="str">
        <f>IFERROR(__xludf.DUMMYFUNCTION("IFERROR((sparkline(GOOGLEFINANCE($A90,""price"",TODAY()-30,TODAY(),""DAILY""),{""charttype"",""line"";""linewidth"",1;""color"",""#5f88cc""})),"""")"),"")</f>
        <v/>
      </c>
      <c r="H90" s="49" t="str">
        <f>IFERROR(__xludf.DUMMYFUNCTION("IFERROR((((GOOGLEFINANCE(A90))-(INDEX(GoogleFinance(A90,""PRICE"",$AQ$1),2,2)))/(INDEX(GoogleFinance(A90,""PRICE"",$AQ$1),2,2))),"""")"),"")</f>
        <v/>
      </c>
      <c r="I90" s="47" t="str">
        <f>IFERROR(__xludf.DUMMYFUNCTION("IFERROR((GOOGLEFINANCE($A90,""high52"")),"""")"),"")</f>
        <v/>
      </c>
      <c r="J90" s="48" t="str">
        <f>IFERROR(__xludf.DUMMYFUNCTION("IFERROR((sparkline(GOOGLEFINANCE($A90,""price"",TODAY()-365,TODAY(),""DAILY""),{""charttype"",""line"";""linewidth"",1;""color"",""#5f88cc""})),"""")"),"")</f>
        <v/>
      </c>
      <c r="K90" s="50" t="str">
        <f>IFERROR(__xludf.DUMMYFUNCTION("IFERROR((((GOOGLEFINANCE(A90))-(INDEX(GoogleFinance(A90,""PRICE"",$AP$1),2,2)))/(INDEX(GoogleFinance(A90,""PRICE"",$AP$1),2,2))),"""")"),"")</f>
        <v/>
      </c>
      <c r="L90" s="51">
        <f t="shared" si="1"/>
        <v>0</v>
      </c>
      <c r="M90" s="52">
        <f>IFERROR((VLOOKUP($A90,'Dados StatusInvest'!$A:$AZ,COLUMN(M90)-$A$5,0)*VLOOKUP($A90,'Dados StatusInvest'!$A:$AZ,2,0)/$F90/100),0)</f>
        <v>0</v>
      </c>
      <c r="N90" s="53">
        <f>IFERROR((VLOOKUP($A90,'Dados StatusInvest'!$A:$AZ,COLUMN(N90)-$A$5,0)/VLOOKUP($A90,'Dados StatusInvest'!$A:$AZ,2,0)*$F90),"")</f>
        <v>0</v>
      </c>
      <c r="O90" s="53">
        <f>IFERROR((VLOOKUP($A90,'Dados StatusInvest'!$A:$AZ,COLUMN(O90)-$A$5,0)/VLOOKUP($A90,'Dados StatusInvest'!$A:$AZ,2,0)*$F90),0)</f>
        <v>0</v>
      </c>
      <c r="P90" s="54">
        <f>IFERROR((VLOOKUP($A90,'Dados StatusInvest'!$A:$AZ,COLUMN(P90)-$A$5,0)/VLOOKUP($A90,'Dados StatusInvest'!$A:$AZ,2,0)*$F90),0)</f>
        <v>0</v>
      </c>
      <c r="Q90" s="55">
        <f>IFERROR((VLOOKUP($A90,'Dados StatusInvest'!$A:$AZ,COLUMN(Q90)-$A$5,0)/100),0)</f>
        <v>0</v>
      </c>
      <c r="R90" s="56">
        <f>VLOOKUP($A90,'Dados StatusInvest'!$A:$AZ,COLUMN(R90)-$A$5,0)</f>
        <v>0</v>
      </c>
      <c r="S90" s="56">
        <f>IFERROR((VLOOKUP($A90,'Dados StatusInvest'!$A:$AZ,COLUMN(S90)-$A$5,0)),0)</f>
        <v>1.08</v>
      </c>
      <c r="T90" s="53">
        <f>IFERROR((VLOOKUP($A90,'Dados StatusInvest'!$A:$AZ,COLUMN(T90)-$A$5,0)/VLOOKUP($A90,'Dados StatusInvest'!$A:$AZ,2,0)*$F90),0)</f>
        <v>0</v>
      </c>
      <c r="U90" s="53">
        <f>IFERROR((VLOOKUP($A90,'Dados StatusInvest'!$A:$AZ,COLUMN(U90)-$A$5,0)-VLOOKUP($A90,'Dados StatusInvest'!$A:$AZ,COLUMN(U90)-$A$5-1,0)+T90),0)</f>
        <v>525.12</v>
      </c>
      <c r="V90" s="56">
        <f>IFERROR((VLOOKUP($A90,'Dados StatusInvest'!$A:$AZ,COLUMN(V90)-$A$5,0)),0)</f>
        <v>0.05</v>
      </c>
      <c r="W90" s="56">
        <f>IFERROR((VLOOKUP($A90,'Dados StatusInvest'!$A:$AZ,COLUMN(W90)-$A$5,0)),0)</f>
        <v>5.1</v>
      </c>
      <c r="X90" s="53">
        <f>IFERROR((VLOOKUP($A90,'Dados StatusInvest'!$A:$AZ,COLUMN(X90)-$A$5,0)/VLOOKUP($A90,'Dados StatusInvest'!$A:$AZ,2,0)*$F90),0)</f>
        <v>0</v>
      </c>
      <c r="Y90" s="54">
        <f>IFERROR((VLOOKUP($A90,'Dados StatusInvest'!$A:$AZ,COLUMN(Y90)-$A$5,0)/VLOOKUP($A90,'Dados StatusInvest'!$A:$AZ,2,0)*$F90),0)</f>
        <v>0</v>
      </c>
      <c r="Z90" s="56">
        <f>IFERROR((VLOOKUP($A90,'Dados StatusInvest'!$A:$AZ,COLUMN(Z90)-$A$5,0)),0)</f>
        <v>0.11</v>
      </c>
      <c r="AA90" s="57">
        <f>IFERROR((VLOOKUP($A90,'Dados StatusInvest'!$A:$AZ,COLUMN(AA90)-$A$5,0)),0)</f>
        <v>0.89</v>
      </c>
      <c r="AB90" s="57">
        <f>IFERROR((VLOOKUP($A90,'Dados StatusInvest'!$A:$AZ,COLUMN(AB90)-$A$5,0)),0)</f>
        <v>0.22</v>
      </c>
      <c r="AC90" s="58">
        <f>IFERROR((VLOOKUP($A90,'Dados StatusInvest'!$A:$AZ,COLUMN(AC90)-$A$5,0)),0)</f>
        <v>10.77</v>
      </c>
      <c r="AD90" s="57">
        <f>IFERROR((VLOOKUP($A90,'Dados StatusInvest'!$A:$AZ,COLUMN(AD90)-$A$5,0)),0)</f>
        <v>-9</v>
      </c>
      <c r="AE90" s="56">
        <f>IFERROR((VLOOKUP($A90,'Dados StatusInvest'!$A:$AZ,COLUMN(AE90)-$A$5,0)),0)</f>
        <v>38432884</v>
      </c>
      <c r="AF90" s="56">
        <f>IFERROR((VLOOKUP($A90,'Dados StatusInvest'!$A:$AZ,COLUMN(AF90)-$A$5,0)),0)</f>
        <v>5.99</v>
      </c>
      <c r="AG90" s="56">
        <f>IFERROR((VLOOKUP($A90,'Dados StatusInvest'!$A:$AZ,COLUMN(AG90)-$A$5,0)),0)</f>
        <v>0.31</v>
      </c>
      <c r="AH90" s="56">
        <f>IFERROR((VLOOKUP($A90,'Dados StatusInvest'!$A:$AZ,COLUMN(AH90)-$A$5,0)),0)</f>
        <v>-1.09</v>
      </c>
      <c r="AI90" s="57">
        <f>IFERROR((VLOOKUP($A90,'Dados StatusInvest'!$A:$AZ,COLUMN(AI90)-$A$5,0)),0)</f>
        <v>16180643648</v>
      </c>
      <c r="AJ90" s="59" t="str">
        <f>IFERROR((VLOOKUP($A90,'Dados StatusInvest'!$A:$AZ,COLUMN(AJ90)-$A$5,0)),0)</f>
        <v/>
      </c>
      <c r="AK90" s="60" t="str">
        <f>IFERROR(__xludf.DUMMYFUNCTION("IFERROR(GOOGLEFINANCE($A90,""high""),"""")"),"")</f>
        <v/>
      </c>
      <c r="AL90" s="60" t="str">
        <f>IFERROR(__xludf.DUMMYFUNCTION("IFERROR(GOOGLEFINANCE($A90,""low""),"""")"),"")</f>
        <v/>
      </c>
      <c r="AM90" s="61">
        <f t="shared" si="2"/>
        <v>0</v>
      </c>
      <c r="AN90" s="62">
        <f>IFERROR(__xludf.DUMMYFUNCTION("IFERROR((GOOGLEFINANCE($A90,""volume"")),0)"),0.0)</f>
        <v>0</v>
      </c>
      <c r="AO90" s="60" t="str">
        <f>IFERROR(__xludf.DUMMYFUNCTION("IFERROR((GOOGLEFINANCE($A90,""closeyest"")),"""")"),"")</f>
        <v/>
      </c>
      <c r="AP90" s="60" t="str">
        <f>IFERROR(__xludf.DUMMYFUNCTION("IFERROR((GOOGLEFINANCE($A90,""shares"")),"""")"),"")</f>
        <v/>
      </c>
      <c r="AQ90" s="18"/>
    </row>
    <row r="91">
      <c r="A91" s="45" t="str">
        <f>'Dados StatusInvest'!A86:A705</f>
        <v>BPAR3</v>
      </c>
      <c r="B91" s="46" t="str">
        <f>IFERROR(__xludf.DUMMYFUNCTION("IFERROR((GOOGLEFINANCE(A91,""name"")),"""")"),"Banco do Estado do Para SA")</f>
        <v>Banco do Estado do Para SA</v>
      </c>
      <c r="C91" s="46" t="str">
        <f>IFERROR((VLOOKUP(LEFT($A91,4),Setor!$A:$E,3,0)),"")</f>
        <v>Financeiro</v>
      </c>
      <c r="D91" s="46" t="str">
        <f>IFERROR((VLOOKUP(LEFT($A91,4),Setor!$A:$E,4,0)),"")</f>
        <v>Intermediários Financeiros</v>
      </c>
      <c r="E91" s="46" t="str">
        <f>IFERROR((VLOOKUP(LEFT($A91,4),Setor!$A:$E,5,0)),"")</f>
        <v>Bancos</v>
      </c>
      <c r="F91" s="47">
        <f>IFERROR(__xludf.DUMMYFUNCTION("IFERROR((GOOGLEFINANCE(A91)),"""")"),0.0)</f>
        <v>0</v>
      </c>
      <c r="G91" s="48" t="str">
        <f>IFERROR(__xludf.DUMMYFUNCTION("IFERROR((sparkline(GOOGLEFINANCE($A91,""price"",TODAY()-30,TODAY(),""DAILY""),{""charttype"",""line"";""linewidth"",1;""color"",""#5f88cc""})),"""")"),"")</f>
        <v/>
      </c>
      <c r="H91" s="49" t="str">
        <f>IFERROR(__xludf.DUMMYFUNCTION("IFERROR((((GOOGLEFINANCE(A91))-(INDEX(GoogleFinance(A91,""PRICE"",$AQ$1),2,2)))/(INDEX(GoogleFinance(A91,""PRICE"",$AQ$1),2,2))),"""")"),"")</f>
        <v/>
      </c>
      <c r="I91" s="47">
        <f>IFERROR(__xludf.DUMMYFUNCTION("IFERROR((GOOGLEFINANCE($A91,""high52"")),"""")"),146.59)</f>
        <v>146.59</v>
      </c>
      <c r="J91" s="48" t="str">
        <f>IFERROR(__xludf.DUMMYFUNCTION("IFERROR((sparkline(GOOGLEFINANCE($A91,""price"",TODAY()-365,TODAY(),""DAILY""),{""charttype"",""line"";""linewidth"",1;""color"",""#5f88cc""})),"""")"),"")</f>
        <v/>
      </c>
      <c r="K91" s="50">
        <f>IFERROR(__xludf.DUMMYFUNCTION("IFERROR((((GOOGLEFINANCE(A91))-(INDEX(GoogleFinance(A91,""PRICE"",$AP$1),2,2)))/(INDEX(GoogleFinance(A91,""PRICE"",$AP$1),2,2))),"""")"),-1.0)</f>
        <v>-1</v>
      </c>
      <c r="L91" s="51">
        <f t="shared" si="1"/>
        <v>-1</v>
      </c>
      <c r="M91" s="52">
        <f>IFERROR((VLOOKUP($A91,'Dados StatusInvest'!$A:$AZ,COLUMN(M91)-$A$5,0)*VLOOKUP($A91,'Dados StatusInvest'!$A:$AZ,2,0)/$F91/100),0)</f>
        <v>0</v>
      </c>
      <c r="N91" s="53">
        <f>IFERROR((VLOOKUP($A91,'Dados StatusInvest'!$A:$AZ,COLUMN(N91)-$A$5,0)/VLOOKUP($A91,'Dados StatusInvest'!$A:$AZ,2,0)*$F91),"")</f>
        <v>0</v>
      </c>
      <c r="O91" s="53">
        <f>IFERROR((VLOOKUP($A91,'Dados StatusInvest'!$A:$AZ,COLUMN(O91)-$A$5,0)/VLOOKUP($A91,'Dados StatusInvest'!$A:$AZ,2,0)*$F91),0)</f>
        <v>0</v>
      </c>
      <c r="P91" s="54">
        <f>IFERROR((VLOOKUP($A91,'Dados StatusInvest'!$A:$AZ,COLUMN(P91)-$A$5,0)/VLOOKUP($A91,'Dados StatusInvest'!$A:$AZ,2,0)*$F91),0)</f>
        <v>0</v>
      </c>
      <c r="Q91" s="55">
        <f>IFERROR((VLOOKUP($A91,'Dados StatusInvest'!$A:$AZ,COLUMN(Q91)-$A$5,0)/100),0)</f>
        <v>0</v>
      </c>
      <c r="R91" s="56">
        <f>VLOOKUP($A91,'Dados StatusInvest'!$A:$AZ,COLUMN(R91)-$A$5,0)</f>
        <v>0</v>
      </c>
      <c r="S91" s="56">
        <f>IFERROR((VLOOKUP($A91,'Dados StatusInvest'!$A:$AZ,COLUMN(S91)-$A$5,0)),0)</f>
        <v>0.31</v>
      </c>
      <c r="T91" s="53">
        <f>IFERROR((VLOOKUP($A91,'Dados StatusInvest'!$A:$AZ,COLUMN(T91)-$A$5,0)/VLOOKUP($A91,'Dados StatusInvest'!$A:$AZ,2,0)*$F91),0)</f>
        <v>0</v>
      </c>
      <c r="U91" s="53">
        <f>IFERROR((VLOOKUP($A91,'Dados StatusInvest'!$A:$AZ,COLUMN(U91)-$A$5,0)-VLOOKUP($A91,'Dados StatusInvest'!$A:$AZ,COLUMN(U91)-$A$5-1,0)+T91),0)</f>
        <v>-4.35</v>
      </c>
      <c r="V91" s="56">
        <f>IFERROR((VLOOKUP($A91,'Dados StatusInvest'!$A:$AZ,COLUMN(V91)-$A$5,0)),0)</f>
        <v>0</v>
      </c>
      <c r="W91" s="56">
        <f>IFERROR((VLOOKUP($A91,'Dados StatusInvest'!$A:$AZ,COLUMN(W91)-$A$5,0)),0)</f>
        <v>11.35</v>
      </c>
      <c r="X91" s="53">
        <f>IFERROR((VLOOKUP($A91,'Dados StatusInvest'!$A:$AZ,COLUMN(X91)-$A$5,0)/VLOOKUP($A91,'Dados StatusInvest'!$A:$AZ,2,0)*$F91),0)</f>
        <v>0</v>
      </c>
      <c r="Y91" s="54">
        <f>IFERROR((VLOOKUP($A91,'Dados StatusInvest'!$A:$AZ,COLUMN(Y91)-$A$5,0)/VLOOKUP($A91,'Dados StatusInvest'!$A:$AZ,2,0)*$F91),0)</f>
        <v>0</v>
      </c>
      <c r="Z91" s="56">
        <f>IFERROR((VLOOKUP($A91,'Dados StatusInvest'!$A:$AZ,COLUMN(Z91)-$A$5,0)),0)</f>
        <v>0.11</v>
      </c>
      <c r="AA91" s="57">
        <f>IFERROR((VLOOKUP($A91,'Dados StatusInvest'!$A:$AZ,COLUMN(AA91)-$A$5,0)),0)</f>
        <v>0.89</v>
      </c>
      <c r="AB91" s="57">
        <f>IFERROR((VLOOKUP($A91,'Dados StatusInvest'!$A:$AZ,COLUMN(AB91)-$A$5,0)),0)</f>
        <v>0.19</v>
      </c>
      <c r="AC91" s="58">
        <f>IFERROR((VLOOKUP($A91,'Dados StatusInvest'!$A:$AZ,COLUMN(AC91)-$A$5,0)),0)</f>
        <v>14.76</v>
      </c>
      <c r="AD91" s="57">
        <f>IFERROR((VLOOKUP($A91,'Dados StatusInvest'!$A:$AZ,COLUMN(AD91)-$A$5,0)),0)</f>
        <v>-4.89</v>
      </c>
      <c r="AE91" s="56">
        <f>IFERROR((VLOOKUP($A91,'Dados StatusInvest'!$A:$AZ,COLUMN(AE91)-$A$5,0)),0)</f>
        <v>0</v>
      </c>
      <c r="AF91" s="56">
        <f>IFERROR((VLOOKUP($A91,'Dados StatusInvest'!$A:$AZ,COLUMN(AF91)-$A$5,0)),0)</f>
        <v>233.36</v>
      </c>
      <c r="AG91" s="56">
        <f>IFERROR((VLOOKUP($A91,'Dados StatusInvest'!$A:$AZ,COLUMN(AG91)-$A$5,0)),0)</f>
        <v>26.49</v>
      </c>
      <c r="AH91" s="56">
        <f>IFERROR((VLOOKUP($A91,'Dados StatusInvest'!$A:$AZ,COLUMN(AH91)-$A$5,0)),0)</f>
        <v>-0.14</v>
      </c>
      <c r="AI91" s="57">
        <f>IFERROR((VLOOKUP($A91,'Dados StatusInvest'!$A:$AZ,COLUMN(AI91)-$A$5,0)),0)</f>
        <v>1118032026</v>
      </c>
      <c r="AJ91" s="59" t="str">
        <f>IFERROR((VLOOKUP($A91,'Dados StatusInvest'!$A:$AZ,COLUMN(AJ91)-$A$5,0)),0)</f>
        <v/>
      </c>
      <c r="AK91" s="60" t="str">
        <f>IFERROR(__xludf.DUMMYFUNCTION("IFERROR(GOOGLEFINANCE($A91,""high""),"""")"),"")</f>
        <v/>
      </c>
      <c r="AL91" s="60" t="str">
        <f>IFERROR(__xludf.DUMMYFUNCTION("IFERROR(GOOGLEFINANCE($A91,""low""),"""")"),"")</f>
        <v/>
      </c>
      <c r="AM91" s="61">
        <f t="shared" si="2"/>
        <v>0</v>
      </c>
      <c r="AN91" s="62">
        <f>IFERROR(__xludf.DUMMYFUNCTION("IFERROR((GOOGLEFINANCE($A91,""volume"")),0)"),0.0)</f>
        <v>0</v>
      </c>
      <c r="AO91" s="60">
        <f>IFERROR(__xludf.DUMMYFUNCTION("IFERROR((GOOGLEFINANCE($A91,""closeyest"")),"""")"),110.21)</f>
        <v>110.21</v>
      </c>
      <c r="AP91" s="60">
        <f>IFERROR(__xludf.DUMMYFUNCTION("IFERROR((GOOGLEFINANCE($A91,""shares"")),"""")"),9521649.0)</f>
        <v>9521649</v>
      </c>
      <c r="AQ91" s="18"/>
    </row>
    <row r="92">
      <c r="A92" s="45" t="str">
        <f>'Dados StatusInvest'!A87:A706</f>
        <v>BPAT33</v>
      </c>
      <c r="B92" s="46" t="str">
        <f>IFERROR(__xludf.DUMMYFUNCTION("IFERROR((GOOGLEFINANCE(A92,""name"")),"""")"),"")</f>
        <v/>
      </c>
      <c r="C92" s="46" t="str">
        <f>IFERROR((VLOOKUP(LEFT($A92,4),Setor!$A:$E,3,0)),"")</f>
        <v/>
      </c>
      <c r="D92" s="46" t="str">
        <f>IFERROR((VLOOKUP(LEFT($A92,4),Setor!$A:$E,4,0)),"")</f>
        <v/>
      </c>
      <c r="E92" s="46" t="str">
        <f>IFERROR((VLOOKUP(LEFT($A92,4),Setor!$A:$E,5,0)),"")</f>
        <v/>
      </c>
      <c r="F92" s="47" t="str">
        <f>IFERROR(__xludf.DUMMYFUNCTION("IFERROR((GOOGLEFINANCE(A92)),"""")"),"")</f>
        <v/>
      </c>
      <c r="G92" s="48" t="str">
        <f>IFERROR(__xludf.DUMMYFUNCTION("IFERROR((sparkline(GOOGLEFINANCE($A92,""price"",TODAY()-30,TODAY(),""DAILY""),{""charttype"",""line"";""linewidth"",1;""color"",""#5f88cc""})),"""")"),"")</f>
        <v/>
      </c>
      <c r="H92" s="49" t="str">
        <f>IFERROR(__xludf.DUMMYFUNCTION("IFERROR((((GOOGLEFINANCE(A92))-(INDEX(GoogleFinance(A92,""PRICE"",$AQ$1),2,2)))/(INDEX(GoogleFinance(A92,""PRICE"",$AQ$1),2,2))),"""")"),"")</f>
        <v/>
      </c>
      <c r="I92" s="47" t="str">
        <f>IFERROR(__xludf.DUMMYFUNCTION("IFERROR((GOOGLEFINANCE($A92,""high52"")),"""")"),"")</f>
        <v/>
      </c>
      <c r="J92" s="48" t="str">
        <f>IFERROR(__xludf.DUMMYFUNCTION("IFERROR((sparkline(GOOGLEFINANCE($A92,""price"",TODAY()-365,TODAY(),""DAILY""),{""charttype"",""line"";""linewidth"",1;""color"",""#5f88cc""})),"""")"),"")</f>
        <v/>
      </c>
      <c r="K92" s="50" t="str">
        <f>IFERROR(__xludf.DUMMYFUNCTION("IFERROR((((GOOGLEFINANCE(A92))-(INDEX(GoogleFinance(A92,""PRICE"",$AP$1),2,2)))/(INDEX(GoogleFinance(A92,""PRICE"",$AP$1),2,2))),"""")"),"")</f>
        <v/>
      </c>
      <c r="L92" s="51">
        <f t="shared" si="1"/>
        <v>0</v>
      </c>
      <c r="M92" s="52">
        <f>IFERROR((VLOOKUP($A92,'Dados StatusInvest'!$A:$AZ,COLUMN(M92)-$A$5,0)*VLOOKUP($A92,'Dados StatusInvest'!$A:$AZ,2,0)/$F92/100),0)</f>
        <v>0</v>
      </c>
      <c r="N92" s="53">
        <f>IFERROR((VLOOKUP($A92,'Dados StatusInvest'!$A:$AZ,COLUMN(N92)-$A$5,0)/VLOOKUP($A92,'Dados StatusInvest'!$A:$AZ,2,0)*$F92),"")</f>
        <v>0</v>
      </c>
      <c r="O92" s="53">
        <f>IFERROR((VLOOKUP($A92,'Dados StatusInvest'!$A:$AZ,COLUMN(O92)-$A$5,0)/VLOOKUP($A92,'Dados StatusInvest'!$A:$AZ,2,0)*$F92),0)</f>
        <v>0</v>
      </c>
      <c r="P92" s="54">
        <f>IFERROR((VLOOKUP($A92,'Dados StatusInvest'!$A:$AZ,COLUMN(P92)-$A$5,0)/VLOOKUP($A92,'Dados StatusInvest'!$A:$AZ,2,0)*$F92),0)</f>
        <v>0</v>
      </c>
      <c r="Q92" s="55">
        <f>IFERROR((VLOOKUP($A92,'Dados StatusInvest'!$A:$AZ,COLUMN(Q92)-$A$5,0)/100),0)</f>
        <v>0</v>
      </c>
      <c r="R92" s="56">
        <f>VLOOKUP($A92,'Dados StatusInvest'!$A:$AZ,COLUMN(R92)-$A$5,0)</f>
        <v>0</v>
      </c>
      <c r="S92" s="56">
        <f>IFERROR((VLOOKUP($A92,'Dados StatusInvest'!$A:$AZ,COLUMN(S92)-$A$5,0)),0)</f>
        <v>0.39</v>
      </c>
      <c r="T92" s="53">
        <f>IFERROR((VLOOKUP($A92,'Dados StatusInvest'!$A:$AZ,COLUMN(T92)-$A$5,0)/VLOOKUP($A92,'Dados StatusInvest'!$A:$AZ,2,0)*$F92),0)</f>
        <v>0</v>
      </c>
      <c r="U92" s="53">
        <f>IFERROR((VLOOKUP($A92,'Dados StatusInvest'!$A:$AZ,COLUMN(U92)-$A$5,0)-VLOOKUP($A92,'Dados StatusInvest'!$A:$AZ,COLUMN(U92)-$A$5-1,0)+T92),0)</f>
        <v>-0.12</v>
      </c>
      <c r="V92" s="56">
        <f>IFERROR((VLOOKUP($A92,'Dados StatusInvest'!$A:$AZ,COLUMN(V92)-$A$5,0)),0)</f>
        <v>0</v>
      </c>
      <c r="W92" s="56">
        <f>IFERROR((VLOOKUP($A92,'Dados StatusInvest'!$A:$AZ,COLUMN(W92)-$A$5,0)),0)</f>
        <v>9.46</v>
      </c>
      <c r="X92" s="53">
        <f>IFERROR((VLOOKUP($A92,'Dados StatusInvest'!$A:$AZ,COLUMN(X92)-$A$5,0)/VLOOKUP($A92,'Dados StatusInvest'!$A:$AZ,2,0)*$F92),0)</f>
        <v>0</v>
      </c>
      <c r="Y92" s="54">
        <f>IFERROR((VLOOKUP($A92,'Dados StatusInvest'!$A:$AZ,COLUMN(Y92)-$A$5,0)/VLOOKUP($A92,'Dados StatusInvest'!$A:$AZ,2,0)*$F92),0)</f>
        <v>0</v>
      </c>
      <c r="Z92" s="56">
        <f>IFERROR((VLOOKUP($A92,'Dados StatusInvest'!$A:$AZ,COLUMN(Z92)-$A$5,0)),0)</f>
        <v>0.14</v>
      </c>
      <c r="AA92" s="57">
        <f>IFERROR((VLOOKUP($A92,'Dados StatusInvest'!$A:$AZ,COLUMN(AA92)-$A$5,0)),0)</f>
        <v>0.86</v>
      </c>
      <c r="AB92" s="57">
        <f>IFERROR((VLOOKUP($A92,'Dados StatusInvest'!$A:$AZ,COLUMN(AB92)-$A$5,0)),0)</f>
        <v>0.24</v>
      </c>
      <c r="AC92" s="58">
        <f>IFERROR((VLOOKUP($A92,'Dados StatusInvest'!$A:$AZ,COLUMN(AC92)-$A$5,0)),0)</f>
        <v>14.99</v>
      </c>
      <c r="AD92" s="57">
        <f>IFERROR((VLOOKUP($A92,'Dados StatusInvest'!$A:$AZ,COLUMN(AD92)-$A$5,0)),0)</f>
        <v>-18.89</v>
      </c>
      <c r="AE92" s="56">
        <f>IFERROR((VLOOKUP($A92,'Dados StatusInvest'!$A:$AZ,COLUMN(AE92)-$A$5,0)),0)</f>
        <v>0</v>
      </c>
      <c r="AF92" s="56">
        <f>IFERROR((VLOOKUP($A92,'Dados StatusInvest'!$A:$AZ,COLUMN(AF92)-$A$5,0)),0)</f>
        <v>66.71</v>
      </c>
      <c r="AG92" s="56">
        <f>IFERROR((VLOOKUP($A92,'Dados StatusInvest'!$A:$AZ,COLUMN(AG92)-$A$5,0)),0)</f>
        <v>6.31</v>
      </c>
      <c r="AH92" s="56">
        <f>IFERROR((VLOOKUP($A92,'Dados StatusInvest'!$A:$AZ,COLUMN(AH92)-$A$5,0)),0)</f>
        <v>-0.11</v>
      </c>
      <c r="AI92" s="57">
        <f>IFERROR((VLOOKUP($A92,'Dados StatusInvest'!$A:$AZ,COLUMN(AI92)-$A$5,0)),0)</f>
        <v>1533769021</v>
      </c>
      <c r="AJ92" s="59" t="str">
        <f>IFERROR((VLOOKUP($A92,'Dados StatusInvest'!$A:$AZ,COLUMN(AJ92)-$A$5,0)),0)</f>
        <v/>
      </c>
      <c r="AK92" s="60" t="str">
        <f>IFERROR(__xludf.DUMMYFUNCTION("IFERROR(GOOGLEFINANCE($A92,""high""),"""")"),"")</f>
        <v/>
      </c>
      <c r="AL92" s="60" t="str">
        <f>IFERROR(__xludf.DUMMYFUNCTION("IFERROR(GOOGLEFINANCE($A92,""low""),"""")"),"")</f>
        <v/>
      </c>
      <c r="AM92" s="61">
        <f t="shared" si="2"/>
        <v>0</v>
      </c>
      <c r="AN92" s="62">
        <f>IFERROR(__xludf.DUMMYFUNCTION("IFERROR((GOOGLEFINANCE($A92,""volume"")),0)"),0.0)</f>
        <v>0</v>
      </c>
      <c r="AO92" s="60" t="str">
        <f>IFERROR(__xludf.DUMMYFUNCTION("IFERROR((GOOGLEFINANCE($A92,""closeyest"")),"""")"),"")</f>
        <v/>
      </c>
      <c r="AP92" s="60" t="str">
        <f>IFERROR(__xludf.DUMMYFUNCTION("IFERROR((GOOGLEFINANCE($A92,""shares"")),"""")"),"")</f>
        <v/>
      </c>
      <c r="AQ92" s="18"/>
    </row>
    <row r="93">
      <c r="A93" s="45" t="str">
        <f>'Dados StatusInvest'!A88:A707</f>
        <v>BPHA3</v>
      </c>
      <c r="B93" s="46" t="str">
        <f>IFERROR(__xludf.DUMMYFUNCTION("IFERROR((GOOGLEFINANCE(A93,""name"")),"""")"),"")</f>
        <v/>
      </c>
      <c r="C93" s="46" t="str">
        <f>IFERROR((VLOOKUP(LEFT($A93,4),Setor!$A:$E,3,0)),"")</f>
        <v/>
      </c>
      <c r="D93" s="46" t="str">
        <f>IFERROR((VLOOKUP(LEFT($A93,4),Setor!$A:$E,4,0)),"")</f>
        <v/>
      </c>
      <c r="E93" s="46" t="str">
        <f>IFERROR((VLOOKUP(LEFT($A93,4),Setor!$A:$E,5,0)),"")</f>
        <v/>
      </c>
      <c r="F93" s="47" t="str">
        <f>IFERROR(__xludf.DUMMYFUNCTION("IFERROR((GOOGLEFINANCE(A93)),"""")"),"")</f>
        <v/>
      </c>
      <c r="G93" s="48" t="str">
        <f>IFERROR(__xludf.DUMMYFUNCTION("IFERROR((sparkline(GOOGLEFINANCE($A93,""price"",TODAY()-30,TODAY(),""DAILY""),{""charttype"",""line"";""linewidth"",1;""color"",""#5f88cc""})),"""")"),"")</f>
        <v/>
      </c>
      <c r="H93" s="49" t="str">
        <f>IFERROR(__xludf.DUMMYFUNCTION("IFERROR((((GOOGLEFINANCE(A93))-(INDEX(GoogleFinance(A93,""PRICE"",$AQ$1),2,2)))/(INDEX(GoogleFinance(A93,""PRICE"",$AQ$1),2,2))),"""")"),"")</f>
        <v/>
      </c>
      <c r="I93" s="47" t="str">
        <f>IFERROR(__xludf.DUMMYFUNCTION("IFERROR((GOOGLEFINANCE($A93,""high52"")),"""")"),"")</f>
        <v/>
      </c>
      <c r="J93" s="48" t="str">
        <f>IFERROR(__xludf.DUMMYFUNCTION("IFERROR((sparkline(GOOGLEFINANCE($A93,""price"",TODAY()-365,TODAY(),""DAILY""),{""charttype"",""line"";""linewidth"",1;""color"",""#5f88cc""})),"""")"),"")</f>
        <v/>
      </c>
      <c r="K93" s="50" t="str">
        <f>IFERROR(__xludf.DUMMYFUNCTION("IFERROR((((GOOGLEFINANCE(A93))-(INDEX(GoogleFinance(A93,""PRICE"",$AP$1),2,2)))/(INDEX(GoogleFinance(A93,""PRICE"",$AP$1),2,2))),"""")"),"")</f>
        <v/>
      </c>
      <c r="L93" s="51">
        <f t="shared" si="1"/>
        <v>0</v>
      </c>
      <c r="M93" s="52">
        <f>IFERROR((VLOOKUP($A93,'Dados StatusInvest'!$A:$AZ,COLUMN(M93)-$A$5,0)*VLOOKUP($A93,'Dados StatusInvest'!$A:$AZ,2,0)/$F93/100),0)</f>
        <v>0</v>
      </c>
      <c r="N93" s="53">
        <f>IFERROR((VLOOKUP($A93,'Dados StatusInvest'!$A:$AZ,COLUMN(N93)-$A$5,0)/VLOOKUP($A93,'Dados StatusInvest'!$A:$AZ,2,0)*$F93),"")</f>
        <v>0</v>
      </c>
      <c r="O93" s="53">
        <f>IFERROR((VLOOKUP($A93,'Dados StatusInvest'!$A:$AZ,COLUMN(O93)-$A$5,0)/VLOOKUP($A93,'Dados StatusInvest'!$A:$AZ,2,0)*$F93),0)</f>
        <v>0</v>
      </c>
      <c r="P93" s="54">
        <f>IFERROR((VLOOKUP($A93,'Dados StatusInvest'!$A:$AZ,COLUMN(P93)-$A$5,0)/VLOOKUP($A93,'Dados StatusInvest'!$A:$AZ,2,0)*$F93),0)</f>
        <v>0</v>
      </c>
      <c r="Q93" s="55">
        <f>IFERROR((VLOOKUP($A93,'Dados StatusInvest'!$A:$AZ,COLUMN(Q93)-$A$5,0)/100),0)</f>
        <v>0.0085</v>
      </c>
      <c r="R93" s="56">
        <f>VLOOKUP($A93,'Dados StatusInvest'!$A:$AZ,COLUMN(R93)-$A$5,0)</f>
        <v>0</v>
      </c>
      <c r="S93" s="56">
        <f>IFERROR((VLOOKUP($A93,'Dados StatusInvest'!$A:$AZ,COLUMN(S93)-$A$5,0)),0)</f>
        <v>8.28</v>
      </c>
      <c r="T93" s="53">
        <f>IFERROR((VLOOKUP($A93,'Dados StatusInvest'!$A:$AZ,COLUMN(T93)-$A$5,0)/VLOOKUP($A93,'Dados StatusInvest'!$A:$AZ,2,0)*$F93),0)</f>
        <v>0</v>
      </c>
      <c r="U93" s="53">
        <f>IFERROR((VLOOKUP($A93,'Dados StatusInvest'!$A:$AZ,COLUMN(U93)-$A$5,0)-VLOOKUP($A93,'Dados StatusInvest'!$A:$AZ,COLUMN(U93)-$A$5-1,0)+T93),0)</f>
        <v>-0.8</v>
      </c>
      <c r="V93" s="56">
        <f>IFERROR((VLOOKUP($A93,'Dados StatusInvest'!$A:$AZ,COLUMN(V93)-$A$5,0)),0)</f>
        <v>0.06</v>
      </c>
      <c r="W93" s="56">
        <f>IFERROR((VLOOKUP($A93,'Dados StatusInvest'!$A:$AZ,COLUMN(W93)-$A$5,0)),0)</f>
        <v>-402.5</v>
      </c>
      <c r="X93" s="53">
        <f>IFERROR((VLOOKUP($A93,'Dados StatusInvest'!$A:$AZ,COLUMN(X93)-$A$5,0)/VLOOKUP($A93,'Dados StatusInvest'!$A:$AZ,2,0)*$F93),0)</f>
        <v>0</v>
      </c>
      <c r="Y93" s="54">
        <f>IFERROR((VLOOKUP($A93,'Dados StatusInvest'!$A:$AZ,COLUMN(Y93)-$A$5,0)/VLOOKUP($A93,'Dados StatusInvest'!$A:$AZ,2,0)*$F93),0)</f>
        <v>0</v>
      </c>
      <c r="Z93" s="56">
        <f>IFERROR((VLOOKUP($A93,'Dados StatusInvest'!$A:$AZ,COLUMN(Z93)-$A$5,0)),0)</f>
        <v>-4.15</v>
      </c>
      <c r="AA93" s="57">
        <f>IFERROR((VLOOKUP($A93,'Dados StatusInvest'!$A:$AZ,COLUMN(AA93)-$A$5,0)),0)</f>
        <v>5.15</v>
      </c>
      <c r="AB93" s="57">
        <f>IFERROR((VLOOKUP($A93,'Dados StatusInvest'!$A:$AZ,COLUMN(AB93)-$A$5,0)),0)</f>
        <v>0.12</v>
      </c>
      <c r="AC93" s="58">
        <f>IFERROR((VLOOKUP($A93,'Dados StatusInvest'!$A:$AZ,COLUMN(AC93)-$A$5,0)),0)</f>
        <v>-68.85</v>
      </c>
      <c r="AD93" s="57">
        <f>IFERROR((VLOOKUP($A93,'Dados StatusInvest'!$A:$AZ,COLUMN(AD93)-$A$5,0)),0)</f>
        <v>0</v>
      </c>
      <c r="AE93" s="56">
        <f>IFERROR((VLOOKUP($A93,'Dados StatusInvest'!$A:$AZ,COLUMN(AE93)-$A$5,0)),0)</f>
        <v>0</v>
      </c>
      <c r="AF93" s="56">
        <f>IFERROR((VLOOKUP($A93,'Dados StatusInvest'!$A:$AZ,COLUMN(AF93)-$A$5,0)),0)</f>
        <v>-2.58</v>
      </c>
      <c r="AG93" s="56">
        <f>IFERROR((VLOOKUP($A93,'Dados StatusInvest'!$A:$AZ,COLUMN(AG93)-$A$5,0)),0)</f>
        <v>10.4</v>
      </c>
      <c r="AH93" s="56">
        <f>IFERROR((VLOOKUP($A93,'Dados StatusInvest'!$A:$AZ,COLUMN(AH93)-$A$5,0)),0)</f>
        <v>0</v>
      </c>
      <c r="AI93" s="57">
        <f>IFERROR((VLOOKUP($A93,'Dados StatusInvest'!$A:$AZ,COLUMN(AI93)-$A$5,0)),0)</f>
        <v>70110298.74</v>
      </c>
      <c r="AJ93" s="59" t="str">
        <f>IFERROR((VLOOKUP($A93,'Dados StatusInvest'!$A:$AZ,COLUMN(AJ93)-$A$5,0)),0)</f>
        <v/>
      </c>
      <c r="AK93" s="60" t="str">
        <f>IFERROR(__xludf.DUMMYFUNCTION("IFERROR(GOOGLEFINANCE($A93,""high""),"""")"),"")</f>
        <v/>
      </c>
      <c r="AL93" s="60" t="str">
        <f>IFERROR(__xludf.DUMMYFUNCTION("IFERROR(GOOGLEFINANCE($A93,""low""),"""")"),"")</f>
        <v/>
      </c>
      <c r="AM93" s="61">
        <f t="shared" si="2"/>
        <v>0</v>
      </c>
      <c r="AN93" s="62">
        <f>IFERROR(__xludf.DUMMYFUNCTION("IFERROR((GOOGLEFINANCE($A93,""volume"")),0)"),0.0)</f>
        <v>0</v>
      </c>
      <c r="AO93" s="60" t="str">
        <f>IFERROR(__xludf.DUMMYFUNCTION("IFERROR((GOOGLEFINANCE($A93,""closeyest"")),"""")"),"")</f>
        <v/>
      </c>
      <c r="AP93" s="60" t="str">
        <f>IFERROR(__xludf.DUMMYFUNCTION("IFERROR((GOOGLEFINANCE($A93,""shares"")),"""")"),"")</f>
        <v/>
      </c>
      <c r="AQ93" s="18"/>
    </row>
    <row r="94">
      <c r="A94" s="45" t="str">
        <f>'Dados StatusInvest'!A89:A708</f>
        <v>BRAP3</v>
      </c>
      <c r="B94" s="46" t="str">
        <f>IFERROR(__xludf.DUMMYFUNCTION("IFERROR((GOOGLEFINANCE(A94,""name"")),"""")"),"Bradespar SA")</f>
        <v>Bradespar SA</v>
      </c>
      <c r="C94" s="46" t="str">
        <f>IFERROR((VLOOKUP(LEFT($A94,4),Setor!$A:$E,3,0)),"")</f>
        <v>Materiais Básicos</v>
      </c>
      <c r="D94" s="46" t="str">
        <f>IFERROR((VLOOKUP(LEFT($A94,4),Setor!$A:$E,4,0)),"")</f>
        <v>Mineração</v>
      </c>
      <c r="E94" s="46" t="str">
        <f>IFERROR((VLOOKUP(LEFT($A94,4),Setor!$A:$E,5,0)),"")</f>
        <v>Minerais Metálicos</v>
      </c>
      <c r="F94" s="47">
        <f>IFERROR(__xludf.DUMMYFUNCTION("IFERROR((GOOGLEFINANCE(A94)),"""")"),19.89)</f>
        <v>19.89</v>
      </c>
      <c r="G94" s="48" t="str">
        <f>IFERROR(__xludf.DUMMYFUNCTION("IFERROR((sparkline(GOOGLEFINANCE($A94,""price"",TODAY()-30,TODAY(),""DAILY""),{""charttype"",""line"";""linewidth"",1;""color"",""#5f88cc""})),"""")"),"")</f>
        <v/>
      </c>
      <c r="H94" s="49">
        <f>IFERROR(__xludf.DUMMYFUNCTION("IFERROR((((GOOGLEFINANCE(A94))-(INDEX(GoogleFinance(A94,""PRICE"",$AQ$1),2,2)))/(INDEX(GoogleFinance(A94,""PRICE"",$AQ$1),2,2))),"""")"),-0.019714144898964937)</f>
        <v>-0.0197141449</v>
      </c>
      <c r="I94" s="47">
        <f>IFERROR(__xludf.DUMMYFUNCTION("IFERROR((GOOGLEFINANCE($A94,""high52"")),"""")"),22.11)</f>
        <v>22.11</v>
      </c>
      <c r="J94" s="48" t="str">
        <f>IFERROR(__xludf.DUMMYFUNCTION("IFERROR((sparkline(GOOGLEFINANCE($A94,""price"",TODAY()-365,TODAY(),""DAILY""),{""charttype"",""line"";""linewidth"",1;""color"",""#5f88cc""})),"""")"),"")</f>
        <v/>
      </c>
      <c r="K94" s="50">
        <f>IFERROR(__xludf.DUMMYFUNCTION("IFERROR((((GOOGLEFINANCE(A94))-(INDEX(GoogleFinance(A94,""PRICE"",$AP$1),2,2)))/(INDEX(GoogleFinance(A94,""PRICE"",$AP$1),2,2))),"""")"),0.25726927939317323)</f>
        <v>0.2572692794</v>
      </c>
      <c r="L94" s="51">
        <f t="shared" si="1"/>
        <v>-0.1004070556</v>
      </c>
      <c r="M94" s="52">
        <f>IFERROR((VLOOKUP($A94,'Dados StatusInvest'!$A:$AZ,COLUMN(M94)-$A$5,0)*VLOOKUP($A94,'Dados StatusInvest'!$A:$AZ,2,0)/$F94/100),0)</f>
        <v>0</v>
      </c>
      <c r="N94" s="53">
        <f>IFERROR((VLOOKUP($A94,'Dados StatusInvest'!$A:$AZ,COLUMN(N94)-$A$5,0)/VLOOKUP($A94,'Dados StatusInvest'!$A:$AZ,2,0)*$F94),"")</f>
        <v>0</v>
      </c>
      <c r="O94" s="53">
        <f>IFERROR((VLOOKUP($A94,'Dados StatusInvest'!$A:$AZ,COLUMN(O94)-$A$5,0)/VLOOKUP($A94,'Dados StatusInvest'!$A:$AZ,2,0)*$F94),0)</f>
        <v>7.450035053</v>
      </c>
      <c r="P94" s="54">
        <f>IFERROR((VLOOKUP($A94,'Dados StatusInvest'!$A:$AZ,COLUMN(P94)-$A$5,0)/VLOOKUP($A94,'Dados StatusInvest'!$A:$AZ,2,0)*$F94),0)</f>
        <v>7.74883325</v>
      </c>
      <c r="Q94" s="55">
        <f>IFERROR((VLOOKUP($A94,'Dados StatusInvest'!$A:$AZ,COLUMN(Q94)-$A$5,0)/100),0)</f>
        <v>-0.0051</v>
      </c>
      <c r="R94" s="56">
        <f>VLOOKUP($A94,'Dados StatusInvest'!$A:$AZ,COLUMN(R94)-$A$5,0)</f>
        <v>-0.06</v>
      </c>
      <c r="S94" s="56">
        <f>IFERROR((VLOOKUP($A94,'Dados StatusInvest'!$A:$AZ,COLUMN(S94)-$A$5,0)),0)</f>
        <v>0</v>
      </c>
      <c r="T94" s="53">
        <f>IFERROR((VLOOKUP($A94,'Dados StatusInvest'!$A:$AZ,COLUMN(T94)-$A$5,0)/VLOOKUP($A94,'Dados StatusInvest'!$A:$AZ,2,0)*$F94),0)</f>
        <v>17.65897346</v>
      </c>
      <c r="U94" s="53">
        <f>IFERROR((VLOOKUP($A94,'Dados StatusInvest'!$A:$AZ,COLUMN(U94)-$A$5,0)-VLOOKUP($A94,'Dados StatusInvest'!$A:$AZ,COLUMN(U94)-$A$5-1,0)+T94),0)</f>
        <v>-0.9710265398</v>
      </c>
      <c r="V94" s="56">
        <f>IFERROR((VLOOKUP($A94,'Dados StatusInvest'!$A:$AZ,COLUMN(V94)-$A$5,0)),0)</f>
        <v>5.95</v>
      </c>
      <c r="W94" s="56">
        <f>IFERROR((VLOOKUP($A94,'Dados StatusInvest'!$A:$AZ,COLUMN(W94)-$A$5,0)),0)</f>
        <v>12.38</v>
      </c>
      <c r="X94" s="53">
        <f>IFERROR((VLOOKUP($A94,'Dados StatusInvest'!$A:$AZ,COLUMN(X94)-$A$5,0)/VLOOKUP($A94,'Dados StatusInvest'!$A:$AZ,2,0)*$F94),0)</f>
        <v>12.20092639</v>
      </c>
      <c r="Y94" s="54">
        <f>IFERROR((VLOOKUP($A94,'Dados StatusInvest'!$A:$AZ,COLUMN(Y94)-$A$5,0)/VLOOKUP($A94,'Dados StatusInvest'!$A:$AZ,2,0)*$F94),0)</f>
        <v>11.36429144</v>
      </c>
      <c r="Z94" s="56">
        <f>IFERROR((VLOOKUP($A94,'Dados StatusInvest'!$A:$AZ,COLUMN(Z94)-$A$5,0)),0)</f>
        <v>0.99</v>
      </c>
      <c r="AA94" s="57">
        <f>IFERROR((VLOOKUP($A94,'Dados StatusInvest'!$A:$AZ,COLUMN(AA94)-$A$5,0)),0)</f>
        <v>0.01</v>
      </c>
      <c r="AB94" s="57">
        <f>IFERROR((VLOOKUP($A94,'Dados StatusInvest'!$A:$AZ,COLUMN(AB94)-$A$5,0)),0)</f>
        <v>0</v>
      </c>
      <c r="AC94" s="58">
        <f>IFERROR((VLOOKUP($A94,'Dados StatusInvest'!$A:$AZ,COLUMN(AC94)-$A$5,0)),0)</f>
        <v>0</v>
      </c>
      <c r="AD94" s="57">
        <f>IFERROR((VLOOKUP($A94,'Dados StatusInvest'!$A:$AZ,COLUMN(AD94)-$A$5,0)),0)</f>
        <v>0</v>
      </c>
      <c r="AE94" s="56">
        <f>IFERROR((VLOOKUP($A94,'Dados StatusInvest'!$A:$AZ,COLUMN(AE94)-$A$5,0)),0)</f>
        <v>2234925</v>
      </c>
      <c r="AF94" s="56">
        <f>IFERROR((VLOOKUP($A94,'Dados StatusInvest'!$A:$AZ,COLUMN(AF94)-$A$5,0)),0)</f>
        <v>23.21</v>
      </c>
      <c r="AG94" s="56">
        <f>IFERROR((VLOOKUP($A94,'Dados StatusInvest'!$A:$AZ,COLUMN(AG94)-$A$5,0)),0)</f>
        <v>2.87</v>
      </c>
      <c r="AH94" s="56">
        <f>IFERROR((VLOOKUP($A94,'Dados StatusInvest'!$A:$AZ,COLUMN(AH94)-$A$5,0)),0)</f>
        <v>-0.19</v>
      </c>
      <c r="AI94" s="57">
        <f>IFERROR((VLOOKUP($A94,'Dados StatusInvest'!$A:$AZ,COLUMN(AI94)-$A$5,0)),0)</f>
        <v>8697093586</v>
      </c>
      <c r="AJ94" s="59" t="str">
        <f>IFERROR((VLOOKUP($A94,'Dados StatusInvest'!$A:$AZ,COLUMN(AJ94)-$A$5,0)),0)</f>
        <v/>
      </c>
      <c r="AK94" s="60">
        <f>IFERROR(__xludf.DUMMYFUNCTION("IFERROR(GOOGLEFINANCE($A94,""high""),"""")"),19.99)</f>
        <v>19.99</v>
      </c>
      <c r="AL94" s="60">
        <f>IFERROR(__xludf.DUMMYFUNCTION("IFERROR(GOOGLEFINANCE($A94,""low""),"""")"),19.81)</f>
        <v>19.81</v>
      </c>
      <c r="AM94" s="61">
        <f t="shared" si="2"/>
        <v>0.00908632004</v>
      </c>
      <c r="AN94" s="62">
        <f>IFERROR(__xludf.DUMMYFUNCTION("IFERROR((GOOGLEFINANCE($A94,""volume"")),0)"),7000.0)</f>
        <v>7000</v>
      </c>
      <c r="AO94" s="60">
        <f>IFERROR(__xludf.DUMMYFUNCTION("IFERROR((GOOGLEFINANCE($A94,""closeyest"")),"""")"),19.97)</f>
        <v>19.97</v>
      </c>
      <c r="AP94" s="60">
        <f>IFERROR(__xludf.DUMMYFUNCTION("IFERROR((GOOGLEFINANCE($A94,""shares"")),"""")"),1.37989898E8)</f>
        <v>137989898</v>
      </c>
      <c r="AQ94" s="18"/>
    </row>
    <row r="95">
      <c r="A95" s="45" t="str">
        <f>'Dados StatusInvest'!A90:A709</f>
        <v>BRAP4</v>
      </c>
      <c r="B95" s="46" t="str">
        <f>IFERROR(__xludf.DUMMYFUNCTION("IFERROR((GOOGLEFINANCE(A95,""name"")),"""")"),"Bradespar SA Preference Shares")</f>
        <v>Bradespar SA Preference Shares</v>
      </c>
      <c r="C95" s="46" t="str">
        <f>IFERROR((VLOOKUP(LEFT($A95,4),Setor!$A:$E,3,0)),"")</f>
        <v>Materiais Básicos</v>
      </c>
      <c r="D95" s="46" t="str">
        <f>IFERROR((VLOOKUP(LEFT($A95,4),Setor!$A:$E,4,0)),"")</f>
        <v>Mineração</v>
      </c>
      <c r="E95" s="46" t="str">
        <f>IFERROR((VLOOKUP(LEFT($A95,4),Setor!$A:$E,5,0)),"")</f>
        <v>Minerais Metálicos</v>
      </c>
      <c r="F95" s="47">
        <f>IFERROR(__xludf.DUMMYFUNCTION("IFERROR((GOOGLEFINANCE(A95)),"""")"),23.03)</f>
        <v>23.03</v>
      </c>
      <c r="G95" s="48" t="str">
        <f>IFERROR(__xludf.DUMMYFUNCTION("IFERROR((sparkline(GOOGLEFINANCE($A95,""price"",TODAY()-30,TODAY(),""DAILY""),{""charttype"",""line"";""linewidth"",1;""color"",""#5f88cc""})),"""")"),"")</f>
        <v/>
      </c>
      <c r="H95" s="49">
        <f>IFERROR(__xludf.DUMMYFUNCTION("IFERROR((((GOOGLEFINANCE(A95))-(INDEX(GoogleFinance(A95,""PRICE"",$AQ$1),2,2)))/(INDEX(GoogleFinance(A95,""PRICE"",$AQ$1),2,2))),"""")"),-0.003461704889658083)</f>
        <v>-0.00346170489</v>
      </c>
      <c r="I95" s="47">
        <f>IFERROR(__xludf.DUMMYFUNCTION("IFERROR((GOOGLEFINANCE($A95,""high52"")),"""")"),25.46)</f>
        <v>25.46</v>
      </c>
      <c r="J95" s="48" t="str">
        <f>IFERROR(__xludf.DUMMYFUNCTION("IFERROR((sparkline(GOOGLEFINANCE($A95,""price"",TODAY()-365,TODAY(),""DAILY""),{""charttype"",""line"";""linewidth"",1;""color"",""#5f88cc""})),"""")"),"")</f>
        <v/>
      </c>
      <c r="K95" s="50">
        <f>IFERROR(__xludf.DUMMYFUNCTION("IFERROR((((GOOGLEFINANCE(A95))-(INDEX(GoogleFinance(A95,""PRICE"",$AP$1),2,2)))/(INDEX(GoogleFinance(A95,""PRICE"",$AP$1),2,2))),"""")"),0.33198380566801633)</f>
        <v>0.3319838057</v>
      </c>
      <c r="L95" s="51">
        <f t="shared" si="1"/>
        <v>-0.09544383346</v>
      </c>
      <c r="M95" s="52">
        <f>IFERROR((VLOOKUP($A95,'Dados StatusInvest'!$A:$AZ,COLUMN(M95)-$A$5,0)*VLOOKUP($A95,'Dados StatusInvest'!$A:$AZ,2,0)/$F95/100),0)</f>
        <v>0</v>
      </c>
      <c r="N95" s="53">
        <f>IFERROR((VLOOKUP($A95,'Dados StatusInvest'!$A:$AZ,COLUMN(N95)-$A$5,0)/VLOOKUP($A95,'Dados StatusInvest'!$A:$AZ,2,0)*$F95),"")</f>
        <v>0</v>
      </c>
      <c r="O95" s="53">
        <f>IFERROR((VLOOKUP($A95,'Dados StatusInvest'!$A:$AZ,COLUMN(O95)-$A$5,0)/VLOOKUP($A95,'Dados StatusInvest'!$A:$AZ,2,0)*$F95),0)</f>
        <v>8.632541863</v>
      </c>
      <c r="P95" s="54">
        <f>IFERROR((VLOOKUP($A95,'Dados StatusInvest'!$A:$AZ,COLUMN(P95)-$A$5,0)/VLOOKUP($A95,'Dados StatusInvest'!$A:$AZ,2,0)*$F95),0)</f>
        <v>7.693147274</v>
      </c>
      <c r="Q95" s="55">
        <f>IFERROR((VLOOKUP($A95,'Dados StatusInvest'!$A:$AZ,COLUMN(Q95)-$A$5,0)/100),0)</f>
        <v>-0.0051</v>
      </c>
      <c r="R95" s="56">
        <f>VLOOKUP($A95,'Dados StatusInvest'!$A:$AZ,COLUMN(R95)-$A$5,0)</f>
        <v>-0.06</v>
      </c>
      <c r="S95" s="56">
        <f>IFERROR((VLOOKUP($A95,'Dados StatusInvest'!$A:$AZ,COLUMN(S95)-$A$5,0)),0)</f>
        <v>0</v>
      </c>
      <c r="T95" s="53">
        <f>IFERROR((VLOOKUP($A95,'Dados StatusInvest'!$A:$AZ,COLUMN(T95)-$A$5,0)/VLOOKUP($A95,'Dados StatusInvest'!$A:$AZ,2,0)*$F95),0)</f>
        <v>20.4392486</v>
      </c>
      <c r="U95" s="53">
        <f>IFERROR((VLOOKUP($A95,'Dados StatusInvest'!$A:$AZ,COLUMN(U95)-$A$5,0)-VLOOKUP($A95,'Dados StatusInvest'!$A:$AZ,COLUMN(U95)-$A$5-1,0)+T95),0)</f>
        <v>-1.280751395</v>
      </c>
      <c r="V95" s="56">
        <f>IFERROR((VLOOKUP($A95,'Dados StatusInvest'!$A:$AZ,COLUMN(V95)-$A$5,0)),0)</f>
        <v>5.95</v>
      </c>
      <c r="W95" s="56">
        <f>IFERROR((VLOOKUP($A95,'Dados StatusInvest'!$A:$AZ,COLUMN(W95)-$A$5,0)),0)</f>
        <v>12.38</v>
      </c>
      <c r="X95" s="53">
        <f>IFERROR((VLOOKUP($A95,'Dados StatusInvest'!$A:$AZ,COLUMN(X95)-$A$5,0)/VLOOKUP($A95,'Dados StatusInvest'!$A:$AZ,2,0)*$F95),0)</f>
        <v>12.11324603</v>
      </c>
      <c r="Y95" s="54">
        <f>IFERROR((VLOOKUP($A95,'Dados StatusInvest'!$A:$AZ,COLUMN(Y95)-$A$5,0)/VLOOKUP($A95,'Dados StatusInvest'!$A:$AZ,2,0)*$F95),0)</f>
        <v>11.28262344</v>
      </c>
      <c r="Z95" s="56">
        <f>IFERROR((VLOOKUP($A95,'Dados StatusInvest'!$A:$AZ,COLUMN(Z95)-$A$5,0)),0)</f>
        <v>0.99</v>
      </c>
      <c r="AA95" s="57">
        <f>IFERROR((VLOOKUP($A95,'Dados StatusInvest'!$A:$AZ,COLUMN(AA95)-$A$5,0)),0)</f>
        <v>0.01</v>
      </c>
      <c r="AB95" s="57">
        <f>IFERROR((VLOOKUP($A95,'Dados StatusInvest'!$A:$AZ,COLUMN(AB95)-$A$5,0)),0)</f>
        <v>0</v>
      </c>
      <c r="AC95" s="58">
        <f>IFERROR((VLOOKUP($A95,'Dados StatusInvest'!$A:$AZ,COLUMN(AC95)-$A$5,0)),0)</f>
        <v>0</v>
      </c>
      <c r="AD95" s="57">
        <f>IFERROR((VLOOKUP($A95,'Dados StatusInvest'!$A:$AZ,COLUMN(AD95)-$A$5,0)),0)</f>
        <v>0</v>
      </c>
      <c r="AE95" s="56">
        <f>IFERROR((VLOOKUP($A95,'Dados StatusInvest'!$A:$AZ,COLUMN(AE95)-$A$5,0)),0)</f>
        <v>89738896</v>
      </c>
      <c r="AF95" s="56">
        <f>IFERROR((VLOOKUP($A95,'Dados StatusInvest'!$A:$AZ,COLUMN(AF95)-$A$5,0)),0)</f>
        <v>23.21</v>
      </c>
      <c r="AG95" s="56">
        <f>IFERROR((VLOOKUP($A95,'Dados StatusInvest'!$A:$AZ,COLUMN(AG95)-$A$5,0)),0)</f>
        <v>2.87</v>
      </c>
      <c r="AH95" s="56">
        <f>IFERROR((VLOOKUP($A95,'Dados StatusInvest'!$A:$AZ,COLUMN(AH95)-$A$5,0)),0)</f>
        <v>-0.22</v>
      </c>
      <c r="AI95" s="57">
        <f>IFERROR((VLOOKUP($A95,'Dados StatusInvest'!$A:$AZ,COLUMN(AI95)-$A$5,0)),0)</f>
        <v>8697093586</v>
      </c>
      <c r="AJ95" s="59" t="str">
        <f>IFERROR((VLOOKUP($A95,'Dados StatusInvest'!$A:$AZ,COLUMN(AJ95)-$A$5,0)),0)</f>
        <v/>
      </c>
      <c r="AK95" s="60">
        <f>IFERROR(__xludf.DUMMYFUNCTION("IFERROR(GOOGLEFINANCE($A95,""high""),"""")"),23.11)</f>
        <v>23.11</v>
      </c>
      <c r="AL95" s="60">
        <f>IFERROR(__xludf.DUMMYFUNCTION("IFERROR(GOOGLEFINANCE($A95,""low""),"""")"),22.95)</f>
        <v>22.95</v>
      </c>
      <c r="AM95" s="61">
        <f t="shared" si="2"/>
        <v>0.00697167756</v>
      </c>
      <c r="AN95" s="62">
        <f>IFERROR(__xludf.DUMMYFUNCTION("IFERROR((GOOGLEFINANCE($A95,""volume"")),0)"),135900.0)</f>
        <v>135900</v>
      </c>
      <c r="AO95" s="60">
        <f>IFERROR(__xludf.DUMMYFUNCTION("IFERROR((GOOGLEFINANCE($A95,""closeyest"")),"""")"),23.29)</f>
        <v>23.29</v>
      </c>
      <c r="AP95" s="60">
        <f>IFERROR(__xludf.DUMMYFUNCTION("IFERROR((GOOGLEFINANCE($A95,""shares"")),"""")"),2.55106712E8)</f>
        <v>255106712</v>
      </c>
      <c r="AQ95" s="18"/>
    </row>
    <row r="96">
      <c r="A96" s="45" t="str">
        <f>'Dados StatusInvest'!A91:A710</f>
        <v>BRAV3</v>
      </c>
      <c r="B96" s="46" t="str">
        <f>IFERROR(__xludf.DUMMYFUNCTION("IFERROR((GOOGLEFINANCE(A96,""name"")),"""")"),"Brava Energia SA")</f>
        <v>Brava Energia SA</v>
      </c>
      <c r="C96" s="46" t="str">
        <f>IFERROR((VLOOKUP(LEFT($A96,4),Setor!$A:$E,3,0)),"")</f>
        <v/>
      </c>
      <c r="D96" s="46" t="str">
        <f>IFERROR((VLOOKUP(LEFT($A96,4),Setor!$A:$E,4,0)),"")</f>
        <v/>
      </c>
      <c r="E96" s="46" t="str">
        <f>IFERROR((VLOOKUP(LEFT($A96,4),Setor!$A:$E,5,0)),"")</f>
        <v/>
      </c>
      <c r="F96" s="47">
        <f>IFERROR(__xludf.DUMMYFUNCTION("IFERROR((GOOGLEFINANCE(A96)),"""")"),18.71)</f>
        <v>18.71</v>
      </c>
      <c r="G96" s="48" t="str">
        <f>IFERROR(__xludf.DUMMYFUNCTION("IFERROR((sparkline(GOOGLEFINANCE($A96,""price"",TODAY()-30,TODAY(),""DAILY""),{""charttype"",""line"";""linewidth"",1;""color"",""#5f88cc""})),"""")"),"")</f>
        <v/>
      </c>
      <c r="H96" s="49">
        <f>IFERROR(__xludf.DUMMYFUNCTION("IFERROR((((GOOGLEFINANCE(A96))-(INDEX(GoogleFinance(A96,""PRICE"",$AQ$1),2,2)))/(INDEX(GoogleFinance(A96,""PRICE"",$AQ$1),2,2))),"""")"),0.0546786922209697)</f>
        <v>0.05467869222</v>
      </c>
      <c r="I96" s="47">
        <f>IFERROR(__xludf.DUMMYFUNCTION("IFERROR((GOOGLEFINANCE($A96,""high52"")),"""")"),23.7)</f>
        <v>23.7</v>
      </c>
      <c r="J96" s="48" t="str">
        <f>IFERROR(__xludf.DUMMYFUNCTION("IFERROR((sparkline(GOOGLEFINANCE($A96,""price"",TODAY()-365,TODAY(),""DAILY""),{""charttype"",""line"";""linewidth"",1;""color"",""#5f88cc""})),"""")"),"")</f>
        <v/>
      </c>
      <c r="K96" s="50">
        <f>IFERROR(__xludf.DUMMYFUNCTION("IFERROR((((GOOGLEFINANCE(A96))-(INDEX(GoogleFinance(A96,""PRICE"",$AP$1),2,2)))/(INDEX(GoogleFinance(A96,""PRICE"",$AP$1),2,2))),"""")"),-0.03952772073921969)</f>
        <v>-0.03952772074</v>
      </c>
      <c r="L96" s="51">
        <f t="shared" si="1"/>
        <v>-0.2105485232</v>
      </c>
      <c r="M96" s="52">
        <f>IFERROR((VLOOKUP($A96,'Dados StatusInvest'!$A:$AZ,COLUMN(M96)-$A$5,0)*VLOOKUP($A96,'Dados StatusInvest'!$A:$AZ,2,0)/$F96/100),0)</f>
        <v>0.2367790486</v>
      </c>
      <c r="N96" s="53">
        <f>IFERROR((VLOOKUP($A96,'Dados StatusInvest'!$A:$AZ,COLUMN(N96)-$A$5,0)/VLOOKUP($A96,'Dados StatusInvest'!$A:$AZ,2,0)*$F96),"")</f>
        <v>8.795896478</v>
      </c>
      <c r="O96" s="53">
        <f>IFERROR((VLOOKUP($A96,'Dados StatusInvest'!$A:$AZ,COLUMN(O96)-$A$5,0)/VLOOKUP($A96,'Dados StatusInvest'!$A:$AZ,2,0)*$F96),0)</f>
        <v>3.334653148</v>
      </c>
      <c r="P96" s="54">
        <f>IFERROR((VLOOKUP($A96,'Dados StatusInvest'!$A:$AZ,COLUMN(P96)-$A$5,0)/VLOOKUP($A96,'Dados StatusInvest'!$A:$AZ,2,0)*$F96),0)</f>
        <v>7.338233725</v>
      </c>
      <c r="Q96" s="55">
        <f>IFERROR((VLOOKUP($A96,'Dados StatusInvest'!$A:$AZ,COLUMN(Q96)-$A$5,0)/100),0)</f>
        <v>0.0401</v>
      </c>
      <c r="R96" s="56">
        <f>VLOOKUP($A96,'Dados StatusInvest'!$A:$AZ,COLUMN(R96)-$A$5,0)</f>
        <v>0.84</v>
      </c>
      <c r="S96" s="56">
        <f>IFERROR((VLOOKUP($A96,'Dados StatusInvest'!$A:$AZ,COLUMN(S96)-$A$5,0)),0)</f>
        <v>0.79</v>
      </c>
      <c r="T96" s="53">
        <f>IFERROR((VLOOKUP($A96,'Dados StatusInvest'!$A:$AZ,COLUMN(T96)-$A$5,0)/VLOOKUP($A96,'Dados StatusInvest'!$A:$AZ,2,0)*$F96),0)</f>
        <v>2.476029883</v>
      </c>
      <c r="U96" s="53">
        <f>IFERROR((VLOOKUP($A96,'Dados StatusInvest'!$A:$AZ,COLUMN(U96)-$A$5,0)-VLOOKUP($A96,'Dados StatusInvest'!$A:$AZ,COLUMN(U96)-$A$5-1,0)+T96),0)</f>
        <v>-0.2639701174</v>
      </c>
      <c r="V96" s="56">
        <f>IFERROR((VLOOKUP($A96,'Dados StatusInvest'!$A:$AZ,COLUMN(V96)-$A$5,0)),0)</f>
        <v>1.72</v>
      </c>
      <c r="W96" s="56">
        <f>IFERROR((VLOOKUP($A96,'Dados StatusInvest'!$A:$AZ,COLUMN(W96)-$A$5,0)),0)</f>
        <v>7.83</v>
      </c>
      <c r="X96" s="53">
        <f>IFERROR((VLOOKUP($A96,'Dados StatusInvest'!$A:$AZ,COLUMN(X96)-$A$5,0)/VLOOKUP($A96,'Dados StatusInvest'!$A:$AZ,2,0)*$F96),0)</f>
        <v>2.306302028</v>
      </c>
      <c r="Y96" s="54">
        <f>IFERROR((VLOOKUP($A96,'Dados StatusInvest'!$A:$AZ,COLUMN(Y96)-$A$5,0)/VLOOKUP($A96,'Dados StatusInvest'!$A:$AZ,2,0)*$F96),0)</f>
        <v>6.140154749</v>
      </c>
      <c r="Z96" s="56">
        <f>IFERROR((VLOOKUP($A96,'Dados StatusInvest'!$A:$AZ,COLUMN(Z96)-$A$5,0)),0)</f>
        <v>0.29</v>
      </c>
      <c r="AA96" s="57">
        <f>IFERROR((VLOOKUP($A96,'Dados StatusInvest'!$A:$AZ,COLUMN(AA96)-$A$5,0)),0)</f>
        <v>0.71</v>
      </c>
      <c r="AB96" s="57">
        <f>IFERROR((VLOOKUP($A96,'Dados StatusInvest'!$A:$AZ,COLUMN(AB96)-$A$5,0)),0)</f>
        <v>0.26</v>
      </c>
      <c r="AC96" s="58">
        <f>IFERROR((VLOOKUP($A96,'Dados StatusInvest'!$A:$AZ,COLUMN(AC96)-$A$5,0)),0)</f>
        <v>206.24</v>
      </c>
      <c r="AD96" s="57">
        <f>IFERROR((VLOOKUP($A96,'Dados StatusInvest'!$A:$AZ,COLUMN(AD96)-$A$5,0)),0)</f>
        <v>0</v>
      </c>
      <c r="AE96" s="56">
        <f>IFERROR((VLOOKUP($A96,'Dados StatusInvest'!$A:$AZ,COLUMN(AE96)-$A$5,0)),0)</f>
        <v>137000000</v>
      </c>
      <c r="AF96" s="56">
        <f>IFERROR((VLOOKUP($A96,'Dados StatusInvest'!$A:$AZ,COLUMN(AF96)-$A$5,0)),0)</f>
        <v>26.7</v>
      </c>
      <c r="AG96" s="56">
        <f>IFERROR((VLOOKUP($A96,'Dados StatusInvest'!$A:$AZ,COLUMN(AG96)-$A$5,0)),0)</f>
        <v>2.09</v>
      </c>
      <c r="AH96" s="56">
        <f>IFERROR((VLOOKUP($A96,'Dados StatusInvest'!$A:$AZ,COLUMN(AH96)-$A$5,0)),0)</f>
        <v>0.1</v>
      </c>
      <c r="AI96" s="57">
        <f>IFERROR((VLOOKUP($A96,'Dados StatusInvest'!$A:$AZ,COLUMN(AI96)-$A$5,0)),0)</f>
        <v>8705803202</v>
      </c>
      <c r="AJ96" s="59" t="str">
        <f>IFERROR((VLOOKUP($A96,'Dados StatusInvest'!$A:$AZ,COLUMN(AJ96)-$A$5,0)),0)</f>
        <v/>
      </c>
      <c r="AK96" s="60">
        <f>IFERROR(__xludf.DUMMYFUNCTION("IFERROR(GOOGLEFINANCE($A96,""high""),"""")"),18.73)</f>
        <v>18.73</v>
      </c>
      <c r="AL96" s="60">
        <f>IFERROR(__xludf.DUMMYFUNCTION("IFERROR(GOOGLEFINANCE($A96,""low""),"""")"),18.59)</f>
        <v>18.59</v>
      </c>
      <c r="AM96" s="61">
        <f t="shared" si="2"/>
        <v>0.007530930608</v>
      </c>
      <c r="AN96" s="62">
        <f>IFERROR(__xludf.DUMMYFUNCTION("IFERROR((GOOGLEFINANCE($A96,""volume"")),0)"),351200.0)</f>
        <v>351200</v>
      </c>
      <c r="AO96" s="60">
        <f>IFERROR(__xludf.DUMMYFUNCTION("IFERROR((GOOGLEFINANCE($A96,""closeyest"")),"""")"),18.74)</f>
        <v>18.74</v>
      </c>
      <c r="AP96" s="60">
        <f>IFERROR(__xludf.DUMMYFUNCTION("IFERROR((GOOGLEFINANCE($A96,""shares"")),"""")"),4.64557268E8)</f>
        <v>464557268</v>
      </c>
      <c r="AQ96" s="18"/>
    </row>
    <row r="97">
      <c r="A97" s="45" t="str">
        <f>'Dados StatusInvest'!A92:A711</f>
        <v>BRBI11</v>
      </c>
      <c r="B97" s="46" t="str">
        <f>IFERROR(__xludf.DUMMYFUNCTION("IFERROR((GOOGLEFINANCE(A97,""name"")),"""")"),"BRBI BR Partners SA")</f>
        <v>BRBI BR Partners SA</v>
      </c>
      <c r="C97" s="46" t="str">
        <f>IFERROR((VLOOKUP(LEFT($A97,4),Setor!$A:$E,3,0)),"")</f>
        <v/>
      </c>
      <c r="D97" s="46" t="str">
        <f>IFERROR((VLOOKUP(LEFT($A97,4),Setor!$A:$E,4,0)),"")</f>
        <v/>
      </c>
      <c r="E97" s="46" t="str">
        <f>IFERROR((VLOOKUP(LEFT($A97,4),Setor!$A:$E,5,0)),"")</f>
        <v/>
      </c>
      <c r="F97" s="47">
        <f>IFERROR(__xludf.DUMMYFUNCTION("IFERROR((GOOGLEFINANCE(A97)),"""")"),19.03)</f>
        <v>19.03</v>
      </c>
      <c r="G97" s="48" t="str">
        <f>IFERROR(__xludf.DUMMYFUNCTION("IFERROR((sparkline(GOOGLEFINANCE($A97,""price"",TODAY()-30,TODAY(),""DAILY""),{""charttype"",""line"";""linewidth"",1;""color"",""#5f88cc""})),"""")"),"")</f>
        <v/>
      </c>
      <c r="H97" s="49">
        <f>IFERROR(__xludf.DUMMYFUNCTION("IFERROR((((GOOGLEFINANCE(A97))-(INDEX(GoogleFinance(A97,""PRICE"",$AQ$1),2,2)))/(INDEX(GoogleFinance(A97,""PRICE"",$AQ$1),2,2))),"""")"),0.037057220708446845)</f>
        <v>0.03705722071</v>
      </c>
      <c r="I97" s="47">
        <f>IFERROR(__xludf.DUMMYFUNCTION("IFERROR((GOOGLEFINANCE($A97,""high52"")),"""")"),21.73)</f>
        <v>21.73</v>
      </c>
      <c r="J97" s="48" t="str">
        <f>IFERROR(__xludf.DUMMYFUNCTION("IFERROR((sparkline(GOOGLEFINANCE($A97,""price"",TODAY()-365,TODAY(),""DAILY""),{""charttype"",""line"";""linewidth"",1;""color"",""#5f88cc""})),"""")"),"")</f>
        <v/>
      </c>
      <c r="K97" s="50">
        <f>IFERROR(__xludf.DUMMYFUNCTION("IFERROR((((GOOGLEFINANCE(A97))-(INDEX(GoogleFinance(A97,""PRICE"",$AP$1),2,2)))/(INDEX(GoogleFinance(A97,""PRICE"",$AP$1),2,2))),"""")"),0.3612303290414879)</f>
        <v>0.361230329</v>
      </c>
      <c r="L97" s="51">
        <f t="shared" si="1"/>
        <v>-0.1242521859</v>
      </c>
      <c r="M97" s="52">
        <f>IFERROR((VLOOKUP($A97,'Dados StatusInvest'!$A:$AZ,COLUMN(M97)-$A$5,0)*VLOOKUP($A97,'Dados StatusInvest'!$A:$AZ,2,0)/$F97/100),0)</f>
        <v>0.06648870205</v>
      </c>
      <c r="N97" s="53">
        <f>IFERROR((VLOOKUP($A97,'Dados StatusInvest'!$A:$AZ,COLUMN(N97)-$A$5,0)/VLOOKUP($A97,'Dados StatusInvest'!$A:$AZ,2,0)*$F97),"")</f>
        <v>54.25532292</v>
      </c>
      <c r="O97" s="53">
        <f>IFERROR((VLOOKUP($A97,'Dados StatusInvest'!$A:$AZ,COLUMN(O97)-$A$5,0)/VLOOKUP($A97,'Dados StatusInvest'!$A:$AZ,2,0)*$F97),0)</f>
        <v>94.80309896</v>
      </c>
      <c r="P97" s="54">
        <f>IFERROR((VLOOKUP($A97,'Dados StatusInvest'!$A:$AZ,COLUMN(P97)-$A$5,0)/VLOOKUP($A97,'Dados StatusInvest'!$A:$AZ,2,0)*$F97),0)</f>
        <v>37.81221354</v>
      </c>
      <c r="Q97" s="55">
        <f>IFERROR((VLOOKUP($A97,'Dados StatusInvest'!$A:$AZ,COLUMN(Q97)-$A$5,0)/100),0)</f>
        <v>-0.5751</v>
      </c>
      <c r="R97" s="56">
        <f>VLOOKUP($A97,'Dados StatusInvest'!$A:$AZ,COLUMN(R97)-$A$5,0)</f>
        <v>-1.55</v>
      </c>
      <c r="S97" s="56">
        <f>IFERROR((VLOOKUP($A97,'Dados StatusInvest'!$A:$AZ,COLUMN(S97)-$A$5,0)),0)</f>
        <v>6.3</v>
      </c>
      <c r="T97" s="53">
        <f>IFERROR((VLOOKUP($A97,'Dados StatusInvest'!$A:$AZ,COLUMN(T97)-$A$5,0)/VLOOKUP($A97,'Dados StatusInvest'!$A:$AZ,2,0)*$F97),0)</f>
        <v>3.15184375</v>
      </c>
      <c r="U97" s="53">
        <f>IFERROR((VLOOKUP($A97,'Dados StatusInvest'!$A:$AZ,COLUMN(U97)-$A$5,0)-VLOOKUP($A97,'Dados StatusInvest'!$A:$AZ,COLUMN(U97)-$A$5-1,0)+T97),0)</f>
        <v>-13.55815625</v>
      </c>
      <c r="V97" s="56">
        <f>IFERROR((VLOOKUP($A97,'Dados StatusInvest'!$A:$AZ,COLUMN(V97)-$A$5,0)),0)</f>
        <v>1.04</v>
      </c>
      <c r="W97" s="56">
        <f>IFERROR((VLOOKUP($A97,'Dados StatusInvest'!$A:$AZ,COLUMN(W97)-$A$5,0)),0)</f>
        <v>22.35</v>
      </c>
      <c r="X97" s="53">
        <f>IFERROR((VLOOKUP($A97,'Dados StatusInvest'!$A:$AZ,COLUMN(X97)-$A$5,0)/VLOOKUP($A97,'Dados StatusInvest'!$A:$AZ,2,0)*$F97),0)</f>
        <v>0.9911458333</v>
      </c>
      <c r="Y97" s="54">
        <f>IFERROR((VLOOKUP($A97,'Dados StatusInvest'!$A:$AZ,COLUMN(Y97)-$A$5,0)/VLOOKUP($A97,'Dados StatusInvest'!$A:$AZ,2,0)*$F97),0)</f>
        <v>-0.1883177083</v>
      </c>
      <c r="Z97" s="56">
        <f>IFERROR((VLOOKUP($A97,'Dados StatusInvest'!$A:$AZ,COLUMN(Z97)-$A$5,0)),0)</f>
        <v>0.04</v>
      </c>
      <c r="AA97" s="57">
        <f>IFERROR((VLOOKUP($A97,'Dados StatusInvest'!$A:$AZ,COLUMN(AA97)-$A$5,0)),0)</f>
        <v>0.96</v>
      </c>
      <c r="AB97" s="57">
        <f>IFERROR((VLOOKUP($A97,'Dados StatusInvest'!$A:$AZ,COLUMN(AB97)-$A$5,0)),0)</f>
        <v>0.02</v>
      </c>
      <c r="AC97" s="58">
        <f>IFERROR((VLOOKUP($A97,'Dados StatusInvest'!$A:$AZ,COLUMN(AC97)-$A$5,0)),0)</f>
        <v>-23.54</v>
      </c>
      <c r="AD97" s="57">
        <f>IFERROR((VLOOKUP($A97,'Dados StatusInvest'!$A:$AZ,COLUMN(AD97)-$A$5,0)),0)</f>
        <v>14.56</v>
      </c>
      <c r="AE97" s="56">
        <f>IFERROR((VLOOKUP($A97,'Dados StatusInvest'!$A:$AZ,COLUMN(AE97)-$A$5,0)),0)</f>
        <v>7719310</v>
      </c>
      <c r="AF97" s="56">
        <f>IFERROR((VLOOKUP($A97,'Dados StatusInvest'!$A:$AZ,COLUMN(AF97)-$A$5,0)),0)</f>
        <v>7.46</v>
      </c>
      <c r="AG97" s="56">
        <f>IFERROR((VLOOKUP($A97,'Dados StatusInvest'!$A:$AZ,COLUMN(AG97)-$A$5,0)),0)</f>
        <v>1.67</v>
      </c>
      <c r="AH97" s="56">
        <f>IFERROR((VLOOKUP($A97,'Dados StatusInvest'!$A:$AZ,COLUMN(AH97)-$A$5,0)),0)</f>
        <v>-1.2</v>
      </c>
      <c r="AI97" s="57">
        <f>IFERROR((VLOOKUP($A97,'Dados StatusInvest'!$A:$AZ,COLUMN(AI97)-$A$5,0)),0)</f>
        <v>2015917517</v>
      </c>
      <c r="AJ97" s="59" t="str">
        <f>IFERROR((VLOOKUP($A97,'Dados StatusInvest'!$A:$AZ,COLUMN(AJ97)-$A$5,0)),0)</f>
        <v/>
      </c>
      <c r="AK97" s="60">
        <f>IFERROR(__xludf.DUMMYFUNCTION("IFERROR(GOOGLEFINANCE($A97,""high""),"""")"),19.3)</f>
        <v>19.3</v>
      </c>
      <c r="AL97" s="60">
        <f>IFERROR(__xludf.DUMMYFUNCTION("IFERROR(GOOGLEFINANCE($A97,""low""),"""")"),19.0)</f>
        <v>19</v>
      </c>
      <c r="AM97" s="61">
        <f t="shared" si="2"/>
        <v>0.01578947368</v>
      </c>
      <c r="AN97" s="62">
        <f>IFERROR(__xludf.DUMMYFUNCTION("IFERROR((GOOGLEFINANCE($A97,""volume"")),0)"),4200.0)</f>
        <v>4200</v>
      </c>
      <c r="AO97" s="60">
        <f>IFERROR(__xludf.DUMMYFUNCTION("IFERROR((GOOGLEFINANCE($A97,""closeyest"")),"""")"),19.2)</f>
        <v>19.2</v>
      </c>
      <c r="AP97" s="60" t="str">
        <f>IFERROR(__xludf.DUMMYFUNCTION("IFERROR((GOOGLEFINANCE($A97,""shares"")),"""")"),"")</f>
        <v/>
      </c>
      <c r="AQ97" s="18"/>
    </row>
    <row r="98">
      <c r="A98" s="45" t="str">
        <f>'Dados StatusInvest'!A93:A712</f>
        <v>BRBI3</v>
      </c>
      <c r="B98" s="46" t="str">
        <f>IFERROR(__xludf.DUMMYFUNCTION("IFERROR((GOOGLEFINANCE(A98,""name"")),"""")"),"")</f>
        <v/>
      </c>
      <c r="C98" s="46" t="str">
        <f>IFERROR((VLOOKUP(LEFT($A98,4),Setor!$A:$E,3,0)),"")</f>
        <v/>
      </c>
      <c r="D98" s="46" t="str">
        <f>IFERROR((VLOOKUP(LEFT($A98,4),Setor!$A:$E,4,0)),"")</f>
        <v/>
      </c>
      <c r="E98" s="46" t="str">
        <f>IFERROR((VLOOKUP(LEFT($A98,4),Setor!$A:$E,5,0)),"")</f>
        <v/>
      </c>
      <c r="F98" s="47" t="str">
        <f>IFERROR(__xludf.DUMMYFUNCTION("IFERROR((GOOGLEFINANCE(A98)),"""")"),"")</f>
        <v/>
      </c>
      <c r="G98" s="48" t="str">
        <f>IFERROR(__xludf.DUMMYFUNCTION("IFERROR((sparkline(GOOGLEFINANCE($A98,""price"",TODAY()-30,TODAY(),""DAILY""),{""charttype"",""line"";""linewidth"",1;""color"",""#5f88cc""})),"""")"),"")</f>
        <v/>
      </c>
      <c r="H98" s="49" t="str">
        <f>IFERROR(__xludf.DUMMYFUNCTION("IFERROR((((GOOGLEFINANCE(A98))-(INDEX(GoogleFinance(A98,""PRICE"",$AQ$1),2,2)))/(INDEX(GoogleFinance(A98,""PRICE"",$AQ$1),2,2))),"""")"),"")</f>
        <v/>
      </c>
      <c r="I98" s="47" t="str">
        <f>IFERROR(__xludf.DUMMYFUNCTION("IFERROR((GOOGLEFINANCE($A98,""high52"")),"""")"),"")</f>
        <v/>
      </c>
      <c r="J98" s="48" t="str">
        <f>IFERROR(__xludf.DUMMYFUNCTION("IFERROR((sparkline(GOOGLEFINANCE($A98,""price"",TODAY()-365,TODAY(),""DAILY""),{""charttype"",""line"";""linewidth"",1;""color"",""#5f88cc""})),"""")"),"")</f>
        <v/>
      </c>
      <c r="K98" s="50" t="str">
        <f>IFERROR(__xludf.DUMMYFUNCTION("IFERROR((((GOOGLEFINANCE(A98))-(INDEX(GoogleFinance(A98,""PRICE"",$AP$1),2,2)))/(INDEX(GoogleFinance(A98,""PRICE"",$AP$1),2,2))),"""")"),"")</f>
        <v/>
      </c>
      <c r="L98" s="51">
        <f t="shared" si="1"/>
        <v>0</v>
      </c>
      <c r="M98" s="52">
        <f>IFERROR((VLOOKUP($A98,'Dados StatusInvest'!$A:$AZ,COLUMN(M98)-$A$5,0)*VLOOKUP($A98,'Dados StatusInvest'!$A:$AZ,2,0)/$F98/100),0)</f>
        <v>0</v>
      </c>
      <c r="N98" s="53" t="str">
        <f>IFERROR((VLOOKUP($A98,'Dados StatusInvest'!$A:$AZ,COLUMN(N98)-$A$5,0)/VLOOKUP($A98,'Dados StatusInvest'!$A:$AZ,2,0)*$F98),"")</f>
        <v/>
      </c>
      <c r="O98" s="53">
        <f>IFERROR((VLOOKUP($A98,'Dados StatusInvest'!$A:$AZ,COLUMN(O98)-$A$5,0)/VLOOKUP($A98,'Dados StatusInvest'!$A:$AZ,2,0)*$F98),0)</f>
        <v>0</v>
      </c>
      <c r="P98" s="54">
        <f>IFERROR((VLOOKUP($A98,'Dados StatusInvest'!$A:$AZ,COLUMN(P98)-$A$5,0)/VLOOKUP($A98,'Dados StatusInvest'!$A:$AZ,2,0)*$F98),0)</f>
        <v>0</v>
      </c>
      <c r="Q98" s="55">
        <f>IFERROR((VLOOKUP($A98,'Dados StatusInvest'!$A:$AZ,COLUMN(Q98)-$A$5,0)/100),0)</f>
        <v>-0.5751</v>
      </c>
      <c r="R98" s="56">
        <f>VLOOKUP($A98,'Dados StatusInvest'!$A:$AZ,COLUMN(R98)-$A$5,0)</f>
        <v>-1.55</v>
      </c>
      <c r="S98" s="56">
        <f>IFERROR((VLOOKUP($A98,'Dados StatusInvest'!$A:$AZ,COLUMN(S98)-$A$5,0)),0)</f>
        <v>0</v>
      </c>
      <c r="T98" s="53">
        <f>IFERROR((VLOOKUP($A98,'Dados StatusInvest'!$A:$AZ,COLUMN(T98)-$A$5,0)/VLOOKUP($A98,'Dados StatusInvest'!$A:$AZ,2,0)*$F98),0)</f>
        <v>0</v>
      </c>
      <c r="U98" s="53">
        <f>IFERROR((VLOOKUP($A98,'Dados StatusInvest'!$A:$AZ,COLUMN(U98)-$A$5,0)-VLOOKUP($A98,'Dados StatusInvest'!$A:$AZ,COLUMN(U98)-$A$5-1,0)+T98),0)</f>
        <v>0</v>
      </c>
      <c r="V98" s="56">
        <f>IFERROR((VLOOKUP($A98,'Dados StatusInvest'!$A:$AZ,COLUMN(V98)-$A$5,0)),0)</f>
        <v>1.04</v>
      </c>
      <c r="W98" s="56">
        <f>IFERROR((VLOOKUP($A98,'Dados StatusInvest'!$A:$AZ,COLUMN(W98)-$A$5,0)),0)</f>
        <v>22.35</v>
      </c>
      <c r="X98" s="53">
        <f>IFERROR((VLOOKUP($A98,'Dados StatusInvest'!$A:$AZ,COLUMN(X98)-$A$5,0)/VLOOKUP($A98,'Dados StatusInvest'!$A:$AZ,2,0)*$F98),0)</f>
        <v>0</v>
      </c>
      <c r="Y98" s="54">
        <f>IFERROR((VLOOKUP($A98,'Dados StatusInvest'!$A:$AZ,COLUMN(Y98)-$A$5,0)/VLOOKUP($A98,'Dados StatusInvest'!$A:$AZ,2,0)*$F98),0)</f>
        <v>0</v>
      </c>
      <c r="Z98" s="56">
        <f>IFERROR((VLOOKUP($A98,'Dados StatusInvest'!$A:$AZ,COLUMN(Z98)-$A$5,0)),0)</f>
        <v>0.04</v>
      </c>
      <c r="AA98" s="57">
        <f>IFERROR((VLOOKUP($A98,'Dados StatusInvest'!$A:$AZ,COLUMN(AA98)-$A$5,0)),0)</f>
        <v>0.96</v>
      </c>
      <c r="AB98" s="57">
        <f>IFERROR((VLOOKUP($A98,'Dados StatusInvest'!$A:$AZ,COLUMN(AB98)-$A$5,0)),0)</f>
        <v>0.02</v>
      </c>
      <c r="AC98" s="58">
        <f>IFERROR((VLOOKUP($A98,'Dados StatusInvest'!$A:$AZ,COLUMN(AC98)-$A$5,0)),0)</f>
        <v>-23.54</v>
      </c>
      <c r="AD98" s="57">
        <f>IFERROR((VLOOKUP($A98,'Dados StatusInvest'!$A:$AZ,COLUMN(AD98)-$A$5,0)),0)</f>
        <v>14.56</v>
      </c>
      <c r="AE98" s="56">
        <f>IFERROR((VLOOKUP($A98,'Dados StatusInvest'!$A:$AZ,COLUMN(AE98)-$A$5,0)),0)</f>
        <v>0</v>
      </c>
      <c r="AF98" s="56">
        <f>IFERROR((VLOOKUP($A98,'Dados StatusInvest'!$A:$AZ,COLUMN(AF98)-$A$5,0)),0)</f>
        <v>2.49</v>
      </c>
      <c r="AG98" s="56">
        <f>IFERROR((VLOOKUP($A98,'Dados StatusInvest'!$A:$AZ,COLUMN(AG98)-$A$5,0)),0)</f>
        <v>0.56</v>
      </c>
      <c r="AH98" s="56">
        <f>IFERROR((VLOOKUP($A98,'Dados StatusInvest'!$A:$AZ,COLUMN(AH98)-$A$5,0)),0)</f>
        <v>0</v>
      </c>
      <c r="AI98" s="57">
        <f>IFERROR((VLOOKUP($A98,'Dados StatusInvest'!$A:$AZ,COLUMN(AI98)-$A$5,0)),0)</f>
        <v>2015917517</v>
      </c>
      <c r="AJ98" s="59" t="str">
        <f>IFERROR((VLOOKUP($A98,'Dados StatusInvest'!$A:$AZ,COLUMN(AJ98)-$A$5,0)),0)</f>
        <v/>
      </c>
      <c r="AK98" s="60" t="str">
        <f>IFERROR(__xludf.DUMMYFUNCTION("IFERROR(GOOGLEFINANCE($A98,""high""),"""")"),"")</f>
        <v/>
      </c>
      <c r="AL98" s="60" t="str">
        <f>IFERROR(__xludf.DUMMYFUNCTION("IFERROR(GOOGLEFINANCE($A98,""low""),"""")"),"")</f>
        <v/>
      </c>
      <c r="AM98" s="61">
        <f t="shared" si="2"/>
        <v>0</v>
      </c>
      <c r="AN98" s="62">
        <f>IFERROR(__xludf.DUMMYFUNCTION("IFERROR((GOOGLEFINANCE($A98,""volume"")),0)"),0.0)</f>
        <v>0</v>
      </c>
      <c r="AO98" s="60" t="str">
        <f>IFERROR(__xludf.DUMMYFUNCTION("IFERROR((GOOGLEFINANCE($A98,""closeyest"")),"""")"),"")</f>
        <v/>
      </c>
      <c r="AP98" s="60" t="str">
        <f>IFERROR(__xludf.DUMMYFUNCTION("IFERROR((GOOGLEFINANCE($A98,""shares"")),"""")"),"")</f>
        <v/>
      </c>
      <c r="AQ98" s="18"/>
    </row>
    <row r="99">
      <c r="A99" s="45" t="str">
        <f>'Dados StatusInvest'!A94:A713</f>
        <v>BRBI4</v>
      </c>
      <c r="B99" s="46" t="str">
        <f>IFERROR(__xludf.DUMMYFUNCTION("IFERROR((GOOGLEFINANCE(A99,""name"")),"""")"),"")</f>
        <v/>
      </c>
      <c r="C99" s="46" t="str">
        <f>IFERROR((VLOOKUP(LEFT($A99,4),Setor!$A:$E,3,0)),"")</f>
        <v/>
      </c>
      <c r="D99" s="46" t="str">
        <f>IFERROR((VLOOKUP(LEFT($A99,4),Setor!$A:$E,4,0)),"")</f>
        <v/>
      </c>
      <c r="E99" s="46" t="str">
        <f>IFERROR((VLOOKUP(LEFT($A99,4),Setor!$A:$E,5,0)),"")</f>
        <v/>
      </c>
      <c r="F99" s="47" t="str">
        <f>IFERROR(__xludf.DUMMYFUNCTION("IFERROR((GOOGLEFINANCE(A99)),"""")"),"")</f>
        <v/>
      </c>
      <c r="G99" s="48" t="str">
        <f>IFERROR(__xludf.DUMMYFUNCTION("IFERROR((sparkline(GOOGLEFINANCE($A99,""price"",TODAY()-30,TODAY(),""DAILY""),{""charttype"",""line"";""linewidth"",1;""color"",""#5f88cc""})),"""")"),"")</f>
        <v/>
      </c>
      <c r="H99" s="49" t="str">
        <f>IFERROR(__xludf.DUMMYFUNCTION("IFERROR((((GOOGLEFINANCE(A99))-(INDEX(GoogleFinance(A99,""PRICE"",$AQ$1),2,2)))/(INDEX(GoogleFinance(A99,""PRICE"",$AQ$1),2,2))),"""")"),"")</f>
        <v/>
      </c>
      <c r="I99" s="47" t="str">
        <f>IFERROR(__xludf.DUMMYFUNCTION("IFERROR((GOOGLEFINANCE($A99,""high52"")),"""")"),"")</f>
        <v/>
      </c>
      <c r="J99" s="48" t="str">
        <f>IFERROR(__xludf.DUMMYFUNCTION("IFERROR((sparkline(GOOGLEFINANCE($A99,""price"",TODAY()-365,TODAY(),""DAILY""),{""charttype"",""line"";""linewidth"",1;""color"",""#5f88cc""})),"""")"),"")</f>
        <v/>
      </c>
      <c r="K99" s="50" t="str">
        <f>IFERROR(__xludf.DUMMYFUNCTION("IFERROR((((GOOGLEFINANCE(A99))-(INDEX(GoogleFinance(A99,""PRICE"",$AP$1),2,2)))/(INDEX(GoogleFinance(A99,""PRICE"",$AP$1),2,2))),"""")"),"")</f>
        <v/>
      </c>
      <c r="L99" s="51">
        <f t="shared" si="1"/>
        <v>0</v>
      </c>
      <c r="M99" s="52">
        <f>IFERROR((VLOOKUP($A99,'Dados StatusInvest'!$A:$AZ,COLUMN(M99)-$A$5,0)*VLOOKUP($A99,'Dados StatusInvest'!$A:$AZ,2,0)/$F99/100),0)</f>
        <v>0</v>
      </c>
      <c r="N99" s="53" t="str">
        <f>IFERROR((VLOOKUP($A99,'Dados StatusInvest'!$A:$AZ,COLUMN(N99)-$A$5,0)/VLOOKUP($A99,'Dados StatusInvest'!$A:$AZ,2,0)*$F99),"")</f>
        <v/>
      </c>
      <c r="O99" s="53">
        <f>IFERROR((VLOOKUP($A99,'Dados StatusInvest'!$A:$AZ,COLUMN(O99)-$A$5,0)/VLOOKUP($A99,'Dados StatusInvest'!$A:$AZ,2,0)*$F99),0)</f>
        <v>0</v>
      </c>
      <c r="P99" s="54">
        <f>IFERROR((VLOOKUP($A99,'Dados StatusInvest'!$A:$AZ,COLUMN(P99)-$A$5,0)/VLOOKUP($A99,'Dados StatusInvest'!$A:$AZ,2,0)*$F99),0)</f>
        <v>0</v>
      </c>
      <c r="Q99" s="55">
        <f>IFERROR((VLOOKUP($A99,'Dados StatusInvest'!$A:$AZ,COLUMN(Q99)-$A$5,0)/100),0)</f>
        <v>-0.5751</v>
      </c>
      <c r="R99" s="56">
        <f>VLOOKUP($A99,'Dados StatusInvest'!$A:$AZ,COLUMN(R99)-$A$5,0)</f>
        <v>-1.55</v>
      </c>
      <c r="S99" s="56">
        <f>IFERROR((VLOOKUP($A99,'Dados StatusInvest'!$A:$AZ,COLUMN(S99)-$A$5,0)),0)</f>
        <v>0</v>
      </c>
      <c r="T99" s="53">
        <f>IFERROR((VLOOKUP($A99,'Dados StatusInvest'!$A:$AZ,COLUMN(T99)-$A$5,0)/VLOOKUP($A99,'Dados StatusInvest'!$A:$AZ,2,0)*$F99),0)</f>
        <v>0</v>
      </c>
      <c r="U99" s="53">
        <f>IFERROR((VLOOKUP($A99,'Dados StatusInvest'!$A:$AZ,COLUMN(U99)-$A$5,0)-VLOOKUP($A99,'Dados StatusInvest'!$A:$AZ,COLUMN(U99)-$A$5-1,0)+T99),0)</f>
        <v>0</v>
      </c>
      <c r="V99" s="56">
        <f>IFERROR((VLOOKUP($A99,'Dados StatusInvest'!$A:$AZ,COLUMN(V99)-$A$5,0)),0)</f>
        <v>1.04</v>
      </c>
      <c r="W99" s="56">
        <f>IFERROR((VLOOKUP($A99,'Dados StatusInvest'!$A:$AZ,COLUMN(W99)-$A$5,0)),0)</f>
        <v>22.35</v>
      </c>
      <c r="X99" s="53">
        <f>IFERROR((VLOOKUP($A99,'Dados StatusInvest'!$A:$AZ,COLUMN(X99)-$A$5,0)/VLOOKUP($A99,'Dados StatusInvest'!$A:$AZ,2,0)*$F99),0)</f>
        <v>0</v>
      </c>
      <c r="Y99" s="54">
        <f>IFERROR((VLOOKUP($A99,'Dados StatusInvest'!$A:$AZ,COLUMN(Y99)-$A$5,0)/VLOOKUP($A99,'Dados StatusInvest'!$A:$AZ,2,0)*$F99),0)</f>
        <v>0</v>
      </c>
      <c r="Z99" s="56">
        <f>IFERROR((VLOOKUP($A99,'Dados StatusInvest'!$A:$AZ,COLUMN(Z99)-$A$5,0)),0)</f>
        <v>0.04</v>
      </c>
      <c r="AA99" s="57">
        <f>IFERROR((VLOOKUP($A99,'Dados StatusInvest'!$A:$AZ,COLUMN(AA99)-$A$5,0)),0)</f>
        <v>0.96</v>
      </c>
      <c r="AB99" s="57">
        <f>IFERROR((VLOOKUP($A99,'Dados StatusInvest'!$A:$AZ,COLUMN(AB99)-$A$5,0)),0)</f>
        <v>0.02</v>
      </c>
      <c r="AC99" s="58">
        <f>IFERROR((VLOOKUP($A99,'Dados StatusInvest'!$A:$AZ,COLUMN(AC99)-$A$5,0)),0)</f>
        <v>-23.54</v>
      </c>
      <c r="AD99" s="57">
        <f>IFERROR((VLOOKUP($A99,'Dados StatusInvest'!$A:$AZ,COLUMN(AD99)-$A$5,0)),0)</f>
        <v>14.56</v>
      </c>
      <c r="AE99" s="56">
        <f>IFERROR((VLOOKUP($A99,'Dados StatusInvest'!$A:$AZ,COLUMN(AE99)-$A$5,0)),0)</f>
        <v>0</v>
      </c>
      <c r="AF99" s="56">
        <f>IFERROR((VLOOKUP($A99,'Dados StatusInvest'!$A:$AZ,COLUMN(AF99)-$A$5,0)),0)</f>
        <v>2.49</v>
      </c>
      <c r="AG99" s="56">
        <f>IFERROR((VLOOKUP($A99,'Dados StatusInvest'!$A:$AZ,COLUMN(AG99)-$A$5,0)),0)</f>
        <v>0.56</v>
      </c>
      <c r="AH99" s="56">
        <f>IFERROR((VLOOKUP($A99,'Dados StatusInvest'!$A:$AZ,COLUMN(AH99)-$A$5,0)),0)</f>
        <v>0</v>
      </c>
      <c r="AI99" s="57">
        <f>IFERROR((VLOOKUP($A99,'Dados StatusInvest'!$A:$AZ,COLUMN(AI99)-$A$5,0)),0)</f>
        <v>2015917517</v>
      </c>
      <c r="AJ99" s="59" t="str">
        <f>IFERROR((VLOOKUP($A99,'Dados StatusInvest'!$A:$AZ,COLUMN(AJ99)-$A$5,0)),0)</f>
        <v/>
      </c>
      <c r="AK99" s="60" t="str">
        <f>IFERROR(__xludf.DUMMYFUNCTION("IFERROR(GOOGLEFINANCE($A99,""high""),"""")"),"")</f>
        <v/>
      </c>
      <c r="AL99" s="60" t="str">
        <f>IFERROR(__xludf.DUMMYFUNCTION("IFERROR(GOOGLEFINANCE($A99,""low""),"""")"),"")</f>
        <v/>
      </c>
      <c r="AM99" s="61">
        <f t="shared" si="2"/>
        <v>0</v>
      </c>
      <c r="AN99" s="62">
        <f>IFERROR(__xludf.DUMMYFUNCTION("IFERROR((GOOGLEFINANCE($A99,""volume"")),0)"),0.0)</f>
        <v>0</v>
      </c>
      <c r="AO99" s="60" t="str">
        <f>IFERROR(__xludf.DUMMYFUNCTION("IFERROR((GOOGLEFINANCE($A99,""closeyest"")),"""")"),"")</f>
        <v/>
      </c>
      <c r="AP99" s="60" t="str">
        <f>IFERROR(__xludf.DUMMYFUNCTION("IFERROR((GOOGLEFINANCE($A99,""shares"")),"""")"),"")</f>
        <v/>
      </c>
      <c r="AQ99" s="18"/>
    </row>
    <row r="100">
      <c r="A100" s="45" t="str">
        <f>'Dados StatusInvest'!A95:A714</f>
        <v>BRFS3</v>
      </c>
      <c r="B100" s="46" t="str">
        <f>IFERROR(__xludf.DUMMYFUNCTION("IFERROR((GOOGLEFINANCE(A100,""name"")),"""")"),"")</f>
        <v/>
      </c>
      <c r="C100" s="46" t="str">
        <f>IFERROR((VLOOKUP(LEFT($A100,4),Setor!$A:$E,3,0)),"")</f>
        <v>Consumo não Cíclico</v>
      </c>
      <c r="D100" s="46" t="str">
        <f>IFERROR((VLOOKUP(LEFT($A100,4),Setor!$A:$E,4,0)),"")</f>
        <v>Alimentos Processados</v>
      </c>
      <c r="E100" s="46" t="str">
        <f>IFERROR((VLOOKUP(LEFT($A100,4),Setor!$A:$E,5,0)),"")</f>
        <v>Carnes e Derivados</v>
      </c>
      <c r="F100" s="47" t="str">
        <f>IFERROR(__xludf.DUMMYFUNCTION("IFERROR((GOOGLEFINANCE(A100)),"""")"),"")</f>
        <v/>
      </c>
      <c r="G100" s="48" t="str">
        <f>IFERROR(__xludf.DUMMYFUNCTION("IFERROR((sparkline(GOOGLEFINANCE($A100,""price"",TODAY()-30,TODAY(),""DAILY""),{""charttype"",""line"";""linewidth"",1;""color"",""#5f88cc""})),"""")"),"")</f>
        <v/>
      </c>
      <c r="H100" s="49" t="str">
        <f>IFERROR(__xludf.DUMMYFUNCTION("IFERROR((((GOOGLEFINANCE(A100))-(INDEX(GoogleFinance(A100,""PRICE"",$AQ$1),2,2)))/(INDEX(GoogleFinance(A100,""PRICE"",$AQ$1),2,2))),"""")"),"")</f>
        <v/>
      </c>
      <c r="I100" s="47" t="str">
        <f>IFERROR(__xludf.DUMMYFUNCTION("IFERROR((GOOGLEFINANCE($A100,""high52"")),"""")"),"")</f>
        <v/>
      </c>
      <c r="J100" s="48" t="str">
        <f>IFERROR(__xludf.DUMMYFUNCTION("IFERROR((sparkline(GOOGLEFINANCE($A100,""price"",TODAY()-365,TODAY(),""DAILY""),{""charttype"",""line"";""linewidth"",1;""color"",""#5f88cc""})),"""")"),"")</f>
        <v/>
      </c>
      <c r="K100" s="50" t="str">
        <f>IFERROR(__xludf.DUMMYFUNCTION("IFERROR((((GOOGLEFINANCE(A100))-(INDEX(GoogleFinance(A100,""PRICE"",$AP$1),2,2)))/(INDEX(GoogleFinance(A100,""PRICE"",$AP$1),2,2))),"""")"),"")</f>
        <v/>
      </c>
      <c r="L100" s="51">
        <f t="shared" si="1"/>
        <v>0</v>
      </c>
      <c r="M100" s="52">
        <f>IFERROR((VLOOKUP($A100,'Dados StatusInvest'!$A:$AZ,COLUMN(M100)-$A$5,0)*VLOOKUP($A100,'Dados StatusInvest'!$A:$AZ,2,0)/$F100/100),0)</f>
        <v>0</v>
      </c>
      <c r="N100" s="53">
        <f>IFERROR((VLOOKUP($A100,'Dados StatusInvest'!$A:$AZ,COLUMN(N100)-$A$5,0)/VLOOKUP($A100,'Dados StatusInvest'!$A:$AZ,2,0)*$F100),"")</f>
        <v>0</v>
      </c>
      <c r="O100" s="53">
        <f>IFERROR((VLOOKUP($A100,'Dados StatusInvest'!$A:$AZ,COLUMN(O100)-$A$5,0)/VLOOKUP($A100,'Dados StatusInvest'!$A:$AZ,2,0)*$F100),0)</f>
        <v>0</v>
      </c>
      <c r="P100" s="54">
        <f>IFERROR((VLOOKUP($A100,'Dados StatusInvest'!$A:$AZ,COLUMN(P100)-$A$5,0)/VLOOKUP($A100,'Dados StatusInvest'!$A:$AZ,2,0)*$F100),0)</f>
        <v>0</v>
      </c>
      <c r="Q100" s="55">
        <f>IFERROR((VLOOKUP($A100,'Dados StatusInvest'!$A:$AZ,COLUMN(Q100)-$A$5,0)/100),0)</f>
        <v>0.0121</v>
      </c>
      <c r="R100" s="56">
        <f>VLOOKUP($A100,'Dados StatusInvest'!$A:$AZ,COLUMN(R100)-$A$5,0)</f>
        <v>0.6</v>
      </c>
      <c r="S100" s="56">
        <f>IFERROR((VLOOKUP($A100,'Dados StatusInvest'!$A:$AZ,COLUMN(S100)-$A$5,0)),0)</f>
        <v>0.44</v>
      </c>
      <c r="T100" s="53">
        <f>IFERROR((VLOOKUP($A100,'Dados StatusInvest'!$A:$AZ,COLUMN(T100)-$A$5,0)/VLOOKUP($A100,'Dados StatusInvest'!$A:$AZ,2,0)*$F100),0)</f>
        <v>0</v>
      </c>
      <c r="U100" s="53">
        <f>IFERROR((VLOOKUP($A100,'Dados StatusInvest'!$A:$AZ,COLUMN(U100)-$A$5,0)-VLOOKUP($A100,'Dados StatusInvest'!$A:$AZ,COLUMN(U100)-$A$5-1,0)+T100),0)</f>
        <v>-4.49</v>
      </c>
      <c r="V100" s="56">
        <f>IFERROR((VLOOKUP($A100,'Dados StatusInvest'!$A:$AZ,COLUMN(V100)-$A$5,0)),0)</f>
        <v>1.33</v>
      </c>
      <c r="W100" s="56">
        <f>IFERROR((VLOOKUP($A100,'Dados StatusInvest'!$A:$AZ,COLUMN(W100)-$A$5,0)),0)</f>
        <v>23.9</v>
      </c>
      <c r="X100" s="53">
        <f>IFERROR((VLOOKUP($A100,'Dados StatusInvest'!$A:$AZ,COLUMN(X100)-$A$5,0)/VLOOKUP($A100,'Dados StatusInvest'!$A:$AZ,2,0)*$F100),0)</f>
        <v>0</v>
      </c>
      <c r="Y100" s="54">
        <f>IFERROR((VLOOKUP($A100,'Dados StatusInvest'!$A:$AZ,COLUMN(Y100)-$A$5,0)/VLOOKUP($A100,'Dados StatusInvest'!$A:$AZ,2,0)*$F100),0)</f>
        <v>0</v>
      </c>
      <c r="Z100" s="56">
        <f>IFERROR((VLOOKUP($A100,'Dados StatusInvest'!$A:$AZ,COLUMN(Z100)-$A$5,0)),0)</f>
        <v>0.22</v>
      </c>
      <c r="AA100" s="57">
        <f>IFERROR((VLOOKUP($A100,'Dados StatusInvest'!$A:$AZ,COLUMN(AA100)-$A$5,0)),0)</f>
        <v>0.76</v>
      </c>
      <c r="AB100" s="57">
        <f>IFERROR((VLOOKUP($A100,'Dados StatusInvest'!$A:$AZ,COLUMN(AB100)-$A$5,0)),0)</f>
        <v>1.01</v>
      </c>
      <c r="AC100" s="58">
        <f>IFERROR((VLOOKUP($A100,'Dados StatusInvest'!$A:$AZ,COLUMN(AC100)-$A$5,0)),0)</f>
        <v>12.91</v>
      </c>
      <c r="AD100" s="57">
        <f>IFERROR((VLOOKUP($A100,'Dados StatusInvest'!$A:$AZ,COLUMN(AD100)-$A$5,0)),0)</f>
        <v>62.44</v>
      </c>
      <c r="AE100" s="56">
        <f>IFERROR((VLOOKUP($A100,'Dados StatusInvest'!$A:$AZ,COLUMN(AE100)-$A$5,0)),0)</f>
        <v>378000000</v>
      </c>
      <c r="AF100" s="56">
        <f>IFERROR((VLOOKUP($A100,'Dados StatusInvest'!$A:$AZ,COLUMN(AF100)-$A$5,0)),0)</f>
        <v>8.85</v>
      </c>
      <c r="AG100" s="56">
        <f>IFERROR((VLOOKUP($A100,'Dados StatusInvest'!$A:$AZ,COLUMN(AG100)-$A$5,0)),0)</f>
        <v>2.11</v>
      </c>
      <c r="AH100" s="56">
        <f>IFERROR((VLOOKUP($A100,'Dados StatusInvest'!$A:$AZ,COLUMN(AH100)-$A$5,0)),0)</f>
        <v>2.85</v>
      </c>
      <c r="AI100" s="57">
        <f>IFERROR((VLOOKUP($A100,'Dados StatusInvest'!$A:$AZ,COLUMN(AI100)-$A$5,0)),0)</f>
        <v>28579854639</v>
      </c>
      <c r="AJ100" s="59" t="str">
        <f>IFERROR((VLOOKUP($A100,'Dados StatusInvest'!$A:$AZ,COLUMN(AJ100)-$A$5,0)),0)</f>
        <v/>
      </c>
      <c r="AK100" s="60" t="str">
        <f>IFERROR(__xludf.DUMMYFUNCTION("IFERROR(GOOGLEFINANCE($A100,""high""),"""")"),"")</f>
        <v/>
      </c>
      <c r="AL100" s="60" t="str">
        <f>IFERROR(__xludf.DUMMYFUNCTION("IFERROR(GOOGLEFINANCE($A100,""low""),"""")"),"")</f>
        <v/>
      </c>
      <c r="AM100" s="61">
        <f t="shared" si="2"/>
        <v>0</v>
      </c>
      <c r="AN100" s="62">
        <f>IFERROR(__xludf.DUMMYFUNCTION("IFERROR((GOOGLEFINANCE($A100,""volume"")),0)"),0.0)</f>
        <v>0</v>
      </c>
      <c r="AO100" s="60" t="str">
        <f>IFERROR(__xludf.DUMMYFUNCTION("IFERROR((GOOGLEFINANCE($A100,""closeyest"")),"""")"),"")</f>
        <v/>
      </c>
      <c r="AP100" s="60" t="str">
        <f>IFERROR(__xludf.DUMMYFUNCTION("IFERROR((GOOGLEFINANCE($A100,""shares"")),"""")"),"")</f>
        <v/>
      </c>
      <c r="AQ100" s="18"/>
    </row>
    <row r="101">
      <c r="A101" s="45" t="str">
        <f>'Dados StatusInvest'!A96:A715</f>
        <v>BRGE11</v>
      </c>
      <c r="B101" s="46" t="str">
        <f>IFERROR(__xludf.DUMMYFUNCTION("IFERROR((GOOGLEFINANCE(A101,""name"")),"""")"),"")</f>
        <v/>
      </c>
      <c r="C101" s="46" t="str">
        <f>IFERROR((VLOOKUP(LEFT($A101,4),Setor!$A:$E,3,0)),"")</f>
        <v>Financeiro</v>
      </c>
      <c r="D101" s="46" t="str">
        <f>IFERROR((VLOOKUP(LEFT($A101,4),Setor!$A:$E,4,0)),"")</f>
        <v>Previdência e Seguros</v>
      </c>
      <c r="E101" s="46" t="str">
        <f>IFERROR((VLOOKUP(LEFT($A101,4),Setor!$A:$E,5,0)),"")</f>
        <v>Seguradoras</v>
      </c>
      <c r="F101" s="47" t="str">
        <f>IFERROR(__xludf.DUMMYFUNCTION("IFERROR((GOOGLEFINANCE(A101)),"""")"),"")</f>
        <v/>
      </c>
      <c r="G101" s="48" t="str">
        <f>IFERROR(__xludf.DUMMYFUNCTION("IFERROR((sparkline(GOOGLEFINANCE($A101,""price"",TODAY()-30,TODAY(),""DAILY""),{""charttype"",""line"";""linewidth"",1;""color"",""#5f88cc""})),"""")"),"")</f>
        <v/>
      </c>
      <c r="H101" s="49" t="str">
        <f>IFERROR(__xludf.DUMMYFUNCTION("IFERROR((((GOOGLEFINANCE(A101))-(INDEX(GoogleFinance(A101,""PRICE"",$AQ$1),2,2)))/(INDEX(GoogleFinance(A101,""PRICE"",$AQ$1),2,2))),"""")"),"")</f>
        <v/>
      </c>
      <c r="I101" s="47" t="str">
        <f>IFERROR(__xludf.DUMMYFUNCTION("IFERROR((GOOGLEFINANCE($A101,""high52"")),"""")"),"")</f>
        <v/>
      </c>
      <c r="J101" s="48" t="str">
        <f>IFERROR(__xludf.DUMMYFUNCTION("IFERROR((sparkline(GOOGLEFINANCE($A101,""price"",TODAY()-365,TODAY(),""DAILY""),{""charttype"",""line"";""linewidth"",1;""color"",""#5f88cc""})),"""")"),"")</f>
        <v/>
      </c>
      <c r="K101" s="50" t="str">
        <f>IFERROR(__xludf.DUMMYFUNCTION("IFERROR((((GOOGLEFINANCE(A101))-(INDEX(GoogleFinance(A101,""PRICE"",$AP$1),2,2)))/(INDEX(GoogleFinance(A101,""PRICE"",$AP$1),2,2))),"""")"),"")</f>
        <v/>
      </c>
      <c r="L101" s="51">
        <f t="shared" si="1"/>
        <v>0</v>
      </c>
      <c r="M101" s="52">
        <f>IFERROR((VLOOKUP($A101,'Dados StatusInvest'!$A:$AZ,COLUMN(M101)-$A$5,0)*VLOOKUP($A101,'Dados StatusInvest'!$A:$AZ,2,0)/$F101/100),0)</f>
        <v>0</v>
      </c>
      <c r="N101" s="53">
        <f>IFERROR((VLOOKUP($A101,'Dados StatusInvest'!$A:$AZ,COLUMN(N101)-$A$5,0)/VLOOKUP($A101,'Dados StatusInvest'!$A:$AZ,2,0)*$F101),"")</f>
        <v>0</v>
      </c>
      <c r="O101" s="53">
        <f>IFERROR((VLOOKUP($A101,'Dados StatusInvest'!$A:$AZ,COLUMN(O101)-$A$5,0)/VLOOKUP($A101,'Dados StatusInvest'!$A:$AZ,2,0)*$F101),0)</f>
        <v>0</v>
      </c>
      <c r="P101" s="54">
        <f>IFERROR((VLOOKUP($A101,'Dados StatusInvest'!$A:$AZ,COLUMN(P101)-$A$5,0)/VLOOKUP($A101,'Dados StatusInvest'!$A:$AZ,2,0)*$F101),0)</f>
        <v>0</v>
      </c>
      <c r="Q101" s="55">
        <f>IFERROR((VLOOKUP($A101,'Dados StatusInvest'!$A:$AZ,COLUMN(Q101)-$A$5,0)/100),0)</f>
        <v>0.5617</v>
      </c>
      <c r="R101" s="56">
        <f>VLOOKUP($A101,'Dados StatusInvest'!$A:$AZ,COLUMN(R101)-$A$5,0)</f>
        <v>-0.85</v>
      </c>
      <c r="S101" s="56">
        <f>IFERROR((VLOOKUP($A101,'Dados StatusInvest'!$A:$AZ,COLUMN(S101)-$A$5,0)),0)</f>
        <v>273.04</v>
      </c>
      <c r="T101" s="53">
        <f>IFERROR((VLOOKUP($A101,'Dados StatusInvest'!$A:$AZ,COLUMN(T101)-$A$5,0)/VLOOKUP($A101,'Dados StatusInvest'!$A:$AZ,2,0)*$F101),0)</f>
        <v>0</v>
      </c>
      <c r="U101" s="53">
        <f>IFERROR((VLOOKUP($A101,'Dados StatusInvest'!$A:$AZ,COLUMN(U101)-$A$5,0)-VLOOKUP($A101,'Dados StatusInvest'!$A:$AZ,COLUMN(U101)-$A$5-1,0)+T101),0)</f>
        <v>-1.6</v>
      </c>
      <c r="V101" s="56">
        <f>IFERROR((VLOOKUP($A101,'Dados StatusInvest'!$A:$AZ,COLUMN(V101)-$A$5,0)),0)</f>
        <v>3.06</v>
      </c>
      <c r="W101" s="56">
        <f>IFERROR((VLOOKUP($A101,'Dados StatusInvest'!$A:$AZ,COLUMN(W101)-$A$5,0)),0)</f>
        <v>1.56</v>
      </c>
      <c r="X101" s="53">
        <f>IFERROR((VLOOKUP($A101,'Dados StatusInvest'!$A:$AZ,COLUMN(X101)-$A$5,0)/VLOOKUP($A101,'Dados StatusInvest'!$A:$AZ,2,0)*$F101),0)</f>
        <v>0</v>
      </c>
      <c r="Y101" s="54">
        <f>IFERROR((VLOOKUP($A101,'Dados StatusInvest'!$A:$AZ,COLUMN(Y101)-$A$5,0)/VLOOKUP($A101,'Dados StatusInvest'!$A:$AZ,2,0)*$F101),0)</f>
        <v>0</v>
      </c>
      <c r="Z101" s="56">
        <f>IFERROR((VLOOKUP($A101,'Dados StatusInvest'!$A:$AZ,COLUMN(Z101)-$A$5,0)),0)</f>
        <v>0.63</v>
      </c>
      <c r="AA101" s="57">
        <f>IFERROR((VLOOKUP($A101,'Dados StatusInvest'!$A:$AZ,COLUMN(AA101)-$A$5,0)),0)</f>
        <v>0.37</v>
      </c>
      <c r="AB101" s="57">
        <f>IFERROR((VLOOKUP($A101,'Dados StatusInvest'!$A:$AZ,COLUMN(AB101)-$A$5,0)),0)</f>
        <v>0</v>
      </c>
      <c r="AC101" s="58">
        <f>IFERROR((VLOOKUP($A101,'Dados StatusInvest'!$A:$AZ,COLUMN(AC101)-$A$5,0)),0)</f>
        <v>-32.83</v>
      </c>
      <c r="AD101" s="57">
        <f>IFERROR((VLOOKUP($A101,'Dados StatusInvest'!$A:$AZ,COLUMN(AD101)-$A$5,0)),0)</f>
        <v>-11.18</v>
      </c>
      <c r="AE101" s="56">
        <f>IFERROR((VLOOKUP($A101,'Dados StatusInvest'!$A:$AZ,COLUMN(AE101)-$A$5,0)),0)</f>
        <v>0</v>
      </c>
      <c r="AF101" s="56">
        <f>IFERROR((VLOOKUP($A101,'Dados StatusInvest'!$A:$AZ,COLUMN(AF101)-$A$5,0)),0)</f>
        <v>25.56</v>
      </c>
      <c r="AG101" s="56">
        <f>IFERROR((VLOOKUP($A101,'Dados StatusInvest'!$A:$AZ,COLUMN(AG101)-$A$5,0)),0)</f>
        <v>0.4</v>
      </c>
      <c r="AH101" s="56">
        <f>IFERROR((VLOOKUP($A101,'Dados StatusInvest'!$A:$AZ,COLUMN(AH101)-$A$5,0)),0)</f>
        <v>-0.51</v>
      </c>
      <c r="AI101" s="57">
        <f>IFERROR((VLOOKUP($A101,'Dados StatusInvest'!$A:$AZ,COLUMN(AI101)-$A$5,0)),0)</f>
        <v>974940393.5</v>
      </c>
      <c r="AJ101" s="59" t="str">
        <f>IFERROR((VLOOKUP($A101,'Dados StatusInvest'!$A:$AZ,COLUMN(AJ101)-$A$5,0)),0)</f>
        <v/>
      </c>
      <c r="AK101" s="60" t="str">
        <f>IFERROR(__xludf.DUMMYFUNCTION("IFERROR(GOOGLEFINANCE($A101,""high""),"""")"),"")</f>
        <v/>
      </c>
      <c r="AL101" s="60" t="str">
        <f>IFERROR(__xludf.DUMMYFUNCTION("IFERROR(GOOGLEFINANCE($A101,""low""),"""")"),"")</f>
        <v/>
      </c>
      <c r="AM101" s="61">
        <f t="shared" si="2"/>
        <v>0</v>
      </c>
      <c r="AN101" s="62">
        <f>IFERROR(__xludf.DUMMYFUNCTION("IFERROR((GOOGLEFINANCE($A101,""volume"")),0)"),0.0)</f>
        <v>0</v>
      </c>
      <c r="AO101" s="60" t="str">
        <f>IFERROR(__xludf.DUMMYFUNCTION("IFERROR((GOOGLEFINANCE($A101,""closeyest"")),"""")"),"")</f>
        <v/>
      </c>
      <c r="AP101" s="60" t="str">
        <f>IFERROR(__xludf.DUMMYFUNCTION("IFERROR((GOOGLEFINANCE($A101,""shares"")),"""")"),"")</f>
        <v/>
      </c>
      <c r="AQ101" s="18"/>
    </row>
    <row r="102">
      <c r="A102" s="45" t="str">
        <f>'Dados StatusInvest'!A97:A716</f>
        <v>BRGE12</v>
      </c>
      <c r="B102" s="46" t="str">
        <f>IFERROR(__xludf.DUMMYFUNCTION("IFERROR((GOOGLEFINANCE(A102,""name"")),"""")"),"")</f>
        <v/>
      </c>
      <c r="C102" s="46" t="str">
        <f>IFERROR((VLOOKUP(LEFT($A102,4),Setor!$A:$E,3,0)),"")</f>
        <v>Financeiro</v>
      </c>
      <c r="D102" s="46" t="str">
        <f>IFERROR((VLOOKUP(LEFT($A102,4),Setor!$A:$E,4,0)),"")</f>
        <v>Previdência e Seguros</v>
      </c>
      <c r="E102" s="46" t="str">
        <f>IFERROR((VLOOKUP(LEFT($A102,4),Setor!$A:$E,5,0)),"")</f>
        <v>Seguradoras</v>
      </c>
      <c r="F102" s="47" t="str">
        <f>IFERROR(__xludf.DUMMYFUNCTION("IFERROR((GOOGLEFINANCE(A102)),"""")"),"")</f>
        <v/>
      </c>
      <c r="G102" s="48" t="str">
        <f>IFERROR(__xludf.DUMMYFUNCTION("IFERROR((sparkline(GOOGLEFINANCE($A102,""price"",TODAY()-30,TODAY(),""DAILY""),{""charttype"",""line"";""linewidth"",1;""color"",""#5f88cc""})),"""")"),"")</f>
        <v/>
      </c>
      <c r="H102" s="49" t="str">
        <f>IFERROR(__xludf.DUMMYFUNCTION("IFERROR((((GOOGLEFINANCE(A102))-(INDEX(GoogleFinance(A102,""PRICE"",$AQ$1),2,2)))/(INDEX(GoogleFinance(A102,""PRICE"",$AQ$1),2,2))),"""")"),"")</f>
        <v/>
      </c>
      <c r="I102" s="47" t="str">
        <f>IFERROR(__xludf.DUMMYFUNCTION("IFERROR((GOOGLEFINANCE($A102,""high52"")),"""")"),"")</f>
        <v/>
      </c>
      <c r="J102" s="48" t="str">
        <f>IFERROR(__xludf.DUMMYFUNCTION("IFERROR((sparkline(GOOGLEFINANCE($A102,""price"",TODAY()-365,TODAY(),""DAILY""),{""charttype"",""line"";""linewidth"",1;""color"",""#5f88cc""})),"""")"),"")</f>
        <v/>
      </c>
      <c r="K102" s="50" t="str">
        <f>IFERROR(__xludf.DUMMYFUNCTION("IFERROR((((GOOGLEFINANCE(A102))-(INDEX(GoogleFinance(A102,""PRICE"",$AP$1),2,2)))/(INDEX(GoogleFinance(A102,""PRICE"",$AP$1),2,2))),"""")"),"")</f>
        <v/>
      </c>
      <c r="L102" s="51">
        <f t="shared" si="1"/>
        <v>0</v>
      </c>
      <c r="M102" s="52">
        <f>IFERROR((VLOOKUP($A102,'Dados StatusInvest'!$A:$AZ,COLUMN(M102)-$A$5,0)*VLOOKUP($A102,'Dados StatusInvest'!$A:$AZ,2,0)/$F102/100),0)</f>
        <v>0</v>
      </c>
      <c r="N102" s="53">
        <f>IFERROR((VLOOKUP($A102,'Dados StatusInvest'!$A:$AZ,COLUMN(N102)-$A$5,0)/VLOOKUP($A102,'Dados StatusInvest'!$A:$AZ,2,0)*$F102),"")</f>
        <v>0</v>
      </c>
      <c r="O102" s="53">
        <f>IFERROR((VLOOKUP($A102,'Dados StatusInvest'!$A:$AZ,COLUMN(O102)-$A$5,0)/VLOOKUP($A102,'Dados StatusInvest'!$A:$AZ,2,0)*$F102),0)</f>
        <v>0</v>
      </c>
      <c r="P102" s="54">
        <f>IFERROR((VLOOKUP($A102,'Dados StatusInvest'!$A:$AZ,COLUMN(P102)-$A$5,0)/VLOOKUP($A102,'Dados StatusInvest'!$A:$AZ,2,0)*$F102),0)</f>
        <v>0</v>
      </c>
      <c r="Q102" s="55">
        <f>IFERROR((VLOOKUP($A102,'Dados StatusInvest'!$A:$AZ,COLUMN(Q102)-$A$5,0)/100),0)</f>
        <v>0.5617</v>
      </c>
      <c r="R102" s="56">
        <f>VLOOKUP($A102,'Dados StatusInvest'!$A:$AZ,COLUMN(R102)-$A$5,0)</f>
        <v>-0.85</v>
      </c>
      <c r="S102" s="56">
        <f>IFERROR((VLOOKUP($A102,'Dados StatusInvest'!$A:$AZ,COLUMN(S102)-$A$5,0)),0)</f>
        <v>279.05</v>
      </c>
      <c r="T102" s="53">
        <f>IFERROR((VLOOKUP($A102,'Dados StatusInvest'!$A:$AZ,COLUMN(T102)-$A$5,0)/VLOOKUP($A102,'Dados StatusInvest'!$A:$AZ,2,0)*$F102),0)</f>
        <v>0</v>
      </c>
      <c r="U102" s="53">
        <f>IFERROR((VLOOKUP($A102,'Dados StatusInvest'!$A:$AZ,COLUMN(U102)-$A$5,0)-VLOOKUP($A102,'Dados StatusInvest'!$A:$AZ,COLUMN(U102)-$A$5-1,0)+T102),0)</f>
        <v>-1.64</v>
      </c>
      <c r="V102" s="56">
        <f>IFERROR((VLOOKUP($A102,'Dados StatusInvest'!$A:$AZ,COLUMN(V102)-$A$5,0)),0)</f>
        <v>3.06</v>
      </c>
      <c r="W102" s="56">
        <f>IFERROR((VLOOKUP($A102,'Dados StatusInvest'!$A:$AZ,COLUMN(W102)-$A$5,0)),0)</f>
        <v>1.56</v>
      </c>
      <c r="X102" s="53">
        <f>IFERROR((VLOOKUP($A102,'Dados StatusInvest'!$A:$AZ,COLUMN(X102)-$A$5,0)/VLOOKUP($A102,'Dados StatusInvest'!$A:$AZ,2,0)*$F102),0)</f>
        <v>0</v>
      </c>
      <c r="Y102" s="54">
        <f>IFERROR((VLOOKUP($A102,'Dados StatusInvest'!$A:$AZ,COLUMN(Y102)-$A$5,0)/VLOOKUP($A102,'Dados StatusInvest'!$A:$AZ,2,0)*$F102),0)</f>
        <v>0</v>
      </c>
      <c r="Z102" s="56">
        <f>IFERROR((VLOOKUP($A102,'Dados StatusInvest'!$A:$AZ,COLUMN(Z102)-$A$5,0)),0)</f>
        <v>0.63</v>
      </c>
      <c r="AA102" s="57">
        <f>IFERROR((VLOOKUP($A102,'Dados StatusInvest'!$A:$AZ,COLUMN(AA102)-$A$5,0)),0)</f>
        <v>0.37</v>
      </c>
      <c r="AB102" s="57">
        <f>IFERROR((VLOOKUP($A102,'Dados StatusInvest'!$A:$AZ,COLUMN(AB102)-$A$5,0)),0)</f>
        <v>0</v>
      </c>
      <c r="AC102" s="58">
        <f>IFERROR((VLOOKUP($A102,'Dados StatusInvest'!$A:$AZ,COLUMN(AC102)-$A$5,0)),0)</f>
        <v>-32.83</v>
      </c>
      <c r="AD102" s="57">
        <f>IFERROR((VLOOKUP($A102,'Dados StatusInvest'!$A:$AZ,COLUMN(AD102)-$A$5,0)),0)</f>
        <v>-11.18</v>
      </c>
      <c r="AE102" s="56">
        <f>IFERROR((VLOOKUP($A102,'Dados StatusInvest'!$A:$AZ,COLUMN(AE102)-$A$5,0)),0)</f>
        <v>0</v>
      </c>
      <c r="AF102" s="56">
        <f>IFERROR((VLOOKUP($A102,'Dados StatusInvest'!$A:$AZ,COLUMN(AF102)-$A$5,0)),0)</f>
        <v>25.56</v>
      </c>
      <c r="AG102" s="56">
        <f>IFERROR((VLOOKUP($A102,'Dados StatusInvest'!$A:$AZ,COLUMN(AG102)-$A$5,0)),0)</f>
        <v>0.4</v>
      </c>
      <c r="AH102" s="56">
        <f>IFERROR((VLOOKUP($A102,'Dados StatusInvest'!$A:$AZ,COLUMN(AH102)-$A$5,0)),0)</f>
        <v>-0.52</v>
      </c>
      <c r="AI102" s="57">
        <f>IFERROR((VLOOKUP($A102,'Dados StatusInvest'!$A:$AZ,COLUMN(AI102)-$A$5,0)),0)</f>
        <v>974940393.5</v>
      </c>
      <c r="AJ102" s="59" t="str">
        <f>IFERROR((VLOOKUP($A102,'Dados StatusInvest'!$A:$AZ,COLUMN(AJ102)-$A$5,0)),0)</f>
        <v/>
      </c>
      <c r="AK102" s="60" t="str">
        <f>IFERROR(__xludf.DUMMYFUNCTION("IFERROR(GOOGLEFINANCE($A102,""high""),"""")"),"")</f>
        <v/>
      </c>
      <c r="AL102" s="60" t="str">
        <f>IFERROR(__xludf.DUMMYFUNCTION("IFERROR(GOOGLEFINANCE($A102,""low""),"""")"),"")</f>
        <v/>
      </c>
      <c r="AM102" s="61">
        <f t="shared" si="2"/>
        <v>0</v>
      </c>
      <c r="AN102" s="62">
        <f>IFERROR(__xludf.DUMMYFUNCTION("IFERROR((GOOGLEFINANCE($A102,""volume"")),0)"),0.0)</f>
        <v>0</v>
      </c>
      <c r="AO102" s="60" t="str">
        <f>IFERROR(__xludf.DUMMYFUNCTION("IFERROR((GOOGLEFINANCE($A102,""closeyest"")),"""")"),"")</f>
        <v/>
      </c>
      <c r="AP102" s="60" t="str">
        <f>IFERROR(__xludf.DUMMYFUNCTION("IFERROR((GOOGLEFINANCE($A102,""shares"")),"""")"),"")</f>
        <v/>
      </c>
      <c r="AQ102" s="18"/>
    </row>
    <row r="103">
      <c r="A103" s="45" t="str">
        <f>'Dados StatusInvest'!A98:A717</f>
        <v>BRGE3</v>
      </c>
      <c r="B103" s="46" t="str">
        <f>IFERROR(__xludf.DUMMYFUNCTION("IFERROR((GOOGLEFINANCE(A103,""name"")),"""")"),"")</f>
        <v/>
      </c>
      <c r="C103" s="46" t="str">
        <f>IFERROR((VLOOKUP(LEFT($A103,4),Setor!$A:$E,3,0)),"")</f>
        <v>Financeiro</v>
      </c>
      <c r="D103" s="46" t="str">
        <f>IFERROR((VLOOKUP(LEFT($A103,4),Setor!$A:$E,4,0)),"")</f>
        <v>Previdência e Seguros</v>
      </c>
      <c r="E103" s="46" t="str">
        <f>IFERROR((VLOOKUP(LEFT($A103,4),Setor!$A:$E,5,0)),"")</f>
        <v>Seguradoras</v>
      </c>
      <c r="F103" s="47" t="str">
        <f>IFERROR(__xludf.DUMMYFUNCTION("IFERROR((GOOGLEFINANCE(A103)),"""")"),"")</f>
        <v/>
      </c>
      <c r="G103" s="48" t="str">
        <f>IFERROR(__xludf.DUMMYFUNCTION("IFERROR((sparkline(GOOGLEFINANCE($A103,""price"",TODAY()-30,TODAY(),""DAILY""),{""charttype"",""line"";""linewidth"",1;""color"",""#5f88cc""})),"""")"),"")</f>
        <v/>
      </c>
      <c r="H103" s="49" t="str">
        <f>IFERROR(__xludf.DUMMYFUNCTION("IFERROR((((GOOGLEFINANCE(A103))-(INDEX(GoogleFinance(A103,""PRICE"",$AQ$1),2,2)))/(INDEX(GoogleFinance(A103,""PRICE"",$AQ$1),2,2))),"""")"),"")</f>
        <v/>
      </c>
      <c r="I103" s="47" t="str">
        <f>IFERROR(__xludf.DUMMYFUNCTION("IFERROR((GOOGLEFINANCE($A103,""high52"")),"""")"),"")</f>
        <v/>
      </c>
      <c r="J103" s="48" t="str">
        <f>IFERROR(__xludf.DUMMYFUNCTION("IFERROR((sparkline(GOOGLEFINANCE($A103,""price"",TODAY()-365,TODAY(),""DAILY""),{""charttype"",""line"";""linewidth"",1;""color"",""#5f88cc""})),"""")"),"")</f>
        <v/>
      </c>
      <c r="K103" s="50" t="str">
        <f>IFERROR(__xludf.DUMMYFUNCTION("IFERROR((((GOOGLEFINANCE(A103))-(INDEX(GoogleFinance(A103,""PRICE"",$AP$1),2,2)))/(INDEX(GoogleFinance(A103,""PRICE"",$AP$1),2,2))),"""")"),"")</f>
        <v/>
      </c>
      <c r="L103" s="51">
        <f t="shared" si="1"/>
        <v>0</v>
      </c>
      <c r="M103" s="52">
        <f>IFERROR((VLOOKUP($A103,'Dados StatusInvest'!$A:$AZ,COLUMN(M103)-$A$5,0)*VLOOKUP($A103,'Dados StatusInvest'!$A:$AZ,2,0)/$F103/100),0)</f>
        <v>0</v>
      </c>
      <c r="N103" s="53">
        <f>IFERROR((VLOOKUP($A103,'Dados StatusInvest'!$A:$AZ,COLUMN(N103)-$A$5,0)/VLOOKUP($A103,'Dados StatusInvest'!$A:$AZ,2,0)*$F103),"")</f>
        <v>0</v>
      </c>
      <c r="O103" s="53">
        <f>IFERROR((VLOOKUP($A103,'Dados StatusInvest'!$A:$AZ,COLUMN(O103)-$A$5,0)/VLOOKUP($A103,'Dados StatusInvest'!$A:$AZ,2,0)*$F103),0)</f>
        <v>0</v>
      </c>
      <c r="P103" s="54">
        <f>IFERROR((VLOOKUP($A103,'Dados StatusInvest'!$A:$AZ,COLUMN(P103)-$A$5,0)/VLOOKUP($A103,'Dados StatusInvest'!$A:$AZ,2,0)*$F103),0)</f>
        <v>0</v>
      </c>
      <c r="Q103" s="55">
        <f>IFERROR((VLOOKUP($A103,'Dados StatusInvest'!$A:$AZ,COLUMN(Q103)-$A$5,0)/100),0)</f>
        <v>0.5617</v>
      </c>
      <c r="R103" s="56">
        <f>VLOOKUP($A103,'Dados StatusInvest'!$A:$AZ,COLUMN(R103)-$A$5,0)</f>
        <v>-0.85</v>
      </c>
      <c r="S103" s="56">
        <f>IFERROR((VLOOKUP($A103,'Dados StatusInvest'!$A:$AZ,COLUMN(S103)-$A$5,0)),0)</f>
        <v>279.67</v>
      </c>
      <c r="T103" s="53">
        <f>IFERROR((VLOOKUP($A103,'Dados StatusInvest'!$A:$AZ,COLUMN(T103)-$A$5,0)/VLOOKUP($A103,'Dados StatusInvest'!$A:$AZ,2,0)*$F103),0)</f>
        <v>0</v>
      </c>
      <c r="U103" s="53">
        <f>IFERROR((VLOOKUP($A103,'Dados StatusInvest'!$A:$AZ,COLUMN(U103)-$A$5,0)-VLOOKUP($A103,'Dados StatusInvest'!$A:$AZ,COLUMN(U103)-$A$5-1,0)+T103),0)</f>
        <v>-1.64</v>
      </c>
      <c r="V103" s="56">
        <f>IFERROR((VLOOKUP($A103,'Dados StatusInvest'!$A:$AZ,COLUMN(V103)-$A$5,0)),0)</f>
        <v>3.06</v>
      </c>
      <c r="W103" s="56">
        <f>IFERROR((VLOOKUP($A103,'Dados StatusInvest'!$A:$AZ,COLUMN(W103)-$A$5,0)),0)</f>
        <v>1.56</v>
      </c>
      <c r="X103" s="53">
        <f>IFERROR((VLOOKUP($A103,'Dados StatusInvest'!$A:$AZ,COLUMN(X103)-$A$5,0)/VLOOKUP($A103,'Dados StatusInvest'!$A:$AZ,2,0)*$F103),0)</f>
        <v>0</v>
      </c>
      <c r="Y103" s="54">
        <f>IFERROR((VLOOKUP($A103,'Dados StatusInvest'!$A:$AZ,COLUMN(Y103)-$A$5,0)/VLOOKUP($A103,'Dados StatusInvest'!$A:$AZ,2,0)*$F103),0)</f>
        <v>0</v>
      </c>
      <c r="Z103" s="56">
        <f>IFERROR((VLOOKUP($A103,'Dados StatusInvest'!$A:$AZ,COLUMN(Z103)-$A$5,0)),0)</f>
        <v>0.63</v>
      </c>
      <c r="AA103" s="57">
        <f>IFERROR((VLOOKUP($A103,'Dados StatusInvest'!$A:$AZ,COLUMN(AA103)-$A$5,0)),0)</f>
        <v>0.37</v>
      </c>
      <c r="AB103" s="57">
        <f>IFERROR((VLOOKUP($A103,'Dados StatusInvest'!$A:$AZ,COLUMN(AB103)-$A$5,0)),0)</f>
        <v>0</v>
      </c>
      <c r="AC103" s="58">
        <f>IFERROR((VLOOKUP($A103,'Dados StatusInvest'!$A:$AZ,COLUMN(AC103)-$A$5,0)),0)</f>
        <v>-32.83</v>
      </c>
      <c r="AD103" s="57">
        <f>IFERROR((VLOOKUP($A103,'Dados StatusInvest'!$A:$AZ,COLUMN(AD103)-$A$5,0)),0)</f>
        <v>-11.18</v>
      </c>
      <c r="AE103" s="56">
        <f>IFERROR((VLOOKUP($A103,'Dados StatusInvest'!$A:$AZ,COLUMN(AE103)-$A$5,0)),0)</f>
        <v>0</v>
      </c>
      <c r="AF103" s="56">
        <f>IFERROR((VLOOKUP($A103,'Dados StatusInvest'!$A:$AZ,COLUMN(AF103)-$A$5,0)),0)</f>
        <v>25.56</v>
      </c>
      <c r="AG103" s="56">
        <f>IFERROR((VLOOKUP($A103,'Dados StatusInvest'!$A:$AZ,COLUMN(AG103)-$A$5,0)),0)</f>
        <v>0.4</v>
      </c>
      <c r="AH103" s="56">
        <f>IFERROR((VLOOKUP($A103,'Dados StatusInvest'!$A:$AZ,COLUMN(AH103)-$A$5,0)),0)</f>
        <v>-0.52</v>
      </c>
      <c r="AI103" s="57">
        <f>IFERROR((VLOOKUP($A103,'Dados StatusInvest'!$A:$AZ,COLUMN(AI103)-$A$5,0)),0)</f>
        <v>974940393.5</v>
      </c>
      <c r="AJ103" s="59" t="str">
        <f>IFERROR((VLOOKUP($A103,'Dados StatusInvest'!$A:$AZ,COLUMN(AJ103)-$A$5,0)),0)</f>
        <v/>
      </c>
      <c r="AK103" s="60" t="str">
        <f>IFERROR(__xludf.DUMMYFUNCTION("IFERROR(GOOGLEFINANCE($A103,""high""),"""")"),"")</f>
        <v/>
      </c>
      <c r="AL103" s="60" t="str">
        <f>IFERROR(__xludf.DUMMYFUNCTION("IFERROR(GOOGLEFINANCE($A103,""low""),"""")"),"")</f>
        <v/>
      </c>
      <c r="AM103" s="61">
        <f t="shared" si="2"/>
        <v>0</v>
      </c>
      <c r="AN103" s="62">
        <f>IFERROR(__xludf.DUMMYFUNCTION("IFERROR((GOOGLEFINANCE($A103,""volume"")),0)"),0.0)</f>
        <v>0</v>
      </c>
      <c r="AO103" s="60" t="str">
        <f>IFERROR(__xludf.DUMMYFUNCTION("IFERROR((GOOGLEFINANCE($A103,""closeyest"")),"""")"),"")</f>
        <v/>
      </c>
      <c r="AP103" s="60" t="str">
        <f>IFERROR(__xludf.DUMMYFUNCTION("IFERROR((GOOGLEFINANCE($A103,""shares"")),"""")"),"")</f>
        <v/>
      </c>
      <c r="AQ103" s="18"/>
    </row>
    <row r="104">
      <c r="A104" s="45" t="str">
        <f>'Dados StatusInvest'!A99:A718</f>
        <v>BRGE5</v>
      </c>
      <c r="B104" s="46" t="str">
        <f>IFERROR(__xludf.DUMMYFUNCTION("IFERROR((GOOGLEFINANCE(A104,""name"")),"""")"),"")</f>
        <v/>
      </c>
      <c r="C104" s="46" t="str">
        <f>IFERROR((VLOOKUP(LEFT($A104,4),Setor!$A:$E,3,0)),"")</f>
        <v>Financeiro</v>
      </c>
      <c r="D104" s="46" t="str">
        <f>IFERROR((VLOOKUP(LEFT($A104,4),Setor!$A:$E,4,0)),"")</f>
        <v>Previdência e Seguros</v>
      </c>
      <c r="E104" s="46" t="str">
        <f>IFERROR((VLOOKUP(LEFT($A104,4),Setor!$A:$E,5,0)),"")</f>
        <v>Seguradoras</v>
      </c>
      <c r="F104" s="47" t="str">
        <f>IFERROR(__xludf.DUMMYFUNCTION("IFERROR((GOOGLEFINANCE(A104)),"""")"),"")</f>
        <v/>
      </c>
      <c r="G104" s="48" t="str">
        <f>IFERROR(__xludf.DUMMYFUNCTION("IFERROR((sparkline(GOOGLEFINANCE($A104,""price"",TODAY()-30,TODAY(),""DAILY""),{""charttype"",""line"";""linewidth"",1;""color"",""#5f88cc""})),"""")"),"")</f>
        <v/>
      </c>
      <c r="H104" s="49" t="str">
        <f>IFERROR(__xludf.DUMMYFUNCTION("IFERROR((((GOOGLEFINANCE(A104))-(INDEX(GoogleFinance(A104,""PRICE"",$AQ$1),2,2)))/(INDEX(GoogleFinance(A104,""PRICE"",$AQ$1),2,2))),"""")"),"")</f>
        <v/>
      </c>
      <c r="I104" s="47" t="str">
        <f>IFERROR(__xludf.DUMMYFUNCTION("IFERROR((GOOGLEFINANCE($A104,""high52"")),"""")"),"")</f>
        <v/>
      </c>
      <c r="J104" s="48" t="str">
        <f>IFERROR(__xludf.DUMMYFUNCTION("IFERROR((sparkline(GOOGLEFINANCE($A104,""price"",TODAY()-365,TODAY(),""DAILY""),{""charttype"",""line"";""linewidth"",1;""color"",""#5f88cc""})),"""")"),"")</f>
        <v/>
      </c>
      <c r="K104" s="50" t="str">
        <f>IFERROR(__xludf.DUMMYFUNCTION("IFERROR((((GOOGLEFINANCE(A104))-(INDEX(GoogleFinance(A104,""PRICE"",$AP$1),2,2)))/(INDEX(GoogleFinance(A104,""PRICE"",$AP$1),2,2))),"""")"),"")</f>
        <v/>
      </c>
      <c r="L104" s="51">
        <f t="shared" si="1"/>
        <v>0</v>
      </c>
      <c r="M104" s="52">
        <f>IFERROR((VLOOKUP($A104,'Dados StatusInvest'!$A:$AZ,COLUMN(M104)-$A$5,0)*VLOOKUP($A104,'Dados StatusInvest'!$A:$AZ,2,0)/$F104/100),0)</f>
        <v>0</v>
      </c>
      <c r="N104" s="53">
        <f>IFERROR((VLOOKUP($A104,'Dados StatusInvest'!$A:$AZ,COLUMN(N104)-$A$5,0)/VLOOKUP($A104,'Dados StatusInvest'!$A:$AZ,2,0)*$F104),"")</f>
        <v>0</v>
      </c>
      <c r="O104" s="53">
        <f>IFERROR((VLOOKUP($A104,'Dados StatusInvest'!$A:$AZ,COLUMN(O104)-$A$5,0)/VLOOKUP($A104,'Dados StatusInvest'!$A:$AZ,2,0)*$F104),0)</f>
        <v>0</v>
      </c>
      <c r="P104" s="54">
        <f>IFERROR((VLOOKUP($A104,'Dados StatusInvest'!$A:$AZ,COLUMN(P104)-$A$5,0)/VLOOKUP($A104,'Dados StatusInvest'!$A:$AZ,2,0)*$F104),0)</f>
        <v>0</v>
      </c>
      <c r="Q104" s="55">
        <f>IFERROR((VLOOKUP($A104,'Dados StatusInvest'!$A:$AZ,COLUMN(Q104)-$A$5,0)/100),0)</f>
        <v>0.5617</v>
      </c>
      <c r="R104" s="56">
        <f>VLOOKUP($A104,'Dados StatusInvest'!$A:$AZ,COLUMN(R104)-$A$5,0)</f>
        <v>-0.85</v>
      </c>
      <c r="S104" s="56">
        <f>IFERROR((VLOOKUP($A104,'Dados StatusInvest'!$A:$AZ,COLUMN(S104)-$A$5,0)),0)</f>
        <v>273.04</v>
      </c>
      <c r="T104" s="53">
        <f>IFERROR((VLOOKUP($A104,'Dados StatusInvest'!$A:$AZ,COLUMN(T104)-$A$5,0)/VLOOKUP($A104,'Dados StatusInvest'!$A:$AZ,2,0)*$F104),0)</f>
        <v>0</v>
      </c>
      <c r="U104" s="53">
        <f>IFERROR((VLOOKUP($A104,'Dados StatusInvest'!$A:$AZ,COLUMN(U104)-$A$5,0)-VLOOKUP($A104,'Dados StatusInvest'!$A:$AZ,COLUMN(U104)-$A$5-1,0)+T104),0)</f>
        <v>-1.6</v>
      </c>
      <c r="V104" s="56">
        <f>IFERROR((VLOOKUP($A104,'Dados StatusInvest'!$A:$AZ,COLUMN(V104)-$A$5,0)),0)</f>
        <v>3.06</v>
      </c>
      <c r="W104" s="56">
        <f>IFERROR((VLOOKUP($A104,'Dados StatusInvest'!$A:$AZ,COLUMN(W104)-$A$5,0)),0)</f>
        <v>1.56</v>
      </c>
      <c r="X104" s="53">
        <f>IFERROR((VLOOKUP($A104,'Dados StatusInvest'!$A:$AZ,COLUMN(X104)-$A$5,0)/VLOOKUP($A104,'Dados StatusInvest'!$A:$AZ,2,0)*$F104),0)</f>
        <v>0</v>
      </c>
      <c r="Y104" s="54">
        <f>IFERROR((VLOOKUP($A104,'Dados StatusInvest'!$A:$AZ,COLUMN(Y104)-$A$5,0)/VLOOKUP($A104,'Dados StatusInvest'!$A:$AZ,2,0)*$F104),0)</f>
        <v>0</v>
      </c>
      <c r="Z104" s="56">
        <f>IFERROR((VLOOKUP($A104,'Dados StatusInvest'!$A:$AZ,COLUMN(Z104)-$A$5,0)),0)</f>
        <v>0.63</v>
      </c>
      <c r="AA104" s="57">
        <f>IFERROR((VLOOKUP($A104,'Dados StatusInvest'!$A:$AZ,COLUMN(AA104)-$A$5,0)),0)</f>
        <v>0.37</v>
      </c>
      <c r="AB104" s="57">
        <f>IFERROR((VLOOKUP($A104,'Dados StatusInvest'!$A:$AZ,COLUMN(AB104)-$A$5,0)),0)</f>
        <v>0</v>
      </c>
      <c r="AC104" s="58">
        <f>IFERROR((VLOOKUP($A104,'Dados StatusInvest'!$A:$AZ,COLUMN(AC104)-$A$5,0)),0)</f>
        <v>-32.83</v>
      </c>
      <c r="AD104" s="57">
        <f>IFERROR((VLOOKUP($A104,'Dados StatusInvest'!$A:$AZ,COLUMN(AD104)-$A$5,0)),0)</f>
        <v>-11.18</v>
      </c>
      <c r="AE104" s="56">
        <f>IFERROR((VLOOKUP($A104,'Dados StatusInvest'!$A:$AZ,COLUMN(AE104)-$A$5,0)),0)</f>
        <v>0</v>
      </c>
      <c r="AF104" s="56">
        <f>IFERROR((VLOOKUP($A104,'Dados StatusInvest'!$A:$AZ,COLUMN(AF104)-$A$5,0)),0)</f>
        <v>25.56</v>
      </c>
      <c r="AG104" s="56">
        <f>IFERROR((VLOOKUP($A104,'Dados StatusInvest'!$A:$AZ,COLUMN(AG104)-$A$5,0)),0)</f>
        <v>0.4</v>
      </c>
      <c r="AH104" s="56">
        <f>IFERROR((VLOOKUP($A104,'Dados StatusInvest'!$A:$AZ,COLUMN(AH104)-$A$5,0)),0)</f>
        <v>-0.51</v>
      </c>
      <c r="AI104" s="57">
        <f>IFERROR((VLOOKUP($A104,'Dados StatusInvest'!$A:$AZ,COLUMN(AI104)-$A$5,0)),0)</f>
        <v>974940393.5</v>
      </c>
      <c r="AJ104" s="59" t="str">
        <f>IFERROR((VLOOKUP($A104,'Dados StatusInvest'!$A:$AZ,COLUMN(AJ104)-$A$5,0)),0)</f>
        <v/>
      </c>
      <c r="AK104" s="60" t="str">
        <f>IFERROR(__xludf.DUMMYFUNCTION("IFERROR(GOOGLEFINANCE($A104,""high""),"""")"),"")</f>
        <v/>
      </c>
      <c r="AL104" s="60" t="str">
        <f>IFERROR(__xludf.DUMMYFUNCTION("IFERROR(GOOGLEFINANCE($A104,""low""),"""")"),"")</f>
        <v/>
      </c>
      <c r="AM104" s="61">
        <f t="shared" si="2"/>
        <v>0</v>
      </c>
      <c r="AN104" s="62">
        <f>IFERROR(__xludf.DUMMYFUNCTION("IFERROR((GOOGLEFINANCE($A104,""volume"")),0)"),0.0)</f>
        <v>0</v>
      </c>
      <c r="AO104" s="60" t="str">
        <f>IFERROR(__xludf.DUMMYFUNCTION("IFERROR((GOOGLEFINANCE($A104,""closeyest"")),"""")"),"")</f>
        <v/>
      </c>
      <c r="AP104" s="60" t="str">
        <f>IFERROR(__xludf.DUMMYFUNCTION("IFERROR((GOOGLEFINANCE($A104,""shares"")),"""")"),"")</f>
        <v/>
      </c>
      <c r="AQ104" s="18"/>
    </row>
    <row r="105">
      <c r="A105" s="45" t="str">
        <f>'Dados StatusInvest'!A100:A719</f>
        <v>BRGE6</v>
      </c>
      <c r="B105" s="46" t="str">
        <f>IFERROR(__xludf.DUMMYFUNCTION("IFERROR((GOOGLEFINANCE(A105,""name"")),"""")"),"")</f>
        <v/>
      </c>
      <c r="C105" s="46" t="str">
        <f>IFERROR((VLOOKUP(LEFT($A105,4),Setor!$A:$E,3,0)),"")</f>
        <v>Financeiro</v>
      </c>
      <c r="D105" s="46" t="str">
        <f>IFERROR((VLOOKUP(LEFT($A105,4),Setor!$A:$E,4,0)),"")</f>
        <v>Previdência e Seguros</v>
      </c>
      <c r="E105" s="46" t="str">
        <f>IFERROR((VLOOKUP(LEFT($A105,4),Setor!$A:$E,5,0)),"")</f>
        <v>Seguradoras</v>
      </c>
      <c r="F105" s="47" t="str">
        <f>IFERROR(__xludf.DUMMYFUNCTION("IFERROR((GOOGLEFINANCE(A105)),"""")"),"")</f>
        <v/>
      </c>
      <c r="G105" s="48" t="str">
        <f>IFERROR(__xludf.DUMMYFUNCTION("IFERROR((sparkline(GOOGLEFINANCE($A105,""price"",TODAY()-30,TODAY(),""DAILY""),{""charttype"",""line"";""linewidth"",1;""color"",""#5f88cc""})),"""")"),"")</f>
        <v/>
      </c>
      <c r="H105" s="49" t="str">
        <f>IFERROR(__xludf.DUMMYFUNCTION("IFERROR((((GOOGLEFINANCE(A105))-(INDEX(GoogleFinance(A105,""PRICE"",$AQ$1),2,2)))/(INDEX(GoogleFinance(A105,""PRICE"",$AQ$1),2,2))),"""")"),"")</f>
        <v/>
      </c>
      <c r="I105" s="47" t="str">
        <f>IFERROR(__xludf.DUMMYFUNCTION("IFERROR((GOOGLEFINANCE($A105,""high52"")),"""")"),"")</f>
        <v/>
      </c>
      <c r="J105" s="48" t="str">
        <f>IFERROR(__xludf.DUMMYFUNCTION("IFERROR((sparkline(GOOGLEFINANCE($A105,""price"",TODAY()-365,TODAY(),""DAILY""),{""charttype"",""line"";""linewidth"",1;""color"",""#5f88cc""})),"""")"),"")</f>
        <v/>
      </c>
      <c r="K105" s="50" t="str">
        <f>IFERROR(__xludf.DUMMYFUNCTION("IFERROR((((GOOGLEFINANCE(A105))-(INDEX(GoogleFinance(A105,""PRICE"",$AP$1),2,2)))/(INDEX(GoogleFinance(A105,""PRICE"",$AP$1),2,2))),"""")"),"")</f>
        <v/>
      </c>
      <c r="L105" s="51">
        <f t="shared" si="1"/>
        <v>0</v>
      </c>
      <c r="M105" s="52">
        <f>IFERROR((VLOOKUP($A105,'Dados StatusInvest'!$A:$AZ,COLUMN(M105)-$A$5,0)*VLOOKUP($A105,'Dados StatusInvest'!$A:$AZ,2,0)/$F105/100),0)</f>
        <v>0</v>
      </c>
      <c r="N105" s="53">
        <f>IFERROR((VLOOKUP($A105,'Dados StatusInvest'!$A:$AZ,COLUMN(N105)-$A$5,0)/VLOOKUP($A105,'Dados StatusInvest'!$A:$AZ,2,0)*$F105),"")</f>
        <v>0</v>
      </c>
      <c r="O105" s="53">
        <f>IFERROR((VLOOKUP($A105,'Dados StatusInvest'!$A:$AZ,COLUMN(O105)-$A$5,0)/VLOOKUP($A105,'Dados StatusInvest'!$A:$AZ,2,0)*$F105),0)</f>
        <v>0</v>
      </c>
      <c r="P105" s="54">
        <f>IFERROR((VLOOKUP($A105,'Dados StatusInvest'!$A:$AZ,COLUMN(P105)-$A$5,0)/VLOOKUP($A105,'Dados StatusInvest'!$A:$AZ,2,0)*$F105),0)</f>
        <v>0</v>
      </c>
      <c r="Q105" s="55">
        <f>IFERROR((VLOOKUP($A105,'Dados StatusInvest'!$A:$AZ,COLUMN(Q105)-$A$5,0)/100),0)</f>
        <v>0.5617</v>
      </c>
      <c r="R105" s="56">
        <f>VLOOKUP($A105,'Dados StatusInvest'!$A:$AZ,COLUMN(R105)-$A$5,0)</f>
        <v>-0.85</v>
      </c>
      <c r="S105" s="56">
        <f>IFERROR((VLOOKUP($A105,'Dados StatusInvest'!$A:$AZ,COLUMN(S105)-$A$5,0)),0)</f>
        <v>267.65</v>
      </c>
      <c r="T105" s="53">
        <f>IFERROR((VLOOKUP($A105,'Dados StatusInvest'!$A:$AZ,COLUMN(T105)-$A$5,0)/VLOOKUP($A105,'Dados StatusInvest'!$A:$AZ,2,0)*$F105),0)</f>
        <v>0</v>
      </c>
      <c r="U105" s="53">
        <f>IFERROR((VLOOKUP($A105,'Dados StatusInvest'!$A:$AZ,COLUMN(U105)-$A$5,0)-VLOOKUP($A105,'Dados StatusInvest'!$A:$AZ,COLUMN(U105)-$A$5-1,0)+T105),0)</f>
        <v>-1.57</v>
      </c>
      <c r="V105" s="56">
        <f>IFERROR((VLOOKUP($A105,'Dados StatusInvest'!$A:$AZ,COLUMN(V105)-$A$5,0)),0)</f>
        <v>3.06</v>
      </c>
      <c r="W105" s="56">
        <f>IFERROR((VLOOKUP($A105,'Dados StatusInvest'!$A:$AZ,COLUMN(W105)-$A$5,0)),0)</f>
        <v>1.56</v>
      </c>
      <c r="X105" s="53">
        <f>IFERROR((VLOOKUP($A105,'Dados StatusInvest'!$A:$AZ,COLUMN(X105)-$A$5,0)/VLOOKUP($A105,'Dados StatusInvest'!$A:$AZ,2,0)*$F105),0)</f>
        <v>0</v>
      </c>
      <c r="Y105" s="54">
        <f>IFERROR((VLOOKUP($A105,'Dados StatusInvest'!$A:$AZ,COLUMN(Y105)-$A$5,0)/VLOOKUP($A105,'Dados StatusInvest'!$A:$AZ,2,0)*$F105),0)</f>
        <v>0</v>
      </c>
      <c r="Z105" s="56">
        <f>IFERROR((VLOOKUP($A105,'Dados StatusInvest'!$A:$AZ,COLUMN(Z105)-$A$5,0)),0)</f>
        <v>0.63</v>
      </c>
      <c r="AA105" s="57">
        <f>IFERROR((VLOOKUP($A105,'Dados StatusInvest'!$A:$AZ,COLUMN(AA105)-$A$5,0)),0)</f>
        <v>0.37</v>
      </c>
      <c r="AB105" s="57">
        <f>IFERROR((VLOOKUP($A105,'Dados StatusInvest'!$A:$AZ,COLUMN(AB105)-$A$5,0)),0)</f>
        <v>0</v>
      </c>
      <c r="AC105" s="58">
        <f>IFERROR((VLOOKUP($A105,'Dados StatusInvest'!$A:$AZ,COLUMN(AC105)-$A$5,0)),0)</f>
        <v>-32.83</v>
      </c>
      <c r="AD105" s="57">
        <f>IFERROR((VLOOKUP($A105,'Dados StatusInvest'!$A:$AZ,COLUMN(AD105)-$A$5,0)),0)</f>
        <v>-11.18</v>
      </c>
      <c r="AE105" s="56">
        <f>IFERROR((VLOOKUP($A105,'Dados StatusInvest'!$A:$AZ,COLUMN(AE105)-$A$5,0)),0)</f>
        <v>0</v>
      </c>
      <c r="AF105" s="56">
        <f>IFERROR((VLOOKUP($A105,'Dados StatusInvest'!$A:$AZ,COLUMN(AF105)-$A$5,0)),0)</f>
        <v>25.56</v>
      </c>
      <c r="AG105" s="56">
        <f>IFERROR((VLOOKUP($A105,'Dados StatusInvest'!$A:$AZ,COLUMN(AG105)-$A$5,0)),0)</f>
        <v>0.4</v>
      </c>
      <c r="AH105" s="56">
        <f>IFERROR((VLOOKUP($A105,'Dados StatusInvest'!$A:$AZ,COLUMN(AH105)-$A$5,0)),0)</f>
        <v>-0.5</v>
      </c>
      <c r="AI105" s="57">
        <f>IFERROR((VLOOKUP($A105,'Dados StatusInvest'!$A:$AZ,COLUMN(AI105)-$A$5,0)),0)</f>
        <v>974940393.5</v>
      </c>
      <c r="AJ105" s="59" t="str">
        <f>IFERROR((VLOOKUP($A105,'Dados StatusInvest'!$A:$AZ,COLUMN(AJ105)-$A$5,0)),0)</f>
        <v/>
      </c>
      <c r="AK105" s="60" t="str">
        <f>IFERROR(__xludf.DUMMYFUNCTION("IFERROR(GOOGLEFINANCE($A105,""high""),"""")"),"")</f>
        <v/>
      </c>
      <c r="AL105" s="60" t="str">
        <f>IFERROR(__xludf.DUMMYFUNCTION("IFERROR(GOOGLEFINANCE($A105,""low""),"""")"),"")</f>
        <v/>
      </c>
      <c r="AM105" s="61">
        <f t="shared" si="2"/>
        <v>0</v>
      </c>
      <c r="AN105" s="62">
        <f>IFERROR(__xludf.DUMMYFUNCTION("IFERROR((GOOGLEFINANCE($A105,""volume"")),0)"),0.0)</f>
        <v>0</v>
      </c>
      <c r="AO105" s="60" t="str">
        <f>IFERROR(__xludf.DUMMYFUNCTION("IFERROR((GOOGLEFINANCE($A105,""closeyest"")),"""")"),"")</f>
        <v/>
      </c>
      <c r="AP105" s="60" t="str">
        <f>IFERROR(__xludf.DUMMYFUNCTION("IFERROR((GOOGLEFINANCE($A105,""shares"")),"""")"),"")</f>
        <v/>
      </c>
      <c r="AQ105" s="18"/>
    </row>
    <row r="106">
      <c r="A106" s="45" t="str">
        <f>'Dados StatusInvest'!A101:A720</f>
        <v>BRGE7</v>
      </c>
      <c r="B106" s="46" t="str">
        <f>IFERROR(__xludf.DUMMYFUNCTION("IFERROR((GOOGLEFINANCE(A106,""name"")),"""")"),"")</f>
        <v/>
      </c>
      <c r="C106" s="46" t="str">
        <f>IFERROR((VLOOKUP(LEFT($A106,4),Setor!$A:$E,3,0)),"")</f>
        <v>Financeiro</v>
      </c>
      <c r="D106" s="46" t="str">
        <f>IFERROR((VLOOKUP(LEFT($A106,4),Setor!$A:$E,4,0)),"")</f>
        <v>Previdência e Seguros</v>
      </c>
      <c r="E106" s="46" t="str">
        <f>IFERROR((VLOOKUP(LEFT($A106,4),Setor!$A:$E,5,0)),"")</f>
        <v>Seguradoras</v>
      </c>
      <c r="F106" s="47" t="str">
        <f>IFERROR(__xludf.DUMMYFUNCTION("IFERROR((GOOGLEFINANCE(A106)),"""")"),"")</f>
        <v/>
      </c>
      <c r="G106" s="48" t="str">
        <f>IFERROR(__xludf.DUMMYFUNCTION("IFERROR((sparkline(GOOGLEFINANCE($A106,""price"",TODAY()-30,TODAY(),""DAILY""),{""charttype"",""line"";""linewidth"",1;""color"",""#5f88cc""})),"""")"),"")</f>
        <v/>
      </c>
      <c r="H106" s="49" t="str">
        <f>IFERROR(__xludf.DUMMYFUNCTION("IFERROR((((GOOGLEFINANCE(A106))-(INDEX(GoogleFinance(A106,""PRICE"",$AQ$1),2,2)))/(INDEX(GoogleFinance(A106,""PRICE"",$AQ$1),2,2))),"""")"),"")</f>
        <v/>
      </c>
      <c r="I106" s="47" t="str">
        <f>IFERROR(__xludf.DUMMYFUNCTION("IFERROR((GOOGLEFINANCE($A106,""high52"")),"""")"),"")</f>
        <v/>
      </c>
      <c r="J106" s="48" t="str">
        <f>IFERROR(__xludf.DUMMYFUNCTION("IFERROR((sparkline(GOOGLEFINANCE($A106,""price"",TODAY()-365,TODAY(),""DAILY""),{""charttype"",""line"";""linewidth"",1;""color"",""#5f88cc""})),"""")"),"")</f>
        <v/>
      </c>
      <c r="K106" s="50" t="str">
        <f>IFERROR(__xludf.DUMMYFUNCTION("IFERROR((((GOOGLEFINANCE(A106))-(INDEX(GoogleFinance(A106,""PRICE"",$AP$1),2,2)))/(INDEX(GoogleFinance(A106,""PRICE"",$AP$1),2,2))),"""")"),"")</f>
        <v/>
      </c>
      <c r="L106" s="51">
        <f t="shared" si="1"/>
        <v>0</v>
      </c>
      <c r="M106" s="52">
        <f>IFERROR((VLOOKUP($A106,'Dados StatusInvest'!$A:$AZ,COLUMN(M106)-$A$5,0)*VLOOKUP($A106,'Dados StatusInvest'!$A:$AZ,2,0)/$F106/100),0)</f>
        <v>0</v>
      </c>
      <c r="N106" s="53">
        <f>IFERROR((VLOOKUP($A106,'Dados StatusInvest'!$A:$AZ,COLUMN(N106)-$A$5,0)/VLOOKUP($A106,'Dados StatusInvest'!$A:$AZ,2,0)*$F106),"")</f>
        <v>0</v>
      </c>
      <c r="O106" s="53">
        <f>IFERROR((VLOOKUP($A106,'Dados StatusInvest'!$A:$AZ,COLUMN(O106)-$A$5,0)/VLOOKUP($A106,'Dados StatusInvest'!$A:$AZ,2,0)*$F106),0)</f>
        <v>0</v>
      </c>
      <c r="P106" s="54">
        <f>IFERROR((VLOOKUP($A106,'Dados StatusInvest'!$A:$AZ,COLUMN(P106)-$A$5,0)/VLOOKUP($A106,'Dados StatusInvest'!$A:$AZ,2,0)*$F106),0)</f>
        <v>0</v>
      </c>
      <c r="Q106" s="55">
        <f>IFERROR((VLOOKUP($A106,'Dados StatusInvest'!$A:$AZ,COLUMN(Q106)-$A$5,0)/100),0)</f>
        <v>0.5617</v>
      </c>
      <c r="R106" s="56">
        <f>VLOOKUP($A106,'Dados StatusInvest'!$A:$AZ,COLUMN(R106)-$A$5,0)</f>
        <v>-0.85</v>
      </c>
      <c r="S106" s="56">
        <f>IFERROR((VLOOKUP($A106,'Dados StatusInvest'!$A:$AZ,COLUMN(S106)-$A$5,0)),0)</f>
        <v>270.76</v>
      </c>
      <c r="T106" s="53">
        <f>IFERROR((VLOOKUP($A106,'Dados StatusInvest'!$A:$AZ,COLUMN(T106)-$A$5,0)/VLOOKUP($A106,'Dados StatusInvest'!$A:$AZ,2,0)*$F106),0)</f>
        <v>0</v>
      </c>
      <c r="U106" s="53">
        <f>IFERROR((VLOOKUP($A106,'Dados StatusInvest'!$A:$AZ,COLUMN(U106)-$A$5,0)-VLOOKUP($A106,'Dados StatusInvest'!$A:$AZ,COLUMN(U106)-$A$5-1,0)+T106),0)</f>
        <v>-1.58</v>
      </c>
      <c r="V106" s="56">
        <f>IFERROR((VLOOKUP($A106,'Dados StatusInvest'!$A:$AZ,COLUMN(V106)-$A$5,0)),0)</f>
        <v>3.06</v>
      </c>
      <c r="W106" s="56">
        <f>IFERROR((VLOOKUP($A106,'Dados StatusInvest'!$A:$AZ,COLUMN(W106)-$A$5,0)),0)</f>
        <v>1.56</v>
      </c>
      <c r="X106" s="53">
        <f>IFERROR((VLOOKUP($A106,'Dados StatusInvest'!$A:$AZ,COLUMN(X106)-$A$5,0)/VLOOKUP($A106,'Dados StatusInvest'!$A:$AZ,2,0)*$F106),0)</f>
        <v>0</v>
      </c>
      <c r="Y106" s="54">
        <f>IFERROR((VLOOKUP($A106,'Dados StatusInvest'!$A:$AZ,COLUMN(Y106)-$A$5,0)/VLOOKUP($A106,'Dados StatusInvest'!$A:$AZ,2,0)*$F106),0)</f>
        <v>0</v>
      </c>
      <c r="Z106" s="56">
        <f>IFERROR((VLOOKUP($A106,'Dados StatusInvest'!$A:$AZ,COLUMN(Z106)-$A$5,0)),0)</f>
        <v>0.63</v>
      </c>
      <c r="AA106" s="57">
        <f>IFERROR((VLOOKUP($A106,'Dados StatusInvest'!$A:$AZ,COLUMN(AA106)-$A$5,0)),0)</f>
        <v>0.37</v>
      </c>
      <c r="AB106" s="57">
        <f>IFERROR((VLOOKUP($A106,'Dados StatusInvest'!$A:$AZ,COLUMN(AB106)-$A$5,0)),0)</f>
        <v>0</v>
      </c>
      <c r="AC106" s="58">
        <f>IFERROR((VLOOKUP($A106,'Dados StatusInvest'!$A:$AZ,COLUMN(AC106)-$A$5,0)),0)</f>
        <v>-32.83</v>
      </c>
      <c r="AD106" s="57">
        <f>IFERROR((VLOOKUP($A106,'Dados StatusInvest'!$A:$AZ,COLUMN(AD106)-$A$5,0)),0)</f>
        <v>-11.18</v>
      </c>
      <c r="AE106" s="56">
        <f>IFERROR((VLOOKUP($A106,'Dados StatusInvest'!$A:$AZ,COLUMN(AE106)-$A$5,0)),0)</f>
        <v>0</v>
      </c>
      <c r="AF106" s="56">
        <f>IFERROR((VLOOKUP($A106,'Dados StatusInvest'!$A:$AZ,COLUMN(AF106)-$A$5,0)),0)</f>
        <v>25.56</v>
      </c>
      <c r="AG106" s="56">
        <f>IFERROR((VLOOKUP($A106,'Dados StatusInvest'!$A:$AZ,COLUMN(AG106)-$A$5,0)),0)</f>
        <v>0.4</v>
      </c>
      <c r="AH106" s="56">
        <f>IFERROR((VLOOKUP($A106,'Dados StatusInvest'!$A:$AZ,COLUMN(AH106)-$A$5,0)),0)</f>
        <v>-0.5</v>
      </c>
      <c r="AI106" s="57">
        <f>IFERROR((VLOOKUP($A106,'Dados StatusInvest'!$A:$AZ,COLUMN(AI106)-$A$5,0)),0)</f>
        <v>974940393.5</v>
      </c>
      <c r="AJ106" s="59" t="str">
        <f>IFERROR((VLOOKUP($A106,'Dados StatusInvest'!$A:$AZ,COLUMN(AJ106)-$A$5,0)),0)</f>
        <v/>
      </c>
      <c r="AK106" s="60" t="str">
        <f>IFERROR(__xludf.DUMMYFUNCTION("IFERROR(GOOGLEFINANCE($A106,""high""),"""")"),"")</f>
        <v/>
      </c>
      <c r="AL106" s="60" t="str">
        <f>IFERROR(__xludf.DUMMYFUNCTION("IFERROR(GOOGLEFINANCE($A106,""low""),"""")"),"")</f>
        <v/>
      </c>
      <c r="AM106" s="61">
        <f t="shared" si="2"/>
        <v>0</v>
      </c>
      <c r="AN106" s="62">
        <f>IFERROR(__xludf.DUMMYFUNCTION("IFERROR((GOOGLEFINANCE($A106,""volume"")),0)"),0.0)</f>
        <v>0</v>
      </c>
      <c r="AO106" s="60" t="str">
        <f>IFERROR(__xludf.DUMMYFUNCTION("IFERROR((GOOGLEFINANCE($A106,""closeyest"")),"""")"),"")</f>
        <v/>
      </c>
      <c r="AP106" s="60" t="str">
        <f>IFERROR(__xludf.DUMMYFUNCTION("IFERROR((GOOGLEFINANCE($A106,""shares"")),"""")"),"")</f>
        <v/>
      </c>
      <c r="AQ106" s="18"/>
    </row>
    <row r="107">
      <c r="A107" s="45" t="str">
        <f>'Dados StatusInvest'!A102:A721</f>
        <v>BRGE8</v>
      </c>
      <c r="B107" s="46" t="str">
        <f>IFERROR(__xludf.DUMMYFUNCTION("IFERROR((GOOGLEFINANCE(A107,""name"")),"""")"),"")</f>
        <v/>
      </c>
      <c r="C107" s="46" t="str">
        <f>IFERROR((VLOOKUP(LEFT($A107,4),Setor!$A:$E,3,0)),"")</f>
        <v>Financeiro</v>
      </c>
      <c r="D107" s="46" t="str">
        <f>IFERROR((VLOOKUP(LEFT($A107,4),Setor!$A:$E,4,0)),"")</f>
        <v>Previdência e Seguros</v>
      </c>
      <c r="E107" s="46" t="str">
        <f>IFERROR((VLOOKUP(LEFT($A107,4),Setor!$A:$E,5,0)),"")</f>
        <v>Seguradoras</v>
      </c>
      <c r="F107" s="47" t="str">
        <f>IFERROR(__xludf.DUMMYFUNCTION("IFERROR((GOOGLEFINANCE(A107)),"""")"),"")</f>
        <v/>
      </c>
      <c r="G107" s="48" t="str">
        <f>IFERROR(__xludf.DUMMYFUNCTION("IFERROR((sparkline(GOOGLEFINANCE($A107,""price"",TODAY()-30,TODAY(),""DAILY""),{""charttype"",""line"";""linewidth"",1;""color"",""#5f88cc""})),"""")"),"")</f>
        <v/>
      </c>
      <c r="H107" s="49" t="str">
        <f>IFERROR(__xludf.DUMMYFUNCTION("IFERROR((((GOOGLEFINANCE(A107))-(INDEX(GoogleFinance(A107,""PRICE"",$AQ$1),2,2)))/(INDEX(GoogleFinance(A107,""PRICE"",$AQ$1),2,2))),"""")"),"")</f>
        <v/>
      </c>
      <c r="I107" s="47" t="str">
        <f>IFERROR(__xludf.DUMMYFUNCTION("IFERROR((GOOGLEFINANCE($A107,""high52"")),"""")"),"")</f>
        <v/>
      </c>
      <c r="J107" s="48" t="str">
        <f>IFERROR(__xludf.DUMMYFUNCTION("IFERROR((sparkline(GOOGLEFINANCE($A107,""price"",TODAY()-365,TODAY(),""DAILY""),{""charttype"",""line"";""linewidth"",1;""color"",""#5f88cc""})),"""")"),"")</f>
        <v/>
      </c>
      <c r="K107" s="50" t="str">
        <f>IFERROR(__xludf.DUMMYFUNCTION("IFERROR((((GOOGLEFINANCE(A107))-(INDEX(GoogleFinance(A107,""PRICE"",$AP$1),2,2)))/(INDEX(GoogleFinance(A107,""PRICE"",$AP$1),2,2))),"""")"),"")</f>
        <v/>
      </c>
      <c r="L107" s="51">
        <f t="shared" si="1"/>
        <v>0</v>
      </c>
      <c r="M107" s="52">
        <f>IFERROR((VLOOKUP($A107,'Dados StatusInvest'!$A:$AZ,COLUMN(M107)-$A$5,0)*VLOOKUP($A107,'Dados StatusInvest'!$A:$AZ,2,0)/$F107/100),0)</f>
        <v>0</v>
      </c>
      <c r="N107" s="53">
        <f>IFERROR((VLOOKUP($A107,'Dados StatusInvest'!$A:$AZ,COLUMN(N107)-$A$5,0)/VLOOKUP($A107,'Dados StatusInvest'!$A:$AZ,2,0)*$F107),"")</f>
        <v>0</v>
      </c>
      <c r="O107" s="53">
        <f>IFERROR((VLOOKUP($A107,'Dados StatusInvest'!$A:$AZ,COLUMN(O107)-$A$5,0)/VLOOKUP($A107,'Dados StatusInvest'!$A:$AZ,2,0)*$F107),0)</f>
        <v>0</v>
      </c>
      <c r="P107" s="54">
        <f>IFERROR((VLOOKUP($A107,'Dados StatusInvest'!$A:$AZ,COLUMN(P107)-$A$5,0)/VLOOKUP($A107,'Dados StatusInvest'!$A:$AZ,2,0)*$F107),0)</f>
        <v>0</v>
      </c>
      <c r="Q107" s="55">
        <f>IFERROR((VLOOKUP($A107,'Dados StatusInvest'!$A:$AZ,COLUMN(Q107)-$A$5,0)/100),0)</f>
        <v>0.5617</v>
      </c>
      <c r="R107" s="56">
        <f>VLOOKUP($A107,'Dados StatusInvest'!$A:$AZ,COLUMN(R107)-$A$5,0)</f>
        <v>-0.85</v>
      </c>
      <c r="S107" s="56">
        <f>IFERROR((VLOOKUP($A107,'Dados StatusInvest'!$A:$AZ,COLUMN(S107)-$A$5,0)),0)</f>
        <v>272.83</v>
      </c>
      <c r="T107" s="53">
        <f>IFERROR((VLOOKUP($A107,'Dados StatusInvest'!$A:$AZ,COLUMN(T107)-$A$5,0)/VLOOKUP($A107,'Dados StatusInvest'!$A:$AZ,2,0)*$F107),0)</f>
        <v>0</v>
      </c>
      <c r="U107" s="53">
        <f>IFERROR((VLOOKUP($A107,'Dados StatusInvest'!$A:$AZ,COLUMN(U107)-$A$5,0)-VLOOKUP($A107,'Dados StatusInvest'!$A:$AZ,COLUMN(U107)-$A$5-1,0)+T107),0)</f>
        <v>-1.6</v>
      </c>
      <c r="V107" s="56">
        <f>IFERROR((VLOOKUP($A107,'Dados StatusInvest'!$A:$AZ,COLUMN(V107)-$A$5,0)),0)</f>
        <v>3.06</v>
      </c>
      <c r="W107" s="56">
        <f>IFERROR((VLOOKUP($A107,'Dados StatusInvest'!$A:$AZ,COLUMN(W107)-$A$5,0)),0)</f>
        <v>1.56</v>
      </c>
      <c r="X107" s="53">
        <f>IFERROR((VLOOKUP($A107,'Dados StatusInvest'!$A:$AZ,COLUMN(X107)-$A$5,0)/VLOOKUP($A107,'Dados StatusInvest'!$A:$AZ,2,0)*$F107),0)</f>
        <v>0</v>
      </c>
      <c r="Y107" s="54">
        <f>IFERROR((VLOOKUP($A107,'Dados StatusInvest'!$A:$AZ,COLUMN(Y107)-$A$5,0)/VLOOKUP($A107,'Dados StatusInvest'!$A:$AZ,2,0)*$F107),0)</f>
        <v>0</v>
      </c>
      <c r="Z107" s="56">
        <f>IFERROR((VLOOKUP($A107,'Dados StatusInvest'!$A:$AZ,COLUMN(Z107)-$A$5,0)),0)</f>
        <v>0.63</v>
      </c>
      <c r="AA107" s="57">
        <f>IFERROR((VLOOKUP($A107,'Dados StatusInvest'!$A:$AZ,COLUMN(AA107)-$A$5,0)),0)</f>
        <v>0.37</v>
      </c>
      <c r="AB107" s="57">
        <f>IFERROR((VLOOKUP($A107,'Dados StatusInvest'!$A:$AZ,COLUMN(AB107)-$A$5,0)),0)</f>
        <v>0</v>
      </c>
      <c r="AC107" s="58">
        <f>IFERROR((VLOOKUP($A107,'Dados StatusInvest'!$A:$AZ,COLUMN(AC107)-$A$5,0)),0)</f>
        <v>-32.83</v>
      </c>
      <c r="AD107" s="57">
        <f>IFERROR((VLOOKUP($A107,'Dados StatusInvest'!$A:$AZ,COLUMN(AD107)-$A$5,0)),0)</f>
        <v>-11.18</v>
      </c>
      <c r="AE107" s="56">
        <f>IFERROR((VLOOKUP($A107,'Dados StatusInvest'!$A:$AZ,COLUMN(AE107)-$A$5,0)),0)</f>
        <v>0</v>
      </c>
      <c r="AF107" s="56">
        <f>IFERROR((VLOOKUP($A107,'Dados StatusInvest'!$A:$AZ,COLUMN(AF107)-$A$5,0)),0)</f>
        <v>25.56</v>
      </c>
      <c r="AG107" s="56">
        <f>IFERROR((VLOOKUP($A107,'Dados StatusInvest'!$A:$AZ,COLUMN(AG107)-$A$5,0)),0)</f>
        <v>0.4</v>
      </c>
      <c r="AH107" s="56">
        <f>IFERROR((VLOOKUP($A107,'Dados StatusInvest'!$A:$AZ,COLUMN(AH107)-$A$5,0)),0)</f>
        <v>-0.51</v>
      </c>
      <c r="AI107" s="57">
        <f>IFERROR((VLOOKUP($A107,'Dados StatusInvest'!$A:$AZ,COLUMN(AI107)-$A$5,0)),0)</f>
        <v>974940393.5</v>
      </c>
      <c r="AJ107" s="59" t="str">
        <f>IFERROR((VLOOKUP($A107,'Dados StatusInvest'!$A:$AZ,COLUMN(AJ107)-$A$5,0)),0)</f>
        <v/>
      </c>
      <c r="AK107" s="60" t="str">
        <f>IFERROR(__xludf.DUMMYFUNCTION("IFERROR(GOOGLEFINANCE($A107,""high""),"""")"),"")</f>
        <v/>
      </c>
      <c r="AL107" s="60" t="str">
        <f>IFERROR(__xludf.DUMMYFUNCTION("IFERROR(GOOGLEFINANCE($A107,""low""),"""")"),"")</f>
        <v/>
      </c>
      <c r="AM107" s="61">
        <f t="shared" si="2"/>
        <v>0</v>
      </c>
      <c r="AN107" s="62">
        <f>IFERROR(__xludf.DUMMYFUNCTION("IFERROR((GOOGLEFINANCE($A107,""volume"")),0)"),0.0)</f>
        <v>0</v>
      </c>
      <c r="AO107" s="60" t="str">
        <f>IFERROR(__xludf.DUMMYFUNCTION("IFERROR((GOOGLEFINANCE($A107,""closeyest"")),"""")"),"")</f>
        <v/>
      </c>
      <c r="AP107" s="60" t="str">
        <f>IFERROR(__xludf.DUMMYFUNCTION("IFERROR((GOOGLEFINANCE($A107,""shares"")),"""")"),"")</f>
        <v/>
      </c>
      <c r="AQ107" s="18"/>
    </row>
    <row r="108">
      <c r="A108" s="45" t="str">
        <f>'Dados StatusInvest'!A103:A722</f>
        <v>BRIV3</v>
      </c>
      <c r="B108" s="46" t="str">
        <f>IFERROR(__xludf.DUMMYFUNCTION("IFERROR((GOOGLEFINANCE(A108,""name"")),"""")"),"")</f>
        <v/>
      </c>
      <c r="C108" s="46" t="str">
        <f>IFERROR((VLOOKUP(LEFT($A108,4),Setor!$A:$E,3,0)),"")</f>
        <v>Financeiro</v>
      </c>
      <c r="D108" s="46" t="str">
        <f>IFERROR((VLOOKUP(LEFT($A108,4),Setor!$A:$E,4,0)),"")</f>
        <v>Intermediários Financeiros</v>
      </c>
      <c r="E108" s="46" t="str">
        <f>IFERROR((VLOOKUP(LEFT($A108,4),Setor!$A:$E,5,0)),"")</f>
        <v>Bancos</v>
      </c>
      <c r="F108" s="47" t="str">
        <f>IFERROR(__xludf.DUMMYFUNCTION("IFERROR((GOOGLEFINANCE(A108)),"""")"),"")</f>
        <v/>
      </c>
      <c r="G108" s="48" t="str">
        <f>IFERROR(__xludf.DUMMYFUNCTION("IFERROR((sparkline(GOOGLEFINANCE($A108,""price"",TODAY()-30,TODAY(),""DAILY""),{""charttype"",""line"";""linewidth"",1;""color"",""#5f88cc""})),"""")"),"")</f>
        <v/>
      </c>
      <c r="H108" s="49" t="str">
        <f>IFERROR(__xludf.DUMMYFUNCTION("IFERROR((((GOOGLEFINANCE(A108))-(INDEX(GoogleFinance(A108,""PRICE"",$AQ$1),2,2)))/(INDEX(GoogleFinance(A108,""PRICE"",$AQ$1),2,2))),"""")"),"")</f>
        <v/>
      </c>
      <c r="I108" s="47" t="str">
        <f>IFERROR(__xludf.DUMMYFUNCTION("IFERROR((GOOGLEFINANCE($A108,""high52"")),"""")"),"")</f>
        <v/>
      </c>
      <c r="J108" s="48" t="str">
        <f>IFERROR(__xludf.DUMMYFUNCTION("IFERROR((sparkline(GOOGLEFINANCE($A108,""price"",TODAY()-365,TODAY(),""DAILY""),{""charttype"",""line"";""linewidth"",1;""color"",""#5f88cc""})),"""")"),"")</f>
        <v/>
      </c>
      <c r="K108" s="50" t="str">
        <f>IFERROR(__xludf.DUMMYFUNCTION("IFERROR((((GOOGLEFINANCE(A108))-(INDEX(GoogleFinance(A108,""PRICE"",$AP$1),2,2)))/(INDEX(GoogleFinance(A108,""PRICE"",$AP$1),2,2))),"""")"),"")</f>
        <v/>
      </c>
      <c r="L108" s="51">
        <f t="shared" si="1"/>
        <v>0</v>
      </c>
      <c r="M108" s="52">
        <f>IFERROR((VLOOKUP($A108,'Dados StatusInvest'!$A:$AZ,COLUMN(M108)-$A$5,0)*VLOOKUP($A108,'Dados StatusInvest'!$A:$AZ,2,0)/$F108/100),0)</f>
        <v>0</v>
      </c>
      <c r="N108" s="53">
        <f>IFERROR((VLOOKUP($A108,'Dados StatusInvest'!$A:$AZ,COLUMN(N108)-$A$5,0)/VLOOKUP($A108,'Dados StatusInvest'!$A:$AZ,2,0)*$F108),"")</f>
        <v>0</v>
      </c>
      <c r="O108" s="53">
        <f>IFERROR((VLOOKUP($A108,'Dados StatusInvest'!$A:$AZ,COLUMN(O108)-$A$5,0)/VLOOKUP($A108,'Dados StatusInvest'!$A:$AZ,2,0)*$F108),0)</f>
        <v>0</v>
      </c>
      <c r="P108" s="54">
        <f>IFERROR((VLOOKUP($A108,'Dados StatusInvest'!$A:$AZ,COLUMN(P108)-$A$5,0)/VLOOKUP($A108,'Dados StatusInvest'!$A:$AZ,2,0)*$F108),0)</f>
        <v>0</v>
      </c>
      <c r="Q108" s="55">
        <f>IFERROR((VLOOKUP($A108,'Dados StatusInvest'!$A:$AZ,COLUMN(Q108)-$A$5,0)/100),0)</f>
        <v>0</v>
      </c>
      <c r="R108" s="56">
        <f>VLOOKUP($A108,'Dados StatusInvest'!$A:$AZ,COLUMN(R108)-$A$5,0)</f>
        <v>0</v>
      </c>
      <c r="S108" s="56">
        <f>IFERROR((VLOOKUP($A108,'Dados StatusInvest'!$A:$AZ,COLUMN(S108)-$A$5,0)),0)</f>
        <v>0.35</v>
      </c>
      <c r="T108" s="53">
        <f>IFERROR((VLOOKUP($A108,'Dados StatusInvest'!$A:$AZ,COLUMN(T108)-$A$5,0)/VLOOKUP($A108,'Dados StatusInvest'!$A:$AZ,2,0)*$F108),0)</f>
        <v>0</v>
      </c>
      <c r="U108" s="53">
        <f>IFERROR((VLOOKUP($A108,'Dados StatusInvest'!$A:$AZ,COLUMN(U108)-$A$5,0)-VLOOKUP($A108,'Dados StatusInvest'!$A:$AZ,COLUMN(U108)-$A$5-1,0)+T108),0)</f>
        <v>-2.23</v>
      </c>
      <c r="V108" s="56">
        <f>IFERROR((VLOOKUP($A108,'Dados StatusInvest'!$A:$AZ,COLUMN(V108)-$A$5,0)),0)</f>
        <v>4</v>
      </c>
      <c r="W108" s="56">
        <f>IFERROR((VLOOKUP($A108,'Dados StatusInvest'!$A:$AZ,COLUMN(W108)-$A$5,0)),0)</f>
        <v>0.17</v>
      </c>
      <c r="X108" s="53">
        <f>IFERROR((VLOOKUP($A108,'Dados StatusInvest'!$A:$AZ,COLUMN(X108)-$A$5,0)/VLOOKUP($A108,'Dados StatusInvest'!$A:$AZ,2,0)*$F108),0)</f>
        <v>0</v>
      </c>
      <c r="Y108" s="54">
        <f>IFERROR((VLOOKUP($A108,'Dados StatusInvest'!$A:$AZ,COLUMN(Y108)-$A$5,0)/VLOOKUP($A108,'Dados StatusInvest'!$A:$AZ,2,0)*$F108),0)</f>
        <v>0</v>
      </c>
      <c r="Z108" s="56">
        <f>IFERROR((VLOOKUP($A108,'Dados StatusInvest'!$A:$AZ,COLUMN(Z108)-$A$5,0)),0)</f>
        <v>0.06</v>
      </c>
      <c r="AA108" s="57">
        <f>IFERROR((VLOOKUP($A108,'Dados StatusInvest'!$A:$AZ,COLUMN(AA108)-$A$5,0)),0)</f>
        <v>0.94</v>
      </c>
      <c r="AB108" s="57">
        <f>IFERROR((VLOOKUP($A108,'Dados StatusInvest'!$A:$AZ,COLUMN(AB108)-$A$5,0)),0)</f>
        <v>0.12</v>
      </c>
      <c r="AC108" s="58">
        <f>IFERROR((VLOOKUP($A108,'Dados StatusInvest'!$A:$AZ,COLUMN(AC108)-$A$5,0)),0)</f>
        <v>29.48</v>
      </c>
      <c r="AD108" s="57">
        <f>IFERROR((VLOOKUP($A108,'Dados StatusInvest'!$A:$AZ,COLUMN(AD108)-$A$5,0)),0)</f>
        <v>-43.98</v>
      </c>
      <c r="AE108" s="56">
        <f>IFERROR((VLOOKUP($A108,'Dados StatusInvest'!$A:$AZ,COLUMN(AE108)-$A$5,0)),0)</f>
        <v>0</v>
      </c>
      <c r="AF108" s="56">
        <f>IFERROR((VLOOKUP($A108,'Dados StatusInvest'!$A:$AZ,COLUMN(AF108)-$A$5,0)),0)</f>
        <v>19.32</v>
      </c>
      <c r="AG108" s="56">
        <f>IFERROR((VLOOKUP($A108,'Dados StatusInvest'!$A:$AZ,COLUMN(AG108)-$A$5,0)),0)</f>
        <v>0.03</v>
      </c>
      <c r="AH108" s="56">
        <f>IFERROR((VLOOKUP($A108,'Dados StatusInvest'!$A:$AZ,COLUMN(AH108)-$A$5,0)),0)</f>
        <v>-3.98</v>
      </c>
      <c r="AI108" s="57">
        <f>IFERROR((VLOOKUP($A108,'Dados StatusInvest'!$A:$AZ,COLUMN(AI108)-$A$5,0)),0)</f>
        <v>1128165605</v>
      </c>
      <c r="AJ108" s="59" t="str">
        <f>IFERROR((VLOOKUP($A108,'Dados StatusInvest'!$A:$AZ,COLUMN(AJ108)-$A$5,0)),0)</f>
        <v/>
      </c>
      <c r="AK108" s="60" t="str">
        <f>IFERROR(__xludf.DUMMYFUNCTION("IFERROR(GOOGLEFINANCE($A108,""high""),"""")"),"")</f>
        <v/>
      </c>
      <c r="AL108" s="60" t="str">
        <f>IFERROR(__xludf.DUMMYFUNCTION("IFERROR(GOOGLEFINANCE($A108,""low""),"""")"),"")</f>
        <v/>
      </c>
      <c r="AM108" s="61">
        <f t="shared" si="2"/>
        <v>0</v>
      </c>
      <c r="AN108" s="62">
        <f>IFERROR(__xludf.DUMMYFUNCTION("IFERROR((GOOGLEFINANCE($A108,""volume"")),0)"),0.0)</f>
        <v>0</v>
      </c>
      <c r="AO108" s="60" t="str">
        <f>IFERROR(__xludf.DUMMYFUNCTION("IFERROR((GOOGLEFINANCE($A108,""closeyest"")),"""")"),"")</f>
        <v/>
      </c>
      <c r="AP108" s="60" t="str">
        <f>IFERROR(__xludf.DUMMYFUNCTION("IFERROR((GOOGLEFINANCE($A108,""shares"")),"""")"),"")</f>
        <v/>
      </c>
      <c r="AQ108" s="18"/>
    </row>
    <row r="109">
      <c r="A109" s="45" t="str">
        <f>'Dados StatusInvest'!A104:A723</f>
        <v>BRIV4</v>
      </c>
      <c r="B109" s="46" t="str">
        <f>IFERROR(__xludf.DUMMYFUNCTION("IFERROR((GOOGLEFINANCE(A109,""name"")),"""")"),"")</f>
        <v/>
      </c>
      <c r="C109" s="46" t="str">
        <f>IFERROR((VLOOKUP(LEFT($A109,4),Setor!$A:$E,3,0)),"")</f>
        <v>Financeiro</v>
      </c>
      <c r="D109" s="46" t="str">
        <f>IFERROR((VLOOKUP(LEFT($A109,4),Setor!$A:$E,4,0)),"")</f>
        <v>Intermediários Financeiros</v>
      </c>
      <c r="E109" s="46" t="str">
        <f>IFERROR((VLOOKUP(LEFT($A109,4),Setor!$A:$E,5,0)),"")</f>
        <v>Bancos</v>
      </c>
      <c r="F109" s="47" t="str">
        <f>IFERROR(__xludf.DUMMYFUNCTION("IFERROR((GOOGLEFINANCE(A109)),"""")"),"")</f>
        <v/>
      </c>
      <c r="G109" s="48" t="str">
        <f>IFERROR(__xludf.DUMMYFUNCTION("IFERROR((sparkline(GOOGLEFINANCE($A109,""price"",TODAY()-30,TODAY(),""DAILY""),{""charttype"",""line"";""linewidth"",1;""color"",""#5f88cc""})),"""")"),"")</f>
        <v/>
      </c>
      <c r="H109" s="49" t="str">
        <f>IFERROR(__xludf.DUMMYFUNCTION("IFERROR((((GOOGLEFINANCE(A109))-(INDEX(GoogleFinance(A109,""PRICE"",$AQ$1),2,2)))/(INDEX(GoogleFinance(A109,""PRICE"",$AQ$1),2,2))),"""")"),"")</f>
        <v/>
      </c>
      <c r="I109" s="47" t="str">
        <f>IFERROR(__xludf.DUMMYFUNCTION("IFERROR((GOOGLEFINANCE($A109,""high52"")),"""")"),"")</f>
        <v/>
      </c>
      <c r="J109" s="48" t="str">
        <f>IFERROR(__xludf.DUMMYFUNCTION("IFERROR((sparkline(GOOGLEFINANCE($A109,""price"",TODAY()-365,TODAY(),""DAILY""),{""charttype"",""line"";""linewidth"",1;""color"",""#5f88cc""})),"""")"),"")</f>
        <v/>
      </c>
      <c r="K109" s="50" t="str">
        <f>IFERROR(__xludf.DUMMYFUNCTION("IFERROR((((GOOGLEFINANCE(A109))-(INDEX(GoogleFinance(A109,""PRICE"",$AP$1),2,2)))/(INDEX(GoogleFinance(A109,""PRICE"",$AP$1),2,2))),"""")"),"")</f>
        <v/>
      </c>
      <c r="L109" s="51">
        <f t="shared" si="1"/>
        <v>0</v>
      </c>
      <c r="M109" s="52">
        <f>IFERROR((VLOOKUP($A109,'Dados StatusInvest'!$A:$AZ,COLUMN(M109)-$A$5,0)*VLOOKUP($A109,'Dados StatusInvest'!$A:$AZ,2,0)/$F109/100),0)</f>
        <v>0</v>
      </c>
      <c r="N109" s="53">
        <f>IFERROR((VLOOKUP($A109,'Dados StatusInvest'!$A:$AZ,COLUMN(N109)-$A$5,0)/VLOOKUP($A109,'Dados StatusInvest'!$A:$AZ,2,0)*$F109),"")</f>
        <v>0</v>
      </c>
      <c r="O109" s="53">
        <f>IFERROR((VLOOKUP($A109,'Dados StatusInvest'!$A:$AZ,COLUMN(O109)-$A$5,0)/VLOOKUP($A109,'Dados StatusInvest'!$A:$AZ,2,0)*$F109),0)</f>
        <v>0</v>
      </c>
      <c r="P109" s="54">
        <f>IFERROR((VLOOKUP($A109,'Dados StatusInvest'!$A:$AZ,COLUMN(P109)-$A$5,0)/VLOOKUP($A109,'Dados StatusInvest'!$A:$AZ,2,0)*$F109),0)</f>
        <v>0</v>
      </c>
      <c r="Q109" s="55">
        <f>IFERROR((VLOOKUP($A109,'Dados StatusInvest'!$A:$AZ,COLUMN(Q109)-$A$5,0)/100),0)</f>
        <v>0</v>
      </c>
      <c r="R109" s="56">
        <f>VLOOKUP($A109,'Dados StatusInvest'!$A:$AZ,COLUMN(R109)-$A$5,0)</f>
        <v>0</v>
      </c>
      <c r="S109" s="56">
        <f>IFERROR((VLOOKUP($A109,'Dados StatusInvest'!$A:$AZ,COLUMN(S109)-$A$5,0)),0)</f>
        <v>0.34</v>
      </c>
      <c r="T109" s="53">
        <f>IFERROR((VLOOKUP($A109,'Dados StatusInvest'!$A:$AZ,COLUMN(T109)-$A$5,0)/VLOOKUP($A109,'Dados StatusInvest'!$A:$AZ,2,0)*$F109),0)</f>
        <v>0</v>
      </c>
      <c r="U109" s="53">
        <f>IFERROR((VLOOKUP($A109,'Dados StatusInvest'!$A:$AZ,COLUMN(U109)-$A$5,0)-VLOOKUP($A109,'Dados StatusInvest'!$A:$AZ,COLUMN(U109)-$A$5-1,0)+T109),0)</f>
        <v>-2.18</v>
      </c>
      <c r="V109" s="56">
        <f>IFERROR((VLOOKUP($A109,'Dados StatusInvest'!$A:$AZ,COLUMN(V109)-$A$5,0)),0)</f>
        <v>4</v>
      </c>
      <c r="W109" s="56">
        <f>IFERROR((VLOOKUP($A109,'Dados StatusInvest'!$A:$AZ,COLUMN(W109)-$A$5,0)),0)</f>
        <v>0.17</v>
      </c>
      <c r="X109" s="53">
        <f>IFERROR((VLOOKUP($A109,'Dados StatusInvest'!$A:$AZ,COLUMN(X109)-$A$5,0)/VLOOKUP($A109,'Dados StatusInvest'!$A:$AZ,2,0)*$F109),0)</f>
        <v>0</v>
      </c>
      <c r="Y109" s="54">
        <f>IFERROR((VLOOKUP($A109,'Dados StatusInvest'!$A:$AZ,COLUMN(Y109)-$A$5,0)/VLOOKUP($A109,'Dados StatusInvest'!$A:$AZ,2,0)*$F109),0)</f>
        <v>0</v>
      </c>
      <c r="Z109" s="56">
        <f>IFERROR((VLOOKUP($A109,'Dados StatusInvest'!$A:$AZ,COLUMN(Z109)-$A$5,0)),0)</f>
        <v>0.06</v>
      </c>
      <c r="AA109" s="57">
        <f>IFERROR((VLOOKUP($A109,'Dados StatusInvest'!$A:$AZ,COLUMN(AA109)-$A$5,0)),0)</f>
        <v>0.94</v>
      </c>
      <c r="AB109" s="57">
        <f>IFERROR((VLOOKUP($A109,'Dados StatusInvest'!$A:$AZ,COLUMN(AB109)-$A$5,0)),0)</f>
        <v>0.12</v>
      </c>
      <c r="AC109" s="58">
        <f>IFERROR((VLOOKUP($A109,'Dados StatusInvest'!$A:$AZ,COLUMN(AC109)-$A$5,0)),0)</f>
        <v>29.48</v>
      </c>
      <c r="AD109" s="57">
        <f>IFERROR((VLOOKUP($A109,'Dados StatusInvest'!$A:$AZ,COLUMN(AD109)-$A$5,0)),0)</f>
        <v>-43.98</v>
      </c>
      <c r="AE109" s="56">
        <f>IFERROR((VLOOKUP($A109,'Dados StatusInvest'!$A:$AZ,COLUMN(AE109)-$A$5,0)),0)</f>
        <v>0</v>
      </c>
      <c r="AF109" s="56">
        <f>IFERROR((VLOOKUP($A109,'Dados StatusInvest'!$A:$AZ,COLUMN(AF109)-$A$5,0)),0)</f>
        <v>19.32</v>
      </c>
      <c r="AG109" s="56">
        <f>IFERROR((VLOOKUP($A109,'Dados StatusInvest'!$A:$AZ,COLUMN(AG109)-$A$5,0)),0)</f>
        <v>0.03</v>
      </c>
      <c r="AH109" s="56">
        <f>IFERROR((VLOOKUP($A109,'Dados StatusInvest'!$A:$AZ,COLUMN(AH109)-$A$5,0)),0)</f>
        <v>-3.89</v>
      </c>
      <c r="AI109" s="57">
        <f>IFERROR((VLOOKUP($A109,'Dados StatusInvest'!$A:$AZ,COLUMN(AI109)-$A$5,0)),0)</f>
        <v>1128165605</v>
      </c>
      <c r="AJ109" s="59" t="str">
        <f>IFERROR((VLOOKUP($A109,'Dados StatusInvest'!$A:$AZ,COLUMN(AJ109)-$A$5,0)),0)</f>
        <v/>
      </c>
      <c r="AK109" s="60" t="str">
        <f>IFERROR(__xludf.DUMMYFUNCTION("IFERROR(GOOGLEFINANCE($A109,""high""),"""")"),"")</f>
        <v/>
      </c>
      <c r="AL109" s="60" t="str">
        <f>IFERROR(__xludf.DUMMYFUNCTION("IFERROR(GOOGLEFINANCE($A109,""low""),"""")"),"")</f>
        <v/>
      </c>
      <c r="AM109" s="61">
        <f t="shared" si="2"/>
        <v>0</v>
      </c>
      <c r="AN109" s="62">
        <f>IFERROR(__xludf.DUMMYFUNCTION("IFERROR((GOOGLEFINANCE($A109,""volume"")),0)"),0.0)</f>
        <v>0</v>
      </c>
      <c r="AO109" s="60" t="str">
        <f>IFERROR(__xludf.DUMMYFUNCTION("IFERROR((GOOGLEFINANCE($A109,""closeyest"")),"""")"),"")</f>
        <v/>
      </c>
      <c r="AP109" s="60" t="str">
        <f>IFERROR(__xludf.DUMMYFUNCTION("IFERROR((GOOGLEFINANCE($A109,""shares"")),"""")"),"")</f>
        <v/>
      </c>
      <c r="AQ109" s="18"/>
    </row>
    <row r="110">
      <c r="A110" s="45" t="str">
        <f>'Dados StatusInvest'!A105:A724</f>
        <v>BRKM3</v>
      </c>
      <c r="B110" s="46" t="str">
        <f>IFERROR(__xludf.DUMMYFUNCTION("IFERROR((GOOGLEFINANCE(A110,""name"")),"""")"),"Braskem SA")</f>
        <v>Braskem SA</v>
      </c>
      <c r="C110" s="46" t="str">
        <f>IFERROR((VLOOKUP(LEFT($A110,4),Setor!$A:$E,3,0)),"")</f>
        <v>Materiais Básicos</v>
      </c>
      <c r="D110" s="46" t="str">
        <f>IFERROR((VLOOKUP(LEFT($A110,4),Setor!$A:$E,4,0)),"")</f>
        <v>Químicos</v>
      </c>
      <c r="E110" s="46" t="str">
        <f>IFERROR((VLOOKUP(LEFT($A110,4),Setor!$A:$E,5,0)),"")</f>
        <v>Petroquímicos</v>
      </c>
      <c r="F110" s="47">
        <f>IFERROR(__xludf.DUMMYFUNCTION("IFERROR((GOOGLEFINANCE(A110)),"""")"),9.4)</f>
        <v>9.4</v>
      </c>
      <c r="G110" s="48" t="str">
        <f>IFERROR(__xludf.DUMMYFUNCTION("IFERROR((sparkline(GOOGLEFINANCE($A110,""price"",TODAY()-30,TODAY(),""DAILY""),{""charttype"",""line"";""linewidth"",1;""color"",""#5f88cc""})),"""")"),"")</f>
        <v/>
      </c>
      <c r="H110" s="49">
        <f>IFERROR(__xludf.DUMMYFUNCTION("IFERROR((((GOOGLEFINANCE(A110))-(INDEX(GoogleFinance(A110,""PRICE"",$AQ$1),2,2)))/(INDEX(GoogleFinance(A110,""PRICE"",$AQ$1),2,2))),"""")"),0.09684947491248543)</f>
        <v>0.09684947491</v>
      </c>
      <c r="I110" s="47">
        <f>IFERROR(__xludf.DUMMYFUNCTION("IFERROR((GOOGLEFINANCE($A110,""high52"")),"""")"),13.15)</f>
        <v>13.15</v>
      </c>
      <c r="J110" s="48" t="str">
        <f>IFERROR(__xludf.DUMMYFUNCTION("IFERROR((sparkline(GOOGLEFINANCE($A110,""price"",TODAY()-365,TODAY(),""DAILY""),{""charttype"",""line"";""linewidth"",1;""color"",""#5f88cc""})),"""")"),"")</f>
        <v/>
      </c>
      <c r="K110" s="50">
        <f>IFERROR(__xludf.DUMMYFUNCTION("IFERROR((((GOOGLEFINANCE(A110))-(INDEX(GoogleFinance(A110,""PRICE"",$AP$1),2,2)))/(INDEX(GoogleFinance(A110,""PRICE"",$AP$1),2,2))),"""")"),-0.2667706708268331)</f>
        <v>-0.2667706708</v>
      </c>
      <c r="L110" s="51">
        <f t="shared" si="1"/>
        <v>-0.2851711027</v>
      </c>
      <c r="M110" s="52">
        <f>IFERROR((VLOOKUP($A110,'Dados StatusInvest'!$A:$AZ,COLUMN(M110)-$A$5,0)*VLOOKUP($A110,'Dados StatusInvest'!$A:$AZ,2,0)/$F110/100),0)</f>
        <v>-0.05386978723</v>
      </c>
      <c r="N110" s="53">
        <f>IFERROR((VLOOKUP($A110,'Dados StatusInvest'!$A:$AZ,COLUMN(N110)-$A$5,0)/VLOOKUP($A110,'Dados StatusInvest'!$A:$AZ,2,0)*$F110),"")</f>
        <v>-6.467521368</v>
      </c>
      <c r="O110" s="53">
        <f>IFERROR((VLOOKUP($A110,'Dados StatusInvest'!$A:$AZ,COLUMN(O110)-$A$5,0)/VLOOKUP($A110,'Dados StatusInvest'!$A:$AZ,2,0)*$F110),0)</f>
        <v>-1.877991453</v>
      </c>
      <c r="P110" s="54">
        <f>IFERROR((VLOOKUP($A110,'Dados StatusInvest'!$A:$AZ,COLUMN(P110)-$A$5,0)/VLOOKUP($A110,'Dados StatusInvest'!$A:$AZ,2,0)*$F110),0)</f>
        <v>-11.31816239</v>
      </c>
      <c r="Q110" s="55">
        <f>IFERROR((VLOOKUP($A110,'Dados StatusInvest'!$A:$AZ,COLUMN(Q110)-$A$5,0)/100),0)</f>
        <v>-0.0935</v>
      </c>
      <c r="R110" s="56">
        <f>VLOOKUP($A110,'Dados StatusInvest'!$A:$AZ,COLUMN(R110)-$A$5,0)</f>
        <v>0</v>
      </c>
      <c r="S110" s="56">
        <f>IFERROR((VLOOKUP($A110,'Dados StatusInvest'!$A:$AZ,COLUMN(S110)-$A$5,0)),0)</f>
        <v>0.1</v>
      </c>
      <c r="T110" s="53">
        <f>IFERROR((VLOOKUP($A110,'Dados StatusInvest'!$A:$AZ,COLUMN(T110)-$A$5,0)/VLOOKUP($A110,'Dados StatusInvest'!$A:$AZ,2,0)*$F110),0)</f>
        <v>1.908119658</v>
      </c>
      <c r="U110" s="53">
        <f>IFERROR((VLOOKUP($A110,'Dados StatusInvest'!$A:$AZ,COLUMN(U110)-$A$5,0)-VLOOKUP($A110,'Dados StatusInvest'!$A:$AZ,COLUMN(U110)-$A$5-1,0)+T110),0)</f>
        <v>-0.1118803419</v>
      </c>
      <c r="V110" s="56">
        <f>IFERROR((VLOOKUP($A110,'Dados StatusInvest'!$A:$AZ,COLUMN(V110)-$A$5,0)),0)</f>
        <v>1.18</v>
      </c>
      <c r="W110" s="56">
        <f>IFERROR((VLOOKUP($A110,'Dados StatusInvest'!$A:$AZ,COLUMN(W110)-$A$5,0)),0)</f>
        <v>-134.56</v>
      </c>
      <c r="X110" s="53">
        <f>IFERROR((VLOOKUP($A110,'Dados StatusInvest'!$A:$AZ,COLUMN(X110)-$A$5,0)/VLOOKUP($A110,'Dados StatusInvest'!$A:$AZ,2,0)*$F110),0)</f>
        <v>-5.463247863</v>
      </c>
      <c r="Y110" s="54">
        <f>IFERROR((VLOOKUP($A110,'Dados StatusInvest'!$A:$AZ,COLUMN(Y110)-$A$5,0)/VLOOKUP($A110,'Dados StatusInvest'!$A:$AZ,2,0)*$F110),0)</f>
        <v>-21.96346154</v>
      </c>
      <c r="Z110" s="56">
        <f>IFERROR((VLOOKUP($A110,'Dados StatusInvest'!$A:$AZ,COLUMN(Z110)-$A$5,0)),0)</f>
        <v>-0.04</v>
      </c>
      <c r="AA110" s="57">
        <f>IFERROR((VLOOKUP($A110,'Dados StatusInvest'!$A:$AZ,COLUMN(AA110)-$A$5,0)),0)</f>
        <v>1.04</v>
      </c>
      <c r="AB110" s="57">
        <f>IFERROR((VLOOKUP($A110,'Dados StatusInvest'!$A:$AZ,COLUMN(AB110)-$A$5,0)),0)</f>
        <v>0.84</v>
      </c>
      <c r="AC110" s="58">
        <f>IFERROR((VLOOKUP($A110,'Dados StatusInvest'!$A:$AZ,COLUMN(AC110)-$A$5,0)),0)</f>
        <v>8.15</v>
      </c>
      <c r="AD110" s="57">
        <f>IFERROR((VLOOKUP($A110,'Dados StatusInvest'!$A:$AZ,COLUMN(AD110)-$A$5,0)),0)</f>
        <v>0</v>
      </c>
      <c r="AE110" s="56">
        <f>IFERROR((VLOOKUP($A110,'Dados StatusInvest'!$A:$AZ,COLUMN(AE110)-$A$5,0)),0)</f>
        <v>453130.5</v>
      </c>
      <c r="AF110" s="56">
        <f>IFERROR((VLOOKUP($A110,'Dados StatusInvest'!$A:$AZ,COLUMN(AF110)-$A$5,0)),0)</f>
        <v>-4.43</v>
      </c>
      <c r="AG110" s="56">
        <f>IFERROR((VLOOKUP($A110,'Dados StatusInvest'!$A:$AZ,COLUMN(AG110)-$A$5,0)),0)</f>
        <v>-5.96</v>
      </c>
      <c r="AH110" s="56">
        <f>IFERROR((VLOOKUP($A110,'Dados StatusInvest'!$A:$AZ,COLUMN(AH110)-$A$5,0)),0)</f>
        <v>0.04</v>
      </c>
      <c r="AI110" s="57">
        <f>IFERROR((VLOOKUP($A110,'Dados StatusInvest'!$A:$AZ,COLUMN(AI110)-$A$5,0)),0)</f>
        <v>7669188835</v>
      </c>
      <c r="AJ110" s="59" t="str">
        <f>IFERROR((VLOOKUP($A110,'Dados StatusInvest'!$A:$AZ,COLUMN(AJ110)-$A$5,0)),0)</f>
        <v/>
      </c>
      <c r="AK110" s="60">
        <f>IFERROR(__xludf.DUMMYFUNCTION("IFERROR(GOOGLEFINANCE($A110,""high""),"""")"),9.4)</f>
        <v>9.4</v>
      </c>
      <c r="AL110" s="60">
        <f>IFERROR(__xludf.DUMMYFUNCTION("IFERROR(GOOGLEFINANCE($A110,""low""),"""")"),9.4)</f>
        <v>9.4</v>
      </c>
      <c r="AM110" s="61">
        <f t="shared" si="2"/>
        <v>0</v>
      </c>
      <c r="AN110" s="62">
        <f>IFERROR(__xludf.DUMMYFUNCTION("IFERROR((GOOGLEFINANCE($A110,""volume"")),0)"),100.0)</f>
        <v>100</v>
      </c>
      <c r="AO110" s="60">
        <f>IFERROR(__xludf.DUMMYFUNCTION("IFERROR((GOOGLEFINANCE($A110,""closeyest"")),"""")"),9.36)</f>
        <v>9.36</v>
      </c>
      <c r="AP110" s="60">
        <f>IFERROR(__xludf.DUMMYFUNCTION("IFERROR((GOOGLEFINANCE($A110,""shares"")),"""")"),4.51668652E8)</f>
        <v>451668652</v>
      </c>
      <c r="AQ110" s="18"/>
    </row>
    <row r="111">
      <c r="A111" s="45" t="str">
        <f>'Dados StatusInvest'!A106:A725</f>
        <v>BRKM5</v>
      </c>
      <c r="B111" s="46" t="str">
        <f>IFERROR(__xludf.DUMMYFUNCTION("IFERROR((GOOGLEFINANCE(A111,""name"")),"""")"),"Braskem SA Preference Shares Class A")</f>
        <v>Braskem SA Preference Shares Class A</v>
      </c>
      <c r="C111" s="46" t="str">
        <f>IFERROR((VLOOKUP(LEFT($A111,4),Setor!$A:$E,3,0)),"")</f>
        <v>Materiais Básicos</v>
      </c>
      <c r="D111" s="46" t="str">
        <f>IFERROR((VLOOKUP(LEFT($A111,4),Setor!$A:$E,4,0)),"")</f>
        <v>Químicos</v>
      </c>
      <c r="E111" s="46" t="str">
        <f>IFERROR((VLOOKUP(LEFT($A111,4),Setor!$A:$E,5,0)),"")</f>
        <v>Petroquímicos</v>
      </c>
      <c r="F111" s="47">
        <f>IFERROR(__xludf.DUMMYFUNCTION("IFERROR((GOOGLEFINANCE(A111)),"""")"),9.75)</f>
        <v>9.75</v>
      </c>
      <c r="G111" s="48" t="str">
        <f>IFERROR(__xludf.DUMMYFUNCTION("IFERROR((sparkline(GOOGLEFINANCE($A111,""price"",TODAY()-30,TODAY(),""DAILY""),{""charttype"",""line"";""linewidth"",1;""color"",""#5f88cc""})),"""")"),"")</f>
        <v/>
      </c>
      <c r="H111" s="49">
        <f>IFERROR(__xludf.DUMMYFUNCTION("IFERROR((((GOOGLEFINANCE(A111))-(INDEX(GoogleFinance(A111,""PRICE"",$AQ$1),2,2)))/(INDEX(GoogleFinance(A111,""PRICE"",$AQ$1),2,2))),"""")"),0.14840989399293283)</f>
        <v>0.148409894</v>
      </c>
      <c r="I111" s="47">
        <f>IFERROR(__xludf.DUMMYFUNCTION("IFERROR((GOOGLEFINANCE($A111,""high52"")),"""")"),13.23)</f>
        <v>13.23</v>
      </c>
      <c r="J111" s="48" t="str">
        <f>IFERROR(__xludf.DUMMYFUNCTION("IFERROR((sparkline(GOOGLEFINANCE($A111,""price"",TODAY()-365,TODAY(),""DAILY""),{""charttype"",""line"";""linewidth"",1;""color"",""#5f88cc""})),"""")"),"")</f>
        <v/>
      </c>
      <c r="K111" s="50">
        <f>IFERROR(__xludf.DUMMYFUNCTION("IFERROR((((GOOGLEFINANCE(A111))-(INDEX(GoogleFinance(A111,""PRICE"",$AP$1),2,2)))/(INDEX(GoogleFinance(A111,""PRICE"",$AP$1),2,2))),"""")"),-0.25230061349693245)</f>
        <v>-0.2523006135</v>
      </c>
      <c r="L111" s="51">
        <f t="shared" si="1"/>
        <v>-0.2630385488</v>
      </c>
      <c r="M111" s="52">
        <f>IFERROR((VLOOKUP($A111,'Dados StatusInvest'!$A:$AZ,COLUMN(M111)-$A$5,0)*VLOOKUP($A111,'Dados StatusInvest'!$A:$AZ,2,0)/$F111/100),0)</f>
        <v>-0.05526523077</v>
      </c>
      <c r="N111" s="53">
        <f>IFERROR((VLOOKUP($A111,'Dados StatusInvest'!$A:$AZ,COLUMN(N111)-$A$5,0)/VLOOKUP($A111,'Dados StatusInvest'!$A:$AZ,2,0)*$F111),"")</f>
        <v>-6.304216867</v>
      </c>
      <c r="O111" s="53">
        <f>IFERROR((VLOOKUP($A111,'Dados StatusInvest'!$A:$AZ,COLUMN(O111)-$A$5,0)/VLOOKUP($A111,'Dados StatusInvest'!$A:$AZ,2,0)*$F111),0)</f>
        <v>-1.948042169</v>
      </c>
      <c r="P111" s="54">
        <f>IFERROR((VLOOKUP($A111,'Dados StatusInvest'!$A:$AZ,COLUMN(P111)-$A$5,0)/VLOOKUP($A111,'Dados StatusInvest'!$A:$AZ,2,0)*$F111),0)</f>
        <v>-11.03237952</v>
      </c>
      <c r="Q111" s="55">
        <f>IFERROR((VLOOKUP($A111,'Dados StatusInvest'!$A:$AZ,COLUMN(Q111)-$A$5,0)/100),0)</f>
        <v>-0.0935</v>
      </c>
      <c r="R111" s="56">
        <f>VLOOKUP($A111,'Dados StatusInvest'!$A:$AZ,COLUMN(R111)-$A$5,0)</f>
        <v>0</v>
      </c>
      <c r="S111" s="56">
        <f>IFERROR((VLOOKUP($A111,'Dados StatusInvest'!$A:$AZ,COLUMN(S111)-$A$5,0)),0)</f>
        <v>0.11</v>
      </c>
      <c r="T111" s="53">
        <f>IFERROR((VLOOKUP($A111,'Dados StatusInvest'!$A:$AZ,COLUMN(T111)-$A$5,0)/VLOOKUP($A111,'Dados StatusInvest'!$A:$AZ,2,0)*$F111),0)</f>
        <v>1.987198795</v>
      </c>
      <c r="U111" s="53">
        <f>IFERROR((VLOOKUP($A111,'Dados StatusInvest'!$A:$AZ,COLUMN(U111)-$A$5,0)-VLOOKUP($A111,'Dados StatusInvest'!$A:$AZ,COLUMN(U111)-$A$5-1,0)+T111),0)</f>
        <v>-0.1728012048</v>
      </c>
      <c r="V111" s="56">
        <f>IFERROR((VLOOKUP($A111,'Dados StatusInvest'!$A:$AZ,COLUMN(V111)-$A$5,0)),0)</f>
        <v>1.18</v>
      </c>
      <c r="W111" s="56">
        <f>IFERROR((VLOOKUP($A111,'Dados StatusInvest'!$A:$AZ,COLUMN(W111)-$A$5,0)),0)</f>
        <v>-134.56</v>
      </c>
      <c r="X111" s="53">
        <f>IFERROR((VLOOKUP($A111,'Dados StatusInvest'!$A:$AZ,COLUMN(X111)-$A$5,0)/VLOOKUP($A111,'Dados StatusInvest'!$A:$AZ,2,0)*$F111),0)</f>
        <v>-5.325301205</v>
      </c>
      <c r="Y111" s="54">
        <f>IFERROR((VLOOKUP($A111,'Dados StatusInvest'!$A:$AZ,COLUMN(Y111)-$A$5,0)/VLOOKUP($A111,'Dados StatusInvest'!$A:$AZ,2,0)*$F111),0)</f>
        <v>-21.40888554</v>
      </c>
      <c r="Z111" s="56">
        <f>IFERROR((VLOOKUP($A111,'Dados StatusInvest'!$A:$AZ,COLUMN(Z111)-$A$5,0)),0)</f>
        <v>-0.04</v>
      </c>
      <c r="AA111" s="57">
        <f>IFERROR((VLOOKUP($A111,'Dados StatusInvest'!$A:$AZ,COLUMN(AA111)-$A$5,0)),0)</f>
        <v>1.04</v>
      </c>
      <c r="AB111" s="57">
        <f>IFERROR((VLOOKUP($A111,'Dados StatusInvest'!$A:$AZ,COLUMN(AB111)-$A$5,0)),0)</f>
        <v>0.84</v>
      </c>
      <c r="AC111" s="58">
        <f>IFERROR((VLOOKUP($A111,'Dados StatusInvest'!$A:$AZ,COLUMN(AC111)-$A$5,0)),0)</f>
        <v>8.15</v>
      </c>
      <c r="AD111" s="57">
        <f>IFERROR((VLOOKUP($A111,'Dados StatusInvest'!$A:$AZ,COLUMN(AD111)-$A$5,0)),0)</f>
        <v>0</v>
      </c>
      <c r="AE111" s="56">
        <f>IFERROR((VLOOKUP($A111,'Dados StatusInvest'!$A:$AZ,COLUMN(AE111)-$A$5,0)),0)</f>
        <v>41769222</v>
      </c>
      <c r="AF111" s="56">
        <f>IFERROR((VLOOKUP($A111,'Dados StatusInvest'!$A:$AZ,COLUMN(AF111)-$A$5,0)),0)</f>
        <v>-4.43</v>
      </c>
      <c r="AG111" s="56">
        <f>IFERROR((VLOOKUP($A111,'Dados StatusInvest'!$A:$AZ,COLUMN(AG111)-$A$5,0)),0)</f>
        <v>-5.96</v>
      </c>
      <c r="AH111" s="56">
        <f>IFERROR((VLOOKUP($A111,'Dados StatusInvest'!$A:$AZ,COLUMN(AH111)-$A$5,0)),0)</f>
        <v>0.04</v>
      </c>
      <c r="AI111" s="57">
        <f>IFERROR((VLOOKUP($A111,'Dados StatusInvest'!$A:$AZ,COLUMN(AI111)-$A$5,0)),0)</f>
        <v>7669188835</v>
      </c>
      <c r="AJ111" s="59" t="str">
        <f>IFERROR((VLOOKUP($A111,'Dados StatusInvest'!$A:$AZ,COLUMN(AJ111)-$A$5,0)),0)</f>
        <v/>
      </c>
      <c r="AK111" s="60">
        <f>IFERROR(__xludf.DUMMYFUNCTION("IFERROR(GOOGLEFINANCE($A111,""high""),"""")"),9.89)</f>
        <v>9.89</v>
      </c>
      <c r="AL111" s="60">
        <f>IFERROR(__xludf.DUMMYFUNCTION("IFERROR(GOOGLEFINANCE($A111,""low""),"""")"),9.72)</f>
        <v>9.72</v>
      </c>
      <c r="AM111" s="61">
        <f t="shared" si="2"/>
        <v>0.01748971193</v>
      </c>
      <c r="AN111" s="62">
        <f>IFERROR(__xludf.DUMMYFUNCTION("IFERROR((GOOGLEFINANCE($A111,""volume"")),0)"),167800.0)</f>
        <v>167800</v>
      </c>
      <c r="AO111" s="60">
        <f>IFERROR(__xludf.DUMMYFUNCTION("IFERROR((GOOGLEFINANCE($A111,""closeyest"")),"""")"),9.96)</f>
        <v>9.96</v>
      </c>
      <c r="AP111" s="60">
        <f>IFERROR(__xludf.DUMMYFUNCTION("IFERROR((GOOGLEFINANCE($A111,""shares"")),"""")"),3.45060392E8)</f>
        <v>345060392</v>
      </c>
      <c r="AQ111" s="18"/>
    </row>
    <row r="112">
      <c r="A112" s="45" t="str">
        <f>'Dados StatusInvest'!A107:A726</f>
        <v>BRKM6</v>
      </c>
      <c r="B112" s="46" t="str">
        <f>IFERROR(__xludf.DUMMYFUNCTION("IFERROR((GOOGLEFINANCE(A112,""name"")),"""")"),"Braskem SA Preference Shares Class B")</f>
        <v>Braskem SA Preference Shares Class B</v>
      </c>
      <c r="C112" s="46" t="str">
        <f>IFERROR((VLOOKUP(LEFT($A112,4),Setor!$A:$E,3,0)),"")</f>
        <v>Materiais Básicos</v>
      </c>
      <c r="D112" s="46" t="str">
        <f>IFERROR((VLOOKUP(LEFT($A112,4),Setor!$A:$E,4,0)),"")</f>
        <v>Químicos</v>
      </c>
      <c r="E112" s="46" t="str">
        <f>IFERROR((VLOOKUP(LEFT($A112,4),Setor!$A:$E,5,0)),"")</f>
        <v>Petroquímicos</v>
      </c>
      <c r="F112" s="47">
        <f>IFERROR(__xludf.DUMMYFUNCTION("IFERROR((GOOGLEFINANCE(A112)),"""")"),8.4)</f>
        <v>8.4</v>
      </c>
      <c r="G112" s="48" t="str">
        <f>IFERROR(__xludf.DUMMYFUNCTION("IFERROR((sparkline(GOOGLEFINANCE($A112,""price"",TODAY()-30,TODAY(),""DAILY""),{""charttype"",""line"";""linewidth"",1;""color"",""#5f88cc""})),"""")"),"")</f>
        <v/>
      </c>
      <c r="H112" s="49">
        <f>IFERROR(__xludf.DUMMYFUNCTION("IFERROR((((GOOGLEFINANCE(A112))-(INDEX(GoogleFinance(A112,""PRICE"",$AQ$1),2,2)))/(INDEX(GoogleFinance(A112,""PRICE"",$AQ$1),2,2))),"""")"),-0.02211874272409773)</f>
        <v>-0.02211874272</v>
      </c>
      <c r="I112" s="47">
        <f>IFERROR(__xludf.DUMMYFUNCTION("IFERROR((GOOGLEFINANCE($A112,""high52"")),"""")"),9.1)</f>
        <v>9.1</v>
      </c>
      <c r="J112" s="48" t="str">
        <f>IFERROR(__xludf.DUMMYFUNCTION("IFERROR((sparkline(GOOGLEFINANCE($A112,""price"",TODAY()-365,TODAY(),""DAILY""),{""charttype"",""line"";""linewidth"",1;""color"",""#5f88cc""})),"""")"),"")</f>
        <v/>
      </c>
      <c r="K112" s="50">
        <f>IFERROR(__xludf.DUMMYFUNCTION("IFERROR((((GOOGLEFINANCE(A112))-(INDEX(GoogleFinance(A112,""PRICE"",$AP$1),2,2)))/(INDEX(GoogleFinance(A112,""PRICE"",$AP$1),2,2))),"""")"),0.11258278145695372)</f>
        <v>0.1125827815</v>
      </c>
      <c r="L112" s="51">
        <f t="shared" si="1"/>
        <v>-0.07692307692</v>
      </c>
      <c r="M112" s="52">
        <f>IFERROR((VLOOKUP($A112,'Dados StatusInvest'!$A:$AZ,COLUMN(M112)-$A$5,0)*VLOOKUP($A112,'Dados StatusInvest'!$A:$AZ,2,0)/$F112/100),0)</f>
        <v>-0.0541</v>
      </c>
      <c r="N112" s="53">
        <f>IFERROR((VLOOKUP($A112,'Dados StatusInvest'!$A:$AZ,COLUMN(N112)-$A$5,0)/VLOOKUP($A112,'Dados StatusInvest'!$A:$AZ,2,0)*$F112),"")</f>
        <v>-6.44</v>
      </c>
      <c r="O112" s="53">
        <f>IFERROR((VLOOKUP($A112,'Dados StatusInvest'!$A:$AZ,COLUMN(O112)-$A$5,0)/VLOOKUP($A112,'Dados StatusInvest'!$A:$AZ,2,0)*$F112),0)</f>
        <v>-1.68</v>
      </c>
      <c r="P112" s="54">
        <f>IFERROR((VLOOKUP($A112,'Dados StatusInvest'!$A:$AZ,COLUMN(P112)-$A$5,0)/VLOOKUP($A112,'Dados StatusInvest'!$A:$AZ,2,0)*$F112),0)</f>
        <v>-11.27</v>
      </c>
      <c r="Q112" s="55">
        <f>IFERROR((VLOOKUP($A112,'Dados StatusInvest'!$A:$AZ,COLUMN(Q112)-$A$5,0)/100),0)</f>
        <v>-0.0935</v>
      </c>
      <c r="R112" s="56">
        <f>VLOOKUP($A112,'Dados StatusInvest'!$A:$AZ,COLUMN(R112)-$A$5,0)</f>
        <v>0</v>
      </c>
      <c r="S112" s="56">
        <f>IFERROR((VLOOKUP($A112,'Dados StatusInvest'!$A:$AZ,COLUMN(S112)-$A$5,0)),0)</f>
        <v>0.09</v>
      </c>
      <c r="T112" s="53">
        <f>IFERROR((VLOOKUP($A112,'Dados StatusInvest'!$A:$AZ,COLUMN(T112)-$A$5,0)/VLOOKUP($A112,'Dados StatusInvest'!$A:$AZ,2,0)*$F112),0)</f>
        <v>1.71</v>
      </c>
      <c r="U112" s="53">
        <f>IFERROR((VLOOKUP($A112,'Dados StatusInvest'!$A:$AZ,COLUMN(U112)-$A$5,0)-VLOOKUP($A112,'Dados StatusInvest'!$A:$AZ,COLUMN(U112)-$A$5-1,0)+T112),0)</f>
        <v>-0.11</v>
      </c>
      <c r="V112" s="56">
        <f>IFERROR((VLOOKUP($A112,'Dados StatusInvest'!$A:$AZ,COLUMN(V112)-$A$5,0)),0)</f>
        <v>1.18</v>
      </c>
      <c r="W112" s="56">
        <f>IFERROR((VLOOKUP($A112,'Dados StatusInvest'!$A:$AZ,COLUMN(W112)-$A$5,0)),0)</f>
        <v>-134.56</v>
      </c>
      <c r="X112" s="53">
        <f>IFERROR((VLOOKUP($A112,'Dados StatusInvest'!$A:$AZ,COLUMN(X112)-$A$5,0)/VLOOKUP($A112,'Dados StatusInvest'!$A:$AZ,2,0)*$F112),0)</f>
        <v>-5.44</v>
      </c>
      <c r="Y112" s="54">
        <f>IFERROR((VLOOKUP($A112,'Dados StatusInvest'!$A:$AZ,COLUMN(Y112)-$A$5,0)/VLOOKUP($A112,'Dados StatusInvest'!$A:$AZ,2,0)*$F112),0)</f>
        <v>-21.87</v>
      </c>
      <c r="Z112" s="56">
        <f>IFERROR((VLOOKUP($A112,'Dados StatusInvest'!$A:$AZ,COLUMN(Z112)-$A$5,0)),0)</f>
        <v>-0.04</v>
      </c>
      <c r="AA112" s="57">
        <f>IFERROR((VLOOKUP($A112,'Dados StatusInvest'!$A:$AZ,COLUMN(AA112)-$A$5,0)),0)</f>
        <v>1.04</v>
      </c>
      <c r="AB112" s="57">
        <f>IFERROR((VLOOKUP($A112,'Dados StatusInvest'!$A:$AZ,COLUMN(AB112)-$A$5,0)),0)</f>
        <v>0.84</v>
      </c>
      <c r="AC112" s="58">
        <f>IFERROR((VLOOKUP($A112,'Dados StatusInvest'!$A:$AZ,COLUMN(AC112)-$A$5,0)),0)</f>
        <v>8.15</v>
      </c>
      <c r="AD112" s="57">
        <f>IFERROR((VLOOKUP($A112,'Dados StatusInvest'!$A:$AZ,COLUMN(AD112)-$A$5,0)),0)</f>
        <v>0</v>
      </c>
      <c r="AE112" s="56">
        <f>IFERROR((VLOOKUP($A112,'Dados StatusInvest'!$A:$AZ,COLUMN(AE112)-$A$5,0)),0)</f>
        <v>1401.5</v>
      </c>
      <c r="AF112" s="56">
        <f>IFERROR((VLOOKUP($A112,'Dados StatusInvest'!$A:$AZ,COLUMN(AF112)-$A$5,0)),0)</f>
        <v>-4.43</v>
      </c>
      <c r="AG112" s="56">
        <f>IFERROR((VLOOKUP($A112,'Dados StatusInvest'!$A:$AZ,COLUMN(AG112)-$A$5,0)),0)</f>
        <v>-5.96</v>
      </c>
      <c r="AH112" s="56">
        <f>IFERROR((VLOOKUP($A112,'Dados StatusInvest'!$A:$AZ,COLUMN(AH112)-$A$5,0)),0)</f>
        <v>0.04</v>
      </c>
      <c r="AI112" s="57">
        <f>IFERROR((VLOOKUP($A112,'Dados StatusInvest'!$A:$AZ,COLUMN(AI112)-$A$5,0)),0)</f>
        <v>7669188835</v>
      </c>
      <c r="AJ112" s="59" t="str">
        <f>IFERROR((VLOOKUP($A112,'Dados StatusInvest'!$A:$AZ,COLUMN(AJ112)-$A$5,0)),0)</f>
        <v/>
      </c>
      <c r="AK112" s="60" t="str">
        <f>IFERROR(__xludf.DUMMYFUNCTION("IFERROR(GOOGLEFINANCE($A112,""high""),"""")"),"")</f>
        <v/>
      </c>
      <c r="AL112" s="60" t="str">
        <f>IFERROR(__xludf.DUMMYFUNCTION("IFERROR(GOOGLEFINANCE($A112,""low""),"""")"),"")</f>
        <v/>
      </c>
      <c r="AM112" s="61">
        <f t="shared" si="2"/>
        <v>0</v>
      </c>
      <c r="AN112" s="62">
        <f>IFERROR(__xludf.DUMMYFUNCTION("IFERROR((GOOGLEFINANCE($A112,""volume"")),0)"),0.0)</f>
        <v>0</v>
      </c>
      <c r="AO112" s="60">
        <f>IFERROR(__xludf.DUMMYFUNCTION("IFERROR((GOOGLEFINANCE($A112,""closeyest"")),"""")"),8.4)</f>
        <v>8.4</v>
      </c>
      <c r="AP112" s="60">
        <f>IFERROR(__xludf.DUMMYFUNCTION("IFERROR((GOOGLEFINANCE($A112,""shares"")),"""")"),478790.0)</f>
        <v>478790</v>
      </c>
      <c r="AQ112" s="18"/>
    </row>
    <row r="113">
      <c r="A113" s="45" t="str">
        <f>'Dados StatusInvest'!A108:A727</f>
        <v>BRML3</v>
      </c>
      <c r="B113" s="46" t="str">
        <f>IFERROR(__xludf.DUMMYFUNCTION("IFERROR((GOOGLEFINANCE(A113,""name"")),"""")"),"")</f>
        <v/>
      </c>
      <c r="C113" s="46" t="str">
        <f>IFERROR((VLOOKUP(LEFT($A113,4),Setor!$A:$E,3,0)),"")</f>
        <v>Financeiro</v>
      </c>
      <c r="D113" s="46" t="str">
        <f>IFERROR((VLOOKUP(LEFT($A113,4),Setor!$A:$E,4,0)),"")</f>
        <v>Exploração de Imóveis</v>
      </c>
      <c r="E113" s="46" t="str">
        <f>IFERROR((VLOOKUP(LEFT($A113,4),Setor!$A:$E,5,0)),"")</f>
        <v>Exploração de Imóveis</v>
      </c>
      <c r="F113" s="47" t="str">
        <f>IFERROR(__xludf.DUMMYFUNCTION("IFERROR((GOOGLEFINANCE(A113)),"""")"),"")</f>
        <v/>
      </c>
      <c r="G113" s="48" t="str">
        <f>IFERROR(__xludf.DUMMYFUNCTION("IFERROR((sparkline(GOOGLEFINANCE($A113,""price"",TODAY()-30,TODAY(),""DAILY""),{""charttype"",""line"";""linewidth"",1;""color"",""#5f88cc""})),"""")"),"")</f>
        <v/>
      </c>
      <c r="H113" s="49" t="str">
        <f>IFERROR(__xludf.DUMMYFUNCTION("IFERROR((((GOOGLEFINANCE(A113))-(INDEX(GoogleFinance(A113,""PRICE"",$AQ$1),2,2)))/(INDEX(GoogleFinance(A113,""PRICE"",$AQ$1),2,2))),"""")"),"")</f>
        <v/>
      </c>
      <c r="I113" s="47" t="str">
        <f>IFERROR(__xludf.DUMMYFUNCTION("IFERROR((GOOGLEFINANCE($A113,""high52"")),"""")"),"")</f>
        <v/>
      </c>
      <c r="J113" s="48" t="str">
        <f>IFERROR(__xludf.DUMMYFUNCTION("IFERROR((sparkline(GOOGLEFINANCE($A113,""price"",TODAY()-365,TODAY(),""DAILY""),{""charttype"",""line"";""linewidth"",1;""color"",""#5f88cc""})),"""")"),"")</f>
        <v/>
      </c>
      <c r="K113" s="50" t="str">
        <f>IFERROR(__xludf.DUMMYFUNCTION("IFERROR((((GOOGLEFINANCE(A113))-(INDEX(GoogleFinance(A113,""PRICE"",$AP$1),2,2)))/(INDEX(GoogleFinance(A113,""PRICE"",$AP$1),2,2))),"""")"),"")</f>
        <v/>
      </c>
      <c r="L113" s="51">
        <f t="shared" si="1"/>
        <v>0</v>
      </c>
      <c r="M113" s="52">
        <f>IFERROR((VLOOKUP($A113,'Dados StatusInvest'!$A:$AZ,COLUMN(M113)-$A$5,0)*VLOOKUP($A113,'Dados StatusInvest'!$A:$AZ,2,0)/$F113/100),0)</f>
        <v>0</v>
      </c>
      <c r="N113" s="53">
        <f>IFERROR((VLOOKUP($A113,'Dados StatusInvest'!$A:$AZ,COLUMN(N113)-$A$5,0)/VLOOKUP($A113,'Dados StatusInvest'!$A:$AZ,2,0)*$F113),"")</f>
        <v>0</v>
      </c>
      <c r="O113" s="53">
        <f>IFERROR((VLOOKUP($A113,'Dados StatusInvest'!$A:$AZ,COLUMN(O113)-$A$5,0)/VLOOKUP($A113,'Dados StatusInvest'!$A:$AZ,2,0)*$F113),0)</f>
        <v>0</v>
      </c>
      <c r="P113" s="54">
        <f>IFERROR((VLOOKUP($A113,'Dados StatusInvest'!$A:$AZ,COLUMN(P113)-$A$5,0)/VLOOKUP($A113,'Dados StatusInvest'!$A:$AZ,2,0)*$F113),0)</f>
        <v>0</v>
      </c>
      <c r="Q113" s="55">
        <f>IFERROR((VLOOKUP($A113,'Dados StatusInvest'!$A:$AZ,COLUMN(Q113)-$A$5,0)/100),0)</f>
        <v>0.018</v>
      </c>
      <c r="R113" s="56">
        <f>VLOOKUP($A113,'Dados StatusInvest'!$A:$AZ,COLUMN(R113)-$A$5,0)</f>
        <v>0.16</v>
      </c>
      <c r="S113" s="56">
        <f>IFERROR((VLOOKUP($A113,'Dados StatusInvest'!$A:$AZ,COLUMN(S113)-$A$5,0)),0)</f>
        <v>4.13</v>
      </c>
      <c r="T113" s="53">
        <f>IFERROR((VLOOKUP($A113,'Dados StatusInvest'!$A:$AZ,COLUMN(T113)-$A$5,0)/VLOOKUP($A113,'Dados StatusInvest'!$A:$AZ,2,0)*$F113),0)</f>
        <v>0</v>
      </c>
      <c r="U113" s="53">
        <f>IFERROR((VLOOKUP($A113,'Dados StatusInvest'!$A:$AZ,COLUMN(U113)-$A$5,0)-VLOOKUP($A113,'Dados StatusInvest'!$A:$AZ,COLUMN(U113)-$A$5-1,0)+T113),0)</f>
        <v>-6.97</v>
      </c>
      <c r="V113" s="56">
        <f>IFERROR((VLOOKUP($A113,'Dados StatusInvest'!$A:$AZ,COLUMN(V113)-$A$5,0)),0)</f>
        <v>2.42</v>
      </c>
      <c r="W113" s="56">
        <f>IFERROR((VLOOKUP($A113,'Dados StatusInvest'!$A:$AZ,COLUMN(W113)-$A$5,0)),0)</f>
        <v>4.53</v>
      </c>
      <c r="X113" s="53">
        <f>IFERROR((VLOOKUP($A113,'Dados StatusInvest'!$A:$AZ,COLUMN(X113)-$A$5,0)/VLOOKUP($A113,'Dados StatusInvest'!$A:$AZ,2,0)*$F113),0)</f>
        <v>0</v>
      </c>
      <c r="Y113" s="54">
        <f>IFERROR((VLOOKUP($A113,'Dados StatusInvest'!$A:$AZ,COLUMN(Y113)-$A$5,0)/VLOOKUP($A113,'Dados StatusInvest'!$A:$AZ,2,0)*$F113),0)</f>
        <v>0</v>
      </c>
      <c r="Z113" s="56">
        <f>IFERROR((VLOOKUP($A113,'Dados StatusInvest'!$A:$AZ,COLUMN(Z113)-$A$5,0)),0)</f>
        <v>0.6</v>
      </c>
      <c r="AA113" s="57">
        <f>IFERROR((VLOOKUP($A113,'Dados StatusInvest'!$A:$AZ,COLUMN(AA113)-$A$5,0)),0)</f>
        <v>0.4</v>
      </c>
      <c r="AB113" s="57">
        <f>IFERROR((VLOOKUP($A113,'Dados StatusInvest'!$A:$AZ,COLUMN(AB113)-$A$5,0)),0)</f>
        <v>0.08</v>
      </c>
      <c r="AC113" s="58">
        <f>IFERROR((VLOOKUP($A113,'Dados StatusInvest'!$A:$AZ,COLUMN(AC113)-$A$5,0)),0)</f>
        <v>4.55</v>
      </c>
      <c r="AD113" s="57">
        <f>IFERROR((VLOOKUP($A113,'Dados StatusInvest'!$A:$AZ,COLUMN(AD113)-$A$5,0)),0)</f>
        <v>-15.44</v>
      </c>
      <c r="AE113" s="56">
        <f>IFERROR((VLOOKUP($A113,'Dados StatusInvest'!$A:$AZ,COLUMN(AE113)-$A$5,0)),0)</f>
        <v>0</v>
      </c>
      <c r="AF113" s="56">
        <f>IFERROR((VLOOKUP($A113,'Dados StatusInvest'!$A:$AZ,COLUMN(AF113)-$A$5,0)),0)</f>
        <v>14.53</v>
      </c>
      <c r="AG113" s="56">
        <f>IFERROR((VLOOKUP($A113,'Dados StatusInvest'!$A:$AZ,COLUMN(AG113)-$A$5,0)),0)</f>
        <v>0.66</v>
      </c>
      <c r="AH113" s="56">
        <f>IFERROR((VLOOKUP($A113,'Dados StatusInvest'!$A:$AZ,COLUMN(AH113)-$A$5,0)),0)</f>
        <v>-0.16</v>
      </c>
      <c r="AI113" s="57">
        <f>IFERROR((VLOOKUP($A113,'Dados StatusInvest'!$A:$AZ,COLUMN(AI113)-$A$5,0)),0)</f>
        <v>6770891280</v>
      </c>
      <c r="AJ113" s="59" t="str">
        <f>IFERROR((VLOOKUP($A113,'Dados StatusInvest'!$A:$AZ,COLUMN(AJ113)-$A$5,0)),0)</f>
        <v/>
      </c>
      <c r="AK113" s="60" t="str">
        <f>IFERROR(__xludf.DUMMYFUNCTION("IFERROR(GOOGLEFINANCE($A113,""high""),"""")"),"")</f>
        <v/>
      </c>
      <c r="AL113" s="60" t="str">
        <f>IFERROR(__xludf.DUMMYFUNCTION("IFERROR(GOOGLEFINANCE($A113,""low""),"""")"),"")</f>
        <v/>
      </c>
      <c r="AM113" s="61">
        <f t="shared" si="2"/>
        <v>0</v>
      </c>
      <c r="AN113" s="62">
        <f>IFERROR(__xludf.DUMMYFUNCTION("IFERROR((GOOGLEFINANCE($A113,""volume"")),0)"),0.0)</f>
        <v>0</v>
      </c>
      <c r="AO113" s="60" t="str">
        <f>IFERROR(__xludf.DUMMYFUNCTION("IFERROR((GOOGLEFINANCE($A113,""closeyest"")),"""")"),"")</f>
        <v/>
      </c>
      <c r="AP113" s="60" t="str">
        <f>IFERROR(__xludf.DUMMYFUNCTION("IFERROR((GOOGLEFINANCE($A113,""shares"")),"""")"),"")</f>
        <v/>
      </c>
      <c r="AQ113" s="18"/>
    </row>
    <row r="114">
      <c r="A114" s="45" t="str">
        <f>'Dados StatusInvest'!A109:A728</f>
        <v>BRPR3</v>
      </c>
      <c r="B114" s="46" t="str">
        <f>IFERROR(__xludf.DUMMYFUNCTION("IFERROR((GOOGLEFINANCE(A114,""name"")),"""")"),"")</f>
        <v/>
      </c>
      <c r="C114" s="46" t="str">
        <f>IFERROR((VLOOKUP(LEFT($A114,4),Setor!$A:$E,3,0)),"")</f>
        <v>Financeiro</v>
      </c>
      <c r="D114" s="46" t="str">
        <f>IFERROR((VLOOKUP(LEFT($A114,4),Setor!$A:$E,4,0)),"")</f>
        <v>Exploração de Imóveis</v>
      </c>
      <c r="E114" s="46" t="str">
        <f>IFERROR((VLOOKUP(LEFT($A114,4),Setor!$A:$E,5,0)),"")</f>
        <v>Exploração de Imóveis</v>
      </c>
      <c r="F114" s="47" t="str">
        <f>IFERROR(__xludf.DUMMYFUNCTION("IFERROR((GOOGLEFINANCE(A114)),"""")"),"")</f>
        <v/>
      </c>
      <c r="G114" s="48" t="str">
        <f>IFERROR(__xludf.DUMMYFUNCTION("IFERROR((sparkline(GOOGLEFINANCE($A114,""price"",TODAY()-30,TODAY(),""DAILY""),{""charttype"",""line"";""linewidth"",1;""color"",""#5f88cc""})),"""")"),"")</f>
        <v/>
      </c>
      <c r="H114" s="49" t="str">
        <f>IFERROR(__xludf.DUMMYFUNCTION("IFERROR((((GOOGLEFINANCE(A114))-(INDEX(GoogleFinance(A114,""PRICE"",$AQ$1),2,2)))/(INDEX(GoogleFinance(A114,""PRICE"",$AQ$1),2,2))),"""")"),"")</f>
        <v/>
      </c>
      <c r="I114" s="47" t="str">
        <f>IFERROR(__xludf.DUMMYFUNCTION("IFERROR((GOOGLEFINANCE($A114,""high52"")),"""")"),"")</f>
        <v/>
      </c>
      <c r="J114" s="48" t="str">
        <f>IFERROR(__xludf.DUMMYFUNCTION("IFERROR((sparkline(GOOGLEFINANCE($A114,""price"",TODAY()-365,TODAY(),""DAILY""),{""charttype"",""line"";""linewidth"",1;""color"",""#5f88cc""})),"""")"),"")</f>
        <v/>
      </c>
      <c r="K114" s="50" t="str">
        <f>IFERROR(__xludf.DUMMYFUNCTION("IFERROR((((GOOGLEFINANCE(A114))-(INDEX(GoogleFinance(A114,""PRICE"",$AP$1),2,2)))/(INDEX(GoogleFinance(A114,""PRICE"",$AP$1),2,2))),"""")"),"")</f>
        <v/>
      </c>
      <c r="L114" s="51">
        <f t="shared" si="1"/>
        <v>0</v>
      </c>
      <c r="M114" s="52">
        <f>IFERROR((VLOOKUP($A114,'Dados StatusInvest'!$A:$AZ,COLUMN(M114)-$A$5,0)*VLOOKUP($A114,'Dados StatusInvest'!$A:$AZ,2,0)/$F114/100),0)</f>
        <v>0</v>
      </c>
      <c r="N114" s="53">
        <f>IFERROR((VLOOKUP($A114,'Dados StatusInvest'!$A:$AZ,COLUMN(N114)-$A$5,0)/VLOOKUP($A114,'Dados StatusInvest'!$A:$AZ,2,0)*$F114),"")</f>
        <v>0</v>
      </c>
      <c r="O114" s="53">
        <f>IFERROR((VLOOKUP($A114,'Dados StatusInvest'!$A:$AZ,COLUMN(O114)-$A$5,0)/VLOOKUP($A114,'Dados StatusInvest'!$A:$AZ,2,0)*$F114),0)</f>
        <v>0</v>
      </c>
      <c r="P114" s="54">
        <f>IFERROR((VLOOKUP($A114,'Dados StatusInvest'!$A:$AZ,COLUMN(P114)-$A$5,0)/VLOOKUP($A114,'Dados StatusInvest'!$A:$AZ,2,0)*$F114),0)</f>
        <v>0</v>
      </c>
      <c r="Q114" s="55">
        <f>IFERROR((VLOOKUP($A114,'Dados StatusInvest'!$A:$AZ,COLUMN(Q114)-$A$5,0)/100),0)</f>
        <v>0.0027</v>
      </c>
      <c r="R114" s="56">
        <f>VLOOKUP($A114,'Dados StatusInvest'!$A:$AZ,COLUMN(R114)-$A$5,0)</f>
        <v>-0.07</v>
      </c>
      <c r="S114" s="56">
        <f>IFERROR((VLOOKUP($A114,'Dados StatusInvest'!$A:$AZ,COLUMN(S114)-$A$5,0)),0)</f>
        <v>0.7</v>
      </c>
      <c r="T114" s="53">
        <f>IFERROR((VLOOKUP($A114,'Dados StatusInvest'!$A:$AZ,COLUMN(T114)-$A$5,0)/VLOOKUP($A114,'Dados StatusInvest'!$A:$AZ,2,0)*$F114),0)</f>
        <v>0</v>
      </c>
      <c r="U114" s="53">
        <f>IFERROR((VLOOKUP($A114,'Dados StatusInvest'!$A:$AZ,COLUMN(U114)-$A$5,0)-VLOOKUP($A114,'Dados StatusInvest'!$A:$AZ,COLUMN(U114)-$A$5-1,0)+T114),0)</f>
        <v>-1.78</v>
      </c>
      <c r="V114" s="56">
        <f>IFERROR((VLOOKUP($A114,'Dados StatusInvest'!$A:$AZ,COLUMN(V114)-$A$5,0)),0)</f>
        <v>1.12</v>
      </c>
      <c r="W114" s="56">
        <f>IFERROR((VLOOKUP($A114,'Dados StatusInvest'!$A:$AZ,COLUMN(W114)-$A$5,0)),0)</f>
        <v>-9.55</v>
      </c>
      <c r="X114" s="53">
        <f>IFERROR((VLOOKUP($A114,'Dados StatusInvest'!$A:$AZ,COLUMN(X114)-$A$5,0)/VLOOKUP($A114,'Dados StatusInvest'!$A:$AZ,2,0)*$F114),0)</f>
        <v>0</v>
      </c>
      <c r="Y114" s="54">
        <f>IFERROR((VLOOKUP($A114,'Dados StatusInvest'!$A:$AZ,COLUMN(Y114)-$A$5,0)/VLOOKUP($A114,'Dados StatusInvest'!$A:$AZ,2,0)*$F114),0)</f>
        <v>0</v>
      </c>
      <c r="Z114" s="56">
        <f>IFERROR((VLOOKUP($A114,'Dados StatusInvest'!$A:$AZ,COLUMN(Z114)-$A$5,0)),0)</f>
        <v>0.72</v>
      </c>
      <c r="AA114" s="57">
        <f>IFERROR((VLOOKUP($A114,'Dados StatusInvest'!$A:$AZ,COLUMN(AA114)-$A$5,0)),0)</f>
        <v>0.28</v>
      </c>
      <c r="AB114" s="57">
        <f>IFERROR((VLOOKUP($A114,'Dados StatusInvest'!$A:$AZ,COLUMN(AB114)-$A$5,0)),0)</f>
        <v>0.06</v>
      </c>
      <c r="AC114" s="58">
        <f>IFERROR((VLOOKUP($A114,'Dados StatusInvest'!$A:$AZ,COLUMN(AC114)-$A$5,0)),0)</f>
        <v>-7.12</v>
      </c>
      <c r="AD114" s="57">
        <f>IFERROR((VLOOKUP($A114,'Dados StatusInvest'!$A:$AZ,COLUMN(AD114)-$A$5,0)),0)</f>
        <v>0</v>
      </c>
      <c r="AE114" s="56">
        <f>IFERROR((VLOOKUP($A114,'Dados StatusInvest'!$A:$AZ,COLUMN(AE114)-$A$5,0)),0)</f>
        <v>0</v>
      </c>
      <c r="AF114" s="56">
        <f>IFERROR((VLOOKUP($A114,'Dados StatusInvest'!$A:$AZ,COLUMN(AF114)-$A$5,0)),0)</f>
        <v>2447.95</v>
      </c>
      <c r="AG114" s="56">
        <f>IFERROR((VLOOKUP($A114,'Dados StatusInvest'!$A:$AZ,COLUMN(AG114)-$A$5,0)),0)</f>
        <v>-233.75</v>
      </c>
      <c r="AH114" s="56">
        <f>IFERROR((VLOOKUP($A114,'Dados StatusInvest'!$A:$AZ,COLUMN(AH114)-$A$5,0)),0)</f>
        <v>0.01</v>
      </c>
      <c r="AI114" s="57">
        <f>IFERROR((VLOOKUP($A114,'Dados StatusInvest'!$A:$AZ,COLUMN(AI114)-$A$5,0)),0)</f>
        <v>60919545.44</v>
      </c>
      <c r="AJ114" s="59" t="str">
        <f>IFERROR((VLOOKUP($A114,'Dados StatusInvest'!$A:$AZ,COLUMN(AJ114)-$A$5,0)),0)</f>
        <v/>
      </c>
      <c r="AK114" s="60" t="str">
        <f>IFERROR(__xludf.DUMMYFUNCTION("IFERROR(GOOGLEFINANCE($A114,""high""),"""")"),"")</f>
        <v/>
      </c>
      <c r="AL114" s="60" t="str">
        <f>IFERROR(__xludf.DUMMYFUNCTION("IFERROR(GOOGLEFINANCE($A114,""low""),"""")"),"")</f>
        <v/>
      </c>
      <c r="AM114" s="61">
        <f t="shared" si="2"/>
        <v>0</v>
      </c>
      <c r="AN114" s="62">
        <f>IFERROR(__xludf.DUMMYFUNCTION("IFERROR((GOOGLEFINANCE($A114,""volume"")),0)"),0.0)</f>
        <v>0</v>
      </c>
      <c r="AO114" s="60" t="str">
        <f>IFERROR(__xludf.DUMMYFUNCTION("IFERROR((GOOGLEFINANCE($A114,""closeyest"")),"""")"),"")</f>
        <v/>
      </c>
      <c r="AP114" s="60" t="str">
        <f>IFERROR(__xludf.DUMMYFUNCTION("IFERROR((GOOGLEFINANCE($A114,""shares"")),"""")"),"")</f>
        <v/>
      </c>
      <c r="AQ114" s="18"/>
    </row>
    <row r="115">
      <c r="A115" s="45" t="str">
        <f>'Dados StatusInvest'!A110:A729</f>
        <v>BRQB3</v>
      </c>
      <c r="B115" s="46" t="str">
        <f>IFERROR(__xludf.DUMMYFUNCTION("IFERROR((GOOGLEFINANCE(A115,""name"")),"""")"),"BRQ Solucoes em Informatica SA")</f>
        <v>BRQ Solucoes em Informatica SA</v>
      </c>
      <c r="C115" s="46" t="str">
        <f>IFERROR((VLOOKUP(LEFT($A115,4),Setor!$A:$E,3,0)),"")</f>
        <v>Tecnologia da Informação</v>
      </c>
      <c r="D115" s="46" t="str">
        <f>IFERROR((VLOOKUP(LEFT($A115,4),Setor!$A:$E,4,0)),"")</f>
        <v>Programas e Serviços</v>
      </c>
      <c r="E115" s="46" t="str">
        <f>IFERROR((VLOOKUP(LEFT($A115,4),Setor!$A:$E,5,0)),"")</f>
        <v>Programas e Serviços</v>
      </c>
      <c r="F115" s="47">
        <f>IFERROR(__xludf.DUMMYFUNCTION("IFERROR((GOOGLEFINANCE(A115)),"""")"),0.0)</f>
        <v>0</v>
      </c>
      <c r="G115" s="48" t="str">
        <f>IFERROR(__xludf.DUMMYFUNCTION("IFERROR((sparkline(GOOGLEFINANCE($A115,""price"",TODAY()-30,TODAY(),""DAILY""),{""charttype"",""line"";""linewidth"",1;""color"",""#5f88cc""})),"""")"),"")</f>
        <v/>
      </c>
      <c r="H115" s="49" t="str">
        <f>IFERROR(__xludf.DUMMYFUNCTION("IFERROR((((GOOGLEFINANCE(A115))-(INDEX(GoogleFinance(A115,""PRICE"",$AQ$1),2,2)))/(INDEX(GoogleFinance(A115,""PRICE"",$AQ$1),2,2))),"""")"),"")</f>
        <v/>
      </c>
      <c r="I115" s="47" t="str">
        <f>IFERROR(__xludf.DUMMYFUNCTION("IFERROR((GOOGLEFINANCE($A115,""high52"")),"""")"),"")</f>
        <v/>
      </c>
      <c r="J115" s="48" t="str">
        <f>IFERROR(__xludf.DUMMYFUNCTION("IFERROR((sparkline(GOOGLEFINANCE($A115,""price"",TODAY()-365,TODAY(),""DAILY""),{""charttype"",""line"";""linewidth"",1;""color"",""#5f88cc""})),"""")"),"")</f>
        <v/>
      </c>
      <c r="K115" s="50" t="str">
        <f>IFERROR(__xludf.DUMMYFUNCTION("IFERROR((((GOOGLEFINANCE(A115))-(INDEX(GoogleFinance(A115,""PRICE"",$AP$1),2,2)))/(INDEX(GoogleFinance(A115,""PRICE"",$AP$1),2,2))),"""")"),"")</f>
        <v/>
      </c>
      <c r="L115" s="51">
        <f t="shared" si="1"/>
        <v>0</v>
      </c>
      <c r="M115" s="52">
        <f>IFERROR((VLOOKUP($A115,'Dados StatusInvest'!$A:$AZ,COLUMN(M115)-$A$5,0)*VLOOKUP($A115,'Dados StatusInvest'!$A:$AZ,2,0)/$F115/100),0)</f>
        <v>0</v>
      </c>
      <c r="N115" s="53" t="str">
        <f>IFERROR((VLOOKUP($A115,'Dados StatusInvest'!$A:$AZ,COLUMN(N115)-$A$5,0)/VLOOKUP($A115,'Dados StatusInvest'!$A:$AZ,2,0)*$F115),"")</f>
        <v/>
      </c>
      <c r="O115" s="53">
        <f>IFERROR((VLOOKUP($A115,'Dados StatusInvest'!$A:$AZ,COLUMN(O115)-$A$5,0)/VLOOKUP($A115,'Dados StatusInvest'!$A:$AZ,2,0)*$F115),0)</f>
        <v>0</v>
      </c>
      <c r="P115" s="54">
        <f>IFERROR((VLOOKUP($A115,'Dados StatusInvest'!$A:$AZ,COLUMN(P115)-$A$5,0)/VLOOKUP($A115,'Dados StatusInvest'!$A:$AZ,2,0)*$F115),0)</f>
        <v>0</v>
      </c>
      <c r="Q115" s="55">
        <f>IFERROR((VLOOKUP($A115,'Dados StatusInvest'!$A:$AZ,COLUMN(Q115)-$A$5,0)/100),0)</f>
        <v>-0.0127</v>
      </c>
      <c r="R115" s="56">
        <f>VLOOKUP($A115,'Dados StatusInvest'!$A:$AZ,COLUMN(R115)-$A$5,0)</f>
        <v>-0.42</v>
      </c>
      <c r="S115" s="56">
        <f>IFERROR((VLOOKUP($A115,'Dados StatusInvest'!$A:$AZ,COLUMN(S115)-$A$5,0)),0)</f>
        <v>0</v>
      </c>
      <c r="T115" s="53">
        <f>IFERROR((VLOOKUP($A115,'Dados StatusInvest'!$A:$AZ,COLUMN(T115)-$A$5,0)/VLOOKUP($A115,'Dados StatusInvest'!$A:$AZ,2,0)*$F115),0)</f>
        <v>0</v>
      </c>
      <c r="U115" s="53">
        <f>IFERROR((VLOOKUP($A115,'Dados StatusInvest'!$A:$AZ,COLUMN(U115)-$A$5,0)-VLOOKUP($A115,'Dados StatusInvest'!$A:$AZ,COLUMN(U115)-$A$5-1,0)+T115),0)</f>
        <v>0</v>
      </c>
      <c r="V115" s="56">
        <f>IFERROR((VLOOKUP($A115,'Dados StatusInvest'!$A:$AZ,COLUMN(V115)-$A$5,0)),0)</f>
        <v>2.91</v>
      </c>
      <c r="W115" s="56">
        <f>IFERROR((VLOOKUP($A115,'Dados StatusInvest'!$A:$AZ,COLUMN(W115)-$A$5,0)),0)</f>
        <v>25.74</v>
      </c>
      <c r="X115" s="53">
        <f>IFERROR((VLOOKUP($A115,'Dados StatusInvest'!$A:$AZ,COLUMN(X115)-$A$5,0)/VLOOKUP($A115,'Dados StatusInvest'!$A:$AZ,2,0)*$F115),0)</f>
        <v>0</v>
      </c>
      <c r="Y115" s="54">
        <f>IFERROR((VLOOKUP($A115,'Dados StatusInvest'!$A:$AZ,COLUMN(Y115)-$A$5,0)/VLOOKUP($A115,'Dados StatusInvest'!$A:$AZ,2,0)*$F115),0)</f>
        <v>0</v>
      </c>
      <c r="Z115" s="56">
        <f>IFERROR((VLOOKUP($A115,'Dados StatusInvest'!$A:$AZ,COLUMN(Z115)-$A$5,0)),0)</f>
        <v>0.61</v>
      </c>
      <c r="AA115" s="57">
        <f>IFERROR((VLOOKUP($A115,'Dados StatusInvest'!$A:$AZ,COLUMN(AA115)-$A$5,0)),0)</f>
        <v>0.38</v>
      </c>
      <c r="AB115" s="57">
        <f>IFERROR((VLOOKUP($A115,'Dados StatusInvest'!$A:$AZ,COLUMN(AB115)-$A$5,0)),0)</f>
        <v>1.39</v>
      </c>
      <c r="AC115" s="58">
        <f>IFERROR((VLOOKUP($A115,'Dados StatusInvest'!$A:$AZ,COLUMN(AC115)-$A$5,0)),0)</f>
        <v>6.83</v>
      </c>
      <c r="AD115" s="57">
        <f>IFERROR((VLOOKUP($A115,'Dados StatusInvest'!$A:$AZ,COLUMN(AD115)-$A$5,0)),0)</f>
        <v>17.62</v>
      </c>
      <c r="AE115" s="56">
        <f>IFERROR((VLOOKUP($A115,'Dados StatusInvest'!$A:$AZ,COLUMN(AE115)-$A$5,0)),0)</f>
        <v>0</v>
      </c>
      <c r="AF115" s="56">
        <f>IFERROR((VLOOKUP($A115,'Dados StatusInvest'!$A:$AZ,COLUMN(AF115)-$A$5,0)),0)</f>
        <v>1.83</v>
      </c>
      <c r="AG115" s="56">
        <f>IFERROR((VLOOKUP($A115,'Dados StatusInvest'!$A:$AZ,COLUMN(AG115)-$A$5,0)),0)</f>
        <v>0.47</v>
      </c>
      <c r="AH115" s="56">
        <f>IFERROR((VLOOKUP($A115,'Dados StatusInvest'!$A:$AZ,COLUMN(AH115)-$A$5,0)),0)</f>
        <v>0</v>
      </c>
      <c r="AI115" s="57">
        <f>IFERROR((VLOOKUP($A115,'Dados StatusInvest'!$A:$AZ,COLUMN(AI115)-$A$5,0)),0)</f>
        <v>0</v>
      </c>
      <c r="AJ115" s="59" t="str">
        <f>IFERROR((VLOOKUP($A115,'Dados StatusInvest'!$A:$AZ,COLUMN(AJ115)-$A$5,0)),0)</f>
        <v/>
      </c>
      <c r="AK115" s="60" t="str">
        <f>IFERROR(__xludf.DUMMYFUNCTION("IFERROR(GOOGLEFINANCE($A115,""high""),"""")"),"")</f>
        <v/>
      </c>
      <c r="AL115" s="60" t="str">
        <f>IFERROR(__xludf.DUMMYFUNCTION("IFERROR(GOOGLEFINANCE($A115,""low""),"""")"),"")</f>
        <v/>
      </c>
      <c r="AM115" s="61">
        <f t="shared" si="2"/>
        <v>0</v>
      </c>
      <c r="AN115" s="62">
        <f>IFERROR(__xludf.DUMMYFUNCTION("IFERROR((GOOGLEFINANCE($A115,""volume"")),0)"),0.0)</f>
        <v>0</v>
      </c>
      <c r="AO115" s="60" t="str">
        <f>IFERROR(__xludf.DUMMYFUNCTION("IFERROR((GOOGLEFINANCE($A115,""closeyest"")),"""")"),"")</f>
        <v/>
      </c>
      <c r="AP115" s="60">
        <f>IFERROR(__xludf.DUMMYFUNCTION("IFERROR((GOOGLEFINANCE($A115,""shares"")),"""")"),1.33186083E8)</f>
        <v>133186083</v>
      </c>
      <c r="AQ115" s="18"/>
    </row>
    <row r="116">
      <c r="A116" s="45" t="str">
        <f>'Dados StatusInvest'!A111:A730</f>
        <v>BRSR3</v>
      </c>
      <c r="B116" s="46" t="str">
        <f>IFERROR(__xludf.DUMMYFUNCTION("IFERROR((GOOGLEFINANCE(A116,""name"")),"""")"),"Banco do Estado do Rio Grande do Sul SA")</f>
        <v>Banco do Estado do Rio Grande do Sul SA</v>
      </c>
      <c r="C116" s="46" t="str">
        <f>IFERROR((VLOOKUP(LEFT($A116,4),Setor!$A:$E,3,0)),"")</f>
        <v>Financeiro</v>
      </c>
      <c r="D116" s="46" t="str">
        <f>IFERROR((VLOOKUP(LEFT($A116,4),Setor!$A:$E,4,0)),"")</f>
        <v>Intermediários Financeiros</v>
      </c>
      <c r="E116" s="46" t="str">
        <f>IFERROR((VLOOKUP(LEFT($A116,4),Setor!$A:$E,5,0)),"")</f>
        <v>Bancos</v>
      </c>
      <c r="F116" s="47">
        <f>IFERROR(__xludf.DUMMYFUNCTION("IFERROR((GOOGLEFINANCE(A116)),"""")"),19.11)</f>
        <v>19.11</v>
      </c>
      <c r="G116" s="48" t="str">
        <f>IFERROR(__xludf.DUMMYFUNCTION("IFERROR((sparkline(GOOGLEFINANCE($A116,""price"",TODAY()-30,TODAY(),""DAILY""),{""charttype"",""line"";""linewidth"",1;""color"",""#5f88cc""})),"""")"),"")</f>
        <v/>
      </c>
      <c r="H116" s="49">
        <f>IFERROR(__xludf.DUMMYFUNCTION("IFERROR((((GOOGLEFINANCE(A116))-(INDEX(GoogleFinance(A116,""PRICE"",$AQ$1),2,2)))/(INDEX(GoogleFinance(A116,""PRICE"",$AQ$1),2,2))),"""")"),0.061666666666666634)</f>
        <v>0.06166666667</v>
      </c>
      <c r="I116" s="47">
        <f>IFERROR(__xludf.DUMMYFUNCTION("IFERROR((GOOGLEFINANCE($A116,""high52"")),"""")"),20.0)</f>
        <v>20</v>
      </c>
      <c r="J116" s="48" t="str">
        <f>IFERROR(__xludf.DUMMYFUNCTION("IFERROR((sparkline(GOOGLEFINANCE($A116,""price"",TODAY()-365,TODAY(),""DAILY""),{""charttype"",""line"";""linewidth"",1;""color"",""#5f88cc""})),"""")"),"")</f>
        <v/>
      </c>
      <c r="K116" s="50">
        <f>IFERROR(__xludf.DUMMYFUNCTION("IFERROR((((GOOGLEFINANCE(A116))-(INDEX(GoogleFinance(A116,""PRICE"",$AP$1),2,2)))/(INDEX(GoogleFinance(A116,""PRICE"",$AP$1),2,2))),"""")"),0.5536585365853657)</f>
        <v>0.5536585366</v>
      </c>
      <c r="L116" s="51">
        <f t="shared" si="1"/>
        <v>-0.0445</v>
      </c>
      <c r="M116" s="52">
        <f>IFERROR((VLOOKUP($A116,'Dados StatusInvest'!$A:$AZ,COLUMN(M116)-$A$5,0)*VLOOKUP($A116,'Dados StatusInvest'!$A:$AZ,2,0)/$F116/100),0)</f>
        <v>0.07871648352</v>
      </c>
      <c r="N116" s="53">
        <f>IFERROR((VLOOKUP($A116,'Dados StatusInvest'!$A:$AZ,COLUMN(N116)-$A$5,0)/VLOOKUP($A116,'Dados StatusInvest'!$A:$AZ,2,0)*$F116),"")</f>
        <v>6.06071281</v>
      </c>
      <c r="O116" s="53">
        <f>IFERROR((VLOOKUP($A116,'Dados StatusInvest'!$A:$AZ,COLUMN(O116)-$A$5,0)/VLOOKUP($A116,'Dados StatusInvest'!$A:$AZ,2,0)*$F116),0)</f>
        <v>4.86633781</v>
      </c>
      <c r="P116" s="54">
        <f>IFERROR((VLOOKUP($A116,'Dados StatusInvest'!$A:$AZ,COLUMN(P116)-$A$5,0)/VLOOKUP($A116,'Dados StatusInvest'!$A:$AZ,2,0)*$F116),0)</f>
        <v>4.807112603</v>
      </c>
      <c r="Q116" s="55">
        <f>IFERROR((VLOOKUP($A116,'Dados StatusInvest'!$A:$AZ,COLUMN(Q116)-$A$5,0)/100),0)</f>
        <v>0</v>
      </c>
      <c r="R116" s="56">
        <f>VLOOKUP($A116,'Dados StatusInvest'!$A:$AZ,COLUMN(R116)-$A$5,0)</f>
        <v>0</v>
      </c>
      <c r="S116" s="56">
        <f>IFERROR((VLOOKUP($A116,'Dados StatusInvest'!$A:$AZ,COLUMN(S116)-$A$5,0)),0)</f>
        <v>0.38</v>
      </c>
      <c r="T116" s="53">
        <f>IFERROR((VLOOKUP($A116,'Dados StatusInvest'!$A:$AZ,COLUMN(T116)-$A$5,0)/VLOOKUP($A116,'Dados StatusInvest'!$A:$AZ,2,0)*$F116),0)</f>
        <v>15.68480888</v>
      </c>
      <c r="U116" s="53">
        <f>IFERROR((VLOOKUP($A116,'Dados StatusInvest'!$A:$AZ,COLUMN(U116)-$A$5,0)-VLOOKUP($A116,'Dados StatusInvest'!$A:$AZ,COLUMN(U116)-$A$5-1,0)+T116),0)</f>
        <v>-0.2551911157</v>
      </c>
      <c r="V116" s="56">
        <f>IFERROR((VLOOKUP($A116,'Dados StatusInvest'!$A:$AZ,COLUMN(V116)-$A$5,0)),0)</f>
        <v>1.31</v>
      </c>
      <c r="W116" s="56">
        <f>IFERROR((VLOOKUP($A116,'Dados StatusInvest'!$A:$AZ,COLUMN(W116)-$A$5,0)),0)</f>
        <v>11.45</v>
      </c>
      <c r="X116" s="53">
        <f>IFERROR((VLOOKUP($A116,'Dados StatusInvest'!$A:$AZ,COLUMN(X116)-$A$5,0)/VLOOKUP($A116,'Dados StatusInvest'!$A:$AZ,2,0)*$F116),0)</f>
        <v>0.7896694215</v>
      </c>
      <c r="Y116" s="54">
        <f>IFERROR((VLOOKUP($A116,'Dados StatusInvest'!$A:$AZ,COLUMN(Y116)-$A$5,0)/VLOOKUP($A116,'Dados StatusInvest'!$A:$AZ,2,0)*$F116),0)</f>
        <v>0</v>
      </c>
      <c r="Z116" s="56">
        <f>IFERROR((VLOOKUP($A116,'Dados StatusInvest'!$A:$AZ,COLUMN(Z116)-$A$5,0)),0)</f>
        <v>0.07</v>
      </c>
      <c r="AA116" s="57">
        <f>IFERROR((VLOOKUP($A116,'Dados StatusInvest'!$A:$AZ,COLUMN(AA116)-$A$5,0)),0)</f>
        <v>0.93</v>
      </c>
      <c r="AB116" s="57">
        <f>IFERROR((VLOOKUP($A116,'Dados StatusInvest'!$A:$AZ,COLUMN(AB116)-$A$5,0)),0)</f>
        <v>0.13</v>
      </c>
      <c r="AC116" s="58">
        <f>IFERROR((VLOOKUP($A116,'Dados StatusInvest'!$A:$AZ,COLUMN(AC116)-$A$5,0)),0)</f>
        <v>15.28</v>
      </c>
      <c r="AD116" s="57">
        <f>IFERROR((VLOOKUP($A116,'Dados StatusInvest'!$A:$AZ,COLUMN(AD116)-$A$5,0)),0)</f>
        <v>0.02</v>
      </c>
      <c r="AE116" s="56">
        <f>IFERROR((VLOOKUP($A116,'Dados StatusInvest'!$A:$AZ,COLUMN(AE116)-$A$5,0)),0)</f>
        <v>200454</v>
      </c>
      <c r="AF116" s="56">
        <f>IFERROR((VLOOKUP($A116,'Dados StatusInvest'!$A:$AZ,COLUMN(AF116)-$A$5,0)),0)</f>
        <v>27.14</v>
      </c>
      <c r="AG116" s="56">
        <f>IFERROR((VLOOKUP($A116,'Dados StatusInvest'!$A:$AZ,COLUMN(AG116)-$A$5,0)),0)</f>
        <v>3.11</v>
      </c>
      <c r="AH116" s="56">
        <f>IFERROR((VLOOKUP($A116,'Dados StatusInvest'!$A:$AZ,COLUMN(AH116)-$A$5,0)),0)</f>
        <v>0.11</v>
      </c>
      <c r="AI116" s="57">
        <f>IFERROR((VLOOKUP($A116,'Dados StatusInvest'!$A:$AZ,COLUMN(AI116)-$A$5,0)),0)</f>
        <v>7823947442</v>
      </c>
      <c r="AJ116" s="59" t="str">
        <f>IFERROR((VLOOKUP($A116,'Dados StatusInvest'!$A:$AZ,COLUMN(AJ116)-$A$5,0)),0)</f>
        <v/>
      </c>
      <c r="AK116" s="60">
        <f>IFERROR(__xludf.DUMMYFUNCTION("IFERROR(GOOGLEFINANCE($A116,""high""),"""")"),19.54)</f>
        <v>19.54</v>
      </c>
      <c r="AL116" s="60">
        <f>IFERROR(__xludf.DUMMYFUNCTION("IFERROR(GOOGLEFINANCE($A116,""low""),"""")"),19.11)</f>
        <v>19.11</v>
      </c>
      <c r="AM116" s="61">
        <f t="shared" si="2"/>
        <v>0.02250130822</v>
      </c>
      <c r="AN116" s="62">
        <f>IFERROR(__xludf.DUMMYFUNCTION("IFERROR((GOOGLEFINANCE($A116,""volume"")),0)"),400.0)</f>
        <v>400</v>
      </c>
      <c r="AO116" s="60">
        <f>IFERROR(__xludf.DUMMYFUNCTION("IFERROR((GOOGLEFINANCE($A116,""closeyest"")),"""")"),19.36)</f>
        <v>19.36</v>
      </c>
      <c r="AP116" s="60">
        <f>IFERROR(__xludf.DUMMYFUNCTION("IFERROR((GOOGLEFINANCE($A116,""shares"")),"""")"),2.05064841E8)</f>
        <v>205064841</v>
      </c>
      <c r="AQ116" s="18"/>
    </row>
    <row r="117">
      <c r="A117" s="45" t="str">
        <f>'Dados StatusInvest'!A112:A731</f>
        <v>BRSR5</v>
      </c>
      <c r="B117" s="46" t="str">
        <f>IFERROR(__xludf.DUMMYFUNCTION("IFERROR((GOOGLEFINANCE(A117,""name"")),"""")"),"Banco do Estado do Rio Grande do Sul SA Preference Shares Class A")</f>
        <v>Banco do Estado do Rio Grande do Sul SA Preference Shares Class A</v>
      </c>
      <c r="C117" s="46" t="str">
        <f>IFERROR((VLOOKUP(LEFT($A117,4),Setor!$A:$E,3,0)),"")</f>
        <v>Financeiro</v>
      </c>
      <c r="D117" s="46" t="str">
        <f>IFERROR((VLOOKUP(LEFT($A117,4),Setor!$A:$E,4,0)),"")</f>
        <v>Intermediários Financeiros</v>
      </c>
      <c r="E117" s="46" t="str">
        <f>IFERROR((VLOOKUP(LEFT($A117,4),Setor!$A:$E,5,0)),"")</f>
        <v>Bancos</v>
      </c>
      <c r="F117" s="47">
        <f>IFERROR(__xludf.DUMMYFUNCTION("IFERROR((GOOGLEFINANCE(A117)),"""")"),18.73)</f>
        <v>18.73</v>
      </c>
      <c r="G117" s="48" t="str">
        <f>IFERROR(__xludf.DUMMYFUNCTION("IFERROR((sparkline(GOOGLEFINANCE($A117,""price"",TODAY()-30,TODAY(),""DAILY""),{""charttype"",""line"";""linewidth"",1;""color"",""#5f88cc""})),"""")"),"")</f>
        <v/>
      </c>
      <c r="H117" s="49">
        <f>IFERROR(__xludf.DUMMYFUNCTION("IFERROR((((GOOGLEFINANCE(A117))-(INDEX(GoogleFinance(A117,""PRICE"",$AQ$1),2,2)))/(INDEX(GoogleFinance(A117,""PRICE"",$AQ$1),2,2))),"""")"),-0.03948717948717947)</f>
        <v>-0.03948717949</v>
      </c>
      <c r="I117" s="47">
        <f>IFERROR(__xludf.DUMMYFUNCTION("IFERROR((GOOGLEFINANCE($A117,""high52"")),"""")"),19.51)</f>
        <v>19.51</v>
      </c>
      <c r="J117" s="48" t="str">
        <f>IFERROR(__xludf.DUMMYFUNCTION("IFERROR((sparkline(GOOGLEFINANCE($A117,""price"",TODAY()-365,TODAY(),""DAILY""),{""charttype"",""line"";""linewidth"",1;""color"",""#5f88cc""})),"""")"),"")</f>
        <v/>
      </c>
      <c r="K117" s="50">
        <f>IFERROR(__xludf.DUMMYFUNCTION("IFERROR((((GOOGLEFINANCE(A117))-(INDEX(GoogleFinance(A117,""PRICE"",$AP$1),2,2)))/(INDEX(GoogleFinance(A117,""PRICE"",$AP$1),2,2))),"""")"),0.2486666666666667)</f>
        <v>0.2486666667</v>
      </c>
      <c r="L117" s="51">
        <f t="shared" si="1"/>
        <v>-0.03997949769</v>
      </c>
      <c r="M117" s="52">
        <f>IFERROR((VLOOKUP($A117,'Dados StatusInvest'!$A:$AZ,COLUMN(M117)-$A$5,0)*VLOOKUP($A117,'Dados StatusInvest'!$A:$AZ,2,0)/$F117/100),0)</f>
        <v>0.0777</v>
      </c>
      <c r="N117" s="53">
        <f>IFERROR((VLOOKUP($A117,'Dados StatusInvest'!$A:$AZ,COLUMN(N117)-$A$5,0)/VLOOKUP($A117,'Dados StatusInvest'!$A:$AZ,2,0)*$F117),"")</f>
        <v>6.14</v>
      </c>
      <c r="O117" s="53">
        <f>IFERROR((VLOOKUP($A117,'Dados StatusInvest'!$A:$AZ,COLUMN(O117)-$A$5,0)/VLOOKUP($A117,'Dados StatusInvest'!$A:$AZ,2,0)*$F117),0)</f>
        <v>4.77</v>
      </c>
      <c r="P117" s="54">
        <f>IFERROR((VLOOKUP($A117,'Dados StatusInvest'!$A:$AZ,COLUMN(P117)-$A$5,0)/VLOOKUP($A117,'Dados StatusInvest'!$A:$AZ,2,0)*$F117),0)</f>
        <v>4.87</v>
      </c>
      <c r="Q117" s="55">
        <f>IFERROR((VLOOKUP($A117,'Dados StatusInvest'!$A:$AZ,COLUMN(Q117)-$A$5,0)/100),0)</f>
        <v>0</v>
      </c>
      <c r="R117" s="56">
        <f>VLOOKUP($A117,'Dados StatusInvest'!$A:$AZ,COLUMN(R117)-$A$5,0)</f>
        <v>0</v>
      </c>
      <c r="S117" s="56">
        <f>IFERROR((VLOOKUP($A117,'Dados StatusInvest'!$A:$AZ,COLUMN(S117)-$A$5,0)),0)</f>
        <v>0.37</v>
      </c>
      <c r="T117" s="53">
        <f>IFERROR((VLOOKUP($A117,'Dados StatusInvest'!$A:$AZ,COLUMN(T117)-$A$5,0)/VLOOKUP($A117,'Dados StatusInvest'!$A:$AZ,2,0)*$F117),0)</f>
        <v>15.38</v>
      </c>
      <c r="U117" s="53">
        <f>IFERROR((VLOOKUP($A117,'Dados StatusInvest'!$A:$AZ,COLUMN(U117)-$A$5,0)-VLOOKUP($A117,'Dados StatusInvest'!$A:$AZ,COLUMN(U117)-$A$5-1,0)+T117),0)</f>
        <v>-0.05</v>
      </c>
      <c r="V117" s="56">
        <f>IFERROR((VLOOKUP($A117,'Dados StatusInvest'!$A:$AZ,COLUMN(V117)-$A$5,0)),0)</f>
        <v>1.31</v>
      </c>
      <c r="W117" s="56">
        <f>IFERROR((VLOOKUP($A117,'Dados StatusInvest'!$A:$AZ,COLUMN(W117)-$A$5,0)),0)</f>
        <v>11.45</v>
      </c>
      <c r="X117" s="53">
        <f>IFERROR((VLOOKUP($A117,'Dados StatusInvest'!$A:$AZ,COLUMN(X117)-$A$5,0)/VLOOKUP($A117,'Dados StatusInvest'!$A:$AZ,2,0)*$F117),0)</f>
        <v>0.8</v>
      </c>
      <c r="Y117" s="54">
        <f>IFERROR((VLOOKUP($A117,'Dados StatusInvest'!$A:$AZ,COLUMN(Y117)-$A$5,0)/VLOOKUP($A117,'Dados StatusInvest'!$A:$AZ,2,0)*$F117),0)</f>
        <v>0</v>
      </c>
      <c r="Z117" s="56">
        <f>IFERROR((VLOOKUP($A117,'Dados StatusInvest'!$A:$AZ,COLUMN(Z117)-$A$5,0)),0)</f>
        <v>0.07</v>
      </c>
      <c r="AA117" s="57">
        <f>IFERROR((VLOOKUP($A117,'Dados StatusInvest'!$A:$AZ,COLUMN(AA117)-$A$5,0)),0)</f>
        <v>0.93</v>
      </c>
      <c r="AB117" s="57">
        <f>IFERROR((VLOOKUP($A117,'Dados StatusInvest'!$A:$AZ,COLUMN(AB117)-$A$5,0)),0)</f>
        <v>0.13</v>
      </c>
      <c r="AC117" s="58">
        <f>IFERROR((VLOOKUP($A117,'Dados StatusInvest'!$A:$AZ,COLUMN(AC117)-$A$5,0)),0)</f>
        <v>15.28</v>
      </c>
      <c r="AD117" s="57">
        <f>IFERROR((VLOOKUP($A117,'Dados StatusInvest'!$A:$AZ,COLUMN(AD117)-$A$5,0)),0)</f>
        <v>0.02</v>
      </c>
      <c r="AE117" s="56">
        <f>IFERROR((VLOOKUP($A117,'Dados StatusInvest'!$A:$AZ,COLUMN(AE117)-$A$5,0)),0)</f>
        <v>4641.75</v>
      </c>
      <c r="AF117" s="56">
        <f>IFERROR((VLOOKUP($A117,'Dados StatusInvest'!$A:$AZ,COLUMN(AF117)-$A$5,0)),0)</f>
        <v>27.14</v>
      </c>
      <c r="AG117" s="56">
        <f>IFERROR((VLOOKUP($A117,'Dados StatusInvest'!$A:$AZ,COLUMN(AG117)-$A$5,0)),0)</f>
        <v>3.11</v>
      </c>
      <c r="AH117" s="56">
        <f>IFERROR((VLOOKUP($A117,'Dados StatusInvest'!$A:$AZ,COLUMN(AH117)-$A$5,0)),0)</f>
        <v>0.1</v>
      </c>
      <c r="AI117" s="57">
        <f>IFERROR((VLOOKUP($A117,'Dados StatusInvest'!$A:$AZ,COLUMN(AI117)-$A$5,0)),0)</f>
        <v>7823947442</v>
      </c>
      <c r="AJ117" s="59" t="str">
        <f>IFERROR((VLOOKUP($A117,'Dados StatusInvest'!$A:$AZ,COLUMN(AJ117)-$A$5,0)),0)</f>
        <v/>
      </c>
      <c r="AK117" s="60" t="str">
        <f>IFERROR(__xludf.DUMMYFUNCTION("IFERROR(GOOGLEFINANCE($A117,""high""),"""")"),"")</f>
        <v/>
      </c>
      <c r="AL117" s="60" t="str">
        <f>IFERROR(__xludf.DUMMYFUNCTION("IFERROR(GOOGLEFINANCE($A117,""low""),"""")"),"")</f>
        <v/>
      </c>
      <c r="AM117" s="61">
        <f t="shared" si="2"/>
        <v>0</v>
      </c>
      <c r="AN117" s="62">
        <f>IFERROR(__xludf.DUMMYFUNCTION("IFERROR((GOOGLEFINANCE($A117,""volume"")),0)"),0.0)</f>
        <v>0</v>
      </c>
      <c r="AO117" s="60">
        <f>IFERROR(__xludf.DUMMYFUNCTION("IFERROR((GOOGLEFINANCE($A117,""closeyest"")),"""")"),18.73)</f>
        <v>18.73</v>
      </c>
      <c r="AP117" s="60">
        <f>IFERROR(__xludf.DUMMYFUNCTION("IFERROR((GOOGLEFINANCE($A117,""shares"")),"""")"),1373091.0)</f>
        <v>1373091</v>
      </c>
      <c r="AQ117" s="18"/>
    </row>
    <row r="118">
      <c r="A118" s="45" t="str">
        <f>'Dados StatusInvest'!A113:A732</f>
        <v>BRSR6</v>
      </c>
      <c r="B118" s="46" t="str">
        <f>IFERROR(__xludf.DUMMYFUNCTION("IFERROR((GOOGLEFINANCE(A118,""name"")),"""")"),"Banco do Estado do Rio Grande do Sul SA Preference Shares Class B")</f>
        <v>Banco do Estado do Rio Grande do Sul SA Preference Shares Class B</v>
      </c>
      <c r="C118" s="46" t="str">
        <f>IFERROR((VLOOKUP(LEFT($A118,4),Setor!$A:$E,3,0)),"")</f>
        <v>Financeiro</v>
      </c>
      <c r="D118" s="46" t="str">
        <f>IFERROR((VLOOKUP(LEFT($A118,4),Setor!$A:$E,4,0)),"")</f>
        <v>Intermediários Financeiros</v>
      </c>
      <c r="E118" s="46" t="str">
        <f>IFERROR((VLOOKUP(LEFT($A118,4),Setor!$A:$E,5,0)),"")</f>
        <v>Bancos</v>
      </c>
      <c r="F118" s="47">
        <f>IFERROR(__xludf.DUMMYFUNCTION("IFERROR((GOOGLEFINANCE(A118)),"""")"),18.73)</f>
        <v>18.73</v>
      </c>
      <c r="G118" s="48" t="str">
        <f>IFERROR(__xludf.DUMMYFUNCTION("IFERROR((sparkline(GOOGLEFINANCE($A118,""price"",TODAY()-30,TODAY(),""DAILY""),{""charttype"",""line"";""linewidth"",1;""color"",""#5f88cc""})),"""")"),"")</f>
        <v/>
      </c>
      <c r="H118" s="49">
        <f>IFERROR(__xludf.DUMMYFUNCTION("IFERROR((((GOOGLEFINANCE(A118))-(INDEX(GoogleFinance(A118,""PRICE"",$AQ$1),2,2)))/(INDEX(GoogleFinance(A118,""PRICE"",$AQ$1),2,2))),"""")"),0.09404205607476632)</f>
        <v>0.09404205607</v>
      </c>
      <c r="I118" s="47">
        <f>IFERROR(__xludf.DUMMYFUNCTION("IFERROR((GOOGLEFINANCE($A118,""high52"")),"""")"),19.05)</f>
        <v>19.05</v>
      </c>
      <c r="J118" s="48" t="str">
        <f>IFERROR(__xludf.DUMMYFUNCTION("IFERROR((sparkline(GOOGLEFINANCE($A118,""price"",TODAY()-365,TODAY(),""DAILY""),{""charttype"",""line"";""linewidth"",1;""color"",""#5f88cc""})),"""")"),"")</f>
        <v/>
      </c>
      <c r="K118" s="50">
        <f>IFERROR(__xludf.DUMMYFUNCTION("IFERROR((((GOOGLEFINANCE(A118))-(INDEX(GoogleFinance(A118,""PRICE"",$AP$1),2,2)))/(INDEX(GoogleFinance(A118,""PRICE"",$AP$1),2,2))),"""")"),0.7753554502369667)</f>
        <v>0.7753554502</v>
      </c>
      <c r="L118" s="51">
        <f t="shared" si="1"/>
        <v>-0.01679790026</v>
      </c>
      <c r="M118" s="52">
        <f>IFERROR((VLOOKUP($A118,'Dados StatusInvest'!$A:$AZ,COLUMN(M118)-$A$5,0)*VLOOKUP($A118,'Dados StatusInvest'!$A:$AZ,2,0)/$F118/100),0)</f>
        <v>0.07840523225</v>
      </c>
      <c r="N118" s="53">
        <f>IFERROR((VLOOKUP($A118,'Dados StatusInvest'!$A:$AZ,COLUMN(N118)-$A$5,0)/VLOOKUP($A118,'Dados StatusInvest'!$A:$AZ,2,0)*$F118),"")</f>
        <v>6.084772487</v>
      </c>
      <c r="O118" s="53">
        <f>IFERROR((VLOOKUP($A118,'Dados StatusInvest'!$A:$AZ,COLUMN(O118)-$A$5,0)/VLOOKUP($A118,'Dados StatusInvest'!$A:$AZ,2,0)*$F118),0)</f>
        <v>4.76673545</v>
      </c>
      <c r="P118" s="54">
        <f>IFERROR((VLOOKUP($A118,'Dados StatusInvest'!$A:$AZ,COLUMN(P118)-$A$5,0)/VLOOKUP($A118,'Dados StatusInvest'!$A:$AZ,2,0)*$F118),0)</f>
        <v>4.826195767</v>
      </c>
      <c r="Q118" s="55">
        <f>IFERROR((VLOOKUP($A118,'Dados StatusInvest'!$A:$AZ,COLUMN(Q118)-$A$5,0)/100),0)</f>
        <v>0</v>
      </c>
      <c r="R118" s="56">
        <f>VLOOKUP($A118,'Dados StatusInvest'!$A:$AZ,COLUMN(R118)-$A$5,0)</f>
        <v>0</v>
      </c>
      <c r="S118" s="56">
        <f>IFERROR((VLOOKUP($A118,'Dados StatusInvest'!$A:$AZ,COLUMN(S118)-$A$5,0)),0)</f>
        <v>0.37</v>
      </c>
      <c r="T118" s="53">
        <f>IFERROR((VLOOKUP($A118,'Dados StatusInvest'!$A:$AZ,COLUMN(T118)-$A$5,0)/VLOOKUP($A118,'Dados StatusInvest'!$A:$AZ,2,0)*$F118),0)</f>
        <v>15.37049206</v>
      </c>
      <c r="U118" s="53">
        <f>IFERROR((VLOOKUP($A118,'Dados StatusInvest'!$A:$AZ,COLUMN(U118)-$A$5,0)-VLOOKUP($A118,'Dados StatusInvest'!$A:$AZ,COLUMN(U118)-$A$5-1,0)+T118),0)</f>
        <v>-0.1895079365</v>
      </c>
      <c r="V118" s="56">
        <f>IFERROR((VLOOKUP($A118,'Dados StatusInvest'!$A:$AZ,COLUMN(V118)-$A$5,0)),0)</f>
        <v>1.31</v>
      </c>
      <c r="W118" s="56">
        <f>IFERROR((VLOOKUP($A118,'Dados StatusInvest'!$A:$AZ,COLUMN(W118)-$A$5,0)),0)</f>
        <v>11.45</v>
      </c>
      <c r="X118" s="53">
        <f>IFERROR((VLOOKUP($A118,'Dados StatusInvest'!$A:$AZ,COLUMN(X118)-$A$5,0)/VLOOKUP($A118,'Dados StatusInvest'!$A:$AZ,2,0)*$F118),0)</f>
        <v>0.7928042328</v>
      </c>
      <c r="Y118" s="54">
        <f>IFERROR((VLOOKUP($A118,'Dados StatusInvest'!$A:$AZ,COLUMN(Y118)-$A$5,0)/VLOOKUP($A118,'Dados StatusInvest'!$A:$AZ,2,0)*$F118),0)</f>
        <v>0</v>
      </c>
      <c r="Z118" s="56">
        <f>IFERROR((VLOOKUP($A118,'Dados StatusInvest'!$A:$AZ,COLUMN(Z118)-$A$5,0)),0)</f>
        <v>0.07</v>
      </c>
      <c r="AA118" s="57">
        <f>IFERROR((VLOOKUP($A118,'Dados StatusInvest'!$A:$AZ,COLUMN(AA118)-$A$5,0)),0)</f>
        <v>0.93</v>
      </c>
      <c r="AB118" s="57">
        <f>IFERROR((VLOOKUP($A118,'Dados StatusInvest'!$A:$AZ,COLUMN(AB118)-$A$5,0)),0)</f>
        <v>0.13</v>
      </c>
      <c r="AC118" s="58">
        <f>IFERROR((VLOOKUP($A118,'Dados StatusInvest'!$A:$AZ,COLUMN(AC118)-$A$5,0)),0)</f>
        <v>15.28</v>
      </c>
      <c r="AD118" s="57">
        <f>IFERROR((VLOOKUP($A118,'Dados StatusInvest'!$A:$AZ,COLUMN(AD118)-$A$5,0)),0)</f>
        <v>0.02</v>
      </c>
      <c r="AE118" s="56">
        <f>IFERROR((VLOOKUP($A118,'Dados StatusInvest'!$A:$AZ,COLUMN(AE118)-$A$5,0)),0)</f>
        <v>32073916</v>
      </c>
      <c r="AF118" s="56">
        <f>IFERROR((VLOOKUP($A118,'Dados StatusInvest'!$A:$AZ,COLUMN(AF118)-$A$5,0)),0)</f>
        <v>27.14</v>
      </c>
      <c r="AG118" s="56">
        <f>IFERROR((VLOOKUP($A118,'Dados StatusInvest'!$A:$AZ,COLUMN(AG118)-$A$5,0)),0)</f>
        <v>3.11</v>
      </c>
      <c r="AH118" s="56">
        <f>IFERROR((VLOOKUP($A118,'Dados StatusInvest'!$A:$AZ,COLUMN(AH118)-$A$5,0)),0)</f>
        <v>0.1</v>
      </c>
      <c r="AI118" s="57">
        <f>IFERROR((VLOOKUP($A118,'Dados StatusInvest'!$A:$AZ,COLUMN(AI118)-$A$5,0)),0)</f>
        <v>7823947442</v>
      </c>
      <c r="AJ118" s="59" t="str">
        <f>IFERROR((VLOOKUP($A118,'Dados StatusInvest'!$A:$AZ,COLUMN(AJ118)-$A$5,0)),0)</f>
        <v/>
      </c>
      <c r="AK118" s="60">
        <f>IFERROR(__xludf.DUMMYFUNCTION("IFERROR(GOOGLEFINANCE($A118,""high""),"""")"),18.82)</f>
        <v>18.82</v>
      </c>
      <c r="AL118" s="60">
        <f>IFERROR(__xludf.DUMMYFUNCTION("IFERROR(GOOGLEFINANCE($A118,""low""),"""")"),18.61)</f>
        <v>18.61</v>
      </c>
      <c r="AM118" s="61">
        <f t="shared" si="2"/>
        <v>0.01128425578</v>
      </c>
      <c r="AN118" s="62">
        <f>IFERROR(__xludf.DUMMYFUNCTION("IFERROR((GOOGLEFINANCE($A118,""volume"")),0)"),125300.0)</f>
        <v>125300</v>
      </c>
      <c r="AO118" s="60">
        <f>IFERROR(__xludf.DUMMYFUNCTION("IFERROR((GOOGLEFINANCE($A118,""closeyest"")),"""")"),18.9)</f>
        <v>18.9</v>
      </c>
      <c r="AP118" s="60">
        <f>IFERROR(__xludf.DUMMYFUNCTION("IFERROR((GOOGLEFINANCE($A118,""shares"")),"""")"),2.02536545E8)</f>
        <v>202536545</v>
      </c>
      <c r="AQ118" s="18"/>
    </row>
    <row r="119">
      <c r="A119" s="45" t="str">
        <f>'Dados StatusInvest'!A114:A733</f>
        <v>BRST3</v>
      </c>
      <c r="B119" s="46" t="str">
        <f>IFERROR(__xludf.DUMMYFUNCTION("IFERROR((GOOGLEFINANCE(A119,""name"")),"""")"),"Brisanet Participacoes SA")</f>
        <v>Brisanet Participacoes SA</v>
      </c>
      <c r="C119" s="46" t="str">
        <f>IFERROR((VLOOKUP(LEFT($A119,4),Setor!$A:$E,3,0)),"")</f>
        <v/>
      </c>
      <c r="D119" s="46" t="str">
        <f>IFERROR((VLOOKUP(LEFT($A119,4),Setor!$A:$E,4,0)),"")</f>
        <v/>
      </c>
      <c r="E119" s="46" t="str">
        <f>IFERROR((VLOOKUP(LEFT($A119,4),Setor!$A:$E,5,0)),"")</f>
        <v/>
      </c>
      <c r="F119" s="47">
        <f>IFERROR(__xludf.DUMMYFUNCTION("IFERROR((GOOGLEFINANCE(A119)),"""")"),3.04)</f>
        <v>3.04</v>
      </c>
      <c r="G119" s="48" t="str">
        <f>IFERROR(__xludf.DUMMYFUNCTION("IFERROR((sparkline(GOOGLEFINANCE($A119,""price"",TODAY()-30,TODAY(),""DAILY""),{""charttype"",""line"";""linewidth"",1;""color"",""#5f88cc""})),"""")"),"")</f>
        <v/>
      </c>
      <c r="H119" s="49">
        <f>IFERROR(__xludf.DUMMYFUNCTION("IFERROR((((GOOGLEFINANCE(A119))-(INDEX(GoogleFinance(A119,""PRICE"",$AQ$1),2,2)))/(INDEX(GoogleFinance(A119,""PRICE"",$AQ$1),2,2))),"""")"),-0.12391930835734874)</f>
        <v>-0.1239193084</v>
      </c>
      <c r="I119" s="47">
        <f>IFERROR(__xludf.DUMMYFUNCTION("IFERROR((GOOGLEFINANCE($A119,""high52"")),"""")"),3.55)</f>
        <v>3.55</v>
      </c>
      <c r="J119" s="48" t="str">
        <f>IFERROR(__xludf.DUMMYFUNCTION("IFERROR((sparkline(GOOGLEFINANCE($A119,""price"",TODAY()-365,TODAY(),""DAILY""),{""charttype"",""line"";""linewidth"",1;""color"",""#5f88cc""})),"""")"),"")</f>
        <v/>
      </c>
      <c r="K119" s="50">
        <f>IFERROR(__xludf.DUMMYFUNCTION("IFERROR((((GOOGLEFINANCE(A119))-(INDEX(GoogleFinance(A119,""PRICE"",$AP$1),2,2)))/(INDEX(GoogleFinance(A119,""PRICE"",$AP$1),2,2))),"""")"),0.009966777408637956)</f>
        <v>0.009966777409</v>
      </c>
      <c r="L119" s="51">
        <f t="shared" si="1"/>
        <v>-0.1436619718</v>
      </c>
      <c r="M119" s="52">
        <f>IFERROR((VLOOKUP($A119,'Dados StatusInvest'!$A:$AZ,COLUMN(M119)-$A$5,0)*VLOOKUP($A119,'Dados StatusInvest'!$A:$AZ,2,0)/$F119/100),0)</f>
        <v>0.1496</v>
      </c>
      <c r="N119" s="53">
        <f>IFERROR((VLOOKUP($A119,'Dados StatusInvest'!$A:$AZ,COLUMN(N119)-$A$5,0)/VLOOKUP($A119,'Dados StatusInvest'!$A:$AZ,2,0)*$F119),"")</f>
        <v>8.46</v>
      </c>
      <c r="O119" s="53">
        <f>IFERROR((VLOOKUP($A119,'Dados StatusInvest'!$A:$AZ,COLUMN(O119)-$A$5,0)/VLOOKUP($A119,'Dados StatusInvest'!$A:$AZ,2,0)*$F119),0)</f>
        <v>6.5</v>
      </c>
      <c r="P119" s="54">
        <f>IFERROR((VLOOKUP($A119,'Dados StatusInvest'!$A:$AZ,COLUMN(P119)-$A$5,0)/VLOOKUP($A119,'Dados StatusInvest'!$A:$AZ,2,0)*$F119),0)</f>
        <v>11.53</v>
      </c>
      <c r="Q119" s="55">
        <f>IFERROR((VLOOKUP($A119,'Dados StatusInvest'!$A:$AZ,COLUMN(Q119)-$A$5,0)/100),0)</f>
        <v>0.0503</v>
      </c>
      <c r="R119" s="56">
        <f>VLOOKUP($A119,'Dados StatusInvest'!$A:$AZ,COLUMN(R119)-$A$5,0)</f>
        <v>0.66</v>
      </c>
      <c r="S119" s="56">
        <f>IFERROR((VLOOKUP($A119,'Dados StatusInvest'!$A:$AZ,COLUMN(S119)-$A$5,0)),0)</f>
        <v>0.97</v>
      </c>
      <c r="T119" s="53">
        <f>IFERROR((VLOOKUP($A119,'Dados StatusInvest'!$A:$AZ,COLUMN(T119)-$A$5,0)/VLOOKUP($A119,'Dados StatusInvest'!$A:$AZ,2,0)*$F119),0)</f>
        <v>3.29</v>
      </c>
      <c r="U119" s="53">
        <f>IFERROR((VLOOKUP($A119,'Dados StatusInvest'!$A:$AZ,COLUMN(U119)-$A$5,0)-VLOOKUP($A119,'Dados StatusInvest'!$A:$AZ,COLUMN(U119)-$A$5-1,0)+T119),0)</f>
        <v>-0.46</v>
      </c>
      <c r="V119" s="56">
        <f>IFERROR((VLOOKUP($A119,'Dados StatusInvest'!$A:$AZ,COLUMN(V119)-$A$5,0)),0)</f>
        <v>1.54</v>
      </c>
      <c r="W119" s="56">
        <f>IFERROR((VLOOKUP($A119,'Dados StatusInvest'!$A:$AZ,COLUMN(W119)-$A$5,0)),0)</f>
        <v>7.44</v>
      </c>
      <c r="X119" s="53">
        <f>IFERROR((VLOOKUP($A119,'Dados StatusInvest'!$A:$AZ,COLUMN(X119)-$A$5,0)/VLOOKUP($A119,'Dados StatusInvest'!$A:$AZ,2,0)*$F119),0)</f>
        <v>2.86</v>
      </c>
      <c r="Y119" s="54">
        <f>IFERROR((VLOOKUP($A119,'Dados StatusInvest'!$A:$AZ,COLUMN(Y119)-$A$5,0)/VLOOKUP($A119,'Dados StatusInvest'!$A:$AZ,2,0)*$F119),0)</f>
        <v>5.71</v>
      </c>
      <c r="Z119" s="56">
        <f>IFERROR((VLOOKUP($A119,'Dados StatusInvest'!$A:$AZ,COLUMN(Z119)-$A$5,0)),0)</f>
        <v>0.38</v>
      </c>
      <c r="AA119" s="57">
        <f>IFERROR((VLOOKUP($A119,'Dados StatusInvest'!$A:$AZ,COLUMN(AA119)-$A$5,0)),0)</f>
        <v>0.62</v>
      </c>
      <c r="AB119" s="57">
        <f>IFERROR((VLOOKUP($A119,'Dados StatusInvest'!$A:$AZ,COLUMN(AB119)-$A$5,0)),0)</f>
        <v>0.34</v>
      </c>
      <c r="AC119" s="58">
        <f>IFERROR((VLOOKUP($A119,'Dados StatusInvest'!$A:$AZ,COLUMN(AC119)-$A$5,0)),0)</f>
        <v>41.71</v>
      </c>
      <c r="AD119" s="57">
        <f>IFERROR((VLOOKUP($A119,'Dados StatusInvest'!$A:$AZ,COLUMN(AD119)-$A$5,0)),0)</f>
        <v>35.66</v>
      </c>
      <c r="AE119" s="56">
        <f>IFERROR((VLOOKUP($A119,'Dados StatusInvest'!$A:$AZ,COLUMN(AE119)-$A$5,0)),0)</f>
        <v>1124777</v>
      </c>
      <c r="AF119" s="56">
        <f>IFERROR((VLOOKUP($A119,'Dados StatusInvest'!$A:$AZ,COLUMN(AF119)-$A$5,0)),0)</f>
        <v>3.56</v>
      </c>
      <c r="AG119" s="56">
        <f>IFERROR((VLOOKUP($A119,'Dados StatusInvest'!$A:$AZ,COLUMN(AG119)-$A$5,0)),0)</f>
        <v>0.26</v>
      </c>
      <c r="AH119" s="56">
        <f>IFERROR((VLOOKUP($A119,'Dados StatusInvest'!$A:$AZ,COLUMN(AH119)-$A$5,0)),0)</f>
        <v>-0.97</v>
      </c>
      <c r="AI119" s="57">
        <f>IFERROR((VLOOKUP($A119,'Dados StatusInvest'!$A:$AZ,COLUMN(AI119)-$A$5,0)),0)</f>
        <v>1331542912</v>
      </c>
      <c r="AJ119" s="59" t="str">
        <f>IFERROR((VLOOKUP($A119,'Dados StatusInvest'!$A:$AZ,COLUMN(AJ119)-$A$5,0)),0)</f>
        <v/>
      </c>
      <c r="AK119" s="60">
        <f>IFERROR(__xludf.DUMMYFUNCTION("IFERROR(GOOGLEFINANCE($A119,""high""),"""")"),3.07)</f>
        <v>3.07</v>
      </c>
      <c r="AL119" s="60">
        <f>IFERROR(__xludf.DUMMYFUNCTION("IFERROR(GOOGLEFINANCE($A119,""low""),"""")"),3.02)</f>
        <v>3.02</v>
      </c>
      <c r="AM119" s="61">
        <f t="shared" si="2"/>
        <v>0.01655629139</v>
      </c>
      <c r="AN119" s="62">
        <f>IFERROR(__xludf.DUMMYFUNCTION("IFERROR((GOOGLEFINANCE($A119,""volume"")),0)"),126700.0)</f>
        <v>126700</v>
      </c>
      <c r="AO119" s="60">
        <f>IFERROR(__xludf.DUMMYFUNCTION("IFERROR((GOOGLEFINANCE($A119,""closeyest"")),"""")"),3.04)</f>
        <v>3.04</v>
      </c>
      <c r="AP119" s="60">
        <f>IFERROR(__xludf.DUMMYFUNCTION("IFERROR((GOOGLEFINANCE($A119,""shares"")),"""")"),4.38007537E8)</f>
        <v>438007537</v>
      </c>
      <c r="AQ119" s="18"/>
    </row>
    <row r="120">
      <c r="A120" s="45" t="str">
        <f>'Dados StatusInvest'!A115:A734</f>
        <v>BSEV3</v>
      </c>
      <c r="B120" s="46" t="str">
        <f>IFERROR(__xludf.DUMMYFUNCTION("IFERROR((GOOGLEFINANCE(A120,""name"")),"""")"),"")</f>
        <v/>
      </c>
      <c r="C120" s="46" t="str">
        <f>IFERROR((VLOOKUP(LEFT($A120,4),Setor!$A:$E,3,0)),"")</f>
        <v>Consumo não Cíclico</v>
      </c>
      <c r="D120" s="46" t="str">
        <f>IFERROR((VLOOKUP(LEFT($A120,4),Setor!$A:$E,4,0)),"")</f>
        <v>Alimentos Processados</v>
      </c>
      <c r="E120" s="46" t="str">
        <f>IFERROR((VLOOKUP(LEFT($A120,4),Setor!$A:$E,5,0)),"")</f>
        <v>Açucar e Alcool</v>
      </c>
      <c r="F120" s="47" t="str">
        <f>IFERROR(__xludf.DUMMYFUNCTION("IFERROR((GOOGLEFINANCE(A120)),"""")"),"")</f>
        <v/>
      </c>
      <c r="G120" s="48" t="str">
        <f>IFERROR(__xludf.DUMMYFUNCTION("IFERROR((sparkline(GOOGLEFINANCE($A120,""price"",TODAY()-30,TODAY(),""DAILY""),{""charttype"",""line"";""linewidth"",1;""color"",""#5f88cc""})),"""")"),"")</f>
        <v/>
      </c>
      <c r="H120" s="49" t="str">
        <f>IFERROR(__xludf.DUMMYFUNCTION("IFERROR((((GOOGLEFINANCE(A120))-(INDEX(GoogleFinance(A120,""PRICE"",$AQ$1),2,2)))/(INDEX(GoogleFinance(A120,""PRICE"",$AQ$1),2,2))),"""")"),"")</f>
        <v/>
      </c>
      <c r="I120" s="47" t="str">
        <f>IFERROR(__xludf.DUMMYFUNCTION("IFERROR((GOOGLEFINANCE($A120,""high52"")),"""")"),"")</f>
        <v/>
      </c>
      <c r="J120" s="48" t="str">
        <f>IFERROR(__xludf.DUMMYFUNCTION("IFERROR((sparkline(GOOGLEFINANCE($A120,""price"",TODAY()-365,TODAY(),""DAILY""),{""charttype"",""line"";""linewidth"",1;""color"",""#5f88cc""})),"""")"),"")</f>
        <v/>
      </c>
      <c r="K120" s="50" t="str">
        <f>IFERROR(__xludf.DUMMYFUNCTION("IFERROR((((GOOGLEFINANCE(A120))-(INDEX(GoogleFinance(A120,""PRICE"",$AP$1),2,2)))/(INDEX(GoogleFinance(A120,""PRICE"",$AP$1),2,2))),"""")"),"")</f>
        <v/>
      </c>
      <c r="L120" s="51">
        <f t="shared" si="1"/>
        <v>0</v>
      </c>
      <c r="M120" s="52">
        <f>IFERROR((VLOOKUP($A120,'Dados StatusInvest'!$A:$AZ,COLUMN(M120)-$A$5,0)*VLOOKUP($A120,'Dados StatusInvest'!$A:$AZ,2,0)/$F120/100),0)</f>
        <v>0</v>
      </c>
      <c r="N120" s="53">
        <f>IFERROR((VLOOKUP($A120,'Dados StatusInvest'!$A:$AZ,COLUMN(N120)-$A$5,0)/VLOOKUP($A120,'Dados StatusInvest'!$A:$AZ,2,0)*$F120),"")</f>
        <v>0</v>
      </c>
      <c r="O120" s="53">
        <f>IFERROR((VLOOKUP($A120,'Dados StatusInvest'!$A:$AZ,COLUMN(O120)-$A$5,0)/VLOOKUP($A120,'Dados StatusInvest'!$A:$AZ,2,0)*$F120),0)</f>
        <v>0</v>
      </c>
      <c r="P120" s="54">
        <f>IFERROR((VLOOKUP($A120,'Dados StatusInvest'!$A:$AZ,COLUMN(P120)-$A$5,0)/VLOOKUP($A120,'Dados StatusInvest'!$A:$AZ,2,0)*$F120),0)</f>
        <v>0</v>
      </c>
      <c r="Q120" s="55">
        <f>IFERROR((VLOOKUP($A120,'Dados StatusInvest'!$A:$AZ,COLUMN(Q120)-$A$5,0)/100),0)</f>
        <v>0.023</v>
      </c>
      <c r="R120" s="56">
        <f>VLOOKUP($A120,'Dados StatusInvest'!$A:$AZ,COLUMN(R120)-$A$5,0)</f>
        <v>0</v>
      </c>
      <c r="S120" s="56">
        <f>IFERROR((VLOOKUP($A120,'Dados StatusInvest'!$A:$AZ,COLUMN(S120)-$A$5,0)),0)</f>
        <v>0.57</v>
      </c>
      <c r="T120" s="53">
        <f>IFERROR((VLOOKUP($A120,'Dados StatusInvest'!$A:$AZ,COLUMN(T120)-$A$5,0)/VLOOKUP($A120,'Dados StatusInvest'!$A:$AZ,2,0)*$F120),0)</f>
        <v>0</v>
      </c>
      <c r="U120" s="53">
        <f>IFERROR((VLOOKUP($A120,'Dados StatusInvest'!$A:$AZ,COLUMN(U120)-$A$5,0)-VLOOKUP($A120,'Dados StatusInvest'!$A:$AZ,COLUMN(U120)-$A$5-1,0)+T120),0)</f>
        <v>0.46</v>
      </c>
      <c r="V120" s="56">
        <f>IFERROR((VLOOKUP($A120,'Dados StatusInvest'!$A:$AZ,COLUMN(V120)-$A$5,0)),0)</f>
        <v>0.39</v>
      </c>
      <c r="W120" s="56">
        <f>IFERROR((VLOOKUP($A120,'Dados StatusInvest'!$A:$AZ,COLUMN(W120)-$A$5,0)),0)</f>
        <v>-106.05</v>
      </c>
      <c r="X120" s="53">
        <f>IFERROR((VLOOKUP($A120,'Dados StatusInvest'!$A:$AZ,COLUMN(X120)-$A$5,0)/VLOOKUP($A120,'Dados StatusInvest'!$A:$AZ,2,0)*$F120),0)</f>
        <v>0</v>
      </c>
      <c r="Y120" s="54">
        <f>IFERROR((VLOOKUP($A120,'Dados StatusInvest'!$A:$AZ,COLUMN(Y120)-$A$5,0)/VLOOKUP($A120,'Dados StatusInvest'!$A:$AZ,2,0)*$F120),0)</f>
        <v>0</v>
      </c>
      <c r="Z120" s="56">
        <f>IFERROR((VLOOKUP($A120,'Dados StatusInvest'!$A:$AZ,COLUMN(Z120)-$A$5,0)),0)</f>
        <v>-0.07</v>
      </c>
      <c r="AA120" s="57">
        <f>IFERROR((VLOOKUP($A120,'Dados StatusInvest'!$A:$AZ,COLUMN(AA120)-$A$5,0)),0)</f>
        <v>1.07</v>
      </c>
      <c r="AB120" s="57">
        <f>IFERROR((VLOOKUP($A120,'Dados StatusInvest'!$A:$AZ,COLUMN(AB120)-$A$5,0)),0)</f>
        <v>1.37</v>
      </c>
      <c r="AC120" s="58">
        <f>IFERROR((VLOOKUP($A120,'Dados StatusInvest'!$A:$AZ,COLUMN(AC120)-$A$5,0)),0)</f>
        <v>10.88</v>
      </c>
      <c r="AD120" s="57">
        <f>IFERROR((VLOOKUP($A120,'Dados StatusInvest'!$A:$AZ,COLUMN(AD120)-$A$5,0)),0)</f>
        <v>0</v>
      </c>
      <c r="AE120" s="56">
        <f>IFERROR((VLOOKUP($A120,'Dados StatusInvest'!$A:$AZ,COLUMN(AE120)-$A$5,0)),0)</f>
        <v>0</v>
      </c>
      <c r="AF120" s="56">
        <f>IFERROR((VLOOKUP($A120,'Dados StatusInvest'!$A:$AZ,COLUMN(AF120)-$A$5,0)),0)</f>
        <v>-0.83</v>
      </c>
      <c r="AG120" s="56">
        <f>IFERROR((VLOOKUP($A120,'Dados StatusInvest'!$A:$AZ,COLUMN(AG120)-$A$5,0)),0)</f>
        <v>0.88</v>
      </c>
      <c r="AH120" s="56">
        <f>IFERROR((VLOOKUP($A120,'Dados StatusInvest'!$A:$AZ,COLUMN(AH120)-$A$5,0)),0)</f>
        <v>-0.06</v>
      </c>
      <c r="AI120" s="57">
        <f>IFERROR((VLOOKUP($A120,'Dados StatusInvest'!$A:$AZ,COLUMN(AI120)-$A$5,0)),0)</f>
        <v>9183864834</v>
      </c>
      <c r="AJ120" s="59" t="str">
        <f>IFERROR((VLOOKUP($A120,'Dados StatusInvest'!$A:$AZ,COLUMN(AJ120)-$A$5,0)),0)</f>
        <v/>
      </c>
      <c r="AK120" s="60" t="str">
        <f>IFERROR(__xludf.DUMMYFUNCTION("IFERROR(GOOGLEFINANCE($A120,""high""),"""")"),"")</f>
        <v/>
      </c>
      <c r="AL120" s="60" t="str">
        <f>IFERROR(__xludf.DUMMYFUNCTION("IFERROR(GOOGLEFINANCE($A120,""low""),"""")"),"")</f>
        <v/>
      </c>
      <c r="AM120" s="61">
        <f t="shared" si="2"/>
        <v>0</v>
      </c>
      <c r="AN120" s="62">
        <f>IFERROR(__xludf.DUMMYFUNCTION("IFERROR((GOOGLEFINANCE($A120,""volume"")),0)"),0.0)</f>
        <v>0</v>
      </c>
      <c r="AO120" s="60" t="str">
        <f>IFERROR(__xludf.DUMMYFUNCTION("IFERROR((GOOGLEFINANCE($A120,""closeyest"")),"""")"),"")</f>
        <v/>
      </c>
      <c r="AP120" s="60" t="str">
        <f>IFERROR(__xludf.DUMMYFUNCTION("IFERROR((GOOGLEFINANCE($A120,""shares"")),"""")"),"")</f>
        <v/>
      </c>
      <c r="AQ120" s="18"/>
    </row>
    <row r="121">
      <c r="A121" s="45" t="str">
        <f>'Dados StatusInvest'!A116:A735</f>
        <v>BSLI3</v>
      </c>
      <c r="B121" s="46" t="str">
        <f>IFERROR(__xludf.DUMMYFUNCTION("IFERROR((GOOGLEFINANCE(A121,""name"")),"""")"),"BRB-Banco de Brasilia SA")</f>
        <v>BRB-Banco de Brasilia SA</v>
      </c>
      <c r="C121" s="46" t="str">
        <f>IFERROR((VLOOKUP(LEFT($A121,4),Setor!$A:$E,3,0)),"")</f>
        <v>Financeiro</v>
      </c>
      <c r="D121" s="46" t="str">
        <f>IFERROR((VLOOKUP(LEFT($A121,4),Setor!$A:$E,4,0)),"")</f>
        <v>Intermediários Financeiros</v>
      </c>
      <c r="E121" s="46" t="str">
        <f>IFERROR((VLOOKUP(LEFT($A121,4),Setor!$A:$E,5,0)),"")</f>
        <v>Bancos</v>
      </c>
      <c r="F121" s="47">
        <f>IFERROR(__xludf.DUMMYFUNCTION("IFERROR((GOOGLEFINANCE(A121)),"""")"),5.43)</f>
        <v>5.43</v>
      </c>
      <c r="G121" s="48" t="str">
        <f>IFERROR(__xludf.DUMMYFUNCTION("IFERROR((sparkline(GOOGLEFINANCE($A121,""price"",TODAY()-30,TODAY(),""DAILY""),{""charttype"",""line"";""linewidth"",1;""color"",""#5f88cc""})),"""")"),"")</f>
        <v/>
      </c>
      <c r="H121" s="49">
        <f>IFERROR(__xludf.DUMMYFUNCTION("IFERROR((((GOOGLEFINANCE(A121))-(INDEX(GoogleFinance(A121,""PRICE"",$AQ$1),2,2)))/(INDEX(GoogleFinance(A121,""PRICE"",$AQ$1),2,2))),"""")"),-0.1722560975609756)</f>
        <v>-0.1722560976</v>
      </c>
      <c r="I121" s="47">
        <f>IFERROR(__xludf.DUMMYFUNCTION("IFERROR((GOOGLEFINANCE($A121,""high52"")),"""")"),26.37)</f>
        <v>26.37</v>
      </c>
      <c r="J121" s="48" t="str">
        <f>IFERROR(__xludf.DUMMYFUNCTION("IFERROR((sparkline(GOOGLEFINANCE($A121,""price"",TODAY()-365,TODAY(),""DAILY""),{""charttype"",""line"";""linewidth"",1;""color"",""#5f88cc""})),"""")"),"")</f>
        <v/>
      </c>
      <c r="K121" s="50">
        <f>IFERROR(__xludf.DUMMYFUNCTION("IFERROR((((GOOGLEFINANCE(A121))-(INDEX(GoogleFinance(A121,""PRICE"",$AP$1),2,2)))/(INDEX(GoogleFinance(A121,""PRICE"",$AP$1),2,2))),"""")"),-0.24896265560165984)</f>
        <v>-0.2489626556</v>
      </c>
      <c r="L121" s="51">
        <f t="shared" si="1"/>
        <v>-0.7940841866</v>
      </c>
      <c r="M121" s="52">
        <f>IFERROR((VLOOKUP($A121,'Dados StatusInvest'!$A:$AZ,COLUMN(M121)-$A$5,0)*VLOOKUP($A121,'Dados StatusInvest'!$A:$AZ,2,0)/$F121/100),0)</f>
        <v>0.1112</v>
      </c>
      <c r="N121" s="53">
        <f>IFERROR((VLOOKUP($A121,'Dados StatusInvest'!$A:$AZ,COLUMN(N121)-$A$5,0)/VLOOKUP($A121,'Dados StatusInvest'!$A:$AZ,2,0)*$F121),"")</f>
        <v>7.43</v>
      </c>
      <c r="O121" s="53">
        <f>IFERROR((VLOOKUP($A121,'Dados StatusInvest'!$A:$AZ,COLUMN(O121)-$A$5,0)/VLOOKUP($A121,'Dados StatusInvest'!$A:$AZ,2,0)*$F121),0)</f>
        <v>2.18</v>
      </c>
      <c r="P121" s="54">
        <f>IFERROR((VLOOKUP($A121,'Dados StatusInvest'!$A:$AZ,COLUMN(P121)-$A$5,0)/VLOOKUP($A121,'Dados StatusInvest'!$A:$AZ,2,0)*$F121),0)</f>
        <v>2.09</v>
      </c>
      <c r="Q121" s="55">
        <f>IFERROR((VLOOKUP($A121,'Dados StatusInvest'!$A:$AZ,COLUMN(Q121)-$A$5,0)/100),0)</f>
        <v>0</v>
      </c>
      <c r="R121" s="56">
        <f>VLOOKUP($A121,'Dados StatusInvest'!$A:$AZ,COLUMN(R121)-$A$5,0)</f>
        <v>0</v>
      </c>
      <c r="S121" s="56">
        <f>IFERROR((VLOOKUP($A121,'Dados StatusInvest'!$A:$AZ,COLUMN(S121)-$A$5,0)),0)</f>
        <v>0.24</v>
      </c>
      <c r="T121" s="53">
        <f>IFERROR((VLOOKUP($A121,'Dados StatusInvest'!$A:$AZ,COLUMN(T121)-$A$5,0)/VLOOKUP($A121,'Dados StatusInvest'!$A:$AZ,2,0)*$F121),0)</f>
        <v>-1.34</v>
      </c>
      <c r="U121" s="53">
        <f>IFERROR((VLOOKUP($A121,'Dados StatusInvest'!$A:$AZ,COLUMN(U121)-$A$5,0)-VLOOKUP($A121,'Dados StatusInvest'!$A:$AZ,COLUMN(U121)-$A$5-1,0)+T121),0)</f>
        <v>-0.04</v>
      </c>
      <c r="V121" s="56">
        <f>IFERROR((VLOOKUP($A121,'Dados StatusInvest'!$A:$AZ,COLUMN(V121)-$A$5,0)),0)</f>
        <v>0.11</v>
      </c>
      <c r="W121" s="56">
        <f>IFERROR((VLOOKUP($A121,'Dados StatusInvest'!$A:$AZ,COLUMN(W121)-$A$5,0)),0)</f>
        <v>20.28</v>
      </c>
      <c r="X121" s="53">
        <f>IFERROR((VLOOKUP($A121,'Dados StatusInvest'!$A:$AZ,COLUMN(X121)-$A$5,0)/VLOOKUP($A121,'Dados StatusInvest'!$A:$AZ,2,0)*$F121),0)</f>
        <v>1.08</v>
      </c>
      <c r="Y121" s="54">
        <f>IFERROR((VLOOKUP($A121,'Dados StatusInvest'!$A:$AZ,COLUMN(Y121)-$A$5,0)/VLOOKUP($A121,'Dados StatusInvest'!$A:$AZ,2,0)*$F121),0)</f>
        <v>0</v>
      </c>
      <c r="Z121" s="56">
        <f>IFERROR((VLOOKUP($A121,'Dados StatusInvest'!$A:$AZ,COLUMN(Z121)-$A$5,0)),0)</f>
        <v>0.05</v>
      </c>
      <c r="AA121" s="57">
        <f>IFERROR((VLOOKUP($A121,'Dados StatusInvest'!$A:$AZ,COLUMN(AA121)-$A$5,0)),0)</f>
        <v>0.95</v>
      </c>
      <c r="AB121" s="57">
        <f>IFERROR((VLOOKUP($A121,'Dados StatusInvest'!$A:$AZ,COLUMN(AB121)-$A$5,0)),0)</f>
        <v>0.15</v>
      </c>
      <c r="AC121" s="58">
        <f>IFERROR((VLOOKUP($A121,'Dados StatusInvest'!$A:$AZ,COLUMN(AC121)-$A$5,0)),0)</f>
        <v>23.49</v>
      </c>
      <c r="AD121" s="57">
        <f>IFERROR((VLOOKUP($A121,'Dados StatusInvest'!$A:$AZ,COLUMN(AD121)-$A$5,0)),0)</f>
        <v>15.97</v>
      </c>
      <c r="AE121" s="56">
        <f>IFERROR((VLOOKUP($A121,'Dados StatusInvest'!$A:$AZ,COLUMN(AE121)-$A$5,0)),0)</f>
        <v>271538.4</v>
      </c>
      <c r="AF121" s="56">
        <f>IFERROR((VLOOKUP($A121,'Dados StatusInvest'!$A:$AZ,COLUMN(AF121)-$A$5,0)),0)</f>
        <v>8.2</v>
      </c>
      <c r="AG121" s="56">
        <f>IFERROR((VLOOKUP($A121,'Dados StatusInvest'!$A:$AZ,COLUMN(AG121)-$A$5,0)),0)</f>
        <v>1.66</v>
      </c>
      <c r="AH121" s="56">
        <f>IFERROR((VLOOKUP($A121,'Dados StatusInvest'!$A:$AZ,COLUMN(AH121)-$A$5,0)),0)</f>
        <v>0</v>
      </c>
      <c r="AI121" s="57">
        <f>IFERROR((VLOOKUP($A121,'Dados StatusInvest'!$A:$AZ,COLUMN(AI121)-$A$5,0)),0)</f>
        <v>2525381939</v>
      </c>
      <c r="AJ121" s="59" t="str">
        <f>IFERROR((VLOOKUP($A121,'Dados StatusInvest'!$A:$AZ,COLUMN(AJ121)-$A$5,0)),0)</f>
        <v/>
      </c>
      <c r="AK121" s="60">
        <f>IFERROR(__xludf.DUMMYFUNCTION("IFERROR(GOOGLEFINANCE($A121,""high""),"""")"),5.55)</f>
        <v>5.55</v>
      </c>
      <c r="AL121" s="60">
        <f>IFERROR(__xludf.DUMMYFUNCTION("IFERROR(GOOGLEFINANCE($A121,""low""),"""")"),5.43)</f>
        <v>5.43</v>
      </c>
      <c r="AM121" s="61">
        <f t="shared" si="2"/>
        <v>0.02209944751</v>
      </c>
      <c r="AN121" s="62">
        <f>IFERROR(__xludf.DUMMYFUNCTION("IFERROR((GOOGLEFINANCE($A121,""volume"")),0)"),1700.0)</f>
        <v>1700</v>
      </c>
      <c r="AO121" s="60">
        <f>IFERROR(__xludf.DUMMYFUNCTION("IFERROR((GOOGLEFINANCE($A121,""closeyest"")),"""")"),5.43)</f>
        <v>5.43</v>
      </c>
      <c r="AP121" s="60">
        <f>IFERROR(__xludf.DUMMYFUNCTION("IFERROR((GOOGLEFINANCE($A121,""shares"")),"""")"),3.2012114E8)</f>
        <v>320121140</v>
      </c>
      <c r="AQ121" s="18"/>
    </row>
    <row r="122">
      <c r="A122" s="45" t="str">
        <f>'Dados StatusInvest'!A117:A736</f>
        <v>BSLI4</v>
      </c>
      <c r="B122" s="46" t="str">
        <f>IFERROR(__xludf.DUMMYFUNCTION("IFERROR((GOOGLEFINANCE(A122,""name"")),"""")"),"BRB-Banco de Brasilia SA Preference Shares")</f>
        <v>BRB-Banco de Brasilia SA Preference Shares</v>
      </c>
      <c r="C122" s="46" t="str">
        <f>IFERROR((VLOOKUP(LEFT($A122,4),Setor!$A:$E,3,0)),"")</f>
        <v>Financeiro</v>
      </c>
      <c r="D122" s="46" t="str">
        <f>IFERROR((VLOOKUP(LEFT($A122,4),Setor!$A:$E,4,0)),"")</f>
        <v>Intermediários Financeiros</v>
      </c>
      <c r="E122" s="46" t="str">
        <f>IFERROR((VLOOKUP(LEFT($A122,4),Setor!$A:$E,5,0)),"")</f>
        <v>Bancos</v>
      </c>
      <c r="F122" s="47">
        <f>IFERROR(__xludf.DUMMYFUNCTION("IFERROR((GOOGLEFINANCE(A122)),"""")"),4.79)</f>
        <v>4.79</v>
      </c>
      <c r="G122" s="48" t="str">
        <f>IFERROR(__xludf.DUMMYFUNCTION("IFERROR((sparkline(GOOGLEFINANCE($A122,""price"",TODAY()-30,TODAY(),""DAILY""),{""charttype"",""line"";""linewidth"",1;""color"",""#5f88cc""})),"""")"),"")</f>
        <v/>
      </c>
      <c r="H122" s="49">
        <f>IFERROR(__xludf.DUMMYFUNCTION("IFERROR((((GOOGLEFINANCE(A122))-(INDEX(GoogleFinance(A122,""PRICE"",$AQ$1),2,2)))/(INDEX(GoogleFinance(A122,""PRICE"",$AQ$1),2,2))),"""")"),-0.33656509695290854)</f>
        <v>-0.336565097</v>
      </c>
      <c r="I122" s="47">
        <f>IFERROR(__xludf.DUMMYFUNCTION("IFERROR((GOOGLEFINANCE($A122,""high52"")),"""")"),23.54)</f>
        <v>23.54</v>
      </c>
      <c r="J122" s="48" t="str">
        <f>IFERROR(__xludf.DUMMYFUNCTION("IFERROR((sparkline(GOOGLEFINANCE($A122,""price"",TODAY()-365,TODAY(),""DAILY""),{""charttype"",""line"";""linewidth"",1;""color"",""#5f88cc""})),"""")"),"")</f>
        <v/>
      </c>
      <c r="K122" s="50">
        <f>IFERROR(__xludf.DUMMYFUNCTION("IFERROR((((GOOGLEFINANCE(A122))-(INDEX(GoogleFinance(A122,""PRICE"",$AP$1),2,2)))/(INDEX(GoogleFinance(A122,""PRICE"",$AP$1),2,2))),"""")"),-0.30780346820809246)</f>
        <v>-0.3078034682</v>
      </c>
      <c r="L122" s="51">
        <f t="shared" si="1"/>
        <v>-0.7965165675</v>
      </c>
      <c r="M122" s="52">
        <f>IFERROR((VLOOKUP($A122,'Dados StatusInvest'!$A:$AZ,COLUMN(M122)-$A$5,0)*VLOOKUP($A122,'Dados StatusInvest'!$A:$AZ,2,0)/$F122/100),0)</f>
        <v>0.1100392484</v>
      </c>
      <c r="N122" s="53">
        <f>IFERROR((VLOOKUP($A122,'Dados StatusInvest'!$A:$AZ,COLUMN(N122)-$A$5,0)/VLOOKUP($A122,'Dados StatusInvest'!$A:$AZ,2,0)*$F122),"")</f>
        <v>7.508375527</v>
      </c>
      <c r="O122" s="53">
        <f>IFERROR((VLOOKUP($A122,'Dados StatusInvest'!$A:$AZ,COLUMN(O122)-$A$5,0)/VLOOKUP($A122,'Dados StatusInvest'!$A:$AZ,2,0)*$F122),0)</f>
        <v>1.930147679</v>
      </c>
      <c r="P122" s="54">
        <f>IFERROR((VLOOKUP($A122,'Dados StatusInvest'!$A:$AZ,COLUMN(P122)-$A$5,0)/VLOOKUP($A122,'Dados StatusInvest'!$A:$AZ,2,0)*$F122),0)</f>
        <v>2.112046414</v>
      </c>
      <c r="Q122" s="55">
        <f>IFERROR((VLOOKUP($A122,'Dados StatusInvest'!$A:$AZ,COLUMN(Q122)-$A$5,0)/100),0)</f>
        <v>0</v>
      </c>
      <c r="R122" s="56">
        <f>VLOOKUP($A122,'Dados StatusInvest'!$A:$AZ,COLUMN(R122)-$A$5,0)</f>
        <v>0</v>
      </c>
      <c r="S122" s="56">
        <f>IFERROR((VLOOKUP($A122,'Dados StatusInvest'!$A:$AZ,COLUMN(S122)-$A$5,0)),0)</f>
        <v>0.21</v>
      </c>
      <c r="T122" s="53">
        <f>IFERROR((VLOOKUP($A122,'Dados StatusInvest'!$A:$AZ,COLUMN(T122)-$A$5,0)/VLOOKUP($A122,'Dados StatusInvest'!$A:$AZ,2,0)*$F122),0)</f>
        <v>-1.182341772</v>
      </c>
      <c r="U122" s="53">
        <f>IFERROR((VLOOKUP($A122,'Dados StatusInvest'!$A:$AZ,COLUMN(U122)-$A$5,0)-VLOOKUP($A122,'Dados StatusInvest'!$A:$AZ,COLUMN(U122)-$A$5-1,0)+T122),0)</f>
        <v>-0.04234177215</v>
      </c>
      <c r="V122" s="56">
        <f>IFERROR((VLOOKUP($A122,'Dados StatusInvest'!$A:$AZ,COLUMN(V122)-$A$5,0)),0)</f>
        <v>0.11</v>
      </c>
      <c r="W122" s="56">
        <f>IFERROR((VLOOKUP($A122,'Dados StatusInvest'!$A:$AZ,COLUMN(W122)-$A$5,0)),0)</f>
        <v>20.28</v>
      </c>
      <c r="X122" s="53">
        <f>IFERROR((VLOOKUP($A122,'Dados StatusInvest'!$A:$AZ,COLUMN(X122)-$A$5,0)/VLOOKUP($A122,'Dados StatusInvest'!$A:$AZ,2,0)*$F122),0)</f>
        <v>1.091392405</v>
      </c>
      <c r="Y122" s="54">
        <f>IFERROR((VLOOKUP($A122,'Dados StatusInvest'!$A:$AZ,COLUMN(Y122)-$A$5,0)/VLOOKUP($A122,'Dados StatusInvest'!$A:$AZ,2,0)*$F122),0)</f>
        <v>0</v>
      </c>
      <c r="Z122" s="56">
        <f>IFERROR((VLOOKUP($A122,'Dados StatusInvest'!$A:$AZ,COLUMN(Z122)-$A$5,0)),0)</f>
        <v>0.05</v>
      </c>
      <c r="AA122" s="57">
        <f>IFERROR((VLOOKUP($A122,'Dados StatusInvest'!$A:$AZ,COLUMN(AA122)-$A$5,0)),0)</f>
        <v>0.95</v>
      </c>
      <c r="AB122" s="57">
        <f>IFERROR((VLOOKUP($A122,'Dados StatusInvest'!$A:$AZ,COLUMN(AB122)-$A$5,0)),0)</f>
        <v>0.15</v>
      </c>
      <c r="AC122" s="58">
        <f>IFERROR((VLOOKUP($A122,'Dados StatusInvest'!$A:$AZ,COLUMN(AC122)-$A$5,0)),0)</f>
        <v>23.49</v>
      </c>
      <c r="AD122" s="57">
        <f>IFERROR((VLOOKUP($A122,'Dados StatusInvest'!$A:$AZ,COLUMN(AD122)-$A$5,0)),0)</f>
        <v>15.97</v>
      </c>
      <c r="AE122" s="56">
        <f>IFERROR((VLOOKUP($A122,'Dados StatusInvest'!$A:$AZ,COLUMN(AE122)-$A$5,0)),0)</f>
        <v>115045.1</v>
      </c>
      <c r="AF122" s="56">
        <f>IFERROR((VLOOKUP($A122,'Dados StatusInvest'!$A:$AZ,COLUMN(AF122)-$A$5,0)),0)</f>
        <v>8.2</v>
      </c>
      <c r="AG122" s="56">
        <f>IFERROR((VLOOKUP($A122,'Dados StatusInvest'!$A:$AZ,COLUMN(AG122)-$A$5,0)),0)</f>
        <v>1.66</v>
      </c>
      <c r="AH122" s="56">
        <f>IFERROR((VLOOKUP($A122,'Dados StatusInvest'!$A:$AZ,COLUMN(AH122)-$A$5,0)),0)</f>
        <v>0</v>
      </c>
      <c r="AI122" s="57">
        <f>IFERROR((VLOOKUP($A122,'Dados StatusInvest'!$A:$AZ,COLUMN(AI122)-$A$5,0)),0)</f>
        <v>2525381939</v>
      </c>
      <c r="AJ122" s="59" t="str">
        <f>IFERROR((VLOOKUP($A122,'Dados StatusInvest'!$A:$AZ,COLUMN(AJ122)-$A$5,0)),0)</f>
        <v/>
      </c>
      <c r="AK122" s="60">
        <f>IFERROR(__xludf.DUMMYFUNCTION("IFERROR(GOOGLEFINANCE($A122,""high""),"""")"),4.79)</f>
        <v>4.79</v>
      </c>
      <c r="AL122" s="60">
        <f>IFERROR(__xludf.DUMMYFUNCTION("IFERROR(GOOGLEFINANCE($A122,""low""),"""")"),4.74)</f>
        <v>4.74</v>
      </c>
      <c r="AM122" s="61">
        <f t="shared" si="2"/>
        <v>0.01054852321</v>
      </c>
      <c r="AN122" s="62">
        <f>IFERROR(__xludf.DUMMYFUNCTION("IFERROR((GOOGLEFINANCE($A122,""volume"")),0)"),600.0)</f>
        <v>600</v>
      </c>
      <c r="AO122" s="60">
        <f>IFERROR(__xludf.DUMMYFUNCTION("IFERROR((GOOGLEFINANCE($A122,""closeyest"")),"""")"),4.74)</f>
        <v>4.74</v>
      </c>
      <c r="AP122" s="60">
        <f>IFERROR(__xludf.DUMMYFUNCTION("IFERROR((GOOGLEFINANCE($A122,""shares"")),"""")"),1.66059947E8)</f>
        <v>166059947</v>
      </c>
      <c r="AQ122" s="18"/>
    </row>
    <row r="123">
      <c r="A123" s="45" t="str">
        <f>'Dados StatusInvest'!A118:A737</f>
        <v>BTTL4</v>
      </c>
      <c r="B123" s="46" t="str">
        <f>IFERROR(__xludf.DUMMYFUNCTION("IFERROR((GOOGLEFINANCE(A123,""name"")),"""")"),"")</f>
        <v/>
      </c>
      <c r="C123" s="46" t="str">
        <f>IFERROR((VLOOKUP(LEFT($A123,4),Setor!$A:$E,3,0)),"")</f>
        <v>Bens Industriais</v>
      </c>
      <c r="D123" s="46" t="str">
        <f>IFERROR((VLOOKUP(LEFT($A123,4),Setor!$A:$E,4,0)),"")</f>
        <v>Comércio</v>
      </c>
      <c r="E123" s="46" t="str">
        <f>IFERROR((VLOOKUP(LEFT($A123,4),Setor!$A:$E,5,0)),"")</f>
        <v>Material de Transporte</v>
      </c>
      <c r="F123" s="47" t="str">
        <f>IFERROR(__xludf.DUMMYFUNCTION("IFERROR((GOOGLEFINANCE(A123)),"""")"),"")</f>
        <v/>
      </c>
      <c r="G123" s="48" t="str">
        <f>IFERROR(__xludf.DUMMYFUNCTION("IFERROR((sparkline(GOOGLEFINANCE($A123,""price"",TODAY()-30,TODAY(),""DAILY""),{""charttype"",""line"";""linewidth"",1;""color"",""#5f88cc""})),"""")"),"")</f>
        <v/>
      </c>
      <c r="H123" s="49" t="str">
        <f>IFERROR(__xludf.DUMMYFUNCTION("IFERROR((((GOOGLEFINANCE(A123))-(INDEX(GoogleFinance(A123,""PRICE"",$AQ$1),2,2)))/(INDEX(GoogleFinance(A123,""PRICE"",$AQ$1),2,2))),"""")"),"")</f>
        <v/>
      </c>
      <c r="I123" s="47" t="str">
        <f>IFERROR(__xludf.DUMMYFUNCTION("IFERROR((GOOGLEFINANCE($A123,""high52"")),"""")"),"")</f>
        <v/>
      </c>
      <c r="J123" s="48" t="str">
        <f>IFERROR(__xludf.DUMMYFUNCTION("IFERROR((sparkline(GOOGLEFINANCE($A123,""price"",TODAY()-365,TODAY(),""DAILY""),{""charttype"",""line"";""linewidth"",1;""color"",""#5f88cc""})),"""")"),"")</f>
        <v/>
      </c>
      <c r="K123" s="50" t="str">
        <f>IFERROR(__xludf.DUMMYFUNCTION("IFERROR((((GOOGLEFINANCE(A123))-(INDEX(GoogleFinance(A123,""PRICE"",$AP$1),2,2)))/(INDEX(GoogleFinance(A123,""PRICE"",$AP$1),2,2))),"""")"),"")</f>
        <v/>
      </c>
      <c r="L123" s="51">
        <f t="shared" si="1"/>
        <v>0</v>
      </c>
      <c r="M123" s="52">
        <f>IFERROR((VLOOKUP($A123,'Dados StatusInvest'!$A:$AZ,COLUMN(M123)-$A$5,0)*VLOOKUP($A123,'Dados StatusInvest'!$A:$AZ,2,0)/$F123/100),0)</f>
        <v>0</v>
      </c>
      <c r="N123" s="53">
        <f>IFERROR((VLOOKUP($A123,'Dados StatusInvest'!$A:$AZ,COLUMN(N123)-$A$5,0)/VLOOKUP($A123,'Dados StatusInvest'!$A:$AZ,2,0)*$F123),"")</f>
        <v>0</v>
      </c>
      <c r="O123" s="53">
        <f>IFERROR((VLOOKUP($A123,'Dados StatusInvest'!$A:$AZ,COLUMN(O123)-$A$5,0)/VLOOKUP($A123,'Dados StatusInvest'!$A:$AZ,2,0)*$F123),0)</f>
        <v>0</v>
      </c>
      <c r="P123" s="54">
        <f>IFERROR((VLOOKUP($A123,'Dados StatusInvest'!$A:$AZ,COLUMN(P123)-$A$5,0)/VLOOKUP($A123,'Dados StatusInvest'!$A:$AZ,2,0)*$F123),0)</f>
        <v>0</v>
      </c>
      <c r="Q123" s="55">
        <f>IFERROR((VLOOKUP($A123,'Dados StatusInvest'!$A:$AZ,COLUMN(Q123)-$A$5,0)/100),0)</f>
        <v>0.0138</v>
      </c>
      <c r="R123" s="56">
        <f>VLOOKUP($A123,'Dados StatusInvest'!$A:$AZ,COLUMN(R123)-$A$5,0)</f>
        <v>-0.08</v>
      </c>
      <c r="S123" s="56">
        <f>IFERROR((VLOOKUP($A123,'Dados StatusInvest'!$A:$AZ,COLUMN(S123)-$A$5,0)),0)</f>
        <v>77275.86</v>
      </c>
      <c r="T123" s="53">
        <f>IFERROR((VLOOKUP($A123,'Dados StatusInvest'!$A:$AZ,COLUMN(T123)-$A$5,0)/VLOOKUP($A123,'Dados StatusInvest'!$A:$AZ,2,0)*$F123),0)</f>
        <v>0</v>
      </c>
      <c r="U123" s="53">
        <f>IFERROR((VLOOKUP($A123,'Dados StatusInvest'!$A:$AZ,COLUMN(U123)-$A$5,0)-VLOOKUP($A123,'Dados StatusInvest'!$A:$AZ,COLUMN(U123)-$A$5-1,0)+T123),0)</f>
        <v>-27917.19</v>
      </c>
      <c r="V123" s="56">
        <f>IFERROR((VLOOKUP($A123,'Dados StatusInvest'!$A:$AZ,COLUMN(V123)-$A$5,0)),0)</f>
        <v>4.12</v>
      </c>
      <c r="W123" s="56">
        <f>IFERROR((VLOOKUP($A123,'Dados StatusInvest'!$A:$AZ,COLUMN(W123)-$A$5,0)),0)</f>
        <v>13.99</v>
      </c>
      <c r="X123" s="53">
        <f>IFERROR((VLOOKUP($A123,'Dados StatusInvest'!$A:$AZ,COLUMN(X123)-$A$5,0)/VLOOKUP($A123,'Dados StatusInvest'!$A:$AZ,2,0)*$F123),0)</f>
        <v>0</v>
      </c>
      <c r="Y123" s="54">
        <f>IFERROR((VLOOKUP($A123,'Dados StatusInvest'!$A:$AZ,COLUMN(Y123)-$A$5,0)/VLOOKUP($A123,'Dados StatusInvest'!$A:$AZ,2,0)*$F123),0)</f>
        <v>0</v>
      </c>
      <c r="Z123" s="56">
        <f>IFERROR((VLOOKUP($A123,'Dados StatusInvest'!$A:$AZ,COLUMN(Z123)-$A$5,0)),0)</f>
        <v>0.73</v>
      </c>
      <c r="AA123" s="57">
        <f>IFERROR((VLOOKUP($A123,'Dados StatusInvest'!$A:$AZ,COLUMN(AA123)-$A$5,0)),0)</f>
        <v>0.27</v>
      </c>
      <c r="AB123" s="57">
        <f>IFERROR((VLOOKUP($A123,'Dados StatusInvest'!$A:$AZ,COLUMN(AB123)-$A$5,0)),0)</f>
        <v>0.04</v>
      </c>
      <c r="AC123" s="58">
        <f>IFERROR((VLOOKUP($A123,'Dados StatusInvest'!$A:$AZ,COLUMN(AC123)-$A$5,0)),0)</f>
        <v>-44.69</v>
      </c>
      <c r="AD123" s="57">
        <f>IFERROR((VLOOKUP($A123,'Dados StatusInvest'!$A:$AZ,COLUMN(AD123)-$A$5,0)),0)</f>
        <v>-9.58</v>
      </c>
      <c r="AE123" s="56">
        <f>IFERROR((VLOOKUP($A123,'Dados StatusInvest'!$A:$AZ,COLUMN(AE123)-$A$5,0)),0)</f>
        <v>0</v>
      </c>
      <c r="AF123" s="56">
        <f>IFERROR((VLOOKUP($A123,'Dados StatusInvest'!$A:$AZ,COLUMN(AF123)-$A$5,0)),0)</f>
        <v>2.81</v>
      </c>
      <c r="AG123" s="56">
        <f>IFERROR((VLOOKUP($A123,'Dados StatusInvest'!$A:$AZ,COLUMN(AG123)-$A$5,0)),0)</f>
        <v>0.39</v>
      </c>
      <c r="AH123" s="56">
        <f>IFERROR((VLOOKUP($A123,'Dados StatusInvest'!$A:$AZ,COLUMN(AH123)-$A$5,0)),0)</f>
        <v>-205.61</v>
      </c>
      <c r="AI123" s="57">
        <f>IFERROR((VLOOKUP($A123,'Dados StatusInvest'!$A:$AZ,COLUMN(AI123)-$A$5,0)),0)</f>
        <v>54241073.2</v>
      </c>
      <c r="AJ123" s="59" t="str">
        <f>IFERROR((VLOOKUP($A123,'Dados StatusInvest'!$A:$AZ,COLUMN(AJ123)-$A$5,0)),0)</f>
        <v/>
      </c>
      <c r="AK123" s="60" t="str">
        <f>IFERROR(__xludf.DUMMYFUNCTION("IFERROR(GOOGLEFINANCE($A123,""high""),"""")"),"")</f>
        <v/>
      </c>
      <c r="AL123" s="60" t="str">
        <f>IFERROR(__xludf.DUMMYFUNCTION("IFERROR(GOOGLEFINANCE($A123,""low""),"""")"),"")</f>
        <v/>
      </c>
      <c r="AM123" s="61">
        <f t="shared" si="2"/>
        <v>0</v>
      </c>
      <c r="AN123" s="62">
        <f>IFERROR(__xludf.DUMMYFUNCTION("IFERROR((GOOGLEFINANCE($A123,""volume"")),0)"),0.0)</f>
        <v>0</v>
      </c>
      <c r="AO123" s="60" t="str">
        <f>IFERROR(__xludf.DUMMYFUNCTION("IFERROR((GOOGLEFINANCE($A123,""closeyest"")),"""")"),"")</f>
        <v/>
      </c>
      <c r="AP123" s="60" t="str">
        <f>IFERROR(__xludf.DUMMYFUNCTION("IFERROR((GOOGLEFINANCE($A123,""shares"")),"""")"),"")</f>
        <v/>
      </c>
      <c r="AQ123" s="18"/>
    </row>
    <row r="124">
      <c r="A124" s="45" t="str">
        <f>'Dados StatusInvest'!A119:A738</f>
        <v>CALI3</v>
      </c>
      <c r="B124" s="46" t="str">
        <f>IFERROR(__xludf.DUMMYFUNCTION("IFERROR((GOOGLEFINANCE(A124,""name"")),"""")"),"Construtora Adolpho Lindenberg SA")</f>
        <v>Construtora Adolpho Lindenberg SA</v>
      </c>
      <c r="C124" s="46" t="str">
        <f>IFERROR((VLOOKUP(LEFT($A124,4),Setor!$A:$E,3,0)),"")</f>
        <v>Consumo Cíclico</v>
      </c>
      <c r="D124" s="46" t="str">
        <f>IFERROR((VLOOKUP(LEFT($A124,4),Setor!$A:$E,4,0)),"")</f>
        <v>Construção Civil</v>
      </c>
      <c r="E124" s="46" t="str">
        <f>IFERROR((VLOOKUP(LEFT($A124,4),Setor!$A:$E,5,0)),"")</f>
        <v>Incorporações</v>
      </c>
      <c r="F124" s="47">
        <f>IFERROR(__xludf.DUMMYFUNCTION("IFERROR((GOOGLEFINANCE(A124)),"""")"),17.25)</f>
        <v>17.25</v>
      </c>
      <c r="G124" s="48" t="str">
        <f>IFERROR(__xludf.DUMMYFUNCTION("IFERROR((sparkline(GOOGLEFINANCE($A124,""price"",TODAY()-30,TODAY(),""DAILY""),{""charttype"",""line"";""linewidth"",1;""color"",""#5f88cc""})),"""")"),"")</f>
        <v/>
      </c>
      <c r="H124" s="49" t="str">
        <f>IFERROR(__xludf.DUMMYFUNCTION("IFERROR((((GOOGLEFINANCE(A124))-(INDEX(GoogleFinance(A124,""PRICE"",$AQ$1),2,2)))/(INDEX(GoogleFinance(A124,""PRICE"",$AQ$1),2,2))),"""")"),"")</f>
        <v/>
      </c>
      <c r="I124" s="47">
        <f>IFERROR(__xludf.DUMMYFUNCTION("IFERROR((GOOGLEFINANCE($A124,""high52"")),"""")"),23.0)</f>
        <v>23</v>
      </c>
      <c r="J124" s="48" t="str">
        <f>IFERROR(__xludf.DUMMYFUNCTION("IFERROR((sparkline(GOOGLEFINANCE($A124,""price"",TODAY()-365,TODAY(),""DAILY""),{""charttype"",""line"";""linewidth"",1;""color"",""#5f88cc""})),"""")"),"")</f>
        <v/>
      </c>
      <c r="K124" s="50" t="str">
        <f>IFERROR(__xludf.DUMMYFUNCTION("IFERROR((((GOOGLEFINANCE(A124))-(INDEX(GoogleFinance(A124,""PRICE"",$AP$1),2,2)))/(INDEX(GoogleFinance(A124,""PRICE"",$AP$1),2,2))),"""")"),"")</f>
        <v/>
      </c>
      <c r="L124" s="51">
        <f t="shared" si="1"/>
        <v>-0.25</v>
      </c>
      <c r="M124" s="52">
        <f>IFERROR((VLOOKUP($A124,'Dados StatusInvest'!$A:$AZ,COLUMN(M124)-$A$5,0)*VLOOKUP($A124,'Dados StatusInvest'!$A:$AZ,2,0)/$F124/100),0)</f>
        <v>0.141</v>
      </c>
      <c r="N124" s="53">
        <f>IFERROR((VLOOKUP($A124,'Dados StatusInvest'!$A:$AZ,COLUMN(N124)-$A$5,0)/VLOOKUP($A124,'Dados StatusInvest'!$A:$AZ,2,0)*$F124),"")</f>
        <v>11.18</v>
      </c>
      <c r="O124" s="53">
        <f>IFERROR((VLOOKUP($A124,'Dados StatusInvest'!$A:$AZ,COLUMN(O124)-$A$5,0)/VLOOKUP($A124,'Dados StatusInvest'!$A:$AZ,2,0)*$F124),0)</f>
        <v>4.52</v>
      </c>
      <c r="P124" s="54">
        <f>IFERROR((VLOOKUP($A124,'Dados StatusInvest'!$A:$AZ,COLUMN(P124)-$A$5,0)/VLOOKUP($A124,'Dados StatusInvest'!$A:$AZ,2,0)*$F124),0)</f>
        <v>7.45</v>
      </c>
      <c r="Q124" s="55">
        <f>IFERROR((VLOOKUP($A124,'Dados StatusInvest'!$A:$AZ,COLUMN(Q124)-$A$5,0)/100),0)</f>
        <v>0.0294</v>
      </c>
      <c r="R124" s="56">
        <f>VLOOKUP($A124,'Dados StatusInvest'!$A:$AZ,COLUMN(R124)-$A$5,0)</f>
        <v>0.44</v>
      </c>
      <c r="S124" s="56">
        <f>IFERROR((VLOOKUP($A124,'Dados StatusInvest'!$A:$AZ,COLUMN(S124)-$A$5,0)),0)</f>
        <v>0.64</v>
      </c>
      <c r="T124" s="53">
        <f>IFERROR((VLOOKUP($A124,'Dados StatusInvest'!$A:$AZ,COLUMN(T124)-$A$5,0)/VLOOKUP($A124,'Dados StatusInvest'!$A:$AZ,2,0)*$F124),0)</f>
        <v>0.3</v>
      </c>
      <c r="U124" s="53">
        <f>IFERROR((VLOOKUP($A124,'Dados StatusInvest'!$A:$AZ,COLUMN(U124)-$A$5,0)-VLOOKUP($A124,'Dados StatusInvest'!$A:$AZ,COLUMN(U124)-$A$5-1,0)+T124),0)</f>
        <v>-0.61</v>
      </c>
      <c r="V124" s="56">
        <f>IFERROR((VLOOKUP($A124,'Dados StatusInvest'!$A:$AZ,COLUMN(V124)-$A$5,0)),0)</f>
        <v>5.79</v>
      </c>
      <c r="W124" s="56">
        <f>IFERROR((VLOOKUP($A124,'Dados StatusInvest'!$A:$AZ,COLUMN(W124)-$A$5,0)),0)</f>
        <v>11.84</v>
      </c>
      <c r="X124" s="53">
        <f>IFERROR((VLOOKUP($A124,'Dados StatusInvest'!$A:$AZ,COLUMN(X124)-$A$5,0)/VLOOKUP($A124,'Dados StatusInvest'!$A:$AZ,2,0)*$F124),0)</f>
        <v>3.08</v>
      </c>
      <c r="Y124" s="54">
        <f>IFERROR((VLOOKUP($A124,'Dados StatusInvest'!$A:$AZ,COLUMN(Y124)-$A$5,0)/VLOOKUP($A124,'Dados StatusInvest'!$A:$AZ,2,0)*$F124),0)</f>
        <v>5.58</v>
      </c>
      <c r="Z124" s="56">
        <f>IFERROR((VLOOKUP($A124,'Dados StatusInvest'!$A:$AZ,COLUMN(Z124)-$A$5,0)),0)</f>
        <v>0.26</v>
      </c>
      <c r="AA124" s="57">
        <f>IFERROR((VLOOKUP($A124,'Dados StatusInvest'!$A:$AZ,COLUMN(AA124)-$A$5,0)),0)</f>
        <v>0.61</v>
      </c>
      <c r="AB124" s="57">
        <f>IFERROR((VLOOKUP($A124,'Dados StatusInvest'!$A:$AZ,COLUMN(AB124)-$A$5,0)),0)</f>
        <v>0.28</v>
      </c>
      <c r="AC124" s="58">
        <f>IFERROR((VLOOKUP($A124,'Dados StatusInvest'!$A:$AZ,COLUMN(AC124)-$A$5,0)),0)</f>
        <v>79.12</v>
      </c>
      <c r="AD124" s="57">
        <f>IFERROR((VLOOKUP($A124,'Dados StatusInvest'!$A:$AZ,COLUMN(AD124)-$A$5,0)),0)</f>
        <v>0</v>
      </c>
      <c r="AE124" s="56">
        <f>IFERROR((VLOOKUP($A124,'Dados StatusInvest'!$A:$AZ,COLUMN(AE124)-$A$5,0)),0)</f>
        <v>9354.83</v>
      </c>
      <c r="AF124" s="56">
        <f>IFERROR((VLOOKUP($A124,'Dados StatusInvest'!$A:$AZ,COLUMN(AF124)-$A$5,0)),0)</f>
        <v>25.57</v>
      </c>
      <c r="AG124" s="56">
        <f>IFERROR((VLOOKUP($A124,'Dados StatusInvest'!$A:$AZ,COLUMN(AG124)-$A$5,0)),0)</f>
        <v>3.03</v>
      </c>
      <c r="AH124" s="56">
        <f>IFERROR((VLOOKUP($A124,'Dados StatusInvest'!$A:$AZ,COLUMN(AH124)-$A$5,0)),0)</f>
        <v>0</v>
      </c>
      <c r="AI124" s="57">
        <f>IFERROR((VLOOKUP($A124,'Dados StatusInvest'!$A:$AZ,COLUMN(AI124)-$A$5,0)),0)</f>
        <v>120556800</v>
      </c>
      <c r="AJ124" s="59" t="str">
        <f>IFERROR((VLOOKUP($A124,'Dados StatusInvest'!$A:$AZ,COLUMN(AJ124)-$A$5,0)),0)</f>
        <v/>
      </c>
      <c r="AK124" s="60" t="str">
        <f>IFERROR(__xludf.DUMMYFUNCTION("IFERROR(GOOGLEFINANCE($A124,""high""),"""")"),"")</f>
        <v/>
      </c>
      <c r="AL124" s="60" t="str">
        <f>IFERROR(__xludf.DUMMYFUNCTION("IFERROR(GOOGLEFINANCE($A124,""low""),"""")"),"")</f>
        <v/>
      </c>
      <c r="AM124" s="61">
        <f t="shared" si="2"/>
        <v>0</v>
      </c>
      <c r="AN124" s="62">
        <f>IFERROR(__xludf.DUMMYFUNCTION("IFERROR((GOOGLEFINANCE($A124,""volume"")),0)"),0.0)</f>
        <v>0</v>
      </c>
      <c r="AO124" s="60">
        <f>IFERROR(__xludf.DUMMYFUNCTION("IFERROR((GOOGLEFINANCE($A124,""closeyest"")),"""")"),17.25)</f>
        <v>17.25</v>
      </c>
      <c r="AP124" s="60">
        <f>IFERROR(__xludf.DUMMYFUNCTION("IFERROR((GOOGLEFINANCE($A124,""shares"")),"""")"),6988800.0)</f>
        <v>6988800</v>
      </c>
      <c r="AQ124" s="18"/>
    </row>
    <row r="125">
      <c r="A125" s="45" t="str">
        <f>'Dados StatusInvest'!A120:A739</f>
        <v>CALI4</v>
      </c>
      <c r="B125" s="46" t="str">
        <f>IFERROR(__xludf.DUMMYFUNCTION("IFERROR((GOOGLEFINANCE(A125,""name"")),"""")"),"")</f>
        <v/>
      </c>
      <c r="C125" s="46" t="str">
        <f>IFERROR((VLOOKUP(LEFT($A125,4),Setor!$A:$E,3,0)),"")</f>
        <v>Consumo Cíclico</v>
      </c>
      <c r="D125" s="46" t="str">
        <f>IFERROR((VLOOKUP(LEFT($A125,4),Setor!$A:$E,4,0)),"")</f>
        <v>Construção Civil</v>
      </c>
      <c r="E125" s="46" t="str">
        <f>IFERROR((VLOOKUP(LEFT($A125,4),Setor!$A:$E,5,0)),"")</f>
        <v>Incorporações</v>
      </c>
      <c r="F125" s="47" t="str">
        <f>IFERROR(__xludf.DUMMYFUNCTION("IFERROR((GOOGLEFINANCE(A125)),"""")"),"")</f>
        <v/>
      </c>
      <c r="G125" s="48" t="str">
        <f>IFERROR(__xludf.DUMMYFUNCTION("IFERROR((sparkline(GOOGLEFINANCE($A125,""price"",TODAY()-30,TODAY(),""DAILY""),{""charttype"",""line"";""linewidth"",1;""color"",""#5f88cc""})),"""")"),"")</f>
        <v/>
      </c>
      <c r="H125" s="49" t="str">
        <f>IFERROR(__xludf.DUMMYFUNCTION("IFERROR((((GOOGLEFINANCE(A125))-(INDEX(GoogleFinance(A125,""PRICE"",$AQ$1),2,2)))/(INDEX(GoogleFinance(A125,""PRICE"",$AQ$1),2,2))),"""")"),"")</f>
        <v/>
      </c>
      <c r="I125" s="47" t="str">
        <f>IFERROR(__xludf.DUMMYFUNCTION("IFERROR((GOOGLEFINANCE($A125,""high52"")),"""")"),"")</f>
        <v/>
      </c>
      <c r="J125" s="48" t="str">
        <f>IFERROR(__xludf.DUMMYFUNCTION("IFERROR((sparkline(GOOGLEFINANCE($A125,""price"",TODAY()-365,TODAY(),""DAILY""),{""charttype"",""line"";""linewidth"",1;""color"",""#5f88cc""})),"""")"),"")</f>
        <v/>
      </c>
      <c r="K125" s="50" t="str">
        <f>IFERROR(__xludf.DUMMYFUNCTION("IFERROR((((GOOGLEFINANCE(A125))-(INDEX(GoogleFinance(A125,""PRICE"",$AP$1),2,2)))/(INDEX(GoogleFinance(A125,""PRICE"",$AP$1),2,2))),"""")"),"")</f>
        <v/>
      </c>
      <c r="L125" s="51">
        <f t="shared" si="1"/>
        <v>0</v>
      </c>
      <c r="M125" s="52">
        <f>IFERROR((VLOOKUP($A125,'Dados StatusInvest'!$A:$AZ,COLUMN(M125)-$A$5,0)*VLOOKUP($A125,'Dados StatusInvest'!$A:$AZ,2,0)/$F125/100),0)</f>
        <v>0</v>
      </c>
      <c r="N125" s="53">
        <f>IFERROR((VLOOKUP($A125,'Dados StatusInvest'!$A:$AZ,COLUMN(N125)-$A$5,0)/VLOOKUP($A125,'Dados StatusInvest'!$A:$AZ,2,0)*$F125),"")</f>
        <v>0</v>
      </c>
      <c r="O125" s="53">
        <f>IFERROR((VLOOKUP($A125,'Dados StatusInvest'!$A:$AZ,COLUMN(O125)-$A$5,0)/VLOOKUP($A125,'Dados StatusInvest'!$A:$AZ,2,0)*$F125),0)</f>
        <v>0</v>
      </c>
      <c r="P125" s="54">
        <f>IFERROR((VLOOKUP($A125,'Dados StatusInvest'!$A:$AZ,COLUMN(P125)-$A$5,0)/VLOOKUP($A125,'Dados StatusInvest'!$A:$AZ,2,0)*$F125),0)</f>
        <v>0</v>
      </c>
      <c r="Q125" s="55">
        <f>IFERROR((VLOOKUP($A125,'Dados StatusInvest'!$A:$AZ,COLUMN(Q125)-$A$5,0)/100),0)</f>
        <v>0.0294</v>
      </c>
      <c r="R125" s="56">
        <f>VLOOKUP($A125,'Dados StatusInvest'!$A:$AZ,COLUMN(R125)-$A$5,0)</f>
        <v>0.44</v>
      </c>
      <c r="S125" s="56">
        <f>IFERROR((VLOOKUP($A125,'Dados StatusInvest'!$A:$AZ,COLUMN(S125)-$A$5,0)),0)</f>
        <v>1.85</v>
      </c>
      <c r="T125" s="53">
        <f>IFERROR((VLOOKUP($A125,'Dados StatusInvest'!$A:$AZ,COLUMN(T125)-$A$5,0)/VLOOKUP($A125,'Dados StatusInvest'!$A:$AZ,2,0)*$F125),0)</f>
        <v>0</v>
      </c>
      <c r="U125" s="53">
        <f>IFERROR((VLOOKUP($A125,'Dados StatusInvest'!$A:$AZ,COLUMN(U125)-$A$5,0)-VLOOKUP($A125,'Dados StatusInvest'!$A:$AZ,COLUMN(U125)-$A$5-1,0)+T125),0)</f>
        <v>-2.63</v>
      </c>
      <c r="V125" s="56">
        <f>IFERROR((VLOOKUP($A125,'Dados StatusInvest'!$A:$AZ,COLUMN(V125)-$A$5,0)),0)</f>
        <v>5.79</v>
      </c>
      <c r="W125" s="56">
        <f>IFERROR((VLOOKUP($A125,'Dados StatusInvest'!$A:$AZ,COLUMN(W125)-$A$5,0)),0)</f>
        <v>11.84</v>
      </c>
      <c r="X125" s="53">
        <f>IFERROR((VLOOKUP($A125,'Dados StatusInvest'!$A:$AZ,COLUMN(X125)-$A$5,0)/VLOOKUP($A125,'Dados StatusInvest'!$A:$AZ,2,0)*$F125),0)</f>
        <v>0</v>
      </c>
      <c r="Y125" s="54">
        <f>IFERROR((VLOOKUP($A125,'Dados StatusInvest'!$A:$AZ,COLUMN(Y125)-$A$5,0)/VLOOKUP($A125,'Dados StatusInvest'!$A:$AZ,2,0)*$F125),0)</f>
        <v>0</v>
      </c>
      <c r="Z125" s="56">
        <f>IFERROR((VLOOKUP($A125,'Dados StatusInvest'!$A:$AZ,COLUMN(Z125)-$A$5,0)),0)</f>
        <v>0.26</v>
      </c>
      <c r="AA125" s="57">
        <f>IFERROR((VLOOKUP($A125,'Dados StatusInvest'!$A:$AZ,COLUMN(AA125)-$A$5,0)),0)</f>
        <v>0.61</v>
      </c>
      <c r="AB125" s="57">
        <f>IFERROR((VLOOKUP($A125,'Dados StatusInvest'!$A:$AZ,COLUMN(AB125)-$A$5,0)),0)</f>
        <v>0.28</v>
      </c>
      <c r="AC125" s="58">
        <f>IFERROR((VLOOKUP($A125,'Dados StatusInvest'!$A:$AZ,COLUMN(AC125)-$A$5,0)),0)</f>
        <v>79.12</v>
      </c>
      <c r="AD125" s="57">
        <f>IFERROR((VLOOKUP($A125,'Dados StatusInvest'!$A:$AZ,COLUMN(AD125)-$A$5,0)),0)</f>
        <v>0</v>
      </c>
      <c r="AE125" s="56">
        <f>IFERROR((VLOOKUP($A125,'Dados StatusInvest'!$A:$AZ,COLUMN(AE125)-$A$5,0)),0)</f>
        <v>0</v>
      </c>
      <c r="AF125" s="56">
        <f>IFERROR((VLOOKUP($A125,'Dados StatusInvest'!$A:$AZ,COLUMN(AF125)-$A$5,0)),0)</f>
        <v>25.57</v>
      </c>
      <c r="AG125" s="56">
        <f>IFERROR((VLOOKUP($A125,'Dados StatusInvest'!$A:$AZ,COLUMN(AG125)-$A$5,0)),0)</f>
        <v>3.03</v>
      </c>
      <c r="AH125" s="56">
        <f>IFERROR((VLOOKUP($A125,'Dados StatusInvest'!$A:$AZ,COLUMN(AH125)-$A$5,0)),0)</f>
        <v>0</v>
      </c>
      <c r="AI125" s="57">
        <f>IFERROR((VLOOKUP($A125,'Dados StatusInvest'!$A:$AZ,COLUMN(AI125)-$A$5,0)),0)</f>
        <v>120556800</v>
      </c>
      <c r="AJ125" s="59" t="str">
        <f>IFERROR((VLOOKUP($A125,'Dados StatusInvest'!$A:$AZ,COLUMN(AJ125)-$A$5,0)),0)</f>
        <v/>
      </c>
      <c r="AK125" s="60" t="str">
        <f>IFERROR(__xludf.DUMMYFUNCTION("IFERROR(GOOGLEFINANCE($A125,""high""),"""")"),"")</f>
        <v/>
      </c>
      <c r="AL125" s="60" t="str">
        <f>IFERROR(__xludf.DUMMYFUNCTION("IFERROR(GOOGLEFINANCE($A125,""low""),"""")"),"")</f>
        <v/>
      </c>
      <c r="AM125" s="61">
        <f t="shared" si="2"/>
        <v>0</v>
      </c>
      <c r="AN125" s="62">
        <f>IFERROR(__xludf.DUMMYFUNCTION("IFERROR((GOOGLEFINANCE($A125,""volume"")),0)"),0.0)</f>
        <v>0</v>
      </c>
      <c r="AO125" s="60" t="str">
        <f>IFERROR(__xludf.DUMMYFUNCTION("IFERROR((GOOGLEFINANCE($A125,""closeyest"")),"""")"),"")</f>
        <v/>
      </c>
      <c r="AP125" s="60" t="str">
        <f>IFERROR(__xludf.DUMMYFUNCTION("IFERROR((GOOGLEFINANCE($A125,""shares"")),"""")"),"")</f>
        <v/>
      </c>
      <c r="AQ125" s="18"/>
    </row>
    <row r="126">
      <c r="A126" s="45" t="str">
        <f>'Dados StatusInvest'!A121:A740</f>
        <v>CAMB3</v>
      </c>
      <c r="B126" s="46" t="str">
        <f>IFERROR(__xludf.DUMMYFUNCTION("IFERROR((GOOGLEFINANCE(A126,""name"")),"""")"),"Cambuci SA")</f>
        <v>Cambuci SA</v>
      </c>
      <c r="C126" s="46" t="str">
        <f>IFERROR((VLOOKUP(LEFT($A126,4),Setor!$A:$E,3,0)),"")</f>
        <v>Consumo Cíclico</v>
      </c>
      <c r="D126" s="46" t="str">
        <f>IFERROR((VLOOKUP(LEFT($A126,4),Setor!$A:$E,4,0)),"")</f>
        <v>Tecidos, Vestuário e Calçados</v>
      </c>
      <c r="E126" s="46" t="str">
        <f>IFERROR((VLOOKUP(LEFT($A126,4),Setor!$A:$E,5,0)),"")</f>
        <v>Calçados</v>
      </c>
      <c r="F126" s="47">
        <f>IFERROR(__xludf.DUMMYFUNCTION("IFERROR((GOOGLEFINANCE(A126)),"""")"),9.57)</f>
        <v>9.57</v>
      </c>
      <c r="G126" s="48" t="str">
        <f>IFERROR(__xludf.DUMMYFUNCTION("IFERROR((sparkline(GOOGLEFINANCE($A126,""price"",TODAY()-30,TODAY(),""DAILY""),{""charttype"",""line"";""linewidth"",1;""color"",""#5f88cc""})),"""")"),"")</f>
        <v/>
      </c>
      <c r="H126" s="49">
        <f>IFERROR(__xludf.DUMMYFUNCTION("IFERROR((((GOOGLEFINANCE(A126))-(INDEX(GoogleFinance(A126,""PRICE"",$AQ$1),2,2)))/(INDEX(GoogleFinance(A126,""PRICE"",$AQ$1),2,2))),"""")"),0.024625267665952938)</f>
        <v>0.02462526767</v>
      </c>
      <c r="I126" s="47">
        <f>IFERROR(__xludf.DUMMYFUNCTION("IFERROR((GOOGLEFINANCE($A126,""high52"")),"""")"),10.19)</f>
        <v>10.19</v>
      </c>
      <c r="J126" s="48" t="str">
        <f>IFERROR(__xludf.DUMMYFUNCTION("IFERROR((sparkline(GOOGLEFINANCE($A126,""price"",TODAY()-365,TODAY(),""DAILY""),{""charttype"",""line"";""linewidth"",1;""color"",""#5f88cc""})),"""")"),"")</f>
        <v/>
      </c>
      <c r="K126" s="50">
        <f>IFERROR(__xludf.DUMMYFUNCTION("IFERROR((((GOOGLEFINANCE(A126))-(INDEX(GoogleFinance(A126,""PRICE"",$AP$1),2,2)))/(INDEX(GoogleFinance(A126,""PRICE"",$AP$1),2,2))),"""")"),-0.09971777986829732)</f>
        <v>-0.09971777987</v>
      </c>
      <c r="L126" s="51">
        <f t="shared" si="1"/>
        <v>-0.06084396467</v>
      </c>
      <c r="M126" s="52">
        <f>IFERROR((VLOOKUP($A126,'Dados StatusInvest'!$A:$AZ,COLUMN(M126)-$A$5,0)*VLOOKUP($A126,'Dados StatusInvest'!$A:$AZ,2,0)/$F126/100),0)</f>
        <v>0.1807648903</v>
      </c>
      <c r="N126" s="53">
        <f>IFERROR((VLOOKUP($A126,'Dados StatusInvest'!$A:$AZ,COLUMN(N126)-$A$5,0)/VLOOKUP($A126,'Dados StatusInvest'!$A:$AZ,2,0)*$F126),"")</f>
        <v>16.71759375</v>
      </c>
      <c r="O126" s="53">
        <f>IFERROR((VLOOKUP($A126,'Dados StatusInvest'!$A:$AZ,COLUMN(O126)-$A$5,0)/VLOOKUP($A126,'Dados StatusInvest'!$A:$AZ,2,0)*$F126),0)</f>
        <v>5.702125</v>
      </c>
      <c r="P126" s="54">
        <f>IFERROR((VLOOKUP($A126,'Dados StatusInvest'!$A:$AZ,COLUMN(P126)-$A$5,0)/VLOOKUP($A126,'Dados StatusInvest'!$A:$AZ,2,0)*$F126),0)</f>
        <v>4.83484375</v>
      </c>
      <c r="Q126" s="55">
        <f>IFERROR((VLOOKUP($A126,'Dados StatusInvest'!$A:$AZ,COLUMN(Q126)-$A$5,0)/100),0)</f>
        <v>-0.0087</v>
      </c>
      <c r="R126" s="56">
        <f>VLOOKUP($A126,'Dados StatusInvest'!$A:$AZ,COLUMN(R126)-$A$5,0)</f>
        <v>-0.2</v>
      </c>
      <c r="S126" s="56">
        <f>IFERROR((VLOOKUP($A126,'Dados StatusInvest'!$A:$AZ,COLUMN(S126)-$A$5,0)),0)</f>
        <v>1.03</v>
      </c>
      <c r="T126" s="53">
        <f>IFERROR((VLOOKUP($A126,'Dados StatusInvest'!$A:$AZ,COLUMN(T126)-$A$5,0)/VLOOKUP($A126,'Dados StatusInvest'!$A:$AZ,2,0)*$F126),0)</f>
        <v>2.95075</v>
      </c>
      <c r="U126" s="53">
        <f>IFERROR((VLOOKUP($A126,'Dados StatusInvest'!$A:$AZ,COLUMN(U126)-$A$5,0)-VLOOKUP($A126,'Dados StatusInvest'!$A:$AZ,COLUMN(U126)-$A$5-1,0)+T126),0)</f>
        <v>-2.12925</v>
      </c>
      <c r="V126" s="56">
        <f>IFERROR((VLOOKUP($A126,'Dados StatusInvest'!$A:$AZ,COLUMN(V126)-$A$5,0)),0)</f>
        <v>3.04</v>
      </c>
      <c r="W126" s="56">
        <f>IFERROR((VLOOKUP($A126,'Dados StatusInvest'!$A:$AZ,COLUMN(W126)-$A$5,0)),0)</f>
        <v>21.24</v>
      </c>
      <c r="X126" s="53">
        <f>IFERROR((VLOOKUP($A126,'Dados StatusInvest'!$A:$AZ,COLUMN(X126)-$A$5,0)/VLOOKUP($A126,'Dados StatusInvest'!$A:$AZ,2,0)*$F126),0)</f>
        <v>16.59796875</v>
      </c>
      <c r="Y126" s="54">
        <f>IFERROR((VLOOKUP($A126,'Dados StatusInvest'!$A:$AZ,COLUMN(Y126)-$A$5,0)/VLOOKUP($A126,'Dados StatusInvest'!$A:$AZ,2,0)*$F126),0)</f>
        <v>17.2858125</v>
      </c>
      <c r="Z126" s="56">
        <f>IFERROR((VLOOKUP($A126,'Dados StatusInvest'!$A:$AZ,COLUMN(Z126)-$A$5,0)),0)</f>
        <v>0.78</v>
      </c>
      <c r="AA126" s="57">
        <f>IFERROR((VLOOKUP($A126,'Dados StatusInvest'!$A:$AZ,COLUMN(AA126)-$A$5,0)),0)</f>
        <v>0.22</v>
      </c>
      <c r="AB126" s="57">
        <f>IFERROR((VLOOKUP($A126,'Dados StatusInvest'!$A:$AZ,COLUMN(AB126)-$A$5,0)),0)</f>
        <v>0.99</v>
      </c>
      <c r="AC126" s="58">
        <f>IFERROR((VLOOKUP($A126,'Dados StatusInvest'!$A:$AZ,COLUMN(AC126)-$A$5,0)),0)</f>
        <v>14.78</v>
      </c>
      <c r="AD126" s="57">
        <f>IFERROR((VLOOKUP($A126,'Dados StatusInvest'!$A:$AZ,COLUMN(AD126)-$A$5,0)),0)</f>
        <v>26.72</v>
      </c>
      <c r="AE126" s="56">
        <f>IFERROR((VLOOKUP($A126,'Dados StatusInvest'!$A:$AZ,COLUMN(AE126)-$A$5,0)),0)</f>
        <v>331092.6</v>
      </c>
      <c r="AF126" s="56">
        <f>IFERROR((VLOOKUP($A126,'Dados StatusInvest'!$A:$AZ,COLUMN(AF126)-$A$5,0)),0)</f>
        <v>7.35</v>
      </c>
      <c r="AG126" s="56">
        <f>IFERROR((VLOOKUP($A126,'Dados StatusInvest'!$A:$AZ,COLUMN(AG126)-$A$5,0)),0)</f>
        <v>1.56</v>
      </c>
      <c r="AH126" s="56">
        <f>IFERROR((VLOOKUP($A126,'Dados StatusInvest'!$A:$AZ,COLUMN(AH126)-$A$5,0)),0)</f>
        <v>-0.54</v>
      </c>
      <c r="AI126" s="57">
        <f>IFERROR((VLOOKUP($A126,'Dados StatusInvest'!$A:$AZ,COLUMN(AI126)-$A$5,0)),0)</f>
        <v>405840768</v>
      </c>
      <c r="AJ126" s="59" t="str">
        <f>IFERROR((VLOOKUP($A126,'Dados StatusInvest'!$A:$AZ,COLUMN(AJ126)-$A$5,0)),0)</f>
        <v/>
      </c>
      <c r="AK126" s="60">
        <f>IFERROR(__xludf.DUMMYFUNCTION("IFERROR(GOOGLEFINANCE($A126,""high""),"""")"),9.57)</f>
        <v>9.57</v>
      </c>
      <c r="AL126" s="60" t="str">
        <f>IFERROR(__xludf.DUMMYFUNCTION("IFERROR(GOOGLEFINANCE($A126,""low""),"""")"),"")</f>
        <v/>
      </c>
      <c r="AM126" s="61">
        <f t="shared" si="2"/>
        <v>0</v>
      </c>
      <c r="AN126" s="62">
        <f>IFERROR(__xludf.DUMMYFUNCTION("IFERROR((GOOGLEFINANCE($A126,""volume"")),0)"),0.0)</f>
        <v>0</v>
      </c>
      <c r="AO126" s="60">
        <f>IFERROR(__xludf.DUMMYFUNCTION("IFERROR((GOOGLEFINANCE($A126,""closeyest"")),"""")"),9.6)</f>
        <v>9.6</v>
      </c>
      <c r="AP126" s="60">
        <f>IFERROR(__xludf.DUMMYFUNCTION("IFERROR((GOOGLEFINANCE($A126,""shares"")),"""")"),4.227508E7)</f>
        <v>42275080</v>
      </c>
      <c r="AQ126" s="18"/>
    </row>
    <row r="127">
      <c r="A127" s="45" t="str">
        <f>'Dados StatusInvest'!A122:A741</f>
        <v>CAMB4</v>
      </c>
      <c r="B127" s="46" t="str">
        <f>IFERROR(__xludf.DUMMYFUNCTION("IFERROR((GOOGLEFINANCE(A127,""name"")),"""")"),"")</f>
        <v/>
      </c>
      <c r="C127" s="46" t="str">
        <f>IFERROR((VLOOKUP(LEFT($A127,4),Setor!$A:$E,3,0)),"")</f>
        <v>Consumo Cíclico</v>
      </c>
      <c r="D127" s="46" t="str">
        <f>IFERROR((VLOOKUP(LEFT($A127,4),Setor!$A:$E,4,0)),"")</f>
        <v>Tecidos, Vestuário e Calçados</v>
      </c>
      <c r="E127" s="46" t="str">
        <f>IFERROR((VLOOKUP(LEFT($A127,4),Setor!$A:$E,5,0)),"")</f>
        <v>Calçados</v>
      </c>
      <c r="F127" s="47" t="str">
        <f>IFERROR(__xludf.DUMMYFUNCTION("IFERROR((GOOGLEFINANCE(A127)),"""")"),"")</f>
        <v/>
      </c>
      <c r="G127" s="48" t="str">
        <f>IFERROR(__xludf.DUMMYFUNCTION("IFERROR((sparkline(GOOGLEFINANCE($A127,""price"",TODAY()-30,TODAY(),""DAILY""),{""charttype"",""line"";""linewidth"",1;""color"",""#5f88cc""})),"""")"),"")</f>
        <v/>
      </c>
      <c r="H127" s="49" t="str">
        <f>IFERROR(__xludf.DUMMYFUNCTION("IFERROR((((GOOGLEFINANCE(A127))-(INDEX(GoogleFinance(A127,""PRICE"",$AQ$1),2,2)))/(INDEX(GoogleFinance(A127,""PRICE"",$AQ$1),2,2))),"""")"),"")</f>
        <v/>
      </c>
      <c r="I127" s="47" t="str">
        <f>IFERROR(__xludf.DUMMYFUNCTION("IFERROR((GOOGLEFINANCE($A127,""high52"")),"""")"),"")</f>
        <v/>
      </c>
      <c r="J127" s="48" t="str">
        <f>IFERROR(__xludf.DUMMYFUNCTION("IFERROR((sparkline(GOOGLEFINANCE($A127,""price"",TODAY()-365,TODAY(),""DAILY""),{""charttype"",""line"";""linewidth"",1;""color"",""#5f88cc""})),"""")"),"")</f>
        <v/>
      </c>
      <c r="K127" s="50" t="str">
        <f>IFERROR(__xludf.DUMMYFUNCTION("IFERROR((((GOOGLEFINANCE(A127))-(INDEX(GoogleFinance(A127,""PRICE"",$AP$1),2,2)))/(INDEX(GoogleFinance(A127,""PRICE"",$AP$1),2,2))),"""")"),"")</f>
        <v/>
      </c>
      <c r="L127" s="51">
        <f t="shared" si="1"/>
        <v>0</v>
      </c>
      <c r="M127" s="52">
        <f>IFERROR((VLOOKUP($A127,'Dados StatusInvest'!$A:$AZ,COLUMN(M127)-$A$5,0)*VLOOKUP($A127,'Dados StatusInvest'!$A:$AZ,2,0)/$F127/100),0)</f>
        <v>0</v>
      </c>
      <c r="N127" s="53">
        <f>IFERROR((VLOOKUP($A127,'Dados StatusInvest'!$A:$AZ,COLUMN(N127)-$A$5,0)/VLOOKUP($A127,'Dados StatusInvest'!$A:$AZ,2,0)*$F127),"")</f>
        <v>0</v>
      </c>
      <c r="O127" s="53">
        <f>IFERROR((VLOOKUP($A127,'Dados StatusInvest'!$A:$AZ,COLUMN(O127)-$A$5,0)/VLOOKUP($A127,'Dados StatusInvest'!$A:$AZ,2,0)*$F127),0)</f>
        <v>0</v>
      </c>
      <c r="P127" s="54">
        <f>IFERROR((VLOOKUP($A127,'Dados StatusInvest'!$A:$AZ,COLUMN(P127)-$A$5,0)/VLOOKUP($A127,'Dados StatusInvest'!$A:$AZ,2,0)*$F127),0)</f>
        <v>0</v>
      </c>
      <c r="Q127" s="55">
        <f>IFERROR((VLOOKUP($A127,'Dados StatusInvest'!$A:$AZ,COLUMN(Q127)-$A$5,0)/100),0)</f>
        <v>-0.0087</v>
      </c>
      <c r="R127" s="56">
        <f>VLOOKUP($A127,'Dados StatusInvest'!$A:$AZ,COLUMN(R127)-$A$5,0)</f>
        <v>-0.2</v>
      </c>
      <c r="S127" s="56">
        <f>IFERROR((VLOOKUP($A127,'Dados StatusInvest'!$A:$AZ,COLUMN(S127)-$A$5,0)),0)</f>
        <v>0.67</v>
      </c>
      <c r="T127" s="53">
        <f>IFERROR((VLOOKUP($A127,'Dados StatusInvest'!$A:$AZ,COLUMN(T127)-$A$5,0)/VLOOKUP($A127,'Dados StatusInvest'!$A:$AZ,2,0)*$F127),0)</f>
        <v>0</v>
      </c>
      <c r="U127" s="53">
        <f>IFERROR((VLOOKUP($A127,'Dados StatusInvest'!$A:$AZ,COLUMN(U127)-$A$5,0)-VLOOKUP($A127,'Dados StatusInvest'!$A:$AZ,COLUMN(U127)-$A$5-1,0)+T127),0)</f>
        <v>-3.3</v>
      </c>
      <c r="V127" s="56">
        <f>IFERROR((VLOOKUP($A127,'Dados StatusInvest'!$A:$AZ,COLUMN(V127)-$A$5,0)),0)</f>
        <v>3.04</v>
      </c>
      <c r="W127" s="56">
        <f>IFERROR((VLOOKUP($A127,'Dados StatusInvest'!$A:$AZ,COLUMN(W127)-$A$5,0)),0)</f>
        <v>21.24</v>
      </c>
      <c r="X127" s="53">
        <f>IFERROR((VLOOKUP($A127,'Dados StatusInvest'!$A:$AZ,COLUMN(X127)-$A$5,0)/VLOOKUP($A127,'Dados StatusInvest'!$A:$AZ,2,0)*$F127),0)</f>
        <v>0</v>
      </c>
      <c r="Y127" s="54">
        <f>IFERROR((VLOOKUP($A127,'Dados StatusInvest'!$A:$AZ,COLUMN(Y127)-$A$5,0)/VLOOKUP($A127,'Dados StatusInvest'!$A:$AZ,2,0)*$F127),0)</f>
        <v>0</v>
      </c>
      <c r="Z127" s="56">
        <f>IFERROR((VLOOKUP($A127,'Dados StatusInvest'!$A:$AZ,COLUMN(Z127)-$A$5,0)),0)</f>
        <v>0.78</v>
      </c>
      <c r="AA127" s="57">
        <f>IFERROR((VLOOKUP($A127,'Dados StatusInvest'!$A:$AZ,COLUMN(AA127)-$A$5,0)),0)</f>
        <v>0.22</v>
      </c>
      <c r="AB127" s="57">
        <f>IFERROR((VLOOKUP($A127,'Dados StatusInvest'!$A:$AZ,COLUMN(AB127)-$A$5,0)),0)</f>
        <v>0.99</v>
      </c>
      <c r="AC127" s="58">
        <f>IFERROR((VLOOKUP($A127,'Dados StatusInvest'!$A:$AZ,COLUMN(AC127)-$A$5,0)),0)</f>
        <v>14.78</v>
      </c>
      <c r="AD127" s="57">
        <f>IFERROR((VLOOKUP($A127,'Dados StatusInvest'!$A:$AZ,COLUMN(AD127)-$A$5,0)),0)</f>
        <v>26.72</v>
      </c>
      <c r="AE127" s="56">
        <f>IFERROR((VLOOKUP($A127,'Dados StatusInvest'!$A:$AZ,COLUMN(AE127)-$A$5,0)),0)</f>
        <v>0</v>
      </c>
      <c r="AF127" s="56">
        <f>IFERROR((VLOOKUP($A127,'Dados StatusInvest'!$A:$AZ,COLUMN(AF127)-$A$5,0)),0)</f>
        <v>7.35</v>
      </c>
      <c r="AG127" s="56">
        <f>IFERROR((VLOOKUP($A127,'Dados StatusInvest'!$A:$AZ,COLUMN(AG127)-$A$5,0)),0)</f>
        <v>1.56</v>
      </c>
      <c r="AH127" s="56">
        <f>IFERROR((VLOOKUP($A127,'Dados StatusInvest'!$A:$AZ,COLUMN(AH127)-$A$5,0)),0)</f>
        <v>-0.35</v>
      </c>
      <c r="AI127" s="57">
        <f>IFERROR((VLOOKUP($A127,'Dados StatusInvest'!$A:$AZ,COLUMN(AI127)-$A$5,0)),0)</f>
        <v>405840768</v>
      </c>
      <c r="AJ127" s="59" t="str">
        <f>IFERROR((VLOOKUP($A127,'Dados StatusInvest'!$A:$AZ,COLUMN(AJ127)-$A$5,0)),0)</f>
        <v/>
      </c>
      <c r="AK127" s="60" t="str">
        <f>IFERROR(__xludf.DUMMYFUNCTION("IFERROR(GOOGLEFINANCE($A127,""high""),"""")"),"")</f>
        <v/>
      </c>
      <c r="AL127" s="60" t="str">
        <f>IFERROR(__xludf.DUMMYFUNCTION("IFERROR(GOOGLEFINANCE($A127,""low""),"""")"),"")</f>
        <v/>
      </c>
      <c r="AM127" s="61">
        <f t="shared" si="2"/>
        <v>0</v>
      </c>
      <c r="AN127" s="62">
        <f>IFERROR(__xludf.DUMMYFUNCTION("IFERROR((GOOGLEFINANCE($A127,""volume"")),0)"),0.0)</f>
        <v>0</v>
      </c>
      <c r="AO127" s="60" t="str">
        <f>IFERROR(__xludf.DUMMYFUNCTION("IFERROR((GOOGLEFINANCE($A127,""closeyest"")),"""")"),"")</f>
        <v/>
      </c>
      <c r="AP127" s="60" t="str">
        <f>IFERROR(__xludf.DUMMYFUNCTION("IFERROR((GOOGLEFINANCE($A127,""shares"")),"""")"),"")</f>
        <v/>
      </c>
      <c r="AQ127" s="18"/>
    </row>
    <row r="128">
      <c r="A128" s="45" t="str">
        <f>'Dados StatusInvest'!A123:A742</f>
        <v>CAML3</v>
      </c>
      <c r="B128" s="46" t="str">
        <f>IFERROR(__xludf.DUMMYFUNCTION("IFERROR((GOOGLEFINANCE(A128,""name"")),"""")"),"Camil Alimentos SA")</f>
        <v>Camil Alimentos SA</v>
      </c>
      <c r="C128" s="46" t="str">
        <f>IFERROR((VLOOKUP(LEFT($A128,4),Setor!$A:$E,3,0)),"")</f>
        <v>Consumo não Cíclico</v>
      </c>
      <c r="D128" s="46" t="str">
        <f>IFERROR((VLOOKUP(LEFT($A128,4),Setor!$A:$E,4,0)),"")</f>
        <v>Alimentos Processados</v>
      </c>
      <c r="E128" s="46" t="str">
        <f>IFERROR((VLOOKUP(LEFT($A128,4),Setor!$A:$E,5,0)),"")</f>
        <v>Alimentos Diversos</v>
      </c>
      <c r="F128" s="47">
        <f>IFERROR(__xludf.DUMMYFUNCTION("IFERROR((GOOGLEFINANCE(A128)),"""")"),6.58)</f>
        <v>6.58</v>
      </c>
      <c r="G128" s="48" t="str">
        <f>IFERROR(__xludf.DUMMYFUNCTION("IFERROR((sparkline(GOOGLEFINANCE($A128,""price"",TODAY()-30,TODAY(),""DAILY""),{""charttype"",""line"";""linewidth"",1;""color"",""#5f88cc""})),"""")"),"")</f>
        <v/>
      </c>
      <c r="H128" s="49">
        <f>IFERROR(__xludf.DUMMYFUNCTION("IFERROR((((GOOGLEFINANCE(A128))-(INDEX(GoogleFinance(A128,""PRICE"",$AQ$1),2,2)))/(INDEX(GoogleFinance(A128,""PRICE"",$AQ$1),2,2))),"""")"),0.03949447077409163)</f>
        <v>0.03949447077</v>
      </c>
      <c r="I128" s="47">
        <f>IFERROR(__xludf.DUMMYFUNCTION("IFERROR((GOOGLEFINANCE($A128,""high52"")),"""")"),7.0)</f>
        <v>7</v>
      </c>
      <c r="J128" s="48" t="str">
        <f>IFERROR(__xludf.DUMMYFUNCTION("IFERROR((sparkline(GOOGLEFINANCE($A128,""price"",TODAY()-365,TODAY(),""DAILY""),{""charttype"",""line"";""linewidth"",1;""color"",""#5f88cc""})),"""")"),"")</f>
        <v/>
      </c>
      <c r="K128" s="50">
        <f>IFERROR(__xludf.DUMMYFUNCTION("IFERROR((((GOOGLEFINANCE(A128))-(INDEX(GoogleFinance(A128,""PRICE"",$AP$1),2,2)))/(INDEX(GoogleFinance(A128,""PRICE"",$AP$1),2,2))),"""")"),0.5126436781609197)</f>
        <v>0.5126436782</v>
      </c>
      <c r="L128" s="51">
        <f t="shared" si="1"/>
        <v>-0.06</v>
      </c>
      <c r="M128" s="52">
        <f>IFERROR((VLOOKUP($A128,'Dados StatusInvest'!$A:$AZ,COLUMN(M128)-$A$5,0)*VLOOKUP($A128,'Dados StatusInvest'!$A:$AZ,2,0)/$F128/100),0)</f>
        <v>0.05927462006</v>
      </c>
      <c r="N128" s="53">
        <f>IFERROR((VLOOKUP($A128,'Dados StatusInvest'!$A:$AZ,COLUMN(N128)-$A$5,0)/VLOOKUP($A128,'Dados StatusInvest'!$A:$AZ,2,0)*$F128),"")</f>
        <v>1.976950673</v>
      </c>
      <c r="O128" s="53">
        <f>IFERROR((VLOOKUP($A128,'Dados StatusInvest'!$A:$AZ,COLUMN(O128)-$A$5,0)/VLOOKUP($A128,'Dados StatusInvest'!$A:$AZ,2,0)*$F128),0)</f>
        <v>3.412944694</v>
      </c>
      <c r="P128" s="54">
        <f>IFERROR((VLOOKUP($A128,'Dados StatusInvest'!$A:$AZ,COLUMN(P128)-$A$5,0)/VLOOKUP($A128,'Dados StatusInvest'!$A:$AZ,2,0)*$F128),0)</f>
        <v>9.481494768</v>
      </c>
      <c r="Q128" s="55">
        <f>IFERROR((VLOOKUP($A128,'Dados StatusInvest'!$A:$AZ,COLUMN(Q128)-$A$5,0)/100),0)</f>
        <v>0.0617</v>
      </c>
      <c r="R128" s="56">
        <f>VLOOKUP($A128,'Dados StatusInvest'!$A:$AZ,COLUMN(R128)-$A$5,0)</f>
        <v>1.21</v>
      </c>
      <c r="S128" s="56">
        <f>IFERROR((VLOOKUP($A128,'Dados StatusInvest'!$A:$AZ,COLUMN(S128)-$A$5,0)),0)</f>
        <v>0.2</v>
      </c>
      <c r="T128" s="53">
        <f>IFERROR((VLOOKUP($A128,'Dados StatusInvest'!$A:$AZ,COLUMN(T128)-$A$5,0)/VLOOKUP($A128,'Dados StatusInvest'!$A:$AZ,2,0)*$F128),0)</f>
        <v>0.7475037369</v>
      </c>
      <c r="U128" s="53">
        <f>IFERROR((VLOOKUP($A128,'Dados StatusInvest'!$A:$AZ,COLUMN(U128)-$A$5,0)-VLOOKUP($A128,'Dados StatusInvest'!$A:$AZ,COLUMN(U128)-$A$5-1,0)+T128),0)</f>
        <v>-0.4624962631</v>
      </c>
      <c r="V128" s="56">
        <f>IFERROR((VLOOKUP($A128,'Dados StatusInvest'!$A:$AZ,COLUMN(V128)-$A$5,0)),0)</f>
        <v>1.77</v>
      </c>
      <c r="W128" s="56">
        <f>IFERROR((VLOOKUP($A128,'Dados StatusInvest'!$A:$AZ,COLUMN(W128)-$A$5,0)),0)</f>
        <v>6.75</v>
      </c>
      <c r="X128" s="53">
        <f>IFERROR((VLOOKUP($A128,'Dados StatusInvest'!$A:$AZ,COLUMN(X128)-$A$5,0)/VLOOKUP($A128,'Dados StatusInvest'!$A:$AZ,2,0)*$F128),0)</f>
        <v>1.858923767</v>
      </c>
      <c r="Y128" s="54">
        <f>IFERROR((VLOOKUP($A128,'Dados StatusInvest'!$A:$AZ,COLUMN(Y128)-$A$5,0)/VLOOKUP($A128,'Dados StatusInvest'!$A:$AZ,2,0)*$F128),0)</f>
        <v>4.307982063</v>
      </c>
      <c r="Z128" s="56">
        <f>IFERROR((VLOOKUP($A128,'Dados StatusInvest'!$A:$AZ,COLUMN(Z128)-$A$5,0)),0)</f>
        <v>0.28</v>
      </c>
      <c r="AA128" s="57">
        <f>IFERROR((VLOOKUP($A128,'Dados StatusInvest'!$A:$AZ,COLUMN(AA128)-$A$5,0)),0)</f>
        <v>0.72</v>
      </c>
      <c r="AB128" s="57">
        <f>IFERROR((VLOOKUP($A128,'Dados StatusInvest'!$A:$AZ,COLUMN(AB128)-$A$5,0)),0)</f>
        <v>0.94</v>
      </c>
      <c r="AC128" s="58">
        <f>IFERROR((VLOOKUP($A128,'Dados StatusInvest'!$A:$AZ,COLUMN(AC128)-$A$5,0)),0)</f>
        <v>17.84</v>
      </c>
      <c r="AD128" s="57">
        <f>IFERROR((VLOOKUP($A128,'Dados StatusInvest'!$A:$AZ,COLUMN(AD128)-$A$5,0)),0)</f>
        <v>-0.57</v>
      </c>
      <c r="AE128" s="56">
        <f>IFERROR((VLOOKUP($A128,'Dados StatusInvest'!$A:$AZ,COLUMN(AE128)-$A$5,0)),0)</f>
        <v>9848453</v>
      </c>
      <c r="AF128" s="56">
        <f>IFERROR((VLOOKUP($A128,'Dados StatusInvest'!$A:$AZ,COLUMN(AF128)-$A$5,0)),0)</f>
        <v>9.85</v>
      </c>
      <c r="AG128" s="56">
        <f>IFERROR((VLOOKUP($A128,'Dados StatusInvest'!$A:$AZ,COLUMN(AG128)-$A$5,0)),0)</f>
        <v>0.67</v>
      </c>
      <c r="AH128" s="56">
        <f>IFERROR((VLOOKUP($A128,'Dados StatusInvest'!$A:$AZ,COLUMN(AH128)-$A$5,0)),0)</f>
        <v>-0.54</v>
      </c>
      <c r="AI128" s="57">
        <f>IFERROR((VLOOKUP($A128,'Dados StatusInvest'!$A:$AZ,COLUMN(AI128)-$A$5,0)),0)</f>
        <v>2341500000</v>
      </c>
      <c r="AJ128" s="59" t="str">
        <f>IFERROR((VLOOKUP($A128,'Dados StatusInvest'!$A:$AZ,COLUMN(AJ128)-$A$5,0)),0)</f>
        <v/>
      </c>
      <c r="AK128" s="60">
        <f>IFERROR(__xludf.DUMMYFUNCTION("IFERROR(GOOGLEFINANCE($A128,""high""),"""")"),6.69)</f>
        <v>6.69</v>
      </c>
      <c r="AL128" s="60">
        <f>IFERROR(__xludf.DUMMYFUNCTION("IFERROR(GOOGLEFINANCE($A128,""low""),"""")"),6.58)</f>
        <v>6.58</v>
      </c>
      <c r="AM128" s="61">
        <f t="shared" si="2"/>
        <v>0.01671732523</v>
      </c>
      <c r="AN128" s="62">
        <f>IFERROR(__xludf.DUMMYFUNCTION("IFERROR((GOOGLEFINANCE($A128,""volume"")),0)"),82800.0)</f>
        <v>82800</v>
      </c>
      <c r="AO128" s="60">
        <f>IFERROR(__xludf.DUMMYFUNCTION("IFERROR((GOOGLEFINANCE($A128,""closeyest"")),"""")"),6.69)</f>
        <v>6.69</v>
      </c>
      <c r="AP128" s="60">
        <f>IFERROR(__xludf.DUMMYFUNCTION("IFERROR((GOOGLEFINANCE($A128,""shares"")),"""")"),3.5E8)</f>
        <v>350000000</v>
      </c>
      <c r="AQ128" s="18"/>
    </row>
    <row r="129">
      <c r="A129" s="45" t="str">
        <f>'Dados StatusInvest'!A124:A743</f>
        <v>CASH3</v>
      </c>
      <c r="B129" s="46" t="str">
        <f>IFERROR(__xludf.DUMMYFUNCTION("IFERROR((GOOGLEFINANCE(A129,""name"")),"""")"),"Meliuz SA")</f>
        <v>Meliuz SA</v>
      </c>
      <c r="C129" s="46" t="str">
        <f>IFERROR((VLOOKUP(LEFT($A129,4),Setor!$A:$E,3,0)),"")</f>
        <v>Tecnologia da Informação</v>
      </c>
      <c r="D129" s="46" t="str">
        <f>IFERROR((VLOOKUP(LEFT($A129,4),Setor!$A:$E,4,0)),"")</f>
        <v>Programas e Serviços</v>
      </c>
      <c r="E129" s="46" t="str">
        <f>IFERROR((VLOOKUP(LEFT($A129,4),Setor!$A:$E,5,0)),"")</f>
        <v>Programas e Serviços</v>
      </c>
      <c r="F129" s="47">
        <f>IFERROR(__xludf.DUMMYFUNCTION("IFERROR((GOOGLEFINANCE(A129)),"""")"),3.43)</f>
        <v>3.43</v>
      </c>
      <c r="G129" s="48" t="str">
        <f>IFERROR(__xludf.DUMMYFUNCTION("IFERROR((sparkline(GOOGLEFINANCE($A129,""price"",TODAY()-30,TODAY(),""DAILY""),{""charttype"",""line"";""linewidth"",1;""color"",""#5f88cc""})),"""")"),"")</f>
        <v/>
      </c>
      <c r="H129" s="49">
        <f>IFERROR(__xludf.DUMMYFUNCTION("IFERROR((((GOOGLEFINANCE(A129))-(INDEX(GoogleFinance(A129,""PRICE"",$AQ$1),2,2)))/(INDEX(GoogleFinance(A129,""PRICE"",$AQ$1),2,2))),"""")"),-0.1381909547738693)</f>
        <v>-0.1381909548</v>
      </c>
      <c r="I129" s="47">
        <f>IFERROR(__xludf.DUMMYFUNCTION("IFERROR((GOOGLEFINANCE($A129,""high52"")),"""")"),10.89)</f>
        <v>10.89</v>
      </c>
      <c r="J129" s="48" t="str">
        <f>IFERROR(__xludf.DUMMYFUNCTION("IFERROR((sparkline(GOOGLEFINANCE($A129,""price"",TODAY()-365,TODAY(),""DAILY""),{""charttype"",""line"";""linewidth"",1;""color"",""#5f88cc""})),"""")"),"")</f>
        <v/>
      </c>
      <c r="K129" s="50">
        <f>IFERROR(__xludf.DUMMYFUNCTION("IFERROR((((GOOGLEFINANCE(A129))-(INDEX(GoogleFinance(A129,""PRICE"",$AP$1),2,2)))/(INDEX(GoogleFinance(A129,""PRICE"",$AP$1),2,2))),"""")"),0.061919504643962904)</f>
        <v>0.06191950464</v>
      </c>
      <c r="L129" s="51">
        <f t="shared" si="1"/>
        <v>-0.6850321396</v>
      </c>
      <c r="M129" s="52">
        <f>IFERROR((VLOOKUP($A129,'Dados StatusInvest'!$A:$AZ,COLUMN(M129)-$A$5,0)*VLOOKUP($A129,'Dados StatusInvest'!$A:$AZ,2,0)/$F129/100),0)</f>
        <v>0.1828268222</v>
      </c>
      <c r="N129" s="53">
        <f>IFERROR((VLOOKUP($A129,'Dados StatusInvest'!$A:$AZ,COLUMN(N129)-$A$5,0)/VLOOKUP($A129,'Dados StatusInvest'!$A:$AZ,2,0)*$F129),"")</f>
        <v>12.61609195</v>
      </c>
      <c r="O129" s="53">
        <f>IFERROR((VLOOKUP($A129,'Dados StatusInvest'!$A:$AZ,COLUMN(O129)-$A$5,0)/VLOOKUP($A129,'Dados StatusInvest'!$A:$AZ,2,0)*$F129),0)</f>
        <v>5.046436782</v>
      </c>
      <c r="P129" s="54">
        <f>IFERROR((VLOOKUP($A129,'Dados StatusInvest'!$A:$AZ,COLUMN(P129)-$A$5,0)/VLOOKUP($A129,'Dados StatusInvest'!$A:$AZ,2,0)*$F129),0)</f>
        <v>4.188936782</v>
      </c>
      <c r="Q129" s="55">
        <f>IFERROR((VLOOKUP($A129,'Dados StatusInvest'!$A:$AZ,COLUMN(Q129)-$A$5,0)/100),0)</f>
        <v>-0.0087</v>
      </c>
      <c r="R129" s="56">
        <f>VLOOKUP($A129,'Dados StatusInvest'!$A:$AZ,COLUMN(R129)-$A$5,0)</f>
        <v>-0.12</v>
      </c>
      <c r="S129" s="56">
        <f>IFERROR((VLOOKUP($A129,'Dados StatusInvest'!$A:$AZ,COLUMN(S129)-$A$5,0)),0)</f>
        <v>0.92</v>
      </c>
      <c r="T129" s="53">
        <f>IFERROR((VLOOKUP($A129,'Dados StatusInvest'!$A:$AZ,COLUMN(T129)-$A$5,0)/VLOOKUP($A129,'Dados StatusInvest'!$A:$AZ,2,0)*$F129),0)</f>
        <v>5.588534483</v>
      </c>
      <c r="U129" s="53">
        <f>IFERROR((VLOOKUP($A129,'Dados StatusInvest'!$A:$AZ,COLUMN(U129)-$A$5,0)-VLOOKUP($A129,'Dados StatusInvest'!$A:$AZ,COLUMN(U129)-$A$5-1,0)+T129),0)</f>
        <v>-0.8614655172</v>
      </c>
      <c r="V129" s="56">
        <f>IFERROR((VLOOKUP($A129,'Dados StatusInvest'!$A:$AZ,COLUMN(V129)-$A$5,0)),0)</f>
        <v>1.73</v>
      </c>
      <c r="W129" s="56">
        <f>IFERROR((VLOOKUP($A129,'Dados StatusInvest'!$A:$AZ,COLUMN(W129)-$A$5,0)),0)</f>
        <v>10.03</v>
      </c>
      <c r="X129" s="53">
        <f>IFERROR((VLOOKUP($A129,'Dados StatusInvest'!$A:$AZ,COLUMN(X129)-$A$5,0)/VLOOKUP($A129,'Dados StatusInvest'!$A:$AZ,2,0)*$F129),0)</f>
        <v>8.062471264</v>
      </c>
      <c r="Y129" s="54">
        <f>IFERROR((VLOOKUP($A129,'Dados StatusInvest'!$A:$AZ,COLUMN(Y129)-$A$5,0)/VLOOKUP($A129,'Dados StatusInvest'!$A:$AZ,2,0)*$F129),0)</f>
        <v>3.686264368</v>
      </c>
      <c r="Z129" s="56">
        <f>IFERROR((VLOOKUP($A129,'Dados StatusInvest'!$A:$AZ,COLUMN(Z129)-$A$5,0)),0)</f>
        <v>0.82</v>
      </c>
      <c r="AA129" s="57">
        <f>IFERROR((VLOOKUP($A129,'Dados StatusInvest'!$A:$AZ,COLUMN(AA129)-$A$5,0)),0)</f>
        <v>0.18</v>
      </c>
      <c r="AB129" s="57">
        <f>IFERROR((VLOOKUP($A129,'Dados StatusInvest'!$A:$AZ,COLUMN(AB129)-$A$5,0)),0)</f>
        <v>0.64</v>
      </c>
      <c r="AC129" s="58">
        <f>IFERROR((VLOOKUP($A129,'Dados StatusInvest'!$A:$AZ,COLUMN(AC129)-$A$5,0)),0)</f>
        <v>34.97</v>
      </c>
      <c r="AD129" s="57">
        <f>IFERROR((VLOOKUP($A129,'Dados StatusInvest'!$A:$AZ,COLUMN(AD129)-$A$5,0)),0)</f>
        <v>29.42</v>
      </c>
      <c r="AE129" s="56">
        <f>IFERROR((VLOOKUP($A129,'Dados StatusInvest'!$A:$AZ,COLUMN(AE129)-$A$5,0)),0)</f>
        <v>6702314</v>
      </c>
      <c r="AF129" s="56">
        <f>IFERROR((VLOOKUP($A129,'Dados StatusInvest'!$A:$AZ,COLUMN(AF129)-$A$5,0)),0)</f>
        <v>4.81</v>
      </c>
      <c r="AG129" s="56">
        <f>IFERROR((VLOOKUP($A129,'Dados StatusInvest'!$A:$AZ,COLUMN(AG129)-$A$5,0)),0)</f>
        <v>0.48</v>
      </c>
      <c r="AH129" s="56">
        <f>IFERROR((VLOOKUP($A129,'Dados StatusInvest'!$A:$AZ,COLUMN(AH129)-$A$5,0)),0)</f>
        <v>-0.03</v>
      </c>
      <c r="AI129" s="57">
        <f>IFERROR((VLOOKUP($A129,'Dados StatusInvest'!$A:$AZ,COLUMN(AI129)-$A$5,0)),0)</f>
        <v>394026817.6</v>
      </c>
      <c r="AJ129" s="59" t="str">
        <f>IFERROR((VLOOKUP($A129,'Dados StatusInvest'!$A:$AZ,COLUMN(AJ129)-$A$5,0)),0)</f>
        <v/>
      </c>
      <c r="AK129" s="60">
        <f>IFERROR(__xludf.DUMMYFUNCTION("IFERROR(GOOGLEFINANCE($A129,""high""),"""")"),3.47)</f>
        <v>3.47</v>
      </c>
      <c r="AL129" s="60">
        <f>IFERROR(__xludf.DUMMYFUNCTION("IFERROR(GOOGLEFINANCE($A129,""low""),"""")"),3.42)</f>
        <v>3.42</v>
      </c>
      <c r="AM129" s="61">
        <f t="shared" si="2"/>
        <v>0.01461988304</v>
      </c>
      <c r="AN129" s="62">
        <f>IFERROR(__xludf.DUMMYFUNCTION("IFERROR((GOOGLEFINANCE($A129,""volume"")),0)"),56300.0)</f>
        <v>56300</v>
      </c>
      <c r="AO129" s="60">
        <f>IFERROR(__xludf.DUMMYFUNCTION("IFERROR((GOOGLEFINANCE($A129,""closeyest"")),"""")"),3.48)</f>
        <v>3.48</v>
      </c>
      <c r="AP129" s="60">
        <f>IFERROR(__xludf.DUMMYFUNCTION("IFERROR((GOOGLEFINANCE($A129,""shares"")),"""")"),1.13226097E8)</f>
        <v>113226097</v>
      </c>
      <c r="AQ129" s="18"/>
    </row>
    <row r="130">
      <c r="A130" s="45" t="str">
        <f>'Dados StatusInvest'!A125:A744</f>
        <v>CASN3</v>
      </c>
      <c r="B130" s="46" t="str">
        <f>IFERROR(__xludf.DUMMYFUNCTION("IFERROR((GOOGLEFINANCE(A130,""name"")),"""")"),"Companhia Catarinense d Ags e Smnt CASAN")</f>
        <v>Companhia Catarinense d Ags e Smnt CASAN</v>
      </c>
      <c r="C130" s="46" t="str">
        <f>IFERROR((VLOOKUP(LEFT($A130,4),Setor!$A:$E,3,0)),"")</f>
        <v>Utilidade Pública</v>
      </c>
      <c r="D130" s="46" t="str">
        <f>IFERROR((VLOOKUP(LEFT($A130,4),Setor!$A:$E,4,0)),"")</f>
        <v>Água e Saneamento</v>
      </c>
      <c r="E130" s="46" t="str">
        <f>IFERROR((VLOOKUP(LEFT($A130,4),Setor!$A:$E,5,0)),"")</f>
        <v>Água e Saneamento</v>
      </c>
      <c r="F130" s="47">
        <f>IFERROR(__xludf.DUMMYFUNCTION("IFERROR((GOOGLEFINANCE(A130)),"""")"),9.3)</f>
        <v>9.3</v>
      </c>
      <c r="G130" s="48" t="str">
        <f>IFERROR(__xludf.DUMMYFUNCTION("IFERROR((sparkline(GOOGLEFINANCE($A130,""price"",TODAY()-30,TODAY(),""DAILY""),{""charttype"",""line"";""linewidth"",1;""color"",""#5f88cc""})),"""")"),"")</f>
        <v/>
      </c>
      <c r="H130" s="49" t="str">
        <f>IFERROR(__xludf.DUMMYFUNCTION("IFERROR((((GOOGLEFINANCE(A130))-(INDEX(GoogleFinance(A130,""PRICE"",$AQ$1),2,2)))/(INDEX(GoogleFinance(A130,""PRICE"",$AQ$1),2,2))),"""")"),"")</f>
        <v/>
      </c>
      <c r="I130" s="47">
        <f>IFERROR(__xludf.DUMMYFUNCTION("IFERROR((GOOGLEFINANCE($A130,""high52"")),"""")"),9.1)</f>
        <v>9.1</v>
      </c>
      <c r="J130" s="48" t="str">
        <f>IFERROR(__xludf.DUMMYFUNCTION("IFERROR((sparkline(GOOGLEFINANCE($A130,""price"",TODAY()-365,TODAY(),""DAILY""),{""charttype"",""line"";""linewidth"",1;""color"",""#5f88cc""})),"""")"),"")</f>
        <v/>
      </c>
      <c r="K130" s="50" t="str">
        <f>IFERROR(__xludf.DUMMYFUNCTION("IFERROR((((GOOGLEFINANCE(A130))-(INDEX(GoogleFinance(A130,""PRICE"",$AP$1),2,2)))/(INDEX(GoogleFinance(A130,""PRICE"",$AP$1),2,2))),"""")"),"")</f>
        <v/>
      </c>
      <c r="L130" s="51">
        <f t="shared" si="1"/>
        <v>0.02197802198</v>
      </c>
      <c r="M130" s="52">
        <f>IFERROR((VLOOKUP($A130,'Dados StatusInvest'!$A:$AZ,COLUMN(M130)-$A$5,0)*VLOOKUP($A130,'Dados StatusInvest'!$A:$AZ,2,0)/$F130/100),0)</f>
        <v>0.290635914</v>
      </c>
      <c r="N130" s="53">
        <f>IFERROR((VLOOKUP($A130,'Dados StatusInvest'!$A:$AZ,COLUMN(N130)-$A$5,0)/VLOOKUP($A130,'Dados StatusInvest'!$A:$AZ,2,0)*$F130),"")</f>
        <v>19.02417332</v>
      </c>
      <c r="O130" s="53">
        <f>IFERROR((VLOOKUP($A130,'Dados StatusInvest'!$A:$AZ,COLUMN(O130)-$A$5,0)/VLOOKUP($A130,'Dados StatusInvest'!$A:$AZ,2,0)*$F130),0)</f>
        <v>16.7654504</v>
      </c>
      <c r="P130" s="54">
        <f>IFERROR((VLOOKUP($A130,'Dados StatusInvest'!$A:$AZ,COLUMN(P130)-$A$5,0)/VLOOKUP($A130,'Dados StatusInvest'!$A:$AZ,2,0)*$F130),0)</f>
        <v>17.62440137</v>
      </c>
      <c r="Q130" s="55">
        <f>IFERROR((VLOOKUP($A130,'Dados StatusInvest'!$A:$AZ,COLUMN(Q130)-$A$5,0)/100),0)</f>
        <v>0.0326</v>
      </c>
      <c r="R130" s="56">
        <f>VLOOKUP($A130,'Dados StatusInvest'!$A:$AZ,COLUMN(R130)-$A$5,0)</f>
        <v>0.84</v>
      </c>
      <c r="S130" s="56">
        <f>IFERROR((VLOOKUP($A130,'Dados StatusInvest'!$A:$AZ,COLUMN(S130)-$A$5,0)),0)</f>
        <v>4.87</v>
      </c>
      <c r="T130" s="53">
        <f>IFERROR((VLOOKUP($A130,'Dados StatusInvest'!$A:$AZ,COLUMN(T130)-$A$5,0)/VLOOKUP($A130,'Dados StatusInvest'!$A:$AZ,2,0)*$F130),0)</f>
        <v>85.17400228</v>
      </c>
      <c r="U130" s="53">
        <f>IFERROR((VLOOKUP($A130,'Dados StatusInvest'!$A:$AZ,COLUMN(U130)-$A$5,0)-VLOOKUP($A130,'Dados StatusInvest'!$A:$AZ,COLUMN(U130)-$A$5-1,0)+T130),0)</f>
        <v>2.704002281</v>
      </c>
      <c r="V130" s="56">
        <f>IFERROR((VLOOKUP($A130,'Dados StatusInvest'!$A:$AZ,COLUMN(V130)-$A$5,0)),0)</f>
        <v>1.13</v>
      </c>
      <c r="W130" s="56">
        <f>IFERROR((VLOOKUP($A130,'Dados StatusInvest'!$A:$AZ,COLUMN(W130)-$A$5,0)),0)</f>
        <v>14.98</v>
      </c>
      <c r="X130" s="53">
        <f>IFERROR((VLOOKUP($A130,'Dados StatusInvest'!$A:$AZ,COLUMN(X130)-$A$5,0)/VLOOKUP($A130,'Dados StatusInvest'!$A:$AZ,2,0)*$F130),0)</f>
        <v>6.850399088</v>
      </c>
      <c r="Y130" s="54">
        <f>IFERROR((VLOOKUP($A130,'Dados StatusInvest'!$A:$AZ,COLUMN(Y130)-$A$5,0)/VLOOKUP($A130,'Dados StatusInvest'!$A:$AZ,2,0)*$F130),0)</f>
        <v>11.17696693</v>
      </c>
      <c r="Z130" s="56">
        <f>IFERROR((VLOOKUP($A130,'Dados StatusInvest'!$A:$AZ,COLUMN(Z130)-$A$5,0)),0)</f>
        <v>0.43</v>
      </c>
      <c r="AA130" s="57">
        <f>IFERROR((VLOOKUP($A130,'Dados StatusInvest'!$A:$AZ,COLUMN(AA130)-$A$5,0)),0)</f>
        <v>0.57</v>
      </c>
      <c r="AB130" s="57">
        <f>IFERROR((VLOOKUP($A130,'Dados StatusInvest'!$A:$AZ,COLUMN(AB130)-$A$5,0)),0)</f>
        <v>0.36</v>
      </c>
      <c r="AC130" s="58">
        <f>IFERROR((VLOOKUP($A130,'Dados StatusInvest'!$A:$AZ,COLUMN(AC130)-$A$5,0)),0)</f>
        <v>11.65</v>
      </c>
      <c r="AD130" s="57">
        <f>IFERROR((VLOOKUP($A130,'Dados StatusInvest'!$A:$AZ,COLUMN(AD130)-$A$5,0)),0)</f>
        <v>26.37</v>
      </c>
      <c r="AE130" s="56">
        <f>IFERROR((VLOOKUP($A130,'Dados StatusInvest'!$A:$AZ,COLUMN(AE130)-$A$5,0)),0)</f>
        <v>0</v>
      </c>
      <c r="AF130" s="56">
        <f>IFERROR((VLOOKUP($A130,'Dados StatusInvest'!$A:$AZ,COLUMN(AF130)-$A$5,0)),0)</f>
        <v>2.16</v>
      </c>
      <c r="AG130" s="56">
        <f>IFERROR((VLOOKUP($A130,'Dados StatusInvest'!$A:$AZ,COLUMN(AG130)-$A$5,0)),0)</f>
        <v>0.32</v>
      </c>
      <c r="AH130" s="56">
        <f>IFERROR((VLOOKUP($A130,'Dados StatusInvest'!$A:$AZ,COLUMN(AH130)-$A$5,0)),0)</f>
        <v>0.25</v>
      </c>
      <c r="AI130" s="57">
        <f>IFERROR((VLOOKUP($A130,'Dados StatusInvest'!$A:$AZ,COLUMN(AI130)-$A$5,0)),0)</f>
        <v>8853637451</v>
      </c>
      <c r="AJ130" s="59" t="str">
        <f>IFERROR((VLOOKUP($A130,'Dados StatusInvest'!$A:$AZ,COLUMN(AJ130)-$A$5,0)),0)</f>
        <v/>
      </c>
      <c r="AK130" s="60" t="str">
        <f>IFERROR(__xludf.DUMMYFUNCTION("IFERROR(GOOGLEFINANCE($A130,""high""),"""")"),"")</f>
        <v/>
      </c>
      <c r="AL130" s="60" t="str">
        <f>IFERROR(__xludf.DUMMYFUNCTION("IFERROR(GOOGLEFINANCE($A130,""low""),"""")"),"")</f>
        <v/>
      </c>
      <c r="AM130" s="61">
        <f t="shared" si="2"/>
        <v>0</v>
      </c>
      <c r="AN130" s="62">
        <f>IFERROR(__xludf.DUMMYFUNCTION("IFERROR((GOOGLEFINANCE($A130,""volume"")),0)"),0.0)</f>
        <v>0</v>
      </c>
      <c r="AO130" s="60">
        <f>IFERROR(__xludf.DUMMYFUNCTION("IFERROR((GOOGLEFINANCE($A130,""closeyest"")),"""")"),8.38)</f>
        <v>8.38</v>
      </c>
      <c r="AP130" s="60">
        <f>IFERROR(__xludf.DUMMYFUNCTION("IFERROR((GOOGLEFINANCE($A130,""shares"")),"""")"),5.92975802E8)</f>
        <v>592975802</v>
      </c>
      <c r="AQ130" s="18"/>
    </row>
    <row r="131">
      <c r="A131" s="45" t="str">
        <f>'Dados StatusInvest'!A126:A745</f>
        <v>CASN4</v>
      </c>
      <c r="B131" s="46" t="str">
        <f>IFERROR(__xludf.DUMMYFUNCTION("IFERROR((GOOGLEFINANCE(A131,""name"")),"""")"),"Companhia Catarinense d Ags e Smnt CASAN Preference Shares")</f>
        <v>Companhia Catarinense d Ags e Smnt CASAN Preference Shares</v>
      </c>
      <c r="C131" s="46" t="str">
        <f>IFERROR((VLOOKUP(LEFT($A131,4),Setor!$A:$E,3,0)),"")</f>
        <v>Utilidade Pública</v>
      </c>
      <c r="D131" s="46" t="str">
        <f>IFERROR((VLOOKUP(LEFT($A131,4),Setor!$A:$E,4,0)),"")</f>
        <v>Água e Saneamento</v>
      </c>
      <c r="E131" s="46" t="str">
        <f>IFERROR((VLOOKUP(LEFT($A131,4),Setor!$A:$E,5,0)),"")</f>
        <v>Água e Saneamento</v>
      </c>
      <c r="F131" s="47">
        <f>IFERROR(__xludf.DUMMYFUNCTION("IFERROR((GOOGLEFINANCE(A131)),"""")"),0.0)</f>
        <v>0</v>
      </c>
      <c r="G131" s="48" t="str">
        <f>IFERROR(__xludf.DUMMYFUNCTION("IFERROR((sparkline(GOOGLEFINANCE($A131,""price"",TODAY()-30,TODAY(),""DAILY""),{""charttype"",""line"";""linewidth"",1;""color"",""#5f88cc""})),"""")"),"")</f>
        <v/>
      </c>
      <c r="H131" s="49" t="str">
        <f>IFERROR(__xludf.DUMMYFUNCTION("IFERROR((((GOOGLEFINANCE(A131))-(INDEX(GoogleFinance(A131,""PRICE"",$AQ$1),2,2)))/(INDEX(GoogleFinance(A131,""PRICE"",$AQ$1),2,2))),"""")"),"")</f>
        <v/>
      </c>
      <c r="I131" s="47">
        <f>IFERROR(__xludf.DUMMYFUNCTION("IFERROR((GOOGLEFINANCE($A131,""high52"")),"""")"),7.97)</f>
        <v>7.97</v>
      </c>
      <c r="J131" s="48" t="str">
        <f>IFERROR(__xludf.DUMMYFUNCTION("IFERROR((sparkline(GOOGLEFINANCE($A131,""price"",TODAY()-365,TODAY(),""DAILY""),{""charttype"",""line"";""linewidth"",1;""color"",""#5f88cc""})),"""")"),"")</f>
        <v/>
      </c>
      <c r="K131" s="50" t="str">
        <f>IFERROR(__xludf.DUMMYFUNCTION("IFERROR((((GOOGLEFINANCE(A131))-(INDEX(GoogleFinance(A131,""PRICE"",$AP$1),2,2)))/(INDEX(GoogleFinance(A131,""PRICE"",$AP$1),2,2))),"""")"),"")</f>
        <v/>
      </c>
      <c r="L131" s="51">
        <f t="shared" si="1"/>
        <v>-1</v>
      </c>
      <c r="M131" s="52">
        <f>IFERROR((VLOOKUP($A131,'Dados StatusInvest'!$A:$AZ,COLUMN(M131)-$A$5,0)*VLOOKUP($A131,'Dados StatusInvest'!$A:$AZ,2,0)/$F131/100),0)</f>
        <v>0</v>
      </c>
      <c r="N131" s="53">
        <f>IFERROR((VLOOKUP($A131,'Dados StatusInvest'!$A:$AZ,COLUMN(N131)-$A$5,0)/VLOOKUP($A131,'Dados StatusInvest'!$A:$AZ,2,0)*$F131),"")</f>
        <v>0</v>
      </c>
      <c r="O131" s="53">
        <f>IFERROR((VLOOKUP($A131,'Dados StatusInvest'!$A:$AZ,COLUMN(O131)-$A$5,0)/VLOOKUP($A131,'Dados StatusInvest'!$A:$AZ,2,0)*$F131),0)</f>
        <v>0</v>
      </c>
      <c r="P131" s="54">
        <f>IFERROR((VLOOKUP($A131,'Dados StatusInvest'!$A:$AZ,COLUMN(P131)-$A$5,0)/VLOOKUP($A131,'Dados StatusInvest'!$A:$AZ,2,0)*$F131),0)</f>
        <v>0</v>
      </c>
      <c r="Q131" s="55">
        <f>IFERROR((VLOOKUP($A131,'Dados StatusInvest'!$A:$AZ,COLUMN(Q131)-$A$5,0)/100),0)</f>
        <v>0.0326</v>
      </c>
      <c r="R131" s="56">
        <f>VLOOKUP($A131,'Dados StatusInvest'!$A:$AZ,COLUMN(R131)-$A$5,0)</f>
        <v>0.84</v>
      </c>
      <c r="S131" s="56">
        <f>IFERROR((VLOOKUP($A131,'Dados StatusInvest'!$A:$AZ,COLUMN(S131)-$A$5,0)),0)</f>
        <v>3.37</v>
      </c>
      <c r="T131" s="53">
        <f>IFERROR((VLOOKUP($A131,'Dados StatusInvest'!$A:$AZ,COLUMN(T131)-$A$5,0)/VLOOKUP($A131,'Dados StatusInvest'!$A:$AZ,2,0)*$F131),0)</f>
        <v>0</v>
      </c>
      <c r="U131" s="53">
        <f>IFERROR((VLOOKUP($A131,'Dados StatusInvest'!$A:$AZ,COLUMN(U131)-$A$5,0)-VLOOKUP($A131,'Dados StatusInvest'!$A:$AZ,COLUMN(U131)-$A$5-1,0)+T131),0)</f>
        <v>-57.08</v>
      </c>
      <c r="V131" s="56">
        <f>IFERROR((VLOOKUP($A131,'Dados StatusInvest'!$A:$AZ,COLUMN(V131)-$A$5,0)),0)</f>
        <v>1.13</v>
      </c>
      <c r="W131" s="56">
        <f>IFERROR((VLOOKUP($A131,'Dados StatusInvest'!$A:$AZ,COLUMN(W131)-$A$5,0)),0)</f>
        <v>14.98</v>
      </c>
      <c r="X131" s="53">
        <f>IFERROR((VLOOKUP($A131,'Dados StatusInvest'!$A:$AZ,COLUMN(X131)-$A$5,0)/VLOOKUP($A131,'Dados StatusInvest'!$A:$AZ,2,0)*$F131),0)</f>
        <v>0</v>
      </c>
      <c r="Y131" s="54">
        <f>IFERROR((VLOOKUP($A131,'Dados StatusInvest'!$A:$AZ,COLUMN(Y131)-$A$5,0)/VLOOKUP($A131,'Dados StatusInvest'!$A:$AZ,2,0)*$F131),0)</f>
        <v>0</v>
      </c>
      <c r="Z131" s="56">
        <f>IFERROR((VLOOKUP($A131,'Dados StatusInvest'!$A:$AZ,COLUMN(Z131)-$A$5,0)),0)</f>
        <v>0.43</v>
      </c>
      <c r="AA131" s="57">
        <f>IFERROR((VLOOKUP($A131,'Dados StatusInvest'!$A:$AZ,COLUMN(AA131)-$A$5,0)),0)</f>
        <v>0.57</v>
      </c>
      <c r="AB131" s="57">
        <f>IFERROR((VLOOKUP($A131,'Dados StatusInvest'!$A:$AZ,COLUMN(AB131)-$A$5,0)),0)</f>
        <v>0.36</v>
      </c>
      <c r="AC131" s="58">
        <f>IFERROR((VLOOKUP($A131,'Dados StatusInvest'!$A:$AZ,COLUMN(AC131)-$A$5,0)),0)</f>
        <v>11.65</v>
      </c>
      <c r="AD131" s="57">
        <f>IFERROR((VLOOKUP($A131,'Dados StatusInvest'!$A:$AZ,COLUMN(AD131)-$A$5,0)),0)</f>
        <v>26.37</v>
      </c>
      <c r="AE131" s="56">
        <f>IFERROR((VLOOKUP($A131,'Dados StatusInvest'!$A:$AZ,COLUMN(AE131)-$A$5,0)),0)</f>
        <v>0</v>
      </c>
      <c r="AF131" s="56">
        <f>IFERROR((VLOOKUP($A131,'Dados StatusInvest'!$A:$AZ,COLUMN(AF131)-$A$5,0)),0)</f>
        <v>2.16</v>
      </c>
      <c r="AG131" s="56">
        <f>IFERROR((VLOOKUP($A131,'Dados StatusInvest'!$A:$AZ,COLUMN(AG131)-$A$5,0)),0)</f>
        <v>0.32</v>
      </c>
      <c r="AH131" s="56">
        <f>IFERROR((VLOOKUP($A131,'Dados StatusInvest'!$A:$AZ,COLUMN(AH131)-$A$5,0)),0)</f>
        <v>0.17</v>
      </c>
      <c r="AI131" s="57">
        <f>IFERROR((VLOOKUP($A131,'Dados StatusInvest'!$A:$AZ,COLUMN(AI131)-$A$5,0)),0)</f>
        <v>8853637451</v>
      </c>
      <c r="AJ131" s="59" t="str">
        <f>IFERROR((VLOOKUP($A131,'Dados StatusInvest'!$A:$AZ,COLUMN(AJ131)-$A$5,0)),0)</f>
        <v/>
      </c>
      <c r="AK131" s="60" t="str">
        <f>IFERROR(__xludf.DUMMYFUNCTION("IFERROR(GOOGLEFINANCE($A131,""high""),"""")"),"")</f>
        <v/>
      </c>
      <c r="AL131" s="60" t="str">
        <f>IFERROR(__xludf.DUMMYFUNCTION("IFERROR(GOOGLEFINANCE($A131,""low""),"""")"),"")</f>
        <v/>
      </c>
      <c r="AM131" s="61">
        <f t="shared" si="2"/>
        <v>0</v>
      </c>
      <c r="AN131" s="62">
        <f>IFERROR(__xludf.DUMMYFUNCTION("IFERROR((GOOGLEFINANCE($A131,""volume"")),0)"),0.0)</f>
        <v>0</v>
      </c>
      <c r="AO131" s="60">
        <f>IFERROR(__xludf.DUMMYFUNCTION("IFERROR((GOOGLEFINANCE($A131,""closeyest"")),"""")"),5.76)</f>
        <v>5.76</v>
      </c>
      <c r="AP131" s="60">
        <f>IFERROR(__xludf.DUMMYFUNCTION("IFERROR((GOOGLEFINANCE($A131,""shares"")),"""")"),6.01851675E8)</f>
        <v>601851675</v>
      </c>
      <c r="AQ131" s="18"/>
    </row>
    <row r="132">
      <c r="A132" s="45" t="str">
        <f>'Dados StatusInvest'!A127:A746</f>
        <v>CATA3</v>
      </c>
      <c r="B132" s="46" t="str">
        <f>IFERROR(__xludf.DUMMYFUNCTION("IFERROR((GOOGLEFINANCE(A132,""name"")),"""")"),"Companhia Industrial Cataguases")</f>
        <v>Companhia Industrial Cataguases</v>
      </c>
      <c r="C132" s="46" t="str">
        <f>IFERROR((VLOOKUP(LEFT($A132,4),Setor!$A:$E,3,0)),"")</f>
        <v>Consumo Cíclico</v>
      </c>
      <c r="D132" s="46" t="str">
        <f>IFERROR((VLOOKUP(LEFT($A132,4),Setor!$A:$E,4,0)),"")</f>
        <v>Tecidos, Vestuário e Calçados</v>
      </c>
      <c r="E132" s="46" t="str">
        <f>IFERROR((VLOOKUP(LEFT($A132,4),Setor!$A:$E,5,0)),"")</f>
        <v>Fios e Tecidos</v>
      </c>
      <c r="F132" s="47">
        <f>IFERROR(__xludf.DUMMYFUNCTION("IFERROR((GOOGLEFINANCE(A132)),"""")"),0.0)</f>
        <v>0</v>
      </c>
      <c r="G132" s="48" t="str">
        <f>IFERROR(__xludf.DUMMYFUNCTION("IFERROR((sparkline(GOOGLEFINANCE($A132,""price"",TODAY()-30,TODAY(),""DAILY""),{""charttype"",""line"";""linewidth"",1;""color"",""#5f88cc""})),"""")"),"")</f>
        <v/>
      </c>
      <c r="H132" s="49" t="str">
        <f>IFERROR(__xludf.DUMMYFUNCTION("IFERROR((((GOOGLEFINANCE(A132))-(INDEX(GoogleFinance(A132,""PRICE"",$AQ$1),2,2)))/(INDEX(GoogleFinance(A132,""PRICE"",$AQ$1),2,2))),"""")"),"")</f>
        <v/>
      </c>
      <c r="I132" s="47" t="str">
        <f>IFERROR(__xludf.DUMMYFUNCTION("IFERROR((GOOGLEFINANCE($A132,""high52"")),"""")"),"")</f>
        <v/>
      </c>
      <c r="J132" s="48" t="str">
        <f>IFERROR(__xludf.DUMMYFUNCTION("IFERROR((sparkline(GOOGLEFINANCE($A132,""price"",TODAY()-365,TODAY(),""DAILY""),{""charttype"",""line"";""linewidth"",1;""color"",""#5f88cc""})),"""")"),"")</f>
        <v/>
      </c>
      <c r="K132" s="50" t="str">
        <f>IFERROR(__xludf.DUMMYFUNCTION("IFERROR((((GOOGLEFINANCE(A132))-(INDEX(GoogleFinance(A132,""PRICE"",$AP$1),2,2)))/(INDEX(GoogleFinance(A132,""PRICE"",$AP$1),2,2))),"""")"),"")</f>
        <v/>
      </c>
      <c r="L132" s="51">
        <f t="shared" si="1"/>
        <v>0</v>
      </c>
      <c r="M132" s="52">
        <f>IFERROR((VLOOKUP($A132,'Dados StatusInvest'!$A:$AZ,COLUMN(M132)-$A$5,0)*VLOOKUP($A132,'Dados StatusInvest'!$A:$AZ,2,0)/$F132/100),0)</f>
        <v>0</v>
      </c>
      <c r="N132" s="53">
        <f>IFERROR((VLOOKUP($A132,'Dados StatusInvest'!$A:$AZ,COLUMN(N132)-$A$5,0)/VLOOKUP($A132,'Dados StatusInvest'!$A:$AZ,2,0)*$F132),"")</f>
        <v>0</v>
      </c>
      <c r="O132" s="53">
        <f>IFERROR((VLOOKUP($A132,'Dados StatusInvest'!$A:$AZ,COLUMN(O132)-$A$5,0)/VLOOKUP($A132,'Dados StatusInvest'!$A:$AZ,2,0)*$F132),0)</f>
        <v>0</v>
      </c>
      <c r="P132" s="54">
        <f>IFERROR((VLOOKUP($A132,'Dados StatusInvest'!$A:$AZ,COLUMN(P132)-$A$5,0)/VLOOKUP($A132,'Dados StatusInvest'!$A:$AZ,2,0)*$F132),0)</f>
        <v>0</v>
      </c>
      <c r="Q132" s="55">
        <f>IFERROR((VLOOKUP($A132,'Dados StatusInvest'!$A:$AZ,COLUMN(Q132)-$A$5,0)/100),0)</f>
        <v>0.0345</v>
      </c>
      <c r="R132" s="56">
        <f>VLOOKUP($A132,'Dados StatusInvest'!$A:$AZ,COLUMN(R132)-$A$5,0)</f>
        <v>0.39</v>
      </c>
      <c r="S132" s="56">
        <f>IFERROR((VLOOKUP($A132,'Dados StatusInvest'!$A:$AZ,COLUMN(S132)-$A$5,0)),0)</f>
        <v>0.05</v>
      </c>
      <c r="T132" s="53">
        <f>IFERROR((VLOOKUP($A132,'Dados StatusInvest'!$A:$AZ,COLUMN(T132)-$A$5,0)/VLOOKUP($A132,'Dados StatusInvest'!$A:$AZ,2,0)*$F132),0)</f>
        <v>0</v>
      </c>
      <c r="U132" s="53">
        <f>IFERROR((VLOOKUP($A132,'Dados StatusInvest'!$A:$AZ,COLUMN(U132)-$A$5,0)-VLOOKUP($A132,'Dados StatusInvest'!$A:$AZ,COLUMN(U132)-$A$5-1,0)+T132),0)</f>
        <v>-0.22</v>
      </c>
      <c r="V132" s="56">
        <f>IFERROR((VLOOKUP($A132,'Dados StatusInvest'!$A:$AZ,COLUMN(V132)-$A$5,0)),0)</f>
        <v>1.78</v>
      </c>
      <c r="W132" s="56">
        <f>IFERROR((VLOOKUP($A132,'Dados StatusInvest'!$A:$AZ,COLUMN(W132)-$A$5,0)),0)</f>
        <v>8.89</v>
      </c>
      <c r="X132" s="53">
        <f>IFERROR((VLOOKUP($A132,'Dados StatusInvest'!$A:$AZ,COLUMN(X132)-$A$5,0)/VLOOKUP($A132,'Dados StatusInvest'!$A:$AZ,2,0)*$F132),0)</f>
        <v>0</v>
      </c>
      <c r="Y132" s="54">
        <f>IFERROR((VLOOKUP($A132,'Dados StatusInvest'!$A:$AZ,COLUMN(Y132)-$A$5,0)/VLOOKUP($A132,'Dados StatusInvest'!$A:$AZ,2,0)*$F132),0)</f>
        <v>0</v>
      </c>
      <c r="Z132" s="56">
        <f>IFERROR((VLOOKUP($A132,'Dados StatusInvest'!$A:$AZ,COLUMN(Z132)-$A$5,0)),0)</f>
        <v>0.47</v>
      </c>
      <c r="AA132" s="57">
        <f>IFERROR((VLOOKUP($A132,'Dados StatusInvest'!$A:$AZ,COLUMN(AA132)-$A$5,0)),0)</f>
        <v>0.53</v>
      </c>
      <c r="AB132" s="57">
        <f>IFERROR((VLOOKUP($A132,'Dados StatusInvest'!$A:$AZ,COLUMN(AB132)-$A$5,0)),0)</f>
        <v>0.73</v>
      </c>
      <c r="AC132" s="58">
        <f>IFERROR((VLOOKUP($A132,'Dados StatusInvest'!$A:$AZ,COLUMN(AC132)-$A$5,0)),0)</f>
        <v>12.29</v>
      </c>
      <c r="AD132" s="57">
        <f>IFERROR((VLOOKUP($A132,'Dados StatusInvest'!$A:$AZ,COLUMN(AD132)-$A$5,0)),0)</f>
        <v>20.24</v>
      </c>
      <c r="AE132" s="56">
        <f>IFERROR((VLOOKUP($A132,'Dados StatusInvest'!$A:$AZ,COLUMN(AE132)-$A$5,0)),0)</f>
        <v>0</v>
      </c>
      <c r="AF132" s="56">
        <f>IFERROR((VLOOKUP($A132,'Dados StatusInvest'!$A:$AZ,COLUMN(AF132)-$A$5,0)),0)</f>
        <v>1418.62</v>
      </c>
      <c r="AG132" s="56">
        <f>IFERROR((VLOOKUP($A132,'Dados StatusInvest'!$A:$AZ,COLUMN(AG132)-$A$5,0)),0)</f>
        <v>126.09</v>
      </c>
      <c r="AH132" s="56">
        <f>IFERROR((VLOOKUP($A132,'Dados StatusInvest'!$A:$AZ,COLUMN(AH132)-$A$5,0)),0)</f>
        <v>-0.05</v>
      </c>
      <c r="AI132" s="57">
        <f>IFERROR((VLOOKUP($A132,'Dados StatusInvest'!$A:$AZ,COLUMN(AI132)-$A$5,0)),0)</f>
        <v>14940354.78</v>
      </c>
      <c r="AJ132" s="59" t="str">
        <f>IFERROR((VLOOKUP($A132,'Dados StatusInvest'!$A:$AZ,COLUMN(AJ132)-$A$5,0)),0)</f>
        <v/>
      </c>
      <c r="AK132" s="60" t="str">
        <f>IFERROR(__xludf.DUMMYFUNCTION("IFERROR(GOOGLEFINANCE($A132,""high""),"""")"),"")</f>
        <v/>
      </c>
      <c r="AL132" s="60" t="str">
        <f>IFERROR(__xludf.DUMMYFUNCTION("IFERROR(GOOGLEFINANCE($A132,""low""),"""")"),"")</f>
        <v/>
      </c>
      <c r="AM132" s="61">
        <f t="shared" si="2"/>
        <v>0</v>
      </c>
      <c r="AN132" s="62">
        <f>IFERROR(__xludf.DUMMYFUNCTION("IFERROR((GOOGLEFINANCE($A132,""volume"")),0)"),0.0)</f>
        <v>0</v>
      </c>
      <c r="AO132" s="60" t="str">
        <f>IFERROR(__xludf.DUMMYFUNCTION("IFERROR((GOOGLEFINANCE($A132,""closeyest"")),"""")"),"")</f>
        <v/>
      </c>
      <c r="AP132" s="60" t="str">
        <f>IFERROR(__xludf.DUMMYFUNCTION("IFERROR((GOOGLEFINANCE($A132,""shares"")),"""")"),"")</f>
        <v/>
      </c>
      <c r="AQ132" s="18"/>
    </row>
    <row r="133">
      <c r="A133" s="45" t="str">
        <f>'Dados StatusInvest'!A128:A747</f>
        <v>CATA4</v>
      </c>
      <c r="B133" s="46" t="str">
        <f>IFERROR(__xludf.DUMMYFUNCTION("IFERROR((GOOGLEFINANCE(A133,""name"")),"""")"),"Companhia Industrial Cataguases Preference Shares")</f>
        <v>Companhia Industrial Cataguases Preference Shares</v>
      </c>
      <c r="C133" s="46" t="str">
        <f>IFERROR((VLOOKUP(LEFT($A133,4),Setor!$A:$E,3,0)),"")</f>
        <v>Consumo Cíclico</v>
      </c>
      <c r="D133" s="46" t="str">
        <f>IFERROR((VLOOKUP(LEFT($A133,4),Setor!$A:$E,4,0)),"")</f>
        <v>Tecidos, Vestuário e Calçados</v>
      </c>
      <c r="E133" s="46" t="str">
        <f>IFERROR((VLOOKUP(LEFT($A133,4),Setor!$A:$E,5,0)),"")</f>
        <v>Fios e Tecidos</v>
      </c>
      <c r="F133" s="47">
        <f>IFERROR(__xludf.DUMMYFUNCTION("IFERROR((GOOGLEFINANCE(A133)),"""")"),0.0)</f>
        <v>0</v>
      </c>
      <c r="G133" s="48" t="str">
        <f>IFERROR(__xludf.DUMMYFUNCTION("IFERROR((sparkline(GOOGLEFINANCE($A133,""price"",TODAY()-30,TODAY(),""DAILY""),{""charttype"",""line"";""linewidth"",1;""color"",""#5f88cc""})),"""")"),"")</f>
        <v/>
      </c>
      <c r="H133" s="49" t="str">
        <f>IFERROR(__xludf.DUMMYFUNCTION("IFERROR((((GOOGLEFINANCE(A133))-(INDEX(GoogleFinance(A133,""PRICE"",$AQ$1),2,2)))/(INDEX(GoogleFinance(A133,""PRICE"",$AQ$1),2,2))),"""")"),"")</f>
        <v/>
      </c>
      <c r="I133" s="47" t="str">
        <f>IFERROR(__xludf.DUMMYFUNCTION("IFERROR((GOOGLEFINANCE($A133,""high52"")),"""")"),"")</f>
        <v/>
      </c>
      <c r="J133" s="48" t="str">
        <f>IFERROR(__xludf.DUMMYFUNCTION("IFERROR((sparkline(GOOGLEFINANCE($A133,""price"",TODAY()-365,TODAY(),""DAILY""),{""charttype"",""line"";""linewidth"",1;""color"",""#5f88cc""})),"""")"),"")</f>
        <v/>
      </c>
      <c r="K133" s="50" t="str">
        <f>IFERROR(__xludf.DUMMYFUNCTION("IFERROR((((GOOGLEFINANCE(A133))-(INDEX(GoogleFinance(A133,""PRICE"",$AP$1),2,2)))/(INDEX(GoogleFinance(A133,""PRICE"",$AP$1),2,2))),"""")"),"")</f>
        <v/>
      </c>
      <c r="L133" s="51">
        <f t="shared" si="1"/>
        <v>0</v>
      </c>
      <c r="M133" s="52">
        <f>IFERROR((VLOOKUP($A133,'Dados StatusInvest'!$A:$AZ,COLUMN(M133)-$A$5,0)*VLOOKUP($A133,'Dados StatusInvest'!$A:$AZ,2,0)/$F133/100),0)</f>
        <v>0</v>
      </c>
      <c r="N133" s="53" t="str">
        <f>IFERROR((VLOOKUP($A133,'Dados StatusInvest'!$A:$AZ,COLUMN(N133)-$A$5,0)/VLOOKUP($A133,'Dados StatusInvest'!$A:$AZ,2,0)*$F133),"")</f>
        <v/>
      </c>
      <c r="O133" s="53">
        <f>IFERROR((VLOOKUP($A133,'Dados StatusInvest'!$A:$AZ,COLUMN(O133)-$A$5,0)/VLOOKUP($A133,'Dados StatusInvest'!$A:$AZ,2,0)*$F133),0)</f>
        <v>0</v>
      </c>
      <c r="P133" s="54">
        <f>IFERROR((VLOOKUP($A133,'Dados StatusInvest'!$A:$AZ,COLUMN(P133)-$A$5,0)/VLOOKUP($A133,'Dados StatusInvest'!$A:$AZ,2,0)*$F133),0)</f>
        <v>0</v>
      </c>
      <c r="Q133" s="55">
        <f>IFERROR((VLOOKUP($A133,'Dados StatusInvest'!$A:$AZ,COLUMN(Q133)-$A$5,0)/100),0)</f>
        <v>0.0345</v>
      </c>
      <c r="R133" s="56">
        <f>VLOOKUP($A133,'Dados StatusInvest'!$A:$AZ,COLUMN(R133)-$A$5,0)</f>
        <v>0.39</v>
      </c>
      <c r="S133" s="56">
        <f>IFERROR((VLOOKUP($A133,'Dados StatusInvest'!$A:$AZ,COLUMN(S133)-$A$5,0)),0)</f>
        <v>0</v>
      </c>
      <c r="T133" s="53">
        <f>IFERROR((VLOOKUP($A133,'Dados StatusInvest'!$A:$AZ,COLUMN(T133)-$A$5,0)/VLOOKUP($A133,'Dados StatusInvest'!$A:$AZ,2,0)*$F133),0)</f>
        <v>0</v>
      </c>
      <c r="U133" s="53">
        <f>IFERROR((VLOOKUP($A133,'Dados StatusInvest'!$A:$AZ,COLUMN(U133)-$A$5,0)-VLOOKUP($A133,'Dados StatusInvest'!$A:$AZ,COLUMN(U133)-$A$5-1,0)+T133),0)</f>
        <v>0</v>
      </c>
      <c r="V133" s="56">
        <f>IFERROR((VLOOKUP($A133,'Dados StatusInvest'!$A:$AZ,COLUMN(V133)-$A$5,0)),0)</f>
        <v>1.78</v>
      </c>
      <c r="W133" s="56">
        <f>IFERROR((VLOOKUP($A133,'Dados StatusInvest'!$A:$AZ,COLUMN(W133)-$A$5,0)),0)</f>
        <v>8.89</v>
      </c>
      <c r="X133" s="53">
        <f>IFERROR((VLOOKUP($A133,'Dados StatusInvest'!$A:$AZ,COLUMN(X133)-$A$5,0)/VLOOKUP($A133,'Dados StatusInvest'!$A:$AZ,2,0)*$F133),0)</f>
        <v>0</v>
      </c>
      <c r="Y133" s="54">
        <f>IFERROR((VLOOKUP($A133,'Dados StatusInvest'!$A:$AZ,COLUMN(Y133)-$A$5,0)/VLOOKUP($A133,'Dados StatusInvest'!$A:$AZ,2,0)*$F133),0)</f>
        <v>0</v>
      </c>
      <c r="Z133" s="56">
        <f>IFERROR((VLOOKUP($A133,'Dados StatusInvest'!$A:$AZ,COLUMN(Z133)-$A$5,0)),0)</f>
        <v>0.47</v>
      </c>
      <c r="AA133" s="57">
        <f>IFERROR((VLOOKUP($A133,'Dados StatusInvest'!$A:$AZ,COLUMN(AA133)-$A$5,0)),0)</f>
        <v>0.53</v>
      </c>
      <c r="AB133" s="57">
        <f>IFERROR((VLOOKUP($A133,'Dados StatusInvest'!$A:$AZ,COLUMN(AB133)-$A$5,0)),0)</f>
        <v>0.73</v>
      </c>
      <c r="AC133" s="58">
        <f>IFERROR((VLOOKUP($A133,'Dados StatusInvest'!$A:$AZ,COLUMN(AC133)-$A$5,0)),0)</f>
        <v>12.29</v>
      </c>
      <c r="AD133" s="57">
        <f>IFERROR((VLOOKUP($A133,'Dados StatusInvest'!$A:$AZ,COLUMN(AD133)-$A$5,0)),0)</f>
        <v>20.24</v>
      </c>
      <c r="AE133" s="56">
        <f>IFERROR((VLOOKUP($A133,'Dados StatusInvest'!$A:$AZ,COLUMN(AE133)-$A$5,0)),0)</f>
        <v>0</v>
      </c>
      <c r="AF133" s="56">
        <f>IFERROR((VLOOKUP($A133,'Dados StatusInvest'!$A:$AZ,COLUMN(AF133)-$A$5,0)),0)</f>
        <v>1418.62</v>
      </c>
      <c r="AG133" s="56">
        <f>IFERROR((VLOOKUP($A133,'Dados StatusInvest'!$A:$AZ,COLUMN(AG133)-$A$5,0)),0)</f>
        <v>126.09</v>
      </c>
      <c r="AH133" s="56">
        <f>IFERROR((VLOOKUP($A133,'Dados StatusInvest'!$A:$AZ,COLUMN(AH133)-$A$5,0)),0)</f>
        <v>0</v>
      </c>
      <c r="AI133" s="57">
        <f>IFERROR((VLOOKUP($A133,'Dados StatusInvest'!$A:$AZ,COLUMN(AI133)-$A$5,0)),0)</f>
        <v>14940354.78</v>
      </c>
      <c r="AJ133" s="59" t="str">
        <f>IFERROR((VLOOKUP($A133,'Dados StatusInvest'!$A:$AZ,COLUMN(AJ133)-$A$5,0)),0)</f>
        <v/>
      </c>
      <c r="AK133" s="60" t="str">
        <f>IFERROR(__xludf.DUMMYFUNCTION("IFERROR(GOOGLEFINANCE($A133,""high""),"""")"),"")</f>
        <v/>
      </c>
      <c r="AL133" s="60" t="str">
        <f>IFERROR(__xludf.DUMMYFUNCTION("IFERROR(GOOGLEFINANCE($A133,""low""),"""")"),"")</f>
        <v/>
      </c>
      <c r="AM133" s="61">
        <f t="shared" si="2"/>
        <v>0</v>
      </c>
      <c r="AN133" s="62">
        <f>IFERROR(__xludf.DUMMYFUNCTION("IFERROR((GOOGLEFINANCE($A133,""volume"")),0)"),0.0)</f>
        <v>0</v>
      </c>
      <c r="AO133" s="60" t="str">
        <f>IFERROR(__xludf.DUMMYFUNCTION("IFERROR((GOOGLEFINANCE($A133,""closeyest"")),"""")"),"")</f>
        <v/>
      </c>
      <c r="AP133" s="60">
        <f>IFERROR(__xludf.DUMMYFUNCTION("IFERROR((GOOGLEFINANCE($A133,""shares"")),"""")"),1109.0)</f>
        <v>1109</v>
      </c>
      <c r="AQ133" s="18"/>
    </row>
    <row r="134">
      <c r="A134" s="45" t="str">
        <f>'Dados StatusInvest'!A129:A748</f>
        <v>CBAV3</v>
      </c>
      <c r="B134" s="46" t="str">
        <f>IFERROR(__xludf.DUMMYFUNCTION("IFERROR((GOOGLEFINANCE(A134,""name"")),"""")"),"Companhia Brasileira de Aluminio")</f>
        <v>Companhia Brasileira de Aluminio</v>
      </c>
      <c r="C134" s="46" t="str">
        <f>IFERROR((VLOOKUP(LEFT($A134,4),Setor!$A:$E,3,0)),"")</f>
        <v/>
      </c>
      <c r="D134" s="46" t="str">
        <f>IFERROR((VLOOKUP(LEFT($A134,4),Setor!$A:$E,4,0)),"")</f>
        <v/>
      </c>
      <c r="E134" s="46" t="str">
        <f>IFERROR((VLOOKUP(LEFT($A134,4),Setor!$A:$E,5,0)),"")</f>
        <v/>
      </c>
      <c r="F134" s="47">
        <f>IFERROR(__xludf.DUMMYFUNCTION("IFERROR((GOOGLEFINANCE(A134)),"""")"),10.17)</f>
        <v>10.17</v>
      </c>
      <c r="G134" s="48" t="str">
        <f>IFERROR(__xludf.DUMMYFUNCTION("IFERROR((sparkline(GOOGLEFINANCE($A134,""price"",TODAY()-30,TODAY(),""DAILY""),{""charttype"",""line"";""linewidth"",1;""color"",""#5f88cc""})),"""")"),"")</f>
        <v/>
      </c>
      <c r="H134" s="49">
        <f>IFERROR(__xludf.DUMMYFUNCTION("IFERROR((((GOOGLEFINANCE(A134))-(INDEX(GoogleFinance(A134,""PRICE"",$AQ$1),2,2)))/(INDEX(GoogleFinance(A134,""PRICE"",$AQ$1),2,2))),"""")"),0.12375690607734798)</f>
        <v>0.1237569061</v>
      </c>
      <c r="I134" s="47">
        <f>IFERROR(__xludf.DUMMYFUNCTION("IFERROR((GOOGLEFINANCE($A134,""high52"")),"""")"),10.54)</f>
        <v>10.54</v>
      </c>
      <c r="J134" s="48" t="str">
        <f>IFERROR(__xludf.DUMMYFUNCTION("IFERROR((sparkline(GOOGLEFINANCE($A134,""price"",TODAY()-365,TODAY(),""DAILY""),{""charttype"",""line"";""linewidth"",1;""color"",""#5f88cc""})),"""")"),"")</f>
        <v/>
      </c>
      <c r="K134" s="50">
        <f>IFERROR(__xludf.DUMMYFUNCTION("IFERROR((((GOOGLEFINANCE(A134))-(INDEX(GoogleFinance(A134,""PRICE"",$AP$1),2,2)))/(INDEX(GoogleFinance(A134,""PRICE"",$AP$1),2,2))),"""")"),0.6672131147540984)</f>
        <v>0.6672131148</v>
      </c>
      <c r="L134" s="51">
        <f t="shared" si="1"/>
        <v>-0.03510436433</v>
      </c>
      <c r="M134" s="52">
        <f>IFERROR((VLOOKUP($A134,'Dados StatusInvest'!$A:$AZ,COLUMN(M134)-$A$5,0)*VLOOKUP($A134,'Dados StatusInvest'!$A:$AZ,2,0)/$F134/100),0)</f>
        <v>0.09347492625</v>
      </c>
      <c r="N134" s="53">
        <f>IFERROR((VLOOKUP($A134,'Dados StatusInvest'!$A:$AZ,COLUMN(N134)-$A$5,0)/VLOOKUP($A134,'Dados StatusInvest'!$A:$AZ,2,0)*$F134),"")</f>
        <v>2.632235294</v>
      </c>
      <c r="O134" s="53">
        <f>IFERROR((VLOOKUP($A134,'Dados StatusInvest'!$A:$AZ,COLUMN(O134)-$A$5,0)/VLOOKUP($A134,'Dados StatusInvest'!$A:$AZ,2,0)*$F134),0)</f>
        <v>8.006382353</v>
      </c>
      <c r="P134" s="54">
        <f>IFERROR((VLOOKUP($A134,'Dados StatusInvest'!$A:$AZ,COLUMN(P134)-$A$5,0)/VLOOKUP($A134,'Dados StatusInvest'!$A:$AZ,2,0)*$F134),0)</f>
        <v>11.81514706</v>
      </c>
      <c r="Q134" s="55">
        <f>IFERROR((VLOOKUP($A134,'Dados StatusInvest'!$A:$AZ,COLUMN(Q134)-$A$5,0)/100),0)</f>
        <v>0.0383</v>
      </c>
      <c r="R134" s="56">
        <f>VLOOKUP($A134,'Dados StatusInvest'!$A:$AZ,COLUMN(R134)-$A$5,0)</f>
        <v>0.7</v>
      </c>
      <c r="S134" s="56">
        <f>IFERROR((VLOOKUP($A134,'Dados StatusInvest'!$A:$AZ,COLUMN(S134)-$A$5,0)),0)</f>
        <v>0.75</v>
      </c>
      <c r="T134" s="53">
        <f>IFERROR((VLOOKUP($A134,'Dados StatusInvest'!$A:$AZ,COLUMN(T134)-$A$5,0)/VLOOKUP($A134,'Dados StatusInvest'!$A:$AZ,2,0)*$F134),0)</f>
        <v>2.851588235</v>
      </c>
      <c r="U134" s="53">
        <f>IFERROR((VLOOKUP($A134,'Dados StatusInvest'!$A:$AZ,COLUMN(U134)-$A$5,0)-VLOOKUP($A134,'Dados StatusInvest'!$A:$AZ,COLUMN(U134)-$A$5-1,0)+T134),0)</f>
        <v>-0.7284117647</v>
      </c>
      <c r="V134" s="56">
        <f>IFERROR((VLOOKUP($A134,'Dados StatusInvest'!$A:$AZ,COLUMN(V134)-$A$5,0)),0)</f>
        <v>2.01</v>
      </c>
      <c r="W134" s="56">
        <f>IFERROR((VLOOKUP($A134,'Dados StatusInvest'!$A:$AZ,COLUMN(W134)-$A$5,0)),0)</f>
        <v>5.18</v>
      </c>
      <c r="X134" s="53">
        <f>IFERROR((VLOOKUP($A134,'Dados StatusInvest'!$A:$AZ,COLUMN(X134)-$A$5,0)/VLOOKUP($A134,'Dados StatusInvest'!$A:$AZ,2,0)*$F134),0)</f>
        <v>1.685029412</v>
      </c>
      <c r="Y134" s="54">
        <f>IFERROR((VLOOKUP($A134,'Dados StatusInvest'!$A:$AZ,COLUMN(Y134)-$A$5,0)/VLOOKUP($A134,'Dados StatusInvest'!$A:$AZ,2,0)*$F134),0)</f>
        <v>6.899647059</v>
      </c>
      <c r="Z134" s="56">
        <f>IFERROR((VLOOKUP($A134,'Dados StatusInvest'!$A:$AZ,COLUMN(Z134)-$A$5,0)),0)</f>
        <v>0.33</v>
      </c>
      <c r="AA134" s="57">
        <f>IFERROR((VLOOKUP($A134,'Dados StatusInvest'!$A:$AZ,COLUMN(AA134)-$A$5,0)),0)</f>
        <v>0.66</v>
      </c>
      <c r="AB134" s="57">
        <f>IFERROR((VLOOKUP($A134,'Dados StatusInvest'!$A:$AZ,COLUMN(AB134)-$A$5,0)),0)</f>
        <v>0.64</v>
      </c>
      <c r="AC134" s="58">
        <f>IFERROR((VLOOKUP($A134,'Dados StatusInvest'!$A:$AZ,COLUMN(AC134)-$A$5,0)),0)</f>
        <v>9.2</v>
      </c>
      <c r="AD134" s="57">
        <f>IFERROR((VLOOKUP($A134,'Dados StatusInvest'!$A:$AZ,COLUMN(AD134)-$A$5,0)),0)</f>
        <v>0</v>
      </c>
      <c r="AE134" s="56">
        <f>IFERROR((VLOOKUP($A134,'Dados StatusInvest'!$A:$AZ,COLUMN(AE134)-$A$5,0)),0)</f>
        <v>107000000</v>
      </c>
      <c r="AF134" s="56">
        <f>IFERROR((VLOOKUP($A134,'Dados StatusInvest'!$A:$AZ,COLUMN(AF134)-$A$5,0)),0)</f>
        <v>6.95</v>
      </c>
      <c r="AG134" s="56">
        <f>IFERROR((VLOOKUP($A134,'Dados StatusInvest'!$A:$AZ,COLUMN(AG134)-$A$5,0)),0)</f>
        <v>0.36</v>
      </c>
      <c r="AH134" s="56">
        <f>IFERROR((VLOOKUP($A134,'Dados StatusInvest'!$A:$AZ,COLUMN(AH134)-$A$5,0)),0)</f>
        <v>-0.21</v>
      </c>
      <c r="AI134" s="57">
        <f>IFERROR((VLOOKUP($A134,'Dados StatusInvest'!$A:$AZ,COLUMN(AI134)-$A$5,0)),0)</f>
        <v>6640941509</v>
      </c>
      <c r="AJ134" s="59" t="str">
        <f>IFERROR((VLOOKUP($A134,'Dados StatusInvest'!$A:$AZ,COLUMN(AJ134)-$A$5,0)),0)</f>
        <v/>
      </c>
      <c r="AK134" s="60">
        <f>IFERROR(__xludf.DUMMYFUNCTION("IFERROR(GOOGLEFINANCE($A134,""high""),"""")"),10.2)</f>
        <v>10.2</v>
      </c>
      <c r="AL134" s="60">
        <f>IFERROR(__xludf.DUMMYFUNCTION("IFERROR(GOOGLEFINANCE($A134,""low""),"""")"),10.17)</f>
        <v>10.17</v>
      </c>
      <c r="AM134" s="61">
        <f t="shared" si="2"/>
        <v>0.002949852507</v>
      </c>
      <c r="AN134" s="62">
        <f>IFERROR(__xludf.DUMMYFUNCTION("IFERROR((GOOGLEFINANCE($A134,""volume"")),0)"),498600.0)</f>
        <v>498600</v>
      </c>
      <c r="AO134" s="60">
        <f>IFERROR(__xludf.DUMMYFUNCTION("IFERROR((GOOGLEFINANCE($A134,""closeyest"")),"""")"),10.2)</f>
        <v>10.2</v>
      </c>
      <c r="AP134" s="60">
        <f>IFERROR(__xludf.DUMMYFUNCTION("IFERROR((GOOGLEFINANCE($A134,""shares"")),"""")"),6.51072697E8)</f>
        <v>651072697</v>
      </c>
      <c r="AQ134" s="18"/>
    </row>
    <row r="135">
      <c r="A135" s="45" t="str">
        <f>'Dados StatusInvest'!A130:A749</f>
        <v>CBEE3</v>
      </c>
      <c r="B135" s="46" t="str">
        <f>IFERROR(__xludf.DUMMYFUNCTION("IFERROR((GOOGLEFINANCE(A135,""name"")),"""")"),"Ampla Energia e Servicos SA")</f>
        <v>Ampla Energia e Servicos SA</v>
      </c>
      <c r="C135" s="46" t="str">
        <f>IFERROR((VLOOKUP(LEFT($A135,4),Setor!$A:$E,3,0)),"")</f>
        <v>Utilidade Pública</v>
      </c>
      <c r="D135" s="46" t="str">
        <f>IFERROR((VLOOKUP(LEFT($A135,4),Setor!$A:$E,4,0)),"")</f>
        <v>Energia Elétrica</v>
      </c>
      <c r="E135" s="46" t="str">
        <f>IFERROR((VLOOKUP(LEFT($A135,4),Setor!$A:$E,5,0)),"")</f>
        <v>Energia Elétrica</v>
      </c>
      <c r="F135" s="47">
        <f>IFERROR(__xludf.DUMMYFUNCTION("IFERROR((GOOGLEFINANCE(A135)),"""")"),10.0)</f>
        <v>10</v>
      </c>
      <c r="G135" s="48" t="str">
        <f>IFERROR(__xludf.DUMMYFUNCTION("IFERROR((sparkline(GOOGLEFINANCE($A135,""price"",TODAY()-30,TODAY(),""DAILY""),{""charttype"",""line"";""linewidth"",1;""color"",""#5f88cc""})),"""")"),"")</f>
        <v/>
      </c>
      <c r="H135" s="49">
        <f>IFERROR(__xludf.DUMMYFUNCTION("IFERROR((((GOOGLEFINANCE(A135))-(INDEX(GoogleFinance(A135,""PRICE"",$AQ$1),2,2)))/(INDEX(GoogleFinance(A135,""PRICE"",$AQ$1),2,2))),"""")"),-0.07321594068582013)</f>
        <v>-0.07321594069</v>
      </c>
      <c r="I135" s="47">
        <f>IFERROR(__xludf.DUMMYFUNCTION("IFERROR((GOOGLEFINANCE($A135,""high52"")),"""")"),14.83)</f>
        <v>14.83</v>
      </c>
      <c r="J135" s="48" t="str">
        <f>IFERROR(__xludf.DUMMYFUNCTION("IFERROR((sparkline(GOOGLEFINANCE($A135,""price"",TODAY()-365,TODAY(),""DAILY""),{""charttype"",""line"";""linewidth"",1;""color"",""#5f88cc""})),"""")"),"")</f>
        <v/>
      </c>
      <c r="K135" s="50" t="str">
        <f>IFERROR(__xludf.DUMMYFUNCTION("IFERROR((((GOOGLEFINANCE(A135))-(INDEX(GoogleFinance(A135,""PRICE"",$AP$1),2,2)))/(INDEX(GoogleFinance(A135,""PRICE"",$AP$1),2,2))),"""")"),"")</f>
        <v/>
      </c>
      <c r="L135" s="51">
        <f t="shared" si="1"/>
        <v>-0.3256911666</v>
      </c>
      <c r="M135" s="52">
        <f>IFERROR((VLOOKUP($A135,'Dados StatusInvest'!$A:$AZ,COLUMN(M135)-$A$5,0)*VLOOKUP($A135,'Dados StatusInvest'!$A:$AZ,2,0)/$F135/100),0)</f>
        <v>0.0803</v>
      </c>
      <c r="N135" s="53">
        <f>IFERROR((VLOOKUP($A135,'Dados StatusInvest'!$A:$AZ,COLUMN(N135)-$A$5,0)/VLOOKUP($A135,'Dados StatusInvest'!$A:$AZ,2,0)*$F135),"")</f>
        <v>6.19</v>
      </c>
      <c r="O135" s="53">
        <f>IFERROR((VLOOKUP($A135,'Dados StatusInvest'!$A:$AZ,COLUMN(O135)-$A$5,0)/VLOOKUP($A135,'Dados StatusInvest'!$A:$AZ,2,0)*$F135),0)</f>
        <v>6.01</v>
      </c>
      <c r="P135" s="54">
        <f>IFERROR((VLOOKUP($A135,'Dados StatusInvest'!$A:$AZ,COLUMN(P135)-$A$5,0)/VLOOKUP($A135,'Dados StatusInvest'!$A:$AZ,2,0)*$F135),0)</f>
        <v>12.79</v>
      </c>
      <c r="Q135" s="55">
        <f>IFERROR((VLOOKUP($A135,'Dados StatusInvest'!$A:$AZ,COLUMN(Q135)-$A$5,0)/100),0)</f>
        <v>0.0678</v>
      </c>
      <c r="R135" s="56">
        <f>VLOOKUP($A135,'Dados StatusInvest'!$A:$AZ,COLUMN(R135)-$A$5,0)</f>
        <v>0.61</v>
      </c>
      <c r="S135" s="56">
        <f>IFERROR((VLOOKUP($A135,'Dados StatusInvest'!$A:$AZ,COLUMN(S135)-$A$5,0)),0)</f>
        <v>0.48</v>
      </c>
      <c r="T135" s="53">
        <f>IFERROR((VLOOKUP($A135,'Dados StatusInvest'!$A:$AZ,COLUMN(T135)-$A$5,0)/VLOOKUP($A135,'Dados StatusInvest'!$A:$AZ,2,0)*$F135),0)</f>
        <v>-1.19</v>
      </c>
      <c r="U135" s="53">
        <f>IFERROR((VLOOKUP($A135,'Dados StatusInvest'!$A:$AZ,COLUMN(U135)-$A$5,0)-VLOOKUP($A135,'Dados StatusInvest'!$A:$AZ,COLUMN(U135)-$A$5-1,0)+T135),0)</f>
        <v>-0.28</v>
      </c>
      <c r="V135" s="56">
        <f>IFERROR((VLOOKUP($A135,'Dados StatusInvest'!$A:$AZ,COLUMN(V135)-$A$5,0)),0)</f>
        <v>0.51</v>
      </c>
      <c r="W135" s="56">
        <f>IFERROR((VLOOKUP($A135,'Dados StatusInvest'!$A:$AZ,COLUMN(W135)-$A$5,0)),0)</f>
        <v>6.99</v>
      </c>
      <c r="X135" s="53">
        <f>IFERROR((VLOOKUP($A135,'Dados StatusInvest'!$A:$AZ,COLUMN(X135)-$A$5,0)/VLOOKUP($A135,'Dados StatusInvest'!$A:$AZ,2,0)*$F135),0)</f>
        <v>2.88</v>
      </c>
      <c r="Y135" s="54">
        <f>IFERROR((VLOOKUP($A135,'Dados StatusInvest'!$A:$AZ,COLUMN(Y135)-$A$5,0)/VLOOKUP($A135,'Dados StatusInvest'!$A:$AZ,2,0)*$F135),0)</f>
        <v>0.25</v>
      </c>
      <c r="Z135" s="56">
        <f>IFERROR((VLOOKUP($A135,'Dados StatusInvest'!$A:$AZ,COLUMN(Z135)-$A$5,0)),0)</f>
        <v>0.41</v>
      </c>
      <c r="AA135" s="57">
        <f>IFERROR((VLOOKUP($A135,'Dados StatusInvest'!$A:$AZ,COLUMN(AA135)-$A$5,0)),0)</f>
        <v>0.59</v>
      </c>
      <c r="AB135" s="57">
        <f>IFERROR((VLOOKUP($A135,'Dados StatusInvest'!$A:$AZ,COLUMN(AB135)-$A$5,0)),0)</f>
        <v>0.47</v>
      </c>
      <c r="AC135" s="58">
        <f>IFERROR((VLOOKUP($A135,'Dados StatusInvest'!$A:$AZ,COLUMN(AC135)-$A$5,0)),0)</f>
        <v>8.16</v>
      </c>
      <c r="AD135" s="57">
        <f>IFERROR((VLOOKUP($A135,'Dados StatusInvest'!$A:$AZ,COLUMN(AD135)-$A$5,0)),0)</f>
        <v>15.76</v>
      </c>
      <c r="AE135" s="56">
        <f>IFERROR((VLOOKUP($A135,'Dados StatusInvest'!$A:$AZ,COLUMN(AE135)-$A$5,0)),0)</f>
        <v>1251.93</v>
      </c>
      <c r="AF135" s="56">
        <f>IFERROR((VLOOKUP($A135,'Dados StatusInvest'!$A:$AZ,COLUMN(AF135)-$A$5,0)),0)</f>
        <v>18.33</v>
      </c>
      <c r="AG135" s="56">
        <f>IFERROR((VLOOKUP($A135,'Dados StatusInvest'!$A:$AZ,COLUMN(AG135)-$A$5,0)),0)</f>
        <v>1.28</v>
      </c>
      <c r="AH135" s="56">
        <f>IFERROR((VLOOKUP($A135,'Dados StatusInvest'!$A:$AZ,COLUMN(AH135)-$A$5,0)),0)</f>
        <v>-0.01</v>
      </c>
      <c r="AI135" s="57">
        <f>IFERROR((VLOOKUP($A135,'Dados StatusInvest'!$A:$AZ,COLUMN(AI135)-$A$5,0)),0)</f>
        <v>4532239430</v>
      </c>
      <c r="AJ135" s="59" t="str">
        <f>IFERROR((VLOOKUP($A135,'Dados StatusInvest'!$A:$AZ,COLUMN(AJ135)-$A$5,0)),0)</f>
        <v/>
      </c>
      <c r="AK135" s="60" t="str">
        <f>IFERROR(__xludf.DUMMYFUNCTION("IFERROR(GOOGLEFINANCE($A135,""high""),"""")"),"")</f>
        <v/>
      </c>
      <c r="AL135" s="60" t="str">
        <f>IFERROR(__xludf.DUMMYFUNCTION("IFERROR(GOOGLEFINANCE($A135,""low""),"""")"),"")</f>
        <v/>
      </c>
      <c r="AM135" s="61">
        <f t="shared" si="2"/>
        <v>0</v>
      </c>
      <c r="AN135" s="62">
        <f>IFERROR(__xludf.DUMMYFUNCTION("IFERROR((GOOGLEFINANCE($A135,""volume"")),0)"),0.0)</f>
        <v>0</v>
      </c>
      <c r="AO135" s="60">
        <f>IFERROR(__xludf.DUMMYFUNCTION("IFERROR((GOOGLEFINANCE($A135,""closeyest"")),"""")"),10.0)</f>
        <v>10</v>
      </c>
      <c r="AP135" s="60">
        <f>IFERROR(__xludf.DUMMYFUNCTION("IFERROR((GOOGLEFINANCE($A135,""shares"")),"""")"),4.53223943E8)</f>
        <v>453223943</v>
      </c>
      <c r="AQ135" s="18"/>
    </row>
    <row r="136">
      <c r="A136" s="45" t="str">
        <f>'Dados StatusInvest'!A131:A750</f>
        <v>CCXC3</v>
      </c>
      <c r="B136" s="46" t="str">
        <f>IFERROR(__xludf.DUMMYFUNCTION("IFERROR((GOOGLEFINANCE(A136,""name"")),"""")"),"")</f>
        <v/>
      </c>
      <c r="C136" s="46" t="str">
        <f>IFERROR((VLOOKUP(LEFT($A136,4),Setor!$A:$E,3,0)),"")</f>
        <v/>
      </c>
      <c r="D136" s="46" t="str">
        <f>IFERROR((VLOOKUP(LEFT($A136,4),Setor!$A:$E,4,0)),"")</f>
        <v/>
      </c>
      <c r="E136" s="46" t="str">
        <f>IFERROR((VLOOKUP(LEFT($A136,4),Setor!$A:$E,5,0)),"")</f>
        <v/>
      </c>
      <c r="F136" s="47" t="str">
        <f>IFERROR(__xludf.DUMMYFUNCTION("IFERROR((GOOGLEFINANCE(A136)),"""")"),"")</f>
        <v/>
      </c>
      <c r="G136" s="48" t="str">
        <f>IFERROR(__xludf.DUMMYFUNCTION("IFERROR((sparkline(GOOGLEFINANCE($A136,""price"",TODAY()-30,TODAY(),""DAILY""),{""charttype"",""line"";""linewidth"",1;""color"",""#5f88cc""})),"""")"),"")</f>
        <v/>
      </c>
      <c r="H136" s="49" t="str">
        <f>IFERROR(__xludf.DUMMYFUNCTION("IFERROR((((GOOGLEFINANCE(A136))-(INDEX(GoogleFinance(A136,""PRICE"",$AQ$1),2,2)))/(INDEX(GoogleFinance(A136,""PRICE"",$AQ$1),2,2))),"""")"),"")</f>
        <v/>
      </c>
      <c r="I136" s="47" t="str">
        <f>IFERROR(__xludf.DUMMYFUNCTION("IFERROR((GOOGLEFINANCE($A136,""high52"")),"""")"),"")</f>
        <v/>
      </c>
      <c r="J136" s="48" t="str">
        <f>IFERROR(__xludf.DUMMYFUNCTION("IFERROR((sparkline(GOOGLEFINANCE($A136,""price"",TODAY()-365,TODAY(),""DAILY""),{""charttype"",""line"";""linewidth"",1;""color"",""#5f88cc""})),"""")"),"")</f>
        <v/>
      </c>
      <c r="K136" s="50" t="str">
        <f>IFERROR(__xludf.DUMMYFUNCTION("IFERROR((((GOOGLEFINANCE(A136))-(INDEX(GoogleFinance(A136,""PRICE"",$AP$1),2,2)))/(INDEX(GoogleFinance(A136,""PRICE"",$AP$1),2,2))),"""")"),"")</f>
        <v/>
      </c>
      <c r="L136" s="51">
        <f t="shared" si="1"/>
        <v>0</v>
      </c>
      <c r="M136" s="52">
        <f>IFERROR((VLOOKUP($A136,'Dados StatusInvest'!$A:$AZ,COLUMN(M136)-$A$5,0)*VLOOKUP($A136,'Dados StatusInvest'!$A:$AZ,2,0)/$F136/100),0)</f>
        <v>0</v>
      </c>
      <c r="N136" s="53">
        <f>IFERROR((VLOOKUP($A136,'Dados StatusInvest'!$A:$AZ,COLUMN(N136)-$A$5,0)/VLOOKUP($A136,'Dados StatusInvest'!$A:$AZ,2,0)*$F136),"")</f>
        <v>0</v>
      </c>
      <c r="O136" s="53">
        <f>IFERROR((VLOOKUP($A136,'Dados StatusInvest'!$A:$AZ,COLUMN(O136)-$A$5,0)/VLOOKUP($A136,'Dados StatusInvest'!$A:$AZ,2,0)*$F136),0)</f>
        <v>0</v>
      </c>
      <c r="P136" s="54">
        <f>IFERROR((VLOOKUP($A136,'Dados StatusInvest'!$A:$AZ,COLUMN(P136)-$A$5,0)/VLOOKUP($A136,'Dados StatusInvest'!$A:$AZ,2,0)*$F136),0)</f>
        <v>0</v>
      </c>
      <c r="Q136" s="55">
        <f>IFERROR((VLOOKUP($A136,'Dados StatusInvest'!$A:$AZ,COLUMN(Q136)-$A$5,0)/100),0)</f>
        <v>0.0005</v>
      </c>
      <c r="R136" s="56">
        <f>VLOOKUP($A136,'Dados StatusInvest'!$A:$AZ,COLUMN(R136)-$A$5,0)</f>
        <v>0</v>
      </c>
      <c r="S136" s="56">
        <f>IFERROR((VLOOKUP($A136,'Dados StatusInvest'!$A:$AZ,COLUMN(S136)-$A$5,0)),0)</f>
        <v>0</v>
      </c>
      <c r="T136" s="53">
        <f>IFERROR((VLOOKUP($A136,'Dados StatusInvest'!$A:$AZ,COLUMN(T136)-$A$5,0)/VLOOKUP($A136,'Dados StatusInvest'!$A:$AZ,2,0)*$F136),0)</f>
        <v>0</v>
      </c>
      <c r="U136" s="53">
        <f>IFERROR((VLOOKUP($A136,'Dados StatusInvest'!$A:$AZ,COLUMN(U136)-$A$5,0)-VLOOKUP($A136,'Dados StatusInvest'!$A:$AZ,COLUMN(U136)-$A$5-1,0)+T136),0)</f>
        <v>0.03</v>
      </c>
      <c r="V136" s="56">
        <f>IFERROR((VLOOKUP($A136,'Dados StatusInvest'!$A:$AZ,COLUMN(V136)-$A$5,0)),0)</f>
        <v>0.01</v>
      </c>
      <c r="W136" s="56">
        <f>IFERROR((VLOOKUP($A136,'Dados StatusInvest'!$A:$AZ,COLUMN(W136)-$A$5,0)),0)</f>
        <v>-10.66</v>
      </c>
      <c r="X136" s="53">
        <f>IFERROR((VLOOKUP($A136,'Dados StatusInvest'!$A:$AZ,COLUMN(X136)-$A$5,0)/VLOOKUP($A136,'Dados StatusInvest'!$A:$AZ,2,0)*$F136),0)</f>
        <v>0</v>
      </c>
      <c r="Y136" s="54">
        <f>IFERROR((VLOOKUP($A136,'Dados StatusInvest'!$A:$AZ,COLUMN(Y136)-$A$5,0)/VLOOKUP($A136,'Dados StatusInvest'!$A:$AZ,2,0)*$F136),0)</f>
        <v>0</v>
      </c>
      <c r="Z136" s="56">
        <f>IFERROR((VLOOKUP($A136,'Dados StatusInvest'!$A:$AZ,COLUMN(Z136)-$A$5,0)),0)</f>
        <v>-88.75</v>
      </c>
      <c r="AA136" s="57">
        <f>IFERROR((VLOOKUP($A136,'Dados StatusInvest'!$A:$AZ,COLUMN(AA136)-$A$5,0)),0)</f>
        <v>89.75</v>
      </c>
      <c r="AB136" s="57">
        <f>IFERROR((VLOOKUP($A136,'Dados StatusInvest'!$A:$AZ,COLUMN(AB136)-$A$5,0)),0)</f>
        <v>0</v>
      </c>
      <c r="AC136" s="58">
        <f>IFERROR((VLOOKUP($A136,'Dados StatusInvest'!$A:$AZ,COLUMN(AC136)-$A$5,0)),0)</f>
        <v>0</v>
      </c>
      <c r="AD136" s="57">
        <f>IFERROR((VLOOKUP($A136,'Dados StatusInvest'!$A:$AZ,COLUMN(AD136)-$A$5,0)),0)</f>
        <v>0</v>
      </c>
      <c r="AE136" s="56">
        <f>IFERROR((VLOOKUP($A136,'Dados StatusInvest'!$A:$AZ,COLUMN(AE136)-$A$5,0)),0)</f>
        <v>0</v>
      </c>
      <c r="AF136" s="56">
        <f>IFERROR((VLOOKUP($A136,'Dados StatusInvest'!$A:$AZ,COLUMN(AF136)-$A$5,0)),0)</f>
        <v>-43.93</v>
      </c>
      <c r="AG136" s="56">
        <f>IFERROR((VLOOKUP($A136,'Dados StatusInvest'!$A:$AZ,COLUMN(AG136)-$A$5,0)),0)</f>
        <v>-4.68</v>
      </c>
      <c r="AH136" s="56">
        <f>IFERROR((VLOOKUP($A136,'Dados StatusInvest'!$A:$AZ,COLUMN(AH136)-$A$5,0)),0)</f>
        <v>0</v>
      </c>
      <c r="AI136" s="57">
        <f>IFERROR((VLOOKUP($A136,'Dados StatusInvest'!$A:$AZ,COLUMN(AI136)-$A$5,0)),0)</f>
        <v>1973425.64</v>
      </c>
      <c r="AJ136" s="59" t="str">
        <f>IFERROR((VLOOKUP($A136,'Dados StatusInvest'!$A:$AZ,COLUMN(AJ136)-$A$5,0)),0)</f>
        <v/>
      </c>
      <c r="AK136" s="60" t="str">
        <f>IFERROR(__xludf.DUMMYFUNCTION("IFERROR(GOOGLEFINANCE($A136,""high""),"""")"),"")</f>
        <v/>
      </c>
      <c r="AL136" s="60" t="str">
        <f>IFERROR(__xludf.DUMMYFUNCTION("IFERROR(GOOGLEFINANCE($A136,""low""),"""")"),"")</f>
        <v/>
      </c>
      <c r="AM136" s="61">
        <f t="shared" si="2"/>
        <v>0</v>
      </c>
      <c r="AN136" s="62">
        <f>IFERROR(__xludf.DUMMYFUNCTION("IFERROR((GOOGLEFINANCE($A136,""volume"")),0)"),0.0)</f>
        <v>0</v>
      </c>
      <c r="AO136" s="60" t="str">
        <f>IFERROR(__xludf.DUMMYFUNCTION("IFERROR((GOOGLEFINANCE($A136,""closeyest"")),"""")"),"")</f>
        <v/>
      </c>
      <c r="AP136" s="60" t="str">
        <f>IFERROR(__xludf.DUMMYFUNCTION("IFERROR((GOOGLEFINANCE($A136,""shares"")),"""")"),"")</f>
        <v/>
      </c>
      <c r="AQ136" s="18"/>
    </row>
    <row r="137">
      <c r="A137" s="45" t="str">
        <f>'Dados StatusInvest'!A132:A751</f>
        <v>CEAB3</v>
      </c>
      <c r="B137" s="46" t="str">
        <f>IFERROR(__xludf.DUMMYFUNCTION("IFERROR((GOOGLEFINANCE(A137,""name"")),"""")"),"C&amp;A Modas SA")</f>
        <v>C&amp;A Modas SA</v>
      </c>
      <c r="C137" s="46" t="str">
        <f>IFERROR((VLOOKUP(LEFT($A137,4),Setor!$A:$E,3,0)),"")</f>
        <v>Consumo Cíclico</v>
      </c>
      <c r="D137" s="46" t="str">
        <f>IFERROR((VLOOKUP(LEFT($A137,4),Setor!$A:$E,4,0)),"")</f>
        <v>Comércio</v>
      </c>
      <c r="E137" s="46" t="str">
        <f>IFERROR((VLOOKUP(LEFT($A137,4),Setor!$A:$E,5,0)),"")</f>
        <v>Tecidos, Vestuário e Calçados</v>
      </c>
      <c r="F137" s="47">
        <f>IFERROR(__xludf.DUMMYFUNCTION("IFERROR((GOOGLEFINANCE(A137)),"""")"),12.98)</f>
        <v>12.98</v>
      </c>
      <c r="G137" s="48" t="str">
        <f>IFERROR(__xludf.DUMMYFUNCTION("IFERROR((sparkline(GOOGLEFINANCE($A137,""price"",TODAY()-30,TODAY(),""DAILY""),{""charttype"",""line"";""linewidth"",1;""color"",""#5f88cc""})),"""")"),"")</f>
        <v/>
      </c>
      <c r="H137" s="49">
        <f>IFERROR(__xludf.DUMMYFUNCTION("IFERROR((((GOOGLEFINANCE(A137))-(INDEX(GoogleFinance(A137,""PRICE"",$AQ$1),2,2)))/(INDEX(GoogleFinance(A137,""PRICE"",$AQ$1),2,2))),"""")"),0.1919191919191919)</f>
        <v>0.1919191919</v>
      </c>
      <c r="I137" s="47">
        <f>IFERROR(__xludf.DUMMYFUNCTION("IFERROR((GOOGLEFINANCE($A137,""high52"")),"""")"),20.58)</f>
        <v>20.58</v>
      </c>
      <c r="J137" s="48" t="str">
        <f>IFERROR(__xludf.DUMMYFUNCTION("IFERROR((sparkline(GOOGLEFINANCE($A137,""price"",TODAY()-365,TODAY(),""DAILY""),{""charttype"",""line"";""linewidth"",1;""color"",""#5f88cc""})),"""")"),"")</f>
        <v/>
      </c>
      <c r="K137" s="50">
        <f>IFERROR(__xludf.DUMMYFUNCTION("IFERROR((((GOOGLEFINANCE(A137))-(INDEX(GoogleFinance(A137,""PRICE"",$AP$1),2,2)))/(INDEX(GoogleFinance(A137,""PRICE"",$AP$1),2,2))),"""")"),0.29800000000000004)</f>
        <v>0.298</v>
      </c>
      <c r="L137" s="51">
        <f t="shared" si="1"/>
        <v>-0.3692905734</v>
      </c>
      <c r="M137" s="52">
        <f>IFERROR((VLOOKUP($A137,'Dados StatusInvest'!$A:$AZ,COLUMN(M137)-$A$5,0)*VLOOKUP($A137,'Dados StatusInvest'!$A:$AZ,2,0)/$F137/100),0)</f>
        <v>0.1279853621</v>
      </c>
      <c r="N137" s="53">
        <f>IFERROR((VLOOKUP($A137,'Dados StatusInvest'!$A:$AZ,COLUMN(N137)-$A$5,0)/VLOOKUP($A137,'Dados StatusInvest'!$A:$AZ,2,0)*$F137),"")</f>
        <v>6.406982694</v>
      </c>
      <c r="O137" s="53">
        <f>IFERROR((VLOOKUP($A137,'Dados StatusInvest'!$A:$AZ,COLUMN(O137)-$A$5,0)/VLOOKUP($A137,'Dados StatusInvest'!$A:$AZ,2,0)*$F137),0)</f>
        <v>3.975063958</v>
      </c>
      <c r="P137" s="54">
        <f>IFERROR((VLOOKUP($A137,'Dados StatusInvest'!$A:$AZ,COLUMN(P137)-$A$5,0)/VLOOKUP($A137,'Dados StatusInvest'!$A:$AZ,2,0)*$F137),0)</f>
        <v>4.033664409</v>
      </c>
      <c r="Q137" s="55">
        <f>IFERROR((VLOOKUP($A137,'Dados StatusInvest'!$A:$AZ,COLUMN(Q137)-$A$5,0)/100),0)</f>
        <v>0.0007</v>
      </c>
      <c r="R137" s="56">
        <f>VLOOKUP($A137,'Dados StatusInvest'!$A:$AZ,COLUMN(R137)-$A$5,0)</f>
        <v>0.02</v>
      </c>
      <c r="S137" s="56">
        <f>IFERROR((VLOOKUP($A137,'Dados StatusInvest'!$A:$AZ,COLUMN(S137)-$A$5,0)),0)</f>
        <v>0.51</v>
      </c>
      <c r="T137" s="53">
        <f>IFERROR((VLOOKUP($A137,'Dados StatusInvest'!$A:$AZ,COLUMN(T137)-$A$5,0)/VLOOKUP($A137,'Dados StatusInvest'!$A:$AZ,2,0)*$F137),0)</f>
        <v>2.822588412</v>
      </c>
      <c r="U137" s="53">
        <f>IFERROR((VLOOKUP($A137,'Dados StatusInvest'!$A:$AZ,COLUMN(U137)-$A$5,0)-VLOOKUP($A137,'Dados StatusInvest'!$A:$AZ,COLUMN(U137)-$A$5-1,0)+T137),0)</f>
        <v>-0.9474115877</v>
      </c>
      <c r="V137" s="56">
        <f>IFERROR((VLOOKUP($A137,'Dados StatusInvest'!$A:$AZ,COLUMN(V137)-$A$5,0)),0)</f>
        <v>1.5</v>
      </c>
      <c r="W137" s="56">
        <f>IFERROR((VLOOKUP($A137,'Dados StatusInvest'!$A:$AZ,COLUMN(W137)-$A$5,0)),0)</f>
        <v>14.95</v>
      </c>
      <c r="X137" s="53">
        <f>IFERROR((VLOOKUP($A137,'Dados StatusInvest'!$A:$AZ,COLUMN(X137)-$A$5,0)/VLOOKUP($A137,'Dados StatusInvest'!$A:$AZ,2,0)*$F137),0)</f>
        <v>5.791677953</v>
      </c>
      <c r="Y137" s="54">
        <f>IFERROR((VLOOKUP($A137,'Dados StatusInvest'!$A:$AZ,COLUMN(Y137)-$A$5,0)/VLOOKUP($A137,'Dados StatusInvest'!$A:$AZ,2,0)*$F137),0)</f>
        <v>16.22255831</v>
      </c>
      <c r="Z137" s="56">
        <f>IFERROR((VLOOKUP($A137,'Dados StatusInvest'!$A:$AZ,COLUMN(Z137)-$A$5,0)),0)</f>
        <v>0.4</v>
      </c>
      <c r="AA137" s="57">
        <f>IFERROR((VLOOKUP($A137,'Dados StatusInvest'!$A:$AZ,COLUMN(AA137)-$A$5,0)),0)</f>
        <v>0.6</v>
      </c>
      <c r="AB137" s="57">
        <f>IFERROR((VLOOKUP($A137,'Dados StatusInvest'!$A:$AZ,COLUMN(AB137)-$A$5,0)),0)</f>
        <v>0.9</v>
      </c>
      <c r="AC137" s="58">
        <f>IFERROR((VLOOKUP($A137,'Dados StatusInvest'!$A:$AZ,COLUMN(AC137)-$A$5,0)),0)</f>
        <v>7.64</v>
      </c>
      <c r="AD137" s="57">
        <f>IFERROR((VLOOKUP($A137,'Dados StatusInvest'!$A:$AZ,COLUMN(AD137)-$A$5,0)),0)</f>
        <v>252.47</v>
      </c>
      <c r="AE137" s="56">
        <f>IFERROR((VLOOKUP($A137,'Dados StatusInvest'!$A:$AZ,COLUMN(AE137)-$A$5,0)),0)</f>
        <v>142000000</v>
      </c>
      <c r="AF137" s="56">
        <f>IFERROR((VLOOKUP($A137,'Dados StatusInvest'!$A:$AZ,COLUMN(AF137)-$A$5,0)),0)</f>
        <v>11.47</v>
      </c>
      <c r="AG137" s="56">
        <f>IFERROR((VLOOKUP($A137,'Dados StatusInvest'!$A:$AZ,COLUMN(AG137)-$A$5,0)),0)</f>
        <v>1.72</v>
      </c>
      <c r="AH137" s="56">
        <f>IFERROR((VLOOKUP($A137,'Dados StatusInvest'!$A:$AZ,COLUMN(AH137)-$A$5,0)),0)</f>
        <v>0.17</v>
      </c>
      <c r="AI137" s="57">
        <f>IFERROR((VLOOKUP($A137,'Dados StatusInvest'!$A:$AZ,COLUMN(AI137)-$A$5,0)),0)</f>
        <v>4096576954</v>
      </c>
      <c r="AJ137" s="59" t="str">
        <f>IFERROR((VLOOKUP($A137,'Dados StatusInvest'!$A:$AZ,COLUMN(AJ137)-$A$5,0)),0)</f>
        <v/>
      </c>
      <c r="AK137" s="60">
        <f>IFERROR(__xludf.DUMMYFUNCTION("IFERROR(GOOGLEFINANCE($A137,""high""),"""")"),13.18)</f>
        <v>13.18</v>
      </c>
      <c r="AL137" s="60">
        <f>IFERROR(__xludf.DUMMYFUNCTION("IFERROR(GOOGLEFINANCE($A137,""low""),"""")"),12.96)</f>
        <v>12.96</v>
      </c>
      <c r="AM137" s="61">
        <f t="shared" si="2"/>
        <v>0.01697530864</v>
      </c>
      <c r="AN137" s="62">
        <f>IFERROR(__xludf.DUMMYFUNCTION("IFERROR((GOOGLEFINANCE($A137,""volume"")),0)"),499600.0)</f>
        <v>499600</v>
      </c>
      <c r="AO137" s="60">
        <f>IFERROR(__xludf.DUMMYFUNCTION("IFERROR((GOOGLEFINANCE($A137,""closeyest"")),"""")"),13.29)</f>
        <v>13.29</v>
      </c>
      <c r="AP137" s="60">
        <f>IFERROR(__xludf.DUMMYFUNCTION("IFERROR((GOOGLEFINANCE($A137,""shares"")),"""")"),3.08245068E8)</f>
        <v>308245068</v>
      </c>
      <c r="AQ137" s="18"/>
    </row>
    <row r="138">
      <c r="A138" s="45" t="str">
        <f>'Dados StatusInvest'!A133:A752</f>
        <v>CEBR3</v>
      </c>
      <c r="B138" s="46" t="str">
        <f>IFERROR(__xludf.DUMMYFUNCTION("IFERROR((GOOGLEFINANCE(A138,""name"")),"""")"),"Companhia Energetica de Brasilia CEB")</f>
        <v>Companhia Energetica de Brasilia CEB</v>
      </c>
      <c r="C138" s="46" t="str">
        <f>IFERROR((VLOOKUP(LEFT($A138,4),Setor!$A:$E,3,0)),"")</f>
        <v>Utilidade Pública</v>
      </c>
      <c r="D138" s="46" t="str">
        <f>IFERROR((VLOOKUP(LEFT($A138,4),Setor!$A:$E,4,0)),"")</f>
        <v>Energia Elétrica</v>
      </c>
      <c r="E138" s="46" t="str">
        <f>IFERROR((VLOOKUP(LEFT($A138,4),Setor!$A:$E,5,0)),"")</f>
        <v>Energia Elétrica</v>
      </c>
      <c r="F138" s="47">
        <f>IFERROR(__xludf.DUMMYFUNCTION("IFERROR((GOOGLEFINANCE(A138)),"""")"),30.46)</f>
        <v>30.46</v>
      </c>
      <c r="G138" s="48" t="str">
        <f>IFERROR(__xludf.DUMMYFUNCTION("IFERROR((sparkline(GOOGLEFINANCE($A138,""price"",TODAY()-30,TODAY(),""DAILY""),{""charttype"",""line"";""linewidth"",1;""color"",""#5f88cc""})),"""")"),"")</f>
        <v/>
      </c>
      <c r="H138" s="49">
        <f>IFERROR(__xludf.DUMMYFUNCTION("IFERROR((((GOOGLEFINANCE(A138))-(INDEX(GoogleFinance(A138,""PRICE"",$AQ$1),2,2)))/(INDEX(GoogleFinance(A138,""PRICE"",$AQ$1),2,2))),"""")"),0.029054054054054035)</f>
        <v>0.02905405405</v>
      </c>
      <c r="I138" s="47">
        <f>IFERROR(__xludf.DUMMYFUNCTION("IFERROR((GOOGLEFINANCE($A138,""high52"")),"""")"),32.49)</f>
        <v>32.49</v>
      </c>
      <c r="J138" s="48" t="str">
        <f>IFERROR(__xludf.DUMMYFUNCTION("IFERROR((sparkline(GOOGLEFINANCE($A138,""price"",TODAY()-365,TODAY(),""DAILY""),{""charttype"",""line"";""linewidth"",1;""color"",""#5f88cc""})),"""")"),"")</f>
        <v/>
      </c>
      <c r="K138" s="50">
        <f>IFERROR(__xludf.DUMMYFUNCTION("IFERROR((((GOOGLEFINANCE(A138))-(INDEX(GoogleFinance(A138,""PRICE"",$AP$1),2,2)))/(INDEX(GoogleFinance(A138,""PRICE"",$AP$1),2,2))),"""")"),0.7740244612696563)</f>
        <v>0.7740244613</v>
      </c>
      <c r="L138" s="51">
        <f t="shared" si="1"/>
        <v>-0.06248076331</v>
      </c>
      <c r="M138" s="52">
        <f>IFERROR((VLOOKUP($A138,'Dados StatusInvest'!$A:$AZ,COLUMN(M138)-$A$5,0)*VLOOKUP($A138,'Dados StatusInvest'!$A:$AZ,2,0)/$F138/100),0)</f>
        <v>0.4984</v>
      </c>
      <c r="N138" s="53">
        <f>IFERROR((VLOOKUP($A138,'Dados StatusInvest'!$A:$AZ,COLUMN(N138)-$A$5,0)/VLOOKUP($A138,'Dados StatusInvest'!$A:$AZ,2,0)*$F138),"")</f>
        <v>40.15</v>
      </c>
      <c r="O138" s="53">
        <f>IFERROR((VLOOKUP($A138,'Dados StatusInvest'!$A:$AZ,COLUMN(O138)-$A$5,0)/VLOOKUP($A138,'Dados StatusInvest'!$A:$AZ,2,0)*$F138),0)</f>
        <v>9.18</v>
      </c>
      <c r="P138" s="54">
        <f>IFERROR((VLOOKUP($A138,'Dados StatusInvest'!$A:$AZ,COLUMN(P138)-$A$5,0)/VLOOKUP($A138,'Dados StatusInvest'!$A:$AZ,2,0)*$F138),0)</f>
        <v>7.31</v>
      </c>
      <c r="Q138" s="55">
        <f>IFERROR((VLOOKUP($A138,'Dados StatusInvest'!$A:$AZ,COLUMN(Q138)-$A$5,0)/100),0)</f>
        <v>-0.0203</v>
      </c>
      <c r="R138" s="56">
        <f>VLOOKUP($A138,'Dados StatusInvest'!$A:$AZ,COLUMN(R138)-$A$5,0)</f>
        <v>-0.49</v>
      </c>
      <c r="S138" s="56">
        <f>IFERROR((VLOOKUP($A138,'Dados StatusInvest'!$A:$AZ,COLUMN(S138)-$A$5,0)),0)</f>
        <v>4.58</v>
      </c>
      <c r="T138" s="53">
        <f>IFERROR((VLOOKUP($A138,'Dados StatusInvest'!$A:$AZ,COLUMN(T138)-$A$5,0)/VLOOKUP($A138,'Dados StatusInvest'!$A:$AZ,2,0)*$F138),0)</f>
        <v>3.39</v>
      </c>
      <c r="U138" s="53">
        <f>IFERROR((VLOOKUP($A138,'Dados StatusInvest'!$A:$AZ,COLUMN(U138)-$A$5,0)-VLOOKUP($A138,'Dados StatusInvest'!$A:$AZ,COLUMN(U138)-$A$5-1,0)+T138),0)</f>
        <v>-3.23</v>
      </c>
      <c r="V138" s="56">
        <f>IFERROR((VLOOKUP($A138,'Dados StatusInvest'!$A:$AZ,COLUMN(V138)-$A$5,0)),0)</f>
        <v>7.12</v>
      </c>
      <c r="W138" s="56">
        <f>IFERROR((VLOOKUP($A138,'Dados StatusInvest'!$A:$AZ,COLUMN(W138)-$A$5,0)),0)</f>
        <v>19.36</v>
      </c>
      <c r="X138" s="53">
        <f>IFERROR((VLOOKUP($A138,'Dados StatusInvest'!$A:$AZ,COLUMN(X138)-$A$5,0)/VLOOKUP($A138,'Dados StatusInvest'!$A:$AZ,2,0)*$F138),0)</f>
        <v>13.44</v>
      </c>
      <c r="Y138" s="54">
        <f>IFERROR((VLOOKUP($A138,'Dados StatusInvest'!$A:$AZ,COLUMN(Y138)-$A$5,0)/VLOOKUP($A138,'Dados StatusInvest'!$A:$AZ,2,0)*$F138),0)</f>
        <v>14.02</v>
      </c>
      <c r="Z138" s="56">
        <f>IFERROR((VLOOKUP($A138,'Dados StatusInvest'!$A:$AZ,COLUMN(Z138)-$A$5,0)),0)</f>
        <v>0.69</v>
      </c>
      <c r="AA138" s="57">
        <f>IFERROR((VLOOKUP($A138,'Dados StatusInvest'!$A:$AZ,COLUMN(AA138)-$A$5,0)),0)</f>
        <v>0.13</v>
      </c>
      <c r="AB138" s="57">
        <f>IFERROR((VLOOKUP($A138,'Dados StatusInvest'!$A:$AZ,COLUMN(AB138)-$A$5,0)),0)</f>
        <v>0.33</v>
      </c>
      <c r="AC138" s="58">
        <f>IFERROR((VLOOKUP($A138,'Dados StatusInvest'!$A:$AZ,COLUMN(AC138)-$A$5,0)),0)</f>
        <v>-33.77</v>
      </c>
      <c r="AD138" s="57">
        <f>IFERROR((VLOOKUP($A138,'Dados StatusInvest'!$A:$AZ,COLUMN(AD138)-$A$5,0)),0)</f>
        <v>10.1</v>
      </c>
      <c r="AE138" s="56">
        <f>IFERROR((VLOOKUP($A138,'Dados StatusInvest'!$A:$AZ,COLUMN(AE138)-$A$5,0)),0)</f>
        <v>99352.19</v>
      </c>
      <c r="AF138" s="56">
        <f>IFERROR((VLOOKUP($A138,'Dados StatusInvest'!$A:$AZ,COLUMN(AF138)-$A$5,0)),0)</f>
        <v>13.8</v>
      </c>
      <c r="AG138" s="56">
        <f>IFERROR((VLOOKUP($A138,'Dados StatusInvest'!$A:$AZ,COLUMN(AG138)-$A$5,0)),0)</f>
        <v>2.67</v>
      </c>
      <c r="AH138" s="56">
        <f>IFERROR((VLOOKUP($A138,'Dados StatusInvest'!$A:$AZ,COLUMN(AH138)-$A$5,0)),0)</f>
        <v>0.96</v>
      </c>
      <c r="AI138" s="57">
        <f>IFERROR((VLOOKUP($A138,'Dados StatusInvest'!$A:$AZ,COLUMN(AI138)-$A$5,0)),0)</f>
        <v>2233945817</v>
      </c>
      <c r="AJ138" s="59" t="str">
        <f>IFERROR((VLOOKUP($A138,'Dados StatusInvest'!$A:$AZ,COLUMN(AJ138)-$A$5,0)),0)</f>
        <v/>
      </c>
      <c r="AK138" s="60" t="str">
        <f>IFERROR(__xludf.DUMMYFUNCTION("IFERROR(GOOGLEFINANCE($A138,""high""),"""")"),"")</f>
        <v/>
      </c>
      <c r="AL138" s="60" t="str">
        <f>IFERROR(__xludf.DUMMYFUNCTION("IFERROR(GOOGLEFINANCE($A138,""low""),"""")"),"")</f>
        <v/>
      </c>
      <c r="AM138" s="61">
        <f t="shared" si="2"/>
        <v>0</v>
      </c>
      <c r="AN138" s="62">
        <f>IFERROR(__xludf.DUMMYFUNCTION("IFERROR((GOOGLEFINANCE($A138,""volume"")),0)"),0.0)</f>
        <v>0</v>
      </c>
      <c r="AO138" s="60">
        <f>IFERROR(__xludf.DUMMYFUNCTION("IFERROR((GOOGLEFINANCE($A138,""closeyest"")),"""")"),30.46)</f>
        <v>30.46</v>
      </c>
      <c r="AP138" s="60">
        <f>IFERROR(__xludf.DUMMYFUNCTION("IFERROR((GOOGLEFINANCE($A138,""shares"")),"""")"),3.592089E7)</f>
        <v>35920890</v>
      </c>
      <c r="AQ138" s="18"/>
    </row>
    <row r="139">
      <c r="A139" s="45" t="str">
        <f>'Dados StatusInvest'!A134:A753</f>
        <v>CEBR5</v>
      </c>
      <c r="B139" s="46" t="str">
        <f>IFERROR(__xludf.DUMMYFUNCTION("IFERROR((GOOGLEFINANCE(A139,""name"")),"""")"),"Companhia Energetica de Brasilia CEB Preference Shares Class A")</f>
        <v>Companhia Energetica de Brasilia CEB Preference Shares Class A</v>
      </c>
      <c r="C139" s="46" t="str">
        <f>IFERROR((VLOOKUP(LEFT($A139,4),Setor!$A:$E,3,0)),"")</f>
        <v>Utilidade Pública</v>
      </c>
      <c r="D139" s="46" t="str">
        <f>IFERROR((VLOOKUP(LEFT($A139,4),Setor!$A:$E,4,0)),"")</f>
        <v>Energia Elétrica</v>
      </c>
      <c r="E139" s="46" t="str">
        <f>IFERROR((VLOOKUP(LEFT($A139,4),Setor!$A:$E,5,0)),"")</f>
        <v>Energia Elétrica</v>
      </c>
      <c r="F139" s="47">
        <f>IFERROR(__xludf.DUMMYFUNCTION("IFERROR((GOOGLEFINANCE(A139)),"""")"),29.69)</f>
        <v>29.69</v>
      </c>
      <c r="G139" s="48" t="str">
        <f>IFERROR(__xludf.DUMMYFUNCTION("IFERROR((sparkline(GOOGLEFINANCE($A139,""price"",TODAY()-30,TODAY(),""DAILY""),{""charttype"",""line"";""linewidth"",1;""color"",""#5f88cc""})),"""")"),"")</f>
        <v/>
      </c>
      <c r="H139" s="49">
        <f>IFERROR(__xludf.DUMMYFUNCTION("IFERROR((((GOOGLEFINANCE(A139))-(INDEX(GoogleFinance(A139,""PRICE"",$AQ$1),2,2)))/(INDEX(GoogleFinance(A139,""PRICE"",$AQ$1),2,2))),"""")"),0.08081543502002193)</f>
        <v>0.08081543502</v>
      </c>
      <c r="I139" s="47">
        <f>IFERROR(__xludf.DUMMYFUNCTION("IFERROR((GOOGLEFINANCE($A139,""high52"")),"""")"),30.06)</f>
        <v>30.06</v>
      </c>
      <c r="J139" s="48" t="str">
        <f>IFERROR(__xludf.DUMMYFUNCTION("IFERROR((sparkline(GOOGLEFINANCE($A139,""price"",TODAY()-365,TODAY(),""DAILY""),{""charttype"",""line"";""linewidth"",1;""color"",""#5f88cc""})),"""")"),"")</f>
        <v/>
      </c>
      <c r="K139" s="50">
        <f>IFERROR(__xludf.DUMMYFUNCTION("IFERROR((((GOOGLEFINANCE(A139))-(INDEX(GoogleFinance(A139,""PRICE"",$AP$1),2,2)))/(INDEX(GoogleFinance(A139,""PRICE"",$AP$1),2,2))),"""")"),0.7683144729005362)</f>
        <v>0.7683144729</v>
      </c>
      <c r="L139" s="51">
        <f t="shared" si="1"/>
        <v>-0.0123087159</v>
      </c>
      <c r="M139" s="52">
        <f>IFERROR((VLOOKUP($A139,'Dados StatusInvest'!$A:$AZ,COLUMN(M139)-$A$5,0)*VLOOKUP($A139,'Dados StatusInvest'!$A:$AZ,2,0)/$F139/100),0)</f>
        <v>0.4866492422</v>
      </c>
      <c r="N139" s="53">
        <f>IFERROR((VLOOKUP($A139,'Dados StatusInvest'!$A:$AZ,COLUMN(N139)-$A$5,0)/VLOOKUP($A139,'Dados StatusInvest'!$A:$AZ,2,0)*$F139),"")</f>
        <v>41.11947223</v>
      </c>
      <c r="O139" s="53">
        <f>IFERROR((VLOOKUP($A139,'Dados StatusInvest'!$A:$AZ,COLUMN(O139)-$A$5,0)/VLOOKUP($A139,'Dados StatusInvest'!$A:$AZ,2,0)*$F139),0)</f>
        <v>8.951038289</v>
      </c>
      <c r="P139" s="54">
        <f>IFERROR((VLOOKUP($A139,'Dados StatusInvest'!$A:$AZ,COLUMN(P139)-$A$5,0)/VLOOKUP($A139,'Dados StatusInvest'!$A:$AZ,2,0)*$F139),0)</f>
        <v>7.486509141</v>
      </c>
      <c r="Q139" s="55">
        <f>IFERROR((VLOOKUP($A139,'Dados StatusInvest'!$A:$AZ,COLUMN(Q139)-$A$5,0)/100),0)</f>
        <v>-0.0203</v>
      </c>
      <c r="R139" s="56">
        <f>VLOOKUP($A139,'Dados StatusInvest'!$A:$AZ,COLUMN(R139)-$A$5,0)</f>
        <v>-0.49</v>
      </c>
      <c r="S139" s="56">
        <f>IFERROR((VLOOKUP($A139,'Dados StatusInvest'!$A:$AZ,COLUMN(S139)-$A$5,0)),0)</f>
        <v>4.36</v>
      </c>
      <c r="T139" s="53">
        <f>IFERROR((VLOOKUP($A139,'Dados StatusInvest'!$A:$AZ,COLUMN(T139)-$A$5,0)/VLOOKUP($A139,'Dados StatusInvest'!$A:$AZ,2,0)*$F139),0)</f>
        <v>3.297750949</v>
      </c>
      <c r="U139" s="53">
        <f>IFERROR((VLOOKUP($A139,'Dados StatusInvest'!$A:$AZ,COLUMN(U139)-$A$5,0)-VLOOKUP($A139,'Dados StatusInvest'!$A:$AZ,COLUMN(U139)-$A$5-1,0)+T139),0)</f>
        <v>-3.002249051</v>
      </c>
      <c r="V139" s="56">
        <f>IFERROR((VLOOKUP($A139,'Dados StatusInvest'!$A:$AZ,COLUMN(V139)-$A$5,0)),0)</f>
        <v>7.12</v>
      </c>
      <c r="W139" s="56">
        <f>IFERROR((VLOOKUP($A139,'Dados StatusInvest'!$A:$AZ,COLUMN(W139)-$A$5,0)),0)</f>
        <v>19.36</v>
      </c>
      <c r="X139" s="53">
        <f>IFERROR((VLOOKUP($A139,'Dados StatusInvest'!$A:$AZ,COLUMN(X139)-$A$5,0)/VLOOKUP($A139,'Dados StatusInvest'!$A:$AZ,2,0)*$F139),0)</f>
        <v>13.7645257</v>
      </c>
      <c r="Y139" s="54">
        <f>IFERROR((VLOOKUP($A139,'Dados StatusInvest'!$A:$AZ,COLUMN(Y139)-$A$5,0)/VLOOKUP($A139,'Dados StatusInvest'!$A:$AZ,2,0)*$F139),0)</f>
        <v>14.35853053</v>
      </c>
      <c r="Z139" s="56">
        <f>IFERROR((VLOOKUP($A139,'Dados StatusInvest'!$A:$AZ,COLUMN(Z139)-$A$5,0)),0)</f>
        <v>0.69</v>
      </c>
      <c r="AA139" s="57">
        <f>IFERROR((VLOOKUP($A139,'Dados StatusInvest'!$A:$AZ,COLUMN(AA139)-$A$5,0)),0)</f>
        <v>0.13</v>
      </c>
      <c r="AB139" s="57">
        <f>IFERROR((VLOOKUP($A139,'Dados StatusInvest'!$A:$AZ,COLUMN(AB139)-$A$5,0)),0)</f>
        <v>0.33</v>
      </c>
      <c r="AC139" s="58">
        <f>IFERROR((VLOOKUP($A139,'Dados StatusInvest'!$A:$AZ,COLUMN(AC139)-$A$5,0)),0)</f>
        <v>-33.77</v>
      </c>
      <c r="AD139" s="57">
        <f>IFERROR((VLOOKUP($A139,'Dados StatusInvest'!$A:$AZ,COLUMN(AD139)-$A$5,0)),0)</f>
        <v>10.1</v>
      </c>
      <c r="AE139" s="56">
        <f>IFERROR((VLOOKUP($A139,'Dados StatusInvest'!$A:$AZ,COLUMN(AE139)-$A$5,0)),0)</f>
        <v>43538.62</v>
      </c>
      <c r="AF139" s="56">
        <f>IFERROR((VLOOKUP($A139,'Dados StatusInvest'!$A:$AZ,COLUMN(AF139)-$A$5,0)),0)</f>
        <v>13.8</v>
      </c>
      <c r="AG139" s="56">
        <f>IFERROR((VLOOKUP($A139,'Dados StatusInvest'!$A:$AZ,COLUMN(AG139)-$A$5,0)),0)</f>
        <v>2.67</v>
      </c>
      <c r="AH139" s="56">
        <f>IFERROR((VLOOKUP($A139,'Dados StatusInvest'!$A:$AZ,COLUMN(AH139)-$A$5,0)),0)</f>
        <v>0.92</v>
      </c>
      <c r="AI139" s="57">
        <f>IFERROR((VLOOKUP($A139,'Dados StatusInvest'!$A:$AZ,COLUMN(AI139)-$A$5,0)),0)</f>
        <v>2233945817</v>
      </c>
      <c r="AJ139" s="59" t="str">
        <f>IFERROR((VLOOKUP($A139,'Dados StatusInvest'!$A:$AZ,COLUMN(AJ139)-$A$5,0)),0)</f>
        <v/>
      </c>
      <c r="AK139" s="60">
        <f>IFERROR(__xludf.DUMMYFUNCTION("IFERROR(GOOGLEFINANCE($A139,""high""),"""")"),29.69)</f>
        <v>29.69</v>
      </c>
      <c r="AL139" s="60">
        <f>IFERROR(__xludf.DUMMYFUNCTION("IFERROR(GOOGLEFINANCE($A139,""low""),"""")"),29.69)</f>
        <v>29.69</v>
      </c>
      <c r="AM139" s="61">
        <f t="shared" si="2"/>
        <v>0</v>
      </c>
      <c r="AN139" s="62">
        <f>IFERROR(__xludf.DUMMYFUNCTION("IFERROR((GOOGLEFINANCE($A139,""volume"")),0)"),100.0)</f>
        <v>100</v>
      </c>
      <c r="AO139" s="60">
        <f>IFERROR(__xludf.DUMMYFUNCTION("IFERROR((GOOGLEFINANCE($A139,""closeyest"")),"""")"),28.99)</f>
        <v>28.99</v>
      </c>
      <c r="AP139" s="60" t="str">
        <f>IFERROR(__xludf.DUMMYFUNCTION("IFERROR((GOOGLEFINANCE($A139,""shares"")),"""")"),"")</f>
        <v/>
      </c>
      <c r="AQ139" s="18"/>
    </row>
    <row r="140">
      <c r="A140" s="45" t="str">
        <f>'Dados StatusInvest'!A135:A754</f>
        <v>CEBR6</v>
      </c>
      <c r="B140" s="46" t="str">
        <f>IFERROR(__xludf.DUMMYFUNCTION("IFERROR((GOOGLEFINANCE(A140,""name"")),"""")"),"Companhia Energetica de Brasilia CEB Preference Shares Class B")</f>
        <v>Companhia Energetica de Brasilia CEB Preference Shares Class B</v>
      </c>
      <c r="C140" s="46" t="str">
        <f>IFERROR((VLOOKUP(LEFT($A140,4),Setor!$A:$E,3,0)),"")</f>
        <v>Utilidade Pública</v>
      </c>
      <c r="D140" s="46" t="str">
        <f>IFERROR((VLOOKUP(LEFT($A140,4),Setor!$A:$E,4,0)),"")</f>
        <v>Energia Elétrica</v>
      </c>
      <c r="E140" s="46" t="str">
        <f>IFERROR((VLOOKUP(LEFT($A140,4),Setor!$A:$E,5,0)),"")</f>
        <v>Energia Elétrica</v>
      </c>
      <c r="F140" s="47">
        <f>IFERROR(__xludf.DUMMYFUNCTION("IFERROR((GOOGLEFINANCE(A140)),"""")"),31.52)</f>
        <v>31.52</v>
      </c>
      <c r="G140" s="48" t="str">
        <f>IFERROR(__xludf.DUMMYFUNCTION("IFERROR((sparkline(GOOGLEFINANCE($A140,""price"",TODAY()-30,TODAY(),""DAILY""),{""charttype"",""line"";""linewidth"",1;""color"",""#5f88cc""})),"""")"),"")</f>
        <v/>
      </c>
      <c r="H140" s="49">
        <f>IFERROR(__xludf.DUMMYFUNCTION("IFERROR((((GOOGLEFINANCE(A140))-(INDEX(GoogleFinance(A140,""PRICE"",$AQ$1),2,2)))/(INDEX(GoogleFinance(A140,""PRICE"",$AQ$1),2,2))),"""")"),0.0710159700985389)</f>
        <v>0.0710159701</v>
      </c>
      <c r="I140" s="47">
        <f>IFERROR(__xludf.DUMMYFUNCTION("IFERROR((GOOGLEFINANCE($A140,""high52"")),"""")"),32.4)</f>
        <v>32.4</v>
      </c>
      <c r="J140" s="48" t="str">
        <f>IFERROR(__xludf.DUMMYFUNCTION("IFERROR((sparkline(GOOGLEFINANCE($A140,""price"",TODAY()-365,TODAY(),""DAILY""),{""charttype"",""line"";""linewidth"",1;""color"",""#5f88cc""})),"""")"),"")</f>
        <v/>
      </c>
      <c r="K140" s="50">
        <f>IFERROR(__xludf.DUMMYFUNCTION("IFERROR((((GOOGLEFINANCE(A140))-(INDEX(GoogleFinance(A140,""PRICE"",$AP$1),2,2)))/(INDEX(GoogleFinance(A140,""PRICE"",$AP$1),2,2))),"""")"),0.783814374646293)</f>
        <v>0.7838143746</v>
      </c>
      <c r="L140" s="51">
        <f t="shared" si="1"/>
        <v>-0.02716049383</v>
      </c>
      <c r="M140" s="52">
        <f>IFERROR((VLOOKUP($A140,'Dados StatusInvest'!$A:$AZ,COLUMN(M140)-$A$5,0)*VLOOKUP($A140,'Dados StatusInvest'!$A:$AZ,2,0)/$F140/100),0)</f>
        <v>0.4984</v>
      </c>
      <c r="N140" s="53">
        <f>IFERROR((VLOOKUP($A140,'Dados StatusInvest'!$A:$AZ,COLUMN(N140)-$A$5,0)/VLOOKUP($A140,'Dados StatusInvest'!$A:$AZ,2,0)*$F140),"")</f>
        <v>40.15</v>
      </c>
      <c r="O140" s="53">
        <f>IFERROR((VLOOKUP($A140,'Dados StatusInvest'!$A:$AZ,COLUMN(O140)-$A$5,0)/VLOOKUP($A140,'Dados StatusInvest'!$A:$AZ,2,0)*$F140),0)</f>
        <v>9.5</v>
      </c>
      <c r="P140" s="54">
        <f>IFERROR((VLOOKUP($A140,'Dados StatusInvest'!$A:$AZ,COLUMN(P140)-$A$5,0)/VLOOKUP($A140,'Dados StatusInvest'!$A:$AZ,2,0)*$F140),0)</f>
        <v>7.31</v>
      </c>
      <c r="Q140" s="55">
        <f>IFERROR((VLOOKUP($A140,'Dados StatusInvest'!$A:$AZ,COLUMN(Q140)-$A$5,0)/100),0)</f>
        <v>-0.0203</v>
      </c>
      <c r="R140" s="56">
        <f>VLOOKUP($A140,'Dados StatusInvest'!$A:$AZ,COLUMN(R140)-$A$5,0)</f>
        <v>-0.49</v>
      </c>
      <c r="S140" s="56">
        <f>IFERROR((VLOOKUP($A140,'Dados StatusInvest'!$A:$AZ,COLUMN(S140)-$A$5,0)),0)</f>
        <v>4.74</v>
      </c>
      <c r="T140" s="53">
        <f>IFERROR((VLOOKUP($A140,'Dados StatusInvest'!$A:$AZ,COLUMN(T140)-$A$5,0)/VLOOKUP($A140,'Dados StatusInvest'!$A:$AZ,2,0)*$F140),0)</f>
        <v>3.51</v>
      </c>
      <c r="U140" s="53">
        <f>IFERROR((VLOOKUP($A140,'Dados StatusInvest'!$A:$AZ,COLUMN(U140)-$A$5,0)-VLOOKUP($A140,'Dados StatusInvest'!$A:$AZ,COLUMN(U140)-$A$5-1,0)+T140),0)</f>
        <v>-3.35</v>
      </c>
      <c r="V140" s="56">
        <f>IFERROR((VLOOKUP($A140,'Dados StatusInvest'!$A:$AZ,COLUMN(V140)-$A$5,0)),0)</f>
        <v>7.12</v>
      </c>
      <c r="W140" s="56">
        <f>IFERROR((VLOOKUP($A140,'Dados StatusInvest'!$A:$AZ,COLUMN(W140)-$A$5,0)),0)</f>
        <v>19.36</v>
      </c>
      <c r="X140" s="53">
        <f>IFERROR((VLOOKUP($A140,'Dados StatusInvest'!$A:$AZ,COLUMN(X140)-$A$5,0)/VLOOKUP($A140,'Dados StatusInvest'!$A:$AZ,2,0)*$F140),0)</f>
        <v>13.44</v>
      </c>
      <c r="Y140" s="54">
        <f>IFERROR((VLOOKUP($A140,'Dados StatusInvest'!$A:$AZ,COLUMN(Y140)-$A$5,0)/VLOOKUP($A140,'Dados StatusInvest'!$A:$AZ,2,0)*$F140),0)</f>
        <v>14.02</v>
      </c>
      <c r="Z140" s="56">
        <f>IFERROR((VLOOKUP($A140,'Dados StatusInvest'!$A:$AZ,COLUMN(Z140)-$A$5,0)),0)</f>
        <v>0.69</v>
      </c>
      <c r="AA140" s="57">
        <f>IFERROR((VLOOKUP($A140,'Dados StatusInvest'!$A:$AZ,COLUMN(AA140)-$A$5,0)),0)</f>
        <v>0.13</v>
      </c>
      <c r="AB140" s="57">
        <f>IFERROR((VLOOKUP($A140,'Dados StatusInvest'!$A:$AZ,COLUMN(AB140)-$A$5,0)),0)</f>
        <v>0.33</v>
      </c>
      <c r="AC140" s="58">
        <f>IFERROR((VLOOKUP($A140,'Dados StatusInvest'!$A:$AZ,COLUMN(AC140)-$A$5,0)),0)</f>
        <v>-33.77</v>
      </c>
      <c r="AD140" s="57">
        <f>IFERROR((VLOOKUP($A140,'Dados StatusInvest'!$A:$AZ,COLUMN(AD140)-$A$5,0)),0)</f>
        <v>10.1</v>
      </c>
      <c r="AE140" s="56">
        <f>IFERROR((VLOOKUP($A140,'Dados StatusInvest'!$A:$AZ,COLUMN(AE140)-$A$5,0)),0)</f>
        <v>138506.8</v>
      </c>
      <c r="AF140" s="56">
        <f>IFERROR((VLOOKUP($A140,'Dados StatusInvest'!$A:$AZ,COLUMN(AF140)-$A$5,0)),0)</f>
        <v>13.8</v>
      </c>
      <c r="AG140" s="56">
        <f>IFERROR((VLOOKUP($A140,'Dados StatusInvest'!$A:$AZ,COLUMN(AG140)-$A$5,0)),0)</f>
        <v>2.67</v>
      </c>
      <c r="AH140" s="56">
        <f>IFERROR((VLOOKUP($A140,'Dados StatusInvest'!$A:$AZ,COLUMN(AH140)-$A$5,0)),0)</f>
        <v>1</v>
      </c>
      <c r="AI140" s="57">
        <f>IFERROR((VLOOKUP($A140,'Dados StatusInvest'!$A:$AZ,COLUMN(AI140)-$A$5,0)),0)</f>
        <v>2233945817</v>
      </c>
      <c r="AJ140" s="59" t="str">
        <f>IFERROR((VLOOKUP($A140,'Dados StatusInvest'!$A:$AZ,COLUMN(AJ140)-$A$5,0)),0)</f>
        <v/>
      </c>
      <c r="AK140" s="60" t="str">
        <f>IFERROR(__xludf.DUMMYFUNCTION("IFERROR(GOOGLEFINANCE($A140,""high""),"""")"),"")</f>
        <v/>
      </c>
      <c r="AL140" s="60" t="str">
        <f>IFERROR(__xludf.DUMMYFUNCTION("IFERROR(GOOGLEFINANCE($A140,""low""),"""")"),"")</f>
        <v/>
      </c>
      <c r="AM140" s="61">
        <f t="shared" si="2"/>
        <v>0</v>
      </c>
      <c r="AN140" s="62">
        <f>IFERROR(__xludf.DUMMYFUNCTION("IFERROR((GOOGLEFINANCE($A140,""volume"")),0)"),0.0)</f>
        <v>0</v>
      </c>
      <c r="AO140" s="60">
        <f>IFERROR(__xludf.DUMMYFUNCTION("IFERROR((GOOGLEFINANCE($A140,""closeyest"")),"""")"),31.52)</f>
        <v>31.52</v>
      </c>
      <c r="AP140" s="60">
        <f>IFERROR(__xludf.DUMMYFUNCTION("IFERROR((GOOGLEFINANCE($A140,""shares"")),"""")"),2.9596015E7)</f>
        <v>29596015</v>
      </c>
      <c r="AQ140" s="18"/>
    </row>
    <row r="141">
      <c r="A141" s="45" t="str">
        <f>'Dados StatusInvest'!A136:A755</f>
        <v>CEDO3</v>
      </c>
      <c r="B141" s="46" t="str">
        <f>IFERROR(__xludf.DUMMYFUNCTION("IFERROR((GOOGLEFINANCE(A141,""name"")),"""")"),"Companhia de Fc  Tcds Cdr Cchr")</f>
        <v>Companhia de Fc  Tcds Cdr Cchr</v>
      </c>
      <c r="C141" s="46" t="str">
        <f>IFERROR((VLOOKUP(LEFT($A141,4),Setor!$A:$E,3,0)),"")</f>
        <v>Consumo Cíclico</v>
      </c>
      <c r="D141" s="46" t="str">
        <f>IFERROR((VLOOKUP(LEFT($A141,4),Setor!$A:$E,4,0)),"")</f>
        <v>Tecidos, Vestuário e Calçados</v>
      </c>
      <c r="E141" s="46" t="str">
        <f>IFERROR((VLOOKUP(LEFT($A141,4),Setor!$A:$E,5,0)),"")</f>
        <v>Fios e Tecidos</v>
      </c>
      <c r="F141" s="47">
        <f>IFERROR(__xludf.DUMMYFUNCTION("IFERROR((GOOGLEFINANCE(A141)),"""")"),13.99)</f>
        <v>13.99</v>
      </c>
      <c r="G141" s="48" t="str">
        <f>IFERROR(__xludf.DUMMYFUNCTION("IFERROR((sparkline(GOOGLEFINANCE($A141,""price"",TODAY()-30,TODAY(),""DAILY""),{""charttype"",""line"";""linewidth"",1;""color"",""#5f88cc""})),"""")"),"")</f>
        <v/>
      </c>
      <c r="H141" s="49" t="str">
        <f>IFERROR(__xludf.DUMMYFUNCTION("IFERROR((((GOOGLEFINANCE(A141))-(INDEX(GoogleFinance(A141,""PRICE"",$AQ$1),2,2)))/(INDEX(GoogleFinance(A141,""PRICE"",$AQ$1),2,2))),"""")"),"")</f>
        <v/>
      </c>
      <c r="I141" s="47">
        <f>IFERROR(__xludf.DUMMYFUNCTION("IFERROR((GOOGLEFINANCE($A141,""high52"")),"""")"),29.4)</f>
        <v>29.4</v>
      </c>
      <c r="J141" s="48" t="str">
        <f>IFERROR(__xludf.DUMMYFUNCTION("IFERROR((sparkline(GOOGLEFINANCE($A141,""price"",TODAY()-365,TODAY(),""DAILY""),{""charttype"",""line"";""linewidth"",1;""color"",""#5f88cc""})),"""")"),"")</f>
        <v/>
      </c>
      <c r="K141" s="50" t="str">
        <f>IFERROR(__xludf.DUMMYFUNCTION("IFERROR((((GOOGLEFINANCE(A141))-(INDEX(GoogleFinance(A141,""PRICE"",$AP$1),2,2)))/(INDEX(GoogleFinance(A141,""PRICE"",$AP$1),2,2))),"""")"),"")</f>
        <v/>
      </c>
      <c r="L141" s="51">
        <f t="shared" si="1"/>
        <v>-0.5241496599</v>
      </c>
      <c r="M141" s="52">
        <f>IFERROR((VLOOKUP($A141,'Dados StatusInvest'!$A:$AZ,COLUMN(M141)-$A$5,0)*VLOOKUP($A141,'Dados StatusInvest'!$A:$AZ,2,0)/$F141/100),0)</f>
        <v>0.1049</v>
      </c>
      <c r="N141" s="53">
        <f>IFERROR((VLOOKUP($A141,'Dados StatusInvest'!$A:$AZ,COLUMN(N141)-$A$5,0)/VLOOKUP($A141,'Dados StatusInvest'!$A:$AZ,2,0)*$F141),"")</f>
        <v>4.31</v>
      </c>
      <c r="O141" s="53">
        <f>IFERROR((VLOOKUP($A141,'Dados StatusInvest'!$A:$AZ,COLUMN(O141)-$A$5,0)/VLOOKUP($A141,'Dados StatusInvest'!$A:$AZ,2,0)*$F141),0)</f>
        <v>1.41</v>
      </c>
      <c r="P141" s="54">
        <f>IFERROR((VLOOKUP($A141,'Dados StatusInvest'!$A:$AZ,COLUMN(P141)-$A$5,0)/VLOOKUP($A141,'Dados StatusInvest'!$A:$AZ,2,0)*$F141),0)</f>
        <v>5.07</v>
      </c>
      <c r="Q141" s="55">
        <f>IFERROR((VLOOKUP($A141,'Dados StatusInvest'!$A:$AZ,COLUMN(Q141)-$A$5,0)/100),0)</f>
        <v>0.0385</v>
      </c>
      <c r="R141" s="56">
        <f>VLOOKUP($A141,'Dados StatusInvest'!$A:$AZ,COLUMN(R141)-$A$5,0)</f>
        <v>1.32</v>
      </c>
      <c r="S141" s="56">
        <f>IFERROR((VLOOKUP($A141,'Dados StatusInvest'!$A:$AZ,COLUMN(S141)-$A$5,0)),0)</f>
        <v>0.15</v>
      </c>
      <c r="T141" s="53">
        <f>IFERROR((VLOOKUP($A141,'Dados StatusInvest'!$A:$AZ,COLUMN(T141)-$A$5,0)/VLOOKUP($A141,'Dados StatusInvest'!$A:$AZ,2,0)*$F141),0)</f>
        <v>3.99</v>
      </c>
      <c r="U141" s="53">
        <f>IFERROR((VLOOKUP($A141,'Dados StatusInvest'!$A:$AZ,COLUMN(U141)-$A$5,0)-VLOOKUP($A141,'Dados StatusInvest'!$A:$AZ,COLUMN(U141)-$A$5-1,0)+T141),0)</f>
        <v>-0.25</v>
      </c>
      <c r="V141" s="56">
        <f>IFERROR((VLOOKUP($A141,'Dados StatusInvest'!$A:$AZ,COLUMN(V141)-$A$5,0)),0)</f>
        <v>1.1</v>
      </c>
      <c r="W141" s="56">
        <f>IFERROR((VLOOKUP($A141,'Dados StatusInvest'!$A:$AZ,COLUMN(W141)-$A$5,0)),0)</f>
        <v>14.05</v>
      </c>
      <c r="X141" s="53">
        <f>IFERROR((VLOOKUP($A141,'Dados StatusInvest'!$A:$AZ,COLUMN(X141)-$A$5,0)/VLOOKUP($A141,'Dados StatusInvest'!$A:$AZ,2,0)*$F141),0)</f>
        <v>4.27</v>
      </c>
      <c r="Y141" s="54">
        <f>IFERROR((VLOOKUP($A141,'Dados StatusInvest'!$A:$AZ,COLUMN(Y141)-$A$5,0)/VLOOKUP($A141,'Dados StatusInvest'!$A:$AZ,2,0)*$F141),0)</f>
        <v>8.45</v>
      </c>
      <c r="Z141" s="56">
        <f>IFERROR((VLOOKUP($A141,'Dados StatusInvest'!$A:$AZ,COLUMN(Z141)-$A$5,0)),0)</f>
        <v>0.3</v>
      </c>
      <c r="AA141" s="57">
        <f>IFERROR((VLOOKUP($A141,'Dados StatusInvest'!$A:$AZ,COLUMN(AA141)-$A$5,0)),0)</f>
        <v>0.7</v>
      </c>
      <c r="AB141" s="57">
        <f>IFERROR((VLOOKUP($A141,'Dados StatusInvest'!$A:$AZ,COLUMN(AB141)-$A$5,0)),0)</f>
        <v>0.99</v>
      </c>
      <c r="AC141" s="58">
        <f>IFERROR((VLOOKUP($A141,'Dados StatusInvest'!$A:$AZ,COLUMN(AC141)-$A$5,0)),0)</f>
        <v>8.89</v>
      </c>
      <c r="AD141" s="57">
        <f>IFERROR((VLOOKUP($A141,'Dados StatusInvest'!$A:$AZ,COLUMN(AD141)-$A$5,0)),0)</f>
        <v>0</v>
      </c>
      <c r="AE141" s="56">
        <f>IFERROR((VLOOKUP($A141,'Dados StatusInvest'!$A:$AZ,COLUMN(AE141)-$A$5,0)),0)</f>
        <v>1399</v>
      </c>
      <c r="AF141" s="56">
        <f>IFERROR((VLOOKUP($A141,'Dados StatusInvest'!$A:$AZ,COLUMN(AF141)-$A$5,0)),0)</f>
        <v>29.08</v>
      </c>
      <c r="AG141" s="56">
        <f>IFERROR((VLOOKUP($A141,'Dados StatusInvest'!$A:$AZ,COLUMN(AG141)-$A$5,0)),0)</f>
        <v>4.09</v>
      </c>
      <c r="AH141" s="56">
        <f>IFERROR((VLOOKUP($A141,'Dados StatusInvest'!$A:$AZ,COLUMN(AH141)-$A$5,0)),0)</f>
        <v>-0.1</v>
      </c>
      <c r="AI141" s="57">
        <f>IFERROR((VLOOKUP($A141,'Dados StatusInvest'!$A:$AZ,COLUMN(AI141)-$A$5,0)),0)</f>
        <v>121268831.4</v>
      </c>
      <c r="AJ141" s="59" t="str">
        <f>IFERROR((VLOOKUP($A141,'Dados StatusInvest'!$A:$AZ,COLUMN(AJ141)-$A$5,0)),0)</f>
        <v/>
      </c>
      <c r="AK141" s="60" t="str">
        <f>IFERROR(__xludf.DUMMYFUNCTION("IFERROR(GOOGLEFINANCE($A141,""high""),"""")"),"")</f>
        <v/>
      </c>
      <c r="AL141" s="60" t="str">
        <f>IFERROR(__xludf.DUMMYFUNCTION("IFERROR(GOOGLEFINANCE($A141,""low""),"""")"),"")</f>
        <v/>
      </c>
      <c r="AM141" s="61">
        <f t="shared" si="2"/>
        <v>0</v>
      </c>
      <c r="AN141" s="62">
        <f>IFERROR(__xludf.DUMMYFUNCTION("IFERROR((GOOGLEFINANCE($A141,""volume"")),0)"),0.0)</f>
        <v>0</v>
      </c>
      <c r="AO141" s="60">
        <f>IFERROR(__xludf.DUMMYFUNCTION("IFERROR((GOOGLEFINANCE($A141,""closeyest"")),"""")"),13.99)</f>
        <v>13.99</v>
      </c>
      <c r="AP141" s="60">
        <f>IFERROR(__xludf.DUMMYFUNCTION("IFERROR((GOOGLEFINANCE($A141,""shares"")),"""")"),5707104.0)</f>
        <v>5707104</v>
      </c>
      <c r="AQ141" s="18"/>
    </row>
    <row r="142">
      <c r="A142" s="45" t="str">
        <f>'Dados StatusInvest'!A137:A756</f>
        <v>CEDO4</v>
      </c>
      <c r="B142" s="46" t="str">
        <f>IFERROR(__xludf.DUMMYFUNCTION("IFERROR((GOOGLEFINANCE(A142,""name"")),"""")"),"Companhia de Fc  Tcds Cdr Cchr Preference Shares")</f>
        <v>Companhia de Fc  Tcds Cdr Cchr Preference Shares</v>
      </c>
      <c r="C142" s="46" t="str">
        <f>IFERROR((VLOOKUP(LEFT($A142,4),Setor!$A:$E,3,0)),"")</f>
        <v>Consumo Cíclico</v>
      </c>
      <c r="D142" s="46" t="str">
        <f>IFERROR((VLOOKUP(LEFT($A142,4),Setor!$A:$E,4,0)),"")</f>
        <v>Tecidos, Vestuário e Calçados</v>
      </c>
      <c r="E142" s="46" t="str">
        <f>IFERROR((VLOOKUP(LEFT($A142,4),Setor!$A:$E,5,0)),"")</f>
        <v>Fios e Tecidos</v>
      </c>
      <c r="F142" s="47">
        <f>IFERROR(__xludf.DUMMYFUNCTION("IFERROR((GOOGLEFINANCE(A142)),"""")"),9.65)</f>
        <v>9.65</v>
      </c>
      <c r="G142" s="48" t="str">
        <f>IFERROR(__xludf.DUMMYFUNCTION("IFERROR((sparkline(GOOGLEFINANCE($A142,""price"",TODAY()-30,TODAY(),""DAILY""),{""charttype"",""line"";""linewidth"",1;""color"",""#5f88cc""})),"""")"),"")</f>
        <v/>
      </c>
      <c r="H142" s="49">
        <f>IFERROR(__xludf.DUMMYFUNCTION("IFERROR((((GOOGLEFINANCE(A142))-(INDEX(GoogleFinance(A142,""PRICE"",$AQ$1),2,2)))/(INDEX(GoogleFinance(A142,""PRICE"",$AQ$1),2,2))),"""")"),0.026595744680851064)</f>
        <v>0.02659574468</v>
      </c>
      <c r="I142" s="47">
        <f>IFERROR(__xludf.DUMMYFUNCTION("IFERROR((GOOGLEFINANCE($A142,""high52"")),"""")"),22.5)</f>
        <v>22.5</v>
      </c>
      <c r="J142" s="48" t="str">
        <f>IFERROR(__xludf.DUMMYFUNCTION("IFERROR((sparkline(GOOGLEFINANCE($A142,""price"",TODAY()-365,TODAY(),""DAILY""),{""charttype"",""line"";""linewidth"",1;""color"",""#5f88cc""})),"""")"),"")</f>
        <v/>
      </c>
      <c r="K142" s="50">
        <f>IFERROR(__xludf.DUMMYFUNCTION("IFERROR((((GOOGLEFINANCE(A142))-(INDEX(GoogleFinance(A142,""PRICE"",$AP$1),2,2)))/(INDEX(GoogleFinance(A142,""PRICE"",$AP$1),2,2))),"""")"),-0.5175)</f>
        <v>-0.5175</v>
      </c>
      <c r="L142" s="51">
        <f t="shared" si="1"/>
        <v>-0.5711111111</v>
      </c>
      <c r="M142" s="52">
        <f>IFERROR((VLOOKUP($A142,'Dados StatusInvest'!$A:$AZ,COLUMN(M142)-$A$5,0)*VLOOKUP($A142,'Dados StatusInvest'!$A:$AZ,2,0)/$F142/100),0)</f>
        <v>0.1049</v>
      </c>
      <c r="N142" s="53">
        <f>IFERROR((VLOOKUP($A142,'Dados StatusInvest'!$A:$AZ,COLUMN(N142)-$A$5,0)/VLOOKUP($A142,'Dados StatusInvest'!$A:$AZ,2,0)*$F142),"")</f>
        <v>4.31</v>
      </c>
      <c r="O142" s="53">
        <f>IFERROR((VLOOKUP($A142,'Dados StatusInvest'!$A:$AZ,COLUMN(O142)-$A$5,0)/VLOOKUP($A142,'Dados StatusInvest'!$A:$AZ,2,0)*$F142),0)</f>
        <v>0.97</v>
      </c>
      <c r="P142" s="54">
        <f>IFERROR((VLOOKUP($A142,'Dados StatusInvest'!$A:$AZ,COLUMN(P142)-$A$5,0)/VLOOKUP($A142,'Dados StatusInvest'!$A:$AZ,2,0)*$F142),0)</f>
        <v>5.07</v>
      </c>
      <c r="Q142" s="55">
        <f>IFERROR((VLOOKUP($A142,'Dados StatusInvest'!$A:$AZ,COLUMN(Q142)-$A$5,0)/100),0)</f>
        <v>0.0385</v>
      </c>
      <c r="R142" s="56">
        <f>VLOOKUP($A142,'Dados StatusInvest'!$A:$AZ,COLUMN(R142)-$A$5,0)</f>
        <v>1.32</v>
      </c>
      <c r="S142" s="56">
        <f>IFERROR((VLOOKUP($A142,'Dados StatusInvest'!$A:$AZ,COLUMN(S142)-$A$5,0)),0)</f>
        <v>0.1</v>
      </c>
      <c r="T142" s="53">
        <f>IFERROR((VLOOKUP($A142,'Dados StatusInvest'!$A:$AZ,COLUMN(T142)-$A$5,0)/VLOOKUP($A142,'Dados StatusInvest'!$A:$AZ,2,0)*$F142),0)</f>
        <v>2.75</v>
      </c>
      <c r="U142" s="53">
        <f>IFERROR((VLOOKUP($A142,'Dados StatusInvest'!$A:$AZ,COLUMN(U142)-$A$5,0)-VLOOKUP($A142,'Dados StatusInvest'!$A:$AZ,COLUMN(U142)-$A$5-1,0)+T142),0)</f>
        <v>-0.17</v>
      </c>
      <c r="V142" s="56">
        <f>IFERROR((VLOOKUP($A142,'Dados StatusInvest'!$A:$AZ,COLUMN(V142)-$A$5,0)),0)</f>
        <v>1.1</v>
      </c>
      <c r="W142" s="56">
        <f>IFERROR((VLOOKUP($A142,'Dados StatusInvest'!$A:$AZ,COLUMN(W142)-$A$5,0)),0)</f>
        <v>14.05</v>
      </c>
      <c r="X142" s="53">
        <f>IFERROR((VLOOKUP($A142,'Dados StatusInvest'!$A:$AZ,COLUMN(X142)-$A$5,0)/VLOOKUP($A142,'Dados StatusInvest'!$A:$AZ,2,0)*$F142),0)</f>
        <v>4.27</v>
      </c>
      <c r="Y142" s="54">
        <f>IFERROR((VLOOKUP($A142,'Dados StatusInvest'!$A:$AZ,COLUMN(Y142)-$A$5,0)/VLOOKUP($A142,'Dados StatusInvest'!$A:$AZ,2,0)*$F142),0)</f>
        <v>8.45</v>
      </c>
      <c r="Z142" s="56">
        <f>IFERROR((VLOOKUP($A142,'Dados StatusInvest'!$A:$AZ,COLUMN(Z142)-$A$5,0)),0)</f>
        <v>0.3</v>
      </c>
      <c r="AA142" s="57">
        <f>IFERROR((VLOOKUP($A142,'Dados StatusInvest'!$A:$AZ,COLUMN(AA142)-$A$5,0)),0)</f>
        <v>0.7</v>
      </c>
      <c r="AB142" s="57">
        <f>IFERROR((VLOOKUP($A142,'Dados StatusInvest'!$A:$AZ,COLUMN(AB142)-$A$5,0)),0)</f>
        <v>0.99</v>
      </c>
      <c r="AC142" s="58">
        <f>IFERROR((VLOOKUP($A142,'Dados StatusInvest'!$A:$AZ,COLUMN(AC142)-$A$5,0)),0)</f>
        <v>8.89</v>
      </c>
      <c r="AD142" s="57">
        <f>IFERROR((VLOOKUP($A142,'Dados StatusInvest'!$A:$AZ,COLUMN(AD142)-$A$5,0)),0)</f>
        <v>0</v>
      </c>
      <c r="AE142" s="56">
        <f>IFERROR((VLOOKUP($A142,'Dados StatusInvest'!$A:$AZ,COLUMN(AE142)-$A$5,0)),0)</f>
        <v>9930.56</v>
      </c>
      <c r="AF142" s="56">
        <f>IFERROR((VLOOKUP($A142,'Dados StatusInvest'!$A:$AZ,COLUMN(AF142)-$A$5,0)),0)</f>
        <v>29.08</v>
      </c>
      <c r="AG142" s="56">
        <f>IFERROR((VLOOKUP($A142,'Dados StatusInvest'!$A:$AZ,COLUMN(AG142)-$A$5,0)),0)</f>
        <v>4.09</v>
      </c>
      <c r="AH142" s="56">
        <f>IFERROR((VLOOKUP($A142,'Dados StatusInvest'!$A:$AZ,COLUMN(AH142)-$A$5,0)),0)</f>
        <v>-0.07</v>
      </c>
      <c r="AI142" s="57">
        <f>IFERROR((VLOOKUP($A142,'Dados StatusInvest'!$A:$AZ,COLUMN(AI142)-$A$5,0)),0)</f>
        <v>121268831.4</v>
      </c>
      <c r="AJ142" s="59" t="str">
        <f>IFERROR((VLOOKUP($A142,'Dados StatusInvest'!$A:$AZ,COLUMN(AJ142)-$A$5,0)),0)</f>
        <v/>
      </c>
      <c r="AK142" s="60" t="str">
        <f>IFERROR(__xludf.DUMMYFUNCTION("IFERROR(GOOGLEFINANCE($A142,""high""),"""")"),"")</f>
        <v/>
      </c>
      <c r="AL142" s="60" t="str">
        <f>IFERROR(__xludf.DUMMYFUNCTION("IFERROR(GOOGLEFINANCE($A142,""low""),"""")"),"")</f>
        <v/>
      </c>
      <c r="AM142" s="61">
        <f t="shared" si="2"/>
        <v>0</v>
      </c>
      <c r="AN142" s="62">
        <f>IFERROR(__xludf.DUMMYFUNCTION("IFERROR((GOOGLEFINANCE($A142,""volume"")),0)"),0.0)</f>
        <v>0</v>
      </c>
      <c r="AO142" s="60">
        <f>IFERROR(__xludf.DUMMYFUNCTION("IFERROR((GOOGLEFINANCE($A142,""closeyest"")),"""")"),9.65)</f>
        <v>9.65</v>
      </c>
      <c r="AP142" s="60">
        <f>IFERROR(__xludf.DUMMYFUNCTION("IFERROR((GOOGLEFINANCE($A142,""shares"")),"""")"),4292896.0)</f>
        <v>4292896</v>
      </c>
      <c r="AQ142" s="18"/>
    </row>
    <row r="143">
      <c r="A143" s="45" t="str">
        <f>'Dados StatusInvest'!A138:A757</f>
        <v>CEEB3</v>
      </c>
      <c r="B143" s="46" t="str">
        <f>IFERROR(__xludf.DUMMYFUNCTION("IFERROR((GOOGLEFINANCE(A143,""name"")),"""")"),"Companhia de ltrcdd d std d Bh Clb")</f>
        <v>Companhia de ltrcdd d std d Bh Clb</v>
      </c>
      <c r="C143" s="46" t="str">
        <f>IFERROR((VLOOKUP(LEFT($A143,4),Setor!$A:$E,3,0)),"")</f>
        <v>Utilidade Pública</v>
      </c>
      <c r="D143" s="46" t="str">
        <f>IFERROR((VLOOKUP(LEFT($A143,4),Setor!$A:$E,4,0)),"")</f>
        <v>Energia Elétrica</v>
      </c>
      <c r="E143" s="46" t="str">
        <f>IFERROR((VLOOKUP(LEFT($A143,4),Setor!$A:$E,5,0)),"")</f>
        <v>Energia Elétrica</v>
      </c>
      <c r="F143" s="47">
        <f>IFERROR(__xludf.DUMMYFUNCTION("IFERROR((GOOGLEFINANCE(A143)),"""")"),45.55)</f>
        <v>45.55</v>
      </c>
      <c r="G143" s="48" t="str">
        <f>IFERROR(__xludf.DUMMYFUNCTION("IFERROR((sparkline(GOOGLEFINANCE($A143,""price"",TODAY()-30,TODAY(),""DAILY""),{""charttype"",""line"";""linewidth"",1;""color"",""#5f88cc""})),"""")"),"")</f>
        <v/>
      </c>
      <c r="H143" s="49">
        <f>IFERROR(__xludf.DUMMYFUNCTION("IFERROR((((GOOGLEFINANCE(A143))-(INDEX(GoogleFinance(A143,""PRICE"",$AQ$1),2,2)))/(INDEX(GoogleFinance(A143,""PRICE"",$AQ$1),2,2))),"""")"),0.04019182461749253)</f>
        <v>0.04019182462</v>
      </c>
      <c r="I143" s="47">
        <f>IFERROR(__xludf.DUMMYFUNCTION("IFERROR((GOOGLEFINANCE($A143,""high52"")),"""")"),47.87)</f>
        <v>47.87</v>
      </c>
      <c r="J143" s="48" t="str">
        <f>IFERROR(__xludf.DUMMYFUNCTION("IFERROR((sparkline(GOOGLEFINANCE($A143,""price"",TODAY()-365,TODAY(),""DAILY""),{""charttype"",""line"";""linewidth"",1;""color"",""#5f88cc""})),"""")"),"")</f>
        <v/>
      </c>
      <c r="K143" s="50">
        <f>IFERROR(__xludf.DUMMYFUNCTION("IFERROR((((GOOGLEFINANCE(A143))-(INDEX(GoogleFinance(A143,""PRICE"",$AP$1),2,2)))/(INDEX(GoogleFinance(A143,""PRICE"",$AP$1),2,2))),"""")"),0.20248152059134092)</f>
        <v>0.2024815206</v>
      </c>
      <c r="L143" s="51">
        <f t="shared" si="1"/>
        <v>-0.0484645916</v>
      </c>
      <c r="M143" s="52">
        <f>IFERROR((VLOOKUP($A143,'Dados StatusInvest'!$A:$AZ,COLUMN(M143)-$A$5,0)*VLOOKUP($A143,'Dados StatusInvest'!$A:$AZ,2,0)/$F143/100),0)</f>
        <v>0.2358</v>
      </c>
      <c r="N143" s="53">
        <f>IFERROR((VLOOKUP($A143,'Dados StatusInvest'!$A:$AZ,COLUMN(N143)-$A$5,0)/VLOOKUP($A143,'Dados StatusInvest'!$A:$AZ,2,0)*$F143),"")</f>
        <v>11.36</v>
      </c>
      <c r="O143" s="53">
        <f>IFERROR((VLOOKUP($A143,'Dados StatusInvest'!$A:$AZ,COLUMN(O143)-$A$5,0)/VLOOKUP($A143,'Dados StatusInvest'!$A:$AZ,2,0)*$F143),0)</f>
        <v>2.76</v>
      </c>
      <c r="P143" s="54">
        <f>IFERROR((VLOOKUP($A143,'Dados StatusInvest'!$A:$AZ,COLUMN(P143)-$A$5,0)/VLOOKUP($A143,'Dados StatusInvest'!$A:$AZ,2,0)*$F143),0)</f>
        <v>6.8</v>
      </c>
      <c r="Q143" s="55">
        <f>IFERROR((VLOOKUP($A143,'Dados StatusInvest'!$A:$AZ,COLUMN(Q143)-$A$5,0)/100),0)</f>
        <v>0.0365</v>
      </c>
      <c r="R143" s="56">
        <f>VLOOKUP($A143,'Dados StatusInvest'!$A:$AZ,COLUMN(R143)-$A$5,0)</f>
        <v>1.84</v>
      </c>
      <c r="S143" s="56">
        <f>IFERROR((VLOOKUP($A143,'Dados StatusInvest'!$A:$AZ,COLUMN(S143)-$A$5,0)),0)</f>
        <v>0.65</v>
      </c>
      <c r="T143" s="53">
        <f>IFERROR((VLOOKUP($A143,'Dados StatusInvest'!$A:$AZ,COLUMN(T143)-$A$5,0)/VLOOKUP($A143,'Dados StatusInvest'!$A:$AZ,2,0)*$F143),0)</f>
        <v>-40.47</v>
      </c>
      <c r="U143" s="53">
        <f>IFERROR((VLOOKUP($A143,'Dados StatusInvest'!$A:$AZ,COLUMN(U143)-$A$5,0)-VLOOKUP($A143,'Dados StatusInvest'!$A:$AZ,COLUMN(U143)-$A$5-1,0)+T143),0)</f>
        <v>-0.43</v>
      </c>
      <c r="V143" s="56">
        <f>IFERROR((VLOOKUP($A143,'Dados StatusInvest'!$A:$AZ,COLUMN(V143)-$A$5,0)),0)</f>
        <v>0.95</v>
      </c>
      <c r="W143" s="56">
        <f>IFERROR((VLOOKUP($A143,'Dados StatusInvest'!$A:$AZ,COLUMN(W143)-$A$5,0)),0)</f>
        <v>24.33</v>
      </c>
      <c r="X143" s="53">
        <f>IFERROR((VLOOKUP($A143,'Dados StatusInvest'!$A:$AZ,COLUMN(X143)-$A$5,0)/VLOOKUP($A143,'Dados StatusInvest'!$A:$AZ,2,0)*$F143),0)</f>
        <v>6.25</v>
      </c>
      <c r="Y143" s="54">
        <f>IFERROR((VLOOKUP($A143,'Dados StatusInvest'!$A:$AZ,COLUMN(Y143)-$A$5,0)/VLOOKUP($A143,'Dados StatusInvest'!$A:$AZ,2,0)*$F143),0)</f>
        <v>16.82</v>
      </c>
      <c r="Z143" s="56">
        <f>IFERROR((VLOOKUP($A143,'Dados StatusInvest'!$A:$AZ,COLUMN(Z143)-$A$5,0)),0)</f>
        <v>0.26</v>
      </c>
      <c r="AA143" s="57">
        <f>IFERROR((VLOOKUP($A143,'Dados StatusInvest'!$A:$AZ,COLUMN(AA143)-$A$5,0)),0)</f>
        <v>0.74</v>
      </c>
      <c r="AB143" s="57">
        <f>IFERROR((VLOOKUP($A143,'Dados StatusInvest'!$A:$AZ,COLUMN(AB143)-$A$5,0)),0)</f>
        <v>0.55</v>
      </c>
      <c r="AC143" s="58">
        <f>IFERROR((VLOOKUP($A143,'Dados StatusInvest'!$A:$AZ,COLUMN(AC143)-$A$5,0)),0)</f>
        <v>10.09</v>
      </c>
      <c r="AD143" s="57">
        <f>IFERROR((VLOOKUP($A143,'Dados StatusInvest'!$A:$AZ,COLUMN(AD143)-$A$5,0)),0)</f>
        <v>15.61</v>
      </c>
      <c r="AE143" s="56">
        <f>IFERROR((VLOOKUP($A143,'Dados StatusInvest'!$A:$AZ,COLUMN(AE143)-$A$5,0)),0)</f>
        <v>27837.9</v>
      </c>
      <c r="AF143" s="56">
        <f>IFERROR((VLOOKUP($A143,'Dados StatusInvest'!$A:$AZ,COLUMN(AF143)-$A$5,0)),0)</f>
        <v>32.69</v>
      </c>
      <c r="AG143" s="56">
        <f>IFERROR((VLOOKUP($A143,'Dados StatusInvest'!$A:$AZ,COLUMN(AG143)-$A$5,0)),0)</f>
        <v>7.96</v>
      </c>
      <c r="AH143" s="56">
        <f>IFERROR((VLOOKUP($A143,'Dados StatusInvest'!$A:$AZ,COLUMN(AH143)-$A$5,0)),0)</f>
        <v>0.3</v>
      </c>
      <c r="AI143" s="57">
        <f>IFERROR((VLOOKUP($A143,'Dados StatusInvest'!$A:$AZ,COLUMN(AI143)-$A$5,0)),0)</f>
        <v>13604266735</v>
      </c>
      <c r="AJ143" s="59" t="str">
        <f>IFERROR((VLOOKUP($A143,'Dados StatusInvest'!$A:$AZ,COLUMN(AJ143)-$A$5,0)),0)</f>
        <v/>
      </c>
      <c r="AK143" s="60" t="str">
        <f>IFERROR(__xludf.DUMMYFUNCTION("IFERROR(GOOGLEFINANCE($A143,""high""),"""")"),"")</f>
        <v/>
      </c>
      <c r="AL143" s="60" t="str">
        <f>IFERROR(__xludf.DUMMYFUNCTION("IFERROR(GOOGLEFINANCE($A143,""low""),"""")"),"")</f>
        <v/>
      </c>
      <c r="AM143" s="61">
        <f t="shared" si="2"/>
        <v>0</v>
      </c>
      <c r="AN143" s="62">
        <f>IFERROR(__xludf.DUMMYFUNCTION("IFERROR((GOOGLEFINANCE($A143,""volume"")),0)"),0.0)</f>
        <v>0</v>
      </c>
      <c r="AO143" s="60">
        <f>IFERROR(__xludf.DUMMYFUNCTION("IFERROR((GOOGLEFINANCE($A143,""closeyest"")),"""")"),45.55)</f>
        <v>45.55</v>
      </c>
      <c r="AP143" s="60">
        <f>IFERROR(__xludf.DUMMYFUNCTION("IFERROR((GOOGLEFINANCE($A143,""shares"")),"""")"),1.51997609E8)</f>
        <v>151997609</v>
      </c>
      <c r="AQ143" s="18"/>
    </row>
    <row r="144">
      <c r="A144" s="45" t="str">
        <f>'Dados StatusInvest'!A139:A758</f>
        <v>CEEB5</v>
      </c>
      <c r="B144" s="46" t="str">
        <f>IFERROR(__xludf.DUMMYFUNCTION("IFERROR((GOOGLEFINANCE(A144,""name"")),"""")"),"Companhia de ltrcdd d std d Bh Clb Preference Shares Class A")</f>
        <v>Companhia de ltrcdd d std d Bh Clb Preference Shares Class A</v>
      </c>
      <c r="C144" s="46" t="str">
        <f>IFERROR((VLOOKUP(LEFT($A144,4),Setor!$A:$E,3,0)),"")</f>
        <v>Utilidade Pública</v>
      </c>
      <c r="D144" s="46" t="str">
        <f>IFERROR((VLOOKUP(LEFT($A144,4),Setor!$A:$E,4,0)),"")</f>
        <v>Energia Elétrica</v>
      </c>
      <c r="E144" s="46" t="str">
        <f>IFERROR((VLOOKUP(LEFT($A144,4),Setor!$A:$E,5,0)),"")</f>
        <v>Energia Elétrica</v>
      </c>
      <c r="F144" s="47">
        <f>IFERROR(__xludf.DUMMYFUNCTION("IFERROR((GOOGLEFINANCE(A144)),"""")"),37.0)</f>
        <v>37</v>
      </c>
      <c r="G144" s="48" t="str">
        <f>IFERROR(__xludf.DUMMYFUNCTION("IFERROR((sparkline(GOOGLEFINANCE($A144,""price"",TODAY()-30,TODAY(),""DAILY""),{""charttype"",""line"";""linewidth"",1;""color"",""#5f88cc""})),"""")"),"")</f>
        <v/>
      </c>
      <c r="H144" s="49">
        <f>IFERROR(__xludf.DUMMYFUNCTION("IFERROR((((GOOGLEFINANCE(A144))-(INDEX(GoogleFinance(A144,""PRICE"",$AQ$1),2,2)))/(INDEX(GoogleFinance(A144,""PRICE"",$AQ$1),2,2))),"""")"),-0.02631578947368421)</f>
        <v>-0.02631578947</v>
      </c>
      <c r="I144" s="47">
        <f>IFERROR(__xludf.DUMMYFUNCTION("IFERROR((GOOGLEFINANCE($A144,""high52"")),"""")"),49.0)</f>
        <v>49</v>
      </c>
      <c r="J144" s="48" t="str">
        <f>IFERROR(__xludf.DUMMYFUNCTION("IFERROR((sparkline(GOOGLEFINANCE($A144,""price"",TODAY()-365,TODAY(),""DAILY""),{""charttype"",""line"";""linewidth"",1;""color"",""#5f88cc""})),"""")"),"")</f>
        <v/>
      </c>
      <c r="K144" s="50" t="str">
        <f>IFERROR(__xludf.DUMMYFUNCTION("IFERROR((((GOOGLEFINANCE(A144))-(INDEX(GoogleFinance(A144,""PRICE"",$AP$1),2,2)))/(INDEX(GoogleFinance(A144,""PRICE"",$AP$1),2,2))),"""")"),"")</f>
        <v/>
      </c>
      <c r="L144" s="51">
        <f t="shared" si="1"/>
        <v>-0.2448979592</v>
      </c>
      <c r="M144" s="52">
        <f>IFERROR((VLOOKUP($A144,'Dados StatusInvest'!$A:$AZ,COLUMN(M144)-$A$5,0)*VLOOKUP($A144,'Dados StatusInvest'!$A:$AZ,2,0)/$F144/100),0)</f>
        <v>0.2358</v>
      </c>
      <c r="N144" s="53">
        <f>IFERROR((VLOOKUP($A144,'Dados StatusInvest'!$A:$AZ,COLUMN(N144)-$A$5,0)/VLOOKUP($A144,'Dados StatusInvest'!$A:$AZ,2,0)*$F144),"")</f>
        <v>11.36</v>
      </c>
      <c r="O144" s="53">
        <f>IFERROR((VLOOKUP($A144,'Dados StatusInvest'!$A:$AZ,COLUMN(O144)-$A$5,0)/VLOOKUP($A144,'Dados StatusInvest'!$A:$AZ,2,0)*$F144),0)</f>
        <v>2.24</v>
      </c>
      <c r="P144" s="54">
        <f>IFERROR((VLOOKUP($A144,'Dados StatusInvest'!$A:$AZ,COLUMN(P144)-$A$5,0)/VLOOKUP($A144,'Dados StatusInvest'!$A:$AZ,2,0)*$F144),0)</f>
        <v>6.8</v>
      </c>
      <c r="Q144" s="55">
        <f>IFERROR((VLOOKUP($A144,'Dados StatusInvest'!$A:$AZ,COLUMN(Q144)-$A$5,0)/100),0)</f>
        <v>0.0365</v>
      </c>
      <c r="R144" s="56">
        <f>VLOOKUP($A144,'Dados StatusInvest'!$A:$AZ,COLUMN(R144)-$A$5,0)</f>
        <v>1.84</v>
      </c>
      <c r="S144" s="56">
        <f>IFERROR((VLOOKUP($A144,'Dados StatusInvest'!$A:$AZ,COLUMN(S144)-$A$5,0)),0)</f>
        <v>0.53</v>
      </c>
      <c r="T144" s="53">
        <f>IFERROR((VLOOKUP($A144,'Dados StatusInvest'!$A:$AZ,COLUMN(T144)-$A$5,0)/VLOOKUP($A144,'Dados StatusInvest'!$A:$AZ,2,0)*$F144),0)</f>
        <v>-32.87</v>
      </c>
      <c r="U144" s="53">
        <f>IFERROR((VLOOKUP($A144,'Dados StatusInvest'!$A:$AZ,COLUMN(U144)-$A$5,0)-VLOOKUP($A144,'Dados StatusInvest'!$A:$AZ,COLUMN(U144)-$A$5-1,0)+T144),0)</f>
        <v>-0.35</v>
      </c>
      <c r="V144" s="56">
        <f>IFERROR((VLOOKUP($A144,'Dados StatusInvest'!$A:$AZ,COLUMN(V144)-$A$5,0)),0)</f>
        <v>0.95</v>
      </c>
      <c r="W144" s="56">
        <f>IFERROR((VLOOKUP($A144,'Dados StatusInvest'!$A:$AZ,COLUMN(W144)-$A$5,0)),0)</f>
        <v>24.33</v>
      </c>
      <c r="X144" s="53">
        <f>IFERROR((VLOOKUP($A144,'Dados StatusInvest'!$A:$AZ,COLUMN(X144)-$A$5,0)/VLOOKUP($A144,'Dados StatusInvest'!$A:$AZ,2,0)*$F144),0)</f>
        <v>6.25</v>
      </c>
      <c r="Y144" s="54">
        <f>IFERROR((VLOOKUP($A144,'Dados StatusInvest'!$A:$AZ,COLUMN(Y144)-$A$5,0)/VLOOKUP($A144,'Dados StatusInvest'!$A:$AZ,2,0)*$F144),0)</f>
        <v>16.82</v>
      </c>
      <c r="Z144" s="56">
        <f>IFERROR((VLOOKUP($A144,'Dados StatusInvest'!$A:$AZ,COLUMN(Z144)-$A$5,0)),0)</f>
        <v>0.26</v>
      </c>
      <c r="AA144" s="57">
        <f>IFERROR((VLOOKUP($A144,'Dados StatusInvest'!$A:$AZ,COLUMN(AA144)-$A$5,0)),0)</f>
        <v>0.74</v>
      </c>
      <c r="AB144" s="57">
        <f>IFERROR((VLOOKUP($A144,'Dados StatusInvest'!$A:$AZ,COLUMN(AB144)-$A$5,0)),0)</f>
        <v>0.55</v>
      </c>
      <c r="AC144" s="58">
        <f>IFERROR((VLOOKUP($A144,'Dados StatusInvest'!$A:$AZ,COLUMN(AC144)-$A$5,0)),0)</f>
        <v>10.09</v>
      </c>
      <c r="AD144" s="57">
        <f>IFERROR((VLOOKUP($A144,'Dados StatusInvest'!$A:$AZ,COLUMN(AD144)-$A$5,0)),0)</f>
        <v>15.61</v>
      </c>
      <c r="AE144" s="56">
        <f>IFERROR((VLOOKUP($A144,'Dados StatusInvest'!$A:$AZ,COLUMN(AE144)-$A$5,0)),0)</f>
        <v>7400</v>
      </c>
      <c r="AF144" s="56">
        <f>IFERROR((VLOOKUP($A144,'Dados StatusInvest'!$A:$AZ,COLUMN(AF144)-$A$5,0)),0)</f>
        <v>32.69</v>
      </c>
      <c r="AG144" s="56">
        <f>IFERROR((VLOOKUP($A144,'Dados StatusInvest'!$A:$AZ,COLUMN(AG144)-$A$5,0)),0)</f>
        <v>7.96</v>
      </c>
      <c r="AH144" s="56">
        <f>IFERROR((VLOOKUP($A144,'Dados StatusInvest'!$A:$AZ,COLUMN(AH144)-$A$5,0)),0)</f>
        <v>0.24</v>
      </c>
      <c r="AI144" s="57">
        <f>IFERROR((VLOOKUP($A144,'Dados StatusInvest'!$A:$AZ,COLUMN(AI144)-$A$5,0)),0)</f>
        <v>13604266735</v>
      </c>
      <c r="AJ144" s="59" t="str">
        <f>IFERROR((VLOOKUP($A144,'Dados StatusInvest'!$A:$AZ,COLUMN(AJ144)-$A$5,0)),0)</f>
        <v/>
      </c>
      <c r="AK144" s="60" t="str">
        <f>IFERROR(__xludf.DUMMYFUNCTION("IFERROR(GOOGLEFINANCE($A144,""high""),"""")"),"")</f>
        <v/>
      </c>
      <c r="AL144" s="60" t="str">
        <f>IFERROR(__xludf.DUMMYFUNCTION("IFERROR(GOOGLEFINANCE($A144,""low""),"""")"),"")</f>
        <v/>
      </c>
      <c r="AM144" s="61">
        <f t="shared" si="2"/>
        <v>0</v>
      </c>
      <c r="AN144" s="62">
        <f>IFERROR(__xludf.DUMMYFUNCTION("IFERROR((GOOGLEFINANCE($A144,""volume"")),0)"),0.0)</f>
        <v>0</v>
      </c>
      <c r="AO144" s="60">
        <f>IFERROR(__xludf.DUMMYFUNCTION("IFERROR((GOOGLEFINANCE($A144,""closeyest"")),"""")"),37.0)</f>
        <v>37</v>
      </c>
      <c r="AP144" s="60">
        <f>IFERROR(__xludf.DUMMYFUNCTION("IFERROR((GOOGLEFINANCE($A144,""shares"")),"""")"),2.7220069E7)</f>
        <v>27220069</v>
      </c>
      <c r="AQ144" s="18"/>
    </row>
    <row r="145">
      <c r="A145" s="45" t="str">
        <f>'Dados StatusInvest'!A140:A759</f>
        <v>CEEB6</v>
      </c>
      <c r="B145" s="46" t="str">
        <f>IFERROR(__xludf.DUMMYFUNCTION("IFERROR((GOOGLEFINANCE(A145,""name"")),"""")"),"Companhia de ltrcdd d std d Bh Clb Preference Shares Class B")</f>
        <v>Companhia de ltrcdd d std d Bh Clb Preference Shares Class B</v>
      </c>
      <c r="C145" s="46" t="str">
        <f>IFERROR((VLOOKUP(LEFT($A145,4),Setor!$A:$E,3,0)),"")</f>
        <v>Utilidade Pública</v>
      </c>
      <c r="D145" s="46" t="str">
        <f>IFERROR((VLOOKUP(LEFT($A145,4),Setor!$A:$E,4,0)),"")</f>
        <v>Energia Elétrica</v>
      </c>
      <c r="E145" s="46" t="str">
        <f>IFERROR((VLOOKUP(LEFT($A145,4),Setor!$A:$E,5,0)),"")</f>
        <v>Energia Elétrica</v>
      </c>
      <c r="F145" s="47">
        <f>IFERROR(__xludf.DUMMYFUNCTION("IFERROR((GOOGLEFINANCE(A145)),"""")"),0.0)</f>
        <v>0</v>
      </c>
      <c r="G145" s="48" t="str">
        <f>IFERROR(__xludf.DUMMYFUNCTION("IFERROR((sparkline(GOOGLEFINANCE($A145,""price"",TODAY()-30,TODAY(),""DAILY""),{""charttype"",""line"";""linewidth"",1;""color"",""#5f88cc""})),"""")"),"")</f>
        <v/>
      </c>
      <c r="H145" s="49" t="str">
        <f>IFERROR(__xludf.DUMMYFUNCTION("IFERROR((((GOOGLEFINANCE(A145))-(INDEX(GoogleFinance(A145,""PRICE"",$AQ$1),2,2)))/(INDEX(GoogleFinance(A145,""PRICE"",$AQ$1),2,2))),"""")"),"")</f>
        <v/>
      </c>
      <c r="I145" s="47" t="str">
        <f>IFERROR(__xludf.DUMMYFUNCTION("IFERROR((GOOGLEFINANCE($A145,""high52"")),"""")"),"")</f>
        <v/>
      </c>
      <c r="J145" s="48" t="str">
        <f>IFERROR(__xludf.DUMMYFUNCTION("IFERROR((sparkline(GOOGLEFINANCE($A145,""price"",TODAY()-365,TODAY(),""DAILY""),{""charttype"",""line"";""linewidth"",1;""color"",""#5f88cc""})),"""")"),"")</f>
        <v/>
      </c>
      <c r="K145" s="50" t="str">
        <f>IFERROR(__xludf.DUMMYFUNCTION("IFERROR((((GOOGLEFINANCE(A145))-(INDEX(GoogleFinance(A145,""PRICE"",$AP$1),2,2)))/(INDEX(GoogleFinance(A145,""PRICE"",$AP$1),2,2))),"""")"),"")</f>
        <v/>
      </c>
      <c r="L145" s="51">
        <f t="shared" si="1"/>
        <v>0</v>
      </c>
      <c r="M145" s="52">
        <f>IFERROR((VLOOKUP($A145,'Dados StatusInvest'!$A:$AZ,COLUMN(M145)-$A$5,0)*VLOOKUP($A145,'Dados StatusInvest'!$A:$AZ,2,0)/$F145/100),0)</f>
        <v>0</v>
      </c>
      <c r="N145" s="53">
        <f>IFERROR((VLOOKUP($A145,'Dados StatusInvest'!$A:$AZ,COLUMN(N145)-$A$5,0)/VLOOKUP($A145,'Dados StatusInvest'!$A:$AZ,2,0)*$F145),"")</f>
        <v>0</v>
      </c>
      <c r="O145" s="53">
        <f>IFERROR((VLOOKUP($A145,'Dados StatusInvest'!$A:$AZ,COLUMN(O145)-$A$5,0)/VLOOKUP($A145,'Dados StatusInvest'!$A:$AZ,2,0)*$F145),0)</f>
        <v>0</v>
      </c>
      <c r="P145" s="54">
        <f>IFERROR((VLOOKUP($A145,'Dados StatusInvest'!$A:$AZ,COLUMN(P145)-$A$5,0)/VLOOKUP($A145,'Dados StatusInvest'!$A:$AZ,2,0)*$F145),0)</f>
        <v>0</v>
      </c>
      <c r="Q145" s="55">
        <f>IFERROR((VLOOKUP($A145,'Dados StatusInvest'!$A:$AZ,COLUMN(Q145)-$A$5,0)/100),0)</f>
        <v>0.0365</v>
      </c>
      <c r="R145" s="56">
        <f>VLOOKUP($A145,'Dados StatusInvest'!$A:$AZ,COLUMN(R145)-$A$5,0)</f>
        <v>1.84</v>
      </c>
      <c r="S145" s="56">
        <f>IFERROR((VLOOKUP($A145,'Dados StatusInvest'!$A:$AZ,COLUMN(S145)-$A$5,0)),0)</f>
        <v>0.87</v>
      </c>
      <c r="T145" s="53">
        <f>IFERROR((VLOOKUP($A145,'Dados StatusInvest'!$A:$AZ,COLUMN(T145)-$A$5,0)/VLOOKUP($A145,'Dados StatusInvest'!$A:$AZ,2,0)*$F145),0)</f>
        <v>0</v>
      </c>
      <c r="U145" s="53">
        <f>IFERROR((VLOOKUP($A145,'Dados StatusInvest'!$A:$AZ,COLUMN(U145)-$A$5,0)-VLOOKUP($A145,'Dados StatusInvest'!$A:$AZ,COLUMN(U145)-$A$5-1,0)+T145),0)</f>
        <v>53.33</v>
      </c>
      <c r="V145" s="56">
        <f>IFERROR((VLOOKUP($A145,'Dados StatusInvest'!$A:$AZ,COLUMN(V145)-$A$5,0)),0)</f>
        <v>0.95</v>
      </c>
      <c r="W145" s="56">
        <f>IFERROR((VLOOKUP($A145,'Dados StatusInvest'!$A:$AZ,COLUMN(W145)-$A$5,0)),0)</f>
        <v>24.33</v>
      </c>
      <c r="X145" s="53">
        <f>IFERROR((VLOOKUP($A145,'Dados StatusInvest'!$A:$AZ,COLUMN(X145)-$A$5,0)/VLOOKUP($A145,'Dados StatusInvest'!$A:$AZ,2,0)*$F145),0)</f>
        <v>0</v>
      </c>
      <c r="Y145" s="54">
        <f>IFERROR((VLOOKUP($A145,'Dados StatusInvest'!$A:$AZ,COLUMN(Y145)-$A$5,0)/VLOOKUP($A145,'Dados StatusInvest'!$A:$AZ,2,0)*$F145),0)</f>
        <v>0</v>
      </c>
      <c r="Z145" s="56">
        <f>IFERROR((VLOOKUP($A145,'Dados StatusInvest'!$A:$AZ,COLUMN(Z145)-$A$5,0)),0)</f>
        <v>0.26</v>
      </c>
      <c r="AA145" s="57">
        <f>IFERROR((VLOOKUP($A145,'Dados StatusInvest'!$A:$AZ,COLUMN(AA145)-$A$5,0)),0)</f>
        <v>0.74</v>
      </c>
      <c r="AB145" s="57">
        <f>IFERROR((VLOOKUP($A145,'Dados StatusInvest'!$A:$AZ,COLUMN(AB145)-$A$5,0)),0)</f>
        <v>0.55</v>
      </c>
      <c r="AC145" s="58">
        <f>IFERROR((VLOOKUP($A145,'Dados StatusInvest'!$A:$AZ,COLUMN(AC145)-$A$5,0)),0)</f>
        <v>10.09</v>
      </c>
      <c r="AD145" s="57">
        <f>IFERROR((VLOOKUP($A145,'Dados StatusInvest'!$A:$AZ,COLUMN(AD145)-$A$5,0)),0)</f>
        <v>15.61</v>
      </c>
      <c r="AE145" s="56">
        <f>IFERROR((VLOOKUP($A145,'Dados StatusInvest'!$A:$AZ,COLUMN(AE145)-$A$5,0)),0)</f>
        <v>0</v>
      </c>
      <c r="AF145" s="56">
        <f>IFERROR((VLOOKUP($A145,'Dados StatusInvest'!$A:$AZ,COLUMN(AF145)-$A$5,0)),0)</f>
        <v>32.69</v>
      </c>
      <c r="AG145" s="56">
        <f>IFERROR((VLOOKUP($A145,'Dados StatusInvest'!$A:$AZ,COLUMN(AG145)-$A$5,0)),0)</f>
        <v>7.96</v>
      </c>
      <c r="AH145" s="56">
        <f>IFERROR((VLOOKUP($A145,'Dados StatusInvest'!$A:$AZ,COLUMN(AH145)-$A$5,0)),0)</f>
        <v>0.4</v>
      </c>
      <c r="AI145" s="57">
        <f>IFERROR((VLOOKUP($A145,'Dados StatusInvest'!$A:$AZ,COLUMN(AI145)-$A$5,0)),0)</f>
        <v>13604266735</v>
      </c>
      <c r="AJ145" s="59" t="str">
        <f>IFERROR((VLOOKUP($A145,'Dados StatusInvest'!$A:$AZ,COLUMN(AJ145)-$A$5,0)),0)</f>
        <v/>
      </c>
      <c r="AK145" s="60" t="str">
        <f>IFERROR(__xludf.DUMMYFUNCTION("IFERROR(GOOGLEFINANCE($A145,""high""),"""")"),"")</f>
        <v/>
      </c>
      <c r="AL145" s="60" t="str">
        <f>IFERROR(__xludf.DUMMYFUNCTION("IFERROR(GOOGLEFINANCE($A145,""low""),"""")"),"")</f>
        <v/>
      </c>
      <c r="AM145" s="61">
        <f t="shared" si="2"/>
        <v>0</v>
      </c>
      <c r="AN145" s="62">
        <f>IFERROR(__xludf.DUMMYFUNCTION("IFERROR((GOOGLEFINANCE($A145,""volume"")),0)"),0.0)</f>
        <v>0</v>
      </c>
      <c r="AO145" s="60" t="str">
        <f>IFERROR(__xludf.DUMMYFUNCTION("IFERROR((GOOGLEFINANCE($A145,""closeyest"")),"""")"),"")</f>
        <v/>
      </c>
      <c r="AP145" s="60">
        <f>IFERROR(__xludf.DUMMYFUNCTION("IFERROR((GOOGLEFINANCE($A145,""shares"")),"""")"),8.2878409E7)</f>
        <v>82878409</v>
      </c>
      <c r="AQ145" s="18"/>
    </row>
    <row r="146">
      <c r="A146" s="45" t="str">
        <f>'Dados StatusInvest'!A141:A760</f>
        <v>CEED3</v>
      </c>
      <c r="B146" s="46" t="str">
        <f>IFERROR(__xludf.DUMMYFUNCTION("IFERROR((GOOGLEFINANCE(A146,""name"")),"""")"),"Companhia Estadual de Distribuicao")</f>
        <v>Companhia Estadual de Distribuicao</v>
      </c>
      <c r="C146" s="46" t="str">
        <f>IFERROR((VLOOKUP(LEFT($A146,4),Setor!$A:$E,3,0)),"")</f>
        <v>Utilidade Pública</v>
      </c>
      <c r="D146" s="46" t="str">
        <f>IFERROR((VLOOKUP(LEFT($A146,4),Setor!$A:$E,4,0)),"")</f>
        <v>Energia Elétrica</v>
      </c>
      <c r="E146" s="46" t="str">
        <f>IFERROR((VLOOKUP(LEFT($A146,4),Setor!$A:$E,5,0)),"")</f>
        <v>Energia Elétrica</v>
      </c>
      <c r="F146" s="47">
        <f>IFERROR(__xludf.DUMMYFUNCTION("IFERROR((GOOGLEFINANCE(A146)),"""")"),9.79)</f>
        <v>9.79</v>
      </c>
      <c r="G146" s="48" t="str">
        <f>IFERROR(__xludf.DUMMYFUNCTION("IFERROR((sparkline(GOOGLEFINANCE($A146,""price"",TODAY()-30,TODAY(),""DAILY""),{""charttype"",""line"";""linewidth"",1;""color"",""#5f88cc""})),"""")"),"")</f>
        <v/>
      </c>
      <c r="H146" s="49" t="str">
        <f>IFERROR(__xludf.DUMMYFUNCTION("IFERROR((((GOOGLEFINANCE(A146))-(INDEX(GoogleFinance(A146,""PRICE"",$AQ$1),2,2)))/(INDEX(GoogleFinance(A146,""PRICE"",$AQ$1),2,2))),"""")"),"")</f>
        <v/>
      </c>
      <c r="I146" s="47">
        <f>IFERROR(__xludf.DUMMYFUNCTION("IFERROR((GOOGLEFINANCE($A146,""high52"")),"""")"),11.97)</f>
        <v>11.97</v>
      </c>
      <c r="J146" s="48" t="str">
        <f>IFERROR(__xludf.DUMMYFUNCTION("IFERROR((sparkline(GOOGLEFINANCE($A146,""price"",TODAY()-365,TODAY(),""DAILY""),{""charttype"",""line"";""linewidth"",1;""color"",""#5f88cc""})),"""")"),"")</f>
        <v/>
      </c>
      <c r="K146" s="50">
        <f>IFERROR(__xludf.DUMMYFUNCTION("IFERROR((((GOOGLEFINANCE(A146))-(INDEX(GoogleFinance(A146,""PRICE"",$AP$1),2,2)))/(INDEX(GoogleFinance(A146,""PRICE"",$AP$1),2,2))),"""")"),-0.18416666666666673)</f>
        <v>-0.1841666667</v>
      </c>
      <c r="L146" s="51">
        <f t="shared" si="1"/>
        <v>-0.1821219716</v>
      </c>
      <c r="M146" s="52">
        <f>IFERROR((VLOOKUP($A146,'Dados StatusInvest'!$A:$AZ,COLUMN(M146)-$A$5,0)*VLOOKUP($A146,'Dados StatusInvest'!$A:$AZ,2,0)/$F146/100),0)</f>
        <v>0.0684</v>
      </c>
      <c r="N146" s="53">
        <f>IFERROR((VLOOKUP($A146,'Dados StatusInvest'!$A:$AZ,COLUMN(N146)-$A$5,0)/VLOOKUP($A146,'Dados StatusInvest'!$A:$AZ,2,0)*$F146),"")</f>
        <v>-10.25</v>
      </c>
      <c r="O146" s="53">
        <f>IFERROR((VLOOKUP($A146,'Dados StatusInvest'!$A:$AZ,COLUMN(O146)-$A$5,0)/VLOOKUP($A146,'Dados StatusInvest'!$A:$AZ,2,0)*$F146),0)</f>
        <v>1.6</v>
      </c>
      <c r="P146" s="54">
        <f>IFERROR((VLOOKUP($A146,'Dados StatusInvest'!$A:$AZ,COLUMN(P146)-$A$5,0)/VLOOKUP($A146,'Dados StatusInvest'!$A:$AZ,2,0)*$F146),0)</f>
        <v>15.88</v>
      </c>
      <c r="Q146" s="55">
        <f>IFERROR((VLOOKUP($A146,'Dados StatusInvest'!$A:$AZ,COLUMN(Q146)-$A$5,0)/100),0)</f>
        <v>0.1427</v>
      </c>
      <c r="R146" s="56">
        <f>VLOOKUP($A146,'Dados StatusInvest'!$A:$AZ,COLUMN(R146)-$A$5,0)</f>
        <v>0</v>
      </c>
      <c r="S146" s="56">
        <f>IFERROR((VLOOKUP($A146,'Dados StatusInvest'!$A:$AZ,COLUMN(S146)-$A$5,0)),0)</f>
        <v>0.11</v>
      </c>
      <c r="T146" s="53">
        <f>IFERROR((VLOOKUP($A146,'Dados StatusInvest'!$A:$AZ,COLUMN(T146)-$A$5,0)/VLOOKUP($A146,'Dados StatusInvest'!$A:$AZ,2,0)*$F146),0)</f>
        <v>1.33</v>
      </c>
      <c r="U146" s="53">
        <f>IFERROR((VLOOKUP($A146,'Dados StatusInvest'!$A:$AZ,COLUMN(U146)-$A$5,0)-VLOOKUP($A146,'Dados StatusInvest'!$A:$AZ,COLUMN(U146)-$A$5-1,0)+T146),0)</f>
        <v>-0.11</v>
      </c>
      <c r="V146" s="56">
        <f>IFERROR((VLOOKUP($A146,'Dados StatusInvest'!$A:$AZ,COLUMN(V146)-$A$5,0)),0)</f>
        <v>1.22</v>
      </c>
      <c r="W146" s="56">
        <f>IFERROR((VLOOKUP($A146,'Dados StatusInvest'!$A:$AZ,COLUMN(W146)-$A$5,0)),0)</f>
        <v>-15.49</v>
      </c>
      <c r="X146" s="53">
        <f>IFERROR((VLOOKUP($A146,'Dados StatusInvest'!$A:$AZ,COLUMN(X146)-$A$5,0)/VLOOKUP($A146,'Dados StatusInvest'!$A:$AZ,2,0)*$F146),0)</f>
        <v>-6.99</v>
      </c>
      <c r="Y146" s="54">
        <f>IFERROR((VLOOKUP($A146,'Dados StatusInvest'!$A:$AZ,COLUMN(Y146)-$A$5,0)/VLOOKUP($A146,'Dados StatusInvest'!$A:$AZ,2,0)*$F146),0)</f>
        <v>13.37</v>
      </c>
      <c r="Z146" s="56">
        <f>IFERROR((VLOOKUP($A146,'Dados StatusInvest'!$A:$AZ,COLUMN(Z146)-$A$5,0)),0)</f>
        <v>-0.45</v>
      </c>
      <c r="AA146" s="57">
        <f>IFERROR((VLOOKUP($A146,'Dados StatusInvest'!$A:$AZ,COLUMN(AA146)-$A$5,0)),0)</f>
        <v>1.45</v>
      </c>
      <c r="AB146" s="57">
        <f>IFERROR((VLOOKUP($A146,'Dados StatusInvest'!$A:$AZ,COLUMN(AB146)-$A$5,0)),0)</f>
        <v>0.68</v>
      </c>
      <c r="AC146" s="58">
        <f>IFERROR((VLOOKUP($A146,'Dados StatusInvest'!$A:$AZ,COLUMN(AC146)-$A$5,0)),0)</f>
        <v>9.53</v>
      </c>
      <c r="AD146" s="57">
        <f>IFERROR((VLOOKUP($A146,'Dados StatusInvest'!$A:$AZ,COLUMN(AD146)-$A$5,0)),0)</f>
        <v>0</v>
      </c>
      <c r="AE146" s="56">
        <f>IFERROR((VLOOKUP($A146,'Dados StatusInvest'!$A:$AZ,COLUMN(AE146)-$A$5,0)),0)</f>
        <v>583.25</v>
      </c>
      <c r="AF146" s="56">
        <f>IFERROR((VLOOKUP($A146,'Dados StatusInvest'!$A:$AZ,COLUMN(AF146)-$A$5,0)),0)</f>
        <v>-59.06</v>
      </c>
      <c r="AG146" s="56">
        <f>IFERROR((VLOOKUP($A146,'Dados StatusInvest'!$A:$AZ,COLUMN(AG146)-$A$5,0)),0)</f>
        <v>-9.15</v>
      </c>
      <c r="AH146" s="56">
        <f>IFERROR((VLOOKUP($A146,'Dados StatusInvest'!$A:$AZ,COLUMN(AH146)-$A$5,0)),0)</f>
        <v>-0.08</v>
      </c>
      <c r="AI146" s="57">
        <f>IFERROR((VLOOKUP($A146,'Dados StatusInvest'!$A:$AZ,COLUMN(AI146)-$A$5,0)),0)</f>
        <v>669890347.6</v>
      </c>
      <c r="AJ146" s="59" t="str">
        <f>IFERROR((VLOOKUP($A146,'Dados StatusInvest'!$A:$AZ,COLUMN(AJ146)-$A$5,0)),0)</f>
        <v/>
      </c>
      <c r="AK146" s="60" t="str">
        <f>IFERROR(__xludf.DUMMYFUNCTION("IFERROR(GOOGLEFINANCE($A146,""high""),"""")"),"")</f>
        <v/>
      </c>
      <c r="AL146" s="60" t="str">
        <f>IFERROR(__xludf.DUMMYFUNCTION("IFERROR(GOOGLEFINANCE($A146,""low""),"""")"),"")</f>
        <v/>
      </c>
      <c r="AM146" s="61">
        <f t="shared" si="2"/>
        <v>0</v>
      </c>
      <c r="AN146" s="62">
        <f>IFERROR(__xludf.DUMMYFUNCTION("IFERROR((GOOGLEFINANCE($A146,""volume"")),0)"),0.0)</f>
        <v>0</v>
      </c>
      <c r="AO146" s="60">
        <f>IFERROR(__xludf.DUMMYFUNCTION("IFERROR((GOOGLEFINANCE($A146,""closeyest"")),"""")"),9.79)</f>
        <v>9.79</v>
      </c>
      <c r="AP146" s="60">
        <f>IFERROR(__xludf.DUMMYFUNCTION("IFERROR((GOOGLEFINANCE($A146,""shares"")),"""")"),6.8090916E7)</f>
        <v>68090916</v>
      </c>
      <c r="AQ146" s="18"/>
    </row>
    <row r="147">
      <c r="A147" s="45" t="str">
        <f>'Dados StatusInvest'!A142:A761</f>
        <v>CEED4</v>
      </c>
      <c r="B147" s="46" t="str">
        <f>IFERROR(__xludf.DUMMYFUNCTION("IFERROR((GOOGLEFINANCE(A147,""name"")),"""")"),"Companhia Estadual de Distribuicao Preference Shares")</f>
        <v>Companhia Estadual de Distribuicao Preference Shares</v>
      </c>
      <c r="C147" s="46" t="str">
        <f>IFERROR((VLOOKUP(LEFT($A147,4),Setor!$A:$E,3,0)),"")</f>
        <v>Utilidade Pública</v>
      </c>
      <c r="D147" s="46" t="str">
        <f>IFERROR((VLOOKUP(LEFT($A147,4),Setor!$A:$E,4,0)),"")</f>
        <v>Energia Elétrica</v>
      </c>
      <c r="E147" s="46" t="str">
        <f>IFERROR((VLOOKUP(LEFT($A147,4),Setor!$A:$E,5,0)),"")</f>
        <v>Energia Elétrica</v>
      </c>
      <c r="F147" s="47">
        <f>IFERROR(__xludf.DUMMYFUNCTION("IFERROR((GOOGLEFINANCE(A147)),"""")"),20.0)</f>
        <v>20</v>
      </c>
      <c r="G147" s="48" t="str">
        <f>IFERROR(__xludf.DUMMYFUNCTION("IFERROR((sparkline(GOOGLEFINANCE($A147,""price"",TODAY()-30,TODAY(),""DAILY""),{""charttype"",""line"";""linewidth"",1;""color"",""#5f88cc""})),"""")"),"")</f>
        <v/>
      </c>
      <c r="H147" s="49" t="str">
        <f>IFERROR(__xludf.DUMMYFUNCTION("IFERROR((((GOOGLEFINANCE(A147))-(INDEX(GoogleFinance(A147,""PRICE"",$AQ$1),2,2)))/(INDEX(GoogleFinance(A147,""PRICE"",$AQ$1),2,2))),"""")"),"")</f>
        <v/>
      </c>
      <c r="I147" s="47">
        <f>IFERROR(__xludf.DUMMYFUNCTION("IFERROR((GOOGLEFINANCE($A147,""high52"")),"""")"),20.0)</f>
        <v>20</v>
      </c>
      <c r="J147" s="48" t="str">
        <f>IFERROR(__xludf.DUMMYFUNCTION("IFERROR((sparkline(GOOGLEFINANCE($A147,""price"",TODAY()-365,TODAY(),""DAILY""),{""charttype"",""line"";""linewidth"",1;""color"",""#5f88cc""})),"""")"),"")</f>
        <v/>
      </c>
      <c r="K147" s="50" t="str">
        <f>IFERROR(__xludf.DUMMYFUNCTION("IFERROR((((GOOGLEFINANCE(A147))-(INDEX(GoogleFinance(A147,""PRICE"",$AP$1),2,2)))/(INDEX(GoogleFinance(A147,""PRICE"",$AP$1),2,2))),"""")"),"")</f>
        <v/>
      </c>
      <c r="L147" s="51">
        <f t="shared" si="1"/>
        <v>0</v>
      </c>
      <c r="M147" s="52">
        <f>IFERROR((VLOOKUP($A147,'Dados StatusInvest'!$A:$AZ,COLUMN(M147)-$A$5,0)*VLOOKUP($A147,'Dados StatusInvest'!$A:$AZ,2,0)/$F147/100),0)</f>
        <v>0.0684</v>
      </c>
      <c r="N147" s="53">
        <f>IFERROR((VLOOKUP($A147,'Dados StatusInvest'!$A:$AZ,COLUMN(N147)-$A$5,0)/VLOOKUP($A147,'Dados StatusInvest'!$A:$AZ,2,0)*$F147),"")</f>
        <v>-10.25</v>
      </c>
      <c r="O147" s="53">
        <f>IFERROR((VLOOKUP($A147,'Dados StatusInvest'!$A:$AZ,COLUMN(O147)-$A$5,0)/VLOOKUP($A147,'Dados StatusInvest'!$A:$AZ,2,0)*$F147),0)</f>
        <v>3.28</v>
      </c>
      <c r="P147" s="54">
        <f>IFERROR((VLOOKUP($A147,'Dados StatusInvest'!$A:$AZ,COLUMN(P147)-$A$5,0)/VLOOKUP($A147,'Dados StatusInvest'!$A:$AZ,2,0)*$F147),0)</f>
        <v>15.88</v>
      </c>
      <c r="Q147" s="55">
        <f>IFERROR((VLOOKUP($A147,'Dados StatusInvest'!$A:$AZ,COLUMN(Q147)-$A$5,0)/100),0)</f>
        <v>0.1427</v>
      </c>
      <c r="R147" s="56">
        <f>VLOOKUP($A147,'Dados StatusInvest'!$A:$AZ,COLUMN(R147)-$A$5,0)</f>
        <v>0</v>
      </c>
      <c r="S147" s="56">
        <f>IFERROR((VLOOKUP($A147,'Dados StatusInvest'!$A:$AZ,COLUMN(S147)-$A$5,0)),0)</f>
        <v>0.22</v>
      </c>
      <c r="T147" s="53">
        <f>IFERROR((VLOOKUP($A147,'Dados StatusInvest'!$A:$AZ,COLUMN(T147)-$A$5,0)/VLOOKUP($A147,'Dados StatusInvest'!$A:$AZ,2,0)*$F147),0)</f>
        <v>2.72</v>
      </c>
      <c r="U147" s="53">
        <f>IFERROR((VLOOKUP($A147,'Dados StatusInvest'!$A:$AZ,COLUMN(U147)-$A$5,0)-VLOOKUP($A147,'Dados StatusInvest'!$A:$AZ,COLUMN(U147)-$A$5-1,0)+T147),0)</f>
        <v>-0.22</v>
      </c>
      <c r="V147" s="56">
        <f>IFERROR((VLOOKUP($A147,'Dados StatusInvest'!$A:$AZ,COLUMN(V147)-$A$5,0)),0)</f>
        <v>1.22</v>
      </c>
      <c r="W147" s="56">
        <f>IFERROR((VLOOKUP($A147,'Dados StatusInvest'!$A:$AZ,COLUMN(W147)-$A$5,0)),0)</f>
        <v>-15.49</v>
      </c>
      <c r="X147" s="53">
        <f>IFERROR((VLOOKUP($A147,'Dados StatusInvest'!$A:$AZ,COLUMN(X147)-$A$5,0)/VLOOKUP($A147,'Dados StatusInvest'!$A:$AZ,2,0)*$F147),0)</f>
        <v>-6.99</v>
      </c>
      <c r="Y147" s="54">
        <f>IFERROR((VLOOKUP($A147,'Dados StatusInvest'!$A:$AZ,COLUMN(Y147)-$A$5,0)/VLOOKUP($A147,'Dados StatusInvest'!$A:$AZ,2,0)*$F147),0)</f>
        <v>13.37</v>
      </c>
      <c r="Z147" s="56">
        <f>IFERROR((VLOOKUP($A147,'Dados StatusInvest'!$A:$AZ,COLUMN(Z147)-$A$5,0)),0)</f>
        <v>-0.45</v>
      </c>
      <c r="AA147" s="57">
        <f>IFERROR((VLOOKUP($A147,'Dados StatusInvest'!$A:$AZ,COLUMN(AA147)-$A$5,0)),0)</f>
        <v>1.45</v>
      </c>
      <c r="AB147" s="57">
        <f>IFERROR((VLOOKUP($A147,'Dados StatusInvest'!$A:$AZ,COLUMN(AB147)-$A$5,0)),0)</f>
        <v>0.68</v>
      </c>
      <c r="AC147" s="58">
        <f>IFERROR((VLOOKUP($A147,'Dados StatusInvest'!$A:$AZ,COLUMN(AC147)-$A$5,0)),0)</f>
        <v>9.53</v>
      </c>
      <c r="AD147" s="57">
        <f>IFERROR((VLOOKUP($A147,'Dados StatusInvest'!$A:$AZ,COLUMN(AD147)-$A$5,0)),0)</f>
        <v>0</v>
      </c>
      <c r="AE147" s="56">
        <f>IFERROR((VLOOKUP($A147,'Dados StatusInvest'!$A:$AZ,COLUMN(AE147)-$A$5,0)),0)</f>
        <v>0</v>
      </c>
      <c r="AF147" s="56">
        <f>IFERROR((VLOOKUP($A147,'Dados StatusInvest'!$A:$AZ,COLUMN(AF147)-$A$5,0)),0)</f>
        <v>-59.06</v>
      </c>
      <c r="AG147" s="56">
        <f>IFERROR((VLOOKUP($A147,'Dados StatusInvest'!$A:$AZ,COLUMN(AG147)-$A$5,0)),0)</f>
        <v>-9.15</v>
      </c>
      <c r="AH147" s="56">
        <f>IFERROR((VLOOKUP($A147,'Dados StatusInvest'!$A:$AZ,COLUMN(AH147)-$A$5,0)),0)</f>
        <v>-0.15</v>
      </c>
      <c r="AI147" s="57">
        <f>IFERROR((VLOOKUP($A147,'Dados StatusInvest'!$A:$AZ,COLUMN(AI147)-$A$5,0)),0)</f>
        <v>669890347.6</v>
      </c>
      <c r="AJ147" s="59" t="str">
        <f>IFERROR((VLOOKUP($A147,'Dados StatusInvest'!$A:$AZ,COLUMN(AJ147)-$A$5,0)),0)</f>
        <v/>
      </c>
      <c r="AK147" s="60" t="str">
        <f>IFERROR(__xludf.DUMMYFUNCTION("IFERROR(GOOGLEFINANCE($A147,""high""),"""")"),"")</f>
        <v/>
      </c>
      <c r="AL147" s="60" t="str">
        <f>IFERROR(__xludf.DUMMYFUNCTION("IFERROR(GOOGLEFINANCE($A147,""low""),"""")"),"")</f>
        <v/>
      </c>
      <c r="AM147" s="61">
        <f t="shared" si="2"/>
        <v>0</v>
      </c>
      <c r="AN147" s="62">
        <f>IFERROR(__xludf.DUMMYFUNCTION("IFERROR((GOOGLEFINANCE($A147,""volume"")),0)"),0.0)</f>
        <v>0</v>
      </c>
      <c r="AO147" s="60">
        <f>IFERROR(__xludf.DUMMYFUNCTION("IFERROR((GOOGLEFINANCE($A147,""closeyest"")),"""")"),20.0)</f>
        <v>20</v>
      </c>
      <c r="AP147" s="60">
        <f>IFERROR(__xludf.DUMMYFUNCTION("IFERROR((GOOGLEFINANCE($A147,""shares"")),"""")"),164014.0)</f>
        <v>164014</v>
      </c>
      <c r="AQ147" s="18"/>
    </row>
    <row r="148">
      <c r="A148" s="45" t="str">
        <f>'Dados StatusInvest'!A143:A762</f>
        <v>CEGR3</v>
      </c>
      <c r="B148" s="46" t="str">
        <f>IFERROR(__xludf.DUMMYFUNCTION("IFERROR((GOOGLEFINANCE(A148,""name"")),"""")"),"Companhia Distribuidora d Gs d RdJnr CEG")</f>
        <v>Companhia Distribuidora d Gs d RdJnr CEG</v>
      </c>
      <c r="C148" s="46" t="str">
        <f>IFERROR((VLOOKUP(LEFT($A148,4),Setor!$A:$E,3,0)),"")</f>
        <v>Utilidade Pública</v>
      </c>
      <c r="D148" s="46" t="str">
        <f>IFERROR((VLOOKUP(LEFT($A148,4),Setor!$A:$E,4,0)),"")</f>
        <v>Gás</v>
      </c>
      <c r="E148" s="46" t="str">
        <f>IFERROR((VLOOKUP(LEFT($A148,4),Setor!$A:$E,5,0)),"")</f>
        <v>Gás</v>
      </c>
      <c r="F148" s="47">
        <f>IFERROR(__xludf.DUMMYFUNCTION("IFERROR((GOOGLEFINANCE(A148)),"""")"),55.0)</f>
        <v>55</v>
      </c>
      <c r="G148" s="48" t="str">
        <f>IFERROR(__xludf.DUMMYFUNCTION("IFERROR((sparkline(GOOGLEFINANCE($A148,""price"",TODAY()-30,TODAY(),""DAILY""),{""charttype"",""line"";""linewidth"",1;""color"",""#5f88cc""})),"""")"),"")</f>
        <v/>
      </c>
      <c r="H148" s="49">
        <f>IFERROR(__xludf.DUMMYFUNCTION("IFERROR((((GOOGLEFINANCE(A148))-(INDEX(GoogleFinance(A148,""PRICE"",$AQ$1),2,2)))/(INDEX(GoogleFinance(A148,""PRICE"",$AQ$1),2,2))),"""")"),0.0912698412698413)</f>
        <v>0.09126984127</v>
      </c>
      <c r="I148" s="47">
        <f>IFERROR(__xludf.DUMMYFUNCTION("IFERROR((GOOGLEFINANCE($A148,""high52"")),"""")"),96.07)</f>
        <v>96.07</v>
      </c>
      <c r="J148" s="48" t="str">
        <f>IFERROR(__xludf.DUMMYFUNCTION("IFERROR((sparkline(GOOGLEFINANCE($A148,""price"",TODAY()-365,TODAY(),""DAILY""),{""charttype"",""line"";""linewidth"",1;""color"",""#5f88cc""})),"""")"),"")</f>
        <v/>
      </c>
      <c r="K148" s="50" t="str">
        <f>IFERROR(__xludf.DUMMYFUNCTION("IFERROR((((GOOGLEFINANCE(A148))-(INDEX(GoogleFinance(A148,""PRICE"",$AP$1),2,2)))/(INDEX(GoogleFinance(A148,""PRICE"",$AP$1),2,2))),"""")"),"")</f>
        <v/>
      </c>
      <c r="L148" s="51">
        <f t="shared" si="1"/>
        <v>-0.4275007807</v>
      </c>
      <c r="M148" s="52">
        <f>IFERROR((VLOOKUP($A148,'Dados StatusInvest'!$A:$AZ,COLUMN(M148)-$A$5,0)*VLOOKUP($A148,'Dados StatusInvest'!$A:$AZ,2,0)/$F148/100),0)</f>
        <v>0.2013</v>
      </c>
      <c r="N148" s="53">
        <f>IFERROR((VLOOKUP($A148,'Dados StatusInvest'!$A:$AZ,COLUMN(N148)-$A$5,0)/VLOOKUP($A148,'Dados StatusInvest'!$A:$AZ,2,0)*$F148),"")</f>
        <v>11.7</v>
      </c>
      <c r="O148" s="53">
        <f>IFERROR((VLOOKUP($A148,'Dados StatusInvest'!$A:$AZ,COLUMN(O148)-$A$5,0)/VLOOKUP($A148,'Dados StatusInvest'!$A:$AZ,2,0)*$F148),0)</f>
        <v>14.39</v>
      </c>
      <c r="P148" s="54">
        <f>IFERROR((VLOOKUP($A148,'Dados StatusInvest'!$A:$AZ,COLUMN(P148)-$A$5,0)/VLOOKUP($A148,'Dados StatusInvest'!$A:$AZ,2,0)*$F148),0)</f>
        <v>15.03</v>
      </c>
      <c r="Q148" s="55">
        <f>IFERROR((VLOOKUP($A148,'Dados StatusInvest'!$A:$AZ,COLUMN(Q148)-$A$5,0)/100),0)</f>
        <v>0.0065</v>
      </c>
      <c r="R148" s="56">
        <f>VLOOKUP($A148,'Dados StatusInvest'!$A:$AZ,COLUMN(R148)-$A$5,0)</f>
        <v>0.32</v>
      </c>
      <c r="S148" s="56">
        <f>IFERROR((VLOOKUP($A148,'Dados StatusInvest'!$A:$AZ,COLUMN(S148)-$A$5,0)),0)</f>
        <v>2.9</v>
      </c>
      <c r="T148" s="53">
        <f>IFERROR((VLOOKUP($A148,'Dados StatusInvest'!$A:$AZ,COLUMN(T148)-$A$5,0)/VLOOKUP($A148,'Dados StatusInvest'!$A:$AZ,2,0)*$F148),0)</f>
        <v>-42.29</v>
      </c>
      <c r="U148" s="53">
        <f>IFERROR((VLOOKUP($A148,'Dados StatusInvest'!$A:$AZ,COLUMN(U148)-$A$5,0)-VLOOKUP($A148,'Dados StatusInvest'!$A:$AZ,COLUMN(U148)-$A$5-1,0)+T148),0)</f>
        <v>-3.99</v>
      </c>
      <c r="V148" s="56">
        <f>IFERROR((VLOOKUP($A148,'Dados StatusInvest'!$A:$AZ,COLUMN(V148)-$A$5,0)),0)</f>
        <v>0.76</v>
      </c>
      <c r="W148" s="56">
        <f>IFERROR((VLOOKUP($A148,'Dados StatusInvest'!$A:$AZ,COLUMN(W148)-$A$5,0)),0)</f>
        <v>28.85</v>
      </c>
      <c r="X148" s="53">
        <f>IFERROR((VLOOKUP($A148,'Dados StatusInvest'!$A:$AZ,COLUMN(X148)-$A$5,0)/VLOOKUP($A148,'Dados StatusInvest'!$A:$AZ,2,0)*$F148),0)</f>
        <v>12.36</v>
      </c>
      <c r="Y148" s="54">
        <f>IFERROR((VLOOKUP($A148,'Dados StatusInvest'!$A:$AZ,COLUMN(Y148)-$A$5,0)/VLOOKUP($A148,'Dados StatusInvest'!$A:$AZ,2,0)*$F148),0)</f>
        <v>25.85</v>
      </c>
      <c r="Z148" s="56">
        <f>IFERROR((VLOOKUP($A148,'Dados StatusInvest'!$A:$AZ,COLUMN(Z148)-$A$5,0)),0)</f>
        <v>0.43</v>
      </c>
      <c r="AA148" s="57">
        <f>IFERROR((VLOOKUP($A148,'Dados StatusInvest'!$A:$AZ,COLUMN(AA148)-$A$5,0)),0)</f>
        <v>0.57</v>
      </c>
      <c r="AB148" s="57">
        <f>IFERROR((VLOOKUP($A148,'Dados StatusInvest'!$A:$AZ,COLUMN(AB148)-$A$5,0)),0)</f>
        <v>1.06</v>
      </c>
      <c r="AC148" s="58">
        <f>IFERROR((VLOOKUP($A148,'Dados StatusInvest'!$A:$AZ,COLUMN(AC148)-$A$5,0)),0)</f>
        <v>2.19</v>
      </c>
      <c r="AD148" s="57">
        <f>IFERROR((VLOOKUP($A148,'Dados StatusInvest'!$A:$AZ,COLUMN(AD148)-$A$5,0)),0)</f>
        <v>9.12</v>
      </c>
      <c r="AE148" s="56">
        <f>IFERROR((VLOOKUP($A148,'Dados StatusInvest'!$A:$AZ,COLUMN(AE148)-$A$5,0)),0)</f>
        <v>1100</v>
      </c>
      <c r="AF148" s="56">
        <f>IFERROR((VLOOKUP($A148,'Dados StatusInvest'!$A:$AZ,COLUMN(AF148)-$A$5,0)),0)</f>
        <v>7.7</v>
      </c>
      <c r="AG148" s="56">
        <f>IFERROR((VLOOKUP($A148,'Dados StatusInvest'!$A:$AZ,COLUMN(AG148)-$A$5,0)),0)</f>
        <v>2.22</v>
      </c>
      <c r="AH148" s="56">
        <f>IFERROR((VLOOKUP($A148,'Dados StatusInvest'!$A:$AZ,COLUMN(AH148)-$A$5,0)),0)</f>
        <v>1.88</v>
      </c>
      <c r="AI148" s="57">
        <f>IFERROR((VLOOKUP($A148,'Dados StatusInvest'!$A:$AZ,COLUMN(AI148)-$A$5,0)),0)</f>
        <v>14280075260</v>
      </c>
      <c r="AJ148" s="59" t="str">
        <f>IFERROR((VLOOKUP($A148,'Dados StatusInvest'!$A:$AZ,COLUMN(AJ148)-$A$5,0)),0)</f>
        <v/>
      </c>
      <c r="AK148" s="60" t="str">
        <f>IFERROR(__xludf.DUMMYFUNCTION("IFERROR(GOOGLEFINANCE($A148,""high""),"""")"),"")</f>
        <v/>
      </c>
      <c r="AL148" s="60" t="str">
        <f>IFERROR(__xludf.DUMMYFUNCTION("IFERROR(GOOGLEFINANCE($A148,""low""),"""")"),"")</f>
        <v/>
      </c>
      <c r="AM148" s="61">
        <f t="shared" si="2"/>
        <v>0</v>
      </c>
      <c r="AN148" s="62">
        <f>IFERROR(__xludf.DUMMYFUNCTION("IFERROR((GOOGLEFINANCE($A148,""volume"")),0)"),0.0)</f>
        <v>0</v>
      </c>
      <c r="AO148" s="60">
        <f>IFERROR(__xludf.DUMMYFUNCTION("IFERROR((GOOGLEFINANCE($A148,""closeyest"")),"""")"),55.0)</f>
        <v>55</v>
      </c>
      <c r="AP148" s="60">
        <f>IFERROR(__xludf.DUMMYFUNCTION("IFERROR((GOOGLEFINANCE($A148,""shares"")),"""")"),2.59637732E8)</f>
        <v>259637732</v>
      </c>
      <c r="AQ148" s="18"/>
    </row>
    <row r="149">
      <c r="A149" s="45" t="str">
        <f>'Dados StatusInvest'!A144:A763</f>
        <v>CEPE3</v>
      </c>
      <c r="B149" s="46" t="str">
        <f>IFERROR(__xludf.DUMMYFUNCTION("IFERROR((GOOGLEFINANCE(A149,""name"")),"""")"),"")</f>
        <v/>
      </c>
      <c r="C149" s="46" t="str">
        <f>IFERROR((VLOOKUP(LEFT($A149,4),Setor!$A:$E,3,0)),"")</f>
        <v>Utilidade Pública</v>
      </c>
      <c r="D149" s="46" t="str">
        <f>IFERROR((VLOOKUP(LEFT($A149,4),Setor!$A:$E,4,0)),"")</f>
        <v>Energia Elétrica</v>
      </c>
      <c r="E149" s="46" t="str">
        <f>IFERROR((VLOOKUP(LEFT($A149,4),Setor!$A:$E,5,0)),"")</f>
        <v>Energia Elétrica</v>
      </c>
      <c r="F149" s="47" t="str">
        <f>IFERROR(__xludf.DUMMYFUNCTION("IFERROR((GOOGLEFINANCE(A149)),"""")"),"")</f>
        <v/>
      </c>
      <c r="G149" s="48" t="str">
        <f>IFERROR(__xludf.DUMMYFUNCTION("IFERROR((sparkline(GOOGLEFINANCE($A149,""price"",TODAY()-30,TODAY(),""DAILY""),{""charttype"",""line"";""linewidth"",1;""color"",""#5f88cc""})),"""")"),"")</f>
        <v/>
      </c>
      <c r="H149" s="49" t="str">
        <f>IFERROR(__xludf.DUMMYFUNCTION("IFERROR((((GOOGLEFINANCE(A149))-(INDEX(GoogleFinance(A149,""PRICE"",$AQ$1),2,2)))/(INDEX(GoogleFinance(A149,""PRICE"",$AQ$1),2,2))),"""")"),"")</f>
        <v/>
      </c>
      <c r="I149" s="47" t="str">
        <f>IFERROR(__xludf.DUMMYFUNCTION("IFERROR((GOOGLEFINANCE($A149,""high52"")),"""")"),"")</f>
        <v/>
      </c>
      <c r="J149" s="48" t="str">
        <f>IFERROR(__xludf.DUMMYFUNCTION("IFERROR((sparkline(GOOGLEFINANCE($A149,""price"",TODAY()-365,TODAY(),""DAILY""),{""charttype"",""line"";""linewidth"",1;""color"",""#5f88cc""})),"""")"),"")</f>
        <v/>
      </c>
      <c r="K149" s="50" t="str">
        <f>IFERROR(__xludf.DUMMYFUNCTION("IFERROR((((GOOGLEFINANCE(A149))-(INDEX(GoogleFinance(A149,""PRICE"",$AP$1),2,2)))/(INDEX(GoogleFinance(A149,""PRICE"",$AP$1),2,2))),"""")"),"")</f>
        <v/>
      </c>
      <c r="L149" s="51">
        <f t="shared" si="1"/>
        <v>0</v>
      </c>
      <c r="M149" s="52">
        <f>IFERROR((VLOOKUP($A149,'Dados StatusInvest'!$A:$AZ,COLUMN(M149)-$A$5,0)*VLOOKUP($A149,'Dados StatusInvest'!$A:$AZ,2,0)/$F149/100),0)</f>
        <v>0</v>
      </c>
      <c r="N149" s="53">
        <f>IFERROR((VLOOKUP($A149,'Dados StatusInvest'!$A:$AZ,COLUMN(N149)-$A$5,0)/VLOOKUP($A149,'Dados StatusInvest'!$A:$AZ,2,0)*$F149),"")</f>
        <v>0</v>
      </c>
      <c r="O149" s="53">
        <f>IFERROR((VLOOKUP($A149,'Dados StatusInvest'!$A:$AZ,COLUMN(O149)-$A$5,0)/VLOOKUP($A149,'Dados StatusInvest'!$A:$AZ,2,0)*$F149),0)</f>
        <v>0</v>
      </c>
      <c r="P149" s="54">
        <f>IFERROR((VLOOKUP($A149,'Dados StatusInvest'!$A:$AZ,COLUMN(P149)-$A$5,0)/VLOOKUP($A149,'Dados StatusInvest'!$A:$AZ,2,0)*$F149),0)</f>
        <v>0</v>
      </c>
      <c r="Q149" s="55">
        <f>IFERROR((VLOOKUP($A149,'Dados StatusInvest'!$A:$AZ,COLUMN(Q149)-$A$5,0)/100),0)</f>
        <v>0.0618</v>
      </c>
      <c r="R149" s="56">
        <f>VLOOKUP($A149,'Dados StatusInvest'!$A:$AZ,COLUMN(R149)-$A$5,0)</f>
        <v>3.77</v>
      </c>
      <c r="S149" s="56">
        <f>IFERROR((VLOOKUP($A149,'Dados StatusInvest'!$A:$AZ,COLUMN(S149)-$A$5,0)),0)</f>
        <v>2.73</v>
      </c>
      <c r="T149" s="53">
        <f>IFERROR((VLOOKUP($A149,'Dados StatusInvest'!$A:$AZ,COLUMN(T149)-$A$5,0)/VLOOKUP($A149,'Dados StatusInvest'!$A:$AZ,2,0)*$F149),0)</f>
        <v>0</v>
      </c>
      <c r="U149" s="53">
        <f>IFERROR((VLOOKUP($A149,'Dados StatusInvest'!$A:$AZ,COLUMN(U149)-$A$5,0)-VLOOKUP($A149,'Dados StatusInvest'!$A:$AZ,COLUMN(U149)-$A$5-1,0)+T149),0)</f>
        <v>-48.99</v>
      </c>
      <c r="V149" s="56">
        <f>IFERROR((VLOOKUP($A149,'Dados StatusInvest'!$A:$AZ,COLUMN(V149)-$A$5,0)),0)</f>
        <v>1.17</v>
      </c>
      <c r="W149" s="56">
        <f>IFERROR((VLOOKUP($A149,'Dados StatusInvest'!$A:$AZ,COLUMN(W149)-$A$5,0)),0)</f>
        <v>28.29</v>
      </c>
      <c r="X149" s="53">
        <f>IFERROR((VLOOKUP($A149,'Dados StatusInvest'!$A:$AZ,COLUMN(X149)-$A$5,0)/VLOOKUP($A149,'Dados StatusInvest'!$A:$AZ,2,0)*$F149),0)</f>
        <v>0</v>
      </c>
      <c r="Y149" s="54">
        <f>IFERROR((VLOOKUP($A149,'Dados StatusInvest'!$A:$AZ,COLUMN(Y149)-$A$5,0)/VLOOKUP($A149,'Dados StatusInvest'!$A:$AZ,2,0)*$F149),0)</f>
        <v>0</v>
      </c>
      <c r="Z149" s="56">
        <f>IFERROR((VLOOKUP($A149,'Dados StatusInvest'!$A:$AZ,COLUMN(Z149)-$A$5,0)),0)</f>
        <v>0.14</v>
      </c>
      <c r="AA149" s="57">
        <f>IFERROR((VLOOKUP($A149,'Dados StatusInvest'!$A:$AZ,COLUMN(AA149)-$A$5,0)),0)</f>
        <v>0.86</v>
      </c>
      <c r="AB149" s="57">
        <f>IFERROR((VLOOKUP($A149,'Dados StatusInvest'!$A:$AZ,COLUMN(AB149)-$A$5,0)),0)</f>
        <v>0.58</v>
      </c>
      <c r="AC149" s="58">
        <f>IFERROR((VLOOKUP($A149,'Dados StatusInvest'!$A:$AZ,COLUMN(AC149)-$A$5,0)),0)</f>
        <v>6.27</v>
      </c>
      <c r="AD149" s="57">
        <f>IFERROR((VLOOKUP($A149,'Dados StatusInvest'!$A:$AZ,COLUMN(AD149)-$A$5,0)),0)</f>
        <v>27.12</v>
      </c>
      <c r="AE149" s="56">
        <f>IFERROR((VLOOKUP($A149,'Dados StatusInvest'!$A:$AZ,COLUMN(AE149)-$A$5,0)),0)</f>
        <v>0</v>
      </c>
      <c r="AF149" s="56">
        <f>IFERROR((VLOOKUP($A149,'Dados StatusInvest'!$A:$AZ,COLUMN(AF149)-$A$5,0)),0)</f>
        <v>11.51</v>
      </c>
      <c r="AG149" s="56">
        <f>IFERROR((VLOOKUP($A149,'Dados StatusInvest'!$A:$AZ,COLUMN(AG149)-$A$5,0)),0)</f>
        <v>3.26</v>
      </c>
      <c r="AH149" s="56">
        <f>IFERROR((VLOOKUP($A149,'Dados StatusInvest'!$A:$AZ,COLUMN(AH149)-$A$5,0)),0)</f>
        <v>0.01</v>
      </c>
      <c r="AI149" s="57">
        <f>IFERROR((VLOOKUP($A149,'Dados StatusInvest'!$A:$AZ,COLUMN(AI149)-$A$5,0)),0)</f>
        <v>22522891703</v>
      </c>
      <c r="AJ149" s="59" t="str">
        <f>IFERROR((VLOOKUP($A149,'Dados StatusInvest'!$A:$AZ,COLUMN(AJ149)-$A$5,0)),0)</f>
        <v/>
      </c>
      <c r="AK149" s="60" t="str">
        <f>IFERROR(__xludf.DUMMYFUNCTION("IFERROR(GOOGLEFINANCE($A149,""high""),"""")"),"")</f>
        <v/>
      </c>
      <c r="AL149" s="60" t="str">
        <f>IFERROR(__xludf.DUMMYFUNCTION("IFERROR(GOOGLEFINANCE($A149,""low""),"""")"),"")</f>
        <v/>
      </c>
      <c r="AM149" s="61">
        <f t="shared" si="2"/>
        <v>0</v>
      </c>
      <c r="AN149" s="62">
        <f>IFERROR(__xludf.DUMMYFUNCTION("IFERROR((GOOGLEFINANCE($A149,""volume"")),0)"),0.0)</f>
        <v>0</v>
      </c>
      <c r="AO149" s="60" t="str">
        <f>IFERROR(__xludf.DUMMYFUNCTION("IFERROR((GOOGLEFINANCE($A149,""closeyest"")),"""")"),"")</f>
        <v/>
      </c>
      <c r="AP149" s="60" t="str">
        <f>IFERROR(__xludf.DUMMYFUNCTION("IFERROR((GOOGLEFINANCE($A149,""shares"")),"""")"),"")</f>
        <v/>
      </c>
      <c r="AQ149" s="18"/>
    </row>
    <row r="150">
      <c r="A150" s="45" t="str">
        <f>'Dados StatusInvest'!A145:A764</f>
        <v>CEPE5</v>
      </c>
      <c r="B150" s="46" t="str">
        <f>IFERROR(__xludf.DUMMYFUNCTION("IFERROR((GOOGLEFINANCE(A150,""name"")),"""")"),"")</f>
        <v/>
      </c>
      <c r="C150" s="46" t="str">
        <f>IFERROR((VLOOKUP(LEFT($A150,4),Setor!$A:$E,3,0)),"")</f>
        <v>Utilidade Pública</v>
      </c>
      <c r="D150" s="46" t="str">
        <f>IFERROR((VLOOKUP(LEFT($A150,4),Setor!$A:$E,4,0)),"")</f>
        <v>Energia Elétrica</v>
      </c>
      <c r="E150" s="46" t="str">
        <f>IFERROR((VLOOKUP(LEFT($A150,4),Setor!$A:$E,5,0)),"")</f>
        <v>Energia Elétrica</v>
      </c>
      <c r="F150" s="47" t="str">
        <f>IFERROR(__xludf.DUMMYFUNCTION("IFERROR((GOOGLEFINANCE(A150)),"""")"),"")</f>
        <v/>
      </c>
      <c r="G150" s="48" t="str">
        <f>IFERROR(__xludf.DUMMYFUNCTION("IFERROR((sparkline(GOOGLEFINANCE($A150,""price"",TODAY()-30,TODAY(),""DAILY""),{""charttype"",""line"";""linewidth"",1;""color"",""#5f88cc""})),"""")"),"")</f>
        <v/>
      </c>
      <c r="H150" s="49" t="str">
        <f>IFERROR(__xludf.DUMMYFUNCTION("IFERROR((((GOOGLEFINANCE(A150))-(INDEX(GoogleFinance(A150,""PRICE"",$AQ$1),2,2)))/(INDEX(GoogleFinance(A150,""PRICE"",$AQ$1),2,2))),"""")"),"")</f>
        <v/>
      </c>
      <c r="I150" s="47" t="str">
        <f>IFERROR(__xludf.DUMMYFUNCTION("IFERROR((GOOGLEFINANCE($A150,""high52"")),"""")"),"")</f>
        <v/>
      </c>
      <c r="J150" s="48" t="str">
        <f>IFERROR(__xludf.DUMMYFUNCTION("IFERROR((sparkline(GOOGLEFINANCE($A150,""price"",TODAY()-365,TODAY(),""DAILY""),{""charttype"",""line"";""linewidth"",1;""color"",""#5f88cc""})),"""")"),"")</f>
        <v/>
      </c>
      <c r="K150" s="50" t="str">
        <f>IFERROR(__xludf.DUMMYFUNCTION("IFERROR((((GOOGLEFINANCE(A150))-(INDEX(GoogleFinance(A150,""PRICE"",$AP$1),2,2)))/(INDEX(GoogleFinance(A150,""PRICE"",$AP$1),2,2))),"""")"),"")</f>
        <v/>
      </c>
      <c r="L150" s="51">
        <f t="shared" si="1"/>
        <v>0</v>
      </c>
      <c r="M150" s="52">
        <f>IFERROR((VLOOKUP($A150,'Dados StatusInvest'!$A:$AZ,COLUMN(M150)-$A$5,0)*VLOOKUP($A150,'Dados StatusInvest'!$A:$AZ,2,0)/$F150/100),0)</f>
        <v>0</v>
      </c>
      <c r="N150" s="53">
        <f>IFERROR((VLOOKUP($A150,'Dados StatusInvest'!$A:$AZ,COLUMN(N150)-$A$5,0)/VLOOKUP($A150,'Dados StatusInvest'!$A:$AZ,2,0)*$F150),"")</f>
        <v>0</v>
      </c>
      <c r="O150" s="53">
        <f>IFERROR((VLOOKUP($A150,'Dados StatusInvest'!$A:$AZ,COLUMN(O150)-$A$5,0)/VLOOKUP($A150,'Dados StatusInvest'!$A:$AZ,2,0)*$F150),0)</f>
        <v>0</v>
      </c>
      <c r="P150" s="54">
        <f>IFERROR((VLOOKUP($A150,'Dados StatusInvest'!$A:$AZ,COLUMN(P150)-$A$5,0)/VLOOKUP($A150,'Dados StatusInvest'!$A:$AZ,2,0)*$F150),0)</f>
        <v>0</v>
      </c>
      <c r="Q150" s="55">
        <f>IFERROR((VLOOKUP($A150,'Dados StatusInvest'!$A:$AZ,COLUMN(Q150)-$A$5,0)/100),0)</f>
        <v>0.0618</v>
      </c>
      <c r="R150" s="56">
        <f>VLOOKUP($A150,'Dados StatusInvest'!$A:$AZ,COLUMN(R150)-$A$5,0)</f>
        <v>3.77</v>
      </c>
      <c r="S150" s="56">
        <f>IFERROR((VLOOKUP($A150,'Dados StatusInvest'!$A:$AZ,COLUMN(S150)-$A$5,0)),0)</f>
        <v>0.87</v>
      </c>
      <c r="T150" s="53">
        <f>IFERROR((VLOOKUP($A150,'Dados StatusInvest'!$A:$AZ,COLUMN(T150)-$A$5,0)/VLOOKUP($A150,'Dados StatusInvest'!$A:$AZ,2,0)*$F150),0)</f>
        <v>0</v>
      </c>
      <c r="U150" s="53">
        <f>IFERROR((VLOOKUP($A150,'Dados StatusInvest'!$A:$AZ,COLUMN(U150)-$A$5,0)-VLOOKUP($A150,'Dados StatusInvest'!$A:$AZ,COLUMN(U150)-$A$5-1,0)+T150),0)</f>
        <v>-15.69</v>
      </c>
      <c r="V150" s="56">
        <f>IFERROR((VLOOKUP($A150,'Dados StatusInvest'!$A:$AZ,COLUMN(V150)-$A$5,0)),0)</f>
        <v>1.17</v>
      </c>
      <c r="W150" s="56">
        <f>IFERROR((VLOOKUP($A150,'Dados StatusInvest'!$A:$AZ,COLUMN(W150)-$A$5,0)),0)</f>
        <v>28.29</v>
      </c>
      <c r="X150" s="53">
        <f>IFERROR((VLOOKUP($A150,'Dados StatusInvest'!$A:$AZ,COLUMN(X150)-$A$5,0)/VLOOKUP($A150,'Dados StatusInvest'!$A:$AZ,2,0)*$F150),0)</f>
        <v>0</v>
      </c>
      <c r="Y150" s="54">
        <f>IFERROR((VLOOKUP($A150,'Dados StatusInvest'!$A:$AZ,COLUMN(Y150)-$A$5,0)/VLOOKUP($A150,'Dados StatusInvest'!$A:$AZ,2,0)*$F150),0)</f>
        <v>0</v>
      </c>
      <c r="Z150" s="56">
        <f>IFERROR((VLOOKUP($A150,'Dados StatusInvest'!$A:$AZ,COLUMN(Z150)-$A$5,0)),0)</f>
        <v>0.14</v>
      </c>
      <c r="AA150" s="57">
        <f>IFERROR((VLOOKUP($A150,'Dados StatusInvest'!$A:$AZ,COLUMN(AA150)-$A$5,0)),0)</f>
        <v>0.86</v>
      </c>
      <c r="AB150" s="57">
        <f>IFERROR((VLOOKUP($A150,'Dados StatusInvest'!$A:$AZ,COLUMN(AB150)-$A$5,0)),0)</f>
        <v>0.58</v>
      </c>
      <c r="AC150" s="58">
        <f>IFERROR((VLOOKUP($A150,'Dados StatusInvest'!$A:$AZ,COLUMN(AC150)-$A$5,0)),0)</f>
        <v>6.27</v>
      </c>
      <c r="AD150" s="57">
        <f>IFERROR((VLOOKUP($A150,'Dados StatusInvest'!$A:$AZ,COLUMN(AD150)-$A$5,0)),0)</f>
        <v>27.12</v>
      </c>
      <c r="AE150" s="56">
        <f>IFERROR((VLOOKUP($A150,'Dados StatusInvest'!$A:$AZ,COLUMN(AE150)-$A$5,0)),0)</f>
        <v>0</v>
      </c>
      <c r="AF150" s="56">
        <f>IFERROR((VLOOKUP($A150,'Dados StatusInvest'!$A:$AZ,COLUMN(AF150)-$A$5,0)),0)</f>
        <v>11.51</v>
      </c>
      <c r="AG150" s="56">
        <f>IFERROR((VLOOKUP($A150,'Dados StatusInvest'!$A:$AZ,COLUMN(AG150)-$A$5,0)),0)</f>
        <v>3.26</v>
      </c>
      <c r="AH150" s="56">
        <f>IFERROR((VLOOKUP($A150,'Dados StatusInvest'!$A:$AZ,COLUMN(AH150)-$A$5,0)),0)</f>
        <v>0</v>
      </c>
      <c r="AI150" s="57">
        <f>IFERROR((VLOOKUP($A150,'Dados StatusInvest'!$A:$AZ,COLUMN(AI150)-$A$5,0)),0)</f>
        <v>22522891703</v>
      </c>
      <c r="AJ150" s="59" t="str">
        <f>IFERROR((VLOOKUP($A150,'Dados StatusInvest'!$A:$AZ,COLUMN(AJ150)-$A$5,0)),0)</f>
        <v/>
      </c>
      <c r="AK150" s="60" t="str">
        <f>IFERROR(__xludf.DUMMYFUNCTION("IFERROR(GOOGLEFINANCE($A150,""high""),"""")"),"")</f>
        <v/>
      </c>
      <c r="AL150" s="60" t="str">
        <f>IFERROR(__xludf.DUMMYFUNCTION("IFERROR(GOOGLEFINANCE($A150,""low""),"""")"),"")</f>
        <v/>
      </c>
      <c r="AM150" s="61">
        <f t="shared" si="2"/>
        <v>0</v>
      </c>
      <c r="AN150" s="62">
        <f>IFERROR(__xludf.DUMMYFUNCTION("IFERROR((GOOGLEFINANCE($A150,""volume"")),0)"),0.0)</f>
        <v>0</v>
      </c>
      <c r="AO150" s="60" t="str">
        <f>IFERROR(__xludf.DUMMYFUNCTION("IFERROR((GOOGLEFINANCE($A150,""closeyest"")),"""")"),"")</f>
        <v/>
      </c>
      <c r="AP150" s="60" t="str">
        <f>IFERROR(__xludf.DUMMYFUNCTION("IFERROR((GOOGLEFINANCE($A150,""shares"")),"""")"),"")</f>
        <v/>
      </c>
      <c r="AQ150" s="18"/>
    </row>
    <row r="151">
      <c r="A151" s="45" t="str">
        <f>'Dados StatusInvest'!A146:A765</f>
        <v>CEPE6</v>
      </c>
      <c r="B151" s="46" t="str">
        <f>IFERROR(__xludf.DUMMYFUNCTION("IFERROR((GOOGLEFINANCE(A151,""name"")),"""")"),"")</f>
        <v/>
      </c>
      <c r="C151" s="46" t="str">
        <f>IFERROR((VLOOKUP(LEFT($A151,4),Setor!$A:$E,3,0)),"")</f>
        <v>Utilidade Pública</v>
      </c>
      <c r="D151" s="46" t="str">
        <f>IFERROR((VLOOKUP(LEFT($A151,4),Setor!$A:$E,4,0)),"")</f>
        <v>Energia Elétrica</v>
      </c>
      <c r="E151" s="46" t="str">
        <f>IFERROR((VLOOKUP(LEFT($A151,4),Setor!$A:$E,5,0)),"")</f>
        <v>Energia Elétrica</v>
      </c>
      <c r="F151" s="47" t="str">
        <f>IFERROR(__xludf.DUMMYFUNCTION("IFERROR((GOOGLEFINANCE(A151)),"""")"),"")</f>
        <v/>
      </c>
      <c r="G151" s="48" t="str">
        <f>IFERROR(__xludf.DUMMYFUNCTION("IFERROR((sparkline(GOOGLEFINANCE($A151,""price"",TODAY()-30,TODAY(),""DAILY""),{""charttype"",""line"";""linewidth"",1;""color"",""#5f88cc""})),"""")"),"")</f>
        <v/>
      </c>
      <c r="H151" s="49" t="str">
        <f>IFERROR(__xludf.DUMMYFUNCTION("IFERROR((((GOOGLEFINANCE(A151))-(INDEX(GoogleFinance(A151,""PRICE"",$AQ$1),2,2)))/(INDEX(GoogleFinance(A151,""PRICE"",$AQ$1),2,2))),"""")"),"")</f>
        <v/>
      </c>
      <c r="I151" s="47" t="str">
        <f>IFERROR(__xludf.DUMMYFUNCTION("IFERROR((GOOGLEFINANCE($A151,""high52"")),"""")"),"")</f>
        <v/>
      </c>
      <c r="J151" s="48" t="str">
        <f>IFERROR(__xludf.DUMMYFUNCTION("IFERROR((sparkline(GOOGLEFINANCE($A151,""price"",TODAY()-365,TODAY(),""DAILY""),{""charttype"",""line"";""linewidth"",1;""color"",""#5f88cc""})),"""")"),"")</f>
        <v/>
      </c>
      <c r="K151" s="50" t="str">
        <f>IFERROR(__xludf.DUMMYFUNCTION("IFERROR((((GOOGLEFINANCE(A151))-(INDEX(GoogleFinance(A151,""PRICE"",$AP$1),2,2)))/(INDEX(GoogleFinance(A151,""PRICE"",$AP$1),2,2))),"""")"),"")</f>
        <v/>
      </c>
      <c r="L151" s="51">
        <f t="shared" si="1"/>
        <v>0</v>
      </c>
      <c r="M151" s="52">
        <f>IFERROR((VLOOKUP($A151,'Dados StatusInvest'!$A:$AZ,COLUMN(M151)-$A$5,0)*VLOOKUP($A151,'Dados StatusInvest'!$A:$AZ,2,0)/$F151/100),0)</f>
        <v>0</v>
      </c>
      <c r="N151" s="53">
        <f>IFERROR((VLOOKUP($A151,'Dados StatusInvest'!$A:$AZ,COLUMN(N151)-$A$5,0)/VLOOKUP($A151,'Dados StatusInvest'!$A:$AZ,2,0)*$F151),"")</f>
        <v>0</v>
      </c>
      <c r="O151" s="53">
        <f>IFERROR((VLOOKUP($A151,'Dados StatusInvest'!$A:$AZ,COLUMN(O151)-$A$5,0)/VLOOKUP($A151,'Dados StatusInvest'!$A:$AZ,2,0)*$F151),0)</f>
        <v>0</v>
      </c>
      <c r="P151" s="54">
        <f>IFERROR((VLOOKUP($A151,'Dados StatusInvest'!$A:$AZ,COLUMN(P151)-$A$5,0)/VLOOKUP($A151,'Dados StatusInvest'!$A:$AZ,2,0)*$F151),0)</f>
        <v>0</v>
      </c>
      <c r="Q151" s="55">
        <f>IFERROR((VLOOKUP($A151,'Dados StatusInvest'!$A:$AZ,COLUMN(Q151)-$A$5,0)/100),0)</f>
        <v>0.0618</v>
      </c>
      <c r="R151" s="56">
        <f>VLOOKUP($A151,'Dados StatusInvest'!$A:$AZ,COLUMN(R151)-$A$5,0)</f>
        <v>3.77</v>
      </c>
      <c r="S151" s="56">
        <f>IFERROR((VLOOKUP($A151,'Dados StatusInvest'!$A:$AZ,COLUMN(S151)-$A$5,0)),0)</f>
        <v>0.94</v>
      </c>
      <c r="T151" s="53">
        <f>IFERROR((VLOOKUP($A151,'Dados StatusInvest'!$A:$AZ,COLUMN(T151)-$A$5,0)/VLOOKUP($A151,'Dados StatusInvest'!$A:$AZ,2,0)*$F151),0)</f>
        <v>0</v>
      </c>
      <c r="U151" s="53">
        <f>IFERROR((VLOOKUP($A151,'Dados StatusInvest'!$A:$AZ,COLUMN(U151)-$A$5,0)-VLOOKUP($A151,'Dados StatusInvest'!$A:$AZ,COLUMN(U151)-$A$5-1,0)+T151),0)</f>
        <v>-16.82</v>
      </c>
      <c r="V151" s="56">
        <f>IFERROR((VLOOKUP($A151,'Dados StatusInvest'!$A:$AZ,COLUMN(V151)-$A$5,0)),0)</f>
        <v>1.17</v>
      </c>
      <c r="W151" s="56">
        <f>IFERROR((VLOOKUP($A151,'Dados StatusInvest'!$A:$AZ,COLUMN(W151)-$A$5,0)),0)</f>
        <v>28.29</v>
      </c>
      <c r="X151" s="53">
        <f>IFERROR((VLOOKUP($A151,'Dados StatusInvest'!$A:$AZ,COLUMN(X151)-$A$5,0)/VLOOKUP($A151,'Dados StatusInvest'!$A:$AZ,2,0)*$F151),0)</f>
        <v>0</v>
      </c>
      <c r="Y151" s="54">
        <f>IFERROR((VLOOKUP($A151,'Dados StatusInvest'!$A:$AZ,COLUMN(Y151)-$A$5,0)/VLOOKUP($A151,'Dados StatusInvest'!$A:$AZ,2,0)*$F151),0)</f>
        <v>0</v>
      </c>
      <c r="Z151" s="56">
        <f>IFERROR((VLOOKUP($A151,'Dados StatusInvest'!$A:$AZ,COLUMN(Z151)-$A$5,0)),0)</f>
        <v>0.14</v>
      </c>
      <c r="AA151" s="57">
        <f>IFERROR((VLOOKUP($A151,'Dados StatusInvest'!$A:$AZ,COLUMN(AA151)-$A$5,0)),0)</f>
        <v>0.86</v>
      </c>
      <c r="AB151" s="57">
        <f>IFERROR((VLOOKUP($A151,'Dados StatusInvest'!$A:$AZ,COLUMN(AB151)-$A$5,0)),0)</f>
        <v>0.58</v>
      </c>
      <c r="AC151" s="58">
        <f>IFERROR((VLOOKUP($A151,'Dados StatusInvest'!$A:$AZ,COLUMN(AC151)-$A$5,0)),0)</f>
        <v>6.27</v>
      </c>
      <c r="AD151" s="57">
        <f>IFERROR((VLOOKUP($A151,'Dados StatusInvest'!$A:$AZ,COLUMN(AD151)-$A$5,0)),0)</f>
        <v>27.12</v>
      </c>
      <c r="AE151" s="56">
        <f>IFERROR((VLOOKUP($A151,'Dados StatusInvest'!$A:$AZ,COLUMN(AE151)-$A$5,0)),0)</f>
        <v>0</v>
      </c>
      <c r="AF151" s="56">
        <f>IFERROR((VLOOKUP($A151,'Dados StatusInvest'!$A:$AZ,COLUMN(AF151)-$A$5,0)),0)</f>
        <v>11.51</v>
      </c>
      <c r="AG151" s="56">
        <f>IFERROR((VLOOKUP($A151,'Dados StatusInvest'!$A:$AZ,COLUMN(AG151)-$A$5,0)),0)</f>
        <v>3.26</v>
      </c>
      <c r="AH151" s="56">
        <f>IFERROR((VLOOKUP($A151,'Dados StatusInvest'!$A:$AZ,COLUMN(AH151)-$A$5,0)),0)</f>
        <v>0</v>
      </c>
      <c r="AI151" s="57">
        <f>IFERROR((VLOOKUP($A151,'Dados StatusInvest'!$A:$AZ,COLUMN(AI151)-$A$5,0)),0)</f>
        <v>22522891703</v>
      </c>
      <c r="AJ151" s="59" t="str">
        <f>IFERROR((VLOOKUP($A151,'Dados StatusInvest'!$A:$AZ,COLUMN(AJ151)-$A$5,0)),0)</f>
        <v/>
      </c>
      <c r="AK151" s="60" t="str">
        <f>IFERROR(__xludf.DUMMYFUNCTION("IFERROR(GOOGLEFINANCE($A151,""high""),"""")"),"")</f>
        <v/>
      </c>
      <c r="AL151" s="60" t="str">
        <f>IFERROR(__xludf.DUMMYFUNCTION("IFERROR(GOOGLEFINANCE($A151,""low""),"""")"),"")</f>
        <v/>
      </c>
      <c r="AM151" s="61">
        <f t="shared" si="2"/>
        <v>0</v>
      </c>
      <c r="AN151" s="62">
        <f>IFERROR(__xludf.DUMMYFUNCTION("IFERROR((GOOGLEFINANCE($A151,""volume"")),0)"),0.0)</f>
        <v>0</v>
      </c>
      <c r="AO151" s="60" t="str">
        <f>IFERROR(__xludf.DUMMYFUNCTION("IFERROR((GOOGLEFINANCE($A151,""closeyest"")),"""")"),"")</f>
        <v/>
      </c>
      <c r="AP151" s="60" t="str">
        <f>IFERROR(__xludf.DUMMYFUNCTION("IFERROR((GOOGLEFINANCE($A151,""shares"")),"""")"),"")</f>
        <v/>
      </c>
      <c r="AQ151" s="18"/>
    </row>
    <row r="152">
      <c r="A152" s="45" t="str">
        <f>'Dados StatusInvest'!A147:A766</f>
        <v>CESP3</v>
      </c>
      <c r="B152" s="46" t="str">
        <f>IFERROR(__xludf.DUMMYFUNCTION("IFERROR((GOOGLEFINANCE(A152,""name"")),"""")"),"")</f>
        <v/>
      </c>
      <c r="C152" s="46" t="str">
        <f>IFERROR((VLOOKUP(LEFT($A152,4),Setor!$A:$E,3,0)),"")</f>
        <v>Utilidade Pública</v>
      </c>
      <c r="D152" s="46" t="str">
        <f>IFERROR((VLOOKUP(LEFT($A152,4),Setor!$A:$E,4,0)),"")</f>
        <v>Energia Elétrica</v>
      </c>
      <c r="E152" s="46" t="str">
        <f>IFERROR((VLOOKUP(LEFT($A152,4),Setor!$A:$E,5,0)),"")</f>
        <v>Energia Elétrica</v>
      </c>
      <c r="F152" s="47" t="str">
        <f>IFERROR(__xludf.DUMMYFUNCTION("IFERROR((GOOGLEFINANCE(A152)),"""")"),"")</f>
        <v/>
      </c>
      <c r="G152" s="48" t="str">
        <f>IFERROR(__xludf.DUMMYFUNCTION("IFERROR((sparkline(GOOGLEFINANCE($A152,""price"",TODAY()-30,TODAY(),""DAILY""),{""charttype"",""line"";""linewidth"",1;""color"",""#5f88cc""})),"""")"),"")</f>
        <v/>
      </c>
      <c r="H152" s="49" t="str">
        <f>IFERROR(__xludf.DUMMYFUNCTION("IFERROR((((GOOGLEFINANCE(A152))-(INDEX(GoogleFinance(A152,""PRICE"",$AQ$1),2,2)))/(INDEX(GoogleFinance(A152,""PRICE"",$AQ$1),2,2))),"""")"),"")</f>
        <v/>
      </c>
      <c r="I152" s="47" t="str">
        <f>IFERROR(__xludf.DUMMYFUNCTION("IFERROR((GOOGLEFINANCE($A152,""high52"")),"""")"),"")</f>
        <v/>
      </c>
      <c r="J152" s="48" t="str">
        <f>IFERROR(__xludf.DUMMYFUNCTION("IFERROR((sparkline(GOOGLEFINANCE($A152,""price"",TODAY()-365,TODAY(),""DAILY""),{""charttype"",""line"";""linewidth"",1;""color"",""#5f88cc""})),"""")"),"")</f>
        <v/>
      </c>
      <c r="K152" s="50" t="str">
        <f>IFERROR(__xludf.DUMMYFUNCTION("IFERROR((((GOOGLEFINANCE(A152))-(INDEX(GoogleFinance(A152,""PRICE"",$AP$1),2,2)))/(INDEX(GoogleFinance(A152,""PRICE"",$AP$1),2,2))),"""")"),"")</f>
        <v/>
      </c>
      <c r="L152" s="51">
        <f t="shared" si="1"/>
        <v>0</v>
      </c>
      <c r="M152" s="52">
        <f>IFERROR((VLOOKUP($A152,'Dados StatusInvest'!$A:$AZ,COLUMN(M152)-$A$5,0)*VLOOKUP($A152,'Dados StatusInvest'!$A:$AZ,2,0)/$F152/100),0)</f>
        <v>0</v>
      </c>
      <c r="N152" s="53">
        <f>IFERROR((VLOOKUP($A152,'Dados StatusInvest'!$A:$AZ,COLUMN(N152)-$A$5,0)/VLOOKUP($A152,'Dados StatusInvest'!$A:$AZ,2,0)*$F152),"")</f>
        <v>0</v>
      </c>
      <c r="O152" s="53">
        <f>IFERROR((VLOOKUP($A152,'Dados StatusInvest'!$A:$AZ,COLUMN(O152)-$A$5,0)/VLOOKUP($A152,'Dados StatusInvest'!$A:$AZ,2,0)*$F152),0)</f>
        <v>0</v>
      </c>
      <c r="P152" s="54">
        <f>IFERROR((VLOOKUP($A152,'Dados StatusInvest'!$A:$AZ,COLUMN(P152)-$A$5,0)/VLOOKUP($A152,'Dados StatusInvest'!$A:$AZ,2,0)*$F152),0)</f>
        <v>0</v>
      </c>
      <c r="Q152" s="55">
        <f>IFERROR((VLOOKUP($A152,'Dados StatusInvest'!$A:$AZ,COLUMN(Q152)-$A$5,0)/100),0)</f>
        <v>0.0287</v>
      </c>
      <c r="R152" s="56">
        <f>VLOOKUP($A152,'Dados StatusInvest'!$A:$AZ,COLUMN(R152)-$A$5,0)</f>
        <v>1.18</v>
      </c>
      <c r="S152" s="56">
        <f>IFERROR((VLOOKUP($A152,'Dados StatusInvest'!$A:$AZ,COLUMN(S152)-$A$5,0)),0)</f>
        <v>5.05</v>
      </c>
      <c r="T152" s="53">
        <f>IFERROR((VLOOKUP($A152,'Dados StatusInvest'!$A:$AZ,COLUMN(T152)-$A$5,0)/VLOOKUP($A152,'Dados StatusInvest'!$A:$AZ,2,0)*$F152),0)</f>
        <v>0</v>
      </c>
      <c r="U152" s="53">
        <f>IFERROR((VLOOKUP($A152,'Dados StatusInvest'!$A:$AZ,COLUMN(U152)-$A$5,0)-VLOOKUP($A152,'Dados StatusInvest'!$A:$AZ,COLUMN(U152)-$A$5-1,0)+T152),0)</f>
        <v>-12.87</v>
      </c>
      <c r="V152" s="56">
        <f>IFERROR((VLOOKUP($A152,'Dados StatusInvest'!$A:$AZ,COLUMN(V152)-$A$5,0)),0)</f>
        <v>2.37</v>
      </c>
      <c r="W152" s="56">
        <f>IFERROR((VLOOKUP($A152,'Dados StatusInvest'!$A:$AZ,COLUMN(W152)-$A$5,0)),0)</f>
        <v>20.71</v>
      </c>
      <c r="X152" s="53">
        <f>IFERROR((VLOOKUP($A152,'Dados StatusInvest'!$A:$AZ,COLUMN(X152)-$A$5,0)/VLOOKUP($A152,'Dados StatusInvest'!$A:$AZ,2,0)*$F152),0)</f>
        <v>0</v>
      </c>
      <c r="Y152" s="54">
        <f>IFERROR((VLOOKUP($A152,'Dados StatusInvest'!$A:$AZ,COLUMN(Y152)-$A$5,0)/VLOOKUP($A152,'Dados StatusInvest'!$A:$AZ,2,0)*$F152),0)</f>
        <v>0</v>
      </c>
      <c r="Z152" s="56">
        <f>IFERROR((VLOOKUP($A152,'Dados StatusInvest'!$A:$AZ,COLUMN(Z152)-$A$5,0)),0)</f>
        <v>0.35</v>
      </c>
      <c r="AA152" s="57">
        <f>IFERROR((VLOOKUP($A152,'Dados StatusInvest'!$A:$AZ,COLUMN(AA152)-$A$5,0)),0)</f>
        <v>0.65</v>
      </c>
      <c r="AB152" s="57">
        <f>IFERROR((VLOOKUP($A152,'Dados StatusInvest'!$A:$AZ,COLUMN(AB152)-$A$5,0)),0)</f>
        <v>0.13</v>
      </c>
      <c r="AC152" s="58">
        <f>IFERROR((VLOOKUP($A152,'Dados StatusInvest'!$A:$AZ,COLUMN(AC152)-$A$5,0)),0)</f>
        <v>-1.33</v>
      </c>
      <c r="AD152" s="57">
        <f>IFERROR((VLOOKUP($A152,'Dados StatusInvest'!$A:$AZ,COLUMN(AD152)-$A$5,0)),0)</f>
        <v>-3.81</v>
      </c>
      <c r="AE152" s="56">
        <f>IFERROR((VLOOKUP($A152,'Dados StatusInvest'!$A:$AZ,COLUMN(AE152)-$A$5,0)),0)</f>
        <v>0</v>
      </c>
      <c r="AF152" s="56">
        <f>IFERROR((VLOOKUP($A152,'Dados StatusInvest'!$A:$AZ,COLUMN(AF152)-$A$5,0)),0)</f>
        <v>14.12</v>
      </c>
      <c r="AG152" s="56">
        <f>IFERROR((VLOOKUP($A152,'Dados StatusInvest'!$A:$AZ,COLUMN(AG152)-$A$5,0)),0)</f>
        <v>2.92</v>
      </c>
      <c r="AH152" s="56">
        <f>IFERROR((VLOOKUP($A152,'Dados StatusInvest'!$A:$AZ,COLUMN(AH152)-$A$5,0)),0)</f>
        <v>0.02</v>
      </c>
      <c r="AI152" s="57">
        <f>IFERROR((VLOOKUP($A152,'Dados StatusInvest'!$A:$AZ,COLUMN(AI152)-$A$5,0)),0)</f>
        <v>8302192834</v>
      </c>
      <c r="AJ152" s="59" t="str">
        <f>IFERROR((VLOOKUP($A152,'Dados StatusInvest'!$A:$AZ,COLUMN(AJ152)-$A$5,0)),0)</f>
        <v/>
      </c>
      <c r="AK152" s="60" t="str">
        <f>IFERROR(__xludf.DUMMYFUNCTION("IFERROR(GOOGLEFINANCE($A152,""high""),"""")"),"")</f>
        <v/>
      </c>
      <c r="AL152" s="60" t="str">
        <f>IFERROR(__xludf.DUMMYFUNCTION("IFERROR(GOOGLEFINANCE($A152,""low""),"""")"),"")</f>
        <v/>
      </c>
      <c r="AM152" s="61">
        <f t="shared" si="2"/>
        <v>0</v>
      </c>
      <c r="AN152" s="62">
        <f>IFERROR(__xludf.DUMMYFUNCTION("IFERROR((GOOGLEFINANCE($A152,""volume"")),0)"),0.0)</f>
        <v>0</v>
      </c>
      <c r="AO152" s="60" t="str">
        <f>IFERROR(__xludf.DUMMYFUNCTION("IFERROR((GOOGLEFINANCE($A152,""closeyest"")),"""")"),"")</f>
        <v/>
      </c>
      <c r="AP152" s="60" t="str">
        <f>IFERROR(__xludf.DUMMYFUNCTION("IFERROR((GOOGLEFINANCE($A152,""shares"")),"""")"),"")</f>
        <v/>
      </c>
      <c r="AQ152" s="18"/>
    </row>
    <row r="153">
      <c r="A153" s="45" t="str">
        <f>'Dados StatusInvest'!A148:A767</f>
        <v>CESP5</v>
      </c>
      <c r="B153" s="46" t="str">
        <f>IFERROR(__xludf.DUMMYFUNCTION("IFERROR((GOOGLEFINANCE(A153,""name"")),"""")"),"")</f>
        <v/>
      </c>
      <c r="C153" s="46" t="str">
        <f>IFERROR((VLOOKUP(LEFT($A153,4),Setor!$A:$E,3,0)),"")</f>
        <v>Utilidade Pública</v>
      </c>
      <c r="D153" s="46" t="str">
        <f>IFERROR((VLOOKUP(LEFT($A153,4),Setor!$A:$E,4,0)),"")</f>
        <v>Energia Elétrica</v>
      </c>
      <c r="E153" s="46" t="str">
        <f>IFERROR((VLOOKUP(LEFT($A153,4),Setor!$A:$E,5,0)),"")</f>
        <v>Energia Elétrica</v>
      </c>
      <c r="F153" s="47" t="str">
        <f>IFERROR(__xludf.DUMMYFUNCTION("IFERROR((GOOGLEFINANCE(A153)),"""")"),"")</f>
        <v/>
      </c>
      <c r="G153" s="48" t="str">
        <f>IFERROR(__xludf.DUMMYFUNCTION("IFERROR((sparkline(GOOGLEFINANCE($A153,""price"",TODAY()-30,TODAY(),""DAILY""),{""charttype"",""line"";""linewidth"",1;""color"",""#5f88cc""})),"""")"),"")</f>
        <v/>
      </c>
      <c r="H153" s="49" t="str">
        <f>IFERROR(__xludf.DUMMYFUNCTION("IFERROR((((GOOGLEFINANCE(A153))-(INDEX(GoogleFinance(A153,""PRICE"",$AQ$1),2,2)))/(INDEX(GoogleFinance(A153,""PRICE"",$AQ$1),2,2))),"""")"),"")</f>
        <v/>
      </c>
      <c r="I153" s="47" t="str">
        <f>IFERROR(__xludf.DUMMYFUNCTION("IFERROR((GOOGLEFINANCE($A153,""high52"")),"""")"),"")</f>
        <v/>
      </c>
      <c r="J153" s="48" t="str">
        <f>IFERROR(__xludf.DUMMYFUNCTION("IFERROR((sparkline(GOOGLEFINANCE($A153,""price"",TODAY()-365,TODAY(),""DAILY""),{""charttype"",""line"";""linewidth"",1;""color"",""#5f88cc""})),"""")"),"")</f>
        <v/>
      </c>
      <c r="K153" s="50" t="str">
        <f>IFERROR(__xludf.DUMMYFUNCTION("IFERROR((((GOOGLEFINANCE(A153))-(INDEX(GoogleFinance(A153,""PRICE"",$AP$1),2,2)))/(INDEX(GoogleFinance(A153,""PRICE"",$AP$1),2,2))),"""")"),"")</f>
        <v/>
      </c>
      <c r="L153" s="51">
        <f t="shared" si="1"/>
        <v>0</v>
      </c>
      <c r="M153" s="52">
        <f>IFERROR((VLOOKUP($A153,'Dados StatusInvest'!$A:$AZ,COLUMN(M153)-$A$5,0)*VLOOKUP($A153,'Dados StatusInvest'!$A:$AZ,2,0)/$F153/100),0)</f>
        <v>0</v>
      </c>
      <c r="N153" s="53">
        <f>IFERROR((VLOOKUP($A153,'Dados StatusInvest'!$A:$AZ,COLUMN(N153)-$A$5,0)/VLOOKUP($A153,'Dados StatusInvest'!$A:$AZ,2,0)*$F153),"")</f>
        <v>0</v>
      </c>
      <c r="O153" s="53">
        <f>IFERROR((VLOOKUP($A153,'Dados StatusInvest'!$A:$AZ,COLUMN(O153)-$A$5,0)/VLOOKUP($A153,'Dados StatusInvest'!$A:$AZ,2,0)*$F153),0)</f>
        <v>0</v>
      </c>
      <c r="P153" s="54">
        <f>IFERROR((VLOOKUP($A153,'Dados StatusInvest'!$A:$AZ,COLUMN(P153)-$A$5,0)/VLOOKUP($A153,'Dados StatusInvest'!$A:$AZ,2,0)*$F153),0)</f>
        <v>0</v>
      </c>
      <c r="Q153" s="55">
        <f>IFERROR((VLOOKUP($A153,'Dados StatusInvest'!$A:$AZ,COLUMN(Q153)-$A$5,0)/100),0)</f>
        <v>0.0287</v>
      </c>
      <c r="R153" s="56">
        <f>VLOOKUP($A153,'Dados StatusInvest'!$A:$AZ,COLUMN(R153)-$A$5,0)</f>
        <v>1.18</v>
      </c>
      <c r="S153" s="56">
        <f>IFERROR((VLOOKUP($A153,'Dados StatusInvest'!$A:$AZ,COLUMN(S153)-$A$5,0)),0)</f>
        <v>4.94</v>
      </c>
      <c r="T153" s="53">
        <f>IFERROR((VLOOKUP($A153,'Dados StatusInvest'!$A:$AZ,COLUMN(T153)-$A$5,0)/VLOOKUP($A153,'Dados StatusInvest'!$A:$AZ,2,0)*$F153),0)</f>
        <v>0</v>
      </c>
      <c r="U153" s="53">
        <f>IFERROR((VLOOKUP($A153,'Dados StatusInvest'!$A:$AZ,COLUMN(U153)-$A$5,0)-VLOOKUP($A153,'Dados StatusInvest'!$A:$AZ,COLUMN(U153)-$A$5-1,0)+T153),0)</f>
        <v>-12.6</v>
      </c>
      <c r="V153" s="56">
        <f>IFERROR((VLOOKUP($A153,'Dados StatusInvest'!$A:$AZ,COLUMN(V153)-$A$5,0)),0)</f>
        <v>2.37</v>
      </c>
      <c r="W153" s="56">
        <f>IFERROR((VLOOKUP($A153,'Dados StatusInvest'!$A:$AZ,COLUMN(W153)-$A$5,0)),0)</f>
        <v>20.71</v>
      </c>
      <c r="X153" s="53">
        <f>IFERROR((VLOOKUP($A153,'Dados StatusInvest'!$A:$AZ,COLUMN(X153)-$A$5,0)/VLOOKUP($A153,'Dados StatusInvest'!$A:$AZ,2,0)*$F153),0)</f>
        <v>0</v>
      </c>
      <c r="Y153" s="54">
        <f>IFERROR((VLOOKUP($A153,'Dados StatusInvest'!$A:$AZ,COLUMN(Y153)-$A$5,0)/VLOOKUP($A153,'Dados StatusInvest'!$A:$AZ,2,0)*$F153),0)</f>
        <v>0</v>
      </c>
      <c r="Z153" s="56">
        <f>IFERROR((VLOOKUP($A153,'Dados StatusInvest'!$A:$AZ,COLUMN(Z153)-$A$5,0)),0)</f>
        <v>0.35</v>
      </c>
      <c r="AA153" s="57">
        <f>IFERROR((VLOOKUP($A153,'Dados StatusInvest'!$A:$AZ,COLUMN(AA153)-$A$5,0)),0)</f>
        <v>0.65</v>
      </c>
      <c r="AB153" s="57">
        <f>IFERROR((VLOOKUP($A153,'Dados StatusInvest'!$A:$AZ,COLUMN(AB153)-$A$5,0)),0)</f>
        <v>0.13</v>
      </c>
      <c r="AC153" s="58">
        <f>IFERROR((VLOOKUP($A153,'Dados StatusInvest'!$A:$AZ,COLUMN(AC153)-$A$5,0)),0)</f>
        <v>-1.33</v>
      </c>
      <c r="AD153" s="57">
        <f>IFERROR((VLOOKUP($A153,'Dados StatusInvest'!$A:$AZ,COLUMN(AD153)-$A$5,0)),0)</f>
        <v>-3.81</v>
      </c>
      <c r="AE153" s="56">
        <f>IFERROR((VLOOKUP($A153,'Dados StatusInvest'!$A:$AZ,COLUMN(AE153)-$A$5,0)),0)</f>
        <v>0</v>
      </c>
      <c r="AF153" s="56">
        <f>IFERROR((VLOOKUP($A153,'Dados StatusInvest'!$A:$AZ,COLUMN(AF153)-$A$5,0)),0)</f>
        <v>14.12</v>
      </c>
      <c r="AG153" s="56">
        <f>IFERROR((VLOOKUP($A153,'Dados StatusInvest'!$A:$AZ,COLUMN(AG153)-$A$5,0)),0)</f>
        <v>2.92</v>
      </c>
      <c r="AH153" s="56">
        <f>IFERROR((VLOOKUP($A153,'Dados StatusInvest'!$A:$AZ,COLUMN(AH153)-$A$5,0)),0)</f>
        <v>0.02</v>
      </c>
      <c r="AI153" s="57">
        <f>IFERROR((VLOOKUP($A153,'Dados StatusInvest'!$A:$AZ,COLUMN(AI153)-$A$5,0)),0)</f>
        <v>8302192834</v>
      </c>
      <c r="AJ153" s="59" t="str">
        <f>IFERROR((VLOOKUP($A153,'Dados StatusInvest'!$A:$AZ,COLUMN(AJ153)-$A$5,0)),0)</f>
        <v/>
      </c>
      <c r="AK153" s="60" t="str">
        <f>IFERROR(__xludf.DUMMYFUNCTION("IFERROR(GOOGLEFINANCE($A153,""high""),"""")"),"")</f>
        <v/>
      </c>
      <c r="AL153" s="60" t="str">
        <f>IFERROR(__xludf.DUMMYFUNCTION("IFERROR(GOOGLEFINANCE($A153,""low""),"""")"),"")</f>
        <v/>
      </c>
      <c r="AM153" s="61">
        <f t="shared" si="2"/>
        <v>0</v>
      </c>
      <c r="AN153" s="62">
        <f>IFERROR(__xludf.DUMMYFUNCTION("IFERROR((GOOGLEFINANCE($A153,""volume"")),0)"),0.0)</f>
        <v>0</v>
      </c>
      <c r="AO153" s="60" t="str">
        <f>IFERROR(__xludf.DUMMYFUNCTION("IFERROR((GOOGLEFINANCE($A153,""closeyest"")),"""")"),"")</f>
        <v/>
      </c>
      <c r="AP153" s="60" t="str">
        <f>IFERROR(__xludf.DUMMYFUNCTION("IFERROR((GOOGLEFINANCE($A153,""shares"")),"""")"),"")</f>
        <v/>
      </c>
      <c r="AQ153" s="18"/>
    </row>
    <row r="154">
      <c r="A154" s="45" t="str">
        <f>'Dados StatusInvest'!A149:A768</f>
        <v>CESP6</v>
      </c>
      <c r="B154" s="46" t="str">
        <f>IFERROR(__xludf.DUMMYFUNCTION("IFERROR((GOOGLEFINANCE(A154,""name"")),"""")"),"")</f>
        <v/>
      </c>
      <c r="C154" s="46" t="str">
        <f>IFERROR((VLOOKUP(LEFT($A154,4),Setor!$A:$E,3,0)),"")</f>
        <v>Utilidade Pública</v>
      </c>
      <c r="D154" s="46" t="str">
        <f>IFERROR((VLOOKUP(LEFT($A154,4),Setor!$A:$E,4,0)),"")</f>
        <v>Energia Elétrica</v>
      </c>
      <c r="E154" s="46" t="str">
        <f>IFERROR((VLOOKUP(LEFT($A154,4),Setor!$A:$E,5,0)),"")</f>
        <v>Energia Elétrica</v>
      </c>
      <c r="F154" s="47" t="str">
        <f>IFERROR(__xludf.DUMMYFUNCTION("IFERROR((GOOGLEFINANCE(A154)),"""")"),"")</f>
        <v/>
      </c>
      <c r="G154" s="48" t="str">
        <f>IFERROR(__xludf.DUMMYFUNCTION("IFERROR((sparkline(GOOGLEFINANCE($A154,""price"",TODAY()-30,TODAY(),""DAILY""),{""charttype"",""line"";""linewidth"",1;""color"",""#5f88cc""})),"""")"),"")</f>
        <v/>
      </c>
      <c r="H154" s="49" t="str">
        <f>IFERROR(__xludf.DUMMYFUNCTION("IFERROR((((GOOGLEFINANCE(A154))-(INDEX(GoogleFinance(A154,""PRICE"",$AQ$1),2,2)))/(INDEX(GoogleFinance(A154,""PRICE"",$AQ$1),2,2))),"""")"),"")</f>
        <v/>
      </c>
      <c r="I154" s="47" t="str">
        <f>IFERROR(__xludf.DUMMYFUNCTION("IFERROR((GOOGLEFINANCE($A154,""high52"")),"""")"),"")</f>
        <v/>
      </c>
      <c r="J154" s="48" t="str">
        <f>IFERROR(__xludf.DUMMYFUNCTION("IFERROR((sparkline(GOOGLEFINANCE($A154,""price"",TODAY()-365,TODAY(),""DAILY""),{""charttype"",""line"";""linewidth"",1;""color"",""#5f88cc""})),"""")"),"")</f>
        <v/>
      </c>
      <c r="K154" s="50" t="str">
        <f>IFERROR(__xludf.DUMMYFUNCTION("IFERROR((((GOOGLEFINANCE(A154))-(INDEX(GoogleFinance(A154,""PRICE"",$AP$1),2,2)))/(INDEX(GoogleFinance(A154,""PRICE"",$AP$1),2,2))),"""")"),"")</f>
        <v/>
      </c>
      <c r="L154" s="51">
        <f t="shared" si="1"/>
        <v>0</v>
      </c>
      <c r="M154" s="52">
        <f>IFERROR((VLOOKUP($A154,'Dados StatusInvest'!$A:$AZ,COLUMN(M154)-$A$5,0)*VLOOKUP($A154,'Dados StatusInvest'!$A:$AZ,2,0)/$F154/100),0)</f>
        <v>0</v>
      </c>
      <c r="N154" s="53">
        <f>IFERROR((VLOOKUP($A154,'Dados StatusInvest'!$A:$AZ,COLUMN(N154)-$A$5,0)/VLOOKUP($A154,'Dados StatusInvest'!$A:$AZ,2,0)*$F154),"")</f>
        <v>0</v>
      </c>
      <c r="O154" s="53">
        <f>IFERROR((VLOOKUP($A154,'Dados StatusInvest'!$A:$AZ,COLUMN(O154)-$A$5,0)/VLOOKUP($A154,'Dados StatusInvest'!$A:$AZ,2,0)*$F154),0)</f>
        <v>0</v>
      </c>
      <c r="P154" s="54">
        <f>IFERROR((VLOOKUP($A154,'Dados StatusInvest'!$A:$AZ,COLUMN(P154)-$A$5,0)/VLOOKUP($A154,'Dados StatusInvest'!$A:$AZ,2,0)*$F154),0)</f>
        <v>0</v>
      </c>
      <c r="Q154" s="55">
        <f>IFERROR((VLOOKUP($A154,'Dados StatusInvest'!$A:$AZ,COLUMN(Q154)-$A$5,0)/100),0)</f>
        <v>0.0287</v>
      </c>
      <c r="R154" s="56">
        <f>VLOOKUP($A154,'Dados StatusInvest'!$A:$AZ,COLUMN(R154)-$A$5,0)</f>
        <v>1.18</v>
      </c>
      <c r="S154" s="56">
        <f>IFERROR((VLOOKUP($A154,'Dados StatusInvest'!$A:$AZ,COLUMN(S154)-$A$5,0)),0)</f>
        <v>4.99</v>
      </c>
      <c r="T154" s="53">
        <f>IFERROR((VLOOKUP($A154,'Dados StatusInvest'!$A:$AZ,COLUMN(T154)-$A$5,0)/VLOOKUP($A154,'Dados StatusInvest'!$A:$AZ,2,0)*$F154),0)</f>
        <v>0</v>
      </c>
      <c r="U154" s="53">
        <f>IFERROR((VLOOKUP($A154,'Dados StatusInvest'!$A:$AZ,COLUMN(U154)-$A$5,0)-VLOOKUP($A154,'Dados StatusInvest'!$A:$AZ,COLUMN(U154)-$A$5-1,0)+T154),0)</f>
        <v>-12.72</v>
      </c>
      <c r="V154" s="56">
        <f>IFERROR((VLOOKUP($A154,'Dados StatusInvest'!$A:$AZ,COLUMN(V154)-$A$5,0)),0)</f>
        <v>2.37</v>
      </c>
      <c r="W154" s="56">
        <f>IFERROR((VLOOKUP($A154,'Dados StatusInvest'!$A:$AZ,COLUMN(W154)-$A$5,0)),0)</f>
        <v>20.71</v>
      </c>
      <c r="X154" s="53">
        <f>IFERROR((VLOOKUP($A154,'Dados StatusInvest'!$A:$AZ,COLUMN(X154)-$A$5,0)/VLOOKUP($A154,'Dados StatusInvest'!$A:$AZ,2,0)*$F154),0)</f>
        <v>0</v>
      </c>
      <c r="Y154" s="54">
        <f>IFERROR((VLOOKUP($A154,'Dados StatusInvest'!$A:$AZ,COLUMN(Y154)-$A$5,0)/VLOOKUP($A154,'Dados StatusInvest'!$A:$AZ,2,0)*$F154),0)</f>
        <v>0</v>
      </c>
      <c r="Z154" s="56">
        <f>IFERROR((VLOOKUP($A154,'Dados StatusInvest'!$A:$AZ,COLUMN(Z154)-$A$5,0)),0)</f>
        <v>0.35</v>
      </c>
      <c r="AA154" s="57">
        <f>IFERROR((VLOOKUP($A154,'Dados StatusInvest'!$A:$AZ,COLUMN(AA154)-$A$5,0)),0)</f>
        <v>0.65</v>
      </c>
      <c r="AB154" s="57">
        <f>IFERROR((VLOOKUP($A154,'Dados StatusInvest'!$A:$AZ,COLUMN(AB154)-$A$5,0)),0)</f>
        <v>0.13</v>
      </c>
      <c r="AC154" s="58">
        <f>IFERROR((VLOOKUP($A154,'Dados StatusInvest'!$A:$AZ,COLUMN(AC154)-$A$5,0)),0)</f>
        <v>-1.33</v>
      </c>
      <c r="AD154" s="57">
        <f>IFERROR((VLOOKUP($A154,'Dados StatusInvest'!$A:$AZ,COLUMN(AD154)-$A$5,0)),0)</f>
        <v>-3.81</v>
      </c>
      <c r="AE154" s="56">
        <f>IFERROR((VLOOKUP($A154,'Dados StatusInvest'!$A:$AZ,COLUMN(AE154)-$A$5,0)),0)</f>
        <v>0</v>
      </c>
      <c r="AF154" s="56">
        <f>IFERROR((VLOOKUP($A154,'Dados StatusInvest'!$A:$AZ,COLUMN(AF154)-$A$5,0)),0)</f>
        <v>14.12</v>
      </c>
      <c r="AG154" s="56">
        <f>IFERROR((VLOOKUP($A154,'Dados StatusInvest'!$A:$AZ,COLUMN(AG154)-$A$5,0)),0)</f>
        <v>2.92</v>
      </c>
      <c r="AH154" s="56">
        <f>IFERROR((VLOOKUP($A154,'Dados StatusInvest'!$A:$AZ,COLUMN(AH154)-$A$5,0)),0)</f>
        <v>0.02</v>
      </c>
      <c r="AI154" s="57">
        <f>IFERROR((VLOOKUP($A154,'Dados StatusInvest'!$A:$AZ,COLUMN(AI154)-$A$5,0)),0)</f>
        <v>8302192834</v>
      </c>
      <c r="AJ154" s="59" t="str">
        <f>IFERROR((VLOOKUP($A154,'Dados StatusInvest'!$A:$AZ,COLUMN(AJ154)-$A$5,0)),0)</f>
        <v/>
      </c>
      <c r="AK154" s="60" t="str">
        <f>IFERROR(__xludf.DUMMYFUNCTION("IFERROR(GOOGLEFINANCE($A154,""high""),"""")"),"")</f>
        <v/>
      </c>
      <c r="AL154" s="60" t="str">
        <f>IFERROR(__xludf.DUMMYFUNCTION("IFERROR(GOOGLEFINANCE($A154,""low""),"""")"),"")</f>
        <v/>
      </c>
      <c r="AM154" s="61">
        <f t="shared" si="2"/>
        <v>0</v>
      </c>
      <c r="AN154" s="62">
        <f>IFERROR(__xludf.DUMMYFUNCTION("IFERROR((GOOGLEFINANCE($A154,""volume"")),0)"),0.0)</f>
        <v>0</v>
      </c>
      <c r="AO154" s="60" t="str">
        <f>IFERROR(__xludf.DUMMYFUNCTION("IFERROR((GOOGLEFINANCE($A154,""closeyest"")),"""")"),"")</f>
        <v/>
      </c>
      <c r="AP154" s="60" t="str">
        <f>IFERROR(__xludf.DUMMYFUNCTION("IFERROR((GOOGLEFINANCE($A154,""shares"")),"""")"),"")</f>
        <v/>
      </c>
      <c r="AQ154" s="18"/>
    </row>
    <row r="155">
      <c r="A155" s="45" t="str">
        <f>'Dados StatusInvest'!A150:A769</f>
        <v>CGAS3</v>
      </c>
      <c r="B155" s="46" t="str">
        <f>IFERROR(__xludf.DUMMYFUNCTION("IFERROR((GOOGLEFINANCE(A155,""name"")),"""")"),"Companhia de Gas de Sao Paulo COMGAS")</f>
        <v>Companhia de Gas de Sao Paulo COMGAS</v>
      </c>
      <c r="C155" s="46" t="str">
        <f>IFERROR((VLOOKUP(LEFT($A155,4),Setor!$A:$E,3,0)),"")</f>
        <v>Utilidade Pública</v>
      </c>
      <c r="D155" s="46" t="str">
        <f>IFERROR((VLOOKUP(LEFT($A155,4),Setor!$A:$E,4,0)),"")</f>
        <v>Gás</v>
      </c>
      <c r="E155" s="46" t="str">
        <f>IFERROR((VLOOKUP(LEFT($A155,4),Setor!$A:$E,5,0)),"")</f>
        <v>Gás</v>
      </c>
      <c r="F155" s="47">
        <f>IFERROR(__xludf.DUMMYFUNCTION("IFERROR((GOOGLEFINANCE(A155)),"""")"),127.01)</f>
        <v>127.01</v>
      </c>
      <c r="G155" s="48" t="str">
        <f>IFERROR(__xludf.DUMMYFUNCTION("IFERROR((sparkline(GOOGLEFINANCE($A155,""price"",TODAY()-30,TODAY(),""DAILY""),{""charttype"",""line"";""linewidth"",1;""color"",""#5f88cc""})),"""")"),"")</f>
        <v/>
      </c>
      <c r="H155" s="49">
        <f>IFERROR(__xludf.DUMMYFUNCTION("IFERROR((((GOOGLEFINANCE(A155))-(INDEX(GoogleFinance(A155,""PRICE"",$AQ$1),2,2)))/(INDEX(GoogleFinance(A155,""PRICE"",$AQ$1),2,2))),"""")"),-0.015273685842766203)</f>
        <v>-0.01527368584</v>
      </c>
      <c r="I155" s="47">
        <f>IFERROR(__xludf.DUMMYFUNCTION("IFERROR((GOOGLEFINANCE($A155,""high52"")),"""")"),144.97)</f>
        <v>144.97</v>
      </c>
      <c r="J155" s="48" t="str">
        <f>IFERROR(__xludf.DUMMYFUNCTION("IFERROR((sparkline(GOOGLEFINANCE($A155,""price"",TODAY()-365,TODAY(),""DAILY""),{""charttype"",""line"";""linewidth"",1;""color"",""#5f88cc""})),"""")"),"")</f>
        <v/>
      </c>
      <c r="K155" s="50">
        <f>IFERROR(__xludf.DUMMYFUNCTION("IFERROR((((GOOGLEFINANCE(A155))-(INDEX(GoogleFinance(A155,""PRICE"",$AP$1),2,2)))/(INDEX(GoogleFinance(A155,""PRICE"",$AP$1),2,2))),"""")"),0.008095880625446545)</f>
        <v>0.008095880625</v>
      </c>
      <c r="L155" s="51">
        <f t="shared" si="1"/>
        <v>-0.1238877009</v>
      </c>
      <c r="M155" s="52">
        <f>IFERROR((VLOOKUP($A155,'Dados StatusInvest'!$A:$AZ,COLUMN(M155)-$A$5,0)*VLOOKUP($A155,'Dados StatusInvest'!$A:$AZ,2,0)/$F155/100),0)</f>
        <v>0.2297</v>
      </c>
      <c r="N155" s="53">
        <f>IFERROR((VLOOKUP($A155,'Dados StatusInvest'!$A:$AZ,COLUMN(N155)-$A$5,0)/VLOOKUP($A155,'Dados StatusInvest'!$A:$AZ,2,0)*$F155),"")</f>
        <v>12.52</v>
      </c>
      <c r="O155" s="53">
        <f>IFERROR((VLOOKUP($A155,'Dados StatusInvest'!$A:$AZ,COLUMN(O155)-$A$5,0)/VLOOKUP($A155,'Dados StatusInvest'!$A:$AZ,2,0)*$F155),0)</f>
        <v>5.68</v>
      </c>
      <c r="P155" s="54">
        <f>IFERROR((VLOOKUP($A155,'Dados StatusInvest'!$A:$AZ,COLUMN(P155)-$A$5,0)/VLOOKUP($A155,'Dados StatusInvest'!$A:$AZ,2,0)*$F155),0)</f>
        <v>8.06</v>
      </c>
      <c r="Q155" s="55">
        <f>IFERROR((VLOOKUP($A155,'Dados StatusInvest'!$A:$AZ,COLUMN(Q155)-$A$5,0)/100),0)</f>
        <v>0.0238</v>
      </c>
      <c r="R155" s="56">
        <f>VLOOKUP($A155,'Dados StatusInvest'!$A:$AZ,COLUMN(R155)-$A$5,0)</f>
        <v>3.49</v>
      </c>
      <c r="S155" s="56">
        <f>IFERROR((VLOOKUP($A155,'Dados StatusInvest'!$A:$AZ,COLUMN(S155)-$A$5,0)),0)</f>
        <v>1.3</v>
      </c>
      <c r="T155" s="53">
        <f>IFERROR((VLOOKUP($A155,'Dados StatusInvest'!$A:$AZ,COLUMN(T155)-$A$5,0)/VLOOKUP($A155,'Dados StatusInvest'!$A:$AZ,2,0)*$F155),0)</f>
        <v>12.98</v>
      </c>
      <c r="U155" s="53">
        <f>IFERROR((VLOOKUP($A155,'Dados StatusInvest'!$A:$AZ,COLUMN(U155)-$A$5,0)-VLOOKUP($A155,'Dados StatusInvest'!$A:$AZ,COLUMN(U155)-$A$5-1,0)+T155),0)</f>
        <v>-1.59</v>
      </c>
      <c r="V155" s="56">
        <f>IFERROR((VLOOKUP($A155,'Dados StatusInvest'!$A:$AZ,COLUMN(V155)-$A$5,0)),0)</f>
        <v>1.43</v>
      </c>
      <c r="W155" s="56">
        <f>IFERROR((VLOOKUP($A155,'Dados StatusInvest'!$A:$AZ,COLUMN(W155)-$A$5,0)),0)</f>
        <v>79.8</v>
      </c>
      <c r="X155" s="53">
        <f>IFERROR((VLOOKUP($A155,'Dados StatusInvest'!$A:$AZ,COLUMN(X155)-$A$5,0)/VLOOKUP($A155,'Dados StatusInvest'!$A:$AZ,2,0)*$F155),0)</f>
        <v>10.87</v>
      </c>
      <c r="Y155" s="54">
        <f>IFERROR((VLOOKUP($A155,'Dados StatusInvest'!$A:$AZ,COLUMN(Y155)-$A$5,0)/VLOOKUP($A155,'Dados StatusInvest'!$A:$AZ,2,0)*$F155),0)</f>
        <v>22.09</v>
      </c>
      <c r="Z155" s="56">
        <f>IFERROR((VLOOKUP($A155,'Dados StatusInvest'!$A:$AZ,COLUMN(Z155)-$A$5,0)),0)</f>
        <v>0.14</v>
      </c>
      <c r="AA155" s="57">
        <f>IFERROR((VLOOKUP($A155,'Dados StatusInvest'!$A:$AZ,COLUMN(AA155)-$A$5,0)),0)</f>
        <v>0.86</v>
      </c>
      <c r="AB155" s="57">
        <f>IFERROR((VLOOKUP($A155,'Dados StatusInvest'!$A:$AZ,COLUMN(AB155)-$A$5,0)),0)</f>
        <v>0.87</v>
      </c>
      <c r="AC155" s="58">
        <f>IFERROR((VLOOKUP($A155,'Dados StatusInvest'!$A:$AZ,COLUMN(AC155)-$A$5,0)),0)</f>
        <v>10.17</v>
      </c>
      <c r="AD155" s="57">
        <f>IFERROR((VLOOKUP($A155,'Dados StatusInvest'!$A:$AZ,COLUMN(AD155)-$A$5,0)),0)</f>
        <v>3.41</v>
      </c>
      <c r="AE155" s="56">
        <f>IFERROR((VLOOKUP($A155,'Dados StatusInvest'!$A:$AZ,COLUMN(AE155)-$A$5,0)),0)</f>
        <v>21969.2</v>
      </c>
      <c r="AF155" s="56">
        <f>IFERROR((VLOOKUP($A155,'Dados StatusInvest'!$A:$AZ,COLUMN(AF155)-$A$5,0)),0)</f>
        <v>15.29</v>
      </c>
      <c r="AG155" s="56">
        <f>IFERROR((VLOOKUP($A155,'Dados StatusInvest'!$A:$AZ,COLUMN(AG155)-$A$5,0)),0)</f>
        <v>12.2</v>
      </c>
      <c r="AH155" s="56">
        <f>IFERROR((VLOOKUP($A155,'Dados StatusInvest'!$A:$AZ,COLUMN(AH155)-$A$5,0)),0)</f>
        <v>-0.24</v>
      </c>
      <c r="AI155" s="57">
        <f>IFERROR((VLOOKUP($A155,'Dados StatusInvest'!$A:$AZ,COLUMN(AI155)-$A$5,0)),0)</f>
        <v>16831439755</v>
      </c>
      <c r="AJ155" s="59" t="str">
        <f>IFERROR((VLOOKUP($A155,'Dados StatusInvest'!$A:$AZ,COLUMN(AJ155)-$A$5,0)),0)</f>
        <v/>
      </c>
      <c r="AK155" s="60" t="str">
        <f>IFERROR(__xludf.DUMMYFUNCTION("IFERROR(GOOGLEFINANCE($A155,""high""),"""")"),"")</f>
        <v/>
      </c>
      <c r="AL155" s="60" t="str">
        <f>IFERROR(__xludf.DUMMYFUNCTION("IFERROR(GOOGLEFINANCE($A155,""low""),"""")"),"")</f>
        <v/>
      </c>
      <c r="AM155" s="61">
        <f t="shared" si="2"/>
        <v>0</v>
      </c>
      <c r="AN155" s="62">
        <f>IFERROR(__xludf.DUMMYFUNCTION("IFERROR((GOOGLEFINANCE($A155,""volume"")),0)"),0.0)</f>
        <v>0</v>
      </c>
      <c r="AO155" s="60">
        <f>IFERROR(__xludf.DUMMYFUNCTION("IFERROR((GOOGLEFINANCE($A155,""closeyest"")),"""")"),127.01)</f>
        <v>127.01</v>
      </c>
      <c r="AP155" s="60">
        <f>IFERROR(__xludf.DUMMYFUNCTION("IFERROR((GOOGLEFINANCE($A155,""shares"")),"""")"),1.03862768E8)</f>
        <v>103862768</v>
      </c>
      <c r="AQ155" s="18"/>
    </row>
    <row r="156">
      <c r="A156" s="45" t="str">
        <f>'Dados StatusInvest'!A151:A770</f>
        <v>CGAS5</v>
      </c>
      <c r="B156" s="46" t="str">
        <f>IFERROR(__xludf.DUMMYFUNCTION("IFERROR((GOOGLEFINANCE(A156,""name"")),"""")"),"Companhia de Gas de Sao Paulo COMGAS Preference Shares Class A")</f>
        <v>Companhia de Gas de Sao Paulo COMGAS Preference Shares Class A</v>
      </c>
      <c r="C156" s="46" t="str">
        <f>IFERROR((VLOOKUP(LEFT($A156,4),Setor!$A:$E,3,0)),"")</f>
        <v>Utilidade Pública</v>
      </c>
      <c r="D156" s="46" t="str">
        <f>IFERROR((VLOOKUP(LEFT($A156,4),Setor!$A:$E,4,0)),"")</f>
        <v>Gás</v>
      </c>
      <c r="E156" s="46" t="str">
        <f>IFERROR((VLOOKUP(LEFT($A156,4),Setor!$A:$E,5,0)),"")</f>
        <v>Gás</v>
      </c>
      <c r="F156" s="47">
        <f>IFERROR(__xludf.DUMMYFUNCTION("IFERROR((GOOGLEFINANCE(A156)),"""")"),131.39)</f>
        <v>131.39</v>
      </c>
      <c r="G156" s="48" t="str">
        <f>IFERROR(__xludf.DUMMYFUNCTION("IFERROR((sparkline(GOOGLEFINANCE($A156,""price"",TODAY()-30,TODAY(),""DAILY""),{""charttype"",""line"";""linewidth"",1;""color"",""#5f88cc""})),"""")"),"")</f>
        <v/>
      </c>
      <c r="H156" s="49">
        <f>IFERROR(__xludf.DUMMYFUNCTION("IFERROR((((GOOGLEFINANCE(A156))-(INDEX(GoogleFinance(A156,""PRICE"",$AQ$1),2,2)))/(INDEX(GoogleFinance(A156,""PRICE"",$AQ$1),2,2))),"""")"),-8.365019011407882E-4)</f>
        <v>-0.0008365019011</v>
      </c>
      <c r="I156" s="47">
        <f>IFERROR(__xludf.DUMMYFUNCTION("IFERROR((GOOGLEFINANCE($A156,""high52"")),"""")"),139.96)</f>
        <v>139.96</v>
      </c>
      <c r="J156" s="48" t="str">
        <f>IFERROR(__xludf.DUMMYFUNCTION("IFERROR((sparkline(GOOGLEFINANCE($A156,""price"",TODAY()-365,TODAY(),""DAILY""),{""charttype"",""line"";""linewidth"",1;""color"",""#5f88cc""})),"""")"),"")</f>
        <v/>
      </c>
      <c r="K156" s="50">
        <f>IFERROR(__xludf.DUMMYFUNCTION("IFERROR((((GOOGLEFINANCE(A156))-(INDEX(GoogleFinance(A156,""PRICE"",$AP$1),2,2)))/(INDEX(GoogleFinance(A156,""PRICE"",$AP$1),2,2))),"""")"),-0.01061746987951826)</f>
        <v>-0.01061746988</v>
      </c>
      <c r="L156" s="51">
        <f t="shared" si="1"/>
        <v>-0.06123178051</v>
      </c>
      <c r="M156" s="52">
        <f>IFERROR((VLOOKUP($A156,'Dados StatusInvest'!$A:$AZ,COLUMN(M156)-$A$5,0)*VLOOKUP($A156,'Dados StatusInvest'!$A:$AZ,2,0)/$F156/100),0)</f>
        <v>0.2295426593</v>
      </c>
      <c r="N156" s="53">
        <f>IFERROR((VLOOKUP($A156,'Dados StatusInvest'!$A:$AZ,COLUMN(N156)-$A$5,0)/VLOOKUP($A156,'Dados StatusInvest'!$A:$AZ,2,0)*$F156),"")</f>
        <v>12.52858187</v>
      </c>
      <c r="O156" s="53">
        <f>IFERROR((VLOOKUP($A156,'Dados StatusInvest'!$A:$AZ,COLUMN(O156)-$A$5,0)/VLOOKUP($A156,'Dados StatusInvest'!$A:$AZ,2,0)*$F156),0)</f>
        <v>5.87402361</v>
      </c>
      <c r="P156" s="54">
        <f>IFERROR((VLOOKUP($A156,'Dados StatusInvest'!$A:$AZ,COLUMN(P156)-$A$5,0)/VLOOKUP($A156,'Dados StatusInvest'!$A:$AZ,2,0)*$F156),0)</f>
        <v>8.065524752</v>
      </c>
      <c r="Q156" s="55">
        <f>IFERROR((VLOOKUP($A156,'Dados StatusInvest'!$A:$AZ,COLUMN(Q156)-$A$5,0)/100),0)</f>
        <v>0.0238</v>
      </c>
      <c r="R156" s="56">
        <f>VLOOKUP($A156,'Dados StatusInvest'!$A:$AZ,COLUMN(R156)-$A$5,0)</f>
        <v>3.49</v>
      </c>
      <c r="S156" s="56">
        <f>IFERROR((VLOOKUP($A156,'Dados StatusInvest'!$A:$AZ,COLUMN(S156)-$A$5,0)),0)</f>
        <v>1.35</v>
      </c>
      <c r="T156" s="53">
        <f>IFERROR((VLOOKUP($A156,'Dados StatusInvest'!$A:$AZ,COLUMN(T156)-$A$5,0)/VLOOKUP($A156,'Dados StatusInvest'!$A:$AZ,2,0)*$F156),0)</f>
        <v>13.41919193</v>
      </c>
      <c r="U156" s="53">
        <f>IFERROR((VLOOKUP($A156,'Dados StatusInvest'!$A:$AZ,COLUMN(U156)-$A$5,0)-VLOOKUP($A156,'Dados StatusInvest'!$A:$AZ,COLUMN(U156)-$A$5-1,0)+T156),0)</f>
        <v>-1.630808073</v>
      </c>
      <c r="V156" s="56">
        <f>IFERROR((VLOOKUP($A156,'Dados StatusInvest'!$A:$AZ,COLUMN(V156)-$A$5,0)),0)</f>
        <v>1.43</v>
      </c>
      <c r="W156" s="56">
        <f>IFERROR((VLOOKUP($A156,'Dados StatusInvest'!$A:$AZ,COLUMN(W156)-$A$5,0)),0)</f>
        <v>79.8</v>
      </c>
      <c r="X156" s="53">
        <f>IFERROR((VLOOKUP($A156,'Dados StatusInvest'!$A:$AZ,COLUMN(X156)-$A$5,0)/VLOOKUP($A156,'Dados StatusInvest'!$A:$AZ,2,0)*$F156),0)</f>
        <v>10.87745088</v>
      </c>
      <c r="Y156" s="54">
        <f>IFERROR((VLOOKUP($A156,'Dados StatusInvest'!$A:$AZ,COLUMN(Y156)-$A$5,0)/VLOOKUP($A156,'Dados StatusInvest'!$A:$AZ,2,0)*$F156),0)</f>
        <v>22.10514166</v>
      </c>
      <c r="Z156" s="56">
        <f>IFERROR((VLOOKUP($A156,'Dados StatusInvest'!$A:$AZ,COLUMN(Z156)-$A$5,0)),0)</f>
        <v>0.14</v>
      </c>
      <c r="AA156" s="57">
        <f>IFERROR((VLOOKUP($A156,'Dados StatusInvest'!$A:$AZ,COLUMN(AA156)-$A$5,0)),0)</f>
        <v>0.86</v>
      </c>
      <c r="AB156" s="57">
        <f>IFERROR((VLOOKUP($A156,'Dados StatusInvest'!$A:$AZ,COLUMN(AB156)-$A$5,0)),0)</f>
        <v>0.87</v>
      </c>
      <c r="AC156" s="58">
        <f>IFERROR((VLOOKUP($A156,'Dados StatusInvest'!$A:$AZ,COLUMN(AC156)-$A$5,0)),0)</f>
        <v>10.17</v>
      </c>
      <c r="AD156" s="57">
        <f>IFERROR((VLOOKUP($A156,'Dados StatusInvest'!$A:$AZ,COLUMN(AD156)-$A$5,0)),0)</f>
        <v>3.41</v>
      </c>
      <c r="AE156" s="56">
        <f>IFERROR((VLOOKUP($A156,'Dados StatusInvest'!$A:$AZ,COLUMN(AE156)-$A$5,0)),0)</f>
        <v>67643.05</v>
      </c>
      <c r="AF156" s="56">
        <f>IFERROR((VLOOKUP($A156,'Dados StatusInvest'!$A:$AZ,COLUMN(AF156)-$A$5,0)),0)</f>
        <v>15.29</v>
      </c>
      <c r="AG156" s="56">
        <f>IFERROR((VLOOKUP($A156,'Dados StatusInvest'!$A:$AZ,COLUMN(AG156)-$A$5,0)),0)</f>
        <v>12.2</v>
      </c>
      <c r="AH156" s="56">
        <f>IFERROR((VLOOKUP($A156,'Dados StatusInvest'!$A:$AZ,COLUMN(AH156)-$A$5,0)),0)</f>
        <v>-0.25</v>
      </c>
      <c r="AI156" s="57">
        <f>IFERROR((VLOOKUP($A156,'Dados StatusInvest'!$A:$AZ,COLUMN(AI156)-$A$5,0)),0)</f>
        <v>16831439755</v>
      </c>
      <c r="AJ156" s="59" t="str">
        <f>IFERROR((VLOOKUP($A156,'Dados StatusInvest'!$A:$AZ,COLUMN(AJ156)-$A$5,0)),0)</f>
        <v/>
      </c>
      <c r="AK156" s="60" t="str">
        <f>IFERROR(__xludf.DUMMYFUNCTION("IFERROR(GOOGLEFINANCE($A156,""high""),"""")"),"")</f>
        <v/>
      </c>
      <c r="AL156" s="60" t="str">
        <f>IFERROR(__xludf.DUMMYFUNCTION("IFERROR(GOOGLEFINANCE($A156,""low""),"""")"),"")</f>
        <v/>
      </c>
      <c r="AM156" s="61">
        <f t="shared" si="2"/>
        <v>0</v>
      </c>
      <c r="AN156" s="62">
        <f>IFERROR(__xludf.DUMMYFUNCTION("IFERROR((GOOGLEFINANCE($A156,""volume"")),0)"),0.0)</f>
        <v>0</v>
      </c>
      <c r="AO156" s="60">
        <f>IFERROR(__xludf.DUMMYFUNCTION("IFERROR((GOOGLEFINANCE($A156,""closeyest"")),"""")"),131.39)</f>
        <v>131.39</v>
      </c>
      <c r="AP156" s="60">
        <f>IFERROR(__xludf.DUMMYFUNCTION("IFERROR((GOOGLEFINANCE($A156,""shares"")),"""")"),2.8657819E7)</f>
        <v>28657819</v>
      </c>
      <c r="AQ156" s="18"/>
    </row>
    <row r="157">
      <c r="A157" s="45" t="str">
        <f>'Dados StatusInvest'!A152:A771</f>
        <v>CGRA3</v>
      </c>
      <c r="B157" s="46" t="str">
        <f>IFERROR(__xludf.DUMMYFUNCTION("IFERROR((GOOGLEFINANCE(A157,""name"")),"""")"),"Grazziotin SA")</f>
        <v>Grazziotin SA</v>
      </c>
      <c r="C157" s="46" t="str">
        <f>IFERROR((VLOOKUP(LEFT($A157,4),Setor!$A:$E,3,0)),"")</f>
        <v>Consumo Cíclico</v>
      </c>
      <c r="D157" s="46" t="str">
        <f>IFERROR((VLOOKUP(LEFT($A157,4),Setor!$A:$E,4,0)),"")</f>
        <v>Comércio</v>
      </c>
      <c r="E157" s="46" t="str">
        <f>IFERROR((VLOOKUP(LEFT($A157,4),Setor!$A:$E,5,0)),"")</f>
        <v>Tecidos, Vestuário e Calçados</v>
      </c>
      <c r="F157" s="47">
        <f>IFERROR(__xludf.DUMMYFUNCTION("IFERROR((GOOGLEFINANCE(A157)),"""")"),27.5)</f>
        <v>27.5</v>
      </c>
      <c r="G157" s="48" t="str">
        <f>IFERROR(__xludf.DUMMYFUNCTION("IFERROR((sparkline(GOOGLEFINANCE($A157,""price"",TODAY()-30,TODAY(),""DAILY""),{""charttype"",""line"";""linewidth"",1;""color"",""#5f88cc""})),"""")"),"")</f>
        <v/>
      </c>
      <c r="H157" s="49">
        <f>IFERROR(__xludf.DUMMYFUNCTION("IFERROR((((GOOGLEFINANCE(A157))-(INDEX(GoogleFinance(A157,""PRICE"",$AQ$1),2,2)))/(INDEX(GoogleFinance(A157,""PRICE"",$AQ$1),2,2))),"""")"),0.03539156626506029)</f>
        <v>0.03539156627</v>
      </c>
      <c r="I157" s="47">
        <f>IFERROR(__xludf.DUMMYFUNCTION("IFERROR((GOOGLEFINANCE($A157,""high52"")),"""")"),29.19)</f>
        <v>29.19</v>
      </c>
      <c r="J157" s="48" t="str">
        <f>IFERROR(__xludf.DUMMYFUNCTION("IFERROR((sparkline(GOOGLEFINANCE($A157,""price"",TODAY()-365,TODAY(),""DAILY""),{""charttype"",""line"";""linewidth"",1;""color"",""#5f88cc""})),"""")"),"")</f>
        <v/>
      </c>
      <c r="K157" s="50">
        <f>IFERROR(__xludf.DUMMYFUNCTION("IFERROR((((GOOGLEFINANCE(A157))-(INDEX(GoogleFinance(A157,""PRICE"",$AP$1),2,2)))/(INDEX(GoogleFinance(A157,""PRICE"",$AP$1),2,2))),"""")"),0.27788104089219334)</f>
        <v>0.2778810409</v>
      </c>
      <c r="L157" s="51">
        <f t="shared" si="1"/>
        <v>-0.05789653991</v>
      </c>
      <c r="M157" s="52">
        <f>IFERROR((VLOOKUP($A157,'Dados StatusInvest'!$A:$AZ,COLUMN(M157)-$A$5,0)*VLOOKUP($A157,'Dados StatusInvest'!$A:$AZ,2,0)/$F157/100),0)</f>
        <v>0.0892</v>
      </c>
      <c r="N157" s="53">
        <f>IFERROR((VLOOKUP($A157,'Dados StatusInvest'!$A:$AZ,COLUMN(N157)-$A$5,0)/VLOOKUP($A157,'Dados StatusInvest'!$A:$AZ,2,0)*$F157),"")</f>
        <v>13.75</v>
      </c>
      <c r="O157" s="53">
        <f>IFERROR((VLOOKUP($A157,'Dados StatusInvest'!$A:$AZ,COLUMN(O157)-$A$5,0)/VLOOKUP($A157,'Dados StatusInvest'!$A:$AZ,2,0)*$F157),0)</f>
        <v>9.95</v>
      </c>
      <c r="P157" s="54">
        <f>IFERROR((VLOOKUP($A157,'Dados StatusInvest'!$A:$AZ,COLUMN(P157)-$A$5,0)/VLOOKUP($A157,'Dados StatusInvest'!$A:$AZ,2,0)*$F157),0)</f>
        <v>6.54</v>
      </c>
      <c r="Q157" s="55">
        <f>IFERROR((VLOOKUP($A157,'Dados StatusInvest'!$A:$AZ,COLUMN(Q157)-$A$5,0)/100),0)</f>
        <v>-0.0325</v>
      </c>
      <c r="R157" s="56">
        <f>VLOOKUP($A157,'Dados StatusInvest'!$A:$AZ,COLUMN(R157)-$A$5,0)</f>
        <v>-0.22</v>
      </c>
      <c r="S157" s="56">
        <f>IFERROR((VLOOKUP($A157,'Dados StatusInvest'!$A:$AZ,COLUMN(S157)-$A$5,0)),0)</f>
        <v>0.89</v>
      </c>
      <c r="T157" s="53">
        <f>IFERROR((VLOOKUP($A157,'Dados StatusInvest'!$A:$AZ,COLUMN(T157)-$A$5,0)/VLOOKUP($A157,'Dados StatusInvest'!$A:$AZ,2,0)*$F157),0)</f>
        <v>1.74</v>
      </c>
      <c r="U157" s="53">
        <f>IFERROR((VLOOKUP($A157,'Dados StatusInvest'!$A:$AZ,COLUMN(U157)-$A$5,0)-VLOOKUP($A157,'Dados StatusInvest'!$A:$AZ,COLUMN(U157)-$A$5-1,0)+T157),0)</f>
        <v>-0.91</v>
      </c>
      <c r="V157" s="56">
        <f>IFERROR((VLOOKUP($A157,'Dados StatusInvest'!$A:$AZ,COLUMN(V157)-$A$5,0)),0)</f>
        <v>2.81</v>
      </c>
      <c r="W157" s="56">
        <f>IFERROR((VLOOKUP($A157,'Dados StatusInvest'!$A:$AZ,COLUMN(W157)-$A$5,0)),0)</f>
        <v>10.65</v>
      </c>
      <c r="X157" s="53">
        <f>IFERROR((VLOOKUP($A157,'Dados StatusInvest'!$A:$AZ,COLUMN(X157)-$A$5,0)/VLOOKUP($A157,'Dados StatusInvest'!$A:$AZ,2,0)*$F157),0)</f>
        <v>7.77</v>
      </c>
      <c r="Y157" s="54">
        <f>IFERROR((VLOOKUP($A157,'Dados StatusInvest'!$A:$AZ,COLUMN(Y157)-$A$5,0)/VLOOKUP($A157,'Dados StatusInvest'!$A:$AZ,2,0)*$F157),0)</f>
        <v>6.37</v>
      </c>
      <c r="Z157" s="56">
        <f>IFERROR((VLOOKUP($A157,'Dados StatusInvest'!$A:$AZ,COLUMN(Z157)-$A$5,0)),0)</f>
        <v>0.73</v>
      </c>
      <c r="AA157" s="57">
        <f>IFERROR((VLOOKUP($A157,'Dados StatusInvest'!$A:$AZ,COLUMN(AA157)-$A$5,0)),0)</f>
        <v>0.27</v>
      </c>
      <c r="AB157" s="57">
        <f>IFERROR((VLOOKUP($A157,'Dados StatusInvest'!$A:$AZ,COLUMN(AB157)-$A$5,0)),0)</f>
        <v>0.56</v>
      </c>
      <c r="AC157" s="58">
        <f>IFERROR((VLOOKUP($A157,'Dados StatusInvest'!$A:$AZ,COLUMN(AC157)-$A$5,0)),0)</f>
        <v>8.68</v>
      </c>
      <c r="AD157" s="57">
        <f>IFERROR((VLOOKUP($A157,'Dados StatusInvest'!$A:$AZ,COLUMN(AD157)-$A$5,0)),0)</f>
        <v>-4.66</v>
      </c>
      <c r="AE157" s="56">
        <f>IFERROR((VLOOKUP($A157,'Dados StatusInvest'!$A:$AZ,COLUMN(AE157)-$A$5,0)),0)</f>
        <v>50002.95</v>
      </c>
      <c r="AF157" s="56">
        <f>IFERROR((VLOOKUP($A157,'Dados StatusInvest'!$A:$AZ,COLUMN(AF157)-$A$5,0)),0)</f>
        <v>39.96</v>
      </c>
      <c r="AG157" s="56">
        <f>IFERROR((VLOOKUP($A157,'Dados StatusInvest'!$A:$AZ,COLUMN(AG157)-$A$5,0)),0)</f>
        <v>4.26</v>
      </c>
      <c r="AH157" s="56">
        <f>IFERROR((VLOOKUP($A157,'Dados StatusInvest'!$A:$AZ,COLUMN(AH157)-$A$5,0)),0)</f>
        <v>0.46</v>
      </c>
      <c r="AI157" s="57">
        <f>IFERROR((VLOOKUP($A157,'Dados StatusInvest'!$A:$AZ,COLUMN(AI157)-$A$5,0)),0)</f>
        <v>647666777.3</v>
      </c>
      <c r="AJ157" s="59" t="str">
        <f>IFERROR((VLOOKUP($A157,'Dados StatusInvest'!$A:$AZ,COLUMN(AJ157)-$A$5,0)),0)</f>
        <v/>
      </c>
      <c r="AK157" s="60" t="str">
        <f>IFERROR(__xludf.DUMMYFUNCTION("IFERROR(GOOGLEFINANCE($A157,""high""),"""")"),"")</f>
        <v/>
      </c>
      <c r="AL157" s="60" t="str">
        <f>IFERROR(__xludf.DUMMYFUNCTION("IFERROR(GOOGLEFINANCE($A157,""low""),"""")"),"")</f>
        <v/>
      </c>
      <c r="AM157" s="61">
        <f t="shared" si="2"/>
        <v>0</v>
      </c>
      <c r="AN157" s="62">
        <f>IFERROR(__xludf.DUMMYFUNCTION("IFERROR((GOOGLEFINANCE($A157,""volume"")),0)"),0.0)</f>
        <v>0</v>
      </c>
      <c r="AO157" s="60">
        <f>IFERROR(__xludf.DUMMYFUNCTION("IFERROR((GOOGLEFINANCE($A157,""closeyest"")),"""")"),27.5)</f>
        <v>27.5</v>
      </c>
      <c r="AP157" s="60">
        <f>IFERROR(__xludf.DUMMYFUNCTION("IFERROR((GOOGLEFINANCE($A157,""shares"")),"""")"),1.000795E7)</f>
        <v>10007950</v>
      </c>
      <c r="AQ157" s="18"/>
    </row>
    <row r="158">
      <c r="A158" s="45" t="str">
        <f>'Dados StatusInvest'!A153:A772</f>
        <v>CGRA4</v>
      </c>
      <c r="B158" s="46" t="str">
        <f>IFERROR(__xludf.DUMMYFUNCTION("IFERROR((GOOGLEFINANCE(A158,""name"")),"""")"),"Grazziotin SA Preference Shares")</f>
        <v>Grazziotin SA Preference Shares</v>
      </c>
      <c r="C158" s="46" t="str">
        <f>IFERROR((VLOOKUP(LEFT($A158,4),Setor!$A:$E,3,0)),"")</f>
        <v>Consumo Cíclico</v>
      </c>
      <c r="D158" s="46" t="str">
        <f>IFERROR((VLOOKUP(LEFT($A158,4),Setor!$A:$E,4,0)),"")</f>
        <v>Comércio</v>
      </c>
      <c r="E158" s="46" t="str">
        <f>IFERROR((VLOOKUP(LEFT($A158,4),Setor!$A:$E,5,0)),"")</f>
        <v>Tecidos, Vestuário e Calçados</v>
      </c>
      <c r="F158" s="47">
        <f>IFERROR(__xludf.DUMMYFUNCTION("IFERROR((GOOGLEFINANCE(A158)),"""")"),27.02)</f>
        <v>27.02</v>
      </c>
      <c r="G158" s="48" t="str">
        <f>IFERROR(__xludf.DUMMYFUNCTION("IFERROR((sparkline(GOOGLEFINANCE($A158,""price"",TODAY()-30,TODAY(),""DAILY""),{""charttype"",""line"";""linewidth"",1;""color"",""#5f88cc""})),"""")"),"")</f>
        <v/>
      </c>
      <c r="H158" s="49">
        <f>IFERROR(__xludf.DUMMYFUNCTION("IFERROR((((GOOGLEFINANCE(A158))-(INDEX(GoogleFinance(A158,""PRICE"",$AQ$1),2,2)))/(INDEX(GoogleFinance(A158,""PRICE"",$AQ$1),2,2))),"""")"),0.03406046689628781)</f>
        <v>0.0340604669</v>
      </c>
      <c r="I158" s="47">
        <f>IFERROR(__xludf.DUMMYFUNCTION("IFERROR((GOOGLEFINANCE($A158,""high52"")),"""")"),27.97)</f>
        <v>27.97</v>
      </c>
      <c r="J158" s="48" t="str">
        <f>IFERROR(__xludf.DUMMYFUNCTION("IFERROR((sparkline(GOOGLEFINANCE($A158,""price"",TODAY()-365,TODAY(),""DAILY""),{""charttype"",""line"";""linewidth"",1;""color"",""#5f88cc""})),"""")"),"")</f>
        <v/>
      </c>
      <c r="K158" s="50">
        <f>IFERROR(__xludf.DUMMYFUNCTION("IFERROR((((GOOGLEFINANCE(A158))-(INDEX(GoogleFinance(A158,""PRICE"",$AP$1),2,2)))/(INDEX(GoogleFinance(A158,""PRICE"",$AP$1),2,2))),"""")"),0.21547458389563648)</f>
        <v>0.2154745839</v>
      </c>
      <c r="L158" s="51">
        <f t="shared" si="1"/>
        <v>-0.03396496246</v>
      </c>
      <c r="M158" s="52">
        <f>IFERROR((VLOOKUP($A158,'Dados StatusInvest'!$A:$AZ,COLUMN(M158)-$A$5,0)*VLOOKUP($A158,'Dados StatusInvest'!$A:$AZ,2,0)/$F158/100),0)</f>
        <v>0.08814359734</v>
      </c>
      <c r="N158" s="53">
        <f>IFERROR((VLOOKUP($A158,'Dados StatusInvest'!$A:$AZ,COLUMN(N158)-$A$5,0)/VLOOKUP($A158,'Dados StatusInvest'!$A:$AZ,2,0)*$F158),"")</f>
        <v>13.91479401</v>
      </c>
      <c r="O158" s="53">
        <f>IFERROR((VLOOKUP($A158,'Dados StatusInvest'!$A:$AZ,COLUMN(O158)-$A$5,0)/VLOOKUP($A158,'Dados StatusInvest'!$A:$AZ,2,0)*$F158),0)</f>
        <v>9.775775281</v>
      </c>
      <c r="P158" s="54">
        <f>IFERROR((VLOOKUP($A158,'Dados StatusInvest'!$A:$AZ,COLUMN(P158)-$A$5,0)/VLOOKUP($A158,'Dados StatusInvest'!$A:$AZ,2,0)*$F158),0)</f>
        <v>6.618382022</v>
      </c>
      <c r="Q158" s="55">
        <f>IFERROR((VLOOKUP($A158,'Dados StatusInvest'!$A:$AZ,COLUMN(Q158)-$A$5,0)/100),0)</f>
        <v>-0.0325</v>
      </c>
      <c r="R158" s="56">
        <f>VLOOKUP($A158,'Dados StatusInvest'!$A:$AZ,COLUMN(R158)-$A$5,0)</f>
        <v>-0.22</v>
      </c>
      <c r="S158" s="56">
        <f>IFERROR((VLOOKUP($A158,'Dados StatusInvest'!$A:$AZ,COLUMN(S158)-$A$5,0)),0)</f>
        <v>0.86</v>
      </c>
      <c r="T158" s="53">
        <f>IFERROR((VLOOKUP($A158,'Dados StatusInvest'!$A:$AZ,COLUMN(T158)-$A$5,0)/VLOOKUP($A158,'Dados StatusInvest'!$A:$AZ,2,0)*$F158),0)</f>
        <v>1.710254682</v>
      </c>
      <c r="U158" s="53">
        <f>IFERROR((VLOOKUP($A158,'Dados StatusInvest'!$A:$AZ,COLUMN(U158)-$A$5,0)-VLOOKUP($A158,'Dados StatusInvest'!$A:$AZ,COLUMN(U158)-$A$5-1,0)+T158),0)</f>
        <v>-0.8597453184</v>
      </c>
      <c r="V158" s="56">
        <f>IFERROR((VLOOKUP($A158,'Dados StatusInvest'!$A:$AZ,COLUMN(V158)-$A$5,0)),0)</f>
        <v>2.81</v>
      </c>
      <c r="W158" s="56">
        <f>IFERROR((VLOOKUP($A158,'Dados StatusInvest'!$A:$AZ,COLUMN(W158)-$A$5,0)),0)</f>
        <v>10.65</v>
      </c>
      <c r="X158" s="53">
        <f>IFERROR((VLOOKUP($A158,'Dados StatusInvest'!$A:$AZ,COLUMN(X158)-$A$5,0)/VLOOKUP($A158,'Dados StatusInvest'!$A:$AZ,2,0)*$F158),0)</f>
        <v>7.863123596</v>
      </c>
      <c r="Y158" s="54">
        <f>IFERROR((VLOOKUP($A158,'Dados StatusInvest'!$A:$AZ,COLUMN(Y158)-$A$5,0)/VLOOKUP($A158,'Dados StatusInvest'!$A:$AZ,2,0)*$F158),0)</f>
        <v>6.446344569</v>
      </c>
      <c r="Z158" s="56">
        <f>IFERROR((VLOOKUP($A158,'Dados StatusInvest'!$A:$AZ,COLUMN(Z158)-$A$5,0)),0)</f>
        <v>0.73</v>
      </c>
      <c r="AA158" s="57">
        <f>IFERROR((VLOOKUP($A158,'Dados StatusInvest'!$A:$AZ,COLUMN(AA158)-$A$5,0)),0)</f>
        <v>0.27</v>
      </c>
      <c r="AB158" s="57">
        <f>IFERROR((VLOOKUP($A158,'Dados StatusInvest'!$A:$AZ,COLUMN(AB158)-$A$5,0)),0)</f>
        <v>0.56</v>
      </c>
      <c r="AC158" s="58">
        <f>IFERROR((VLOOKUP($A158,'Dados StatusInvest'!$A:$AZ,COLUMN(AC158)-$A$5,0)),0)</f>
        <v>8.68</v>
      </c>
      <c r="AD158" s="57">
        <f>IFERROR((VLOOKUP($A158,'Dados StatusInvest'!$A:$AZ,COLUMN(AD158)-$A$5,0)),0)</f>
        <v>-4.66</v>
      </c>
      <c r="AE158" s="56">
        <f>IFERROR((VLOOKUP($A158,'Dados StatusInvest'!$A:$AZ,COLUMN(AE158)-$A$5,0)),0)</f>
        <v>251871.4</v>
      </c>
      <c r="AF158" s="56">
        <f>IFERROR((VLOOKUP($A158,'Dados StatusInvest'!$A:$AZ,COLUMN(AF158)-$A$5,0)),0)</f>
        <v>39.96</v>
      </c>
      <c r="AG158" s="56">
        <f>IFERROR((VLOOKUP($A158,'Dados StatusInvest'!$A:$AZ,COLUMN(AG158)-$A$5,0)),0)</f>
        <v>4.26</v>
      </c>
      <c r="AH158" s="56">
        <f>IFERROR((VLOOKUP($A158,'Dados StatusInvest'!$A:$AZ,COLUMN(AH158)-$A$5,0)),0)</f>
        <v>0.45</v>
      </c>
      <c r="AI158" s="57">
        <f>IFERROR((VLOOKUP($A158,'Dados StatusInvest'!$A:$AZ,COLUMN(AI158)-$A$5,0)),0)</f>
        <v>647666777.3</v>
      </c>
      <c r="AJ158" s="59" t="str">
        <f>IFERROR((VLOOKUP($A158,'Dados StatusInvest'!$A:$AZ,COLUMN(AJ158)-$A$5,0)),0)</f>
        <v/>
      </c>
      <c r="AK158" s="60">
        <f>IFERROR(__xludf.DUMMYFUNCTION("IFERROR(GOOGLEFINANCE($A158,""high""),"""")"),27.24)</f>
        <v>27.24</v>
      </c>
      <c r="AL158" s="60">
        <f>IFERROR(__xludf.DUMMYFUNCTION("IFERROR(GOOGLEFINANCE($A158,""low""),"""")"),27.02)</f>
        <v>27.02</v>
      </c>
      <c r="AM158" s="61">
        <f t="shared" si="2"/>
        <v>0.00814211695</v>
      </c>
      <c r="AN158" s="62">
        <f>IFERROR(__xludf.DUMMYFUNCTION("IFERROR((GOOGLEFINANCE($A158,""volume"")),0)"),500.0)</f>
        <v>500</v>
      </c>
      <c r="AO158" s="60">
        <f>IFERROR(__xludf.DUMMYFUNCTION("IFERROR((GOOGLEFINANCE($A158,""closeyest"")),"""")"),26.7)</f>
        <v>26.7</v>
      </c>
      <c r="AP158" s="60">
        <f>IFERROR(__xludf.DUMMYFUNCTION("IFERROR((GOOGLEFINANCE($A158,""shares"")),"""")"),1.3949369E7)</f>
        <v>13949369</v>
      </c>
      <c r="AQ158" s="18"/>
    </row>
    <row r="159">
      <c r="A159" s="45" t="str">
        <f>'Dados StatusInvest'!A154:A773</f>
        <v>CIEL3</v>
      </c>
      <c r="B159" s="46" t="str">
        <f>IFERROR(__xludf.DUMMYFUNCTION("IFERROR((GOOGLEFINANCE(A159,""name"")),"""")"),"")</f>
        <v/>
      </c>
      <c r="C159" s="46" t="str">
        <f>IFERROR((VLOOKUP(LEFT($A159,4),Setor!$A:$E,3,0)),"")</f>
        <v>Financeiro</v>
      </c>
      <c r="D159" s="46" t="str">
        <f>IFERROR((VLOOKUP(LEFT($A159,4),Setor!$A:$E,4,0)),"")</f>
        <v>Serviços Financeiros Diversos</v>
      </c>
      <c r="E159" s="46" t="str">
        <f>IFERROR((VLOOKUP(LEFT($A159,4),Setor!$A:$E,5,0)),"")</f>
        <v>Serviços Financeiros Diversos</v>
      </c>
      <c r="F159" s="47" t="str">
        <f>IFERROR(__xludf.DUMMYFUNCTION("IFERROR((GOOGLEFINANCE(A159)),"""")"),"")</f>
        <v/>
      </c>
      <c r="G159" s="48" t="str">
        <f>IFERROR(__xludf.DUMMYFUNCTION("IFERROR((sparkline(GOOGLEFINANCE($A159,""price"",TODAY()-30,TODAY(),""DAILY""),{""charttype"",""line"";""linewidth"",1;""color"",""#5f88cc""})),"""")"),"")</f>
        <v/>
      </c>
      <c r="H159" s="49" t="str">
        <f>IFERROR(__xludf.DUMMYFUNCTION("IFERROR((((GOOGLEFINANCE(A159))-(INDEX(GoogleFinance(A159,""PRICE"",$AQ$1),2,2)))/(INDEX(GoogleFinance(A159,""PRICE"",$AQ$1),2,2))),"""")"),"")</f>
        <v/>
      </c>
      <c r="I159" s="47" t="str">
        <f>IFERROR(__xludf.DUMMYFUNCTION("IFERROR((GOOGLEFINANCE($A159,""high52"")),"""")"),"")</f>
        <v/>
      </c>
      <c r="J159" s="48" t="str">
        <f>IFERROR(__xludf.DUMMYFUNCTION("IFERROR((sparkline(GOOGLEFINANCE($A159,""price"",TODAY()-365,TODAY(),""DAILY""),{""charttype"",""line"";""linewidth"",1;""color"",""#5f88cc""})),"""")"),"")</f>
        <v/>
      </c>
      <c r="K159" s="50" t="str">
        <f>IFERROR(__xludf.DUMMYFUNCTION("IFERROR((((GOOGLEFINANCE(A159))-(INDEX(GoogleFinance(A159,""PRICE"",$AP$1),2,2)))/(INDEX(GoogleFinance(A159,""PRICE"",$AP$1),2,2))),"""")"),"")</f>
        <v/>
      </c>
      <c r="L159" s="51">
        <f t="shared" si="1"/>
        <v>0</v>
      </c>
      <c r="M159" s="52">
        <f>IFERROR((VLOOKUP($A159,'Dados StatusInvest'!$A:$AZ,COLUMN(M159)-$A$5,0)*VLOOKUP($A159,'Dados StatusInvest'!$A:$AZ,2,0)/$F159/100),0)</f>
        <v>0</v>
      </c>
      <c r="N159" s="53">
        <f>IFERROR((VLOOKUP($A159,'Dados StatusInvest'!$A:$AZ,COLUMN(N159)-$A$5,0)/VLOOKUP($A159,'Dados StatusInvest'!$A:$AZ,2,0)*$F159),"")</f>
        <v>0</v>
      </c>
      <c r="O159" s="53">
        <f>IFERROR((VLOOKUP($A159,'Dados StatusInvest'!$A:$AZ,COLUMN(O159)-$A$5,0)/VLOOKUP($A159,'Dados StatusInvest'!$A:$AZ,2,0)*$F159),0)</f>
        <v>0</v>
      </c>
      <c r="P159" s="54">
        <f>IFERROR((VLOOKUP($A159,'Dados StatusInvest'!$A:$AZ,COLUMN(P159)-$A$5,0)/VLOOKUP($A159,'Dados StatusInvest'!$A:$AZ,2,0)*$F159),0)</f>
        <v>0</v>
      </c>
      <c r="Q159" s="55">
        <f>IFERROR((VLOOKUP($A159,'Dados StatusInvest'!$A:$AZ,COLUMN(Q159)-$A$5,0)/100),0)</f>
        <v>0.0317</v>
      </c>
      <c r="R159" s="56">
        <f>VLOOKUP($A159,'Dados StatusInvest'!$A:$AZ,COLUMN(R159)-$A$5,0)</f>
        <v>0.52</v>
      </c>
      <c r="S159" s="56">
        <f>IFERROR((VLOOKUP($A159,'Dados StatusInvest'!$A:$AZ,COLUMN(S159)-$A$5,0)),0)</f>
        <v>1.45</v>
      </c>
      <c r="T159" s="53">
        <f>IFERROR((VLOOKUP($A159,'Dados StatusInvest'!$A:$AZ,COLUMN(T159)-$A$5,0)/VLOOKUP($A159,'Dados StatusInvest'!$A:$AZ,2,0)*$F159),0)</f>
        <v>0</v>
      </c>
      <c r="U159" s="53">
        <f>IFERROR((VLOOKUP($A159,'Dados StatusInvest'!$A:$AZ,COLUMN(U159)-$A$5,0)-VLOOKUP($A159,'Dados StatusInvest'!$A:$AZ,COLUMN(U159)-$A$5-1,0)+T159),0)</f>
        <v>-2.59</v>
      </c>
      <c r="V159" s="56">
        <f>IFERROR((VLOOKUP($A159,'Dados StatusInvest'!$A:$AZ,COLUMN(V159)-$A$5,0)),0)</f>
        <v>1.16</v>
      </c>
      <c r="W159" s="56">
        <f>IFERROR((VLOOKUP($A159,'Dados StatusInvest'!$A:$AZ,COLUMN(W159)-$A$5,0)),0)</f>
        <v>13.5</v>
      </c>
      <c r="X159" s="53">
        <f>IFERROR((VLOOKUP($A159,'Dados StatusInvest'!$A:$AZ,COLUMN(X159)-$A$5,0)/VLOOKUP($A159,'Dados StatusInvest'!$A:$AZ,2,0)*$F159),0)</f>
        <v>0</v>
      </c>
      <c r="Y159" s="54">
        <f>IFERROR((VLOOKUP($A159,'Dados StatusInvest'!$A:$AZ,COLUMN(Y159)-$A$5,0)/VLOOKUP($A159,'Dados StatusInvest'!$A:$AZ,2,0)*$F159),0)</f>
        <v>0</v>
      </c>
      <c r="Z159" s="56">
        <f>IFERROR((VLOOKUP($A159,'Dados StatusInvest'!$A:$AZ,COLUMN(Z159)-$A$5,0)),0)</f>
        <v>0.12</v>
      </c>
      <c r="AA159" s="57">
        <f>IFERROR((VLOOKUP($A159,'Dados StatusInvest'!$A:$AZ,COLUMN(AA159)-$A$5,0)),0)</f>
        <v>0.88</v>
      </c>
      <c r="AB159" s="57">
        <f>IFERROR((VLOOKUP($A159,'Dados StatusInvest'!$A:$AZ,COLUMN(AB159)-$A$5,0)),0)</f>
        <v>0.09</v>
      </c>
      <c r="AC159" s="58">
        <f>IFERROR((VLOOKUP($A159,'Dados StatusInvest'!$A:$AZ,COLUMN(AC159)-$A$5,0)),0)</f>
        <v>-0.43</v>
      </c>
      <c r="AD159" s="57">
        <f>IFERROR((VLOOKUP($A159,'Dados StatusInvest'!$A:$AZ,COLUMN(AD159)-$A$5,0)),0)</f>
        <v>30.96</v>
      </c>
      <c r="AE159" s="56">
        <f>IFERROR((VLOOKUP($A159,'Dados StatusInvest'!$A:$AZ,COLUMN(AE159)-$A$5,0)),0)</f>
        <v>0</v>
      </c>
      <c r="AF159" s="56">
        <f>IFERROR((VLOOKUP($A159,'Dados StatusInvest'!$A:$AZ,COLUMN(AF159)-$A$5,0)),0)</f>
        <v>5.15</v>
      </c>
      <c r="AG159" s="56">
        <f>IFERROR((VLOOKUP($A159,'Dados StatusInvest'!$A:$AZ,COLUMN(AG159)-$A$5,0)),0)</f>
        <v>0.7</v>
      </c>
      <c r="AH159" s="56">
        <f>IFERROR((VLOOKUP($A159,'Dados StatusInvest'!$A:$AZ,COLUMN(AH159)-$A$5,0)),0)</f>
        <v>0.27</v>
      </c>
      <c r="AI159" s="57">
        <f>IFERROR((VLOOKUP($A159,'Dados StatusInvest'!$A:$AZ,COLUMN(AI159)-$A$5,0)),0)</f>
        <v>15839031806</v>
      </c>
      <c r="AJ159" s="59" t="str">
        <f>IFERROR((VLOOKUP($A159,'Dados StatusInvest'!$A:$AZ,COLUMN(AJ159)-$A$5,0)),0)</f>
        <v/>
      </c>
      <c r="AK159" s="60" t="str">
        <f>IFERROR(__xludf.DUMMYFUNCTION("IFERROR(GOOGLEFINANCE($A159,""high""),"""")"),"")</f>
        <v/>
      </c>
      <c r="AL159" s="60" t="str">
        <f>IFERROR(__xludf.DUMMYFUNCTION("IFERROR(GOOGLEFINANCE($A159,""low""),"""")"),"")</f>
        <v/>
      </c>
      <c r="AM159" s="61">
        <f t="shared" si="2"/>
        <v>0</v>
      </c>
      <c r="AN159" s="62">
        <f>IFERROR(__xludf.DUMMYFUNCTION("IFERROR((GOOGLEFINANCE($A159,""volume"")),0)"),0.0)</f>
        <v>0</v>
      </c>
      <c r="AO159" s="60" t="str">
        <f>IFERROR(__xludf.DUMMYFUNCTION("IFERROR((GOOGLEFINANCE($A159,""closeyest"")),"""")"),"")</f>
        <v/>
      </c>
      <c r="AP159" s="60" t="str">
        <f>IFERROR(__xludf.DUMMYFUNCTION("IFERROR((GOOGLEFINANCE($A159,""shares"")),"""")"),"")</f>
        <v/>
      </c>
      <c r="AQ159" s="18"/>
    </row>
    <row r="160">
      <c r="A160" s="45" t="str">
        <f>'Dados StatusInvest'!A155:A774</f>
        <v>CLSA3</v>
      </c>
      <c r="B160" s="46" t="str">
        <f>IFERROR(__xludf.DUMMYFUNCTION("IFERROR((GOOGLEFINANCE(A160,""name"")),"""")"),"")</f>
        <v/>
      </c>
      <c r="C160" s="46" t="str">
        <f>IFERROR((VLOOKUP(LEFT($A160,4),Setor!$A:$E,3,0)),"")</f>
        <v/>
      </c>
      <c r="D160" s="46" t="str">
        <f>IFERROR((VLOOKUP(LEFT($A160,4),Setor!$A:$E,4,0)),"")</f>
        <v/>
      </c>
      <c r="E160" s="46" t="str">
        <f>IFERROR((VLOOKUP(LEFT($A160,4),Setor!$A:$E,5,0)),"")</f>
        <v/>
      </c>
      <c r="F160" s="47" t="str">
        <f>IFERROR(__xludf.DUMMYFUNCTION("IFERROR((GOOGLEFINANCE(A160)),"""")"),"")</f>
        <v/>
      </c>
      <c r="G160" s="48" t="str">
        <f>IFERROR(__xludf.DUMMYFUNCTION("IFERROR((sparkline(GOOGLEFINANCE($A160,""price"",TODAY()-30,TODAY(),""DAILY""),{""charttype"",""line"";""linewidth"",1;""color"",""#5f88cc""})),"""")"),"")</f>
        <v/>
      </c>
      <c r="H160" s="49" t="str">
        <f>IFERROR(__xludf.DUMMYFUNCTION("IFERROR((((GOOGLEFINANCE(A160))-(INDEX(GoogleFinance(A160,""PRICE"",$AQ$1),2,2)))/(INDEX(GoogleFinance(A160,""PRICE"",$AQ$1),2,2))),"""")"),"")</f>
        <v/>
      </c>
      <c r="I160" s="47" t="str">
        <f>IFERROR(__xludf.DUMMYFUNCTION("IFERROR((GOOGLEFINANCE($A160,""high52"")),"""")"),"")</f>
        <v/>
      </c>
      <c r="J160" s="48" t="str">
        <f>IFERROR(__xludf.DUMMYFUNCTION("IFERROR((sparkline(GOOGLEFINANCE($A160,""price"",TODAY()-365,TODAY(),""DAILY""),{""charttype"",""line"";""linewidth"",1;""color"",""#5f88cc""})),"""")"),"")</f>
        <v/>
      </c>
      <c r="K160" s="50" t="str">
        <f>IFERROR(__xludf.DUMMYFUNCTION("IFERROR((((GOOGLEFINANCE(A160))-(INDEX(GoogleFinance(A160,""PRICE"",$AP$1),2,2)))/(INDEX(GoogleFinance(A160,""PRICE"",$AP$1),2,2))),"""")"),"")</f>
        <v/>
      </c>
      <c r="L160" s="51">
        <f t="shared" si="1"/>
        <v>0</v>
      </c>
      <c r="M160" s="52">
        <f>IFERROR((VLOOKUP($A160,'Dados StatusInvest'!$A:$AZ,COLUMN(M160)-$A$5,0)*VLOOKUP($A160,'Dados StatusInvest'!$A:$AZ,2,0)/$F160/100),0)</f>
        <v>0</v>
      </c>
      <c r="N160" s="53">
        <f>IFERROR((VLOOKUP($A160,'Dados StatusInvest'!$A:$AZ,COLUMN(N160)-$A$5,0)/VLOOKUP($A160,'Dados StatusInvest'!$A:$AZ,2,0)*$F160),"")</f>
        <v>0</v>
      </c>
      <c r="O160" s="53">
        <f>IFERROR((VLOOKUP($A160,'Dados StatusInvest'!$A:$AZ,COLUMN(O160)-$A$5,0)/VLOOKUP($A160,'Dados StatusInvest'!$A:$AZ,2,0)*$F160),0)</f>
        <v>0</v>
      </c>
      <c r="P160" s="54">
        <f>IFERROR((VLOOKUP($A160,'Dados StatusInvest'!$A:$AZ,COLUMN(P160)-$A$5,0)/VLOOKUP($A160,'Dados StatusInvest'!$A:$AZ,2,0)*$F160),0)</f>
        <v>0</v>
      </c>
      <c r="Q160" s="55">
        <f>IFERROR((VLOOKUP($A160,'Dados StatusInvest'!$A:$AZ,COLUMN(Q160)-$A$5,0)/100),0)</f>
        <v>0.0222</v>
      </c>
      <c r="R160" s="56">
        <f>VLOOKUP($A160,'Dados StatusInvest'!$A:$AZ,COLUMN(R160)-$A$5,0)</f>
        <v>-0.52</v>
      </c>
      <c r="S160" s="56">
        <f>IFERROR((VLOOKUP($A160,'Dados StatusInvest'!$A:$AZ,COLUMN(S160)-$A$5,0)),0)</f>
        <v>4.14</v>
      </c>
      <c r="T160" s="53">
        <f>IFERROR((VLOOKUP($A160,'Dados StatusInvest'!$A:$AZ,COLUMN(T160)-$A$5,0)/VLOOKUP($A160,'Dados StatusInvest'!$A:$AZ,2,0)*$F160),0)</f>
        <v>0</v>
      </c>
      <c r="U160" s="53">
        <f>IFERROR((VLOOKUP($A160,'Dados StatusInvest'!$A:$AZ,COLUMN(U160)-$A$5,0)-VLOOKUP($A160,'Dados StatusInvest'!$A:$AZ,COLUMN(U160)-$A$5-1,0)+T160),0)</f>
        <v>-12.84</v>
      </c>
      <c r="V160" s="56">
        <f>IFERROR((VLOOKUP($A160,'Dados StatusInvest'!$A:$AZ,COLUMN(V160)-$A$5,0)),0)</f>
        <v>2.19</v>
      </c>
      <c r="W160" s="56">
        <f>IFERROR((VLOOKUP($A160,'Dados StatusInvest'!$A:$AZ,COLUMN(W160)-$A$5,0)),0)</f>
        <v>-12.52</v>
      </c>
      <c r="X160" s="53">
        <f>IFERROR((VLOOKUP($A160,'Dados StatusInvest'!$A:$AZ,COLUMN(X160)-$A$5,0)/VLOOKUP($A160,'Dados StatusInvest'!$A:$AZ,2,0)*$F160),0)</f>
        <v>0</v>
      </c>
      <c r="Y160" s="54">
        <f>IFERROR((VLOOKUP($A160,'Dados StatusInvest'!$A:$AZ,COLUMN(Y160)-$A$5,0)/VLOOKUP($A160,'Dados StatusInvest'!$A:$AZ,2,0)*$F160),0)</f>
        <v>0</v>
      </c>
      <c r="Z160" s="56">
        <f>IFERROR((VLOOKUP($A160,'Dados StatusInvest'!$A:$AZ,COLUMN(Z160)-$A$5,0)),0)</f>
        <v>0.75</v>
      </c>
      <c r="AA160" s="57">
        <f>IFERROR((VLOOKUP($A160,'Dados StatusInvest'!$A:$AZ,COLUMN(AA160)-$A$5,0)),0)</f>
        <v>0.25</v>
      </c>
      <c r="AB160" s="57">
        <f>IFERROR((VLOOKUP($A160,'Dados StatusInvest'!$A:$AZ,COLUMN(AB160)-$A$5,0)),0)</f>
        <v>0.55</v>
      </c>
      <c r="AC160" s="58">
        <f>IFERROR((VLOOKUP($A160,'Dados StatusInvest'!$A:$AZ,COLUMN(AC160)-$A$5,0)),0)</f>
        <v>17.88</v>
      </c>
      <c r="AD160" s="57">
        <f>IFERROR((VLOOKUP($A160,'Dados StatusInvest'!$A:$AZ,COLUMN(AD160)-$A$5,0)),0)</f>
        <v>0</v>
      </c>
      <c r="AE160" s="56">
        <f>IFERROR((VLOOKUP($A160,'Dados StatusInvest'!$A:$AZ,COLUMN(AE160)-$A$5,0)),0)</f>
        <v>57778110</v>
      </c>
      <c r="AF160" s="56">
        <f>IFERROR((VLOOKUP($A160,'Dados StatusInvest'!$A:$AZ,COLUMN(AF160)-$A$5,0)),0)</f>
        <v>3.43</v>
      </c>
      <c r="AG160" s="56">
        <f>IFERROR((VLOOKUP($A160,'Dados StatusInvest'!$A:$AZ,COLUMN(AG160)-$A$5,0)),0)</f>
        <v>-0.43</v>
      </c>
      <c r="AH160" s="56">
        <f>IFERROR((VLOOKUP($A160,'Dados StatusInvest'!$A:$AZ,COLUMN(AH160)-$A$5,0)),0)</f>
        <v>-0.08</v>
      </c>
      <c r="AI160" s="57">
        <f>IFERROR((VLOOKUP($A160,'Dados StatusInvest'!$A:$AZ,COLUMN(AI160)-$A$5,0)),0)</f>
        <v>1971344369</v>
      </c>
      <c r="AJ160" s="59" t="str">
        <f>IFERROR((VLOOKUP($A160,'Dados StatusInvest'!$A:$AZ,COLUMN(AJ160)-$A$5,0)),0)</f>
        <v/>
      </c>
      <c r="AK160" s="60" t="str">
        <f>IFERROR(__xludf.DUMMYFUNCTION("IFERROR(GOOGLEFINANCE($A160,""high""),"""")"),"")</f>
        <v/>
      </c>
      <c r="AL160" s="60" t="str">
        <f>IFERROR(__xludf.DUMMYFUNCTION("IFERROR(GOOGLEFINANCE($A160,""low""),"""")"),"")</f>
        <v/>
      </c>
      <c r="AM160" s="61">
        <f t="shared" si="2"/>
        <v>0</v>
      </c>
      <c r="AN160" s="62">
        <f>IFERROR(__xludf.DUMMYFUNCTION("IFERROR((GOOGLEFINANCE($A160,""volume"")),0)"),0.0)</f>
        <v>0</v>
      </c>
      <c r="AO160" s="60" t="str">
        <f>IFERROR(__xludf.DUMMYFUNCTION("IFERROR((GOOGLEFINANCE($A160,""closeyest"")),"""")"),"")</f>
        <v/>
      </c>
      <c r="AP160" s="60" t="str">
        <f>IFERROR(__xludf.DUMMYFUNCTION("IFERROR((GOOGLEFINANCE($A160,""shares"")),"""")"),"")</f>
        <v/>
      </c>
      <c r="AQ160" s="18"/>
    </row>
    <row r="161">
      <c r="A161" s="45" t="str">
        <f>'Dados StatusInvest'!A156:A775</f>
        <v>CLSC3</v>
      </c>
      <c r="B161" s="46" t="str">
        <f>IFERROR(__xludf.DUMMYFUNCTION("IFERROR((GOOGLEFINANCE(A161,""name"")),"""")"),"Centrais Eletricas d Snt Ctrn S Clsc")</f>
        <v>Centrais Eletricas d Snt Ctrn S Clsc</v>
      </c>
      <c r="C161" s="46" t="str">
        <f>IFERROR((VLOOKUP(LEFT($A161,4),Setor!$A:$E,3,0)),"")</f>
        <v>Utilidade Pública</v>
      </c>
      <c r="D161" s="46" t="str">
        <f>IFERROR((VLOOKUP(LEFT($A161,4),Setor!$A:$E,4,0)),"")</f>
        <v>Energia Elétrica</v>
      </c>
      <c r="E161" s="46" t="str">
        <f>IFERROR((VLOOKUP(LEFT($A161,4),Setor!$A:$E,5,0)),"")</f>
        <v>Energia Elétrica</v>
      </c>
      <c r="F161" s="47">
        <f>IFERROR(__xludf.DUMMYFUNCTION("IFERROR((GOOGLEFINANCE(A161)),"""")"),131.0)</f>
        <v>131</v>
      </c>
      <c r="G161" s="48" t="str">
        <f>IFERROR(__xludf.DUMMYFUNCTION("IFERROR((sparkline(GOOGLEFINANCE($A161,""price"",TODAY()-30,TODAY(),""DAILY""),{""charttype"",""line"";""linewidth"",1;""color"",""#5f88cc""})),"""")"),"")</f>
        <v/>
      </c>
      <c r="H161" s="49">
        <f>IFERROR(__xludf.DUMMYFUNCTION("IFERROR((((GOOGLEFINANCE(A161))-(INDEX(GoogleFinance(A161,""PRICE"",$AQ$1),2,2)))/(INDEX(GoogleFinance(A161,""PRICE"",$AQ$1),2,2))),"""")"),0.12931034482758622)</f>
        <v>0.1293103448</v>
      </c>
      <c r="I161" s="47">
        <f>IFERROR(__xludf.DUMMYFUNCTION("IFERROR((GOOGLEFINANCE($A161,""high52"")),"""")"),131.0)</f>
        <v>131</v>
      </c>
      <c r="J161" s="48" t="str">
        <f>IFERROR(__xludf.DUMMYFUNCTION("IFERROR((sparkline(GOOGLEFINANCE($A161,""price"",TODAY()-365,TODAY(),""DAILY""),{""charttype"",""line"";""linewidth"",1;""color"",""#5f88cc""})),"""")"),"")</f>
        <v/>
      </c>
      <c r="K161" s="50">
        <f>IFERROR(__xludf.DUMMYFUNCTION("IFERROR((((GOOGLEFINANCE(A161))-(INDEX(GoogleFinance(A161,""PRICE"",$AP$1),2,2)))/(INDEX(GoogleFinance(A161,""PRICE"",$AP$1),2,2))),"""")"),0.7015196778802443)</f>
        <v>0.7015196779</v>
      </c>
      <c r="L161" s="51">
        <f t="shared" si="1"/>
        <v>0</v>
      </c>
      <c r="M161" s="52">
        <f>IFERROR((VLOOKUP($A161,'Dados StatusInvest'!$A:$AZ,COLUMN(M161)-$A$5,0)*VLOOKUP($A161,'Dados StatusInvest'!$A:$AZ,2,0)/$F161/100),0)</f>
        <v>0.1173</v>
      </c>
      <c r="N161" s="53">
        <f>IFERROR((VLOOKUP($A161,'Dados StatusInvest'!$A:$AZ,COLUMN(N161)-$A$5,0)/VLOOKUP($A161,'Dados StatusInvest'!$A:$AZ,2,0)*$F161),"")</f>
        <v>6.02</v>
      </c>
      <c r="O161" s="53">
        <f>IFERROR((VLOOKUP($A161,'Dados StatusInvest'!$A:$AZ,COLUMN(O161)-$A$5,0)/VLOOKUP($A161,'Dados StatusInvest'!$A:$AZ,2,0)*$F161),0)</f>
        <v>3.7</v>
      </c>
      <c r="P161" s="54">
        <f>IFERROR((VLOOKUP($A161,'Dados StatusInvest'!$A:$AZ,COLUMN(P161)-$A$5,0)/VLOOKUP($A161,'Dados StatusInvest'!$A:$AZ,2,0)*$F161),0)</f>
        <v>7.01</v>
      </c>
      <c r="Q161" s="55">
        <f>IFERROR((VLOOKUP($A161,'Dados StatusInvest'!$A:$AZ,COLUMN(Q161)-$A$5,0)/100),0)</f>
        <v>0.0302</v>
      </c>
      <c r="R161" s="56">
        <f>VLOOKUP($A161,'Dados StatusInvest'!$A:$AZ,COLUMN(R161)-$A$5,0)</f>
        <v>1.04</v>
      </c>
      <c r="S161" s="56">
        <f>IFERROR((VLOOKUP($A161,'Dados StatusInvest'!$A:$AZ,COLUMN(S161)-$A$5,0)),0)</f>
        <v>0.43</v>
      </c>
      <c r="T161" s="53">
        <f>IFERROR((VLOOKUP($A161,'Dados StatusInvest'!$A:$AZ,COLUMN(T161)-$A$5,0)/VLOOKUP($A161,'Dados StatusInvest'!$A:$AZ,2,0)*$F161),0)</f>
        <v>7.18</v>
      </c>
      <c r="U161" s="53">
        <f>IFERROR((VLOOKUP($A161,'Dados StatusInvest'!$A:$AZ,COLUMN(U161)-$A$5,0)-VLOOKUP($A161,'Dados StatusInvest'!$A:$AZ,COLUMN(U161)-$A$5-1,0)+T161),0)</f>
        <v>-0.52</v>
      </c>
      <c r="V161" s="56">
        <f>IFERROR((VLOOKUP($A161,'Dados StatusInvest'!$A:$AZ,COLUMN(V161)-$A$5,0)),0)</f>
        <v>1.23</v>
      </c>
      <c r="W161" s="56">
        <f>IFERROR((VLOOKUP($A161,'Dados StatusInvest'!$A:$AZ,COLUMN(W161)-$A$5,0)),0)</f>
        <v>17.75</v>
      </c>
      <c r="X161" s="53">
        <f>IFERROR((VLOOKUP($A161,'Dados StatusInvest'!$A:$AZ,COLUMN(X161)-$A$5,0)/VLOOKUP($A161,'Dados StatusInvest'!$A:$AZ,2,0)*$F161),0)</f>
        <v>5.19</v>
      </c>
      <c r="Y161" s="54">
        <f>IFERROR((VLOOKUP($A161,'Dados StatusInvest'!$A:$AZ,COLUMN(Y161)-$A$5,0)/VLOOKUP($A161,'Dados StatusInvest'!$A:$AZ,2,0)*$F161),0)</f>
        <v>13.54</v>
      </c>
      <c r="Z161" s="56">
        <f>IFERROR((VLOOKUP($A161,'Dados StatusInvest'!$A:$AZ,COLUMN(Z161)-$A$5,0)),0)</f>
        <v>0.29</v>
      </c>
      <c r="AA161" s="57">
        <f>IFERROR((VLOOKUP($A161,'Dados StatusInvest'!$A:$AZ,COLUMN(AA161)-$A$5,0)),0)</f>
        <v>0.71</v>
      </c>
      <c r="AB161" s="57">
        <f>IFERROR((VLOOKUP($A161,'Dados StatusInvest'!$A:$AZ,COLUMN(AB161)-$A$5,0)),0)</f>
        <v>0.86</v>
      </c>
      <c r="AC161" s="58">
        <f>IFERROR((VLOOKUP($A161,'Dados StatusInvest'!$A:$AZ,COLUMN(AC161)-$A$5,0)),0)</f>
        <v>5.86</v>
      </c>
      <c r="AD161" s="57">
        <f>IFERROR((VLOOKUP($A161,'Dados StatusInvest'!$A:$AZ,COLUMN(AD161)-$A$5,0)),0)</f>
        <v>19.86</v>
      </c>
      <c r="AE161" s="56">
        <f>IFERROR((VLOOKUP($A161,'Dados StatusInvest'!$A:$AZ,COLUMN(AE161)-$A$5,0)),0)</f>
        <v>32683.86</v>
      </c>
      <c r="AF161" s="56">
        <f>IFERROR((VLOOKUP($A161,'Dados StatusInvest'!$A:$AZ,COLUMN(AF161)-$A$5,0)),0)</f>
        <v>102.44</v>
      </c>
      <c r="AG161" s="56">
        <f>IFERROR((VLOOKUP($A161,'Dados StatusInvest'!$A:$AZ,COLUMN(AG161)-$A$5,0)),0)</f>
        <v>18.18</v>
      </c>
      <c r="AH161" s="56">
        <f>IFERROR((VLOOKUP($A161,'Dados StatusInvest'!$A:$AZ,COLUMN(AH161)-$A$5,0)),0)</f>
        <v>1.82</v>
      </c>
      <c r="AI161" s="57">
        <f>IFERROR((VLOOKUP($A161,'Dados StatusInvest'!$A:$AZ,COLUMN(AI161)-$A$5,0)),0)</f>
        <v>5451777920</v>
      </c>
      <c r="AJ161" s="59" t="str">
        <f>IFERROR((VLOOKUP($A161,'Dados StatusInvest'!$A:$AZ,COLUMN(AJ161)-$A$5,0)),0)</f>
        <v/>
      </c>
      <c r="AK161" s="60" t="str">
        <f>IFERROR(__xludf.DUMMYFUNCTION("IFERROR(GOOGLEFINANCE($A161,""high""),"""")"),"")</f>
        <v/>
      </c>
      <c r="AL161" s="60" t="str">
        <f>IFERROR(__xludf.DUMMYFUNCTION("IFERROR(GOOGLEFINANCE($A161,""low""),"""")"),"")</f>
        <v/>
      </c>
      <c r="AM161" s="61">
        <f t="shared" si="2"/>
        <v>0</v>
      </c>
      <c r="AN161" s="62">
        <f>IFERROR(__xludf.DUMMYFUNCTION("IFERROR((GOOGLEFINANCE($A161,""volume"")),0)"),0.0)</f>
        <v>0</v>
      </c>
      <c r="AO161" s="60">
        <f>IFERROR(__xludf.DUMMYFUNCTION("IFERROR((GOOGLEFINANCE($A161,""closeyest"")),"""")"),131.0)</f>
        <v>131</v>
      </c>
      <c r="AP161" s="60">
        <f>IFERROR(__xludf.DUMMYFUNCTION("IFERROR((GOOGLEFINANCE($A161,""shares"")),"""")"),1.5527137E7)</f>
        <v>15527137</v>
      </c>
      <c r="AQ161" s="18"/>
    </row>
    <row r="162">
      <c r="A162" s="45" t="str">
        <f>'Dados StatusInvest'!A157:A776</f>
        <v>CLSC4</v>
      </c>
      <c r="B162" s="46" t="str">
        <f>IFERROR(__xludf.DUMMYFUNCTION("IFERROR((GOOGLEFINANCE(A162,""name"")),"""")"),"Centrais Eletricas d Snt Ctrn S Clsc Preference Shares")</f>
        <v>Centrais Eletricas d Snt Ctrn S Clsc Preference Shares</v>
      </c>
      <c r="C162" s="46" t="str">
        <f>IFERROR((VLOOKUP(LEFT($A162,4),Setor!$A:$E,3,0)),"")</f>
        <v>Utilidade Pública</v>
      </c>
      <c r="D162" s="46" t="str">
        <f>IFERROR((VLOOKUP(LEFT($A162,4),Setor!$A:$E,4,0)),"")</f>
        <v>Energia Elétrica</v>
      </c>
      <c r="E162" s="46" t="str">
        <f>IFERROR((VLOOKUP(LEFT($A162,4),Setor!$A:$E,5,0)),"")</f>
        <v>Energia Elétrica</v>
      </c>
      <c r="F162" s="47">
        <f>IFERROR(__xludf.DUMMYFUNCTION("IFERROR((GOOGLEFINANCE(A162)),"""")"),148.31)</f>
        <v>148.31</v>
      </c>
      <c r="G162" s="48" t="str">
        <f>IFERROR(__xludf.DUMMYFUNCTION("IFERROR((sparkline(GOOGLEFINANCE($A162,""price"",TODAY()-30,TODAY(),""DAILY""),{""charttype"",""line"";""linewidth"",1;""color"",""#5f88cc""})),"""")"),"")</f>
        <v/>
      </c>
      <c r="H162" s="49">
        <f>IFERROR(__xludf.DUMMYFUNCTION("IFERROR((((GOOGLEFINANCE(A162))-(INDEX(GoogleFinance(A162,""PRICE"",$AQ$1),2,2)))/(INDEX(GoogleFinance(A162,""PRICE"",$AQ$1),2,2))),"""")"),0.09067509927930588)</f>
        <v>0.09067509928</v>
      </c>
      <c r="I162" s="47">
        <f>IFERROR(__xludf.DUMMYFUNCTION("IFERROR((GOOGLEFINANCE($A162,""high52"")),"""")"),146.3)</f>
        <v>146.3</v>
      </c>
      <c r="J162" s="48" t="str">
        <f>IFERROR(__xludf.DUMMYFUNCTION("IFERROR((sparkline(GOOGLEFINANCE($A162,""price"",TODAY()-365,TODAY(),""DAILY""),{""charttype"",""line"";""linewidth"",1;""color"",""#5f88cc""})),"""")"),"")</f>
        <v/>
      </c>
      <c r="K162" s="50">
        <f>IFERROR(__xludf.DUMMYFUNCTION("IFERROR((((GOOGLEFINANCE(A162))-(INDEX(GoogleFinance(A162,""PRICE"",$AP$1),2,2)))/(INDEX(GoogleFinance(A162,""PRICE"",$AP$1),2,2))),"""")"),0.8287299630086314)</f>
        <v>0.828729963</v>
      </c>
      <c r="L162" s="51">
        <f t="shared" si="1"/>
        <v>0.01373889269</v>
      </c>
      <c r="M162" s="52">
        <f>IFERROR((VLOOKUP($A162,'Dados StatusInvest'!$A:$AZ,COLUMN(M162)-$A$5,0)*VLOOKUP($A162,'Dados StatusInvest'!$A:$AZ,2,0)/$F162/100),0)</f>
        <v>0.1173</v>
      </c>
      <c r="N162" s="53">
        <f>IFERROR((VLOOKUP($A162,'Dados StatusInvest'!$A:$AZ,COLUMN(N162)-$A$5,0)/VLOOKUP($A162,'Dados StatusInvest'!$A:$AZ,2,0)*$F162),"")</f>
        <v>6.02</v>
      </c>
      <c r="O162" s="53">
        <f>IFERROR((VLOOKUP($A162,'Dados StatusInvest'!$A:$AZ,COLUMN(O162)-$A$5,0)/VLOOKUP($A162,'Dados StatusInvest'!$A:$AZ,2,0)*$F162),0)</f>
        <v>4.19</v>
      </c>
      <c r="P162" s="54">
        <f>IFERROR((VLOOKUP($A162,'Dados StatusInvest'!$A:$AZ,COLUMN(P162)-$A$5,0)/VLOOKUP($A162,'Dados StatusInvest'!$A:$AZ,2,0)*$F162),0)</f>
        <v>7.01</v>
      </c>
      <c r="Q162" s="55">
        <f>IFERROR((VLOOKUP($A162,'Dados StatusInvest'!$A:$AZ,COLUMN(Q162)-$A$5,0)/100),0)</f>
        <v>0.0302</v>
      </c>
      <c r="R162" s="56">
        <f>VLOOKUP($A162,'Dados StatusInvest'!$A:$AZ,COLUMN(R162)-$A$5,0)</f>
        <v>1.04</v>
      </c>
      <c r="S162" s="56">
        <f>IFERROR((VLOOKUP($A162,'Dados StatusInvest'!$A:$AZ,COLUMN(S162)-$A$5,0)),0)</f>
        <v>0.49</v>
      </c>
      <c r="T162" s="53">
        <f>IFERROR((VLOOKUP($A162,'Dados StatusInvest'!$A:$AZ,COLUMN(T162)-$A$5,0)/VLOOKUP($A162,'Dados StatusInvest'!$A:$AZ,2,0)*$F162),0)</f>
        <v>8.12</v>
      </c>
      <c r="U162" s="53">
        <f>IFERROR((VLOOKUP($A162,'Dados StatusInvest'!$A:$AZ,COLUMN(U162)-$A$5,0)-VLOOKUP($A162,'Dados StatusInvest'!$A:$AZ,COLUMN(U162)-$A$5-1,0)+T162),0)</f>
        <v>-0.59</v>
      </c>
      <c r="V162" s="56">
        <f>IFERROR((VLOOKUP($A162,'Dados StatusInvest'!$A:$AZ,COLUMN(V162)-$A$5,0)),0)</f>
        <v>1.23</v>
      </c>
      <c r="W162" s="56">
        <f>IFERROR((VLOOKUP($A162,'Dados StatusInvest'!$A:$AZ,COLUMN(W162)-$A$5,0)),0)</f>
        <v>17.75</v>
      </c>
      <c r="X162" s="53">
        <f>IFERROR((VLOOKUP($A162,'Dados StatusInvest'!$A:$AZ,COLUMN(X162)-$A$5,0)/VLOOKUP($A162,'Dados StatusInvest'!$A:$AZ,2,0)*$F162),0)</f>
        <v>5.19</v>
      </c>
      <c r="Y162" s="54">
        <f>IFERROR((VLOOKUP($A162,'Dados StatusInvest'!$A:$AZ,COLUMN(Y162)-$A$5,0)/VLOOKUP($A162,'Dados StatusInvest'!$A:$AZ,2,0)*$F162),0)</f>
        <v>13.54</v>
      </c>
      <c r="Z162" s="56">
        <f>IFERROR((VLOOKUP($A162,'Dados StatusInvest'!$A:$AZ,COLUMN(Z162)-$A$5,0)),0)</f>
        <v>0.29</v>
      </c>
      <c r="AA162" s="57">
        <f>IFERROR((VLOOKUP($A162,'Dados StatusInvest'!$A:$AZ,COLUMN(AA162)-$A$5,0)),0)</f>
        <v>0.71</v>
      </c>
      <c r="AB162" s="57">
        <f>IFERROR((VLOOKUP($A162,'Dados StatusInvest'!$A:$AZ,COLUMN(AB162)-$A$5,0)),0)</f>
        <v>0.86</v>
      </c>
      <c r="AC162" s="58">
        <f>IFERROR((VLOOKUP($A162,'Dados StatusInvest'!$A:$AZ,COLUMN(AC162)-$A$5,0)),0)</f>
        <v>5.86</v>
      </c>
      <c r="AD162" s="57">
        <f>IFERROR((VLOOKUP($A162,'Dados StatusInvest'!$A:$AZ,COLUMN(AD162)-$A$5,0)),0)</f>
        <v>19.86</v>
      </c>
      <c r="AE162" s="56">
        <f>IFERROR((VLOOKUP($A162,'Dados StatusInvest'!$A:$AZ,COLUMN(AE162)-$A$5,0)),0)</f>
        <v>522097.6</v>
      </c>
      <c r="AF162" s="56">
        <f>IFERROR((VLOOKUP($A162,'Dados StatusInvest'!$A:$AZ,COLUMN(AF162)-$A$5,0)),0)</f>
        <v>102.44</v>
      </c>
      <c r="AG162" s="56">
        <f>IFERROR((VLOOKUP($A162,'Dados StatusInvest'!$A:$AZ,COLUMN(AG162)-$A$5,0)),0)</f>
        <v>18.18</v>
      </c>
      <c r="AH162" s="56">
        <f>IFERROR((VLOOKUP($A162,'Dados StatusInvest'!$A:$AZ,COLUMN(AH162)-$A$5,0)),0)</f>
        <v>2.06</v>
      </c>
      <c r="AI162" s="57">
        <f>IFERROR((VLOOKUP($A162,'Dados StatusInvest'!$A:$AZ,COLUMN(AI162)-$A$5,0)),0)</f>
        <v>5451777920</v>
      </c>
      <c r="AJ162" s="59" t="str">
        <f>IFERROR((VLOOKUP($A162,'Dados StatusInvest'!$A:$AZ,COLUMN(AJ162)-$A$5,0)),0)</f>
        <v/>
      </c>
      <c r="AK162" s="60" t="str">
        <f>IFERROR(__xludf.DUMMYFUNCTION("IFERROR(GOOGLEFINANCE($A162,""high""),"""")"),"")</f>
        <v/>
      </c>
      <c r="AL162" s="60" t="str">
        <f>IFERROR(__xludf.DUMMYFUNCTION("IFERROR(GOOGLEFINANCE($A162,""low""),"""")"),"")</f>
        <v/>
      </c>
      <c r="AM162" s="61">
        <f t="shared" si="2"/>
        <v>0</v>
      </c>
      <c r="AN162" s="62">
        <f>IFERROR(__xludf.DUMMYFUNCTION("IFERROR((GOOGLEFINANCE($A162,""volume"")),0)"),0.0)</f>
        <v>0</v>
      </c>
      <c r="AO162" s="60">
        <f>IFERROR(__xludf.DUMMYFUNCTION("IFERROR((GOOGLEFINANCE($A162,""closeyest"")),"""")"),148.31)</f>
        <v>148.31</v>
      </c>
      <c r="AP162" s="60">
        <f>IFERROR(__xludf.DUMMYFUNCTION("IFERROR((GOOGLEFINANCE($A162,""shares"")),"""")"),2.3044454E7)</f>
        <v>23044454</v>
      </c>
      <c r="AQ162" s="18"/>
    </row>
    <row r="163">
      <c r="A163" s="45" t="str">
        <f>'Dados StatusInvest'!A158:A777</f>
        <v>CMIG3</v>
      </c>
      <c r="B163" s="46" t="str">
        <f>IFERROR(__xludf.DUMMYFUNCTION("IFERROR((GOOGLEFINANCE(A163,""name"")),"""")"),"Energy of Minas Gerais Co")</f>
        <v>Energy of Minas Gerais Co</v>
      </c>
      <c r="C163" s="46" t="str">
        <f>IFERROR((VLOOKUP(LEFT($A163,4),Setor!$A:$E,3,0)),"")</f>
        <v>Utilidade Pública</v>
      </c>
      <c r="D163" s="46" t="str">
        <f>IFERROR((VLOOKUP(LEFT($A163,4),Setor!$A:$E,4,0)),"")</f>
        <v>Energia Elétrica</v>
      </c>
      <c r="E163" s="46" t="str">
        <f>IFERROR((VLOOKUP(LEFT($A163,4),Setor!$A:$E,5,0)),"")</f>
        <v>Energia Elétrica</v>
      </c>
      <c r="F163" s="47">
        <f>IFERROR(__xludf.DUMMYFUNCTION("IFERROR((GOOGLEFINANCE(A163)),"""")"),15.22)</f>
        <v>15.22</v>
      </c>
      <c r="G163" s="48" t="str">
        <f>IFERROR(__xludf.DUMMYFUNCTION("IFERROR((sparkline(GOOGLEFINANCE($A163,""price"",TODAY()-30,TODAY(),""DAILY""),{""charttype"",""line"";""linewidth"",1;""color"",""#5f88cc""})),"""")"),"")</f>
        <v/>
      </c>
      <c r="H163" s="49">
        <f>IFERROR(__xludf.DUMMYFUNCTION("IFERROR((((GOOGLEFINANCE(A163))-(INDEX(GoogleFinance(A163,""PRICE"",$AQ$1),2,2)))/(INDEX(GoogleFinance(A163,""PRICE"",$AQ$1),2,2))),"""")"),0.04461221688400826)</f>
        <v>0.04461221688</v>
      </c>
      <c r="I163" s="47">
        <f>IFERROR(__xludf.DUMMYFUNCTION("IFERROR((GOOGLEFINANCE($A163,""high52"")),"""")"),17.99)</f>
        <v>17.99</v>
      </c>
      <c r="J163" s="48" t="str">
        <f>IFERROR(__xludf.DUMMYFUNCTION("IFERROR((sparkline(GOOGLEFINANCE($A163,""price"",TODAY()-365,TODAY(),""DAILY""),{""charttype"",""line"";""linewidth"",1;""color"",""#5f88cc""})),"""")"),"")</f>
        <v/>
      </c>
      <c r="K163" s="50">
        <f>IFERROR(__xludf.DUMMYFUNCTION("IFERROR((((GOOGLEFINANCE(A163))-(INDEX(GoogleFinance(A163,""PRICE"",$AP$1),2,2)))/(INDEX(GoogleFinance(A163,""PRICE"",$AP$1),2,2))),"""")"),-0.016160310277957335)</f>
        <v>-0.01616031028</v>
      </c>
      <c r="L163" s="51">
        <f t="shared" si="1"/>
        <v>-0.1539744302</v>
      </c>
      <c r="M163" s="52">
        <f>IFERROR((VLOOKUP($A163,'Dados StatusInvest'!$A:$AZ,COLUMN(M163)-$A$5,0)*VLOOKUP($A163,'Dados StatusInvest'!$A:$AZ,2,0)/$F163/100),0)</f>
        <v>0.1373633377</v>
      </c>
      <c r="N163" s="53">
        <f>IFERROR((VLOOKUP($A163,'Dados StatusInvest'!$A:$AZ,COLUMN(N163)-$A$5,0)/VLOOKUP($A163,'Dados StatusInvest'!$A:$AZ,2,0)*$F163),"")</f>
        <v>9.389798046</v>
      </c>
      <c r="O163" s="53">
        <f>IFERROR((VLOOKUP($A163,'Dados StatusInvest'!$A:$AZ,COLUMN(O163)-$A$5,0)/VLOOKUP($A163,'Dados StatusInvest'!$A:$AZ,2,0)*$F163),0)</f>
        <v>7.535635179</v>
      </c>
      <c r="P163" s="54">
        <f>IFERROR((VLOOKUP($A163,'Dados StatusInvest'!$A:$AZ,COLUMN(P163)-$A$5,0)/VLOOKUP($A163,'Dados StatusInvest'!$A:$AZ,2,0)*$F163),0)</f>
        <v>8.646149837</v>
      </c>
      <c r="Q163" s="55">
        <f>IFERROR((VLOOKUP($A163,'Dados StatusInvest'!$A:$AZ,COLUMN(Q163)-$A$5,0)/100),0)</f>
        <v>0.0227</v>
      </c>
      <c r="R163" s="56">
        <f>VLOOKUP($A163,'Dados StatusInvest'!$A:$AZ,COLUMN(R163)-$A$5,0)</f>
        <v>0.46</v>
      </c>
      <c r="S163" s="56">
        <f>IFERROR((VLOOKUP($A163,'Dados StatusInvest'!$A:$AZ,COLUMN(S163)-$A$5,0)),0)</f>
        <v>1.04</v>
      </c>
      <c r="T163" s="53">
        <f>IFERROR((VLOOKUP($A163,'Dados StatusInvest'!$A:$AZ,COLUMN(T163)-$A$5,0)/VLOOKUP($A163,'Dados StatusInvest'!$A:$AZ,2,0)*$F163),0)</f>
        <v>-26.60277524</v>
      </c>
      <c r="U163" s="53">
        <f>IFERROR((VLOOKUP($A163,'Dados StatusInvest'!$A:$AZ,COLUMN(U163)-$A$5,0)-VLOOKUP($A163,'Dados StatusInvest'!$A:$AZ,COLUMN(U163)-$A$5-1,0)+T163),0)</f>
        <v>-0.6227752443</v>
      </c>
      <c r="V163" s="56">
        <f>IFERROR((VLOOKUP($A163,'Dados StatusInvest'!$A:$AZ,COLUMN(V163)-$A$5,0)),0)</f>
        <v>0.89</v>
      </c>
      <c r="W163" s="56">
        <f>IFERROR((VLOOKUP($A163,'Dados StatusInvest'!$A:$AZ,COLUMN(W163)-$A$5,0)),0)</f>
        <v>13.99</v>
      </c>
      <c r="X163" s="53">
        <f>IFERROR((VLOOKUP($A163,'Dados StatusInvest'!$A:$AZ,COLUMN(X163)-$A$5,0)/VLOOKUP($A163,'Dados StatusInvest'!$A:$AZ,2,0)*$F163),0)</f>
        <v>6.157407166</v>
      </c>
      <c r="Y163" s="54">
        <f>IFERROR((VLOOKUP($A163,'Dados StatusInvest'!$A:$AZ,COLUMN(Y163)-$A$5,0)/VLOOKUP($A163,'Dados StatusInvest'!$A:$AZ,2,0)*$F163),0)</f>
        <v>11.94794788</v>
      </c>
      <c r="Z163" s="56">
        <f>IFERROR((VLOOKUP($A163,'Dados StatusInvest'!$A:$AZ,COLUMN(Z163)-$A$5,0)),0)</f>
        <v>0.44</v>
      </c>
      <c r="AA163" s="57">
        <f>IFERROR((VLOOKUP($A163,'Dados StatusInvest'!$A:$AZ,COLUMN(AA163)-$A$5,0)),0)</f>
        <v>0.56</v>
      </c>
      <c r="AB163" s="57">
        <f>IFERROR((VLOOKUP($A163,'Dados StatusInvest'!$A:$AZ,COLUMN(AB163)-$A$5,0)),0)</f>
        <v>0.66</v>
      </c>
      <c r="AC163" s="58">
        <f>IFERROR((VLOOKUP($A163,'Dados StatusInvest'!$A:$AZ,COLUMN(AC163)-$A$5,0)),0)</f>
        <v>9.42</v>
      </c>
      <c r="AD163" s="57">
        <f>IFERROR((VLOOKUP($A163,'Dados StatusInvest'!$A:$AZ,COLUMN(AD163)-$A$5,0)),0)</f>
        <v>5.15</v>
      </c>
      <c r="AE163" s="56">
        <f>IFERROR((VLOOKUP($A163,'Dados StatusInvest'!$A:$AZ,COLUMN(AE163)-$A$5,0)),0)</f>
        <v>2097796</v>
      </c>
      <c r="AF163" s="56">
        <f>IFERROR((VLOOKUP($A163,'Dados StatusInvest'!$A:$AZ,COLUMN(AF163)-$A$5,0)),0)</f>
        <v>10.04</v>
      </c>
      <c r="AG163" s="56">
        <f>IFERROR((VLOOKUP($A163,'Dados StatusInvest'!$A:$AZ,COLUMN(AG163)-$A$5,0)),0)</f>
        <v>1.4</v>
      </c>
      <c r="AH163" s="56">
        <f>IFERROR((VLOOKUP($A163,'Dados StatusInvest'!$A:$AZ,COLUMN(AH163)-$A$5,0)),0)</f>
        <v>-0.28</v>
      </c>
      <c r="AI163" s="57">
        <f>IFERROR((VLOOKUP($A163,'Dados StatusInvest'!$A:$AZ,COLUMN(AI163)-$A$5,0)),0)</f>
        <v>37298325744</v>
      </c>
      <c r="AJ163" s="59" t="str">
        <f>IFERROR((VLOOKUP($A163,'Dados StatusInvest'!$A:$AZ,COLUMN(AJ163)-$A$5,0)),0)</f>
        <v/>
      </c>
      <c r="AK163" s="60">
        <f>IFERROR(__xludf.DUMMYFUNCTION("IFERROR(GOOGLEFINANCE($A163,""high""),"""")"),15.34)</f>
        <v>15.34</v>
      </c>
      <c r="AL163" s="60">
        <f>IFERROR(__xludf.DUMMYFUNCTION("IFERROR(GOOGLEFINANCE($A163,""low""),"""")"),15.2)</f>
        <v>15.2</v>
      </c>
      <c r="AM163" s="61">
        <f t="shared" si="2"/>
        <v>0.009210526316</v>
      </c>
      <c r="AN163" s="62">
        <f>IFERROR(__xludf.DUMMYFUNCTION("IFERROR((GOOGLEFINANCE($A163,""volume"")),0)"),6000.0)</f>
        <v>6000</v>
      </c>
      <c r="AO163" s="60">
        <f>IFERROR(__xludf.DUMMYFUNCTION("IFERROR((GOOGLEFINANCE($A163,""closeyest"")),"""")"),15.35)</f>
        <v>15.35</v>
      </c>
      <c r="AP163" s="60">
        <f>IFERROR(__xludf.DUMMYFUNCTION("IFERROR((GOOGLEFINANCE($A163,""shares"")),"""")"),9.56601911E8)</f>
        <v>956601911</v>
      </c>
      <c r="AQ163" s="18"/>
    </row>
    <row r="164">
      <c r="A164" s="45" t="str">
        <f>'Dados StatusInvest'!A159:A778</f>
        <v>CMIG4</v>
      </c>
      <c r="B164" s="46" t="str">
        <f>IFERROR(__xludf.DUMMYFUNCTION("IFERROR((GOOGLEFINANCE(A164,""name"")),"""")"),"Energy of Minas Gerais Co Preference Shares")</f>
        <v>Energy of Minas Gerais Co Preference Shares</v>
      </c>
      <c r="C164" s="46" t="str">
        <f>IFERROR((VLOOKUP(LEFT($A164,4),Setor!$A:$E,3,0)),"")</f>
        <v>Utilidade Pública</v>
      </c>
      <c r="D164" s="46" t="str">
        <f>IFERROR((VLOOKUP(LEFT($A164,4),Setor!$A:$E,4,0)),"")</f>
        <v>Energia Elétrica</v>
      </c>
      <c r="E164" s="46" t="str">
        <f>IFERROR((VLOOKUP(LEFT($A164,4),Setor!$A:$E,5,0)),"")</f>
        <v>Energia Elétrica</v>
      </c>
      <c r="F164" s="47">
        <f>IFERROR(__xludf.DUMMYFUNCTION("IFERROR((GOOGLEFINANCE(A164)),"""")"),11.67)</f>
        <v>11.67</v>
      </c>
      <c r="G164" s="48" t="str">
        <f>IFERROR(__xludf.DUMMYFUNCTION("IFERROR((sparkline(GOOGLEFINANCE($A164,""price"",TODAY()-30,TODAY(),""DAILY""),{""charttype"",""line"";""linewidth"",1;""color"",""#5f88cc""})),"""")"),"")</f>
        <v/>
      </c>
      <c r="H164" s="49">
        <f>IFERROR(__xludf.DUMMYFUNCTION("IFERROR((((GOOGLEFINANCE(A164))-(INDEX(GoogleFinance(A164,""PRICE"",$AQ$1),2,2)))/(INDEX(GoogleFinance(A164,""PRICE"",$AQ$1),2,2))),"""")"),0.045698924731182776)</f>
        <v>0.04569892473</v>
      </c>
      <c r="I164" s="47">
        <f>IFERROR(__xludf.DUMMYFUNCTION("IFERROR((GOOGLEFINANCE($A164,""high52"")),"""")"),11.97)</f>
        <v>11.97</v>
      </c>
      <c r="J164" s="48" t="str">
        <f>IFERROR(__xludf.DUMMYFUNCTION("IFERROR((sparkline(GOOGLEFINANCE($A164,""price"",TODAY()-365,TODAY(),""DAILY""),{""charttype"",""line"";""linewidth"",1;""color"",""#5f88cc""})),"""")"),"")</f>
        <v/>
      </c>
      <c r="K164" s="50">
        <f>IFERROR(__xludf.DUMMYFUNCTION("IFERROR((((GOOGLEFINANCE(A164))-(INDEX(GoogleFinance(A164,""PRICE"",$AP$1),2,2)))/(INDEX(GoogleFinance(A164,""PRICE"",$AP$1),2,2))),"""")"),0.04196428571428577)</f>
        <v>0.04196428571</v>
      </c>
      <c r="L164" s="51">
        <f t="shared" si="1"/>
        <v>-0.02506265664</v>
      </c>
      <c r="M164" s="52">
        <f>IFERROR((VLOOKUP($A164,'Dados StatusInvest'!$A:$AZ,COLUMN(M164)-$A$5,0)*VLOOKUP($A164,'Dados StatusInvest'!$A:$AZ,2,0)/$F164/100),0)</f>
        <v>0.1385341902</v>
      </c>
      <c r="N164" s="53">
        <f>IFERROR((VLOOKUP($A164,'Dados StatusInvest'!$A:$AZ,COLUMN(N164)-$A$5,0)/VLOOKUP($A164,'Dados StatusInvest'!$A:$AZ,2,0)*$F164),"")</f>
        <v>9.310438079</v>
      </c>
      <c r="O164" s="53">
        <f>IFERROR((VLOOKUP($A164,'Dados StatusInvest'!$A:$AZ,COLUMN(O164)-$A$5,0)/VLOOKUP($A164,'Dados StatusInvest'!$A:$AZ,2,0)*$F164),0)</f>
        <v>5.780926706</v>
      </c>
      <c r="P164" s="54">
        <f>IFERROR((VLOOKUP($A164,'Dados StatusInvest'!$A:$AZ,COLUMN(P164)-$A$5,0)/VLOOKUP($A164,'Dados StatusInvest'!$A:$AZ,2,0)*$F164),0)</f>
        <v>8.573074979</v>
      </c>
      <c r="Q164" s="55">
        <f>IFERROR((VLOOKUP($A164,'Dados StatusInvest'!$A:$AZ,COLUMN(Q164)-$A$5,0)/100),0)</f>
        <v>0.0227</v>
      </c>
      <c r="R164" s="56">
        <f>VLOOKUP($A164,'Dados StatusInvest'!$A:$AZ,COLUMN(R164)-$A$5,0)</f>
        <v>0.46</v>
      </c>
      <c r="S164" s="56">
        <f>IFERROR((VLOOKUP($A164,'Dados StatusInvest'!$A:$AZ,COLUMN(S164)-$A$5,0)),0)</f>
        <v>0.8</v>
      </c>
      <c r="T164" s="53">
        <f>IFERROR((VLOOKUP($A164,'Dados StatusInvest'!$A:$AZ,COLUMN(T164)-$A$5,0)/VLOOKUP($A164,'Dados StatusInvest'!$A:$AZ,2,0)*$F164),0)</f>
        <v>-20.40037911</v>
      </c>
      <c r="U164" s="53">
        <f>IFERROR((VLOOKUP($A164,'Dados StatusInvest'!$A:$AZ,COLUMN(U164)-$A$5,0)-VLOOKUP($A164,'Dados StatusInvest'!$A:$AZ,COLUMN(U164)-$A$5-1,0)+T164),0)</f>
        <v>-0.310379107</v>
      </c>
      <c r="V164" s="56">
        <f>IFERROR((VLOOKUP($A164,'Dados StatusInvest'!$A:$AZ,COLUMN(V164)-$A$5,0)),0)</f>
        <v>0.89</v>
      </c>
      <c r="W164" s="56">
        <f>IFERROR((VLOOKUP($A164,'Dados StatusInvest'!$A:$AZ,COLUMN(W164)-$A$5,0)),0)</f>
        <v>13.99</v>
      </c>
      <c r="X164" s="53">
        <f>IFERROR((VLOOKUP($A164,'Dados StatusInvest'!$A:$AZ,COLUMN(X164)-$A$5,0)/VLOOKUP($A164,'Dados StatusInvest'!$A:$AZ,2,0)*$F164),0)</f>
        <v>6.10536647</v>
      </c>
      <c r="Y164" s="54">
        <f>IFERROR((VLOOKUP($A164,'Dados StatusInvest'!$A:$AZ,COLUMN(Y164)-$A$5,0)/VLOOKUP($A164,'Dados StatusInvest'!$A:$AZ,2,0)*$F164),0)</f>
        <v>11.84696714</v>
      </c>
      <c r="Z164" s="56">
        <f>IFERROR((VLOOKUP($A164,'Dados StatusInvest'!$A:$AZ,COLUMN(Z164)-$A$5,0)),0)</f>
        <v>0.44</v>
      </c>
      <c r="AA164" s="57">
        <f>IFERROR((VLOOKUP($A164,'Dados StatusInvest'!$A:$AZ,COLUMN(AA164)-$A$5,0)),0)</f>
        <v>0.56</v>
      </c>
      <c r="AB164" s="57">
        <f>IFERROR((VLOOKUP($A164,'Dados StatusInvest'!$A:$AZ,COLUMN(AB164)-$A$5,0)),0)</f>
        <v>0.66</v>
      </c>
      <c r="AC164" s="58">
        <f>IFERROR((VLOOKUP($A164,'Dados StatusInvest'!$A:$AZ,COLUMN(AC164)-$A$5,0)),0)</f>
        <v>9.42</v>
      </c>
      <c r="AD164" s="57">
        <f>IFERROR((VLOOKUP($A164,'Dados StatusInvest'!$A:$AZ,COLUMN(AD164)-$A$5,0)),0)</f>
        <v>5.15</v>
      </c>
      <c r="AE164" s="56">
        <f>IFERROR((VLOOKUP($A164,'Dados StatusInvest'!$A:$AZ,COLUMN(AE164)-$A$5,0)),0)</f>
        <v>155000000</v>
      </c>
      <c r="AF164" s="56">
        <f>IFERROR((VLOOKUP($A164,'Dados StatusInvest'!$A:$AZ,COLUMN(AF164)-$A$5,0)),0)</f>
        <v>10.04</v>
      </c>
      <c r="AG164" s="56">
        <f>IFERROR((VLOOKUP($A164,'Dados StatusInvest'!$A:$AZ,COLUMN(AG164)-$A$5,0)),0)</f>
        <v>1.4</v>
      </c>
      <c r="AH164" s="56">
        <f>IFERROR((VLOOKUP($A164,'Dados StatusInvest'!$A:$AZ,COLUMN(AH164)-$A$5,0)),0)</f>
        <v>-0.22</v>
      </c>
      <c r="AI164" s="57">
        <f>IFERROR((VLOOKUP($A164,'Dados StatusInvest'!$A:$AZ,COLUMN(AI164)-$A$5,0)),0)</f>
        <v>37298325744</v>
      </c>
      <c r="AJ164" s="59" t="str">
        <f>IFERROR((VLOOKUP($A164,'Dados StatusInvest'!$A:$AZ,COLUMN(AJ164)-$A$5,0)),0)</f>
        <v/>
      </c>
      <c r="AK164" s="60">
        <f>IFERROR(__xludf.DUMMYFUNCTION("IFERROR(GOOGLEFINANCE($A164,""high""),"""")"),11.81)</f>
        <v>11.81</v>
      </c>
      <c r="AL164" s="60">
        <f>IFERROR(__xludf.DUMMYFUNCTION("IFERROR(GOOGLEFINANCE($A164,""low""),"""")"),11.66)</f>
        <v>11.66</v>
      </c>
      <c r="AM164" s="61">
        <f t="shared" si="2"/>
        <v>0.012864494</v>
      </c>
      <c r="AN164" s="62">
        <f>IFERROR(__xludf.DUMMYFUNCTION("IFERROR((GOOGLEFINANCE($A164,""volume"")),0)"),1081400.0)</f>
        <v>1081400</v>
      </c>
      <c r="AO164" s="60">
        <f>IFERROR(__xludf.DUMMYFUNCTION("IFERROR((GOOGLEFINANCE($A164,""closeyest"")),"""")"),11.87)</f>
        <v>11.87</v>
      </c>
      <c r="AP164" s="60">
        <f>IFERROR(__xludf.DUMMYFUNCTION("IFERROR((GOOGLEFINANCE($A164,""shares"")),"""")"),1.905179984E9)</f>
        <v>1905179984</v>
      </c>
      <c r="AQ164" s="18"/>
    </row>
    <row r="165">
      <c r="A165" s="45" t="str">
        <f>'Dados StatusInvest'!A160:A779</f>
        <v>CMIN3</v>
      </c>
      <c r="B165" s="46" t="str">
        <f>IFERROR(__xludf.DUMMYFUNCTION("IFERROR((GOOGLEFINANCE(A165,""name"")),"""")"),"CSN Mineracao SA")</f>
        <v>CSN Mineracao SA</v>
      </c>
      <c r="C165" s="46" t="str">
        <f>IFERROR((VLOOKUP(LEFT($A165,4),Setor!$A:$E,3,0)),"")</f>
        <v>Petróleo, Gás e Biocombustíveis</v>
      </c>
      <c r="D165" s="46" t="str">
        <f>IFERROR((VLOOKUP(LEFT($A165,4),Setor!$A:$E,4,0)),"")</f>
        <v>Petróleo, Gás e Biocombustíveis</v>
      </c>
      <c r="E165" s="46" t="str">
        <f>IFERROR((VLOOKUP(LEFT($A165,4),Setor!$A:$E,5,0)),"")</f>
        <v>Exploração, Refino e Distribuição</v>
      </c>
      <c r="F165" s="47">
        <f>IFERROR(__xludf.DUMMYFUNCTION("IFERROR((GOOGLEFINANCE(A165)),"""")"),5.27)</f>
        <v>5.27</v>
      </c>
      <c r="G165" s="48" t="str">
        <f>IFERROR(__xludf.DUMMYFUNCTION("IFERROR((sparkline(GOOGLEFINANCE($A165,""price"",TODAY()-30,TODAY(),""DAILY""),{""charttype"",""line"";""linewidth"",1;""color"",""#5f88cc""})),"""")"),"")</f>
        <v/>
      </c>
      <c r="H165" s="49">
        <f>IFERROR(__xludf.DUMMYFUNCTION("IFERROR((((GOOGLEFINANCE(A165))-(INDEX(GoogleFinance(A165,""PRICE"",$AQ$1),2,2)))/(INDEX(GoogleFinance(A165,""PRICE"",$AQ$1),2,2))),"""")"),-0.0818815331010454)</f>
        <v>-0.0818815331</v>
      </c>
      <c r="I165" s="47">
        <f>IFERROR(__xludf.DUMMYFUNCTION("IFERROR((GOOGLEFINANCE($A165,""high52"")),"""")"),6.56)</f>
        <v>6.56</v>
      </c>
      <c r="J165" s="48" t="str">
        <f>IFERROR(__xludf.DUMMYFUNCTION("IFERROR((sparkline(GOOGLEFINANCE($A165,""price"",TODAY()-365,TODAY(),""DAILY""),{""charttype"",""line"";""linewidth"",1;""color"",""#5f88cc""})),"""")"),"")</f>
        <v/>
      </c>
      <c r="K165" s="50">
        <f>IFERROR(__xludf.DUMMYFUNCTION("IFERROR((((GOOGLEFINANCE(A165))-(INDEX(GoogleFinance(A165,""PRICE"",$AP$1),2,2)))/(INDEX(GoogleFinance(A165,""PRICE"",$AP$1),2,2))),"""")"),-0.01679104477611954)</f>
        <v>-0.01679104478</v>
      </c>
      <c r="L165" s="51">
        <f t="shared" si="1"/>
        <v>-0.1966463415</v>
      </c>
      <c r="M165" s="52">
        <f>IFERROR((VLOOKUP($A165,'Dados StatusInvest'!$A:$AZ,COLUMN(M165)-$A$5,0)*VLOOKUP($A165,'Dados StatusInvest'!$A:$AZ,2,0)/$F165/100),0)</f>
        <v>0.2962347249</v>
      </c>
      <c r="N165" s="53">
        <f>IFERROR((VLOOKUP($A165,'Dados StatusInvest'!$A:$AZ,COLUMN(N165)-$A$5,0)/VLOOKUP($A165,'Dados StatusInvest'!$A:$AZ,2,0)*$F165),"")</f>
        <v>13.63476548</v>
      </c>
      <c r="O165" s="53">
        <f>IFERROR((VLOOKUP($A165,'Dados StatusInvest'!$A:$AZ,COLUMN(O165)-$A$5,0)/VLOOKUP($A165,'Dados StatusInvest'!$A:$AZ,2,0)*$F165),0)</f>
        <v>5.507298311</v>
      </c>
      <c r="P165" s="54">
        <f>IFERROR((VLOOKUP($A165,'Dados StatusInvest'!$A:$AZ,COLUMN(P165)-$A$5,0)/VLOOKUP($A165,'Dados StatusInvest'!$A:$AZ,2,0)*$F165),0)</f>
        <v>4.686641651</v>
      </c>
      <c r="Q165" s="55">
        <f>IFERROR((VLOOKUP($A165,'Dados StatusInvest'!$A:$AZ,COLUMN(Q165)-$A$5,0)/100),0)</f>
        <v>-0.0083</v>
      </c>
      <c r="R165" s="56">
        <f>VLOOKUP($A165,'Dados StatusInvest'!$A:$AZ,COLUMN(R165)-$A$5,0)</f>
        <v>-0.43</v>
      </c>
      <c r="S165" s="56">
        <f>IFERROR((VLOOKUP($A165,'Dados StatusInvest'!$A:$AZ,COLUMN(S165)-$A$5,0)),0)</f>
        <v>1.63</v>
      </c>
      <c r="T165" s="53">
        <f>IFERROR((VLOOKUP($A165,'Dados StatusInvest'!$A:$AZ,COLUMN(T165)-$A$5,0)/VLOOKUP($A165,'Dados StatusInvest'!$A:$AZ,2,0)*$F165),0)</f>
        <v>3.411163227</v>
      </c>
      <c r="U165" s="53">
        <f>IFERROR((VLOOKUP($A165,'Dados StatusInvest'!$A:$AZ,COLUMN(U165)-$A$5,0)-VLOOKUP($A165,'Dados StatusInvest'!$A:$AZ,COLUMN(U165)-$A$5-1,0)+T165),0)</f>
        <v>-1.528836773</v>
      </c>
      <c r="V165" s="56">
        <f>IFERROR((VLOOKUP($A165,'Dados StatusInvest'!$A:$AZ,COLUMN(V165)-$A$5,0)),0)</f>
        <v>2.02</v>
      </c>
      <c r="W165" s="56">
        <f>IFERROR((VLOOKUP($A165,'Dados StatusInvest'!$A:$AZ,COLUMN(W165)-$A$5,0)),0)</f>
        <v>24.47</v>
      </c>
      <c r="X165" s="53">
        <f>IFERROR((VLOOKUP($A165,'Dados StatusInvest'!$A:$AZ,COLUMN(X165)-$A$5,0)/VLOOKUP($A165,'Dados StatusInvest'!$A:$AZ,2,0)*$F165),0)</f>
        <v>6.723452158</v>
      </c>
      <c r="Y165" s="54">
        <f>IFERROR((VLOOKUP($A165,'Dados StatusInvest'!$A:$AZ,COLUMN(Y165)-$A$5,0)/VLOOKUP($A165,'Dados StatusInvest'!$A:$AZ,2,0)*$F165),0)</f>
        <v>19.15195122</v>
      </c>
      <c r="Z165" s="56">
        <f>IFERROR((VLOOKUP($A165,'Dados StatusInvest'!$A:$AZ,COLUMN(Z165)-$A$5,0)),0)</f>
        <v>0.28</v>
      </c>
      <c r="AA165" s="57">
        <f>IFERROR((VLOOKUP($A165,'Dados StatusInvest'!$A:$AZ,COLUMN(AA165)-$A$5,0)),0)</f>
        <v>0.72</v>
      </c>
      <c r="AB165" s="57">
        <f>IFERROR((VLOOKUP($A165,'Dados StatusInvest'!$A:$AZ,COLUMN(AB165)-$A$5,0)),0)</f>
        <v>0.49</v>
      </c>
      <c r="AC165" s="58">
        <f>IFERROR((VLOOKUP($A165,'Dados StatusInvest'!$A:$AZ,COLUMN(AC165)-$A$5,0)),0)</f>
        <v>7.57</v>
      </c>
      <c r="AD165" s="57">
        <f>IFERROR((VLOOKUP($A165,'Dados StatusInvest'!$A:$AZ,COLUMN(AD165)-$A$5,0)),0)</f>
        <v>-7.58</v>
      </c>
      <c r="AE165" s="56">
        <f>IFERROR((VLOOKUP($A165,'Dados StatusInvest'!$A:$AZ,COLUMN(AE165)-$A$5,0)),0)</f>
        <v>46805200</v>
      </c>
      <c r="AF165" s="56">
        <f>IFERROR((VLOOKUP($A165,'Dados StatusInvest'!$A:$AZ,COLUMN(AF165)-$A$5,0)),0)</f>
        <v>1.84</v>
      </c>
      <c r="AG165" s="56">
        <f>IFERROR((VLOOKUP($A165,'Dados StatusInvest'!$A:$AZ,COLUMN(AG165)-$A$5,0)),0)</f>
        <v>0.45</v>
      </c>
      <c r="AH165" s="56">
        <f>IFERROR((VLOOKUP($A165,'Dados StatusInvest'!$A:$AZ,COLUMN(AH165)-$A$5,0)),0)</f>
        <v>-0.33</v>
      </c>
      <c r="AI165" s="57">
        <f>IFERROR((VLOOKUP($A165,'Dados StatusInvest'!$A:$AZ,COLUMN(AI165)-$A$5,0)),0)</f>
        <v>29236855991</v>
      </c>
      <c r="AJ165" s="59" t="str">
        <f>IFERROR((VLOOKUP($A165,'Dados StatusInvest'!$A:$AZ,COLUMN(AJ165)-$A$5,0)),0)</f>
        <v/>
      </c>
      <c r="AK165" s="60">
        <f>IFERROR(__xludf.DUMMYFUNCTION("IFERROR(GOOGLEFINANCE($A165,""high""),"""")"),5.31)</f>
        <v>5.31</v>
      </c>
      <c r="AL165" s="60">
        <f>IFERROR(__xludf.DUMMYFUNCTION("IFERROR(GOOGLEFINANCE($A165,""low""),"""")"),5.25)</f>
        <v>5.25</v>
      </c>
      <c r="AM165" s="61">
        <f t="shared" si="2"/>
        <v>0.01142857143</v>
      </c>
      <c r="AN165" s="62">
        <f>IFERROR(__xludf.DUMMYFUNCTION("IFERROR((GOOGLEFINANCE($A165,""volume"")),0)"),517000.0)</f>
        <v>517000</v>
      </c>
      <c r="AO165" s="60">
        <f>IFERROR(__xludf.DUMMYFUNCTION("IFERROR((GOOGLEFINANCE($A165,""closeyest"")),"""")"),5.33)</f>
        <v>5.33</v>
      </c>
      <c r="AP165" s="60">
        <f>IFERROR(__xludf.DUMMYFUNCTION("IFERROR((GOOGLEFINANCE($A165,""shares"")),"""")"),5.485338835E9)</f>
        <v>5485338835</v>
      </c>
      <c r="AQ165" s="18"/>
    </row>
    <row r="166">
      <c r="A166" s="45" t="str">
        <f>'Dados StatusInvest'!A161:A780</f>
        <v>CMSA3</v>
      </c>
      <c r="B166" s="46" t="str">
        <f>IFERROR(__xludf.DUMMYFUNCTION("IFERROR((GOOGLEFINANCE(A166,""name"")),"""")"),"")</f>
        <v/>
      </c>
      <c r="C166" s="46" t="str">
        <f>IFERROR((VLOOKUP(LEFT($A166,4),Setor!$A:$E,3,0)),"")</f>
        <v>Outros</v>
      </c>
      <c r="D166" s="46" t="str">
        <f>IFERROR((VLOOKUP(LEFT($A166,4),Setor!$A:$E,4,0)),"")</f>
        <v>Outros</v>
      </c>
      <c r="E166" s="46" t="str">
        <f>IFERROR((VLOOKUP(LEFT($A166,4),Setor!$A:$E,5,0)),"")</f>
        <v>Outros</v>
      </c>
      <c r="F166" s="47" t="str">
        <f>IFERROR(__xludf.DUMMYFUNCTION("IFERROR((GOOGLEFINANCE(A166)),"""")"),"")</f>
        <v/>
      </c>
      <c r="G166" s="48" t="str">
        <f>IFERROR(__xludf.DUMMYFUNCTION("IFERROR((sparkline(GOOGLEFINANCE($A166,""price"",TODAY()-30,TODAY(),""DAILY""),{""charttype"",""line"";""linewidth"",1;""color"",""#5f88cc""})),"""")"),"")</f>
        <v/>
      </c>
      <c r="H166" s="49" t="str">
        <f>IFERROR(__xludf.DUMMYFUNCTION("IFERROR((((GOOGLEFINANCE(A166))-(INDEX(GoogleFinance(A166,""PRICE"",$AQ$1),2,2)))/(INDEX(GoogleFinance(A166,""PRICE"",$AQ$1),2,2))),"""")"),"")</f>
        <v/>
      </c>
      <c r="I166" s="47" t="str">
        <f>IFERROR(__xludf.DUMMYFUNCTION("IFERROR((GOOGLEFINANCE($A166,""high52"")),"""")"),"")</f>
        <v/>
      </c>
      <c r="J166" s="48" t="str">
        <f>IFERROR(__xludf.DUMMYFUNCTION("IFERROR((sparkline(GOOGLEFINANCE($A166,""price"",TODAY()-365,TODAY(),""DAILY""),{""charttype"",""line"";""linewidth"",1;""color"",""#5f88cc""})),"""")"),"")</f>
        <v/>
      </c>
      <c r="K166" s="50" t="str">
        <f>IFERROR(__xludf.DUMMYFUNCTION("IFERROR((((GOOGLEFINANCE(A166))-(INDEX(GoogleFinance(A166,""PRICE"",$AP$1),2,2)))/(INDEX(GoogleFinance(A166,""PRICE"",$AP$1),2,2))),"""")"),"")</f>
        <v/>
      </c>
      <c r="L166" s="51">
        <f t="shared" si="1"/>
        <v>0</v>
      </c>
      <c r="M166" s="52">
        <f>IFERROR((VLOOKUP($A166,'Dados StatusInvest'!$A:$AZ,COLUMN(M166)-$A$5,0)*VLOOKUP($A166,'Dados StatusInvest'!$A:$AZ,2,0)/$F166/100),0)</f>
        <v>0</v>
      </c>
      <c r="N166" s="53" t="str">
        <f>IFERROR((VLOOKUP($A166,'Dados StatusInvest'!$A:$AZ,COLUMN(N166)-$A$5,0)/VLOOKUP($A166,'Dados StatusInvest'!$A:$AZ,2,0)*$F166),"")</f>
        <v/>
      </c>
      <c r="O166" s="53">
        <f>IFERROR((VLOOKUP($A166,'Dados StatusInvest'!$A:$AZ,COLUMN(O166)-$A$5,0)/VLOOKUP($A166,'Dados StatusInvest'!$A:$AZ,2,0)*$F166),0)</f>
        <v>0</v>
      </c>
      <c r="P166" s="54">
        <f>IFERROR((VLOOKUP($A166,'Dados StatusInvest'!$A:$AZ,COLUMN(P166)-$A$5,0)/VLOOKUP($A166,'Dados StatusInvest'!$A:$AZ,2,0)*$F166),0)</f>
        <v>0</v>
      </c>
      <c r="Q166" s="55">
        <f>IFERROR((VLOOKUP($A166,'Dados StatusInvest'!$A:$AZ,COLUMN(Q166)-$A$5,0)/100),0)</f>
        <v>0.0007</v>
      </c>
      <c r="R166" s="56">
        <f>VLOOKUP($A166,'Dados StatusInvest'!$A:$AZ,COLUMN(R166)-$A$5,0)</f>
        <v>-0.96</v>
      </c>
      <c r="S166" s="56">
        <f>IFERROR((VLOOKUP($A166,'Dados StatusInvest'!$A:$AZ,COLUMN(S166)-$A$5,0)),0)</f>
        <v>0</v>
      </c>
      <c r="T166" s="53">
        <f>IFERROR((VLOOKUP($A166,'Dados StatusInvest'!$A:$AZ,COLUMN(T166)-$A$5,0)/VLOOKUP($A166,'Dados StatusInvest'!$A:$AZ,2,0)*$F166),0)</f>
        <v>0</v>
      </c>
      <c r="U166" s="53">
        <f>IFERROR((VLOOKUP($A166,'Dados StatusInvest'!$A:$AZ,COLUMN(U166)-$A$5,0)-VLOOKUP($A166,'Dados StatusInvest'!$A:$AZ,COLUMN(U166)-$A$5-1,0)+T166),0)</f>
        <v>0</v>
      </c>
      <c r="V166" s="56">
        <f>IFERROR((VLOOKUP($A166,'Dados StatusInvest'!$A:$AZ,COLUMN(V166)-$A$5,0)),0)</f>
        <v>38.28</v>
      </c>
      <c r="W166" s="56">
        <f>IFERROR((VLOOKUP($A166,'Dados StatusInvest'!$A:$AZ,COLUMN(W166)-$A$5,0)),0)</f>
        <v>-1369.84</v>
      </c>
      <c r="X166" s="53">
        <f>IFERROR((VLOOKUP($A166,'Dados StatusInvest'!$A:$AZ,COLUMN(X166)-$A$5,0)/VLOOKUP($A166,'Dados StatusInvest'!$A:$AZ,2,0)*$F166),0)</f>
        <v>0</v>
      </c>
      <c r="Y166" s="54">
        <f>IFERROR((VLOOKUP($A166,'Dados StatusInvest'!$A:$AZ,COLUMN(Y166)-$A$5,0)/VLOOKUP($A166,'Dados StatusInvest'!$A:$AZ,2,0)*$F166),0)</f>
        <v>0</v>
      </c>
      <c r="Z166" s="56">
        <f>IFERROR((VLOOKUP($A166,'Dados StatusInvest'!$A:$AZ,COLUMN(Z166)-$A$5,0)),0)</f>
        <v>0.98</v>
      </c>
      <c r="AA166" s="57">
        <f>IFERROR((VLOOKUP($A166,'Dados StatusInvest'!$A:$AZ,COLUMN(AA166)-$A$5,0)),0)</f>
        <v>0.02</v>
      </c>
      <c r="AB166" s="57">
        <f>IFERROR((VLOOKUP($A166,'Dados StatusInvest'!$A:$AZ,COLUMN(AB166)-$A$5,0)),0)</f>
        <v>0</v>
      </c>
      <c r="AC166" s="58">
        <f>IFERROR((VLOOKUP($A166,'Dados StatusInvest'!$A:$AZ,COLUMN(AC166)-$A$5,0)),0)</f>
        <v>0</v>
      </c>
      <c r="AD166" s="57">
        <f>IFERROR((VLOOKUP($A166,'Dados StatusInvest'!$A:$AZ,COLUMN(AD166)-$A$5,0)),0)</f>
        <v>0</v>
      </c>
      <c r="AE166" s="56">
        <f>IFERROR((VLOOKUP($A166,'Dados StatusInvest'!$A:$AZ,COLUMN(AE166)-$A$5,0)),0)</f>
        <v>0</v>
      </c>
      <c r="AF166" s="56">
        <f>IFERROR((VLOOKUP($A166,'Dados StatusInvest'!$A:$AZ,COLUMN(AF166)-$A$5,0)),0)</f>
        <v>0</v>
      </c>
      <c r="AG166" s="56">
        <f>IFERROR((VLOOKUP($A166,'Dados StatusInvest'!$A:$AZ,COLUMN(AG166)-$A$5,0)),0)</f>
        <v>0</v>
      </c>
      <c r="AH166" s="56">
        <f>IFERROR((VLOOKUP($A166,'Dados StatusInvest'!$A:$AZ,COLUMN(AH166)-$A$5,0)),0)</f>
        <v>0</v>
      </c>
      <c r="AI166" s="57">
        <f>IFERROR((VLOOKUP($A166,'Dados StatusInvest'!$A:$AZ,COLUMN(AI166)-$A$5,0)),0)</f>
        <v>0</v>
      </c>
      <c r="AJ166" s="59" t="str">
        <f>IFERROR((VLOOKUP($A166,'Dados StatusInvest'!$A:$AZ,COLUMN(AJ166)-$A$5,0)),0)</f>
        <v/>
      </c>
      <c r="AK166" s="60" t="str">
        <f>IFERROR(__xludf.DUMMYFUNCTION("IFERROR(GOOGLEFINANCE($A166,""high""),"""")"),"")</f>
        <v/>
      </c>
      <c r="AL166" s="60" t="str">
        <f>IFERROR(__xludf.DUMMYFUNCTION("IFERROR(GOOGLEFINANCE($A166,""low""),"""")"),"")</f>
        <v/>
      </c>
      <c r="AM166" s="61">
        <f t="shared" si="2"/>
        <v>0</v>
      </c>
      <c r="AN166" s="62">
        <f>IFERROR(__xludf.DUMMYFUNCTION("IFERROR((GOOGLEFINANCE($A166,""volume"")),0)"),0.0)</f>
        <v>0</v>
      </c>
      <c r="AO166" s="60" t="str">
        <f>IFERROR(__xludf.DUMMYFUNCTION("IFERROR((GOOGLEFINANCE($A166,""closeyest"")),"""")"),"")</f>
        <v/>
      </c>
      <c r="AP166" s="60" t="str">
        <f>IFERROR(__xludf.DUMMYFUNCTION("IFERROR((GOOGLEFINANCE($A166,""shares"")),"""")"),"")</f>
        <v/>
      </c>
      <c r="AQ166" s="18"/>
    </row>
    <row r="167">
      <c r="A167" s="45" t="str">
        <f>'Dados StatusInvest'!A162:A781</f>
        <v>CMSA4</v>
      </c>
      <c r="B167" s="46" t="str">
        <f>IFERROR(__xludf.DUMMYFUNCTION("IFERROR((GOOGLEFINANCE(A167,""name"")),"""")"),"")</f>
        <v/>
      </c>
      <c r="C167" s="46" t="str">
        <f>IFERROR((VLOOKUP(LEFT($A167,4),Setor!$A:$E,3,0)),"")</f>
        <v>Outros</v>
      </c>
      <c r="D167" s="46" t="str">
        <f>IFERROR((VLOOKUP(LEFT($A167,4),Setor!$A:$E,4,0)),"")</f>
        <v>Outros</v>
      </c>
      <c r="E167" s="46" t="str">
        <f>IFERROR((VLOOKUP(LEFT($A167,4),Setor!$A:$E,5,0)),"")</f>
        <v>Outros</v>
      </c>
      <c r="F167" s="47" t="str">
        <f>IFERROR(__xludf.DUMMYFUNCTION("IFERROR((GOOGLEFINANCE(A167)),"""")"),"")</f>
        <v/>
      </c>
      <c r="G167" s="48" t="str">
        <f>IFERROR(__xludf.DUMMYFUNCTION("IFERROR((sparkline(GOOGLEFINANCE($A167,""price"",TODAY()-30,TODAY(),""DAILY""),{""charttype"",""line"";""linewidth"",1;""color"",""#5f88cc""})),"""")"),"")</f>
        <v/>
      </c>
      <c r="H167" s="49" t="str">
        <f>IFERROR(__xludf.DUMMYFUNCTION("IFERROR((((GOOGLEFINANCE(A167))-(INDEX(GoogleFinance(A167,""PRICE"",$AQ$1),2,2)))/(INDEX(GoogleFinance(A167,""PRICE"",$AQ$1),2,2))),"""")"),"")</f>
        <v/>
      </c>
      <c r="I167" s="47" t="str">
        <f>IFERROR(__xludf.DUMMYFUNCTION("IFERROR((GOOGLEFINANCE($A167,""high52"")),"""")"),"")</f>
        <v/>
      </c>
      <c r="J167" s="48" t="str">
        <f>IFERROR(__xludf.DUMMYFUNCTION("IFERROR((sparkline(GOOGLEFINANCE($A167,""price"",TODAY()-365,TODAY(),""DAILY""),{""charttype"",""line"";""linewidth"",1;""color"",""#5f88cc""})),"""")"),"")</f>
        <v/>
      </c>
      <c r="K167" s="50" t="str">
        <f>IFERROR(__xludf.DUMMYFUNCTION("IFERROR((((GOOGLEFINANCE(A167))-(INDEX(GoogleFinance(A167,""PRICE"",$AP$1),2,2)))/(INDEX(GoogleFinance(A167,""PRICE"",$AP$1),2,2))),"""")"),"")</f>
        <v/>
      </c>
      <c r="L167" s="51">
        <f t="shared" si="1"/>
        <v>0</v>
      </c>
      <c r="M167" s="52">
        <f>IFERROR((VLOOKUP($A167,'Dados StatusInvest'!$A:$AZ,COLUMN(M167)-$A$5,0)*VLOOKUP($A167,'Dados StatusInvest'!$A:$AZ,2,0)/$F167/100),0)</f>
        <v>0</v>
      </c>
      <c r="N167" s="53" t="str">
        <f>IFERROR((VLOOKUP($A167,'Dados StatusInvest'!$A:$AZ,COLUMN(N167)-$A$5,0)/VLOOKUP($A167,'Dados StatusInvest'!$A:$AZ,2,0)*$F167),"")</f>
        <v/>
      </c>
      <c r="O167" s="53">
        <f>IFERROR((VLOOKUP($A167,'Dados StatusInvest'!$A:$AZ,COLUMN(O167)-$A$5,0)/VLOOKUP($A167,'Dados StatusInvest'!$A:$AZ,2,0)*$F167),0)</f>
        <v>0</v>
      </c>
      <c r="P167" s="54">
        <f>IFERROR((VLOOKUP($A167,'Dados StatusInvest'!$A:$AZ,COLUMN(P167)-$A$5,0)/VLOOKUP($A167,'Dados StatusInvest'!$A:$AZ,2,0)*$F167),0)</f>
        <v>0</v>
      </c>
      <c r="Q167" s="55">
        <f>IFERROR((VLOOKUP($A167,'Dados StatusInvest'!$A:$AZ,COLUMN(Q167)-$A$5,0)/100),0)</f>
        <v>0.0007</v>
      </c>
      <c r="R167" s="56">
        <f>VLOOKUP($A167,'Dados StatusInvest'!$A:$AZ,COLUMN(R167)-$A$5,0)</f>
        <v>-0.96</v>
      </c>
      <c r="S167" s="56">
        <f>IFERROR((VLOOKUP($A167,'Dados StatusInvest'!$A:$AZ,COLUMN(S167)-$A$5,0)),0)</f>
        <v>0</v>
      </c>
      <c r="T167" s="53">
        <f>IFERROR((VLOOKUP($A167,'Dados StatusInvest'!$A:$AZ,COLUMN(T167)-$A$5,0)/VLOOKUP($A167,'Dados StatusInvest'!$A:$AZ,2,0)*$F167),0)</f>
        <v>0</v>
      </c>
      <c r="U167" s="53">
        <f>IFERROR((VLOOKUP($A167,'Dados StatusInvest'!$A:$AZ,COLUMN(U167)-$A$5,0)-VLOOKUP($A167,'Dados StatusInvest'!$A:$AZ,COLUMN(U167)-$A$5-1,0)+T167),0)</f>
        <v>0</v>
      </c>
      <c r="V167" s="56">
        <f>IFERROR((VLOOKUP($A167,'Dados StatusInvest'!$A:$AZ,COLUMN(V167)-$A$5,0)),0)</f>
        <v>38.28</v>
      </c>
      <c r="W167" s="56">
        <f>IFERROR((VLOOKUP($A167,'Dados StatusInvest'!$A:$AZ,COLUMN(W167)-$A$5,0)),0)</f>
        <v>-1369.84</v>
      </c>
      <c r="X167" s="53">
        <f>IFERROR((VLOOKUP($A167,'Dados StatusInvest'!$A:$AZ,COLUMN(X167)-$A$5,0)/VLOOKUP($A167,'Dados StatusInvest'!$A:$AZ,2,0)*$F167),0)</f>
        <v>0</v>
      </c>
      <c r="Y167" s="54">
        <f>IFERROR((VLOOKUP($A167,'Dados StatusInvest'!$A:$AZ,COLUMN(Y167)-$A$5,0)/VLOOKUP($A167,'Dados StatusInvest'!$A:$AZ,2,0)*$F167),0)</f>
        <v>0</v>
      </c>
      <c r="Z167" s="56">
        <f>IFERROR((VLOOKUP($A167,'Dados StatusInvest'!$A:$AZ,COLUMN(Z167)-$A$5,0)),0)</f>
        <v>0.98</v>
      </c>
      <c r="AA167" s="57">
        <f>IFERROR((VLOOKUP($A167,'Dados StatusInvest'!$A:$AZ,COLUMN(AA167)-$A$5,0)),0)</f>
        <v>0.02</v>
      </c>
      <c r="AB167" s="57">
        <f>IFERROR((VLOOKUP($A167,'Dados StatusInvest'!$A:$AZ,COLUMN(AB167)-$A$5,0)),0)</f>
        <v>0</v>
      </c>
      <c r="AC167" s="58">
        <f>IFERROR((VLOOKUP($A167,'Dados StatusInvest'!$A:$AZ,COLUMN(AC167)-$A$5,0)),0)</f>
        <v>0</v>
      </c>
      <c r="AD167" s="57">
        <f>IFERROR((VLOOKUP($A167,'Dados StatusInvest'!$A:$AZ,COLUMN(AD167)-$A$5,0)),0)</f>
        <v>0</v>
      </c>
      <c r="AE167" s="56">
        <f>IFERROR((VLOOKUP($A167,'Dados StatusInvest'!$A:$AZ,COLUMN(AE167)-$A$5,0)),0)</f>
        <v>0</v>
      </c>
      <c r="AF167" s="56">
        <f>IFERROR((VLOOKUP($A167,'Dados StatusInvest'!$A:$AZ,COLUMN(AF167)-$A$5,0)),0)</f>
        <v>0</v>
      </c>
      <c r="AG167" s="56">
        <f>IFERROR((VLOOKUP($A167,'Dados StatusInvest'!$A:$AZ,COLUMN(AG167)-$A$5,0)),0)</f>
        <v>0</v>
      </c>
      <c r="AH167" s="56">
        <f>IFERROR((VLOOKUP($A167,'Dados StatusInvest'!$A:$AZ,COLUMN(AH167)-$A$5,0)),0)</f>
        <v>0</v>
      </c>
      <c r="AI167" s="57">
        <f>IFERROR((VLOOKUP($A167,'Dados StatusInvest'!$A:$AZ,COLUMN(AI167)-$A$5,0)),0)</f>
        <v>0</v>
      </c>
      <c r="AJ167" s="59" t="str">
        <f>IFERROR((VLOOKUP($A167,'Dados StatusInvest'!$A:$AZ,COLUMN(AJ167)-$A$5,0)),0)</f>
        <v/>
      </c>
      <c r="AK167" s="60" t="str">
        <f>IFERROR(__xludf.DUMMYFUNCTION("IFERROR(GOOGLEFINANCE($A167,""high""),"""")"),"")</f>
        <v/>
      </c>
      <c r="AL167" s="60" t="str">
        <f>IFERROR(__xludf.DUMMYFUNCTION("IFERROR(GOOGLEFINANCE($A167,""low""),"""")"),"")</f>
        <v/>
      </c>
      <c r="AM167" s="61">
        <f t="shared" si="2"/>
        <v>0</v>
      </c>
      <c r="AN167" s="62">
        <f>IFERROR(__xludf.DUMMYFUNCTION("IFERROR((GOOGLEFINANCE($A167,""volume"")),0)"),0.0)</f>
        <v>0</v>
      </c>
      <c r="AO167" s="60" t="str">
        <f>IFERROR(__xludf.DUMMYFUNCTION("IFERROR((GOOGLEFINANCE($A167,""closeyest"")),"""")"),"")</f>
        <v/>
      </c>
      <c r="AP167" s="60" t="str">
        <f>IFERROR(__xludf.DUMMYFUNCTION("IFERROR((GOOGLEFINANCE($A167,""shares"")),"""")"),"")</f>
        <v/>
      </c>
      <c r="AQ167" s="18"/>
    </row>
    <row r="168">
      <c r="A168" s="45" t="str">
        <f>'Dados StatusInvest'!A163:A782</f>
        <v>CNSY3</v>
      </c>
      <c r="B168" s="46" t="str">
        <f>IFERROR(__xludf.DUMMYFUNCTION("IFERROR((GOOGLEFINANCE(A168,""name"")),"""")"),"")</f>
        <v/>
      </c>
      <c r="C168" s="46" t="str">
        <f>IFERROR((VLOOKUP(LEFT($A168,4),Setor!$A:$E,3,0)),"")</f>
        <v>Comunicações</v>
      </c>
      <c r="D168" s="46" t="str">
        <f>IFERROR((VLOOKUP(LEFT($A168,4),Setor!$A:$E,4,0)),"")</f>
        <v>Mídia</v>
      </c>
      <c r="E168" s="46" t="str">
        <f>IFERROR((VLOOKUP(LEFT($A168,4),Setor!$A:$E,5,0)),"")</f>
        <v>Produção e Difusão de Filmes e Programas</v>
      </c>
      <c r="F168" s="47" t="str">
        <f>IFERROR(__xludf.DUMMYFUNCTION("IFERROR((GOOGLEFINANCE(A168)),"""")"),"")</f>
        <v/>
      </c>
      <c r="G168" s="48" t="str">
        <f>IFERROR(__xludf.DUMMYFUNCTION("IFERROR((sparkline(GOOGLEFINANCE($A168,""price"",TODAY()-30,TODAY(),""DAILY""),{""charttype"",""line"";""linewidth"",1;""color"",""#5f88cc""})),"""")"),"")</f>
        <v/>
      </c>
      <c r="H168" s="49" t="str">
        <f>IFERROR(__xludf.DUMMYFUNCTION("IFERROR((((GOOGLEFINANCE(A168))-(INDEX(GoogleFinance(A168,""PRICE"",$AQ$1),2,2)))/(INDEX(GoogleFinance(A168,""PRICE"",$AQ$1),2,2))),"""")"),"")</f>
        <v/>
      </c>
      <c r="I168" s="47" t="str">
        <f>IFERROR(__xludf.DUMMYFUNCTION("IFERROR((GOOGLEFINANCE($A168,""high52"")),"""")"),"")</f>
        <v/>
      </c>
      <c r="J168" s="48" t="str">
        <f>IFERROR(__xludf.DUMMYFUNCTION("IFERROR((sparkline(GOOGLEFINANCE($A168,""price"",TODAY()-365,TODAY(),""DAILY""),{""charttype"",""line"";""linewidth"",1;""color"",""#5f88cc""})),"""")"),"")</f>
        <v/>
      </c>
      <c r="K168" s="50" t="str">
        <f>IFERROR(__xludf.DUMMYFUNCTION("IFERROR((((GOOGLEFINANCE(A168))-(INDEX(GoogleFinance(A168,""PRICE"",$AP$1),2,2)))/(INDEX(GoogleFinance(A168,""PRICE"",$AP$1),2,2))),"""")"),"")</f>
        <v/>
      </c>
      <c r="L168" s="51">
        <f t="shared" si="1"/>
        <v>0</v>
      </c>
      <c r="M168" s="52">
        <f>IFERROR((VLOOKUP($A168,'Dados StatusInvest'!$A:$AZ,COLUMN(M168)-$A$5,0)*VLOOKUP($A168,'Dados StatusInvest'!$A:$AZ,2,0)/$F168/100),0)</f>
        <v>0</v>
      </c>
      <c r="N168" s="53">
        <f>IFERROR((VLOOKUP($A168,'Dados StatusInvest'!$A:$AZ,COLUMN(N168)-$A$5,0)/VLOOKUP($A168,'Dados StatusInvest'!$A:$AZ,2,0)*$F168),"")</f>
        <v>0</v>
      </c>
      <c r="O168" s="53">
        <f>IFERROR((VLOOKUP($A168,'Dados StatusInvest'!$A:$AZ,COLUMN(O168)-$A$5,0)/VLOOKUP($A168,'Dados StatusInvest'!$A:$AZ,2,0)*$F168),0)</f>
        <v>0</v>
      </c>
      <c r="P168" s="54">
        <f>IFERROR((VLOOKUP($A168,'Dados StatusInvest'!$A:$AZ,COLUMN(P168)-$A$5,0)/VLOOKUP($A168,'Dados StatusInvest'!$A:$AZ,2,0)*$F168),0)</f>
        <v>0</v>
      </c>
      <c r="Q168" s="55">
        <f>IFERROR((VLOOKUP($A168,'Dados StatusInvest'!$A:$AZ,COLUMN(Q168)-$A$5,0)/100),0)</f>
        <v>0.1608</v>
      </c>
      <c r="R168" s="56">
        <f>VLOOKUP($A168,'Dados StatusInvest'!$A:$AZ,COLUMN(R168)-$A$5,0)</f>
        <v>0</v>
      </c>
      <c r="S168" s="56">
        <f>IFERROR((VLOOKUP($A168,'Dados StatusInvest'!$A:$AZ,COLUMN(S168)-$A$5,0)),0)</f>
        <v>6.65</v>
      </c>
      <c r="T168" s="53">
        <f>IFERROR((VLOOKUP($A168,'Dados StatusInvest'!$A:$AZ,COLUMN(T168)-$A$5,0)/VLOOKUP($A168,'Dados StatusInvest'!$A:$AZ,2,0)*$F168),0)</f>
        <v>0</v>
      </c>
      <c r="U168" s="53">
        <f>IFERROR((VLOOKUP($A168,'Dados StatusInvest'!$A:$AZ,COLUMN(U168)-$A$5,0)-VLOOKUP($A168,'Dados StatusInvest'!$A:$AZ,COLUMN(U168)-$A$5-1,0)+T168),0)</f>
        <v>22.43</v>
      </c>
      <c r="V168" s="56">
        <f>IFERROR((VLOOKUP($A168,'Dados StatusInvest'!$A:$AZ,COLUMN(V168)-$A$5,0)),0)</f>
        <v>0.41</v>
      </c>
      <c r="W168" s="56">
        <f>IFERROR((VLOOKUP($A168,'Dados StatusInvest'!$A:$AZ,COLUMN(W168)-$A$5,0)),0)</f>
        <v>-27.56</v>
      </c>
      <c r="X168" s="53">
        <f>IFERROR((VLOOKUP($A168,'Dados StatusInvest'!$A:$AZ,COLUMN(X168)-$A$5,0)/VLOOKUP($A168,'Dados StatusInvest'!$A:$AZ,2,0)*$F168),0)</f>
        <v>0</v>
      </c>
      <c r="Y168" s="54">
        <f>IFERROR((VLOOKUP($A168,'Dados StatusInvest'!$A:$AZ,COLUMN(Y168)-$A$5,0)/VLOOKUP($A168,'Dados StatusInvest'!$A:$AZ,2,0)*$F168),0)</f>
        <v>0</v>
      </c>
      <c r="Z168" s="56">
        <f>IFERROR((VLOOKUP($A168,'Dados StatusInvest'!$A:$AZ,COLUMN(Z168)-$A$5,0)),0)</f>
        <v>-0.23</v>
      </c>
      <c r="AA168" s="57">
        <f>IFERROR((VLOOKUP($A168,'Dados StatusInvest'!$A:$AZ,COLUMN(AA168)-$A$5,0)),0)</f>
        <v>1.23</v>
      </c>
      <c r="AB168" s="57">
        <f>IFERROR((VLOOKUP($A168,'Dados StatusInvest'!$A:$AZ,COLUMN(AB168)-$A$5,0)),0)</f>
        <v>0.81</v>
      </c>
      <c r="AC168" s="58">
        <f>IFERROR((VLOOKUP($A168,'Dados StatusInvest'!$A:$AZ,COLUMN(AC168)-$A$5,0)),0)</f>
        <v>2.97</v>
      </c>
      <c r="AD168" s="57">
        <f>IFERROR((VLOOKUP($A168,'Dados StatusInvest'!$A:$AZ,COLUMN(AD168)-$A$5,0)),0)</f>
        <v>0</v>
      </c>
      <c r="AE168" s="56">
        <f>IFERROR((VLOOKUP($A168,'Dados StatusInvest'!$A:$AZ,COLUMN(AE168)-$A$5,0)),0)</f>
        <v>0</v>
      </c>
      <c r="AF168" s="56">
        <f>IFERROR((VLOOKUP($A168,'Dados StatusInvest'!$A:$AZ,COLUMN(AF168)-$A$5,0)),0)</f>
        <v>-1.27</v>
      </c>
      <c r="AG168" s="56">
        <f>IFERROR((VLOOKUP($A168,'Dados StatusInvest'!$A:$AZ,COLUMN(AG168)-$A$5,0)),0)</f>
        <v>-0.35</v>
      </c>
      <c r="AH168" s="56">
        <f>IFERROR((VLOOKUP($A168,'Dados StatusInvest'!$A:$AZ,COLUMN(AH168)-$A$5,0)),0)</f>
        <v>0.14</v>
      </c>
      <c r="AI168" s="57">
        <f>IFERROR((VLOOKUP($A168,'Dados StatusInvest'!$A:$AZ,COLUMN(AI168)-$A$5,0)),0)</f>
        <v>935885083.9</v>
      </c>
      <c r="AJ168" s="59" t="str">
        <f>IFERROR((VLOOKUP($A168,'Dados StatusInvest'!$A:$AZ,COLUMN(AJ168)-$A$5,0)),0)</f>
        <v/>
      </c>
      <c r="AK168" s="60" t="str">
        <f>IFERROR(__xludf.DUMMYFUNCTION("IFERROR(GOOGLEFINANCE($A168,""high""),"""")"),"")</f>
        <v/>
      </c>
      <c r="AL168" s="60" t="str">
        <f>IFERROR(__xludf.DUMMYFUNCTION("IFERROR(GOOGLEFINANCE($A168,""low""),"""")"),"")</f>
        <v/>
      </c>
      <c r="AM168" s="61">
        <f t="shared" si="2"/>
        <v>0</v>
      </c>
      <c r="AN168" s="62">
        <f>IFERROR(__xludf.DUMMYFUNCTION("IFERROR((GOOGLEFINANCE($A168,""volume"")),0)"),0.0)</f>
        <v>0</v>
      </c>
      <c r="AO168" s="60" t="str">
        <f>IFERROR(__xludf.DUMMYFUNCTION("IFERROR((GOOGLEFINANCE($A168,""closeyest"")),"""")"),"")</f>
        <v/>
      </c>
      <c r="AP168" s="60" t="str">
        <f>IFERROR(__xludf.DUMMYFUNCTION("IFERROR((GOOGLEFINANCE($A168,""shares"")),"""")"),"")</f>
        <v/>
      </c>
      <c r="AQ168" s="18"/>
    </row>
    <row r="169">
      <c r="A169" s="45" t="str">
        <f>'Dados StatusInvest'!A164:A783</f>
        <v>COCE3</v>
      </c>
      <c r="B169" s="46" t="str">
        <f>IFERROR(__xludf.DUMMYFUNCTION("IFERROR((GOOGLEFINANCE(A169,""name"")),"""")"),"Companhia Energetica do Ceara")</f>
        <v>Companhia Energetica do Ceara</v>
      </c>
      <c r="C169" s="46" t="str">
        <f>IFERROR((VLOOKUP(LEFT($A169,4),Setor!$A:$E,3,0)),"")</f>
        <v>Utilidade Pública</v>
      </c>
      <c r="D169" s="46" t="str">
        <f>IFERROR((VLOOKUP(LEFT($A169,4),Setor!$A:$E,4,0)),"")</f>
        <v>Energia Elétrica</v>
      </c>
      <c r="E169" s="46" t="str">
        <f>IFERROR((VLOOKUP(LEFT($A169,4),Setor!$A:$E,5,0)),"")</f>
        <v>Energia Elétrica</v>
      </c>
      <c r="F169" s="47">
        <f>IFERROR(__xludf.DUMMYFUNCTION("IFERROR((GOOGLEFINANCE(A169)),"""")"),38.0)</f>
        <v>38</v>
      </c>
      <c r="G169" s="48" t="str">
        <f>IFERROR(__xludf.DUMMYFUNCTION("IFERROR((sparkline(GOOGLEFINANCE($A169,""price"",TODAY()-30,TODAY(),""DAILY""),{""charttype"",""line"";""linewidth"",1;""color"",""#5f88cc""})),"""")"),"")</f>
        <v/>
      </c>
      <c r="H169" s="49" t="str">
        <f>IFERROR(__xludf.DUMMYFUNCTION("IFERROR((((GOOGLEFINANCE(A169))-(INDEX(GoogleFinance(A169,""PRICE"",$AQ$1),2,2)))/(INDEX(GoogleFinance(A169,""PRICE"",$AQ$1),2,2))),"""")"),"")</f>
        <v/>
      </c>
      <c r="I169" s="47">
        <f>IFERROR(__xludf.DUMMYFUNCTION("IFERROR((GOOGLEFINANCE($A169,""high52"")),"""")"),48.8)</f>
        <v>48.8</v>
      </c>
      <c r="J169" s="48" t="str">
        <f>IFERROR(__xludf.DUMMYFUNCTION("IFERROR((sparkline(GOOGLEFINANCE($A169,""price"",TODAY()-365,TODAY(),""DAILY""),{""charttype"",""line"";""linewidth"",1;""color"",""#5f88cc""})),"""")"),"")</f>
        <v/>
      </c>
      <c r="K169" s="50" t="str">
        <f>IFERROR(__xludf.DUMMYFUNCTION("IFERROR((((GOOGLEFINANCE(A169))-(INDEX(GoogleFinance(A169,""PRICE"",$AP$1),2,2)))/(INDEX(GoogleFinance(A169,""PRICE"",$AP$1),2,2))),"""")"),"")</f>
        <v/>
      </c>
      <c r="L169" s="51">
        <f t="shared" si="1"/>
        <v>-0.2213114754</v>
      </c>
      <c r="M169" s="52">
        <f>IFERROR((VLOOKUP($A169,'Dados StatusInvest'!$A:$AZ,COLUMN(M169)-$A$5,0)*VLOOKUP($A169,'Dados StatusInvest'!$A:$AZ,2,0)/$F169/100),0)</f>
        <v>0.1341</v>
      </c>
      <c r="N169" s="53">
        <f>IFERROR((VLOOKUP($A169,'Dados StatusInvest'!$A:$AZ,COLUMN(N169)-$A$5,0)/VLOOKUP($A169,'Dados StatusInvest'!$A:$AZ,2,0)*$F169),"")</f>
        <v>3.33</v>
      </c>
      <c r="O169" s="53">
        <f>IFERROR((VLOOKUP($A169,'Dados StatusInvest'!$A:$AZ,COLUMN(O169)-$A$5,0)/VLOOKUP($A169,'Dados StatusInvest'!$A:$AZ,2,0)*$F169),0)</f>
        <v>2.77</v>
      </c>
      <c r="P169" s="54">
        <f>IFERROR((VLOOKUP($A169,'Dados StatusInvest'!$A:$AZ,COLUMN(P169)-$A$5,0)/VLOOKUP($A169,'Dados StatusInvest'!$A:$AZ,2,0)*$F169),0)</f>
        <v>7.37</v>
      </c>
      <c r="Q169" s="55">
        <f>IFERROR((VLOOKUP($A169,'Dados StatusInvest'!$A:$AZ,COLUMN(Q169)-$A$5,0)/100),0)</f>
        <v>0.0481</v>
      </c>
      <c r="R169" s="56">
        <f>VLOOKUP($A169,'Dados StatusInvest'!$A:$AZ,COLUMN(R169)-$A$5,0)</f>
        <v>1.09</v>
      </c>
      <c r="S169" s="56">
        <f>IFERROR((VLOOKUP($A169,'Dados StatusInvest'!$A:$AZ,COLUMN(S169)-$A$5,0)),0)</f>
        <v>0.37</v>
      </c>
      <c r="T169" s="53">
        <f>IFERROR((VLOOKUP($A169,'Dados StatusInvest'!$A:$AZ,COLUMN(T169)-$A$5,0)/VLOOKUP($A169,'Dados StatusInvest'!$A:$AZ,2,0)*$F169),0)</f>
        <v>-1.14</v>
      </c>
      <c r="U169" s="53">
        <f>IFERROR((VLOOKUP($A169,'Dados StatusInvest'!$A:$AZ,COLUMN(U169)-$A$5,0)-VLOOKUP($A169,'Dados StatusInvest'!$A:$AZ,COLUMN(U169)-$A$5-1,0)+T169),0)</f>
        <v>-0.26</v>
      </c>
      <c r="V169" s="56">
        <f>IFERROR((VLOOKUP($A169,'Dados StatusInvest'!$A:$AZ,COLUMN(V169)-$A$5,0)),0)</f>
        <v>0.53</v>
      </c>
      <c r="W169" s="56">
        <f>IFERROR((VLOOKUP($A169,'Dados StatusInvest'!$A:$AZ,COLUMN(W169)-$A$5,0)),0)</f>
        <v>5.64</v>
      </c>
      <c r="X169" s="53">
        <f>IFERROR((VLOOKUP($A169,'Dados StatusInvest'!$A:$AZ,COLUMN(X169)-$A$5,0)/VLOOKUP($A169,'Dados StatusInvest'!$A:$AZ,2,0)*$F169),0)</f>
        <v>1.87</v>
      </c>
      <c r="Y169" s="54">
        <f>IFERROR((VLOOKUP($A169,'Dados StatusInvest'!$A:$AZ,COLUMN(Y169)-$A$5,0)/VLOOKUP($A169,'Dados StatusInvest'!$A:$AZ,2,0)*$F169),0)</f>
        <v>9.92</v>
      </c>
      <c r="Z169" s="56">
        <f>IFERROR((VLOOKUP($A169,'Dados StatusInvest'!$A:$AZ,COLUMN(Z169)-$A$5,0)),0)</f>
        <v>0.33</v>
      </c>
      <c r="AA169" s="57">
        <f>IFERROR((VLOOKUP($A169,'Dados StatusInvest'!$A:$AZ,COLUMN(AA169)-$A$5,0)),0)</f>
        <v>0.67</v>
      </c>
      <c r="AB169" s="57">
        <f>IFERROR((VLOOKUP($A169,'Dados StatusInvest'!$A:$AZ,COLUMN(AB169)-$A$5,0)),0)</f>
        <v>0.56</v>
      </c>
      <c r="AC169" s="58">
        <f>IFERROR((VLOOKUP($A169,'Dados StatusInvest'!$A:$AZ,COLUMN(AC169)-$A$5,0)),0)</f>
        <v>9.44</v>
      </c>
      <c r="AD169" s="57">
        <f>IFERROR((VLOOKUP($A169,'Dados StatusInvest'!$A:$AZ,COLUMN(AD169)-$A$5,0)),0)</f>
        <v>-6.19</v>
      </c>
      <c r="AE169" s="56">
        <f>IFERROR((VLOOKUP($A169,'Dados StatusInvest'!$A:$AZ,COLUMN(AE169)-$A$5,0)),0)</f>
        <v>1450.25</v>
      </c>
      <c r="AF169" s="56">
        <f>IFERROR((VLOOKUP($A169,'Dados StatusInvest'!$A:$AZ,COLUMN(AF169)-$A$5,0)),0)</f>
        <v>60.39</v>
      </c>
      <c r="AG169" s="56">
        <f>IFERROR((VLOOKUP($A169,'Dados StatusInvest'!$A:$AZ,COLUMN(AG169)-$A$5,0)),0)</f>
        <v>3.41</v>
      </c>
      <c r="AH169" s="56">
        <f>IFERROR((VLOOKUP($A169,'Dados StatusInvest'!$A:$AZ,COLUMN(AH169)-$A$5,0)),0)</f>
        <v>10.56</v>
      </c>
      <c r="AI169" s="57">
        <f>IFERROR((VLOOKUP($A169,'Dados StatusInvest'!$A:$AZ,COLUMN(AI169)-$A$5,0)),0)</f>
        <v>3023843761</v>
      </c>
      <c r="AJ169" s="59" t="str">
        <f>IFERROR((VLOOKUP($A169,'Dados StatusInvest'!$A:$AZ,COLUMN(AJ169)-$A$5,0)),0)</f>
        <v/>
      </c>
      <c r="AK169" s="60" t="str">
        <f>IFERROR(__xludf.DUMMYFUNCTION("IFERROR(GOOGLEFINANCE($A169,""high""),"""")"),"")</f>
        <v/>
      </c>
      <c r="AL169" s="60" t="str">
        <f>IFERROR(__xludf.DUMMYFUNCTION("IFERROR(GOOGLEFINANCE($A169,""low""),"""")"),"")</f>
        <v/>
      </c>
      <c r="AM169" s="61">
        <f t="shared" si="2"/>
        <v>0</v>
      </c>
      <c r="AN169" s="62">
        <f>IFERROR(__xludf.DUMMYFUNCTION("IFERROR((GOOGLEFINANCE($A169,""volume"")),0)"),0.0)</f>
        <v>0</v>
      </c>
      <c r="AO169" s="60">
        <f>IFERROR(__xludf.DUMMYFUNCTION("IFERROR((GOOGLEFINANCE($A169,""closeyest"")),"""")"),38.0)</f>
        <v>38</v>
      </c>
      <c r="AP169" s="60">
        <f>IFERROR(__xludf.DUMMYFUNCTION("IFERROR((GOOGLEFINANCE($A169,""shares"")),"""")"),5.3402024E7)</f>
        <v>53402024</v>
      </c>
      <c r="AQ169" s="18"/>
    </row>
    <row r="170">
      <c r="A170" s="45" t="str">
        <f>'Dados StatusInvest'!A165:A784</f>
        <v>COCE5</v>
      </c>
      <c r="B170" s="46" t="str">
        <f>IFERROR(__xludf.DUMMYFUNCTION("IFERROR((GOOGLEFINANCE(A170,""name"")),"""")"),"Companhia Energetica do Ceara Preference Shares Class A")</f>
        <v>Companhia Energetica do Ceara Preference Shares Class A</v>
      </c>
      <c r="C170" s="46" t="str">
        <f>IFERROR((VLOOKUP(LEFT($A170,4),Setor!$A:$E,3,0)),"")</f>
        <v>Utilidade Pública</v>
      </c>
      <c r="D170" s="46" t="str">
        <f>IFERROR((VLOOKUP(LEFT($A170,4),Setor!$A:$E,4,0)),"")</f>
        <v>Energia Elétrica</v>
      </c>
      <c r="E170" s="46" t="str">
        <f>IFERROR((VLOOKUP(LEFT($A170,4),Setor!$A:$E,5,0)),"")</f>
        <v>Energia Elétrica</v>
      </c>
      <c r="F170" s="47">
        <f>IFERROR(__xludf.DUMMYFUNCTION("IFERROR((GOOGLEFINANCE(A170)),"""")"),30.98)</f>
        <v>30.98</v>
      </c>
      <c r="G170" s="48" t="str">
        <f>IFERROR(__xludf.DUMMYFUNCTION("IFERROR((sparkline(GOOGLEFINANCE($A170,""price"",TODAY()-30,TODAY(),""DAILY""),{""charttype"",""line"";""linewidth"",1;""color"",""#5f88cc""})),"""")"),"")</f>
        <v/>
      </c>
      <c r="H170" s="49">
        <f>IFERROR(__xludf.DUMMYFUNCTION("IFERROR((((GOOGLEFINANCE(A170))-(INDEX(GoogleFinance(A170,""PRICE"",$AQ$1),2,2)))/(INDEX(GoogleFinance(A170,""PRICE"",$AQ$1),2,2))),"""")"),-0.06602351522460058)</f>
        <v>-0.06602351522</v>
      </c>
      <c r="I170" s="47">
        <f>IFERROR(__xludf.DUMMYFUNCTION("IFERROR((GOOGLEFINANCE($A170,""high52"")),"""")"),34.99)</f>
        <v>34.99</v>
      </c>
      <c r="J170" s="48" t="str">
        <f>IFERROR(__xludf.DUMMYFUNCTION("IFERROR((sparkline(GOOGLEFINANCE($A170,""price"",TODAY()-365,TODAY(),""DAILY""),{""charttype"",""line"";""linewidth"",1;""color"",""#5f88cc""})),"""")"),"")</f>
        <v/>
      </c>
      <c r="K170" s="50">
        <f>IFERROR(__xludf.DUMMYFUNCTION("IFERROR((((GOOGLEFINANCE(A170))-(INDEX(GoogleFinance(A170,""PRICE"",$AP$1),2,2)))/(INDEX(GoogleFinance(A170,""PRICE"",$AP$1),2,2))),"""")"),0.20544747081712067)</f>
        <v>0.2054474708</v>
      </c>
      <c r="L170" s="51">
        <f t="shared" si="1"/>
        <v>-0.1146041726</v>
      </c>
      <c r="M170" s="52">
        <f>IFERROR((VLOOKUP($A170,'Dados StatusInvest'!$A:$AZ,COLUMN(M170)-$A$5,0)*VLOOKUP($A170,'Dados StatusInvest'!$A:$AZ,2,0)/$F170/100),0)</f>
        <v>0.1308535507</v>
      </c>
      <c r="N170" s="53">
        <f>IFERROR((VLOOKUP($A170,'Dados StatusInvest'!$A:$AZ,COLUMN(N170)-$A$5,0)/VLOOKUP($A170,'Dados StatusInvest'!$A:$AZ,2,0)*$F170),"")</f>
        <v>3.412616606</v>
      </c>
      <c r="O170" s="53">
        <f>IFERROR((VLOOKUP($A170,'Dados StatusInvest'!$A:$AZ,COLUMN(O170)-$A$5,0)/VLOOKUP($A170,'Dados StatusInvest'!$A:$AZ,2,0)*$F170),0)</f>
        <v>2.254581542</v>
      </c>
      <c r="P170" s="54">
        <f>IFERROR((VLOOKUP($A170,'Dados StatusInvest'!$A:$AZ,COLUMN(P170)-$A$5,0)/VLOOKUP($A170,'Dados StatusInvest'!$A:$AZ,2,0)*$F170),0)</f>
        <v>7.552848164</v>
      </c>
      <c r="Q170" s="55">
        <f>IFERROR((VLOOKUP($A170,'Dados StatusInvest'!$A:$AZ,COLUMN(Q170)-$A$5,0)/100),0)</f>
        <v>0.0481</v>
      </c>
      <c r="R170" s="56">
        <f>VLOOKUP($A170,'Dados StatusInvest'!$A:$AZ,COLUMN(R170)-$A$5,0)</f>
        <v>1.09</v>
      </c>
      <c r="S170" s="56">
        <f>IFERROR((VLOOKUP($A170,'Dados StatusInvest'!$A:$AZ,COLUMN(S170)-$A$5,0)),0)</f>
        <v>0.3</v>
      </c>
      <c r="T170" s="53">
        <f>IFERROR((VLOOKUP($A170,'Dados StatusInvest'!$A:$AZ,COLUMN(T170)-$A$5,0)/VLOOKUP($A170,'Dados StatusInvest'!$A:$AZ,2,0)*$F170),0)</f>
        <v>-0.9223288124</v>
      </c>
      <c r="U170" s="53">
        <f>IFERROR((VLOOKUP($A170,'Dados StatusInvest'!$A:$AZ,COLUMN(U170)-$A$5,0)-VLOOKUP($A170,'Dados StatusInvest'!$A:$AZ,COLUMN(U170)-$A$5-1,0)+T170),0)</f>
        <v>-0.2323288124</v>
      </c>
      <c r="V170" s="56">
        <f>IFERROR((VLOOKUP($A170,'Dados StatusInvest'!$A:$AZ,COLUMN(V170)-$A$5,0)),0)</f>
        <v>0.53</v>
      </c>
      <c r="W170" s="56">
        <f>IFERROR((VLOOKUP($A170,'Dados StatusInvest'!$A:$AZ,COLUMN(W170)-$A$5,0)),0)</f>
        <v>5.64</v>
      </c>
      <c r="X170" s="53">
        <f>IFERROR((VLOOKUP($A170,'Dados StatusInvest'!$A:$AZ,COLUMN(X170)-$A$5,0)/VLOOKUP($A170,'Dados StatusInvest'!$A:$AZ,2,0)*$F170),0)</f>
        <v>1.91639431</v>
      </c>
      <c r="Y170" s="54">
        <f>IFERROR((VLOOKUP($A170,'Dados StatusInvest'!$A:$AZ,COLUMN(Y170)-$A$5,0)/VLOOKUP($A170,'Dados StatusInvest'!$A:$AZ,2,0)*$F170),0)</f>
        <v>10.16611313</v>
      </c>
      <c r="Z170" s="56">
        <f>IFERROR((VLOOKUP($A170,'Dados StatusInvest'!$A:$AZ,COLUMN(Z170)-$A$5,0)),0)</f>
        <v>0.33</v>
      </c>
      <c r="AA170" s="57">
        <f>IFERROR((VLOOKUP($A170,'Dados StatusInvest'!$A:$AZ,COLUMN(AA170)-$A$5,0)),0)</f>
        <v>0.67</v>
      </c>
      <c r="AB170" s="57">
        <f>IFERROR((VLOOKUP($A170,'Dados StatusInvest'!$A:$AZ,COLUMN(AB170)-$A$5,0)),0)</f>
        <v>0.56</v>
      </c>
      <c r="AC170" s="58">
        <f>IFERROR((VLOOKUP($A170,'Dados StatusInvest'!$A:$AZ,COLUMN(AC170)-$A$5,0)),0)</f>
        <v>9.44</v>
      </c>
      <c r="AD170" s="57">
        <f>IFERROR((VLOOKUP($A170,'Dados StatusInvest'!$A:$AZ,COLUMN(AD170)-$A$5,0)),0)</f>
        <v>-6.19</v>
      </c>
      <c r="AE170" s="56">
        <f>IFERROR((VLOOKUP($A170,'Dados StatusInvest'!$A:$AZ,COLUMN(AE170)-$A$5,0)),0)</f>
        <v>832583.2</v>
      </c>
      <c r="AF170" s="56">
        <f>IFERROR((VLOOKUP($A170,'Dados StatusInvest'!$A:$AZ,COLUMN(AF170)-$A$5,0)),0)</f>
        <v>60.39</v>
      </c>
      <c r="AG170" s="56">
        <f>IFERROR((VLOOKUP($A170,'Dados StatusInvest'!$A:$AZ,COLUMN(AG170)-$A$5,0)),0)</f>
        <v>3.41</v>
      </c>
      <c r="AH170" s="56">
        <f>IFERROR((VLOOKUP($A170,'Dados StatusInvest'!$A:$AZ,COLUMN(AH170)-$A$5,0)),0)</f>
        <v>8.4</v>
      </c>
      <c r="AI170" s="57">
        <f>IFERROR((VLOOKUP($A170,'Dados StatusInvest'!$A:$AZ,COLUMN(AI170)-$A$5,0)),0)</f>
        <v>3023843761</v>
      </c>
      <c r="AJ170" s="59" t="str">
        <f>IFERROR((VLOOKUP($A170,'Dados StatusInvest'!$A:$AZ,COLUMN(AJ170)-$A$5,0)),0)</f>
        <v/>
      </c>
      <c r="AK170" s="60" t="str">
        <f>IFERROR(__xludf.DUMMYFUNCTION("IFERROR(GOOGLEFINANCE($A170,""high""),"""")"),"")</f>
        <v/>
      </c>
      <c r="AL170" s="60">
        <f>IFERROR(__xludf.DUMMYFUNCTION("IFERROR(GOOGLEFINANCE($A170,""low""),"""")"),30.98)</f>
        <v>30.98</v>
      </c>
      <c r="AM170" s="61">
        <f t="shared" si="2"/>
        <v>-1</v>
      </c>
      <c r="AN170" s="62">
        <f>IFERROR(__xludf.DUMMYFUNCTION("IFERROR((GOOGLEFINANCE($A170,""volume"")),0)"),100.0)</f>
        <v>100</v>
      </c>
      <c r="AO170" s="60">
        <f>IFERROR(__xludf.DUMMYFUNCTION("IFERROR((GOOGLEFINANCE($A170,""closeyest"")),"""")"),30.98)</f>
        <v>30.98</v>
      </c>
      <c r="AP170" s="60">
        <f>IFERROR(__xludf.DUMMYFUNCTION("IFERROR((GOOGLEFINANCE($A170,""shares"")),"""")"),3.1210514E7)</f>
        <v>31210514</v>
      </c>
      <c r="AQ170" s="18"/>
    </row>
    <row r="171">
      <c r="A171" s="45" t="str">
        <f>'Dados StatusInvest'!A166:A785</f>
        <v>COCE6</v>
      </c>
      <c r="B171" s="46" t="str">
        <f>IFERROR(__xludf.DUMMYFUNCTION("IFERROR((GOOGLEFINANCE(A171,""name"")),"""")"),"Companhia Energetica do Ceara Preference Shares Class B")</f>
        <v>Companhia Energetica do Ceara Preference Shares Class B</v>
      </c>
      <c r="C171" s="46" t="str">
        <f>IFERROR((VLOOKUP(LEFT($A171,4),Setor!$A:$E,3,0)),"")</f>
        <v>Utilidade Pública</v>
      </c>
      <c r="D171" s="46" t="str">
        <f>IFERROR((VLOOKUP(LEFT($A171,4),Setor!$A:$E,4,0)),"")</f>
        <v>Energia Elétrica</v>
      </c>
      <c r="E171" s="46" t="str">
        <f>IFERROR((VLOOKUP(LEFT($A171,4),Setor!$A:$E,5,0)),"")</f>
        <v>Energia Elétrica</v>
      </c>
      <c r="F171" s="47">
        <f>IFERROR(__xludf.DUMMYFUNCTION("IFERROR((GOOGLEFINANCE(A171)),"""")"),0.0)</f>
        <v>0</v>
      </c>
      <c r="G171" s="48" t="str">
        <f>IFERROR(__xludf.DUMMYFUNCTION("IFERROR((sparkline(GOOGLEFINANCE($A171,""price"",TODAY()-30,TODAY(),""DAILY""),{""charttype"",""line"";""linewidth"",1;""color"",""#5f88cc""})),"""")"),"")</f>
        <v/>
      </c>
      <c r="H171" s="49" t="str">
        <f>IFERROR(__xludf.DUMMYFUNCTION("IFERROR((((GOOGLEFINANCE(A171))-(INDEX(GoogleFinance(A171,""PRICE"",$AQ$1),2,2)))/(INDEX(GoogleFinance(A171,""PRICE"",$AQ$1),2,2))),"""")"),"")</f>
        <v/>
      </c>
      <c r="I171" s="47">
        <f>IFERROR(__xludf.DUMMYFUNCTION("IFERROR((GOOGLEFINANCE($A171,""high52"")),"""")"),0.0)</f>
        <v>0</v>
      </c>
      <c r="J171" s="48" t="str">
        <f>IFERROR(__xludf.DUMMYFUNCTION("IFERROR((sparkline(GOOGLEFINANCE($A171,""price"",TODAY()-365,TODAY(),""DAILY""),{""charttype"",""line"";""linewidth"",1;""color"",""#5f88cc""})),"""")"),"")</f>
        <v/>
      </c>
      <c r="K171" s="50" t="str">
        <f>IFERROR(__xludf.DUMMYFUNCTION("IFERROR((((GOOGLEFINANCE(A171))-(INDEX(GoogleFinance(A171,""PRICE"",$AP$1),2,2)))/(INDEX(GoogleFinance(A171,""PRICE"",$AP$1),2,2))),"""")"),"")</f>
        <v/>
      </c>
      <c r="L171" s="51">
        <f t="shared" si="1"/>
        <v>0</v>
      </c>
      <c r="M171" s="52">
        <f>IFERROR((VLOOKUP($A171,'Dados StatusInvest'!$A:$AZ,COLUMN(M171)-$A$5,0)*VLOOKUP($A171,'Dados StatusInvest'!$A:$AZ,2,0)/$F171/100),0)</f>
        <v>0</v>
      </c>
      <c r="N171" s="53">
        <f>IFERROR((VLOOKUP($A171,'Dados StatusInvest'!$A:$AZ,COLUMN(N171)-$A$5,0)/VLOOKUP($A171,'Dados StatusInvest'!$A:$AZ,2,0)*$F171),"")</f>
        <v>0</v>
      </c>
      <c r="O171" s="53">
        <f>IFERROR((VLOOKUP($A171,'Dados StatusInvest'!$A:$AZ,COLUMN(O171)-$A$5,0)/VLOOKUP($A171,'Dados StatusInvest'!$A:$AZ,2,0)*$F171),0)</f>
        <v>0</v>
      </c>
      <c r="P171" s="54">
        <f>IFERROR((VLOOKUP($A171,'Dados StatusInvest'!$A:$AZ,COLUMN(P171)-$A$5,0)/VLOOKUP($A171,'Dados StatusInvest'!$A:$AZ,2,0)*$F171),0)</f>
        <v>0</v>
      </c>
      <c r="Q171" s="55">
        <f>IFERROR((VLOOKUP($A171,'Dados StatusInvest'!$A:$AZ,COLUMN(Q171)-$A$5,0)/100),0)</f>
        <v>0.0481</v>
      </c>
      <c r="R171" s="56">
        <f>VLOOKUP($A171,'Dados StatusInvest'!$A:$AZ,COLUMN(R171)-$A$5,0)</f>
        <v>1.09</v>
      </c>
      <c r="S171" s="56">
        <f>IFERROR((VLOOKUP($A171,'Dados StatusInvest'!$A:$AZ,COLUMN(S171)-$A$5,0)),0)</f>
        <v>0.13</v>
      </c>
      <c r="T171" s="53">
        <f>IFERROR((VLOOKUP($A171,'Dados StatusInvest'!$A:$AZ,COLUMN(T171)-$A$5,0)/VLOOKUP($A171,'Dados StatusInvest'!$A:$AZ,2,0)*$F171),0)</f>
        <v>0</v>
      </c>
      <c r="U171" s="53">
        <f>IFERROR((VLOOKUP($A171,'Dados StatusInvest'!$A:$AZ,COLUMN(U171)-$A$5,0)-VLOOKUP($A171,'Dados StatusInvest'!$A:$AZ,COLUMN(U171)-$A$5-1,0)+T171),0)</f>
        <v>0.29</v>
      </c>
      <c r="V171" s="56">
        <f>IFERROR((VLOOKUP($A171,'Dados StatusInvest'!$A:$AZ,COLUMN(V171)-$A$5,0)),0)</f>
        <v>0.53</v>
      </c>
      <c r="W171" s="56">
        <f>IFERROR((VLOOKUP($A171,'Dados StatusInvest'!$A:$AZ,COLUMN(W171)-$A$5,0)),0)</f>
        <v>5.64</v>
      </c>
      <c r="X171" s="53">
        <f>IFERROR((VLOOKUP($A171,'Dados StatusInvest'!$A:$AZ,COLUMN(X171)-$A$5,0)/VLOOKUP($A171,'Dados StatusInvest'!$A:$AZ,2,0)*$F171),0)</f>
        <v>0</v>
      </c>
      <c r="Y171" s="54">
        <f>IFERROR((VLOOKUP($A171,'Dados StatusInvest'!$A:$AZ,COLUMN(Y171)-$A$5,0)/VLOOKUP($A171,'Dados StatusInvest'!$A:$AZ,2,0)*$F171),0)</f>
        <v>0</v>
      </c>
      <c r="Z171" s="56">
        <f>IFERROR((VLOOKUP($A171,'Dados StatusInvest'!$A:$AZ,COLUMN(Z171)-$A$5,0)),0)</f>
        <v>0.33</v>
      </c>
      <c r="AA171" s="57">
        <f>IFERROR((VLOOKUP($A171,'Dados StatusInvest'!$A:$AZ,COLUMN(AA171)-$A$5,0)),0)</f>
        <v>0.67</v>
      </c>
      <c r="AB171" s="57">
        <f>IFERROR((VLOOKUP($A171,'Dados StatusInvest'!$A:$AZ,COLUMN(AB171)-$A$5,0)),0)</f>
        <v>0.56</v>
      </c>
      <c r="AC171" s="58">
        <f>IFERROR((VLOOKUP($A171,'Dados StatusInvest'!$A:$AZ,COLUMN(AC171)-$A$5,0)),0)</f>
        <v>9.44</v>
      </c>
      <c r="AD171" s="57">
        <f>IFERROR((VLOOKUP($A171,'Dados StatusInvest'!$A:$AZ,COLUMN(AD171)-$A$5,0)),0)</f>
        <v>-6.19</v>
      </c>
      <c r="AE171" s="56">
        <f>IFERROR((VLOOKUP($A171,'Dados StatusInvest'!$A:$AZ,COLUMN(AE171)-$A$5,0)),0)</f>
        <v>0</v>
      </c>
      <c r="AF171" s="56">
        <f>IFERROR((VLOOKUP($A171,'Dados StatusInvest'!$A:$AZ,COLUMN(AF171)-$A$5,0)),0)</f>
        <v>60.39</v>
      </c>
      <c r="AG171" s="56">
        <f>IFERROR((VLOOKUP($A171,'Dados StatusInvest'!$A:$AZ,COLUMN(AG171)-$A$5,0)),0)</f>
        <v>3.41</v>
      </c>
      <c r="AH171" s="56">
        <f>IFERROR((VLOOKUP($A171,'Dados StatusInvest'!$A:$AZ,COLUMN(AH171)-$A$5,0)),0)</f>
        <v>3.57</v>
      </c>
      <c r="AI171" s="57">
        <f>IFERROR((VLOOKUP($A171,'Dados StatusInvest'!$A:$AZ,COLUMN(AI171)-$A$5,0)),0)</f>
        <v>3023843761</v>
      </c>
      <c r="AJ171" s="59" t="str">
        <f>IFERROR((VLOOKUP($A171,'Dados StatusInvest'!$A:$AZ,COLUMN(AJ171)-$A$5,0)),0)</f>
        <v/>
      </c>
      <c r="AK171" s="60" t="str">
        <f>IFERROR(__xludf.DUMMYFUNCTION("IFERROR(GOOGLEFINANCE($A171,""high""),"""")"),"")</f>
        <v/>
      </c>
      <c r="AL171" s="60" t="str">
        <f>IFERROR(__xludf.DUMMYFUNCTION("IFERROR(GOOGLEFINANCE($A171,""low""),"""")"),"")</f>
        <v/>
      </c>
      <c r="AM171" s="61">
        <f t="shared" si="2"/>
        <v>0</v>
      </c>
      <c r="AN171" s="62">
        <f>IFERROR(__xludf.DUMMYFUNCTION("IFERROR((GOOGLEFINANCE($A171,""volume"")),0)"),0.0)</f>
        <v>0</v>
      </c>
      <c r="AO171" s="60">
        <f>IFERROR(__xludf.DUMMYFUNCTION("IFERROR((GOOGLEFINANCE($A171,""closeyest"")),"""")"),11.05)</f>
        <v>11.05</v>
      </c>
      <c r="AP171" s="60">
        <f>IFERROR(__xludf.DUMMYFUNCTION("IFERROR((GOOGLEFINANCE($A171,""shares"")),"""")"),1689481.0)</f>
        <v>1689481</v>
      </c>
      <c r="AQ171" s="18"/>
    </row>
    <row r="172">
      <c r="A172" s="45" t="str">
        <f>'Dados StatusInvest'!A167:A786</f>
        <v>COGN3</v>
      </c>
      <c r="B172" s="46" t="str">
        <f>IFERROR(__xludf.DUMMYFUNCTION("IFERROR((GOOGLEFINANCE(A172,""name"")),"""")"),"Cogna Educacao SA")</f>
        <v>Cogna Educacao SA</v>
      </c>
      <c r="C172" s="46" t="str">
        <f>IFERROR((VLOOKUP(LEFT($A172,4),Setor!$A:$E,3,0)),"")</f>
        <v>Consumo Cíclico</v>
      </c>
      <c r="D172" s="46" t="str">
        <f>IFERROR((VLOOKUP(LEFT($A172,4),Setor!$A:$E,4,0)),"")</f>
        <v>Diversos</v>
      </c>
      <c r="E172" s="46" t="str">
        <f>IFERROR((VLOOKUP(LEFT($A172,4),Setor!$A:$E,5,0)),"")</f>
        <v>Serviços Educacionais</v>
      </c>
      <c r="F172" s="47">
        <f>IFERROR(__xludf.DUMMYFUNCTION("IFERROR((GOOGLEFINANCE(A172)),"""")"),3.6)</f>
        <v>3.6</v>
      </c>
      <c r="G172" s="48" t="str">
        <f>IFERROR(__xludf.DUMMYFUNCTION("IFERROR((sparkline(GOOGLEFINANCE($A172,""price"",TODAY()-30,TODAY(),""DAILY""),{""charttype"",""line"";""linewidth"",1;""color"",""#5f88cc""})),"""")"),"")</f>
        <v/>
      </c>
      <c r="H172" s="49">
        <f>IFERROR(__xludf.DUMMYFUNCTION("IFERROR((((GOOGLEFINANCE(A172))-(INDEX(GoogleFinance(A172,""PRICE"",$AQ$1),2,2)))/(INDEX(GoogleFinance(A172,""PRICE"",$AQ$1),2,2))),"""")"),-0.11111111111111105)</f>
        <v>-0.1111111111</v>
      </c>
      <c r="I172" s="47">
        <f>IFERROR(__xludf.DUMMYFUNCTION("IFERROR((GOOGLEFINANCE($A172,""high52"")),"""")"),4.75)</f>
        <v>4.75</v>
      </c>
      <c r="J172" s="48" t="str">
        <f>IFERROR(__xludf.DUMMYFUNCTION("IFERROR((sparkline(GOOGLEFINANCE($A172,""price"",TODAY()-365,TODAY(),""DAILY""),{""charttype"",""line"";""linewidth"",1;""color"",""#5f88cc""})),"""")"),"")</f>
        <v/>
      </c>
      <c r="K172" s="50">
        <f>IFERROR(__xludf.DUMMYFUNCTION("IFERROR((((GOOGLEFINANCE(A172))-(INDEX(GoogleFinance(A172,""PRICE"",$AP$1),2,2)))/(INDEX(GoogleFinance(A172,""PRICE"",$AP$1),2,2))),"""")"),1.3225806451612903)</f>
        <v>1.322580645</v>
      </c>
      <c r="L172" s="51">
        <f t="shared" si="1"/>
        <v>-0.2421052632</v>
      </c>
      <c r="M172" s="52">
        <f>IFERROR((VLOOKUP($A172,'Dados StatusInvest'!$A:$AZ,COLUMN(M172)-$A$5,0)*VLOOKUP($A172,'Dados StatusInvest'!$A:$AZ,2,0)/$F172/100),0)</f>
        <v>0.2235772222</v>
      </c>
      <c r="N172" s="53">
        <f>IFERROR((VLOOKUP($A172,'Dados StatusInvest'!$A:$AZ,COLUMN(N172)-$A$5,0)/VLOOKUP($A172,'Dados StatusInvest'!$A:$AZ,2,0)*$F172),"")</f>
        <v>19.13314763</v>
      </c>
      <c r="O172" s="53">
        <f>IFERROR((VLOOKUP($A172,'Dados StatusInvest'!$A:$AZ,COLUMN(O172)-$A$5,0)/VLOOKUP($A172,'Dados StatusInvest'!$A:$AZ,2,0)*$F172),0)</f>
        <v>4.753203343</v>
      </c>
      <c r="P172" s="54">
        <f>IFERROR((VLOOKUP($A172,'Dados StatusInvest'!$A:$AZ,COLUMN(P172)-$A$5,0)/VLOOKUP($A172,'Dados StatusInvest'!$A:$AZ,2,0)*$F172),0)</f>
        <v>8.022284123</v>
      </c>
      <c r="Q172" s="55">
        <f>IFERROR((VLOOKUP($A172,'Dados StatusInvest'!$A:$AZ,COLUMN(Q172)-$A$5,0)/100),0)</f>
        <v>0.0326</v>
      </c>
      <c r="R172" s="56">
        <f>VLOOKUP($A172,'Dados StatusInvest'!$A:$AZ,COLUMN(R172)-$A$5,0)</f>
        <v>0.4</v>
      </c>
      <c r="S172" s="56">
        <f>IFERROR((VLOOKUP($A172,'Dados StatusInvest'!$A:$AZ,COLUMN(S172)-$A$5,0)),0)</f>
        <v>1.06</v>
      </c>
      <c r="T172" s="53">
        <f>IFERROR((VLOOKUP($A172,'Dados StatusInvest'!$A:$AZ,COLUMN(T172)-$A$5,0)/VLOOKUP($A172,'Dados StatusInvest'!$A:$AZ,2,0)*$F172),0)</f>
        <v>3.830640669</v>
      </c>
      <c r="U172" s="53">
        <f>IFERROR((VLOOKUP($A172,'Dados StatusInvest'!$A:$AZ,COLUMN(U172)-$A$5,0)-VLOOKUP($A172,'Dados StatusInvest'!$A:$AZ,COLUMN(U172)-$A$5-1,0)+T172),0)</f>
        <v>-0.3693593315</v>
      </c>
      <c r="V172" s="56">
        <f>IFERROR((VLOOKUP($A172,'Dados StatusInvest'!$A:$AZ,COLUMN(V172)-$A$5,0)),0)</f>
        <v>1.81</v>
      </c>
      <c r="W172" s="56">
        <f>IFERROR((VLOOKUP($A172,'Dados StatusInvest'!$A:$AZ,COLUMN(W172)-$A$5,0)),0)</f>
        <v>10.43</v>
      </c>
      <c r="X172" s="53">
        <f>IFERROR((VLOOKUP($A172,'Dados StatusInvest'!$A:$AZ,COLUMN(X172)-$A$5,0)/VLOOKUP($A172,'Dados StatusInvest'!$A:$AZ,2,0)*$F172),0)</f>
        <v>5.605571031</v>
      </c>
      <c r="Y172" s="54">
        <f>IFERROR((VLOOKUP($A172,'Dados StatusInvest'!$A:$AZ,COLUMN(Y172)-$A$5,0)/VLOOKUP($A172,'Dados StatusInvest'!$A:$AZ,2,0)*$F172),0)</f>
        <v>5.595543175</v>
      </c>
      <c r="Z172" s="56">
        <f>IFERROR((VLOOKUP($A172,'Dados StatusInvest'!$A:$AZ,COLUMN(Z172)-$A$5,0)),0)</f>
        <v>0.54</v>
      </c>
      <c r="AA172" s="57">
        <f>IFERROR((VLOOKUP($A172,'Dados StatusInvest'!$A:$AZ,COLUMN(AA172)-$A$5,0)),0)</f>
        <v>0.42</v>
      </c>
      <c r="AB172" s="57">
        <f>IFERROR((VLOOKUP($A172,'Dados StatusInvest'!$A:$AZ,COLUMN(AB172)-$A$5,0)),0)</f>
        <v>0.29</v>
      </c>
      <c r="AC172" s="58">
        <f>IFERROR((VLOOKUP($A172,'Dados StatusInvest'!$A:$AZ,COLUMN(AC172)-$A$5,0)),0)</f>
        <v>-1.88</v>
      </c>
      <c r="AD172" s="57">
        <f>IFERROR((VLOOKUP($A172,'Dados StatusInvest'!$A:$AZ,COLUMN(AD172)-$A$5,0)),0)</f>
        <v>41.43</v>
      </c>
      <c r="AE172" s="56">
        <f>IFERROR((VLOOKUP($A172,'Dados StatusInvest'!$A:$AZ,COLUMN(AE172)-$A$5,0)),0)</f>
        <v>169000000</v>
      </c>
      <c r="AF172" s="56">
        <f>IFERROR((VLOOKUP($A172,'Dados StatusInvest'!$A:$AZ,COLUMN(AF172)-$A$5,0)),0)</f>
        <v>6.18</v>
      </c>
      <c r="AG172" s="56">
        <f>IFERROR((VLOOKUP($A172,'Dados StatusInvest'!$A:$AZ,COLUMN(AG172)-$A$5,0)),0)</f>
        <v>0.64</v>
      </c>
      <c r="AH172" s="56">
        <f>IFERROR((VLOOKUP($A172,'Dados StatusInvest'!$A:$AZ,COLUMN(AH172)-$A$5,0)),0)</f>
        <v>-0.01</v>
      </c>
      <c r="AI172" s="57">
        <f>IFERROR((VLOOKUP($A172,'Dados StatusInvest'!$A:$AZ,COLUMN(AI172)-$A$5,0)),0)</f>
        <v>7410717923</v>
      </c>
      <c r="AJ172" s="59" t="str">
        <f>IFERROR((VLOOKUP($A172,'Dados StatusInvest'!$A:$AZ,COLUMN(AJ172)-$A$5,0)),0)</f>
        <v/>
      </c>
      <c r="AK172" s="60">
        <f>IFERROR(__xludf.DUMMYFUNCTION("IFERROR(GOOGLEFINANCE($A172,""high""),"""")"),3.58)</f>
        <v>3.58</v>
      </c>
      <c r="AL172" s="60">
        <f>IFERROR(__xludf.DUMMYFUNCTION("IFERROR(GOOGLEFINANCE($A172,""low""),"""")"),3.5)</f>
        <v>3.5</v>
      </c>
      <c r="AM172" s="61">
        <f t="shared" si="2"/>
        <v>0.02285714286</v>
      </c>
      <c r="AN172" s="62">
        <f>IFERROR(__xludf.DUMMYFUNCTION("IFERROR((GOOGLEFINANCE($A172,""volume"")),0)"),3751800.0)</f>
        <v>3751800</v>
      </c>
      <c r="AO172" s="60">
        <f>IFERROR(__xludf.DUMMYFUNCTION("IFERROR((GOOGLEFINANCE($A172,""closeyest"")),"""")"),3.59)</f>
        <v>3.59</v>
      </c>
      <c r="AP172" s="60">
        <f>IFERROR(__xludf.DUMMYFUNCTION("IFERROR((GOOGLEFINANCE($A172,""shares"")),"""")"),2.064266831E9)</f>
        <v>2064266831</v>
      </c>
      <c r="AQ172" s="18"/>
    </row>
    <row r="173">
      <c r="A173" s="45" t="str">
        <f>'Dados StatusInvest'!A168:A787</f>
        <v>CORR3</v>
      </c>
      <c r="B173" s="46" t="str">
        <f>IFERROR(__xludf.DUMMYFUNCTION("IFERROR((GOOGLEFINANCE(A173,""name"")),"""")"),"")</f>
        <v/>
      </c>
      <c r="C173" s="46" t="str">
        <f>IFERROR((VLOOKUP(LEFT($A173,4),Setor!$A:$E,3,0)),"")</f>
        <v>Financeiro</v>
      </c>
      <c r="D173" s="46" t="str">
        <f>IFERROR((VLOOKUP(LEFT($A173,4),Setor!$A:$E,4,0)),"")</f>
        <v>Exploração de Imóveis</v>
      </c>
      <c r="E173" s="46" t="str">
        <f>IFERROR((VLOOKUP(LEFT($A173,4),Setor!$A:$E,5,0)),"")</f>
        <v>Exploração de Imóveis</v>
      </c>
      <c r="F173" s="47" t="str">
        <f>IFERROR(__xludf.DUMMYFUNCTION("IFERROR((GOOGLEFINANCE(A173)),"""")"),"")</f>
        <v/>
      </c>
      <c r="G173" s="48" t="str">
        <f>IFERROR(__xludf.DUMMYFUNCTION("IFERROR((sparkline(GOOGLEFINANCE($A173,""price"",TODAY()-30,TODAY(),""DAILY""),{""charttype"",""line"";""linewidth"",1;""color"",""#5f88cc""})),"""")"),"")</f>
        <v/>
      </c>
      <c r="H173" s="49" t="str">
        <f>IFERROR(__xludf.DUMMYFUNCTION("IFERROR((((GOOGLEFINANCE(A173))-(INDEX(GoogleFinance(A173,""PRICE"",$AQ$1),2,2)))/(INDEX(GoogleFinance(A173,""PRICE"",$AQ$1),2,2))),"""")"),"")</f>
        <v/>
      </c>
      <c r="I173" s="47" t="str">
        <f>IFERROR(__xludf.DUMMYFUNCTION("IFERROR((GOOGLEFINANCE($A173,""high52"")),"""")"),"")</f>
        <v/>
      </c>
      <c r="J173" s="48" t="str">
        <f>IFERROR(__xludf.DUMMYFUNCTION("IFERROR((sparkline(GOOGLEFINANCE($A173,""price"",TODAY()-365,TODAY(),""DAILY""),{""charttype"",""line"";""linewidth"",1;""color"",""#5f88cc""})),"""")"),"")</f>
        <v/>
      </c>
      <c r="K173" s="50" t="str">
        <f>IFERROR(__xludf.DUMMYFUNCTION("IFERROR((((GOOGLEFINANCE(A173))-(INDEX(GoogleFinance(A173,""PRICE"",$AP$1),2,2)))/(INDEX(GoogleFinance(A173,""PRICE"",$AP$1),2,2))),"""")"),"")</f>
        <v/>
      </c>
      <c r="L173" s="51">
        <f t="shared" si="1"/>
        <v>0</v>
      </c>
      <c r="M173" s="52">
        <f>IFERROR((VLOOKUP($A173,'Dados StatusInvest'!$A:$AZ,COLUMN(M173)-$A$5,0)*VLOOKUP($A173,'Dados StatusInvest'!$A:$AZ,2,0)/$F173/100),0)</f>
        <v>0</v>
      </c>
      <c r="N173" s="53">
        <f>IFERROR((VLOOKUP($A173,'Dados StatusInvest'!$A:$AZ,COLUMN(N173)-$A$5,0)/VLOOKUP($A173,'Dados StatusInvest'!$A:$AZ,2,0)*$F173),"")</f>
        <v>0</v>
      </c>
      <c r="O173" s="53">
        <f>IFERROR((VLOOKUP($A173,'Dados StatusInvest'!$A:$AZ,COLUMN(O173)-$A$5,0)/VLOOKUP($A173,'Dados StatusInvest'!$A:$AZ,2,0)*$F173),0)</f>
        <v>0</v>
      </c>
      <c r="P173" s="54">
        <f>IFERROR((VLOOKUP($A173,'Dados StatusInvest'!$A:$AZ,COLUMN(P173)-$A$5,0)/VLOOKUP($A173,'Dados StatusInvest'!$A:$AZ,2,0)*$F173),0)</f>
        <v>0</v>
      </c>
      <c r="Q173" s="55">
        <f>IFERROR((VLOOKUP($A173,'Dados StatusInvest'!$A:$AZ,COLUMN(Q173)-$A$5,0)/100),0)</f>
        <v>-0.0141</v>
      </c>
      <c r="R173" s="56">
        <f>VLOOKUP($A173,'Dados StatusInvest'!$A:$AZ,COLUMN(R173)-$A$5,0)</f>
        <v>-2.58</v>
      </c>
      <c r="S173" s="56">
        <f>IFERROR((VLOOKUP($A173,'Dados StatusInvest'!$A:$AZ,COLUMN(S173)-$A$5,0)),0)</f>
        <v>0.19</v>
      </c>
      <c r="T173" s="53">
        <f>IFERROR((VLOOKUP($A173,'Dados StatusInvest'!$A:$AZ,COLUMN(T173)-$A$5,0)/VLOOKUP($A173,'Dados StatusInvest'!$A:$AZ,2,0)*$F173),0)</f>
        <v>0</v>
      </c>
      <c r="U173" s="53">
        <f>IFERROR((VLOOKUP($A173,'Dados StatusInvest'!$A:$AZ,COLUMN(U173)-$A$5,0)-VLOOKUP($A173,'Dados StatusInvest'!$A:$AZ,COLUMN(U173)-$A$5-1,0)+T173),0)</f>
        <v>-0.03</v>
      </c>
      <c r="V173" s="56">
        <f>IFERROR((VLOOKUP($A173,'Dados StatusInvest'!$A:$AZ,COLUMN(V173)-$A$5,0)),0)</f>
        <v>4.25</v>
      </c>
      <c r="W173" s="56">
        <f>IFERROR((VLOOKUP($A173,'Dados StatusInvest'!$A:$AZ,COLUMN(W173)-$A$5,0)),0)</f>
        <v>152.84</v>
      </c>
      <c r="X173" s="53">
        <f>IFERROR((VLOOKUP($A173,'Dados StatusInvest'!$A:$AZ,COLUMN(X173)-$A$5,0)/VLOOKUP($A173,'Dados StatusInvest'!$A:$AZ,2,0)*$F173),0)</f>
        <v>0</v>
      </c>
      <c r="Y173" s="54">
        <f>IFERROR((VLOOKUP($A173,'Dados StatusInvest'!$A:$AZ,COLUMN(Y173)-$A$5,0)/VLOOKUP($A173,'Dados StatusInvest'!$A:$AZ,2,0)*$F173),0)</f>
        <v>0</v>
      </c>
      <c r="Z173" s="56">
        <f>IFERROR((VLOOKUP($A173,'Dados StatusInvest'!$A:$AZ,COLUMN(Z173)-$A$5,0)),0)</f>
        <v>0.29</v>
      </c>
      <c r="AA173" s="57">
        <f>IFERROR((VLOOKUP($A173,'Dados StatusInvest'!$A:$AZ,COLUMN(AA173)-$A$5,0)),0)</f>
        <v>0.71</v>
      </c>
      <c r="AB173" s="57">
        <f>IFERROR((VLOOKUP($A173,'Dados StatusInvest'!$A:$AZ,COLUMN(AB173)-$A$5,0)),0)</f>
        <v>0.02</v>
      </c>
      <c r="AC173" s="58">
        <f>IFERROR((VLOOKUP($A173,'Dados StatusInvest'!$A:$AZ,COLUMN(AC173)-$A$5,0)),0)</f>
        <v>-16.36</v>
      </c>
      <c r="AD173" s="57">
        <f>IFERROR((VLOOKUP($A173,'Dados StatusInvest'!$A:$AZ,COLUMN(AD173)-$A$5,0)),0)</f>
        <v>0</v>
      </c>
      <c r="AE173" s="56">
        <f>IFERROR((VLOOKUP($A173,'Dados StatusInvest'!$A:$AZ,COLUMN(AE173)-$A$5,0)),0)</f>
        <v>0</v>
      </c>
      <c r="AF173" s="56">
        <f>IFERROR((VLOOKUP($A173,'Dados StatusInvest'!$A:$AZ,COLUMN(AF173)-$A$5,0)),0)</f>
        <v>201.49</v>
      </c>
      <c r="AG173" s="56">
        <f>IFERROR((VLOOKUP($A173,'Dados StatusInvest'!$A:$AZ,COLUMN(AG173)-$A$5,0)),0)</f>
        <v>307.95</v>
      </c>
      <c r="AH173" s="56">
        <f>IFERROR((VLOOKUP($A173,'Dados StatusInvest'!$A:$AZ,COLUMN(AH173)-$A$5,0)),0)</f>
        <v>0</v>
      </c>
      <c r="AI173" s="57">
        <f>IFERROR((VLOOKUP($A173,'Dados StatusInvest'!$A:$AZ,COLUMN(AI173)-$A$5,0)),0)</f>
        <v>1278894.65</v>
      </c>
      <c r="AJ173" s="59" t="str">
        <f>IFERROR((VLOOKUP($A173,'Dados StatusInvest'!$A:$AZ,COLUMN(AJ173)-$A$5,0)),0)</f>
        <v/>
      </c>
      <c r="AK173" s="60" t="str">
        <f>IFERROR(__xludf.DUMMYFUNCTION("IFERROR(GOOGLEFINANCE($A173,""high""),"""")"),"")</f>
        <v/>
      </c>
      <c r="AL173" s="60" t="str">
        <f>IFERROR(__xludf.DUMMYFUNCTION("IFERROR(GOOGLEFINANCE($A173,""low""),"""")"),"")</f>
        <v/>
      </c>
      <c r="AM173" s="61">
        <f t="shared" si="2"/>
        <v>0</v>
      </c>
      <c r="AN173" s="62">
        <f>IFERROR(__xludf.DUMMYFUNCTION("IFERROR((GOOGLEFINANCE($A173,""volume"")),0)"),0.0)</f>
        <v>0</v>
      </c>
      <c r="AO173" s="60" t="str">
        <f>IFERROR(__xludf.DUMMYFUNCTION("IFERROR((GOOGLEFINANCE($A173,""closeyest"")),"""")"),"")</f>
        <v/>
      </c>
      <c r="AP173" s="60" t="str">
        <f>IFERROR(__xludf.DUMMYFUNCTION("IFERROR((GOOGLEFINANCE($A173,""shares"")),"""")"),"")</f>
        <v/>
      </c>
      <c r="AQ173" s="18"/>
    </row>
    <row r="174">
      <c r="A174" s="45" t="str">
        <f>'Dados StatusInvest'!A169:A788</f>
        <v>CORR4</v>
      </c>
      <c r="B174" s="46" t="str">
        <f>IFERROR(__xludf.DUMMYFUNCTION("IFERROR((GOOGLEFINANCE(A174,""name"")),"""")"),"")</f>
        <v/>
      </c>
      <c r="C174" s="46" t="str">
        <f>IFERROR((VLOOKUP(LEFT($A174,4),Setor!$A:$E,3,0)),"")</f>
        <v>Financeiro</v>
      </c>
      <c r="D174" s="46" t="str">
        <f>IFERROR((VLOOKUP(LEFT($A174,4),Setor!$A:$E,4,0)),"")</f>
        <v>Exploração de Imóveis</v>
      </c>
      <c r="E174" s="46" t="str">
        <f>IFERROR((VLOOKUP(LEFT($A174,4),Setor!$A:$E,5,0)),"")</f>
        <v>Exploração de Imóveis</v>
      </c>
      <c r="F174" s="47" t="str">
        <f>IFERROR(__xludf.DUMMYFUNCTION("IFERROR((GOOGLEFINANCE(A174)),"""")"),"")</f>
        <v/>
      </c>
      <c r="G174" s="48" t="str">
        <f>IFERROR(__xludf.DUMMYFUNCTION("IFERROR((sparkline(GOOGLEFINANCE($A174,""price"",TODAY()-30,TODAY(),""DAILY""),{""charttype"",""line"";""linewidth"",1;""color"",""#5f88cc""})),"""")"),"")</f>
        <v/>
      </c>
      <c r="H174" s="49" t="str">
        <f>IFERROR(__xludf.DUMMYFUNCTION("IFERROR((((GOOGLEFINANCE(A174))-(INDEX(GoogleFinance(A174,""PRICE"",$AQ$1),2,2)))/(INDEX(GoogleFinance(A174,""PRICE"",$AQ$1),2,2))),"""")"),"")</f>
        <v/>
      </c>
      <c r="I174" s="47" t="str">
        <f>IFERROR(__xludf.DUMMYFUNCTION("IFERROR((GOOGLEFINANCE($A174,""high52"")),"""")"),"")</f>
        <v/>
      </c>
      <c r="J174" s="48" t="str">
        <f>IFERROR(__xludf.DUMMYFUNCTION("IFERROR((sparkline(GOOGLEFINANCE($A174,""price"",TODAY()-365,TODAY(),""DAILY""),{""charttype"",""line"";""linewidth"",1;""color"",""#5f88cc""})),"""")"),"")</f>
        <v/>
      </c>
      <c r="K174" s="50" t="str">
        <f>IFERROR(__xludf.DUMMYFUNCTION("IFERROR((((GOOGLEFINANCE(A174))-(INDEX(GoogleFinance(A174,""PRICE"",$AP$1),2,2)))/(INDEX(GoogleFinance(A174,""PRICE"",$AP$1),2,2))),"""")"),"")</f>
        <v/>
      </c>
      <c r="L174" s="51">
        <f t="shared" si="1"/>
        <v>0</v>
      </c>
      <c r="M174" s="52">
        <f>IFERROR((VLOOKUP($A174,'Dados StatusInvest'!$A:$AZ,COLUMN(M174)-$A$5,0)*VLOOKUP($A174,'Dados StatusInvest'!$A:$AZ,2,0)/$F174/100),0)</f>
        <v>0</v>
      </c>
      <c r="N174" s="53">
        <f>IFERROR((VLOOKUP($A174,'Dados StatusInvest'!$A:$AZ,COLUMN(N174)-$A$5,0)/VLOOKUP($A174,'Dados StatusInvest'!$A:$AZ,2,0)*$F174),"")</f>
        <v>0</v>
      </c>
      <c r="O174" s="53">
        <f>IFERROR((VLOOKUP($A174,'Dados StatusInvest'!$A:$AZ,COLUMN(O174)-$A$5,0)/VLOOKUP($A174,'Dados StatusInvest'!$A:$AZ,2,0)*$F174),0)</f>
        <v>0</v>
      </c>
      <c r="P174" s="54">
        <f>IFERROR((VLOOKUP($A174,'Dados StatusInvest'!$A:$AZ,COLUMN(P174)-$A$5,0)/VLOOKUP($A174,'Dados StatusInvest'!$A:$AZ,2,0)*$F174),0)</f>
        <v>0</v>
      </c>
      <c r="Q174" s="55">
        <f>IFERROR((VLOOKUP($A174,'Dados StatusInvest'!$A:$AZ,COLUMN(Q174)-$A$5,0)/100),0)</f>
        <v>-0.0141</v>
      </c>
      <c r="R174" s="56">
        <f>VLOOKUP($A174,'Dados StatusInvest'!$A:$AZ,COLUMN(R174)-$A$5,0)</f>
        <v>-2.58</v>
      </c>
      <c r="S174" s="56">
        <f>IFERROR((VLOOKUP($A174,'Dados StatusInvest'!$A:$AZ,COLUMN(S174)-$A$5,0)),0)</f>
        <v>5.7</v>
      </c>
      <c r="T174" s="53">
        <f>IFERROR((VLOOKUP($A174,'Dados StatusInvest'!$A:$AZ,COLUMN(T174)-$A$5,0)/VLOOKUP($A174,'Dados StatusInvest'!$A:$AZ,2,0)*$F174),0)</f>
        <v>0</v>
      </c>
      <c r="U174" s="53">
        <f>IFERROR((VLOOKUP($A174,'Dados StatusInvest'!$A:$AZ,COLUMN(U174)-$A$5,0)-VLOOKUP($A174,'Dados StatusInvest'!$A:$AZ,COLUMN(U174)-$A$5-1,0)+T174),0)</f>
        <v>-0.68</v>
      </c>
      <c r="V174" s="56">
        <f>IFERROR((VLOOKUP($A174,'Dados StatusInvest'!$A:$AZ,COLUMN(V174)-$A$5,0)),0)</f>
        <v>4.25</v>
      </c>
      <c r="W174" s="56">
        <f>IFERROR((VLOOKUP($A174,'Dados StatusInvest'!$A:$AZ,COLUMN(W174)-$A$5,0)),0)</f>
        <v>152.84</v>
      </c>
      <c r="X174" s="53">
        <f>IFERROR((VLOOKUP($A174,'Dados StatusInvest'!$A:$AZ,COLUMN(X174)-$A$5,0)/VLOOKUP($A174,'Dados StatusInvest'!$A:$AZ,2,0)*$F174),0)</f>
        <v>0</v>
      </c>
      <c r="Y174" s="54">
        <f>IFERROR((VLOOKUP($A174,'Dados StatusInvest'!$A:$AZ,COLUMN(Y174)-$A$5,0)/VLOOKUP($A174,'Dados StatusInvest'!$A:$AZ,2,0)*$F174),0)</f>
        <v>0</v>
      </c>
      <c r="Z174" s="56">
        <f>IFERROR((VLOOKUP($A174,'Dados StatusInvest'!$A:$AZ,COLUMN(Z174)-$A$5,0)),0)</f>
        <v>0.29</v>
      </c>
      <c r="AA174" s="57">
        <f>IFERROR((VLOOKUP($A174,'Dados StatusInvest'!$A:$AZ,COLUMN(AA174)-$A$5,0)),0)</f>
        <v>0.71</v>
      </c>
      <c r="AB174" s="57">
        <f>IFERROR((VLOOKUP($A174,'Dados StatusInvest'!$A:$AZ,COLUMN(AB174)-$A$5,0)),0)</f>
        <v>0.02</v>
      </c>
      <c r="AC174" s="58">
        <f>IFERROR((VLOOKUP($A174,'Dados StatusInvest'!$A:$AZ,COLUMN(AC174)-$A$5,0)),0)</f>
        <v>-16.36</v>
      </c>
      <c r="AD174" s="57">
        <f>IFERROR((VLOOKUP($A174,'Dados StatusInvest'!$A:$AZ,COLUMN(AD174)-$A$5,0)),0)</f>
        <v>0</v>
      </c>
      <c r="AE174" s="56">
        <f>IFERROR((VLOOKUP($A174,'Dados StatusInvest'!$A:$AZ,COLUMN(AE174)-$A$5,0)),0)</f>
        <v>0</v>
      </c>
      <c r="AF174" s="56">
        <f>IFERROR((VLOOKUP($A174,'Dados StatusInvest'!$A:$AZ,COLUMN(AF174)-$A$5,0)),0)</f>
        <v>201.49</v>
      </c>
      <c r="AG174" s="56">
        <f>IFERROR((VLOOKUP($A174,'Dados StatusInvest'!$A:$AZ,COLUMN(AG174)-$A$5,0)),0)</f>
        <v>307.95</v>
      </c>
      <c r="AH174" s="56">
        <f>IFERROR((VLOOKUP($A174,'Dados StatusInvest'!$A:$AZ,COLUMN(AH174)-$A$5,0)),0)</f>
        <v>0</v>
      </c>
      <c r="AI174" s="57">
        <f>IFERROR((VLOOKUP($A174,'Dados StatusInvest'!$A:$AZ,COLUMN(AI174)-$A$5,0)),0)</f>
        <v>1278894.65</v>
      </c>
      <c r="AJ174" s="59" t="str">
        <f>IFERROR((VLOOKUP($A174,'Dados StatusInvest'!$A:$AZ,COLUMN(AJ174)-$A$5,0)),0)</f>
        <v/>
      </c>
      <c r="AK174" s="60" t="str">
        <f>IFERROR(__xludf.DUMMYFUNCTION("IFERROR(GOOGLEFINANCE($A174,""high""),"""")"),"")</f>
        <v/>
      </c>
      <c r="AL174" s="60" t="str">
        <f>IFERROR(__xludf.DUMMYFUNCTION("IFERROR(GOOGLEFINANCE($A174,""low""),"""")"),"")</f>
        <v/>
      </c>
      <c r="AM174" s="61">
        <f t="shared" si="2"/>
        <v>0</v>
      </c>
      <c r="AN174" s="62">
        <f>IFERROR(__xludf.DUMMYFUNCTION("IFERROR((GOOGLEFINANCE($A174,""volume"")),0)"),0.0)</f>
        <v>0</v>
      </c>
      <c r="AO174" s="60" t="str">
        <f>IFERROR(__xludf.DUMMYFUNCTION("IFERROR((GOOGLEFINANCE($A174,""closeyest"")),"""")"),"")</f>
        <v/>
      </c>
      <c r="AP174" s="60" t="str">
        <f>IFERROR(__xludf.DUMMYFUNCTION("IFERROR((GOOGLEFINANCE($A174,""shares"")),"""")"),"")</f>
        <v/>
      </c>
      <c r="AQ174" s="18"/>
    </row>
    <row r="175">
      <c r="A175" s="45" t="str">
        <f>'Dados StatusInvest'!A170:A789</f>
        <v>CPFE3</v>
      </c>
      <c r="B175" s="46" t="str">
        <f>IFERROR(__xludf.DUMMYFUNCTION("IFERROR((GOOGLEFINANCE(A175,""name"")),"""")"),"CPFL Energia SA")</f>
        <v>CPFL Energia SA</v>
      </c>
      <c r="C175" s="46" t="str">
        <f>IFERROR((VLOOKUP(LEFT($A175,4),Setor!$A:$E,3,0)),"")</f>
        <v>Utilidade Pública</v>
      </c>
      <c r="D175" s="46" t="str">
        <f>IFERROR((VLOOKUP(LEFT($A175,4),Setor!$A:$E,4,0)),"")</f>
        <v>Energia Elétrica</v>
      </c>
      <c r="E175" s="46" t="str">
        <f>IFERROR((VLOOKUP(LEFT($A175,4),Setor!$A:$E,5,0)),"")</f>
        <v>Energia Elétrica</v>
      </c>
      <c r="F175" s="47">
        <f>IFERROR(__xludf.DUMMYFUNCTION("IFERROR((GOOGLEFINANCE(A175)),"""")"),49.69)</f>
        <v>49.69</v>
      </c>
      <c r="G175" s="48" t="str">
        <f>IFERROR(__xludf.DUMMYFUNCTION("IFERROR((sparkline(GOOGLEFINANCE($A175,""price"",TODAY()-30,TODAY(),""DAILY""),{""charttype"",""line"";""linewidth"",1;""color"",""#5f88cc""})),"""")"),"")</f>
        <v/>
      </c>
      <c r="H175" s="49">
        <f>IFERROR(__xludf.DUMMYFUNCTION("IFERROR((((GOOGLEFINANCE(A175))-(INDEX(GoogleFinance(A175,""PRICE"",$AQ$1),2,2)))/(INDEX(GoogleFinance(A175,""PRICE"",$AQ$1),2,2))),"""")"),-0.06298321704695461)</f>
        <v>-0.06298321705</v>
      </c>
      <c r="I175" s="47">
        <f>IFERROR(__xludf.DUMMYFUNCTION("IFERROR((GOOGLEFINANCE($A175,""high52"")),"""")"),56.35)</f>
        <v>56.35</v>
      </c>
      <c r="J175" s="48" t="str">
        <f>IFERROR(__xludf.DUMMYFUNCTION("IFERROR((sparkline(GOOGLEFINANCE($A175,""price"",TODAY()-365,TODAY(),""DAILY""),{""charttype"",""line"";""linewidth"",1;""color"",""#5f88cc""})),"""")"),"")</f>
        <v/>
      </c>
      <c r="K175" s="50">
        <f>IFERROR(__xludf.DUMMYFUNCTION("IFERROR((((GOOGLEFINANCE(A175))-(INDEX(GoogleFinance(A175,""PRICE"",$AP$1),2,2)))/(INDEX(GoogleFinance(A175,""PRICE"",$AP$1),2,2))),"""")"),0.4116477272727271)</f>
        <v>0.4116477273</v>
      </c>
      <c r="L175" s="51">
        <f t="shared" si="1"/>
        <v>-0.1181898846</v>
      </c>
      <c r="M175" s="52">
        <f>IFERROR((VLOOKUP($A175,'Dados StatusInvest'!$A:$AZ,COLUMN(M175)-$A$5,0)*VLOOKUP($A175,'Dados StatusInvest'!$A:$AZ,2,0)/$F175/100),0)</f>
        <v>0.2477343932</v>
      </c>
      <c r="N175" s="53">
        <f>IFERROR((VLOOKUP($A175,'Dados StatusInvest'!$A:$AZ,COLUMN(N175)-$A$5,0)/VLOOKUP($A175,'Dados StatusInvest'!$A:$AZ,2,0)*$F175),"")</f>
        <v>12.16918233</v>
      </c>
      <c r="O175" s="53">
        <f>IFERROR((VLOOKUP($A175,'Dados StatusInvest'!$A:$AZ,COLUMN(O175)-$A$5,0)/VLOOKUP($A175,'Dados StatusInvest'!$A:$AZ,2,0)*$F175),0)</f>
        <v>5.225297881</v>
      </c>
      <c r="P175" s="54">
        <f>IFERROR((VLOOKUP($A175,'Dados StatusInvest'!$A:$AZ,COLUMN(P175)-$A$5,0)/VLOOKUP($A175,'Dados StatusInvest'!$A:$AZ,2,0)*$F175),0)</f>
        <v>7.301509396</v>
      </c>
      <c r="Q175" s="55">
        <f>IFERROR((VLOOKUP($A175,'Dados StatusInvest'!$A:$AZ,COLUMN(Q175)-$A$5,0)/100),0)</f>
        <v>0.0209</v>
      </c>
      <c r="R175" s="56">
        <f>VLOOKUP($A175,'Dados StatusInvest'!$A:$AZ,COLUMN(R175)-$A$5,0)</f>
        <v>1.01</v>
      </c>
      <c r="S175" s="56">
        <f>IFERROR((VLOOKUP($A175,'Dados StatusInvest'!$A:$AZ,COLUMN(S175)-$A$5,0)),0)</f>
        <v>1.3</v>
      </c>
      <c r="T175" s="53">
        <f>IFERROR((VLOOKUP($A175,'Dados StatusInvest'!$A:$AZ,COLUMN(T175)-$A$5,0)/VLOOKUP($A175,'Dados StatusInvest'!$A:$AZ,2,0)*$F175),0)</f>
        <v>563.0407477</v>
      </c>
      <c r="U175" s="53">
        <f>IFERROR((VLOOKUP($A175,'Dados StatusInvest'!$A:$AZ,COLUMN(U175)-$A$5,0)-VLOOKUP($A175,'Dados StatusInvest'!$A:$AZ,COLUMN(U175)-$A$5-1,0)+T175),0)</f>
        <v>-4.639252299</v>
      </c>
      <c r="V175" s="56">
        <f>IFERROR((VLOOKUP($A175,'Dados StatusInvest'!$A:$AZ,COLUMN(V175)-$A$5,0)),0)</f>
        <v>1.01</v>
      </c>
      <c r="W175" s="56">
        <f>IFERROR((VLOOKUP($A175,'Dados StatusInvest'!$A:$AZ,COLUMN(W175)-$A$5,0)),0)</f>
        <v>24.04</v>
      </c>
      <c r="X175" s="53">
        <f>IFERROR((VLOOKUP($A175,'Dados StatusInvest'!$A:$AZ,COLUMN(X175)-$A$5,0)/VLOOKUP($A175,'Dados StatusInvest'!$A:$AZ,2,0)*$F175),0)</f>
        <v>6.566391443</v>
      </c>
      <c r="Y175" s="54">
        <f>IFERROR((VLOOKUP($A175,'Dados StatusInvest'!$A:$AZ,COLUMN(Y175)-$A$5,0)/VLOOKUP($A175,'Dados StatusInvest'!$A:$AZ,2,0)*$F175),0)</f>
        <v>15.9242443</v>
      </c>
      <c r="Z175" s="56">
        <f>IFERROR((VLOOKUP($A175,'Dados StatusInvest'!$A:$AZ,COLUMN(Z175)-$A$5,0)),0)</f>
        <v>0.27</v>
      </c>
      <c r="AA175" s="57">
        <f>IFERROR((VLOOKUP($A175,'Dados StatusInvest'!$A:$AZ,COLUMN(AA175)-$A$5,0)),0)</f>
        <v>0.71</v>
      </c>
      <c r="AB175" s="57">
        <f>IFERROR((VLOOKUP($A175,'Dados StatusInvest'!$A:$AZ,COLUMN(AB175)-$A$5,0)),0)</f>
        <v>0.54</v>
      </c>
      <c r="AC175" s="58">
        <f>IFERROR((VLOOKUP($A175,'Dados StatusInvest'!$A:$AZ,COLUMN(AC175)-$A$5,0)),0)</f>
        <v>7.33</v>
      </c>
      <c r="AD175" s="57">
        <f>IFERROR((VLOOKUP($A175,'Dados StatusInvest'!$A:$AZ,COLUMN(AD175)-$A$5,0)),0)</f>
        <v>15.06</v>
      </c>
      <c r="AE175" s="56">
        <f>IFERROR((VLOOKUP($A175,'Dados StatusInvest'!$A:$AZ,COLUMN(AE175)-$A$5,0)),0)</f>
        <v>112000000</v>
      </c>
      <c r="AF175" s="56">
        <f>IFERROR((VLOOKUP($A175,'Dados StatusInvest'!$A:$AZ,COLUMN(AF175)-$A$5,0)),0)</f>
        <v>19.67</v>
      </c>
      <c r="AG175" s="56">
        <f>IFERROR((VLOOKUP($A175,'Dados StatusInvest'!$A:$AZ,COLUMN(AG175)-$A$5,0)),0)</f>
        <v>4.73</v>
      </c>
      <c r="AH175" s="56">
        <f>IFERROR((VLOOKUP($A175,'Dados StatusInvest'!$A:$AZ,COLUMN(AH175)-$A$5,0)),0)</f>
        <v>-15.36</v>
      </c>
      <c r="AI175" s="57">
        <f>IFERROR((VLOOKUP($A175,'Dados StatusInvest'!$A:$AZ,COLUMN(AI175)-$A$5,0)),0)</f>
        <v>57635767089</v>
      </c>
      <c r="AJ175" s="59" t="str">
        <f>IFERROR((VLOOKUP($A175,'Dados StatusInvest'!$A:$AZ,COLUMN(AJ175)-$A$5,0)),0)</f>
        <v/>
      </c>
      <c r="AK175" s="60">
        <f>IFERROR(__xludf.DUMMYFUNCTION("IFERROR(GOOGLEFINANCE($A175,""high""),"""")"),49.98)</f>
        <v>49.98</v>
      </c>
      <c r="AL175" s="60">
        <f>IFERROR(__xludf.DUMMYFUNCTION("IFERROR(GOOGLEFINANCE($A175,""low""),"""")"),49.24)</f>
        <v>49.24</v>
      </c>
      <c r="AM175" s="61">
        <f t="shared" si="2"/>
        <v>0.01502843217</v>
      </c>
      <c r="AN175" s="62">
        <f>IFERROR(__xludf.DUMMYFUNCTION("IFERROR((GOOGLEFINANCE($A175,""volume"")),0)"),47100.0)</f>
        <v>47100</v>
      </c>
      <c r="AO175" s="60">
        <f>IFERROR(__xludf.DUMMYFUNCTION("IFERROR((GOOGLEFINANCE($A175,""closeyest"")),"""")"),50.02)</f>
        <v>50.02</v>
      </c>
      <c r="AP175" s="60">
        <f>IFERROR(__xludf.DUMMYFUNCTION("IFERROR((GOOGLEFINANCE($A175,""shares"")),"""")"),1.15225444E9)</f>
        <v>1152254440</v>
      </c>
      <c r="AQ175" s="18"/>
    </row>
    <row r="176">
      <c r="A176" s="45" t="str">
        <f>'Dados StatusInvest'!A171:A790</f>
        <v>CPLE3</v>
      </c>
      <c r="B176" s="46" t="str">
        <f>IFERROR(__xludf.DUMMYFUNCTION("IFERROR((GOOGLEFINANCE(A176,""name"")),"""")"),"Cia Paranaense De Energia Copel Ord Shs")</f>
        <v>Cia Paranaense De Energia Copel Ord Shs</v>
      </c>
      <c r="C176" s="46" t="str">
        <f>IFERROR((VLOOKUP(LEFT($A176,4),Setor!$A:$E,3,0)),"")</f>
        <v>Utilidade Pública</v>
      </c>
      <c r="D176" s="46" t="str">
        <f>IFERROR((VLOOKUP(LEFT($A176,4),Setor!$A:$E,4,0)),"")</f>
        <v>Energia Elétrica</v>
      </c>
      <c r="E176" s="46" t="str">
        <f>IFERROR((VLOOKUP(LEFT($A176,4),Setor!$A:$E,5,0)),"")</f>
        <v>Energia Elétrica</v>
      </c>
      <c r="F176" s="47">
        <f>IFERROR(__xludf.DUMMYFUNCTION("IFERROR((GOOGLEFINANCE(A176)),"""")"),14.09)</f>
        <v>14.09</v>
      </c>
      <c r="G176" s="48" t="str">
        <f>IFERROR(__xludf.DUMMYFUNCTION("IFERROR((sparkline(GOOGLEFINANCE($A176,""price"",TODAY()-30,TODAY(),""DAILY""),{""charttype"",""line"";""linewidth"",1;""color"",""#5f88cc""})),"""")"),"")</f>
        <v/>
      </c>
      <c r="H176" s="49">
        <f>IFERROR(__xludf.DUMMYFUNCTION("IFERROR((((GOOGLEFINANCE(A176))-(INDEX(GoogleFinance(A176,""PRICE"",$AQ$1),2,2)))/(INDEX(GoogleFinance(A176,""PRICE"",$AQ$1),2,2))),"""")"),0.09394409937888192)</f>
        <v>0.09394409938</v>
      </c>
      <c r="I176" s="47">
        <f>IFERROR(__xludf.DUMMYFUNCTION("IFERROR((GOOGLEFINANCE($A176,""high52"")),"""")"),14.31)</f>
        <v>14.31</v>
      </c>
      <c r="J176" s="48" t="str">
        <f>IFERROR(__xludf.DUMMYFUNCTION("IFERROR((sparkline(GOOGLEFINANCE($A176,""price"",TODAY()-365,TODAY(),""DAILY""),{""charttype"",""line"";""linewidth"",1;""color"",""#5f88cc""})),"""")"),"")</f>
        <v/>
      </c>
      <c r="K176" s="50">
        <f>IFERROR(__xludf.DUMMYFUNCTION("IFERROR((((GOOGLEFINANCE(A176))-(INDEX(GoogleFinance(A176,""PRICE"",$AP$1),2,2)))/(INDEX(GoogleFinance(A176,""PRICE"",$AP$1),2,2))),"""")"),0.5348583877995643)</f>
        <v>0.5348583878</v>
      </c>
      <c r="L176" s="51">
        <f t="shared" si="1"/>
        <v>-0.01537386443</v>
      </c>
      <c r="M176" s="52">
        <f>IFERROR((VLOOKUP($A176,'Dados StatusInvest'!$A:$AZ,COLUMN(M176)-$A$5,0)*VLOOKUP($A176,'Dados StatusInvest'!$A:$AZ,2,0)/$F176/100),0)</f>
        <v>0.1831366927</v>
      </c>
      <c r="N176" s="53">
        <f>IFERROR((VLOOKUP($A176,'Dados StatusInvest'!$A:$AZ,COLUMN(N176)-$A$5,0)/VLOOKUP($A176,'Dados StatusInvest'!$A:$AZ,2,0)*$F176),"")</f>
        <v>8.732247899</v>
      </c>
      <c r="O176" s="53">
        <f>IFERROR((VLOOKUP($A176,'Dados StatusInvest'!$A:$AZ,COLUMN(O176)-$A$5,0)/VLOOKUP($A176,'Dados StatusInvest'!$A:$AZ,2,0)*$F176),0)</f>
        <v>9.324264706</v>
      </c>
      <c r="P176" s="54">
        <f>IFERROR((VLOOKUP($A176,'Dados StatusInvest'!$A:$AZ,COLUMN(P176)-$A$5,0)/VLOOKUP($A176,'Dados StatusInvest'!$A:$AZ,2,0)*$F176),0)</f>
        <v>13.03423669</v>
      </c>
      <c r="Q176" s="55">
        <f>IFERROR((VLOOKUP($A176,'Dados StatusInvest'!$A:$AZ,COLUMN(Q176)-$A$5,0)/100),0)</f>
        <v>0.0376</v>
      </c>
      <c r="R176" s="56">
        <f>VLOOKUP($A176,'Dados StatusInvest'!$A:$AZ,COLUMN(R176)-$A$5,0)</f>
        <v>0.65</v>
      </c>
      <c r="S176" s="56">
        <f>IFERROR((VLOOKUP($A176,'Dados StatusInvest'!$A:$AZ,COLUMN(S176)-$A$5,0)),0)</f>
        <v>1.71</v>
      </c>
      <c r="T176" s="53">
        <f>IFERROR((VLOOKUP($A176,'Dados StatusInvest'!$A:$AZ,COLUMN(T176)-$A$5,0)/VLOOKUP($A176,'Dados StatusInvest'!$A:$AZ,2,0)*$F176),0)</f>
        <v>10.55763305</v>
      </c>
      <c r="U176" s="53">
        <f>IFERROR((VLOOKUP($A176,'Dados StatusInvest'!$A:$AZ,COLUMN(U176)-$A$5,0)-VLOOKUP($A176,'Dados StatusInvest'!$A:$AZ,COLUMN(U176)-$A$5-1,0)+T176),0)</f>
        <v>-1.012366947</v>
      </c>
      <c r="V176" s="56">
        <f>IFERROR((VLOOKUP($A176,'Dados StatusInvest'!$A:$AZ,COLUMN(V176)-$A$5,0)),0)</f>
        <v>1.43</v>
      </c>
      <c r="W176" s="56">
        <f>IFERROR((VLOOKUP($A176,'Dados StatusInvest'!$A:$AZ,COLUMN(W176)-$A$5,0)),0)</f>
        <v>8.5</v>
      </c>
      <c r="X176" s="53">
        <f>IFERROR((VLOOKUP($A176,'Dados StatusInvest'!$A:$AZ,COLUMN(X176)-$A$5,0)/VLOOKUP($A176,'Dados StatusInvest'!$A:$AZ,2,0)*$F176),0)</f>
        <v>3.512633053</v>
      </c>
      <c r="Y176" s="54">
        <f>IFERROR((VLOOKUP($A176,'Dados StatusInvest'!$A:$AZ,COLUMN(Y176)-$A$5,0)/VLOOKUP($A176,'Dados StatusInvest'!$A:$AZ,2,0)*$F176),0)</f>
        <v>8.041561625</v>
      </c>
      <c r="Z176" s="56">
        <f>IFERROR((VLOOKUP($A176,'Dados StatusInvest'!$A:$AZ,COLUMN(Z176)-$A$5,0)),0)</f>
        <v>0.42</v>
      </c>
      <c r="AA176" s="57">
        <f>IFERROR((VLOOKUP($A176,'Dados StatusInvest'!$A:$AZ,COLUMN(AA176)-$A$5,0)),0)</f>
        <v>0.58</v>
      </c>
      <c r="AB176" s="57">
        <f>IFERROR((VLOOKUP($A176,'Dados StatusInvest'!$A:$AZ,COLUMN(AB176)-$A$5,0)),0)</f>
        <v>0.4</v>
      </c>
      <c r="AC176" s="58">
        <f>IFERROR((VLOOKUP($A176,'Dados StatusInvest'!$A:$AZ,COLUMN(AC176)-$A$5,0)),0)</f>
        <v>6.88</v>
      </c>
      <c r="AD176" s="57">
        <f>IFERROR((VLOOKUP($A176,'Dados StatusInvest'!$A:$AZ,COLUMN(AD176)-$A$5,0)),0)</f>
        <v>2.1</v>
      </c>
      <c r="AE176" s="56">
        <f>IFERROR((VLOOKUP($A176,'Dados StatusInvest'!$A:$AZ,COLUMN(AE176)-$A$5,0)),0)</f>
        <v>278000000</v>
      </c>
      <c r="AF176" s="56">
        <f>IFERROR((VLOOKUP($A176,'Dados StatusInvest'!$A:$AZ,COLUMN(AF176)-$A$5,0)),0)</f>
        <v>8.71</v>
      </c>
      <c r="AG176" s="56">
        <f>IFERROR((VLOOKUP($A176,'Dados StatusInvest'!$A:$AZ,COLUMN(AG176)-$A$5,0)),0)</f>
        <v>0.74</v>
      </c>
      <c r="AH176" s="56">
        <f>IFERROR((VLOOKUP($A176,'Dados StatusInvest'!$A:$AZ,COLUMN(AH176)-$A$5,0)),0)</f>
        <v>-0.67</v>
      </c>
      <c r="AI176" s="57">
        <f>IFERROR((VLOOKUP($A176,'Dados StatusInvest'!$A:$AZ,COLUMN(AI176)-$A$5,0)),0)</f>
        <v>42594535239</v>
      </c>
      <c r="AJ176" s="59" t="str">
        <f>IFERROR((VLOOKUP($A176,'Dados StatusInvest'!$A:$AZ,COLUMN(AJ176)-$A$5,0)),0)</f>
        <v/>
      </c>
      <c r="AK176" s="60">
        <f>IFERROR(__xludf.DUMMYFUNCTION("IFERROR(GOOGLEFINANCE($A176,""high""),"""")"),14.19)</f>
        <v>14.19</v>
      </c>
      <c r="AL176" s="60">
        <f>IFERROR(__xludf.DUMMYFUNCTION("IFERROR(GOOGLEFINANCE($A176,""low""),"""")"),14.04)</f>
        <v>14.04</v>
      </c>
      <c r="AM176" s="61">
        <f t="shared" si="2"/>
        <v>0.01068376068</v>
      </c>
      <c r="AN176" s="62">
        <f>IFERROR(__xludf.DUMMYFUNCTION("IFERROR((GOOGLEFINANCE($A176,""volume"")),0)"),415800.0)</f>
        <v>415800</v>
      </c>
      <c r="AO176" s="60">
        <f>IFERROR(__xludf.DUMMYFUNCTION("IFERROR((GOOGLEFINANCE($A176,""closeyest"")),"""")"),14.28)</f>
        <v>14.28</v>
      </c>
      <c r="AP176" s="60">
        <f>IFERROR(__xludf.DUMMYFUNCTION("IFERROR((GOOGLEFINANCE($A176,""shares"")),"""")"),2.98281059E9)</f>
        <v>2982810590</v>
      </c>
      <c r="AQ176" s="18"/>
    </row>
    <row r="177">
      <c r="A177" s="45" t="str">
        <f>'Dados StatusInvest'!A172:A791</f>
        <v>CPLE5</v>
      </c>
      <c r="B177" s="46" t="str">
        <f>IFERROR(__xludf.DUMMYFUNCTION("IFERROR((GOOGLEFINANCE(A177,""name"")),"""")"),"")</f>
        <v/>
      </c>
      <c r="C177" s="46" t="str">
        <f>IFERROR((VLOOKUP(LEFT($A177,4),Setor!$A:$E,3,0)),"")</f>
        <v>Utilidade Pública</v>
      </c>
      <c r="D177" s="46" t="str">
        <f>IFERROR((VLOOKUP(LEFT($A177,4),Setor!$A:$E,4,0)),"")</f>
        <v>Energia Elétrica</v>
      </c>
      <c r="E177" s="46" t="str">
        <f>IFERROR((VLOOKUP(LEFT($A177,4),Setor!$A:$E,5,0)),"")</f>
        <v>Energia Elétrica</v>
      </c>
      <c r="F177" s="47" t="str">
        <f>IFERROR(__xludf.DUMMYFUNCTION("IFERROR((GOOGLEFINANCE(A177)),"""")"),"")</f>
        <v/>
      </c>
      <c r="G177" s="48" t="str">
        <f>IFERROR(__xludf.DUMMYFUNCTION("IFERROR((sparkline(GOOGLEFINANCE($A177,""price"",TODAY()-30,TODAY(),""DAILY""),{""charttype"",""line"";""linewidth"",1;""color"",""#5f88cc""})),"""")"),"")</f>
        <v/>
      </c>
      <c r="H177" s="49" t="str">
        <f>IFERROR(__xludf.DUMMYFUNCTION("IFERROR((((GOOGLEFINANCE(A177))-(INDEX(GoogleFinance(A177,""PRICE"",$AQ$1),2,2)))/(INDEX(GoogleFinance(A177,""PRICE"",$AQ$1),2,2))),"""")"),"")</f>
        <v/>
      </c>
      <c r="I177" s="47" t="str">
        <f>IFERROR(__xludf.DUMMYFUNCTION("IFERROR((GOOGLEFINANCE($A177,""high52"")),"""")"),"")</f>
        <v/>
      </c>
      <c r="J177" s="48" t="str">
        <f>IFERROR(__xludf.DUMMYFUNCTION("IFERROR((sparkline(GOOGLEFINANCE($A177,""price"",TODAY()-365,TODAY(),""DAILY""),{""charttype"",""line"";""linewidth"",1;""color"",""#5f88cc""})),"""")"),"")</f>
        <v/>
      </c>
      <c r="K177" s="50" t="str">
        <f>IFERROR(__xludf.DUMMYFUNCTION("IFERROR((((GOOGLEFINANCE(A177))-(INDEX(GoogleFinance(A177,""PRICE"",$AP$1),2,2)))/(INDEX(GoogleFinance(A177,""PRICE"",$AP$1),2,2))),"""")"),"")</f>
        <v/>
      </c>
      <c r="L177" s="51">
        <f t="shared" si="1"/>
        <v>0</v>
      </c>
      <c r="M177" s="52">
        <f>IFERROR((VLOOKUP($A177,'Dados StatusInvest'!$A:$AZ,COLUMN(M177)-$A$5,0)*VLOOKUP($A177,'Dados StatusInvest'!$A:$AZ,2,0)/$F177/100),0)</f>
        <v>0</v>
      </c>
      <c r="N177" s="53">
        <f>IFERROR((VLOOKUP($A177,'Dados StatusInvest'!$A:$AZ,COLUMN(N177)-$A$5,0)/VLOOKUP($A177,'Dados StatusInvest'!$A:$AZ,2,0)*$F177),"")</f>
        <v>0</v>
      </c>
      <c r="O177" s="53">
        <f>IFERROR((VLOOKUP($A177,'Dados StatusInvest'!$A:$AZ,COLUMN(O177)-$A$5,0)/VLOOKUP($A177,'Dados StatusInvest'!$A:$AZ,2,0)*$F177),0)</f>
        <v>0</v>
      </c>
      <c r="P177" s="54">
        <f>IFERROR((VLOOKUP($A177,'Dados StatusInvest'!$A:$AZ,COLUMN(P177)-$A$5,0)/VLOOKUP($A177,'Dados StatusInvest'!$A:$AZ,2,0)*$F177),0)</f>
        <v>0</v>
      </c>
      <c r="Q177" s="55">
        <f>IFERROR((VLOOKUP($A177,'Dados StatusInvest'!$A:$AZ,COLUMN(Q177)-$A$5,0)/100),0)</f>
        <v>0.0376</v>
      </c>
      <c r="R177" s="56">
        <f>VLOOKUP($A177,'Dados StatusInvest'!$A:$AZ,COLUMN(R177)-$A$5,0)</f>
        <v>0.65</v>
      </c>
      <c r="S177" s="56">
        <f>IFERROR((VLOOKUP($A177,'Dados StatusInvest'!$A:$AZ,COLUMN(S177)-$A$5,0)),0)</f>
        <v>1.62</v>
      </c>
      <c r="T177" s="53">
        <f>IFERROR((VLOOKUP($A177,'Dados StatusInvest'!$A:$AZ,COLUMN(T177)-$A$5,0)/VLOOKUP($A177,'Dados StatusInvest'!$A:$AZ,2,0)*$F177),0)</f>
        <v>0</v>
      </c>
      <c r="U177" s="53">
        <f>IFERROR((VLOOKUP($A177,'Dados StatusInvest'!$A:$AZ,COLUMN(U177)-$A$5,0)-VLOOKUP($A177,'Dados StatusInvest'!$A:$AZ,COLUMN(U177)-$A$5-1,0)+T177),0)</f>
        <v>-11.01</v>
      </c>
      <c r="V177" s="56">
        <f>IFERROR((VLOOKUP($A177,'Dados StatusInvest'!$A:$AZ,COLUMN(V177)-$A$5,0)),0)</f>
        <v>1.43</v>
      </c>
      <c r="W177" s="56">
        <f>IFERROR((VLOOKUP($A177,'Dados StatusInvest'!$A:$AZ,COLUMN(W177)-$A$5,0)),0)</f>
        <v>8.5</v>
      </c>
      <c r="X177" s="53">
        <f>IFERROR((VLOOKUP($A177,'Dados StatusInvest'!$A:$AZ,COLUMN(X177)-$A$5,0)/VLOOKUP($A177,'Dados StatusInvest'!$A:$AZ,2,0)*$F177),0)</f>
        <v>0</v>
      </c>
      <c r="Y177" s="54">
        <f>IFERROR((VLOOKUP($A177,'Dados StatusInvest'!$A:$AZ,COLUMN(Y177)-$A$5,0)/VLOOKUP($A177,'Dados StatusInvest'!$A:$AZ,2,0)*$F177),0)</f>
        <v>0</v>
      </c>
      <c r="Z177" s="56">
        <f>IFERROR((VLOOKUP($A177,'Dados StatusInvest'!$A:$AZ,COLUMN(Z177)-$A$5,0)),0)</f>
        <v>0.42</v>
      </c>
      <c r="AA177" s="57">
        <f>IFERROR((VLOOKUP($A177,'Dados StatusInvest'!$A:$AZ,COLUMN(AA177)-$A$5,0)),0)</f>
        <v>0.58</v>
      </c>
      <c r="AB177" s="57">
        <f>IFERROR((VLOOKUP($A177,'Dados StatusInvest'!$A:$AZ,COLUMN(AB177)-$A$5,0)),0)</f>
        <v>0.4</v>
      </c>
      <c r="AC177" s="58">
        <f>IFERROR((VLOOKUP($A177,'Dados StatusInvest'!$A:$AZ,COLUMN(AC177)-$A$5,0)),0)</f>
        <v>6.88</v>
      </c>
      <c r="AD177" s="57">
        <f>IFERROR((VLOOKUP($A177,'Dados StatusInvest'!$A:$AZ,COLUMN(AD177)-$A$5,0)),0)</f>
        <v>2.1</v>
      </c>
      <c r="AE177" s="56">
        <f>IFERROR((VLOOKUP($A177,'Dados StatusInvest'!$A:$AZ,COLUMN(AE177)-$A$5,0)),0)</f>
        <v>408000000</v>
      </c>
      <c r="AF177" s="56">
        <f>IFERROR((VLOOKUP($A177,'Dados StatusInvest'!$A:$AZ,COLUMN(AF177)-$A$5,0)),0)</f>
        <v>8.71</v>
      </c>
      <c r="AG177" s="56">
        <f>IFERROR((VLOOKUP($A177,'Dados StatusInvest'!$A:$AZ,COLUMN(AG177)-$A$5,0)),0)</f>
        <v>0.74</v>
      </c>
      <c r="AH177" s="56">
        <f>IFERROR((VLOOKUP($A177,'Dados StatusInvest'!$A:$AZ,COLUMN(AH177)-$A$5,0)),0)</f>
        <v>-0.64</v>
      </c>
      <c r="AI177" s="57">
        <f>IFERROR((VLOOKUP($A177,'Dados StatusInvest'!$A:$AZ,COLUMN(AI177)-$A$5,0)),0)</f>
        <v>42594535239</v>
      </c>
      <c r="AJ177" s="59" t="str">
        <f>IFERROR((VLOOKUP($A177,'Dados StatusInvest'!$A:$AZ,COLUMN(AJ177)-$A$5,0)),0)</f>
        <v/>
      </c>
      <c r="AK177" s="60" t="str">
        <f>IFERROR(__xludf.DUMMYFUNCTION("IFERROR(GOOGLEFINANCE($A177,""high""),"""")"),"")</f>
        <v/>
      </c>
      <c r="AL177" s="60" t="str">
        <f>IFERROR(__xludf.DUMMYFUNCTION("IFERROR(GOOGLEFINANCE($A177,""low""),"""")"),"")</f>
        <v/>
      </c>
      <c r="AM177" s="61">
        <f t="shared" si="2"/>
        <v>0</v>
      </c>
      <c r="AN177" s="62">
        <f>IFERROR(__xludf.DUMMYFUNCTION("IFERROR((GOOGLEFINANCE($A177,""volume"")),0)"),0.0)</f>
        <v>0</v>
      </c>
      <c r="AO177" s="60" t="str">
        <f>IFERROR(__xludf.DUMMYFUNCTION("IFERROR((GOOGLEFINANCE($A177,""closeyest"")),"""")"),"")</f>
        <v/>
      </c>
      <c r="AP177" s="60" t="str">
        <f>IFERROR(__xludf.DUMMYFUNCTION("IFERROR((GOOGLEFINANCE($A177,""shares"")),"""")"),"")</f>
        <v/>
      </c>
      <c r="AQ177" s="18"/>
    </row>
    <row r="178">
      <c r="A178" s="45" t="str">
        <f>'Dados StatusInvest'!A173:A792</f>
        <v>CPLE6</v>
      </c>
      <c r="B178" s="46" t="str">
        <f>IFERROR(__xludf.DUMMYFUNCTION("IFERROR((GOOGLEFINANCE(A178,""name"")),"""")"),"")</f>
        <v/>
      </c>
      <c r="C178" s="46" t="str">
        <f>IFERROR((VLOOKUP(LEFT($A178,4),Setor!$A:$E,3,0)),"")</f>
        <v>Utilidade Pública</v>
      </c>
      <c r="D178" s="46" t="str">
        <f>IFERROR((VLOOKUP(LEFT($A178,4),Setor!$A:$E,4,0)),"")</f>
        <v>Energia Elétrica</v>
      </c>
      <c r="E178" s="46" t="str">
        <f>IFERROR((VLOOKUP(LEFT($A178,4),Setor!$A:$E,5,0)),"")</f>
        <v>Energia Elétrica</v>
      </c>
      <c r="F178" s="47" t="str">
        <f>IFERROR(__xludf.DUMMYFUNCTION("IFERROR((GOOGLEFINANCE(A178)),"""")"),"")</f>
        <v/>
      </c>
      <c r="G178" s="48" t="str">
        <f>IFERROR(__xludf.DUMMYFUNCTION("IFERROR((sparkline(GOOGLEFINANCE($A178,""price"",TODAY()-30,TODAY(),""DAILY""),{""charttype"",""line"";""linewidth"",1;""color"",""#5f88cc""})),"""")"),"")</f>
        <v/>
      </c>
      <c r="H178" s="49" t="str">
        <f>IFERROR(__xludf.DUMMYFUNCTION("IFERROR((((GOOGLEFINANCE(A178))-(INDEX(GoogleFinance(A178,""PRICE"",$AQ$1),2,2)))/(INDEX(GoogleFinance(A178,""PRICE"",$AQ$1),2,2))),"""")"),"")</f>
        <v/>
      </c>
      <c r="I178" s="47" t="str">
        <f>IFERROR(__xludf.DUMMYFUNCTION("IFERROR((GOOGLEFINANCE($A178,""high52"")),"""")"),"")</f>
        <v/>
      </c>
      <c r="J178" s="48" t="str">
        <f>IFERROR(__xludf.DUMMYFUNCTION("IFERROR((sparkline(GOOGLEFINANCE($A178,""price"",TODAY()-365,TODAY(),""DAILY""),{""charttype"",""line"";""linewidth"",1;""color"",""#5f88cc""})),"""")"),"")</f>
        <v/>
      </c>
      <c r="K178" s="50" t="str">
        <f>IFERROR(__xludf.DUMMYFUNCTION("IFERROR((((GOOGLEFINANCE(A178))-(INDEX(GoogleFinance(A178,""PRICE"",$AP$1),2,2)))/(INDEX(GoogleFinance(A178,""PRICE"",$AP$1),2,2))),"""")"),"")</f>
        <v/>
      </c>
      <c r="L178" s="51">
        <f t="shared" si="1"/>
        <v>0</v>
      </c>
      <c r="M178" s="52">
        <f>IFERROR((VLOOKUP($A178,'Dados StatusInvest'!$A:$AZ,COLUMN(M178)-$A$5,0)*VLOOKUP($A178,'Dados StatusInvest'!$A:$AZ,2,0)/$F178/100),0)</f>
        <v>0</v>
      </c>
      <c r="N178" s="53">
        <f>IFERROR((VLOOKUP($A178,'Dados StatusInvest'!$A:$AZ,COLUMN(N178)-$A$5,0)/VLOOKUP($A178,'Dados StatusInvest'!$A:$AZ,2,0)*$F178),"")</f>
        <v>0</v>
      </c>
      <c r="O178" s="53">
        <f>IFERROR((VLOOKUP($A178,'Dados StatusInvest'!$A:$AZ,COLUMN(O178)-$A$5,0)/VLOOKUP($A178,'Dados StatusInvest'!$A:$AZ,2,0)*$F178),0)</f>
        <v>0</v>
      </c>
      <c r="P178" s="54">
        <f>IFERROR((VLOOKUP($A178,'Dados StatusInvest'!$A:$AZ,COLUMN(P178)-$A$5,0)/VLOOKUP($A178,'Dados StatusInvest'!$A:$AZ,2,0)*$F178),0)</f>
        <v>0</v>
      </c>
      <c r="Q178" s="55">
        <f>IFERROR((VLOOKUP($A178,'Dados StatusInvest'!$A:$AZ,COLUMN(Q178)-$A$5,0)/100),0)</f>
        <v>0.0376</v>
      </c>
      <c r="R178" s="56">
        <f>VLOOKUP($A178,'Dados StatusInvest'!$A:$AZ,COLUMN(R178)-$A$5,0)</f>
        <v>0.65</v>
      </c>
      <c r="S178" s="56">
        <f>IFERROR((VLOOKUP($A178,'Dados StatusInvest'!$A:$AZ,COLUMN(S178)-$A$5,0)),0)</f>
        <v>1.7</v>
      </c>
      <c r="T178" s="53">
        <f>IFERROR((VLOOKUP($A178,'Dados StatusInvest'!$A:$AZ,COLUMN(T178)-$A$5,0)/VLOOKUP($A178,'Dados StatusInvest'!$A:$AZ,2,0)*$F178),0)</f>
        <v>0</v>
      </c>
      <c r="U178" s="53">
        <f>IFERROR((VLOOKUP($A178,'Dados StatusInvest'!$A:$AZ,COLUMN(U178)-$A$5,0)-VLOOKUP($A178,'Dados StatusInvest'!$A:$AZ,COLUMN(U178)-$A$5-1,0)+T178),0)</f>
        <v>-11.53</v>
      </c>
      <c r="V178" s="56">
        <f>IFERROR((VLOOKUP($A178,'Dados StatusInvest'!$A:$AZ,COLUMN(V178)-$A$5,0)),0)</f>
        <v>1.43</v>
      </c>
      <c r="W178" s="56">
        <f>IFERROR((VLOOKUP($A178,'Dados StatusInvest'!$A:$AZ,COLUMN(W178)-$A$5,0)),0)</f>
        <v>8.5</v>
      </c>
      <c r="X178" s="53">
        <f>IFERROR((VLOOKUP($A178,'Dados StatusInvest'!$A:$AZ,COLUMN(X178)-$A$5,0)/VLOOKUP($A178,'Dados StatusInvest'!$A:$AZ,2,0)*$F178),0)</f>
        <v>0</v>
      </c>
      <c r="Y178" s="54">
        <f>IFERROR((VLOOKUP($A178,'Dados StatusInvest'!$A:$AZ,COLUMN(Y178)-$A$5,0)/VLOOKUP($A178,'Dados StatusInvest'!$A:$AZ,2,0)*$F178),0)</f>
        <v>0</v>
      </c>
      <c r="Z178" s="56">
        <f>IFERROR((VLOOKUP($A178,'Dados StatusInvest'!$A:$AZ,COLUMN(Z178)-$A$5,0)),0)</f>
        <v>0.42</v>
      </c>
      <c r="AA178" s="57">
        <f>IFERROR((VLOOKUP($A178,'Dados StatusInvest'!$A:$AZ,COLUMN(AA178)-$A$5,0)),0)</f>
        <v>0.58</v>
      </c>
      <c r="AB178" s="57">
        <f>IFERROR((VLOOKUP($A178,'Dados StatusInvest'!$A:$AZ,COLUMN(AB178)-$A$5,0)),0)</f>
        <v>0.4</v>
      </c>
      <c r="AC178" s="58">
        <f>IFERROR((VLOOKUP($A178,'Dados StatusInvest'!$A:$AZ,COLUMN(AC178)-$A$5,0)),0)</f>
        <v>6.88</v>
      </c>
      <c r="AD178" s="57">
        <f>IFERROR((VLOOKUP($A178,'Dados StatusInvest'!$A:$AZ,COLUMN(AD178)-$A$5,0)),0)</f>
        <v>2.1</v>
      </c>
      <c r="AE178" s="56">
        <f>IFERROR((VLOOKUP($A178,'Dados StatusInvest'!$A:$AZ,COLUMN(AE178)-$A$5,0)),0)</f>
        <v>121000000</v>
      </c>
      <c r="AF178" s="56">
        <f>IFERROR((VLOOKUP($A178,'Dados StatusInvest'!$A:$AZ,COLUMN(AF178)-$A$5,0)),0)</f>
        <v>8.71</v>
      </c>
      <c r="AG178" s="56">
        <f>IFERROR((VLOOKUP($A178,'Dados StatusInvest'!$A:$AZ,COLUMN(AG178)-$A$5,0)),0)</f>
        <v>0.74</v>
      </c>
      <c r="AH178" s="56">
        <f>IFERROR((VLOOKUP($A178,'Dados StatusInvest'!$A:$AZ,COLUMN(AH178)-$A$5,0)),0)</f>
        <v>-0.67</v>
      </c>
      <c r="AI178" s="57">
        <f>IFERROR((VLOOKUP($A178,'Dados StatusInvest'!$A:$AZ,COLUMN(AI178)-$A$5,0)),0)</f>
        <v>42594535239</v>
      </c>
      <c r="AJ178" s="59" t="str">
        <f>IFERROR((VLOOKUP($A178,'Dados StatusInvest'!$A:$AZ,COLUMN(AJ178)-$A$5,0)),0)</f>
        <v/>
      </c>
      <c r="AK178" s="60" t="str">
        <f>IFERROR(__xludf.DUMMYFUNCTION("IFERROR(GOOGLEFINANCE($A178,""high""),"""")"),"")</f>
        <v/>
      </c>
      <c r="AL178" s="60" t="str">
        <f>IFERROR(__xludf.DUMMYFUNCTION("IFERROR(GOOGLEFINANCE($A178,""low""),"""")"),"")</f>
        <v/>
      </c>
      <c r="AM178" s="61">
        <f t="shared" si="2"/>
        <v>0</v>
      </c>
      <c r="AN178" s="62">
        <f>IFERROR(__xludf.DUMMYFUNCTION("IFERROR((GOOGLEFINANCE($A178,""volume"")),0)"),0.0)</f>
        <v>0</v>
      </c>
      <c r="AO178" s="60" t="str">
        <f>IFERROR(__xludf.DUMMYFUNCTION("IFERROR((GOOGLEFINANCE($A178,""closeyest"")),"""")"),"")</f>
        <v/>
      </c>
      <c r="AP178" s="60" t="str">
        <f>IFERROR(__xludf.DUMMYFUNCTION("IFERROR((GOOGLEFINANCE($A178,""shares"")),"""")"),"")</f>
        <v/>
      </c>
      <c r="AQ178" s="18"/>
    </row>
    <row r="179">
      <c r="A179" s="45" t="str">
        <f>'Dados StatusInvest'!A174:A793</f>
        <v>CPRE3</v>
      </c>
      <c r="B179" s="46" t="str">
        <f>IFERROR(__xludf.DUMMYFUNCTION("IFERROR((GOOGLEFINANCE(A179,""name"")),"""")"),"")</f>
        <v/>
      </c>
      <c r="C179" s="46" t="str">
        <f>IFERROR((VLOOKUP(LEFT($A179,4),Setor!$A:$E,3,0)),"")</f>
        <v>Utilidade Pública</v>
      </c>
      <c r="D179" s="46" t="str">
        <f>IFERROR((VLOOKUP(LEFT($A179,4),Setor!$A:$E,4,0)),"")</f>
        <v>Energia Elétrica</v>
      </c>
      <c r="E179" s="46" t="str">
        <f>IFERROR((VLOOKUP(LEFT($A179,4),Setor!$A:$E,5,0)),"")</f>
        <v>Energia Elétrica</v>
      </c>
      <c r="F179" s="47" t="str">
        <f>IFERROR(__xludf.DUMMYFUNCTION("IFERROR((GOOGLEFINANCE(A179)),"""")"),"")</f>
        <v/>
      </c>
      <c r="G179" s="48" t="str">
        <f>IFERROR(__xludf.DUMMYFUNCTION("IFERROR((sparkline(GOOGLEFINANCE($A179,""price"",TODAY()-30,TODAY(),""DAILY""),{""charttype"",""line"";""linewidth"",1;""color"",""#5f88cc""})),"""")"),"")</f>
        <v/>
      </c>
      <c r="H179" s="49" t="str">
        <f>IFERROR(__xludf.DUMMYFUNCTION("IFERROR((((GOOGLEFINANCE(A179))-(INDEX(GoogleFinance(A179,""PRICE"",$AQ$1),2,2)))/(INDEX(GoogleFinance(A179,""PRICE"",$AQ$1),2,2))),"""")"),"")</f>
        <v/>
      </c>
      <c r="I179" s="47" t="str">
        <f>IFERROR(__xludf.DUMMYFUNCTION("IFERROR((GOOGLEFINANCE($A179,""high52"")),"""")"),"")</f>
        <v/>
      </c>
      <c r="J179" s="48" t="str">
        <f>IFERROR(__xludf.DUMMYFUNCTION("IFERROR((sparkline(GOOGLEFINANCE($A179,""price"",TODAY()-365,TODAY(),""DAILY""),{""charttype"",""line"";""linewidth"",1;""color"",""#5f88cc""})),"""")"),"")</f>
        <v/>
      </c>
      <c r="K179" s="50" t="str">
        <f>IFERROR(__xludf.DUMMYFUNCTION("IFERROR((((GOOGLEFINANCE(A179))-(INDEX(GoogleFinance(A179,""PRICE"",$AP$1),2,2)))/(INDEX(GoogleFinance(A179,""PRICE"",$AP$1),2,2))),"""")"),"")</f>
        <v/>
      </c>
      <c r="L179" s="51">
        <f t="shared" si="1"/>
        <v>0</v>
      </c>
      <c r="M179" s="52">
        <f>IFERROR((VLOOKUP($A179,'Dados StatusInvest'!$A:$AZ,COLUMN(M179)-$A$5,0)*VLOOKUP($A179,'Dados StatusInvest'!$A:$AZ,2,0)/$F179/100),0)</f>
        <v>0</v>
      </c>
      <c r="N179" s="53">
        <f>IFERROR((VLOOKUP($A179,'Dados StatusInvest'!$A:$AZ,COLUMN(N179)-$A$5,0)/VLOOKUP($A179,'Dados StatusInvest'!$A:$AZ,2,0)*$F179),"")</f>
        <v>0</v>
      </c>
      <c r="O179" s="53">
        <f>IFERROR((VLOOKUP($A179,'Dados StatusInvest'!$A:$AZ,COLUMN(O179)-$A$5,0)/VLOOKUP($A179,'Dados StatusInvest'!$A:$AZ,2,0)*$F179),0)</f>
        <v>0</v>
      </c>
      <c r="P179" s="54">
        <f>IFERROR((VLOOKUP($A179,'Dados StatusInvest'!$A:$AZ,COLUMN(P179)-$A$5,0)/VLOOKUP($A179,'Dados StatusInvest'!$A:$AZ,2,0)*$F179),0)</f>
        <v>0</v>
      </c>
      <c r="Q179" s="55">
        <f>IFERROR((VLOOKUP($A179,'Dados StatusInvest'!$A:$AZ,COLUMN(Q179)-$A$5,0)/100),0)</f>
        <v>-0.0001</v>
      </c>
      <c r="R179" s="56">
        <f>VLOOKUP($A179,'Dados StatusInvest'!$A:$AZ,COLUMN(R179)-$A$5,0)</f>
        <v>-0.01</v>
      </c>
      <c r="S179" s="56">
        <f>IFERROR((VLOOKUP($A179,'Dados StatusInvest'!$A:$AZ,COLUMN(S179)-$A$5,0)),0)</f>
        <v>2.98</v>
      </c>
      <c r="T179" s="53">
        <f>IFERROR((VLOOKUP($A179,'Dados StatusInvest'!$A:$AZ,COLUMN(T179)-$A$5,0)/VLOOKUP($A179,'Dados StatusInvest'!$A:$AZ,2,0)*$F179),0)</f>
        <v>0</v>
      </c>
      <c r="U179" s="53">
        <f>IFERROR((VLOOKUP($A179,'Dados StatusInvest'!$A:$AZ,COLUMN(U179)-$A$5,0)-VLOOKUP($A179,'Dados StatusInvest'!$A:$AZ,COLUMN(U179)-$A$5-1,0)+T179),0)</f>
        <v>-3980.85</v>
      </c>
      <c r="V179" s="56">
        <f>IFERROR((VLOOKUP($A179,'Dados StatusInvest'!$A:$AZ,COLUMN(V179)-$A$5,0)),0)</f>
        <v>1</v>
      </c>
      <c r="W179" s="56">
        <f>IFERROR((VLOOKUP($A179,'Dados StatusInvest'!$A:$AZ,COLUMN(W179)-$A$5,0)),0)</f>
        <v>22.18</v>
      </c>
      <c r="X179" s="53">
        <f>IFERROR((VLOOKUP($A179,'Dados StatusInvest'!$A:$AZ,COLUMN(X179)-$A$5,0)/VLOOKUP($A179,'Dados StatusInvest'!$A:$AZ,2,0)*$F179),0)</f>
        <v>0</v>
      </c>
      <c r="Y179" s="54">
        <f>IFERROR((VLOOKUP($A179,'Dados StatusInvest'!$A:$AZ,COLUMN(Y179)-$A$5,0)/VLOOKUP($A179,'Dados StatusInvest'!$A:$AZ,2,0)*$F179),0)</f>
        <v>0</v>
      </c>
      <c r="Z179" s="56">
        <f>IFERROR((VLOOKUP($A179,'Dados StatusInvest'!$A:$AZ,COLUMN(Z179)-$A$5,0)),0)</f>
        <v>0.44</v>
      </c>
      <c r="AA179" s="57">
        <f>IFERROR((VLOOKUP($A179,'Dados StatusInvest'!$A:$AZ,COLUMN(AA179)-$A$5,0)),0)</f>
        <v>0.55</v>
      </c>
      <c r="AB179" s="57">
        <f>IFERROR((VLOOKUP($A179,'Dados StatusInvest'!$A:$AZ,COLUMN(AB179)-$A$5,0)),0)</f>
        <v>0.34</v>
      </c>
      <c r="AC179" s="58">
        <f>IFERROR((VLOOKUP($A179,'Dados StatusInvest'!$A:$AZ,COLUMN(AC179)-$A$5,0)),0)</f>
        <v>13.5</v>
      </c>
      <c r="AD179" s="57">
        <f>IFERROR((VLOOKUP($A179,'Dados StatusInvest'!$A:$AZ,COLUMN(AD179)-$A$5,0)),0)</f>
        <v>61.47</v>
      </c>
      <c r="AE179" s="56">
        <f>IFERROR((VLOOKUP($A179,'Dados StatusInvest'!$A:$AZ,COLUMN(AE179)-$A$5,0)),0)</f>
        <v>0</v>
      </c>
      <c r="AF179" s="56">
        <f>IFERROR((VLOOKUP($A179,'Dados StatusInvest'!$A:$AZ,COLUMN(AF179)-$A$5,0)),0)</f>
        <v>8.05</v>
      </c>
      <c r="AG179" s="56">
        <f>IFERROR((VLOOKUP($A179,'Dados StatusInvest'!$A:$AZ,COLUMN(AG179)-$A$5,0)),0)</f>
        <v>1.79</v>
      </c>
      <c r="AH179" s="56">
        <f>IFERROR((VLOOKUP($A179,'Dados StatusInvest'!$A:$AZ,COLUMN(AH179)-$A$5,0)),0)</f>
        <v>-0.42</v>
      </c>
      <c r="AI179" s="57">
        <f>IFERROR((VLOOKUP($A179,'Dados StatusInvest'!$A:$AZ,COLUMN(AI179)-$A$5,0)),0)</f>
        <v>10824655048</v>
      </c>
      <c r="AJ179" s="59" t="str">
        <f>IFERROR((VLOOKUP($A179,'Dados StatusInvest'!$A:$AZ,COLUMN(AJ179)-$A$5,0)),0)</f>
        <v/>
      </c>
      <c r="AK179" s="60" t="str">
        <f>IFERROR(__xludf.DUMMYFUNCTION("IFERROR(GOOGLEFINANCE($A179,""high""),"""")"),"")</f>
        <v/>
      </c>
      <c r="AL179" s="60" t="str">
        <f>IFERROR(__xludf.DUMMYFUNCTION("IFERROR(GOOGLEFINANCE($A179,""low""),"""")"),"")</f>
        <v/>
      </c>
      <c r="AM179" s="61">
        <f t="shared" si="2"/>
        <v>0</v>
      </c>
      <c r="AN179" s="62">
        <f>IFERROR(__xludf.DUMMYFUNCTION("IFERROR((GOOGLEFINANCE($A179,""volume"")),0)"),0.0)</f>
        <v>0</v>
      </c>
      <c r="AO179" s="60" t="str">
        <f>IFERROR(__xludf.DUMMYFUNCTION("IFERROR((GOOGLEFINANCE($A179,""closeyest"")),"""")"),"")</f>
        <v/>
      </c>
      <c r="AP179" s="60" t="str">
        <f>IFERROR(__xludf.DUMMYFUNCTION("IFERROR((GOOGLEFINANCE($A179,""shares"")),"""")"),"")</f>
        <v/>
      </c>
      <c r="AQ179" s="18"/>
    </row>
    <row r="180">
      <c r="A180" s="45" t="str">
        <f>'Dados StatusInvest'!A175:A794</f>
        <v>CREM3</v>
      </c>
      <c r="B180" s="46" t="str">
        <f>IFERROR(__xludf.DUMMYFUNCTION("IFERROR((GOOGLEFINANCE(A180,""name"")),"""")"),"")</f>
        <v/>
      </c>
      <c r="C180" s="46" t="str">
        <f>IFERROR((VLOOKUP(LEFT($A180,4),Setor!$A:$E,3,0)),"")</f>
        <v/>
      </c>
      <c r="D180" s="46" t="str">
        <f>IFERROR((VLOOKUP(LEFT($A180,4),Setor!$A:$E,4,0)),"")</f>
        <v/>
      </c>
      <c r="E180" s="46" t="str">
        <f>IFERROR((VLOOKUP(LEFT($A180,4),Setor!$A:$E,5,0)),"")</f>
        <v/>
      </c>
      <c r="F180" s="47" t="str">
        <f>IFERROR(__xludf.DUMMYFUNCTION("IFERROR((GOOGLEFINANCE(A180)),"""")"),"")</f>
        <v/>
      </c>
      <c r="G180" s="48" t="str">
        <f>IFERROR(__xludf.DUMMYFUNCTION("IFERROR((sparkline(GOOGLEFINANCE($A180,""price"",TODAY()-30,TODAY(),""DAILY""),{""charttype"",""line"";""linewidth"",1;""color"",""#5f88cc""})),"""")"),"")</f>
        <v/>
      </c>
      <c r="H180" s="49" t="str">
        <f>IFERROR(__xludf.DUMMYFUNCTION("IFERROR((((GOOGLEFINANCE(A180))-(INDEX(GoogleFinance(A180,""PRICE"",$AQ$1),2,2)))/(INDEX(GoogleFinance(A180,""PRICE"",$AQ$1),2,2))),"""")"),"")</f>
        <v/>
      </c>
      <c r="I180" s="47" t="str">
        <f>IFERROR(__xludf.DUMMYFUNCTION("IFERROR((GOOGLEFINANCE($A180,""high52"")),"""")"),"")</f>
        <v/>
      </c>
      <c r="J180" s="48" t="str">
        <f>IFERROR(__xludf.DUMMYFUNCTION("IFERROR((sparkline(GOOGLEFINANCE($A180,""price"",TODAY()-365,TODAY(),""DAILY""),{""charttype"",""line"";""linewidth"",1;""color"",""#5f88cc""})),"""")"),"")</f>
        <v/>
      </c>
      <c r="K180" s="50" t="str">
        <f>IFERROR(__xludf.DUMMYFUNCTION("IFERROR((((GOOGLEFINANCE(A180))-(INDEX(GoogleFinance(A180,""PRICE"",$AP$1),2,2)))/(INDEX(GoogleFinance(A180,""PRICE"",$AP$1),2,2))),"""")"),"")</f>
        <v/>
      </c>
      <c r="L180" s="51">
        <f t="shared" si="1"/>
        <v>0</v>
      </c>
      <c r="M180" s="52">
        <f>IFERROR((VLOOKUP($A180,'Dados StatusInvest'!$A:$AZ,COLUMN(M180)-$A$5,0)*VLOOKUP($A180,'Dados StatusInvest'!$A:$AZ,2,0)/$F180/100),0)</f>
        <v>0</v>
      </c>
      <c r="N180" s="53">
        <f>IFERROR((VLOOKUP($A180,'Dados StatusInvest'!$A:$AZ,COLUMN(N180)-$A$5,0)/VLOOKUP($A180,'Dados StatusInvest'!$A:$AZ,2,0)*$F180),"")</f>
        <v>0</v>
      </c>
      <c r="O180" s="53">
        <f>IFERROR((VLOOKUP($A180,'Dados StatusInvest'!$A:$AZ,COLUMN(O180)-$A$5,0)/VLOOKUP($A180,'Dados StatusInvest'!$A:$AZ,2,0)*$F180),0)</f>
        <v>0</v>
      </c>
      <c r="P180" s="54">
        <f>IFERROR((VLOOKUP($A180,'Dados StatusInvest'!$A:$AZ,COLUMN(P180)-$A$5,0)/VLOOKUP($A180,'Dados StatusInvest'!$A:$AZ,2,0)*$F180),0)</f>
        <v>0</v>
      </c>
      <c r="Q180" s="55">
        <f>IFERROR((VLOOKUP($A180,'Dados StatusInvest'!$A:$AZ,COLUMN(Q180)-$A$5,0)/100),0)</f>
        <v>0.0384</v>
      </c>
      <c r="R180" s="56">
        <f>VLOOKUP($A180,'Dados StatusInvest'!$A:$AZ,COLUMN(R180)-$A$5,0)</f>
        <v>1.01</v>
      </c>
      <c r="S180" s="56">
        <f>IFERROR((VLOOKUP($A180,'Dados StatusInvest'!$A:$AZ,COLUMN(S180)-$A$5,0)),0)</f>
        <v>0.69</v>
      </c>
      <c r="T180" s="53">
        <f>IFERROR((VLOOKUP($A180,'Dados StatusInvest'!$A:$AZ,COLUMN(T180)-$A$5,0)/VLOOKUP($A180,'Dados StatusInvest'!$A:$AZ,2,0)*$F180),0)</f>
        <v>0</v>
      </c>
      <c r="U180" s="53">
        <f>IFERROR((VLOOKUP($A180,'Dados StatusInvest'!$A:$AZ,COLUMN(U180)-$A$5,0)-VLOOKUP($A180,'Dados StatusInvest'!$A:$AZ,COLUMN(U180)-$A$5-1,0)+T180),0)</f>
        <v>-6.58</v>
      </c>
      <c r="V180" s="56">
        <f>IFERROR((VLOOKUP($A180,'Dados StatusInvest'!$A:$AZ,COLUMN(V180)-$A$5,0)),0)</f>
        <v>1.29</v>
      </c>
      <c r="W180" s="56">
        <f>IFERROR((VLOOKUP($A180,'Dados StatusInvest'!$A:$AZ,COLUMN(W180)-$A$5,0)),0)</f>
        <v>7.5</v>
      </c>
      <c r="X180" s="53">
        <f>IFERROR((VLOOKUP($A180,'Dados StatusInvest'!$A:$AZ,COLUMN(X180)-$A$5,0)/VLOOKUP($A180,'Dados StatusInvest'!$A:$AZ,2,0)*$F180),0)</f>
        <v>0</v>
      </c>
      <c r="Y180" s="54">
        <f>IFERROR((VLOOKUP($A180,'Dados StatusInvest'!$A:$AZ,COLUMN(Y180)-$A$5,0)/VLOOKUP($A180,'Dados StatusInvest'!$A:$AZ,2,0)*$F180),0)</f>
        <v>0</v>
      </c>
      <c r="Z180" s="56">
        <f>IFERROR((VLOOKUP($A180,'Dados StatusInvest'!$A:$AZ,COLUMN(Z180)-$A$5,0)),0)</f>
        <v>0.27</v>
      </c>
      <c r="AA180" s="57">
        <f>IFERROR((VLOOKUP($A180,'Dados StatusInvest'!$A:$AZ,COLUMN(AA180)-$A$5,0)),0)</f>
        <v>0.73</v>
      </c>
      <c r="AB180" s="57">
        <f>IFERROR((VLOOKUP($A180,'Dados StatusInvest'!$A:$AZ,COLUMN(AB180)-$A$5,0)),0)</f>
        <v>0.98</v>
      </c>
      <c r="AC180" s="58">
        <f>IFERROR((VLOOKUP($A180,'Dados StatusInvest'!$A:$AZ,COLUMN(AC180)-$A$5,0)),0)</f>
        <v>1.09</v>
      </c>
      <c r="AD180" s="57">
        <f>IFERROR((VLOOKUP($A180,'Dados StatusInvest'!$A:$AZ,COLUMN(AD180)-$A$5,0)),0)</f>
        <v>0</v>
      </c>
      <c r="AE180" s="56">
        <f>IFERROR((VLOOKUP($A180,'Dados StatusInvest'!$A:$AZ,COLUMN(AE180)-$A$5,0)),0)</f>
        <v>0</v>
      </c>
      <c r="AF180" s="56">
        <f>IFERROR((VLOOKUP($A180,'Dados StatusInvest'!$A:$AZ,COLUMN(AF180)-$A$5,0)),0)</f>
        <v>5.91</v>
      </c>
      <c r="AG180" s="56">
        <f>IFERROR((VLOOKUP($A180,'Dados StatusInvest'!$A:$AZ,COLUMN(AG180)-$A$5,0)),0)</f>
        <v>0.44</v>
      </c>
      <c r="AH180" s="56">
        <f>IFERROR((VLOOKUP($A180,'Dados StatusInvest'!$A:$AZ,COLUMN(AH180)-$A$5,0)),0)</f>
        <v>22.14</v>
      </c>
      <c r="AI180" s="57">
        <f>IFERROR((VLOOKUP($A180,'Dados StatusInvest'!$A:$AZ,COLUMN(AI180)-$A$5,0)),0)</f>
        <v>465122474</v>
      </c>
      <c r="AJ180" s="59" t="str">
        <f>IFERROR((VLOOKUP($A180,'Dados StatusInvest'!$A:$AZ,COLUMN(AJ180)-$A$5,0)),0)</f>
        <v/>
      </c>
      <c r="AK180" s="60" t="str">
        <f>IFERROR(__xludf.DUMMYFUNCTION("IFERROR(GOOGLEFINANCE($A180,""high""),"""")"),"")</f>
        <v/>
      </c>
      <c r="AL180" s="60" t="str">
        <f>IFERROR(__xludf.DUMMYFUNCTION("IFERROR(GOOGLEFINANCE($A180,""low""),"""")"),"")</f>
        <v/>
      </c>
      <c r="AM180" s="61">
        <f t="shared" si="2"/>
        <v>0</v>
      </c>
      <c r="AN180" s="62">
        <f>IFERROR(__xludf.DUMMYFUNCTION("IFERROR((GOOGLEFINANCE($A180,""volume"")),0)"),0.0)</f>
        <v>0</v>
      </c>
      <c r="AO180" s="60" t="str">
        <f>IFERROR(__xludf.DUMMYFUNCTION("IFERROR((GOOGLEFINANCE($A180,""closeyest"")),"""")"),"")</f>
        <v/>
      </c>
      <c r="AP180" s="60" t="str">
        <f>IFERROR(__xludf.DUMMYFUNCTION("IFERROR((GOOGLEFINANCE($A180,""shares"")),"""")"),"")</f>
        <v/>
      </c>
      <c r="AQ180" s="18"/>
    </row>
    <row r="181">
      <c r="A181" s="45" t="str">
        <f>'Dados StatusInvest'!A176:A795</f>
        <v>CRFB3</v>
      </c>
      <c r="B181" s="46" t="str">
        <f>IFERROR(__xludf.DUMMYFUNCTION("IFERROR((GOOGLEFINANCE(A181,""name"")),"""")"),"")</f>
        <v/>
      </c>
      <c r="C181" s="46" t="str">
        <f>IFERROR((VLOOKUP(LEFT($A181,4),Setor!$A:$E,3,0)),"")</f>
        <v>Consumo não Cíclico</v>
      </c>
      <c r="D181" s="46" t="str">
        <f>IFERROR((VLOOKUP(LEFT($A181,4),Setor!$A:$E,4,0)),"")</f>
        <v>Comércio e Distribuição</v>
      </c>
      <c r="E181" s="46" t="str">
        <f>IFERROR((VLOOKUP(LEFT($A181,4),Setor!$A:$E,5,0)),"")</f>
        <v>Alimentos</v>
      </c>
      <c r="F181" s="47" t="str">
        <f>IFERROR(__xludf.DUMMYFUNCTION("IFERROR((GOOGLEFINANCE(A181)),"""")"),"")</f>
        <v/>
      </c>
      <c r="G181" s="48" t="str">
        <f>IFERROR(__xludf.DUMMYFUNCTION("IFERROR((sparkline(GOOGLEFINANCE($A181,""price"",TODAY()-30,TODAY(),""DAILY""),{""charttype"",""line"";""linewidth"",1;""color"",""#5f88cc""})),"""")"),"")</f>
        <v/>
      </c>
      <c r="H181" s="49" t="str">
        <f>IFERROR(__xludf.DUMMYFUNCTION("IFERROR((((GOOGLEFINANCE(A181))-(INDEX(GoogleFinance(A181,""PRICE"",$AQ$1),2,2)))/(INDEX(GoogleFinance(A181,""PRICE"",$AQ$1),2,2))),"""")"),"")</f>
        <v/>
      </c>
      <c r="I181" s="47" t="str">
        <f>IFERROR(__xludf.DUMMYFUNCTION("IFERROR((GOOGLEFINANCE($A181,""high52"")),"""")"),"")</f>
        <v/>
      </c>
      <c r="J181" s="48" t="str">
        <f>IFERROR(__xludf.DUMMYFUNCTION("IFERROR((sparkline(GOOGLEFINANCE($A181,""price"",TODAY()-365,TODAY(),""DAILY""),{""charttype"",""line"";""linewidth"",1;""color"",""#5f88cc""})),"""")"),"")</f>
        <v/>
      </c>
      <c r="K181" s="50" t="str">
        <f>IFERROR(__xludf.DUMMYFUNCTION("IFERROR((((GOOGLEFINANCE(A181))-(INDEX(GoogleFinance(A181,""PRICE"",$AP$1),2,2)))/(INDEX(GoogleFinance(A181,""PRICE"",$AP$1),2,2))),"""")"),"")</f>
        <v/>
      </c>
      <c r="L181" s="51">
        <f t="shared" si="1"/>
        <v>0</v>
      </c>
      <c r="M181" s="52">
        <f>IFERROR((VLOOKUP($A181,'Dados StatusInvest'!$A:$AZ,COLUMN(M181)-$A$5,0)*VLOOKUP($A181,'Dados StatusInvest'!$A:$AZ,2,0)/$F181/100),0)</f>
        <v>0</v>
      </c>
      <c r="N181" s="53">
        <f>IFERROR((VLOOKUP($A181,'Dados StatusInvest'!$A:$AZ,COLUMN(N181)-$A$5,0)/VLOOKUP($A181,'Dados StatusInvest'!$A:$AZ,2,0)*$F181),"")</f>
        <v>0</v>
      </c>
      <c r="O181" s="53">
        <f>IFERROR((VLOOKUP($A181,'Dados StatusInvest'!$A:$AZ,COLUMN(O181)-$A$5,0)/VLOOKUP($A181,'Dados StatusInvest'!$A:$AZ,2,0)*$F181),0)</f>
        <v>0</v>
      </c>
      <c r="P181" s="54">
        <f>IFERROR((VLOOKUP($A181,'Dados StatusInvest'!$A:$AZ,COLUMN(P181)-$A$5,0)/VLOOKUP($A181,'Dados StatusInvest'!$A:$AZ,2,0)*$F181),0)</f>
        <v>0</v>
      </c>
      <c r="Q181" s="55">
        <f>IFERROR((VLOOKUP($A181,'Dados StatusInvest'!$A:$AZ,COLUMN(Q181)-$A$5,0)/100),0)</f>
        <v>0.0449</v>
      </c>
      <c r="R181" s="56">
        <f>VLOOKUP($A181,'Dados StatusInvest'!$A:$AZ,COLUMN(R181)-$A$5,0)</f>
        <v>0.94</v>
      </c>
      <c r="S181" s="56">
        <f>IFERROR((VLOOKUP($A181,'Dados StatusInvest'!$A:$AZ,COLUMN(S181)-$A$5,0)),0)</f>
        <v>0.15</v>
      </c>
      <c r="T181" s="53">
        <f>IFERROR((VLOOKUP($A181,'Dados StatusInvest'!$A:$AZ,COLUMN(T181)-$A$5,0)/VLOOKUP($A181,'Dados StatusInvest'!$A:$AZ,2,0)*$F181),0)</f>
        <v>0</v>
      </c>
      <c r="U181" s="53">
        <f>IFERROR((VLOOKUP($A181,'Dados StatusInvest'!$A:$AZ,COLUMN(U181)-$A$5,0)-VLOOKUP($A181,'Dados StatusInvest'!$A:$AZ,COLUMN(U181)-$A$5-1,0)+T181),0)</f>
        <v>-6.22</v>
      </c>
      <c r="V181" s="56">
        <f>IFERROR((VLOOKUP($A181,'Dados StatusInvest'!$A:$AZ,COLUMN(V181)-$A$5,0)),0)</f>
        <v>1.07</v>
      </c>
      <c r="W181" s="56">
        <f>IFERROR((VLOOKUP($A181,'Dados StatusInvest'!$A:$AZ,COLUMN(W181)-$A$5,0)),0)</f>
        <v>8.48</v>
      </c>
      <c r="X181" s="53">
        <f>IFERROR((VLOOKUP($A181,'Dados StatusInvest'!$A:$AZ,COLUMN(X181)-$A$5,0)/VLOOKUP($A181,'Dados StatusInvest'!$A:$AZ,2,0)*$F181),0)</f>
        <v>0</v>
      </c>
      <c r="Y181" s="54">
        <f>IFERROR((VLOOKUP($A181,'Dados StatusInvest'!$A:$AZ,COLUMN(Y181)-$A$5,0)/VLOOKUP($A181,'Dados StatusInvest'!$A:$AZ,2,0)*$F181),0)</f>
        <v>0</v>
      </c>
      <c r="Z181" s="56">
        <f>IFERROR((VLOOKUP($A181,'Dados StatusInvest'!$A:$AZ,COLUMN(Z181)-$A$5,0)),0)</f>
        <v>0.22</v>
      </c>
      <c r="AA181" s="57">
        <f>IFERROR((VLOOKUP($A181,'Dados StatusInvest'!$A:$AZ,COLUMN(AA181)-$A$5,0)),0)</f>
        <v>0.76</v>
      </c>
      <c r="AB181" s="57">
        <f>IFERROR((VLOOKUP($A181,'Dados StatusInvest'!$A:$AZ,COLUMN(AB181)-$A$5,0)),0)</f>
        <v>1.25</v>
      </c>
      <c r="AC181" s="58">
        <f>IFERROR((VLOOKUP($A181,'Dados StatusInvest'!$A:$AZ,COLUMN(AC181)-$A$5,0)),0)</f>
        <v>14</v>
      </c>
      <c r="AD181" s="57">
        <f>IFERROR((VLOOKUP($A181,'Dados StatusInvest'!$A:$AZ,COLUMN(AD181)-$A$5,0)),0)</f>
        <v>12.41</v>
      </c>
      <c r="AE181" s="56">
        <f>IFERROR((VLOOKUP($A181,'Dados StatusInvest'!$A:$AZ,COLUMN(AE181)-$A$5,0)),0)</f>
        <v>122000000</v>
      </c>
      <c r="AF181" s="56">
        <f>IFERROR((VLOOKUP($A181,'Dados StatusInvest'!$A:$AZ,COLUMN(AF181)-$A$5,0)),0)</f>
        <v>10.16</v>
      </c>
      <c r="AG181" s="56">
        <f>IFERROR((VLOOKUP($A181,'Dados StatusInvest'!$A:$AZ,COLUMN(AG181)-$A$5,0)),0)</f>
        <v>0.86</v>
      </c>
      <c r="AH181" s="56">
        <f>IFERROR((VLOOKUP($A181,'Dados StatusInvest'!$A:$AZ,COLUMN(AH181)-$A$5,0)),0)</f>
        <v>0</v>
      </c>
      <c r="AI181" s="57">
        <f>IFERROR((VLOOKUP($A181,'Dados StatusInvest'!$A:$AZ,COLUMN(AI181)-$A$5,0)),0)</f>
        <v>17884800909</v>
      </c>
      <c r="AJ181" s="59" t="str">
        <f>IFERROR((VLOOKUP($A181,'Dados StatusInvest'!$A:$AZ,COLUMN(AJ181)-$A$5,0)),0)</f>
        <v/>
      </c>
      <c r="AK181" s="60" t="str">
        <f>IFERROR(__xludf.DUMMYFUNCTION("IFERROR(GOOGLEFINANCE($A181,""high""),"""")"),"")</f>
        <v/>
      </c>
      <c r="AL181" s="60" t="str">
        <f>IFERROR(__xludf.DUMMYFUNCTION("IFERROR(GOOGLEFINANCE($A181,""low""),"""")"),"")</f>
        <v/>
      </c>
      <c r="AM181" s="61">
        <f t="shared" si="2"/>
        <v>0</v>
      </c>
      <c r="AN181" s="62">
        <f>IFERROR(__xludf.DUMMYFUNCTION("IFERROR((GOOGLEFINANCE($A181,""volume"")),0)"),0.0)</f>
        <v>0</v>
      </c>
      <c r="AO181" s="60" t="str">
        <f>IFERROR(__xludf.DUMMYFUNCTION("IFERROR((GOOGLEFINANCE($A181,""closeyest"")),"""")"),"")</f>
        <v/>
      </c>
      <c r="AP181" s="60" t="str">
        <f>IFERROR(__xludf.DUMMYFUNCTION("IFERROR((GOOGLEFINANCE($A181,""shares"")),"""")"),"")</f>
        <v/>
      </c>
      <c r="AQ181" s="18"/>
    </row>
    <row r="182">
      <c r="A182" s="45" t="str">
        <f>'Dados StatusInvest'!A177:A796</f>
        <v>CRIV3</v>
      </c>
      <c r="B182" s="46" t="str">
        <f>IFERROR(__xludf.DUMMYFUNCTION("IFERROR((GOOGLEFINANCE(A182,""name"")),"""")"),"")</f>
        <v/>
      </c>
      <c r="C182" s="46" t="str">
        <f>IFERROR((VLOOKUP(LEFT($A182,4),Setor!$A:$E,3,0)),"")</f>
        <v>Financeiro</v>
      </c>
      <c r="D182" s="46" t="str">
        <f>IFERROR((VLOOKUP(LEFT($A182,4),Setor!$A:$E,4,0)),"")</f>
        <v>Intermediários Financeiros</v>
      </c>
      <c r="E182" s="46" t="str">
        <f>IFERROR((VLOOKUP(LEFT($A182,4),Setor!$A:$E,5,0)),"")</f>
        <v>Soc. Crédito e Financiamento</v>
      </c>
      <c r="F182" s="47" t="str">
        <f>IFERROR(__xludf.DUMMYFUNCTION("IFERROR((GOOGLEFINANCE(A182)),"""")"),"")</f>
        <v/>
      </c>
      <c r="G182" s="48" t="str">
        <f>IFERROR(__xludf.DUMMYFUNCTION("IFERROR((sparkline(GOOGLEFINANCE($A182,""price"",TODAY()-30,TODAY(),""DAILY""),{""charttype"",""line"";""linewidth"",1;""color"",""#5f88cc""})),"""")"),"")</f>
        <v/>
      </c>
      <c r="H182" s="49" t="str">
        <f>IFERROR(__xludf.DUMMYFUNCTION("IFERROR((((GOOGLEFINANCE(A182))-(INDEX(GoogleFinance(A182,""PRICE"",$AQ$1),2,2)))/(INDEX(GoogleFinance(A182,""PRICE"",$AQ$1),2,2))),"""")"),"")</f>
        <v/>
      </c>
      <c r="I182" s="47" t="str">
        <f>IFERROR(__xludf.DUMMYFUNCTION("IFERROR((GOOGLEFINANCE($A182,""high52"")),"""")"),"")</f>
        <v/>
      </c>
      <c r="J182" s="48" t="str">
        <f>IFERROR(__xludf.DUMMYFUNCTION("IFERROR((sparkline(GOOGLEFINANCE($A182,""price"",TODAY()-365,TODAY(),""DAILY""),{""charttype"",""line"";""linewidth"",1;""color"",""#5f88cc""})),"""")"),"")</f>
        <v/>
      </c>
      <c r="K182" s="50" t="str">
        <f>IFERROR(__xludf.DUMMYFUNCTION("IFERROR((((GOOGLEFINANCE(A182))-(INDEX(GoogleFinance(A182,""PRICE"",$AP$1),2,2)))/(INDEX(GoogleFinance(A182,""PRICE"",$AP$1),2,2))),"""")"),"")</f>
        <v/>
      </c>
      <c r="L182" s="51">
        <f t="shared" si="1"/>
        <v>0</v>
      </c>
      <c r="M182" s="52">
        <f>IFERROR((VLOOKUP($A182,'Dados StatusInvest'!$A:$AZ,COLUMN(M182)-$A$5,0)*VLOOKUP($A182,'Dados StatusInvest'!$A:$AZ,2,0)/$F182/100),0)</f>
        <v>0</v>
      </c>
      <c r="N182" s="53">
        <f>IFERROR((VLOOKUP($A182,'Dados StatusInvest'!$A:$AZ,COLUMN(N182)-$A$5,0)/VLOOKUP($A182,'Dados StatusInvest'!$A:$AZ,2,0)*$F182),"")</f>
        <v>0</v>
      </c>
      <c r="O182" s="53">
        <f>IFERROR((VLOOKUP($A182,'Dados StatusInvest'!$A:$AZ,COLUMN(O182)-$A$5,0)/VLOOKUP($A182,'Dados StatusInvest'!$A:$AZ,2,0)*$F182),0)</f>
        <v>0</v>
      </c>
      <c r="P182" s="54">
        <f>IFERROR((VLOOKUP($A182,'Dados StatusInvest'!$A:$AZ,COLUMN(P182)-$A$5,0)/VLOOKUP($A182,'Dados StatusInvest'!$A:$AZ,2,0)*$F182),0)</f>
        <v>0</v>
      </c>
      <c r="Q182" s="55">
        <f>IFERROR((VLOOKUP($A182,'Dados StatusInvest'!$A:$AZ,COLUMN(Q182)-$A$5,0)/100),0)</f>
        <v>0</v>
      </c>
      <c r="R182" s="56">
        <f>VLOOKUP($A182,'Dados StatusInvest'!$A:$AZ,COLUMN(R182)-$A$5,0)</f>
        <v>0</v>
      </c>
      <c r="S182" s="56">
        <f>IFERROR((VLOOKUP($A182,'Dados StatusInvest'!$A:$AZ,COLUMN(S182)-$A$5,0)),0)</f>
        <v>0.35</v>
      </c>
      <c r="T182" s="53">
        <f>IFERROR((VLOOKUP($A182,'Dados StatusInvest'!$A:$AZ,COLUMN(T182)-$A$5,0)/VLOOKUP($A182,'Dados StatusInvest'!$A:$AZ,2,0)*$F182),0)</f>
        <v>0</v>
      </c>
      <c r="U182" s="53">
        <f>IFERROR((VLOOKUP($A182,'Dados StatusInvest'!$A:$AZ,COLUMN(U182)-$A$5,0)-VLOOKUP($A182,'Dados StatusInvest'!$A:$AZ,COLUMN(U182)-$A$5-1,0)+T182),0)</f>
        <v>-0.16</v>
      </c>
      <c r="V182" s="56">
        <f>IFERROR((VLOOKUP($A182,'Dados StatusInvest'!$A:$AZ,COLUMN(V182)-$A$5,0)),0)</f>
        <v>131.56</v>
      </c>
      <c r="W182" s="56">
        <f>IFERROR((VLOOKUP($A182,'Dados StatusInvest'!$A:$AZ,COLUMN(W182)-$A$5,0)),0)</f>
        <v>1.89</v>
      </c>
      <c r="X182" s="53">
        <f>IFERROR((VLOOKUP($A182,'Dados StatusInvest'!$A:$AZ,COLUMN(X182)-$A$5,0)/VLOOKUP($A182,'Dados StatusInvest'!$A:$AZ,2,0)*$F182),0)</f>
        <v>0</v>
      </c>
      <c r="Y182" s="54">
        <f>IFERROR((VLOOKUP($A182,'Dados StatusInvest'!$A:$AZ,COLUMN(Y182)-$A$5,0)/VLOOKUP($A182,'Dados StatusInvest'!$A:$AZ,2,0)*$F182),0)</f>
        <v>0</v>
      </c>
      <c r="Z182" s="56">
        <f>IFERROR((VLOOKUP($A182,'Dados StatusInvest'!$A:$AZ,COLUMN(Z182)-$A$5,0)),0)</f>
        <v>0.06</v>
      </c>
      <c r="AA182" s="57">
        <f>IFERROR((VLOOKUP($A182,'Dados StatusInvest'!$A:$AZ,COLUMN(AA182)-$A$5,0)),0)</f>
        <v>0.94</v>
      </c>
      <c r="AB182" s="57">
        <f>IFERROR((VLOOKUP($A182,'Dados StatusInvest'!$A:$AZ,COLUMN(AB182)-$A$5,0)),0)</f>
        <v>0.12</v>
      </c>
      <c r="AC182" s="58">
        <f>IFERROR((VLOOKUP($A182,'Dados StatusInvest'!$A:$AZ,COLUMN(AC182)-$A$5,0)),0)</f>
        <v>27.56</v>
      </c>
      <c r="AD182" s="57">
        <f>IFERROR((VLOOKUP($A182,'Dados StatusInvest'!$A:$AZ,COLUMN(AD182)-$A$5,0)),0)</f>
        <v>-21.36</v>
      </c>
      <c r="AE182" s="56">
        <f>IFERROR((VLOOKUP($A182,'Dados StatusInvest'!$A:$AZ,COLUMN(AE182)-$A$5,0)),0)</f>
        <v>0</v>
      </c>
      <c r="AF182" s="56">
        <f>IFERROR((VLOOKUP($A182,'Dados StatusInvest'!$A:$AZ,COLUMN(AF182)-$A$5,0)),0)</f>
        <v>10.5</v>
      </c>
      <c r="AG182" s="56">
        <f>IFERROR((VLOOKUP($A182,'Dados StatusInvest'!$A:$AZ,COLUMN(AG182)-$A$5,0)),0)</f>
        <v>0.2</v>
      </c>
      <c r="AH182" s="56">
        <f>IFERROR((VLOOKUP($A182,'Dados StatusInvest'!$A:$AZ,COLUMN(AH182)-$A$5,0)),0)</f>
        <v>-0.75</v>
      </c>
      <c r="AI182" s="57">
        <f>IFERROR((VLOOKUP($A182,'Dados StatusInvest'!$A:$AZ,COLUMN(AI182)-$A$5,0)),0)</f>
        <v>707929532</v>
      </c>
      <c r="AJ182" s="59" t="str">
        <f>IFERROR((VLOOKUP($A182,'Dados StatusInvest'!$A:$AZ,COLUMN(AJ182)-$A$5,0)),0)</f>
        <v/>
      </c>
      <c r="AK182" s="60" t="str">
        <f>IFERROR(__xludf.DUMMYFUNCTION("IFERROR(GOOGLEFINANCE($A182,""high""),"""")"),"")</f>
        <v/>
      </c>
      <c r="AL182" s="60" t="str">
        <f>IFERROR(__xludf.DUMMYFUNCTION("IFERROR(GOOGLEFINANCE($A182,""low""),"""")"),"")</f>
        <v/>
      </c>
      <c r="AM182" s="61">
        <f t="shared" si="2"/>
        <v>0</v>
      </c>
      <c r="AN182" s="62">
        <f>IFERROR(__xludf.DUMMYFUNCTION("IFERROR((GOOGLEFINANCE($A182,""volume"")),0)"),0.0)</f>
        <v>0</v>
      </c>
      <c r="AO182" s="60" t="str">
        <f>IFERROR(__xludf.DUMMYFUNCTION("IFERROR((GOOGLEFINANCE($A182,""closeyest"")),"""")"),"")</f>
        <v/>
      </c>
      <c r="AP182" s="60" t="str">
        <f>IFERROR(__xludf.DUMMYFUNCTION("IFERROR((GOOGLEFINANCE($A182,""shares"")),"""")"),"")</f>
        <v/>
      </c>
      <c r="AQ182" s="18"/>
    </row>
    <row r="183">
      <c r="A183" s="45" t="str">
        <f>'Dados StatusInvest'!A178:A797</f>
        <v>CRIV4</v>
      </c>
      <c r="B183" s="46" t="str">
        <f>IFERROR(__xludf.DUMMYFUNCTION("IFERROR((GOOGLEFINANCE(A183,""name"")),"""")"),"")</f>
        <v/>
      </c>
      <c r="C183" s="46" t="str">
        <f>IFERROR((VLOOKUP(LEFT($A183,4),Setor!$A:$E,3,0)),"")</f>
        <v>Financeiro</v>
      </c>
      <c r="D183" s="46" t="str">
        <f>IFERROR((VLOOKUP(LEFT($A183,4),Setor!$A:$E,4,0)),"")</f>
        <v>Intermediários Financeiros</v>
      </c>
      <c r="E183" s="46" t="str">
        <f>IFERROR((VLOOKUP(LEFT($A183,4),Setor!$A:$E,5,0)),"")</f>
        <v>Soc. Crédito e Financiamento</v>
      </c>
      <c r="F183" s="47" t="str">
        <f>IFERROR(__xludf.DUMMYFUNCTION("IFERROR((GOOGLEFINANCE(A183)),"""")"),"")</f>
        <v/>
      </c>
      <c r="G183" s="48" t="str">
        <f>IFERROR(__xludf.DUMMYFUNCTION("IFERROR((sparkline(GOOGLEFINANCE($A183,""price"",TODAY()-30,TODAY(),""DAILY""),{""charttype"",""line"";""linewidth"",1;""color"",""#5f88cc""})),"""")"),"")</f>
        <v/>
      </c>
      <c r="H183" s="49" t="str">
        <f>IFERROR(__xludf.DUMMYFUNCTION("IFERROR((((GOOGLEFINANCE(A183))-(INDEX(GoogleFinance(A183,""PRICE"",$AQ$1),2,2)))/(INDEX(GoogleFinance(A183,""PRICE"",$AQ$1),2,2))),"""")"),"")</f>
        <v/>
      </c>
      <c r="I183" s="47" t="str">
        <f>IFERROR(__xludf.DUMMYFUNCTION("IFERROR((GOOGLEFINANCE($A183,""high52"")),"""")"),"")</f>
        <v/>
      </c>
      <c r="J183" s="48" t="str">
        <f>IFERROR(__xludf.DUMMYFUNCTION("IFERROR((sparkline(GOOGLEFINANCE($A183,""price"",TODAY()-365,TODAY(),""DAILY""),{""charttype"",""line"";""linewidth"",1;""color"",""#5f88cc""})),"""")"),"")</f>
        <v/>
      </c>
      <c r="K183" s="50" t="str">
        <f>IFERROR(__xludf.DUMMYFUNCTION("IFERROR((((GOOGLEFINANCE(A183))-(INDEX(GoogleFinance(A183,""PRICE"",$AP$1),2,2)))/(INDEX(GoogleFinance(A183,""PRICE"",$AP$1),2,2))),"""")"),"")</f>
        <v/>
      </c>
      <c r="L183" s="51">
        <f t="shared" si="1"/>
        <v>0</v>
      </c>
      <c r="M183" s="52">
        <f>IFERROR((VLOOKUP($A183,'Dados StatusInvest'!$A:$AZ,COLUMN(M183)-$A$5,0)*VLOOKUP($A183,'Dados StatusInvest'!$A:$AZ,2,0)/$F183/100),0)</f>
        <v>0</v>
      </c>
      <c r="N183" s="53">
        <f>IFERROR((VLOOKUP($A183,'Dados StatusInvest'!$A:$AZ,COLUMN(N183)-$A$5,0)/VLOOKUP($A183,'Dados StatusInvest'!$A:$AZ,2,0)*$F183),"")</f>
        <v>0</v>
      </c>
      <c r="O183" s="53">
        <f>IFERROR((VLOOKUP($A183,'Dados StatusInvest'!$A:$AZ,COLUMN(O183)-$A$5,0)/VLOOKUP($A183,'Dados StatusInvest'!$A:$AZ,2,0)*$F183),0)</f>
        <v>0</v>
      </c>
      <c r="P183" s="54">
        <f>IFERROR((VLOOKUP($A183,'Dados StatusInvest'!$A:$AZ,COLUMN(P183)-$A$5,0)/VLOOKUP($A183,'Dados StatusInvest'!$A:$AZ,2,0)*$F183),0)</f>
        <v>0</v>
      </c>
      <c r="Q183" s="55">
        <f>IFERROR((VLOOKUP($A183,'Dados StatusInvest'!$A:$AZ,COLUMN(Q183)-$A$5,0)/100),0)</f>
        <v>0</v>
      </c>
      <c r="R183" s="56">
        <f>VLOOKUP($A183,'Dados StatusInvest'!$A:$AZ,COLUMN(R183)-$A$5,0)</f>
        <v>0</v>
      </c>
      <c r="S183" s="56">
        <f>IFERROR((VLOOKUP($A183,'Dados StatusInvest'!$A:$AZ,COLUMN(S183)-$A$5,0)),0)</f>
        <v>0.33</v>
      </c>
      <c r="T183" s="53">
        <f>IFERROR((VLOOKUP($A183,'Dados StatusInvest'!$A:$AZ,COLUMN(T183)-$A$5,0)/VLOOKUP($A183,'Dados StatusInvest'!$A:$AZ,2,0)*$F183),0)</f>
        <v>0</v>
      </c>
      <c r="U183" s="53">
        <f>IFERROR((VLOOKUP($A183,'Dados StatusInvest'!$A:$AZ,COLUMN(U183)-$A$5,0)-VLOOKUP($A183,'Dados StatusInvest'!$A:$AZ,COLUMN(U183)-$A$5-1,0)+T183),0)</f>
        <v>-0.16</v>
      </c>
      <c r="V183" s="56">
        <f>IFERROR((VLOOKUP($A183,'Dados StatusInvest'!$A:$AZ,COLUMN(V183)-$A$5,0)),0)</f>
        <v>131.56</v>
      </c>
      <c r="W183" s="56">
        <f>IFERROR((VLOOKUP($A183,'Dados StatusInvest'!$A:$AZ,COLUMN(W183)-$A$5,0)),0)</f>
        <v>1.89</v>
      </c>
      <c r="X183" s="53">
        <f>IFERROR((VLOOKUP($A183,'Dados StatusInvest'!$A:$AZ,COLUMN(X183)-$A$5,0)/VLOOKUP($A183,'Dados StatusInvest'!$A:$AZ,2,0)*$F183),0)</f>
        <v>0</v>
      </c>
      <c r="Y183" s="54">
        <f>IFERROR((VLOOKUP($A183,'Dados StatusInvest'!$A:$AZ,COLUMN(Y183)-$A$5,0)/VLOOKUP($A183,'Dados StatusInvest'!$A:$AZ,2,0)*$F183),0)</f>
        <v>0</v>
      </c>
      <c r="Z183" s="56">
        <f>IFERROR((VLOOKUP($A183,'Dados StatusInvest'!$A:$AZ,COLUMN(Z183)-$A$5,0)),0)</f>
        <v>0.06</v>
      </c>
      <c r="AA183" s="57">
        <f>IFERROR((VLOOKUP($A183,'Dados StatusInvest'!$A:$AZ,COLUMN(AA183)-$A$5,0)),0)</f>
        <v>0.94</v>
      </c>
      <c r="AB183" s="57">
        <f>IFERROR((VLOOKUP($A183,'Dados StatusInvest'!$A:$AZ,COLUMN(AB183)-$A$5,0)),0)</f>
        <v>0.12</v>
      </c>
      <c r="AC183" s="58">
        <f>IFERROR((VLOOKUP($A183,'Dados StatusInvest'!$A:$AZ,COLUMN(AC183)-$A$5,0)),0)</f>
        <v>27.56</v>
      </c>
      <c r="AD183" s="57">
        <f>IFERROR((VLOOKUP($A183,'Dados StatusInvest'!$A:$AZ,COLUMN(AD183)-$A$5,0)),0)</f>
        <v>-21.36</v>
      </c>
      <c r="AE183" s="56">
        <f>IFERROR((VLOOKUP($A183,'Dados StatusInvest'!$A:$AZ,COLUMN(AE183)-$A$5,0)),0)</f>
        <v>0</v>
      </c>
      <c r="AF183" s="56">
        <f>IFERROR((VLOOKUP($A183,'Dados StatusInvest'!$A:$AZ,COLUMN(AF183)-$A$5,0)),0)</f>
        <v>10.5</v>
      </c>
      <c r="AG183" s="56">
        <f>IFERROR((VLOOKUP($A183,'Dados StatusInvest'!$A:$AZ,COLUMN(AG183)-$A$5,0)),0)</f>
        <v>0.2</v>
      </c>
      <c r="AH183" s="56">
        <f>IFERROR((VLOOKUP($A183,'Dados StatusInvest'!$A:$AZ,COLUMN(AH183)-$A$5,0)),0)</f>
        <v>-0.72</v>
      </c>
      <c r="AI183" s="57">
        <f>IFERROR((VLOOKUP($A183,'Dados StatusInvest'!$A:$AZ,COLUMN(AI183)-$A$5,0)),0)</f>
        <v>707929532</v>
      </c>
      <c r="AJ183" s="59" t="str">
        <f>IFERROR((VLOOKUP($A183,'Dados StatusInvest'!$A:$AZ,COLUMN(AJ183)-$A$5,0)),0)</f>
        <v/>
      </c>
      <c r="AK183" s="60" t="str">
        <f>IFERROR(__xludf.DUMMYFUNCTION("IFERROR(GOOGLEFINANCE($A183,""high""),"""")"),"")</f>
        <v/>
      </c>
      <c r="AL183" s="60" t="str">
        <f>IFERROR(__xludf.DUMMYFUNCTION("IFERROR(GOOGLEFINANCE($A183,""low""),"""")"),"")</f>
        <v/>
      </c>
      <c r="AM183" s="61">
        <f t="shared" si="2"/>
        <v>0</v>
      </c>
      <c r="AN183" s="62">
        <f>IFERROR(__xludf.DUMMYFUNCTION("IFERROR((GOOGLEFINANCE($A183,""volume"")),0)"),0.0)</f>
        <v>0</v>
      </c>
      <c r="AO183" s="60" t="str">
        <f>IFERROR(__xludf.DUMMYFUNCTION("IFERROR((GOOGLEFINANCE($A183,""closeyest"")),"""")"),"")</f>
        <v/>
      </c>
      <c r="AP183" s="60" t="str">
        <f>IFERROR(__xludf.DUMMYFUNCTION("IFERROR((GOOGLEFINANCE($A183,""shares"")),"""")"),"")</f>
        <v/>
      </c>
      <c r="AQ183" s="18"/>
    </row>
    <row r="184">
      <c r="A184" s="45" t="str">
        <f>'Dados StatusInvest'!A179:A798</f>
        <v>CRPG3</v>
      </c>
      <c r="B184" s="46" t="str">
        <f>IFERROR(__xludf.DUMMYFUNCTION("IFERROR((GOOGLEFINANCE(A184,""name"")),"""")"),"Tronox Pigmentos do Brasil SA")</f>
        <v>Tronox Pigmentos do Brasil SA</v>
      </c>
      <c r="C184" s="46" t="str">
        <f>IFERROR((VLOOKUP(LEFT($A184,4),Setor!$A:$E,3,0)),"")</f>
        <v>Materiais Básicos</v>
      </c>
      <c r="D184" s="46" t="str">
        <f>IFERROR((VLOOKUP(LEFT($A184,4),Setor!$A:$E,4,0)),"")</f>
        <v>Químicos</v>
      </c>
      <c r="E184" s="46" t="str">
        <f>IFERROR((VLOOKUP(LEFT($A184,4),Setor!$A:$E,5,0)),"")</f>
        <v>Químicos Diversos</v>
      </c>
      <c r="F184" s="47">
        <f>IFERROR(__xludf.DUMMYFUNCTION("IFERROR((GOOGLEFINANCE(A184)),"""")"),19.35)</f>
        <v>19.35</v>
      </c>
      <c r="G184" s="48" t="str">
        <f>IFERROR(__xludf.DUMMYFUNCTION("IFERROR((sparkline(GOOGLEFINANCE($A184,""price"",TODAY()-30,TODAY(),""DAILY""),{""charttype"",""line"";""linewidth"",1;""color"",""#5f88cc""})),"""")"),"")</f>
        <v/>
      </c>
      <c r="H184" s="49" t="str">
        <f>IFERROR(__xludf.DUMMYFUNCTION("IFERROR((((GOOGLEFINANCE(A184))-(INDEX(GoogleFinance(A184,""PRICE"",$AQ$1),2,2)))/(INDEX(GoogleFinance(A184,""PRICE"",$AQ$1),2,2))),"""")"),"")</f>
        <v/>
      </c>
      <c r="I184" s="47">
        <f>IFERROR(__xludf.DUMMYFUNCTION("IFERROR((GOOGLEFINANCE($A184,""high52"")),"""")"),21.5)</f>
        <v>21.5</v>
      </c>
      <c r="J184" s="48" t="str">
        <f>IFERROR(__xludf.DUMMYFUNCTION("IFERROR((sparkline(GOOGLEFINANCE($A184,""price"",TODAY()-365,TODAY(),""DAILY""),{""charttype"",""line"";""linewidth"",1;""color"",""#5f88cc""})),"""")"),"")</f>
        <v/>
      </c>
      <c r="K184" s="50" t="str">
        <f>IFERROR(__xludf.DUMMYFUNCTION("IFERROR((((GOOGLEFINANCE(A184))-(INDEX(GoogleFinance(A184,""PRICE"",$AP$1),2,2)))/(INDEX(GoogleFinance(A184,""PRICE"",$AP$1),2,2))),"""")"),"")</f>
        <v/>
      </c>
      <c r="L184" s="51">
        <f t="shared" si="1"/>
        <v>-0.1</v>
      </c>
      <c r="M184" s="52">
        <f>IFERROR((VLOOKUP($A184,'Dados StatusInvest'!$A:$AZ,COLUMN(M184)-$A$5,0)*VLOOKUP($A184,'Dados StatusInvest'!$A:$AZ,2,0)/$F184/100),0)</f>
        <v>-0.0484</v>
      </c>
      <c r="N184" s="53">
        <f>IFERROR((VLOOKUP($A184,'Dados StatusInvest'!$A:$AZ,COLUMN(N184)-$A$5,0)/VLOOKUP($A184,'Dados StatusInvest'!$A:$AZ,2,0)*$F184),"")</f>
        <v>-3.16</v>
      </c>
      <c r="O184" s="53">
        <f>IFERROR((VLOOKUP($A184,'Dados StatusInvest'!$A:$AZ,COLUMN(O184)-$A$5,0)/VLOOKUP($A184,'Dados StatusInvest'!$A:$AZ,2,0)*$F184),0)</f>
        <v>-15.24</v>
      </c>
      <c r="P184" s="54">
        <f>IFERROR((VLOOKUP($A184,'Dados StatusInvest'!$A:$AZ,COLUMN(P184)-$A$5,0)/VLOOKUP($A184,'Dados StatusInvest'!$A:$AZ,2,0)*$F184),0)</f>
        <v>-13.53</v>
      </c>
      <c r="Q184" s="55">
        <f>IFERROR((VLOOKUP($A184,'Dados StatusInvest'!$A:$AZ,COLUMN(Q184)-$A$5,0)/100),0)</f>
        <v>0.022</v>
      </c>
      <c r="R184" s="56">
        <f>VLOOKUP($A184,'Dados StatusInvest'!$A:$AZ,COLUMN(R184)-$A$5,0)</f>
        <v>-0.14</v>
      </c>
      <c r="S184" s="56">
        <f>IFERROR((VLOOKUP($A184,'Dados StatusInvest'!$A:$AZ,COLUMN(S184)-$A$5,0)),0)</f>
        <v>0.74</v>
      </c>
      <c r="T184" s="53">
        <f>IFERROR((VLOOKUP($A184,'Dados StatusInvest'!$A:$AZ,COLUMN(T184)-$A$5,0)/VLOOKUP($A184,'Dados StatusInvest'!$A:$AZ,2,0)*$F184),0)</f>
        <v>1.7</v>
      </c>
      <c r="U184" s="53">
        <f>IFERROR((VLOOKUP($A184,'Dados StatusInvest'!$A:$AZ,COLUMN(U184)-$A$5,0)-VLOOKUP($A184,'Dados StatusInvest'!$A:$AZ,COLUMN(U184)-$A$5-1,0)+T184),0)</f>
        <v>-1.67</v>
      </c>
      <c r="V184" s="56">
        <f>IFERROR((VLOOKUP($A184,'Dados StatusInvest'!$A:$AZ,COLUMN(V184)-$A$5,0)),0)</f>
        <v>2.3</v>
      </c>
      <c r="W184" s="56">
        <f>IFERROR((VLOOKUP($A184,'Dados StatusInvest'!$A:$AZ,COLUMN(W184)-$A$5,0)),0)</f>
        <v>-4.29</v>
      </c>
      <c r="X184" s="53">
        <f>IFERROR((VLOOKUP($A184,'Dados StatusInvest'!$A:$AZ,COLUMN(X184)-$A$5,0)/VLOOKUP($A184,'Dados StatusInvest'!$A:$AZ,2,0)*$F184),0)</f>
        <v>-2.61</v>
      </c>
      <c r="Y184" s="54">
        <f>IFERROR((VLOOKUP($A184,'Dados StatusInvest'!$A:$AZ,COLUMN(Y184)-$A$5,0)/VLOOKUP($A184,'Dados StatusInvest'!$A:$AZ,2,0)*$F184),0)</f>
        <v>-6.82</v>
      </c>
      <c r="Z184" s="56">
        <f>IFERROR((VLOOKUP($A184,'Dados StatusInvest'!$A:$AZ,COLUMN(Z184)-$A$5,0)),0)</f>
        <v>0.61</v>
      </c>
      <c r="AA184" s="57">
        <f>IFERROR((VLOOKUP($A184,'Dados StatusInvest'!$A:$AZ,COLUMN(AA184)-$A$5,0)),0)</f>
        <v>0.39</v>
      </c>
      <c r="AB184" s="57">
        <f>IFERROR((VLOOKUP($A184,'Dados StatusInvest'!$A:$AZ,COLUMN(AB184)-$A$5,0)),0)</f>
        <v>0.83</v>
      </c>
      <c r="AC184" s="58">
        <f>IFERROR((VLOOKUP($A184,'Dados StatusInvest'!$A:$AZ,COLUMN(AC184)-$A$5,0)),0)</f>
        <v>2.32</v>
      </c>
      <c r="AD184" s="57">
        <f>IFERROR((VLOOKUP($A184,'Dados StatusInvest'!$A:$AZ,COLUMN(AD184)-$A$5,0)),0)</f>
        <v>0</v>
      </c>
      <c r="AE184" s="56">
        <f>IFERROR((VLOOKUP($A184,'Dados StatusInvest'!$A:$AZ,COLUMN(AE184)-$A$5,0)),0)</f>
        <v>706.6</v>
      </c>
      <c r="AF184" s="56">
        <f>IFERROR((VLOOKUP($A184,'Dados StatusInvest'!$A:$AZ,COLUMN(AF184)-$A$5,0)),0)</f>
        <v>19.31</v>
      </c>
      <c r="AG184" s="56">
        <f>IFERROR((VLOOKUP($A184,'Dados StatusInvest'!$A:$AZ,COLUMN(AG184)-$A$5,0)),0)</f>
        <v>-0.83</v>
      </c>
      <c r="AH184" s="56">
        <f>IFERROR((VLOOKUP($A184,'Dados StatusInvest'!$A:$AZ,COLUMN(AH184)-$A$5,0)),0)</f>
        <v>0.3</v>
      </c>
      <c r="AI184" s="57">
        <f>IFERROR((VLOOKUP($A184,'Dados StatusInvest'!$A:$AZ,COLUMN(AI184)-$A$5,0)),0)</f>
        <v>579430086</v>
      </c>
      <c r="AJ184" s="59" t="str">
        <f>IFERROR((VLOOKUP($A184,'Dados StatusInvest'!$A:$AZ,COLUMN(AJ184)-$A$5,0)),0)</f>
        <v/>
      </c>
      <c r="AK184" s="60" t="str">
        <f>IFERROR(__xludf.DUMMYFUNCTION("IFERROR(GOOGLEFINANCE($A184,""high""),"""")"),"")</f>
        <v/>
      </c>
      <c r="AL184" s="60" t="str">
        <f>IFERROR(__xludf.DUMMYFUNCTION("IFERROR(GOOGLEFINANCE($A184,""low""),"""")"),"")</f>
        <v/>
      </c>
      <c r="AM184" s="61">
        <f t="shared" si="2"/>
        <v>0</v>
      </c>
      <c r="AN184" s="62">
        <f>IFERROR(__xludf.DUMMYFUNCTION("IFERROR((GOOGLEFINANCE($A184,""volume"")),0)"),0.0)</f>
        <v>0</v>
      </c>
      <c r="AO184" s="60">
        <f>IFERROR(__xludf.DUMMYFUNCTION("IFERROR((GOOGLEFINANCE($A184,""closeyest"")),"""")"),19.35)</f>
        <v>19.35</v>
      </c>
      <c r="AP184" s="60">
        <f>IFERROR(__xludf.DUMMYFUNCTION("IFERROR((GOOGLEFINANCE($A184,""shares"")),"""")"),1.0158398E7)</f>
        <v>10158398</v>
      </c>
      <c r="AQ184" s="18"/>
    </row>
    <row r="185">
      <c r="A185" s="45" t="str">
        <f>'Dados StatusInvest'!A180:A799</f>
        <v>CRPG5</v>
      </c>
      <c r="B185" s="46" t="str">
        <f>IFERROR(__xludf.DUMMYFUNCTION("IFERROR((GOOGLEFINANCE(A185,""name"")),"""")"),"Cristal Pigmentos do Brasil Pref Shs A")</f>
        <v>Cristal Pigmentos do Brasil Pref Shs A</v>
      </c>
      <c r="C185" s="46" t="str">
        <f>IFERROR((VLOOKUP(LEFT($A185,4),Setor!$A:$E,3,0)),"")</f>
        <v>Materiais Básicos</v>
      </c>
      <c r="D185" s="46" t="str">
        <f>IFERROR((VLOOKUP(LEFT($A185,4),Setor!$A:$E,4,0)),"")</f>
        <v>Químicos</v>
      </c>
      <c r="E185" s="46" t="str">
        <f>IFERROR((VLOOKUP(LEFT($A185,4),Setor!$A:$E,5,0)),"")</f>
        <v>Químicos Diversos</v>
      </c>
      <c r="F185" s="47">
        <f>IFERROR(__xludf.DUMMYFUNCTION("IFERROR((GOOGLEFINANCE(A185)),"""")"),20.3)</f>
        <v>20.3</v>
      </c>
      <c r="G185" s="48" t="str">
        <f>IFERROR(__xludf.DUMMYFUNCTION("IFERROR((sparkline(GOOGLEFINANCE($A185,""price"",TODAY()-30,TODAY(),""DAILY""),{""charttype"",""line"";""linewidth"",1;""color"",""#5f88cc""})),"""")"),"")</f>
        <v/>
      </c>
      <c r="H185" s="49">
        <f>IFERROR(__xludf.DUMMYFUNCTION("IFERROR((((GOOGLEFINANCE(A185))-(INDEX(GoogleFinance(A185,""PRICE"",$AQ$1),2,2)))/(INDEX(GoogleFinance(A185,""PRICE"",$AQ$1),2,2))),"""")"),0.0463917525773197)</f>
        <v>0.04639175258</v>
      </c>
      <c r="I185" s="47">
        <f>IFERROR(__xludf.DUMMYFUNCTION("IFERROR((GOOGLEFINANCE($A185,""high52"")),"""")"),25.48)</f>
        <v>25.48</v>
      </c>
      <c r="J185" s="48" t="str">
        <f>IFERROR(__xludf.DUMMYFUNCTION("IFERROR((sparkline(GOOGLEFINANCE($A185,""price"",TODAY()-365,TODAY(),""DAILY""),{""charttype"",""line"";""linewidth"",1;""color"",""#5f88cc""})),"""")"),"")</f>
        <v/>
      </c>
      <c r="K185" s="50">
        <f>IFERROR(__xludf.DUMMYFUNCTION("IFERROR((((GOOGLEFINANCE(A185))-(INDEX(GoogleFinance(A185,""PRICE"",$AP$1),2,2)))/(INDEX(GoogleFinance(A185,""PRICE"",$AP$1),2,2))),"""")"),0.04316546762589927)</f>
        <v>0.04316546763</v>
      </c>
      <c r="L185" s="51">
        <f t="shared" si="1"/>
        <v>-0.2032967033</v>
      </c>
      <c r="M185" s="52">
        <f>IFERROR((VLOOKUP($A185,'Dados StatusInvest'!$A:$AZ,COLUMN(M185)-$A$5,0)*VLOOKUP($A185,'Dados StatusInvest'!$A:$AZ,2,0)/$F185/100),0)</f>
        <v>-0.0484</v>
      </c>
      <c r="N185" s="53">
        <f>IFERROR((VLOOKUP($A185,'Dados StatusInvest'!$A:$AZ,COLUMN(N185)-$A$5,0)/VLOOKUP($A185,'Dados StatusInvest'!$A:$AZ,2,0)*$F185),"")</f>
        <v>-3.16</v>
      </c>
      <c r="O185" s="53">
        <f>IFERROR((VLOOKUP($A185,'Dados StatusInvest'!$A:$AZ,COLUMN(O185)-$A$5,0)/VLOOKUP($A185,'Dados StatusInvest'!$A:$AZ,2,0)*$F185),0)</f>
        <v>-15.99</v>
      </c>
      <c r="P185" s="54">
        <f>IFERROR((VLOOKUP($A185,'Dados StatusInvest'!$A:$AZ,COLUMN(P185)-$A$5,0)/VLOOKUP($A185,'Dados StatusInvest'!$A:$AZ,2,0)*$F185),0)</f>
        <v>-13.53</v>
      </c>
      <c r="Q185" s="55">
        <f>IFERROR((VLOOKUP($A185,'Dados StatusInvest'!$A:$AZ,COLUMN(Q185)-$A$5,0)/100),0)</f>
        <v>0.022</v>
      </c>
      <c r="R185" s="56">
        <f>VLOOKUP($A185,'Dados StatusInvest'!$A:$AZ,COLUMN(R185)-$A$5,0)</f>
        <v>-0.14</v>
      </c>
      <c r="S185" s="56">
        <f>IFERROR((VLOOKUP($A185,'Dados StatusInvest'!$A:$AZ,COLUMN(S185)-$A$5,0)),0)</f>
        <v>0.77</v>
      </c>
      <c r="T185" s="53">
        <f>IFERROR((VLOOKUP($A185,'Dados StatusInvest'!$A:$AZ,COLUMN(T185)-$A$5,0)/VLOOKUP($A185,'Dados StatusInvest'!$A:$AZ,2,0)*$F185),0)</f>
        <v>1.79</v>
      </c>
      <c r="U185" s="53">
        <f>IFERROR((VLOOKUP($A185,'Dados StatusInvest'!$A:$AZ,COLUMN(U185)-$A$5,0)-VLOOKUP($A185,'Dados StatusInvest'!$A:$AZ,COLUMN(U185)-$A$5-1,0)+T185),0)</f>
        <v>-1.75</v>
      </c>
      <c r="V185" s="56">
        <f>IFERROR((VLOOKUP($A185,'Dados StatusInvest'!$A:$AZ,COLUMN(V185)-$A$5,0)),0)</f>
        <v>2.3</v>
      </c>
      <c r="W185" s="56">
        <f>IFERROR((VLOOKUP($A185,'Dados StatusInvest'!$A:$AZ,COLUMN(W185)-$A$5,0)),0)</f>
        <v>-4.29</v>
      </c>
      <c r="X185" s="53">
        <f>IFERROR((VLOOKUP($A185,'Dados StatusInvest'!$A:$AZ,COLUMN(X185)-$A$5,0)/VLOOKUP($A185,'Dados StatusInvest'!$A:$AZ,2,0)*$F185),0)</f>
        <v>-2.61</v>
      </c>
      <c r="Y185" s="54">
        <f>IFERROR((VLOOKUP($A185,'Dados StatusInvest'!$A:$AZ,COLUMN(Y185)-$A$5,0)/VLOOKUP($A185,'Dados StatusInvest'!$A:$AZ,2,0)*$F185),0)</f>
        <v>-6.82</v>
      </c>
      <c r="Z185" s="56">
        <f>IFERROR((VLOOKUP($A185,'Dados StatusInvest'!$A:$AZ,COLUMN(Z185)-$A$5,0)),0)</f>
        <v>0.61</v>
      </c>
      <c r="AA185" s="57">
        <f>IFERROR((VLOOKUP($A185,'Dados StatusInvest'!$A:$AZ,COLUMN(AA185)-$A$5,0)),0)</f>
        <v>0.39</v>
      </c>
      <c r="AB185" s="57">
        <f>IFERROR((VLOOKUP($A185,'Dados StatusInvest'!$A:$AZ,COLUMN(AB185)-$A$5,0)),0)</f>
        <v>0.83</v>
      </c>
      <c r="AC185" s="58">
        <f>IFERROR((VLOOKUP($A185,'Dados StatusInvest'!$A:$AZ,COLUMN(AC185)-$A$5,0)),0)</f>
        <v>2.32</v>
      </c>
      <c r="AD185" s="57">
        <f>IFERROR((VLOOKUP($A185,'Dados StatusInvest'!$A:$AZ,COLUMN(AD185)-$A$5,0)),0)</f>
        <v>0</v>
      </c>
      <c r="AE185" s="56">
        <f>IFERROR((VLOOKUP($A185,'Dados StatusInvest'!$A:$AZ,COLUMN(AE185)-$A$5,0)),0)</f>
        <v>40301.24</v>
      </c>
      <c r="AF185" s="56">
        <f>IFERROR((VLOOKUP($A185,'Dados StatusInvest'!$A:$AZ,COLUMN(AF185)-$A$5,0)),0)</f>
        <v>19.31</v>
      </c>
      <c r="AG185" s="56">
        <f>IFERROR((VLOOKUP($A185,'Dados StatusInvest'!$A:$AZ,COLUMN(AG185)-$A$5,0)),0)</f>
        <v>-0.83</v>
      </c>
      <c r="AH185" s="56">
        <f>IFERROR((VLOOKUP($A185,'Dados StatusInvest'!$A:$AZ,COLUMN(AH185)-$A$5,0)),0)</f>
        <v>0.31</v>
      </c>
      <c r="AI185" s="57">
        <f>IFERROR((VLOOKUP($A185,'Dados StatusInvest'!$A:$AZ,COLUMN(AI185)-$A$5,0)),0)</f>
        <v>579430086</v>
      </c>
      <c r="AJ185" s="59" t="str">
        <f>IFERROR((VLOOKUP($A185,'Dados StatusInvest'!$A:$AZ,COLUMN(AJ185)-$A$5,0)),0)</f>
        <v/>
      </c>
      <c r="AK185" s="60" t="str">
        <f>IFERROR(__xludf.DUMMYFUNCTION("IFERROR(GOOGLEFINANCE($A185,""high""),"""")"),"")</f>
        <v/>
      </c>
      <c r="AL185" s="60" t="str">
        <f>IFERROR(__xludf.DUMMYFUNCTION("IFERROR(GOOGLEFINANCE($A185,""low""),"""")"),"")</f>
        <v/>
      </c>
      <c r="AM185" s="61">
        <f t="shared" si="2"/>
        <v>0</v>
      </c>
      <c r="AN185" s="62">
        <f>IFERROR(__xludf.DUMMYFUNCTION("IFERROR((GOOGLEFINANCE($A185,""volume"")),0)"),0.0)</f>
        <v>0</v>
      </c>
      <c r="AO185" s="60">
        <f>IFERROR(__xludf.DUMMYFUNCTION("IFERROR((GOOGLEFINANCE($A185,""closeyest"")),"""")"),20.3)</f>
        <v>20.3</v>
      </c>
      <c r="AP185" s="60">
        <f>IFERROR(__xludf.DUMMYFUNCTION("IFERROR((GOOGLEFINANCE($A185,""shares"")),"""")"),1.2342238E7)</f>
        <v>12342238</v>
      </c>
      <c r="AQ185" s="18"/>
    </row>
    <row r="186">
      <c r="A186" s="45" t="str">
        <f>'Dados StatusInvest'!A181:A800</f>
        <v>CRPG6</v>
      </c>
      <c r="B186" s="46" t="str">
        <f>IFERROR(__xludf.DUMMYFUNCTION("IFERROR((GOOGLEFINANCE(A186,""name"")),"""")"),"Cristal Pigmentos do Brasil Pref Shs B")</f>
        <v>Cristal Pigmentos do Brasil Pref Shs B</v>
      </c>
      <c r="C186" s="46" t="str">
        <f>IFERROR((VLOOKUP(LEFT($A186,4),Setor!$A:$E,3,0)),"")</f>
        <v>Materiais Básicos</v>
      </c>
      <c r="D186" s="46" t="str">
        <f>IFERROR((VLOOKUP(LEFT($A186,4),Setor!$A:$E,4,0)),"")</f>
        <v>Químicos</v>
      </c>
      <c r="E186" s="46" t="str">
        <f>IFERROR((VLOOKUP(LEFT($A186,4),Setor!$A:$E,5,0)),"")</f>
        <v>Químicos Diversos</v>
      </c>
      <c r="F186" s="47">
        <f>IFERROR(__xludf.DUMMYFUNCTION("IFERROR((GOOGLEFINANCE(A186)),"""")"),19.84)</f>
        <v>19.84</v>
      </c>
      <c r="G186" s="48" t="str">
        <f>IFERROR(__xludf.DUMMYFUNCTION("IFERROR((sparkline(GOOGLEFINANCE($A186,""price"",TODAY()-30,TODAY(),""DAILY""),{""charttype"",""line"";""linewidth"",1;""color"",""#5f88cc""})),"""")"),"")</f>
        <v/>
      </c>
      <c r="H186" s="49">
        <f>IFERROR(__xludf.DUMMYFUNCTION("IFERROR((((GOOGLEFINANCE(A186))-(INDEX(GoogleFinance(A186,""PRICE"",$AQ$1),2,2)))/(INDEX(GoogleFinance(A186,""PRICE"",$AQ$1),2,2))),"""")"),0.07884719956498093)</f>
        <v>0.07884719956</v>
      </c>
      <c r="I186" s="47">
        <f>IFERROR(__xludf.DUMMYFUNCTION("IFERROR((GOOGLEFINANCE($A186,""high52"")),"""")"),23.89)</f>
        <v>23.89</v>
      </c>
      <c r="J186" s="48" t="str">
        <f>IFERROR(__xludf.DUMMYFUNCTION("IFERROR((sparkline(GOOGLEFINANCE($A186,""price"",TODAY()-365,TODAY(),""DAILY""),{""charttype"",""line"";""linewidth"",1;""color"",""#5f88cc""})),"""")"),"")</f>
        <v/>
      </c>
      <c r="K186" s="50">
        <f>IFERROR(__xludf.DUMMYFUNCTION("IFERROR((((GOOGLEFINANCE(A186))-(INDEX(GoogleFinance(A186,""PRICE"",$AP$1),2,2)))/(INDEX(GoogleFinance(A186,""PRICE"",$AP$1),2,2))),"""")"),0.040377556371263744)</f>
        <v>0.04037755637</v>
      </c>
      <c r="L186" s="51">
        <f t="shared" si="1"/>
        <v>-0.1695269987</v>
      </c>
      <c r="M186" s="52">
        <f>IFERROR((VLOOKUP($A186,'Dados StatusInvest'!$A:$AZ,COLUMN(M186)-$A$5,0)*VLOOKUP($A186,'Dados StatusInvest'!$A:$AZ,2,0)/$F186/100),0)</f>
        <v>-0.04757056452</v>
      </c>
      <c r="N186" s="53">
        <f>IFERROR((VLOOKUP($A186,'Dados StatusInvest'!$A:$AZ,COLUMN(N186)-$A$5,0)/VLOOKUP($A186,'Dados StatusInvest'!$A:$AZ,2,0)*$F186),"")</f>
        <v>-3.215097436</v>
      </c>
      <c r="O186" s="53">
        <f>IFERROR((VLOOKUP($A186,'Dados StatusInvest'!$A:$AZ,COLUMN(O186)-$A$5,0)/VLOOKUP($A186,'Dados StatusInvest'!$A:$AZ,2,0)*$F186),0)</f>
        <v>-15.62781538</v>
      </c>
      <c r="P186" s="54">
        <f>IFERROR((VLOOKUP($A186,'Dados StatusInvest'!$A:$AZ,COLUMN(P186)-$A$5,0)/VLOOKUP($A186,'Dados StatusInvest'!$A:$AZ,2,0)*$F186),0)</f>
        <v>-13.76590769</v>
      </c>
      <c r="Q186" s="55">
        <f>IFERROR((VLOOKUP($A186,'Dados StatusInvest'!$A:$AZ,COLUMN(Q186)-$A$5,0)/100),0)</f>
        <v>0.022</v>
      </c>
      <c r="R186" s="56">
        <f>VLOOKUP($A186,'Dados StatusInvest'!$A:$AZ,COLUMN(R186)-$A$5,0)</f>
        <v>-0.14</v>
      </c>
      <c r="S186" s="56">
        <f>IFERROR((VLOOKUP($A186,'Dados StatusInvest'!$A:$AZ,COLUMN(S186)-$A$5,0)),0)</f>
        <v>0.74</v>
      </c>
      <c r="T186" s="53">
        <f>IFERROR((VLOOKUP($A186,'Dados StatusInvest'!$A:$AZ,COLUMN(T186)-$A$5,0)/VLOOKUP($A186,'Dados StatusInvest'!$A:$AZ,2,0)*$F186),0)</f>
        <v>1.739815385</v>
      </c>
      <c r="U186" s="53">
        <f>IFERROR((VLOOKUP($A186,'Dados StatusInvest'!$A:$AZ,COLUMN(U186)-$A$5,0)-VLOOKUP($A186,'Dados StatusInvest'!$A:$AZ,COLUMN(U186)-$A$5-1,0)+T186),0)</f>
        <v>-1.650184615</v>
      </c>
      <c r="V186" s="56">
        <f>IFERROR((VLOOKUP($A186,'Dados StatusInvest'!$A:$AZ,COLUMN(V186)-$A$5,0)),0)</f>
        <v>2.3</v>
      </c>
      <c r="W186" s="56">
        <f>IFERROR((VLOOKUP($A186,'Dados StatusInvest'!$A:$AZ,COLUMN(W186)-$A$5,0)),0)</f>
        <v>-4.29</v>
      </c>
      <c r="X186" s="53">
        <f>IFERROR((VLOOKUP($A186,'Dados StatusInvest'!$A:$AZ,COLUMN(X186)-$A$5,0)/VLOOKUP($A186,'Dados StatusInvest'!$A:$AZ,2,0)*$F186),0)</f>
        <v>-2.655507692</v>
      </c>
      <c r="Y186" s="54">
        <f>IFERROR((VLOOKUP($A186,'Dados StatusInvest'!$A:$AZ,COLUMN(Y186)-$A$5,0)/VLOOKUP($A186,'Dados StatusInvest'!$A:$AZ,2,0)*$F186),0)</f>
        <v>-6.938912821</v>
      </c>
      <c r="Z186" s="56">
        <f>IFERROR((VLOOKUP($A186,'Dados StatusInvest'!$A:$AZ,COLUMN(Z186)-$A$5,0)),0)</f>
        <v>0.61</v>
      </c>
      <c r="AA186" s="57">
        <f>IFERROR((VLOOKUP($A186,'Dados StatusInvest'!$A:$AZ,COLUMN(AA186)-$A$5,0)),0)</f>
        <v>0.39</v>
      </c>
      <c r="AB186" s="57">
        <f>IFERROR((VLOOKUP($A186,'Dados StatusInvest'!$A:$AZ,COLUMN(AB186)-$A$5,0)),0)</f>
        <v>0.83</v>
      </c>
      <c r="AC186" s="58">
        <f>IFERROR((VLOOKUP($A186,'Dados StatusInvest'!$A:$AZ,COLUMN(AC186)-$A$5,0)),0)</f>
        <v>2.32</v>
      </c>
      <c r="AD186" s="57">
        <f>IFERROR((VLOOKUP($A186,'Dados StatusInvest'!$A:$AZ,COLUMN(AD186)-$A$5,0)),0)</f>
        <v>0</v>
      </c>
      <c r="AE186" s="56">
        <f>IFERROR((VLOOKUP($A186,'Dados StatusInvest'!$A:$AZ,COLUMN(AE186)-$A$5,0)),0)</f>
        <v>12718.36</v>
      </c>
      <c r="AF186" s="56">
        <f>IFERROR((VLOOKUP($A186,'Dados StatusInvest'!$A:$AZ,COLUMN(AF186)-$A$5,0)),0)</f>
        <v>19.31</v>
      </c>
      <c r="AG186" s="56">
        <f>IFERROR((VLOOKUP($A186,'Dados StatusInvest'!$A:$AZ,COLUMN(AG186)-$A$5,0)),0)</f>
        <v>-0.83</v>
      </c>
      <c r="AH186" s="56">
        <f>IFERROR((VLOOKUP($A186,'Dados StatusInvest'!$A:$AZ,COLUMN(AH186)-$A$5,0)),0)</f>
        <v>0.3</v>
      </c>
      <c r="AI186" s="57">
        <f>IFERROR((VLOOKUP($A186,'Dados StatusInvest'!$A:$AZ,COLUMN(AI186)-$A$5,0)),0)</f>
        <v>579430086</v>
      </c>
      <c r="AJ186" s="59" t="str">
        <f>IFERROR((VLOOKUP($A186,'Dados StatusInvest'!$A:$AZ,COLUMN(AJ186)-$A$5,0)),0)</f>
        <v/>
      </c>
      <c r="AK186" s="60">
        <f>IFERROR(__xludf.DUMMYFUNCTION("IFERROR(GOOGLEFINANCE($A186,""high""),"""")"),19.84)</f>
        <v>19.84</v>
      </c>
      <c r="AL186" s="60">
        <f>IFERROR(__xludf.DUMMYFUNCTION("IFERROR(GOOGLEFINANCE($A186,""low""),"""")"),19.84)</f>
        <v>19.84</v>
      </c>
      <c r="AM186" s="61">
        <f t="shared" si="2"/>
        <v>0</v>
      </c>
      <c r="AN186" s="62">
        <f>IFERROR(__xludf.DUMMYFUNCTION("IFERROR((GOOGLEFINANCE($A186,""volume"")),0)"),100.0)</f>
        <v>100</v>
      </c>
      <c r="AO186" s="60">
        <f>IFERROR(__xludf.DUMMYFUNCTION("IFERROR((GOOGLEFINANCE($A186,""closeyest"")),"""")"),19.5)</f>
        <v>19.5</v>
      </c>
      <c r="AP186" s="60">
        <f>IFERROR(__xludf.DUMMYFUNCTION("IFERROR((GOOGLEFINANCE($A186,""shares"")),"""")"),6518111.0)</f>
        <v>6518111</v>
      </c>
      <c r="AQ186" s="18"/>
    </row>
    <row r="187">
      <c r="A187" s="45" t="str">
        <f>'Dados StatusInvest'!A182:A801</f>
        <v>CSAB3</v>
      </c>
      <c r="B187" s="46" t="str">
        <f>IFERROR(__xludf.DUMMYFUNCTION("IFERROR((GOOGLEFINANCE(A187,""name"")),"""")"),"")</f>
        <v/>
      </c>
      <c r="C187" s="46" t="str">
        <f>IFERROR((VLOOKUP(LEFT($A187,4),Setor!$A:$E,3,0)),"")</f>
        <v>Financeiro</v>
      </c>
      <c r="D187" s="46" t="str">
        <f>IFERROR((VLOOKUP(LEFT($A187,4),Setor!$A:$E,4,0)),"")</f>
        <v>Previdência e Seguros</v>
      </c>
      <c r="E187" s="46" t="str">
        <f>IFERROR((VLOOKUP(LEFT($A187,4),Setor!$A:$E,5,0)),"")</f>
        <v>Seguradoras</v>
      </c>
      <c r="F187" s="47" t="str">
        <f>IFERROR(__xludf.DUMMYFUNCTION("IFERROR((GOOGLEFINANCE(A187)),"""")"),"")</f>
        <v/>
      </c>
      <c r="G187" s="48" t="str">
        <f>IFERROR(__xludf.DUMMYFUNCTION("IFERROR((sparkline(GOOGLEFINANCE($A187,""price"",TODAY()-30,TODAY(),""DAILY""),{""charttype"",""line"";""linewidth"",1;""color"",""#5f88cc""})),"""")"),"")</f>
        <v/>
      </c>
      <c r="H187" s="49" t="str">
        <f>IFERROR(__xludf.DUMMYFUNCTION("IFERROR((((GOOGLEFINANCE(A187))-(INDEX(GoogleFinance(A187,""PRICE"",$AQ$1),2,2)))/(INDEX(GoogleFinance(A187,""PRICE"",$AQ$1),2,2))),"""")"),"")</f>
        <v/>
      </c>
      <c r="I187" s="47" t="str">
        <f>IFERROR(__xludf.DUMMYFUNCTION("IFERROR((GOOGLEFINANCE($A187,""high52"")),"""")"),"")</f>
        <v/>
      </c>
      <c r="J187" s="48" t="str">
        <f>IFERROR(__xludf.DUMMYFUNCTION("IFERROR((sparkline(GOOGLEFINANCE($A187,""price"",TODAY()-365,TODAY(),""DAILY""),{""charttype"",""line"";""linewidth"",1;""color"",""#5f88cc""})),"""")"),"")</f>
        <v/>
      </c>
      <c r="K187" s="50" t="str">
        <f>IFERROR(__xludf.DUMMYFUNCTION("IFERROR((((GOOGLEFINANCE(A187))-(INDEX(GoogleFinance(A187,""PRICE"",$AP$1),2,2)))/(INDEX(GoogleFinance(A187,""PRICE"",$AP$1),2,2))),"""")"),"")</f>
        <v/>
      </c>
      <c r="L187" s="51">
        <f t="shared" si="1"/>
        <v>0</v>
      </c>
      <c r="M187" s="52">
        <f>IFERROR((VLOOKUP($A187,'Dados StatusInvest'!$A:$AZ,COLUMN(M187)-$A$5,0)*VLOOKUP($A187,'Dados StatusInvest'!$A:$AZ,2,0)/$F187/100),0)</f>
        <v>0</v>
      </c>
      <c r="N187" s="53">
        <f>IFERROR((VLOOKUP($A187,'Dados StatusInvest'!$A:$AZ,COLUMN(N187)-$A$5,0)/VLOOKUP($A187,'Dados StatusInvest'!$A:$AZ,2,0)*$F187),"")</f>
        <v>0</v>
      </c>
      <c r="O187" s="53">
        <f>IFERROR((VLOOKUP($A187,'Dados StatusInvest'!$A:$AZ,COLUMN(O187)-$A$5,0)/VLOOKUP($A187,'Dados StatusInvest'!$A:$AZ,2,0)*$F187),0)</f>
        <v>0</v>
      </c>
      <c r="P187" s="54">
        <f>IFERROR((VLOOKUP($A187,'Dados StatusInvest'!$A:$AZ,COLUMN(P187)-$A$5,0)/VLOOKUP($A187,'Dados StatusInvest'!$A:$AZ,2,0)*$F187),0)</f>
        <v>0</v>
      </c>
      <c r="Q187" s="55">
        <f>IFERROR((VLOOKUP($A187,'Dados StatusInvest'!$A:$AZ,COLUMN(Q187)-$A$5,0)/100),0)</f>
        <v>0</v>
      </c>
      <c r="R187" s="56">
        <f>VLOOKUP($A187,'Dados StatusInvest'!$A:$AZ,COLUMN(R187)-$A$5,0)</f>
        <v>0</v>
      </c>
      <c r="S187" s="56">
        <f>IFERROR((VLOOKUP($A187,'Dados StatusInvest'!$A:$AZ,COLUMN(S187)-$A$5,0)),0)</f>
        <v>312.32</v>
      </c>
      <c r="T187" s="53">
        <f>IFERROR((VLOOKUP($A187,'Dados StatusInvest'!$A:$AZ,COLUMN(T187)-$A$5,0)/VLOOKUP($A187,'Dados StatusInvest'!$A:$AZ,2,0)*$F187),0)</f>
        <v>0</v>
      </c>
      <c r="U187" s="53">
        <f>IFERROR((VLOOKUP($A187,'Dados StatusInvest'!$A:$AZ,COLUMN(U187)-$A$5,0)-VLOOKUP($A187,'Dados StatusInvest'!$A:$AZ,COLUMN(U187)-$A$5-1,0)+T187),0)</f>
        <v>-4.25</v>
      </c>
      <c r="V187" s="56">
        <f>IFERROR((VLOOKUP($A187,'Dados StatusInvest'!$A:$AZ,COLUMN(V187)-$A$5,0)),0)</f>
        <v>4.45</v>
      </c>
      <c r="W187" s="56">
        <f>IFERROR((VLOOKUP($A187,'Dados StatusInvest'!$A:$AZ,COLUMN(W187)-$A$5,0)),0)</f>
        <v>8.94</v>
      </c>
      <c r="X187" s="53">
        <f>IFERROR((VLOOKUP($A187,'Dados StatusInvest'!$A:$AZ,COLUMN(X187)-$A$5,0)/VLOOKUP($A187,'Dados StatusInvest'!$A:$AZ,2,0)*$F187),0)</f>
        <v>0</v>
      </c>
      <c r="Y187" s="54">
        <f>IFERROR((VLOOKUP($A187,'Dados StatusInvest'!$A:$AZ,COLUMN(Y187)-$A$5,0)/VLOOKUP($A187,'Dados StatusInvest'!$A:$AZ,2,0)*$F187),0)</f>
        <v>0</v>
      </c>
      <c r="Z187" s="56">
        <f>IFERROR((VLOOKUP($A187,'Dados StatusInvest'!$A:$AZ,COLUMN(Z187)-$A$5,0)),0)</f>
        <v>0.51</v>
      </c>
      <c r="AA187" s="57">
        <f>IFERROR((VLOOKUP($A187,'Dados StatusInvest'!$A:$AZ,COLUMN(AA187)-$A$5,0)),0)</f>
        <v>0.49</v>
      </c>
      <c r="AB187" s="57">
        <f>IFERROR((VLOOKUP($A187,'Dados StatusInvest'!$A:$AZ,COLUMN(AB187)-$A$5,0)),0)</f>
        <v>0</v>
      </c>
      <c r="AC187" s="58">
        <f>IFERROR((VLOOKUP($A187,'Dados StatusInvest'!$A:$AZ,COLUMN(AC187)-$A$5,0)),0)</f>
        <v>-33.4</v>
      </c>
      <c r="AD187" s="57">
        <f>IFERROR((VLOOKUP($A187,'Dados StatusInvest'!$A:$AZ,COLUMN(AD187)-$A$5,0)),0)</f>
        <v>-1.31</v>
      </c>
      <c r="AE187" s="56">
        <f>IFERROR((VLOOKUP($A187,'Dados StatusInvest'!$A:$AZ,COLUMN(AE187)-$A$5,0)),0)</f>
        <v>0</v>
      </c>
      <c r="AF187" s="56">
        <f>IFERROR((VLOOKUP($A187,'Dados StatusInvest'!$A:$AZ,COLUMN(AF187)-$A$5,0)),0)</f>
        <v>27.56</v>
      </c>
      <c r="AG187" s="56">
        <f>IFERROR((VLOOKUP($A187,'Dados StatusInvest'!$A:$AZ,COLUMN(AG187)-$A$5,0)),0)</f>
        <v>2.46</v>
      </c>
      <c r="AH187" s="56">
        <f>IFERROR((VLOOKUP($A187,'Dados StatusInvest'!$A:$AZ,COLUMN(AH187)-$A$5,0)),0)</f>
        <v>-0.02</v>
      </c>
      <c r="AI187" s="57">
        <f>IFERROR((VLOOKUP($A187,'Dados StatusInvest'!$A:$AZ,COLUMN(AI187)-$A$5,0)),0)</f>
        <v>305164800</v>
      </c>
      <c r="AJ187" s="59" t="str">
        <f>IFERROR((VLOOKUP($A187,'Dados StatusInvest'!$A:$AZ,COLUMN(AJ187)-$A$5,0)),0)</f>
        <v/>
      </c>
      <c r="AK187" s="60" t="str">
        <f>IFERROR(__xludf.DUMMYFUNCTION("IFERROR(GOOGLEFINANCE($A187,""high""),"""")"),"")</f>
        <v/>
      </c>
      <c r="AL187" s="60" t="str">
        <f>IFERROR(__xludf.DUMMYFUNCTION("IFERROR(GOOGLEFINANCE($A187,""low""),"""")"),"")</f>
        <v/>
      </c>
      <c r="AM187" s="61">
        <f t="shared" si="2"/>
        <v>0</v>
      </c>
      <c r="AN187" s="62">
        <f>IFERROR(__xludf.DUMMYFUNCTION("IFERROR((GOOGLEFINANCE($A187,""volume"")),0)"),0.0)</f>
        <v>0</v>
      </c>
      <c r="AO187" s="60" t="str">
        <f>IFERROR(__xludf.DUMMYFUNCTION("IFERROR((GOOGLEFINANCE($A187,""closeyest"")),"""")"),"")</f>
        <v/>
      </c>
      <c r="AP187" s="60" t="str">
        <f>IFERROR(__xludf.DUMMYFUNCTION("IFERROR((GOOGLEFINANCE($A187,""shares"")),"""")"),"")</f>
        <v/>
      </c>
      <c r="AQ187" s="18"/>
    </row>
    <row r="188">
      <c r="A188" s="45" t="str">
        <f>'Dados StatusInvest'!A183:A802</f>
        <v>CSAB4</v>
      </c>
      <c r="B188" s="46" t="str">
        <f>IFERROR(__xludf.DUMMYFUNCTION("IFERROR((GOOGLEFINANCE(A188,""name"")),"""")"),"")</f>
        <v/>
      </c>
      <c r="C188" s="46" t="str">
        <f>IFERROR((VLOOKUP(LEFT($A188,4),Setor!$A:$E,3,0)),"")</f>
        <v>Financeiro</v>
      </c>
      <c r="D188" s="46" t="str">
        <f>IFERROR((VLOOKUP(LEFT($A188,4),Setor!$A:$E,4,0)),"")</f>
        <v>Previdência e Seguros</v>
      </c>
      <c r="E188" s="46" t="str">
        <f>IFERROR((VLOOKUP(LEFT($A188,4),Setor!$A:$E,5,0)),"")</f>
        <v>Seguradoras</v>
      </c>
      <c r="F188" s="47" t="str">
        <f>IFERROR(__xludf.DUMMYFUNCTION("IFERROR((GOOGLEFINANCE(A188)),"""")"),"")</f>
        <v/>
      </c>
      <c r="G188" s="48" t="str">
        <f>IFERROR(__xludf.DUMMYFUNCTION("IFERROR((sparkline(GOOGLEFINANCE($A188,""price"",TODAY()-30,TODAY(),""DAILY""),{""charttype"",""line"";""linewidth"",1;""color"",""#5f88cc""})),"""")"),"")</f>
        <v/>
      </c>
      <c r="H188" s="49" t="str">
        <f>IFERROR(__xludf.DUMMYFUNCTION("IFERROR((((GOOGLEFINANCE(A188))-(INDEX(GoogleFinance(A188,""PRICE"",$AQ$1),2,2)))/(INDEX(GoogleFinance(A188,""PRICE"",$AQ$1),2,2))),"""")"),"")</f>
        <v/>
      </c>
      <c r="I188" s="47" t="str">
        <f>IFERROR(__xludf.DUMMYFUNCTION("IFERROR((GOOGLEFINANCE($A188,""high52"")),"""")"),"")</f>
        <v/>
      </c>
      <c r="J188" s="48" t="str">
        <f>IFERROR(__xludf.DUMMYFUNCTION("IFERROR((sparkline(GOOGLEFINANCE($A188,""price"",TODAY()-365,TODAY(),""DAILY""),{""charttype"",""line"";""linewidth"",1;""color"",""#5f88cc""})),"""")"),"")</f>
        <v/>
      </c>
      <c r="K188" s="50" t="str">
        <f>IFERROR(__xludf.DUMMYFUNCTION("IFERROR((((GOOGLEFINANCE(A188))-(INDEX(GoogleFinance(A188,""PRICE"",$AP$1),2,2)))/(INDEX(GoogleFinance(A188,""PRICE"",$AP$1),2,2))),"""")"),"")</f>
        <v/>
      </c>
      <c r="L188" s="51">
        <f t="shared" si="1"/>
        <v>0</v>
      </c>
      <c r="M188" s="52">
        <f>IFERROR((VLOOKUP($A188,'Dados StatusInvest'!$A:$AZ,COLUMN(M188)-$A$5,0)*VLOOKUP($A188,'Dados StatusInvest'!$A:$AZ,2,0)/$F188/100),0)</f>
        <v>0</v>
      </c>
      <c r="N188" s="53">
        <f>IFERROR((VLOOKUP($A188,'Dados StatusInvest'!$A:$AZ,COLUMN(N188)-$A$5,0)/VLOOKUP($A188,'Dados StatusInvest'!$A:$AZ,2,0)*$F188),"")</f>
        <v>0</v>
      </c>
      <c r="O188" s="53">
        <f>IFERROR((VLOOKUP($A188,'Dados StatusInvest'!$A:$AZ,COLUMN(O188)-$A$5,0)/VLOOKUP($A188,'Dados StatusInvest'!$A:$AZ,2,0)*$F188),0)</f>
        <v>0</v>
      </c>
      <c r="P188" s="54">
        <f>IFERROR((VLOOKUP($A188,'Dados StatusInvest'!$A:$AZ,COLUMN(P188)-$A$5,0)/VLOOKUP($A188,'Dados StatusInvest'!$A:$AZ,2,0)*$F188),0)</f>
        <v>0</v>
      </c>
      <c r="Q188" s="55">
        <f>IFERROR((VLOOKUP($A188,'Dados StatusInvest'!$A:$AZ,COLUMN(Q188)-$A$5,0)/100),0)</f>
        <v>0</v>
      </c>
      <c r="R188" s="56">
        <f>VLOOKUP($A188,'Dados StatusInvest'!$A:$AZ,COLUMN(R188)-$A$5,0)</f>
        <v>0</v>
      </c>
      <c r="S188" s="56">
        <f>IFERROR((VLOOKUP($A188,'Dados StatusInvest'!$A:$AZ,COLUMN(S188)-$A$5,0)),0)</f>
        <v>501.45</v>
      </c>
      <c r="T188" s="53">
        <f>IFERROR((VLOOKUP($A188,'Dados StatusInvest'!$A:$AZ,COLUMN(T188)-$A$5,0)/VLOOKUP($A188,'Dados StatusInvest'!$A:$AZ,2,0)*$F188),0)</f>
        <v>0</v>
      </c>
      <c r="U188" s="53">
        <f>IFERROR((VLOOKUP($A188,'Dados StatusInvest'!$A:$AZ,COLUMN(U188)-$A$5,0)-VLOOKUP($A188,'Dados StatusInvest'!$A:$AZ,COLUMN(U188)-$A$5-1,0)+T188),0)</f>
        <v>-6.83</v>
      </c>
      <c r="V188" s="56">
        <f>IFERROR((VLOOKUP($A188,'Dados StatusInvest'!$A:$AZ,COLUMN(V188)-$A$5,0)),0)</f>
        <v>4.45</v>
      </c>
      <c r="W188" s="56">
        <f>IFERROR((VLOOKUP($A188,'Dados StatusInvest'!$A:$AZ,COLUMN(W188)-$A$5,0)),0)</f>
        <v>8.94</v>
      </c>
      <c r="X188" s="53">
        <f>IFERROR((VLOOKUP($A188,'Dados StatusInvest'!$A:$AZ,COLUMN(X188)-$A$5,0)/VLOOKUP($A188,'Dados StatusInvest'!$A:$AZ,2,0)*$F188),0)</f>
        <v>0</v>
      </c>
      <c r="Y188" s="54">
        <f>IFERROR((VLOOKUP($A188,'Dados StatusInvest'!$A:$AZ,COLUMN(Y188)-$A$5,0)/VLOOKUP($A188,'Dados StatusInvest'!$A:$AZ,2,0)*$F188),0)</f>
        <v>0</v>
      </c>
      <c r="Z188" s="56">
        <f>IFERROR((VLOOKUP($A188,'Dados StatusInvest'!$A:$AZ,COLUMN(Z188)-$A$5,0)),0)</f>
        <v>0.51</v>
      </c>
      <c r="AA188" s="57">
        <f>IFERROR((VLOOKUP($A188,'Dados StatusInvest'!$A:$AZ,COLUMN(AA188)-$A$5,0)),0)</f>
        <v>0.49</v>
      </c>
      <c r="AB188" s="57">
        <f>IFERROR((VLOOKUP($A188,'Dados StatusInvest'!$A:$AZ,COLUMN(AB188)-$A$5,0)),0)</f>
        <v>0</v>
      </c>
      <c r="AC188" s="58">
        <f>IFERROR((VLOOKUP($A188,'Dados StatusInvest'!$A:$AZ,COLUMN(AC188)-$A$5,0)),0)</f>
        <v>-33.4</v>
      </c>
      <c r="AD188" s="57">
        <f>IFERROR((VLOOKUP($A188,'Dados StatusInvest'!$A:$AZ,COLUMN(AD188)-$A$5,0)),0)</f>
        <v>-1.31</v>
      </c>
      <c r="AE188" s="56">
        <f>IFERROR((VLOOKUP($A188,'Dados StatusInvest'!$A:$AZ,COLUMN(AE188)-$A$5,0)),0)</f>
        <v>0</v>
      </c>
      <c r="AF188" s="56">
        <f>IFERROR((VLOOKUP($A188,'Dados StatusInvest'!$A:$AZ,COLUMN(AF188)-$A$5,0)),0)</f>
        <v>27.56</v>
      </c>
      <c r="AG188" s="56">
        <f>IFERROR((VLOOKUP($A188,'Dados StatusInvest'!$A:$AZ,COLUMN(AG188)-$A$5,0)),0)</f>
        <v>2.46</v>
      </c>
      <c r="AH188" s="56">
        <f>IFERROR((VLOOKUP($A188,'Dados StatusInvest'!$A:$AZ,COLUMN(AH188)-$A$5,0)),0)</f>
        <v>-0.03</v>
      </c>
      <c r="AI188" s="57">
        <f>IFERROR((VLOOKUP($A188,'Dados StatusInvest'!$A:$AZ,COLUMN(AI188)-$A$5,0)),0)</f>
        <v>305164800</v>
      </c>
      <c r="AJ188" s="59" t="str">
        <f>IFERROR((VLOOKUP($A188,'Dados StatusInvest'!$A:$AZ,COLUMN(AJ188)-$A$5,0)),0)</f>
        <v/>
      </c>
      <c r="AK188" s="60" t="str">
        <f>IFERROR(__xludf.DUMMYFUNCTION("IFERROR(GOOGLEFINANCE($A188,""high""),"""")"),"")</f>
        <v/>
      </c>
      <c r="AL188" s="60" t="str">
        <f>IFERROR(__xludf.DUMMYFUNCTION("IFERROR(GOOGLEFINANCE($A188,""low""),"""")"),"")</f>
        <v/>
      </c>
      <c r="AM188" s="61">
        <f t="shared" si="2"/>
        <v>0</v>
      </c>
      <c r="AN188" s="62">
        <f>IFERROR(__xludf.DUMMYFUNCTION("IFERROR((GOOGLEFINANCE($A188,""volume"")),0)"),0.0)</f>
        <v>0</v>
      </c>
      <c r="AO188" s="60" t="str">
        <f>IFERROR(__xludf.DUMMYFUNCTION("IFERROR((GOOGLEFINANCE($A188,""closeyest"")),"""")"),"")</f>
        <v/>
      </c>
      <c r="AP188" s="60" t="str">
        <f>IFERROR(__xludf.DUMMYFUNCTION("IFERROR((GOOGLEFINANCE($A188,""shares"")),"""")"),"")</f>
        <v/>
      </c>
      <c r="AQ188" s="18"/>
    </row>
    <row r="189">
      <c r="A189" s="45" t="str">
        <f>'Dados StatusInvest'!A184:A803</f>
        <v>CSAN3</v>
      </c>
      <c r="B189" s="46" t="str">
        <f>IFERROR(__xludf.DUMMYFUNCTION("IFERROR((GOOGLEFINANCE(A189,""name"")),"""")"),"Cosan SA")</f>
        <v>Cosan SA</v>
      </c>
      <c r="C189" s="46" t="str">
        <f>IFERROR((VLOOKUP(LEFT($A189,4),Setor!$A:$E,3,0)),"")</f>
        <v>Petróleo, Gás e Biocombustíveis</v>
      </c>
      <c r="D189" s="46" t="str">
        <f>IFERROR((VLOOKUP(LEFT($A189,4),Setor!$A:$E,4,0)),"")</f>
        <v>Petróleo, Gás e Biocombustíveis</v>
      </c>
      <c r="E189" s="46" t="str">
        <f>IFERROR((VLOOKUP(LEFT($A189,4),Setor!$A:$E,5,0)),"")</f>
        <v>Exploração, Refino e Distribuição</v>
      </c>
      <c r="F189" s="47">
        <f>IFERROR(__xludf.DUMMYFUNCTION("IFERROR((GOOGLEFINANCE(A189)),"""")"),6.35)</f>
        <v>6.35</v>
      </c>
      <c r="G189" s="48" t="str">
        <f>IFERROR(__xludf.DUMMYFUNCTION("IFERROR((sparkline(GOOGLEFINANCE($A189,""price"",TODAY()-30,TODAY(),""DAILY""),{""charttype"",""line"";""linewidth"",1;""color"",""#5f88cc""})),"""")"),"")</f>
        <v/>
      </c>
      <c r="H189" s="49">
        <f>IFERROR(__xludf.DUMMYFUNCTION("IFERROR((((GOOGLEFINANCE(A189))-(INDEX(GoogleFinance(A189,""PRICE"",$AQ$1),2,2)))/(INDEX(GoogleFinance(A189,""PRICE"",$AQ$1),2,2))),"""")"),0.18913857677902618)</f>
        <v>0.1891385768</v>
      </c>
      <c r="I189" s="47">
        <f>IFERROR(__xludf.DUMMYFUNCTION("IFERROR((GOOGLEFINANCE($A189,""high52"")),"""")"),8.78)</f>
        <v>8.78</v>
      </c>
      <c r="J189" s="48" t="str">
        <f>IFERROR(__xludf.DUMMYFUNCTION("IFERROR((sparkline(GOOGLEFINANCE($A189,""price"",TODAY()-365,TODAY(),""DAILY""),{""charttype"",""line"";""linewidth"",1;""color"",""#5f88cc""})),"""")"),"")</f>
        <v/>
      </c>
      <c r="K189" s="50">
        <f>IFERROR(__xludf.DUMMYFUNCTION("IFERROR((((GOOGLEFINANCE(A189))-(INDEX(GoogleFinance(A189,""PRICE"",$AP$1),2,2)))/(INDEX(GoogleFinance(A189,""PRICE"",$AP$1),2,2))),"""")"),-0.14993306559571623)</f>
        <v>-0.1499330656</v>
      </c>
      <c r="L189" s="51">
        <f t="shared" si="1"/>
        <v>-0.2767653759</v>
      </c>
      <c r="M189" s="52">
        <f>IFERROR((VLOOKUP($A189,'Dados StatusInvest'!$A:$AZ,COLUMN(M189)-$A$5,0)*VLOOKUP($A189,'Dados StatusInvest'!$A:$AZ,2,0)/$F189/100),0)</f>
        <v>0.03971023622</v>
      </c>
      <c r="N189" s="53">
        <f>IFERROR((VLOOKUP($A189,'Dados StatusInvest'!$A:$AZ,COLUMN(N189)-$A$5,0)/VLOOKUP($A189,'Dados StatusInvest'!$A:$AZ,2,0)*$F189),"")</f>
        <v>-30.7975</v>
      </c>
      <c r="O189" s="53">
        <f>IFERROR((VLOOKUP($A189,'Dados StatusInvest'!$A:$AZ,COLUMN(O189)-$A$5,0)/VLOOKUP($A189,'Dados StatusInvest'!$A:$AZ,2,0)*$F189),0)</f>
        <v>15.03164063</v>
      </c>
      <c r="P189" s="54">
        <f>IFERROR((VLOOKUP($A189,'Dados StatusInvest'!$A:$AZ,COLUMN(P189)-$A$5,0)/VLOOKUP($A189,'Dados StatusInvest'!$A:$AZ,2,0)*$F189),0)</f>
        <v>47.21820313</v>
      </c>
      <c r="Q189" s="55">
        <f>IFERROR((VLOOKUP($A189,'Dados StatusInvest'!$A:$AZ,COLUMN(Q189)-$A$5,0)/100),0)</f>
        <v>0.3244</v>
      </c>
      <c r="R189" s="56">
        <f>VLOOKUP($A189,'Dados StatusInvest'!$A:$AZ,COLUMN(R189)-$A$5,0)</f>
        <v>9.21</v>
      </c>
      <c r="S189" s="56">
        <f>IFERROR((VLOOKUP($A189,'Dados StatusInvest'!$A:$AZ,COLUMN(S189)-$A$5,0)),0)</f>
        <v>0.6</v>
      </c>
      <c r="T189" s="53">
        <f>IFERROR((VLOOKUP($A189,'Dados StatusInvest'!$A:$AZ,COLUMN(T189)-$A$5,0)/VLOOKUP($A189,'Dados StatusInvest'!$A:$AZ,2,0)*$F189),0)</f>
        <v>2.113359375</v>
      </c>
      <c r="U189" s="53">
        <f>IFERROR((VLOOKUP($A189,'Dados StatusInvest'!$A:$AZ,COLUMN(U189)-$A$5,0)-VLOOKUP($A189,'Dados StatusInvest'!$A:$AZ,COLUMN(U189)-$A$5-1,0)+T189),0)</f>
        <v>-0.276640625</v>
      </c>
      <c r="V189" s="56">
        <f>IFERROR((VLOOKUP($A189,'Dados StatusInvest'!$A:$AZ,COLUMN(V189)-$A$5,0)),0)</f>
        <v>1.8</v>
      </c>
      <c r="W189" s="56">
        <f>IFERROR((VLOOKUP($A189,'Dados StatusInvest'!$A:$AZ,COLUMN(W189)-$A$5,0)),0)</f>
        <v>-223.96</v>
      </c>
      <c r="X189" s="53">
        <f>IFERROR((VLOOKUP($A189,'Dados StatusInvest'!$A:$AZ,COLUMN(X189)-$A$5,0)/VLOOKUP($A189,'Dados StatusInvest'!$A:$AZ,2,0)*$F189),0)</f>
        <v>-10.42789063</v>
      </c>
      <c r="Y189" s="54">
        <f>IFERROR((VLOOKUP($A189,'Dados StatusInvest'!$A:$AZ,COLUMN(Y189)-$A$5,0)/VLOOKUP($A189,'Dados StatusInvest'!$A:$AZ,2,0)*$F189),0)</f>
        <v>-3.889375</v>
      </c>
      <c r="Z189" s="56">
        <f>IFERROR((VLOOKUP($A189,'Dados StatusInvest'!$A:$AZ,COLUMN(Z189)-$A$5,0)),0)</f>
        <v>0.05</v>
      </c>
      <c r="AA189" s="57">
        <f>IFERROR((VLOOKUP($A189,'Dados StatusInvest'!$A:$AZ,COLUMN(AA189)-$A$5,0)),0)</f>
        <v>0.75</v>
      </c>
      <c r="AB189" s="57">
        <f>IFERROR((VLOOKUP($A189,'Dados StatusInvest'!$A:$AZ,COLUMN(AB189)-$A$5,0)),0)</f>
        <v>0.34</v>
      </c>
      <c r="AC189" s="58">
        <f>IFERROR((VLOOKUP($A189,'Dados StatusInvest'!$A:$AZ,COLUMN(AC189)-$A$5,0)),0)</f>
        <v>26.51</v>
      </c>
      <c r="AD189" s="57">
        <f>IFERROR((VLOOKUP($A189,'Dados StatusInvest'!$A:$AZ,COLUMN(AD189)-$A$5,0)),0)</f>
        <v>0</v>
      </c>
      <c r="AE189" s="56">
        <f>IFERROR((VLOOKUP($A189,'Dados StatusInvest'!$A:$AZ,COLUMN(AE189)-$A$5,0)),0)</f>
        <v>220000000</v>
      </c>
      <c r="AF189" s="56">
        <f>IFERROR((VLOOKUP($A189,'Dados StatusInvest'!$A:$AZ,COLUMN(AF189)-$A$5,0)),0)</f>
        <v>1.49</v>
      </c>
      <c r="AG189" s="56">
        <f>IFERROR((VLOOKUP($A189,'Dados StatusInvest'!$A:$AZ,COLUMN(AG189)-$A$5,0)),0)</f>
        <v>-3.33</v>
      </c>
      <c r="AH189" s="56">
        <f>IFERROR((VLOOKUP($A189,'Dados StatusInvest'!$A:$AZ,COLUMN(AH189)-$A$5,0)),0)</f>
        <v>0</v>
      </c>
      <c r="AI189" s="57">
        <f>IFERROR((VLOOKUP($A189,'Dados StatusInvest'!$A:$AZ,COLUMN(AI189)-$A$5,0)),0)</f>
        <v>25386053965</v>
      </c>
      <c r="AJ189" s="59" t="str">
        <f>IFERROR((VLOOKUP($A189,'Dados StatusInvest'!$A:$AZ,COLUMN(AJ189)-$A$5,0)),0)</f>
        <v/>
      </c>
      <c r="AK189" s="60">
        <f>IFERROR(__xludf.DUMMYFUNCTION("IFERROR(GOOGLEFINANCE($A189,""high""),"""")"),6.39)</f>
        <v>6.39</v>
      </c>
      <c r="AL189" s="60">
        <f>IFERROR(__xludf.DUMMYFUNCTION("IFERROR(GOOGLEFINANCE($A189,""low""),"""")"),6.3)</f>
        <v>6.3</v>
      </c>
      <c r="AM189" s="61">
        <f t="shared" si="2"/>
        <v>0.01428571429</v>
      </c>
      <c r="AN189" s="62">
        <f>IFERROR(__xludf.DUMMYFUNCTION("IFERROR((GOOGLEFINANCE($A189,""volume"")),0)"),1110500.0)</f>
        <v>1110500</v>
      </c>
      <c r="AO189" s="60">
        <f>IFERROR(__xludf.DUMMYFUNCTION("IFERROR((GOOGLEFINANCE($A189,""closeyest"")),"""")"),6.4)</f>
        <v>6.4</v>
      </c>
      <c r="AP189" s="60">
        <f>IFERROR(__xludf.DUMMYFUNCTION("IFERROR((GOOGLEFINANCE($A189,""shares"")),"""")"),3.966570932E9)</f>
        <v>3966570932</v>
      </c>
      <c r="AQ189" s="18"/>
    </row>
    <row r="190">
      <c r="A190" s="45" t="str">
        <f>'Dados StatusInvest'!A185:A804</f>
        <v>CSED3</v>
      </c>
      <c r="B190" s="46" t="str">
        <f>IFERROR(__xludf.DUMMYFUNCTION("IFERROR((GOOGLEFINANCE(A190,""name"")),"""")"),"Cruzeiro do Sul Educacional SA")</f>
        <v>Cruzeiro do Sul Educacional SA</v>
      </c>
      <c r="C190" s="46" t="str">
        <f>IFERROR((VLOOKUP(LEFT($A190,4),Setor!$A:$E,3,0)),"")</f>
        <v/>
      </c>
      <c r="D190" s="46" t="str">
        <f>IFERROR((VLOOKUP(LEFT($A190,4),Setor!$A:$E,4,0)),"")</f>
        <v/>
      </c>
      <c r="E190" s="46" t="str">
        <f>IFERROR((VLOOKUP(LEFT($A190,4),Setor!$A:$E,5,0)),"")</f>
        <v/>
      </c>
      <c r="F190" s="47">
        <f>IFERROR(__xludf.DUMMYFUNCTION("IFERROR((GOOGLEFINANCE(A190)),"""")"),6.78)</f>
        <v>6.78</v>
      </c>
      <c r="G190" s="48" t="str">
        <f>IFERROR(__xludf.DUMMYFUNCTION("IFERROR((sparkline(GOOGLEFINANCE($A190,""price"",TODAY()-30,TODAY(),""DAILY""),{""charttype"",""line"";""linewidth"",1;""color"",""#5f88cc""})),"""")"),"")</f>
        <v/>
      </c>
      <c r="H190" s="49">
        <f>IFERROR(__xludf.DUMMYFUNCTION("IFERROR((((GOOGLEFINANCE(A190))-(INDEX(GoogleFinance(A190,""PRICE"",$AQ$1),2,2)))/(INDEX(GoogleFinance(A190,""PRICE"",$AQ$1),2,2))),"""")"),0.039877300613497035)</f>
        <v>0.03987730061</v>
      </c>
      <c r="I190" s="47">
        <f>IFERROR(__xludf.DUMMYFUNCTION("IFERROR((GOOGLEFINANCE($A190,""high52"")),"""")"),7.31)</f>
        <v>7.31</v>
      </c>
      <c r="J190" s="48" t="str">
        <f>IFERROR(__xludf.DUMMYFUNCTION("IFERROR((sparkline(GOOGLEFINANCE($A190,""price"",TODAY()-365,TODAY(),""DAILY""),{""charttype"",""line"";""linewidth"",1;""color"",""#5f88cc""})),"""")"),"")</f>
        <v/>
      </c>
      <c r="K190" s="50">
        <f>IFERROR(__xludf.DUMMYFUNCTION("IFERROR((((GOOGLEFINANCE(A190))-(INDEX(GoogleFinance(A190,""PRICE"",$AP$1),2,2)))/(INDEX(GoogleFinance(A190,""PRICE"",$AP$1),2,2))),"""")"),0.8729281767955801)</f>
        <v>0.8729281768</v>
      </c>
      <c r="L190" s="51">
        <f t="shared" si="1"/>
        <v>-0.07250341997</v>
      </c>
      <c r="M190" s="52">
        <f>IFERROR((VLOOKUP($A190,'Dados StatusInvest'!$A:$AZ,COLUMN(M190)-$A$5,0)*VLOOKUP($A190,'Dados StatusInvest'!$A:$AZ,2,0)/$F190/100),0)</f>
        <v>0.2201474926</v>
      </c>
      <c r="N190" s="53">
        <f>IFERROR((VLOOKUP($A190,'Dados StatusInvest'!$A:$AZ,COLUMN(N190)-$A$5,0)/VLOOKUP($A190,'Dados StatusInvest'!$A:$AZ,2,0)*$F190),"")</f>
        <v>9.153</v>
      </c>
      <c r="O190" s="53">
        <f>IFERROR((VLOOKUP($A190,'Dados StatusInvest'!$A:$AZ,COLUMN(O190)-$A$5,0)/VLOOKUP($A190,'Dados StatusInvest'!$A:$AZ,2,0)*$F190),0)</f>
        <v>4.097911765</v>
      </c>
      <c r="P190" s="54">
        <f>IFERROR((VLOOKUP($A190,'Dados StatusInvest'!$A:$AZ,COLUMN(P190)-$A$5,0)/VLOOKUP($A190,'Dados StatusInvest'!$A:$AZ,2,0)*$F190),0)</f>
        <v>4.795852941</v>
      </c>
      <c r="Q190" s="55">
        <f>IFERROR((VLOOKUP($A190,'Dados StatusInvest'!$A:$AZ,COLUMN(Q190)-$A$5,0)/100),0)</f>
        <v>0.007</v>
      </c>
      <c r="R190" s="56">
        <f>VLOOKUP($A190,'Dados StatusInvest'!$A:$AZ,COLUMN(R190)-$A$5,0)</f>
        <v>0.26</v>
      </c>
      <c r="S190" s="56">
        <f>IFERROR((VLOOKUP($A190,'Dados StatusInvest'!$A:$AZ,COLUMN(S190)-$A$5,0)),0)</f>
        <v>0.9</v>
      </c>
      <c r="T190" s="53">
        <f>IFERROR((VLOOKUP($A190,'Dados StatusInvest'!$A:$AZ,COLUMN(T190)-$A$5,0)/VLOOKUP($A190,'Dados StatusInvest'!$A:$AZ,2,0)*$F190),0)</f>
        <v>7.218705882</v>
      </c>
      <c r="U190" s="53">
        <f>IFERROR((VLOOKUP($A190,'Dados StatusInvest'!$A:$AZ,COLUMN(U190)-$A$5,0)-VLOOKUP($A190,'Dados StatusInvest'!$A:$AZ,COLUMN(U190)-$A$5-1,0)+T190),0)</f>
        <v>-0.7012941176</v>
      </c>
      <c r="V190" s="56">
        <f>IFERROR((VLOOKUP($A190,'Dados StatusInvest'!$A:$AZ,COLUMN(V190)-$A$5,0)),0)</f>
        <v>1.44</v>
      </c>
      <c r="W190" s="56">
        <f>IFERROR((VLOOKUP($A190,'Dados StatusInvest'!$A:$AZ,COLUMN(W190)-$A$5,0)),0)</f>
        <v>15.25</v>
      </c>
      <c r="X190" s="53">
        <f>IFERROR((VLOOKUP($A190,'Dados StatusInvest'!$A:$AZ,COLUMN(X190)-$A$5,0)/VLOOKUP($A190,'Dados StatusInvest'!$A:$AZ,2,0)*$F190),0)</f>
        <v>5.264470588</v>
      </c>
      <c r="Y190" s="54">
        <f>IFERROR((VLOOKUP($A190,'Dados StatusInvest'!$A:$AZ,COLUMN(Y190)-$A$5,0)/VLOOKUP($A190,'Dados StatusInvest'!$A:$AZ,2,0)*$F190),0)</f>
        <v>20.27020588</v>
      </c>
      <c r="Z190" s="56">
        <f>IFERROR((VLOOKUP($A190,'Dados StatusInvest'!$A:$AZ,COLUMN(Z190)-$A$5,0)),0)</f>
        <v>0.35</v>
      </c>
      <c r="AA190" s="57">
        <f>IFERROR((VLOOKUP($A190,'Dados StatusInvest'!$A:$AZ,COLUMN(AA190)-$A$5,0)),0)</f>
        <v>0.65</v>
      </c>
      <c r="AB190" s="57">
        <f>IFERROR((VLOOKUP($A190,'Dados StatusInvest'!$A:$AZ,COLUMN(AB190)-$A$5,0)),0)</f>
        <v>0.58</v>
      </c>
      <c r="AC190" s="58">
        <f>IFERROR((VLOOKUP($A190,'Dados StatusInvest'!$A:$AZ,COLUMN(AC190)-$A$5,0)),0)</f>
        <v>11.74</v>
      </c>
      <c r="AD190" s="57">
        <f>IFERROR((VLOOKUP($A190,'Dados StatusInvest'!$A:$AZ,COLUMN(AD190)-$A$5,0)),0)</f>
        <v>15.88</v>
      </c>
      <c r="AE190" s="56">
        <f>IFERROR((VLOOKUP($A190,'Dados StatusInvest'!$A:$AZ,COLUMN(AE190)-$A$5,0)),0)</f>
        <v>3622381</v>
      </c>
      <c r="AF190" s="56">
        <f>IFERROR((VLOOKUP($A190,'Dados StatusInvest'!$A:$AZ,COLUMN(AF190)-$A$5,0)),0)</f>
        <v>4.54</v>
      </c>
      <c r="AG190" s="56">
        <f>IFERROR((VLOOKUP($A190,'Dados StatusInvest'!$A:$AZ,COLUMN(AG190)-$A$5,0)),0)</f>
        <v>0.69</v>
      </c>
      <c r="AH190" s="56">
        <f>IFERROR((VLOOKUP($A190,'Dados StatusInvest'!$A:$AZ,COLUMN(AH190)-$A$5,0)),0)</f>
        <v>0.17</v>
      </c>
      <c r="AI190" s="57">
        <f>IFERROR((VLOOKUP($A190,'Dados StatusInvest'!$A:$AZ,COLUMN(AI190)-$A$5,0)),0)</f>
        <v>2478889354</v>
      </c>
      <c r="AJ190" s="59" t="str">
        <f>IFERROR((VLOOKUP($A190,'Dados StatusInvest'!$A:$AZ,COLUMN(AJ190)-$A$5,0)),0)</f>
        <v/>
      </c>
      <c r="AK190" s="60">
        <f>IFERROR(__xludf.DUMMYFUNCTION("IFERROR(GOOGLEFINANCE($A190,""high""),"""")"),6.81)</f>
        <v>6.81</v>
      </c>
      <c r="AL190" s="60">
        <f>IFERROR(__xludf.DUMMYFUNCTION("IFERROR(GOOGLEFINANCE($A190,""low""),"""")"),6.7)</f>
        <v>6.7</v>
      </c>
      <c r="AM190" s="61">
        <f t="shared" si="2"/>
        <v>0.01641791045</v>
      </c>
      <c r="AN190" s="62">
        <f>IFERROR(__xludf.DUMMYFUNCTION("IFERROR((GOOGLEFINANCE($A190,""volume"")),0)"),29800.0)</f>
        <v>29800</v>
      </c>
      <c r="AO190" s="60">
        <f>IFERROR(__xludf.DUMMYFUNCTION("IFERROR((GOOGLEFINANCE($A190,""closeyest"")),"""")"),6.8)</f>
        <v>6.8</v>
      </c>
      <c r="AP190" s="60">
        <f>IFERROR(__xludf.DUMMYFUNCTION("IFERROR((GOOGLEFINANCE($A190,""shares"")),"""")"),3.64542552E8)</f>
        <v>364542552</v>
      </c>
      <c r="AQ190" s="18"/>
    </row>
    <row r="191">
      <c r="A191" s="45" t="str">
        <f>'Dados StatusInvest'!A186:A805</f>
        <v>CSMG3</v>
      </c>
      <c r="B191" s="46" t="str">
        <f>IFERROR(__xludf.DUMMYFUNCTION("IFERROR((GOOGLEFINANCE(A191,""name"")),"""")"),"Companhia de Saneamento d Mns Grs CPS MG")</f>
        <v>Companhia de Saneamento d Mns Grs CPS MG</v>
      </c>
      <c r="C191" s="46" t="str">
        <f>IFERROR((VLOOKUP(LEFT($A191,4),Setor!$A:$E,3,0)),"")</f>
        <v>Utilidade Pública</v>
      </c>
      <c r="D191" s="46" t="str">
        <f>IFERROR((VLOOKUP(LEFT($A191,4),Setor!$A:$E,4,0)),"")</f>
        <v>Água e Saneamento</v>
      </c>
      <c r="E191" s="46" t="str">
        <f>IFERROR((VLOOKUP(LEFT($A191,4),Setor!$A:$E,5,0)),"")</f>
        <v>Água e Saneamento</v>
      </c>
      <c r="F191" s="47">
        <f>IFERROR(__xludf.DUMMYFUNCTION("IFERROR((GOOGLEFINANCE(A191)),"""")"),57.16)</f>
        <v>57.16</v>
      </c>
      <c r="G191" s="48" t="str">
        <f>IFERROR(__xludf.DUMMYFUNCTION("IFERROR((sparkline(GOOGLEFINANCE($A191,""price"",TODAY()-30,TODAY(),""DAILY""),{""charttype"",""line"";""linewidth"",1;""color"",""#5f88cc""})),"""")"),"")</f>
        <v/>
      </c>
      <c r="H191" s="49">
        <f>IFERROR(__xludf.DUMMYFUNCTION("IFERROR((((GOOGLEFINANCE(A191))-(INDEX(GoogleFinance(A191,""PRICE"",$AQ$1),2,2)))/(INDEX(GoogleFinance(A191,""PRICE"",$AQ$1),2,2))),"""")"),0.21902324589464695)</f>
        <v>0.2190232459</v>
      </c>
      <c r="I191" s="47">
        <f>IFERROR(__xludf.DUMMYFUNCTION("IFERROR((GOOGLEFINANCE($A191,""high52"")),"""")"),58.05)</f>
        <v>58.05</v>
      </c>
      <c r="J191" s="48" t="str">
        <f>IFERROR(__xludf.DUMMYFUNCTION("IFERROR((sparkline(GOOGLEFINANCE($A191,""price"",TODAY()-365,TODAY(),""DAILY""),{""charttype"",""line"";""linewidth"",1;""color"",""#5f88cc""})),"""")"),"")</f>
        <v/>
      </c>
      <c r="K191" s="50">
        <f>IFERROR(__xludf.DUMMYFUNCTION("IFERROR((((GOOGLEFINANCE(A191))-(INDEX(GoogleFinance(A191,""PRICE"",$AP$1),2,2)))/(INDEX(GoogleFinance(A191,""PRICE"",$AP$1),2,2))),"""")"),1.4809027777777777)</f>
        <v>1.480902778</v>
      </c>
      <c r="L191" s="51">
        <f t="shared" si="1"/>
        <v>-0.01533161068</v>
      </c>
      <c r="M191" s="52">
        <f>IFERROR((VLOOKUP($A191,'Dados StatusInvest'!$A:$AZ,COLUMN(M191)-$A$5,0)*VLOOKUP($A191,'Dados StatusInvest'!$A:$AZ,2,0)/$F191/100),0)</f>
        <v>0.2436480931</v>
      </c>
      <c r="N191" s="53">
        <f>IFERROR((VLOOKUP($A191,'Dados StatusInvest'!$A:$AZ,COLUMN(N191)-$A$5,0)/VLOOKUP($A191,'Dados StatusInvest'!$A:$AZ,2,0)*$F191),"")</f>
        <v>16.26823732</v>
      </c>
      <c r="O191" s="53">
        <f>IFERROR((VLOOKUP($A191,'Dados StatusInvest'!$A:$AZ,COLUMN(O191)-$A$5,0)/VLOOKUP($A191,'Dados StatusInvest'!$A:$AZ,2,0)*$F191),0)</f>
        <v>11.11744798</v>
      </c>
      <c r="P191" s="54">
        <f>IFERROR((VLOOKUP($A191,'Dados StatusInvest'!$A:$AZ,COLUMN(P191)-$A$5,0)/VLOOKUP($A191,'Dados StatusInvest'!$A:$AZ,2,0)*$F191),0)</f>
        <v>14.13518143</v>
      </c>
      <c r="Q191" s="55">
        <f>IFERROR((VLOOKUP($A191,'Dados StatusInvest'!$A:$AZ,COLUMN(Q191)-$A$5,0)/100),0)</f>
        <v>0.0307</v>
      </c>
      <c r="R191" s="56">
        <f>VLOOKUP($A191,'Dados StatusInvest'!$A:$AZ,COLUMN(R191)-$A$5,0)</f>
        <v>0.7</v>
      </c>
      <c r="S191" s="56">
        <f>IFERROR((VLOOKUP($A191,'Dados StatusInvest'!$A:$AZ,COLUMN(S191)-$A$5,0)),0)</f>
        <v>2.71</v>
      </c>
      <c r="T191" s="53">
        <f>IFERROR((VLOOKUP($A191,'Dados StatusInvest'!$A:$AZ,COLUMN(T191)-$A$5,0)/VLOOKUP($A191,'Dados StatusInvest'!$A:$AZ,2,0)*$F191),0)</f>
        <v>66.07558383</v>
      </c>
      <c r="U191" s="53">
        <f>IFERROR((VLOOKUP($A191,'Dados StatusInvest'!$A:$AZ,COLUMN(U191)-$A$5,0)-VLOOKUP($A191,'Dados StatusInvest'!$A:$AZ,COLUMN(U191)-$A$5-1,0)+T191),0)</f>
        <v>-2.674416165</v>
      </c>
      <c r="V191" s="56">
        <f>IFERROR((VLOOKUP($A191,'Dados StatusInvest'!$A:$AZ,COLUMN(V191)-$A$5,0)),0)</f>
        <v>1.17</v>
      </c>
      <c r="W191" s="56">
        <f>IFERROR((VLOOKUP($A191,'Dados StatusInvest'!$A:$AZ,COLUMN(W191)-$A$5,0)),0)</f>
        <v>15.68</v>
      </c>
      <c r="X191" s="53">
        <f>IFERROR((VLOOKUP($A191,'Dados StatusInvest'!$A:$AZ,COLUMN(X191)-$A$5,0)/VLOOKUP($A191,'Dados StatusInvest'!$A:$AZ,2,0)*$F191),0)</f>
        <v>7.912949269</v>
      </c>
      <c r="Y191" s="54">
        <f>IFERROR((VLOOKUP($A191,'Dados StatusInvest'!$A:$AZ,COLUMN(Y191)-$A$5,0)/VLOOKUP($A191,'Dados StatusInvest'!$A:$AZ,2,0)*$F191),0)</f>
        <v>8.601031814</v>
      </c>
      <c r="Z191" s="56">
        <f>IFERROR((VLOOKUP($A191,'Dados StatusInvest'!$A:$AZ,COLUMN(Z191)-$A$5,0)),0)</f>
        <v>0.51</v>
      </c>
      <c r="AA191" s="57">
        <f>IFERROR((VLOOKUP($A191,'Dados StatusInvest'!$A:$AZ,COLUMN(AA191)-$A$5,0)),0)</f>
        <v>0.49</v>
      </c>
      <c r="AB191" s="57">
        <f>IFERROR((VLOOKUP($A191,'Dados StatusInvest'!$A:$AZ,COLUMN(AB191)-$A$5,0)),0)</f>
        <v>0.49</v>
      </c>
      <c r="AC191" s="58">
        <f>IFERROR((VLOOKUP($A191,'Dados StatusInvest'!$A:$AZ,COLUMN(AC191)-$A$5,0)),0)</f>
        <v>8.84</v>
      </c>
      <c r="AD191" s="57">
        <f>IFERROR((VLOOKUP($A191,'Dados StatusInvest'!$A:$AZ,COLUMN(AD191)-$A$5,0)),0)</f>
        <v>12.36</v>
      </c>
      <c r="AE191" s="56">
        <f>IFERROR((VLOOKUP($A191,'Dados StatusInvest'!$A:$AZ,COLUMN(AE191)-$A$5,0)),0)</f>
        <v>160000000</v>
      </c>
      <c r="AF191" s="56">
        <f>IFERROR((VLOOKUP($A191,'Dados StatusInvest'!$A:$AZ,COLUMN(AF191)-$A$5,0)),0)</f>
        <v>22.65</v>
      </c>
      <c r="AG191" s="56">
        <f>IFERROR((VLOOKUP($A191,'Dados StatusInvest'!$A:$AZ,COLUMN(AG191)-$A$5,0)),0)</f>
        <v>3.55</v>
      </c>
      <c r="AH191" s="56">
        <f>IFERROR((VLOOKUP($A191,'Dados StatusInvest'!$A:$AZ,COLUMN(AH191)-$A$5,0)),0)</f>
        <v>-4.63</v>
      </c>
      <c r="AI191" s="57">
        <f>IFERROR((VLOOKUP($A191,'Dados StatusInvest'!$A:$AZ,COLUMN(AI191)-$A$5,0)),0)</f>
        <v>22111715962</v>
      </c>
      <c r="AJ191" s="59" t="str">
        <f>IFERROR((VLOOKUP($A191,'Dados StatusInvest'!$A:$AZ,COLUMN(AJ191)-$A$5,0)),0)</f>
        <v/>
      </c>
      <c r="AK191" s="60">
        <f>IFERROR(__xludf.DUMMYFUNCTION("IFERROR(GOOGLEFINANCE($A191,""high""),"""")"),57.73)</f>
        <v>57.73</v>
      </c>
      <c r="AL191" s="60">
        <f>IFERROR(__xludf.DUMMYFUNCTION("IFERROR(GOOGLEFINANCE($A191,""low""),"""")"),57.03)</f>
        <v>57.03</v>
      </c>
      <c r="AM191" s="61">
        <f t="shared" si="2"/>
        <v>0.01227424163</v>
      </c>
      <c r="AN191" s="62">
        <f>IFERROR(__xludf.DUMMYFUNCTION("IFERROR((GOOGLEFINANCE($A191,""volume"")),0)"),258500.0)</f>
        <v>258500</v>
      </c>
      <c r="AO191" s="60">
        <f>IFERROR(__xludf.DUMMYFUNCTION("IFERROR((GOOGLEFINANCE($A191,""closeyest"")),"""")"),58.15)</f>
        <v>58.15</v>
      </c>
      <c r="AP191" s="60">
        <f>IFERROR(__xludf.DUMMYFUNCTION("IFERROR((GOOGLEFINANCE($A191,""shares"")),"""")"),3.80253069E8)</f>
        <v>380253069</v>
      </c>
      <c r="AQ191" s="18"/>
    </row>
    <row r="192">
      <c r="A192" s="45" t="str">
        <f>'Dados StatusInvest'!A187:A806</f>
        <v>CSNA3</v>
      </c>
      <c r="B192" s="46" t="str">
        <f>IFERROR(__xludf.DUMMYFUNCTION("IFERROR((GOOGLEFINANCE(A192,""name"")),"""")"),"Cia Siderurgica Nacional Cedear")</f>
        <v>Cia Siderurgica Nacional Cedear</v>
      </c>
      <c r="C192" s="46" t="str">
        <f>IFERROR((VLOOKUP(LEFT($A192,4),Setor!$A:$E,3,0)),"")</f>
        <v>Materiais Básicos</v>
      </c>
      <c r="D192" s="46" t="str">
        <f>IFERROR((VLOOKUP(LEFT($A192,4),Setor!$A:$E,4,0)),"")</f>
        <v>Siderurgia e Metalurgia</v>
      </c>
      <c r="E192" s="46" t="str">
        <f>IFERROR((VLOOKUP(LEFT($A192,4),Setor!$A:$E,5,0)),"")</f>
        <v>Siderurgia</v>
      </c>
      <c r="F192" s="47">
        <f>IFERROR(__xludf.DUMMYFUNCTION("IFERROR((GOOGLEFINANCE(A192)),"""")"),2310.0)</f>
        <v>2310</v>
      </c>
      <c r="G192" s="48" t="str">
        <f>IFERROR(__xludf.DUMMYFUNCTION("IFERROR((sparkline(GOOGLEFINANCE($A192,""price"",TODAY()-30,TODAY(),""DAILY""),{""charttype"",""line"";""linewidth"",1;""color"",""#5f88cc""})),"""")"),"")</f>
        <v/>
      </c>
      <c r="H192" s="49">
        <f>IFERROR(__xludf.DUMMYFUNCTION("IFERROR((((GOOGLEFINANCE(A192))-(INDEX(GoogleFinance(A192,""PRICE"",$AQ$1),2,2)))/(INDEX(GoogleFinance(A192,""PRICE"",$AQ$1),2,2))),"""")"),-0.13805970149253732)</f>
        <v>-0.1380597015</v>
      </c>
      <c r="I192" s="47">
        <f>IFERROR(__xludf.DUMMYFUNCTION("IFERROR((GOOGLEFINANCE($A192,""high52"")),"""")"),3307.5)</f>
        <v>3307.5</v>
      </c>
      <c r="J192" s="48" t="str">
        <f>IFERROR(__xludf.DUMMYFUNCTION("IFERROR((sparkline(GOOGLEFINANCE($A192,""price"",TODAY()-365,TODAY(),""DAILY""),{""charttype"",""line"";""linewidth"",1;""color"",""#5f88cc""})),"""")"),"")</f>
        <v/>
      </c>
      <c r="K192" s="50">
        <f>IFERROR(__xludf.DUMMYFUNCTION("IFERROR((((GOOGLEFINANCE(A192))-(INDEX(GoogleFinance(A192,""PRICE"",$AP$1),2,2)))/(INDEX(GoogleFinance(A192,""PRICE"",$AP$1),2,2))),"""")"),0.22546419098143236)</f>
        <v>0.225464191</v>
      </c>
      <c r="L192" s="51">
        <f t="shared" si="1"/>
        <v>-0.3015873016</v>
      </c>
      <c r="M192" s="52">
        <f>IFERROR((VLOOKUP($A192,'Dados StatusInvest'!$A:$AZ,COLUMN(M192)-$A$5,0)*VLOOKUP($A192,'Dados StatusInvest'!$A:$AZ,2,0)/$F192/100),0)</f>
        <v>0.0004508714286</v>
      </c>
      <c r="N192" s="53">
        <f>IFERROR((VLOOKUP($A192,'Dados StatusInvest'!$A:$AZ,COLUMN(N192)-$A$5,0)/VLOOKUP($A192,'Dados StatusInvest'!$A:$AZ,2,0)*$F192),"")</f>
        <v>-926.1664713</v>
      </c>
      <c r="O192" s="53">
        <f>IFERROR((VLOOKUP($A192,'Dados StatusInvest'!$A:$AZ,COLUMN(O192)-$A$5,0)/VLOOKUP($A192,'Dados StatusInvest'!$A:$AZ,2,0)*$F192),0)</f>
        <v>552.4501758</v>
      </c>
      <c r="P192" s="54">
        <f>IFERROR((VLOOKUP($A192,'Dados StatusInvest'!$A:$AZ,COLUMN(P192)-$A$5,0)/VLOOKUP($A192,'Dados StatusInvest'!$A:$AZ,2,0)*$F192),0)</f>
        <v>2247.713951</v>
      </c>
      <c r="Q192" s="55">
        <f>IFERROR((VLOOKUP($A192,'Dados StatusInvest'!$A:$AZ,COLUMN(Q192)-$A$5,0)/100),0)</f>
        <v>0.0626</v>
      </c>
      <c r="R192" s="56">
        <f>VLOOKUP($A192,'Dados StatusInvest'!$A:$AZ,COLUMN(R192)-$A$5,0)</f>
        <v>2.45</v>
      </c>
      <c r="S192" s="56">
        <f>IFERROR((VLOOKUP($A192,'Dados StatusInvest'!$A:$AZ,COLUMN(S192)-$A$5,0)),0)</f>
        <v>0.25</v>
      </c>
      <c r="T192" s="53">
        <f>IFERROR((VLOOKUP($A192,'Dados StatusInvest'!$A:$AZ,COLUMN(T192)-$A$5,0)/VLOOKUP($A192,'Dados StatusInvest'!$A:$AZ,2,0)*$F192),0)</f>
        <v>381.8405627</v>
      </c>
      <c r="U192" s="53">
        <f>IFERROR((VLOOKUP($A192,'Dados StatusInvest'!$A:$AZ,COLUMN(U192)-$A$5,0)-VLOOKUP($A192,'Dados StatusInvest'!$A:$AZ,COLUMN(U192)-$A$5-1,0)+T192),0)</f>
        <v>380.2605627</v>
      </c>
      <c r="V192" s="56">
        <f>IFERROR((VLOOKUP($A192,'Dados StatusInvest'!$A:$AZ,COLUMN(V192)-$A$5,0)),0)</f>
        <v>1.32</v>
      </c>
      <c r="W192" s="56">
        <f>IFERROR((VLOOKUP($A192,'Dados StatusInvest'!$A:$AZ,COLUMN(W192)-$A$5,0)),0)</f>
        <v>-11</v>
      </c>
      <c r="X192" s="53">
        <f>IFERROR((VLOOKUP($A192,'Dados StatusInvest'!$A:$AZ,COLUMN(X192)-$A$5,0)/VLOOKUP($A192,'Dados StatusInvest'!$A:$AZ,2,0)*$F192),0)</f>
        <v>-417.045721</v>
      </c>
      <c r="Y192" s="54">
        <f>IFERROR((VLOOKUP($A192,'Dados StatusInvest'!$A:$AZ,COLUMN(Y192)-$A$5,0)/VLOOKUP($A192,'Dados StatusInvest'!$A:$AZ,2,0)*$F192),0)</f>
        <v>1765.674091</v>
      </c>
      <c r="Z192" s="56">
        <f>IFERROR((VLOOKUP($A192,'Dados StatusInvest'!$A:$AZ,COLUMN(Z192)-$A$5,0)),0)</f>
        <v>0.14</v>
      </c>
      <c r="AA192" s="57">
        <f>IFERROR((VLOOKUP($A192,'Dados StatusInvest'!$A:$AZ,COLUMN(AA192)-$A$5,0)),0)</f>
        <v>0.83</v>
      </c>
      <c r="AB192" s="57">
        <f>IFERROR((VLOOKUP($A192,'Dados StatusInvest'!$A:$AZ,COLUMN(AB192)-$A$5,0)),0)</f>
        <v>0.45</v>
      </c>
      <c r="AC192" s="58">
        <f>IFERROR((VLOOKUP($A192,'Dados StatusInvest'!$A:$AZ,COLUMN(AC192)-$A$5,0)),0)</f>
        <v>11.42</v>
      </c>
      <c r="AD192" s="57">
        <f>IFERROR((VLOOKUP($A192,'Dados StatusInvest'!$A:$AZ,COLUMN(AD192)-$A$5,0)),0)</f>
        <v>0</v>
      </c>
      <c r="AE192" s="56">
        <f>IFERROR((VLOOKUP($A192,'Dados StatusInvest'!$A:$AZ,COLUMN(AE192)-$A$5,0)),0)</f>
        <v>139000000</v>
      </c>
      <c r="AF192" s="56">
        <f>IFERROR((VLOOKUP($A192,'Dados StatusInvest'!$A:$AZ,COLUMN(AF192)-$A$5,0)),0)</f>
        <v>10.66</v>
      </c>
      <c r="AG192" s="56">
        <f>IFERROR((VLOOKUP($A192,'Dados StatusInvest'!$A:$AZ,COLUMN(AG192)-$A$5,0)),0)</f>
        <v>-1.17</v>
      </c>
      <c r="AH192" s="56">
        <f>IFERROR((VLOOKUP($A192,'Dados StatusInvest'!$A:$AZ,COLUMN(AH192)-$A$5,0)),0)</f>
        <v>-0.57</v>
      </c>
      <c r="AI192" s="57">
        <f>IFERROR((VLOOKUP($A192,'Dados StatusInvest'!$A:$AZ,COLUMN(AI192)-$A$5,0)),0)</f>
        <v>11311581368</v>
      </c>
      <c r="AJ192" s="59" t="str">
        <f>IFERROR((VLOOKUP($A192,'Dados StatusInvest'!$A:$AZ,COLUMN(AJ192)-$A$5,0)),0)</f>
        <v/>
      </c>
      <c r="AK192" s="60" t="str">
        <f>IFERROR(__xludf.DUMMYFUNCTION("IFERROR(GOOGLEFINANCE($A192,""high""),"""")"),"")</f>
        <v/>
      </c>
      <c r="AL192" s="60" t="str">
        <f>IFERROR(__xludf.DUMMYFUNCTION("IFERROR(GOOGLEFINANCE($A192,""low""),"""")"),"")</f>
        <v/>
      </c>
      <c r="AM192" s="61">
        <f t="shared" si="2"/>
        <v>0</v>
      </c>
      <c r="AN192" s="62">
        <f>IFERROR(__xludf.DUMMYFUNCTION("IFERROR((GOOGLEFINANCE($A192,""volume"")),0)"),0.0)</f>
        <v>0</v>
      </c>
      <c r="AO192" s="60">
        <f>IFERROR(__xludf.DUMMYFUNCTION("IFERROR((GOOGLEFINANCE($A192,""closeyest"")),"""")"),2310.0)</f>
        <v>2310</v>
      </c>
      <c r="AP192" s="60" t="str">
        <f>IFERROR(__xludf.DUMMYFUNCTION("IFERROR((GOOGLEFINANCE($A192,""shares"")),"""")"),"")</f>
        <v/>
      </c>
      <c r="AQ192" s="18"/>
    </row>
    <row r="193">
      <c r="A193" s="45" t="str">
        <f>'Dados StatusInvest'!A188:A807</f>
        <v>CSRN3</v>
      </c>
      <c r="B193" s="46" t="str">
        <f>IFERROR(__xludf.DUMMYFUNCTION("IFERROR((GOOGLEFINANCE(A193,""name"")),"""")"),"")</f>
        <v/>
      </c>
      <c r="C193" s="46" t="str">
        <f>IFERROR((VLOOKUP(LEFT($A193,4),Setor!$A:$E,3,0)),"")</f>
        <v>Utilidade Pública</v>
      </c>
      <c r="D193" s="46" t="str">
        <f>IFERROR((VLOOKUP(LEFT($A193,4),Setor!$A:$E,4,0)),"")</f>
        <v>Energia Elétrica</v>
      </c>
      <c r="E193" s="46" t="str">
        <f>IFERROR((VLOOKUP(LEFT($A193,4),Setor!$A:$E,5,0)),"")</f>
        <v>Energia Elétrica</v>
      </c>
      <c r="F193" s="47" t="str">
        <f>IFERROR(__xludf.DUMMYFUNCTION("IFERROR((GOOGLEFINANCE(A193)),"""")"),"")</f>
        <v/>
      </c>
      <c r="G193" s="48" t="str">
        <f>IFERROR(__xludf.DUMMYFUNCTION("IFERROR((sparkline(GOOGLEFINANCE($A193,""price"",TODAY()-30,TODAY(),""DAILY""),{""charttype"",""line"";""linewidth"",1;""color"",""#5f88cc""})),"""")"),"")</f>
        <v/>
      </c>
      <c r="H193" s="49" t="str">
        <f>IFERROR(__xludf.DUMMYFUNCTION("IFERROR((((GOOGLEFINANCE(A193))-(INDEX(GoogleFinance(A193,""PRICE"",$AQ$1),2,2)))/(INDEX(GoogleFinance(A193,""PRICE"",$AQ$1),2,2))),"""")"),"")</f>
        <v/>
      </c>
      <c r="I193" s="47" t="str">
        <f>IFERROR(__xludf.DUMMYFUNCTION("IFERROR((GOOGLEFINANCE($A193,""high52"")),"""")"),"")</f>
        <v/>
      </c>
      <c r="J193" s="48" t="str">
        <f>IFERROR(__xludf.DUMMYFUNCTION("IFERROR((sparkline(GOOGLEFINANCE($A193,""price"",TODAY()-365,TODAY(),""DAILY""),{""charttype"",""line"";""linewidth"",1;""color"",""#5f88cc""})),"""")"),"")</f>
        <v/>
      </c>
      <c r="K193" s="50" t="str">
        <f>IFERROR(__xludf.DUMMYFUNCTION("IFERROR((((GOOGLEFINANCE(A193))-(INDEX(GoogleFinance(A193,""PRICE"",$AP$1),2,2)))/(INDEX(GoogleFinance(A193,""PRICE"",$AP$1),2,2))),"""")"),"")</f>
        <v/>
      </c>
      <c r="L193" s="51">
        <f t="shared" si="1"/>
        <v>0</v>
      </c>
      <c r="M193" s="52">
        <f>IFERROR((VLOOKUP($A193,'Dados StatusInvest'!$A:$AZ,COLUMN(M193)-$A$5,0)*VLOOKUP($A193,'Dados StatusInvest'!$A:$AZ,2,0)/$F193/100),0)</f>
        <v>0</v>
      </c>
      <c r="N193" s="53">
        <f>IFERROR((VLOOKUP($A193,'Dados StatusInvest'!$A:$AZ,COLUMN(N193)-$A$5,0)/VLOOKUP($A193,'Dados StatusInvest'!$A:$AZ,2,0)*$F193),"")</f>
        <v>0</v>
      </c>
      <c r="O193" s="53">
        <f>IFERROR((VLOOKUP($A193,'Dados StatusInvest'!$A:$AZ,COLUMN(O193)-$A$5,0)/VLOOKUP($A193,'Dados StatusInvest'!$A:$AZ,2,0)*$F193),0)</f>
        <v>0</v>
      </c>
      <c r="P193" s="54">
        <f>IFERROR((VLOOKUP($A193,'Dados StatusInvest'!$A:$AZ,COLUMN(P193)-$A$5,0)/VLOOKUP($A193,'Dados StatusInvest'!$A:$AZ,2,0)*$F193),0)</f>
        <v>0</v>
      </c>
      <c r="Q193" s="55">
        <f>IFERROR((VLOOKUP($A193,'Dados StatusInvest'!$A:$AZ,COLUMN(Q193)-$A$5,0)/100),0)</f>
        <v>0.0248</v>
      </c>
      <c r="R193" s="56">
        <f>VLOOKUP($A193,'Dados StatusInvest'!$A:$AZ,COLUMN(R193)-$A$5,0)</f>
        <v>1.36</v>
      </c>
      <c r="S193" s="56">
        <f>IFERROR((VLOOKUP($A193,'Dados StatusInvest'!$A:$AZ,COLUMN(S193)-$A$5,0)),0)</f>
        <v>0.55</v>
      </c>
      <c r="T193" s="53">
        <f>IFERROR((VLOOKUP($A193,'Dados StatusInvest'!$A:$AZ,COLUMN(T193)-$A$5,0)/VLOOKUP($A193,'Dados StatusInvest'!$A:$AZ,2,0)*$F193),0)</f>
        <v>0</v>
      </c>
      <c r="U193" s="53">
        <f>IFERROR((VLOOKUP($A193,'Dados StatusInvest'!$A:$AZ,COLUMN(U193)-$A$5,0)-VLOOKUP($A193,'Dados StatusInvest'!$A:$AZ,COLUMN(U193)-$A$5-1,0)+T193),0)</f>
        <v>-10.09</v>
      </c>
      <c r="V193" s="56">
        <f>IFERROR((VLOOKUP($A193,'Dados StatusInvest'!$A:$AZ,COLUMN(V193)-$A$5,0)),0)</f>
        <v>1.2</v>
      </c>
      <c r="W193" s="56">
        <f>IFERROR((VLOOKUP($A193,'Dados StatusInvest'!$A:$AZ,COLUMN(W193)-$A$5,0)),0)</f>
        <v>34.54</v>
      </c>
      <c r="X193" s="53">
        <f>IFERROR((VLOOKUP($A193,'Dados StatusInvest'!$A:$AZ,COLUMN(X193)-$A$5,0)/VLOOKUP($A193,'Dados StatusInvest'!$A:$AZ,2,0)*$F193),0)</f>
        <v>0</v>
      </c>
      <c r="Y193" s="54">
        <f>IFERROR((VLOOKUP($A193,'Dados StatusInvest'!$A:$AZ,COLUMN(Y193)-$A$5,0)/VLOOKUP($A193,'Dados StatusInvest'!$A:$AZ,2,0)*$F193),0)</f>
        <v>0</v>
      </c>
      <c r="Z193" s="56">
        <f>IFERROR((VLOOKUP($A193,'Dados StatusInvest'!$A:$AZ,COLUMN(Z193)-$A$5,0)),0)</f>
        <v>0.3</v>
      </c>
      <c r="AA193" s="57">
        <f>IFERROR((VLOOKUP($A193,'Dados StatusInvest'!$A:$AZ,COLUMN(AA193)-$A$5,0)),0)</f>
        <v>0.7</v>
      </c>
      <c r="AB193" s="57">
        <f>IFERROR((VLOOKUP($A193,'Dados StatusInvest'!$A:$AZ,COLUMN(AB193)-$A$5,0)),0)</f>
        <v>0.65</v>
      </c>
      <c r="AC193" s="58">
        <f>IFERROR((VLOOKUP($A193,'Dados StatusInvest'!$A:$AZ,COLUMN(AC193)-$A$5,0)),0)</f>
        <v>7.94</v>
      </c>
      <c r="AD193" s="57">
        <f>IFERROR((VLOOKUP($A193,'Dados StatusInvest'!$A:$AZ,COLUMN(AD193)-$A$5,0)),0)</f>
        <v>19.34</v>
      </c>
      <c r="AE193" s="56">
        <f>IFERROR((VLOOKUP($A193,'Dados StatusInvest'!$A:$AZ,COLUMN(AE193)-$A$5,0)),0)</f>
        <v>0</v>
      </c>
      <c r="AF193" s="56">
        <f>IFERROR((VLOOKUP($A193,'Dados StatusInvest'!$A:$AZ,COLUMN(AF193)-$A$5,0)),0)</f>
        <v>11.45</v>
      </c>
      <c r="AG193" s="56">
        <f>IFERROR((VLOOKUP($A193,'Dados StatusInvest'!$A:$AZ,COLUMN(AG193)-$A$5,0)),0)</f>
        <v>3.95</v>
      </c>
      <c r="AH193" s="56">
        <f>IFERROR((VLOOKUP($A193,'Dados StatusInvest'!$A:$AZ,COLUMN(AH193)-$A$5,0)),0)</f>
        <v>0.17</v>
      </c>
      <c r="AI193" s="57">
        <f>IFERROR((VLOOKUP($A193,'Dados StatusInvest'!$A:$AZ,COLUMN(AI193)-$A$5,0)),0)</f>
        <v>2273440192</v>
      </c>
      <c r="AJ193" s="59" t="str">
        <f>IFERROR((VLOOKUP($A193,'Dados StatusInvest'!$A:$AZ,COLUMN(AJ193)-$A$5,0)),0)</f>
        <v/>
      </c>
      <c r="AK193" s="60" t="str">
        <f>IFERROR(__xludf.DUMMYFUNCTION("IFERROR(GOOGLEFINANCE($A193,""high""),"""")"),"")</f>
        <v/>
      </c>
      <c r="AL193" s="60" t="str">
        <f>IFERROR(__xludf.DUMMYFUNCTION("IFERROR(GOOGLEFINANCE($A193,""low""),"""")"),"")</f>
        <v/>
      </c>
      <c r="AM193" s="61">
        <f t="shared" si="2"/>
        <v>0</v>
      </c>
      <c r="AN193" s="62">
        <f>IFERROR(__xludf.DUMMYFUNCTION("IFERROR((GOOGLEFINANCE($A193,""volume"")),0)"),0.0)</f>
        <v>0</v>
      </c>
      <c r="AO193" s="60" t="str">
        <f>IFERROR(__xludf.DUMMYFUNCTION("IFERROR((GOOGLEFINANCE($A193,""closeyest"")),"""")"),"")</f>
        <v/>
      </c>
      <c r="AP193" s="60" t="str">
        <f>IFERROR(__xludf.DUMMYFUNCTION("IFERROR((GOOGLEFINANCE($A193,""shares"")),"""")"),"")</f>
        <v/>
      </c>
      <c r="AQ193" s="18"/>
    </row>
    <row r="194">
      <c r="A194" s="45" t="str">
        <f>'Dados StatusInvest'!A189:A808</f>
        <v>CSRN5</v>
      </c>
      <c r="B194" s="46" t="str">
        <f>IFERROR(__xludf.DUMMYFUNCTION("IFERROR((GOOGLEFINANCE(A194,""name"")),"""")"),"")</f>
        <v/>
      </c>
      <c r="C194" s="46" t="str">
        <f>IFERROR((VLOOKUP(LEFT($A194,4),Setor!$A:$E,3,0)),"")</f>
        <v>Utilidade Pública</v>
      </c>
      <c r="D194" s="46" t="str">
        <f>IFERROR((VLOOKUP(LEFT($A194,4),Setor!$A:$E,4,0)),"")</f>
        <v>Energia Elétrica</v>
      </c>
      <c r="E194" s="46" t="str">
        <f>IFERROR((VLOOKUP(LEFT($A194,4),Setor!$A:$E,5,0)),"")</f>
        <v>Energia Elétrica</v>
      </c>
      <c r="F194" s="47" t="str">
        <f>IFERROR(__xludf.DUMMYFUNCTION("IFERROR((GOOGLEFINANCE(A194)),"""")"),"")</f>
        <v/>
      </c>
      <c r="G194" s="48" t="str">
        <f>IFERROR(__xludf.DUMMYFUNCTION("IFERROR((sparkline(GOOGLEFINANCE($A194,""price"",TODAY()-30,TODAY(),""DAILY""),{""charttype"",""line"";""linewidth"",1;""color"",""#5f88cc""})),"""")"),"")</f>
        <v/>
      </c>
      <c r="H194" s="49" t="str">
        <f>IFERROR(__xludf.DUMMYFUNCTION("IFERROR((((GOOGLEFINANCE(A194))-(INDEX(GoogleFinance(A194,""PRICE"",$AQ$1),2,2)))/(INDEX(GoogleFinance(A194,""PRICE"",$AQ$1),2,2))),"""")"),"")</f>
        <v/>
      </c>
      <c r="I194" s="47" t="str">
        <f>IFERROR(__xludf.DUMMYFUNCTION("IFERROR((GOOGLEFINANCE($A194,""high52"")),"""")"),"")</f>
        <v/>
      </c>
      <c r="J194" s="48" t="str">
        <f>IFERROR(__xludf.DUMMYFUNCTION("IFERROR((sparkline(GOOGLEFINANCE($A194,""price"",TODAY()-365,TODAY(),""DAILY""),{""charttype"",""line"";""linewidth"",1;""color"",""#5f88cc""})),"""")"),"")</f>
        <v/>
      </c>
      <c r="K194" s="50" t="str">
        <f>IFERROR(__xludf.DUMMYFUNCTION("IFERROR((((GOOGLEFINANCE(A194))-(INDEX(GoogleFinance(A194,""PRICE"",$AP$1),2,2)))/(INDEX(GoogleFinance(A194,""PRICE"",$AP$1),2,2))),"""")"),"")</f>
        <v/>
      </c>
      <c r="L194" s="51">
        <f t="shared" si="1"/>
        <v>0</v>
      </c>
      <c r="M194" s="52">
        <f>IFERROR((VLOOKUP($A194,'Dados StatusInvest'!$A:$AZ,COLUMN(M194)-$A$5,0)*VLOOKUP($A194,'Dados StatusInvest'!$A:$AZ,2,0)/$F194/100),0)</f>
        <v>0</v>
      </c>
      <c r="N194" s="53">
        <f>IFERROR((VLOOKUP($A194,'Dados StatusInvest'!$A:$AZ,COLUMN(N194)-$A$5,0)/VLOOKUP($A194,'Dados StatusInvest'!$A:$AZ,2,0)*$F194),"")</f>
        <v>0</v>
      </c>
      <c r="O194" s="53">
        <f>IFERROR((VLOOKUP($A194,'Dados StatusInvest'!$A:$AZ,COLUMN(O194)-$A$5,0)/VLOOKUP($A194,'Dados StatusInvest'!$A:$AZ,2,0)*$F194),0)</f>
        <v>0</v>
      </c>
      <c r="P194" s="54">
        <f>IFERROR((VLOOKUP($A194,'Dados StatusInvest'!$A:$AZ,COLUMN(P194)-$A$5,0)/VLOOKUP($A194,'Dados StatusInvest'!$A:$AZ,2,0)*$F194),0)</f>
        <v>0</v>
      </c>
      <c r="Q194" s="55">
        <f>IFERROR((VLOOKUP($A194,'Dados StatusInvest'!$A:$AZ,COLUMN(Q194)-$A$5,0)/100),0)</f>
        <v>0.0248</v>
      </c>
      <c r="R194" s="56">
        <f>VLOOKUP($A194,'Dados StatusInvest'!$A:$AZ,COLUMN(R194)-$A$5,0)</f>
        <v>1.36</v>
      </c>
      <c r="S194" s="56">
        <f>IFERROR((VLOOKUP($A194,'Dados StatusInvest'!$A:$AZ,COLUMN(S194)-$A$5,0)),0)</f>
        <v>0.61</v>
      </c>
      <c r="T194" s="53">
        <f>IFERROR((VLOOKUP($A194,'Dados StatusInvest'!$A:$AZ,COLUMN(T194)-$A$5,0)/VLOOKUP($A194,'Dados StatusInvest'!$A:$AZ,2,0)*$F194),0)</f>
        <v>0</v>
      </c>
      <c r="U194" s="53">
        <f>IFERROR((VLOOKUP($A194,'Dados StatusInvest'!$A:$AZ,COLUMN(U194)-$A$5,0)-VLOOKUP($A194,'Dados StatusInvest'!$A:$AZ,COLUMN(U194)-$A$5-1,0)+T194),0)</f>
        <v>-11.21</v>
      </c>
      <c r="V194" s="56">
        <f>IFERROR((VLOOKUP($A194,'Dados StatusInvest'!$A:$AZ,COLUMN(V194)-$A$5,0)),0)</f>
        <v>1.2</v>
      </c>
      <c r="W194" s="56">
        <f>IFERROR((VLOOKUP($A194,'Dados StatusInvest'!$A:$AZ,COLUMN(W194)-$A$5,0)),0)</f>
        <v>34.54</v>
      </c>
      <c r="X194" s="53">
        <f>IFERROR((VLOOKUP($A194,'Dados StatusInvest'!$A:$AZ,COLUMN(X194)-$A$5,0)/VLOOKUP($A194,'Dados StatusInvest'!$A:$AZ,2,0)*$F194),0)</f>
        <v>0</v>
      </c>
      <c r="Y194" s="54">
        <f>IFERROR((VLOOKUP($A194,'Dados StatusInvest'!$A:$AZ,COLUMN(Y194)-$A$5,0)/VLOOKUP($A194,'Dados StatusInvest'!$A:$AZ,2,0)*$F194),0)</f>
        <v>0</v>
      </c>
      <c r="Z194" s="56">
        <f>IFERROR((VLOOKUP($A194,'Dados StatusInvest'!$A:$AZ,COLUMN(Z194)-$A$5,0)),0)</f>
        <v>0.3</v>
      </c>
      <c r="AA194" s="57">
        <f>IFERROR((VLOOKUP($A194,'Dados StatusInvest'!$A:$AZ,COLUMN(AA194)-$A$5,0)),0)</f>
        <v>0.7</v>
      </c>
      <c r="AB194" s="57">
        <f>IFERROR((VLOOKUP($A194,'Dados StatusInvest'!$A:$AZ,COLUMN(AB194)-$A$5,0)),0)</f>
        <v>0.65</v>
      </c>
      <c r="AC194" s="58">
        <f>IFERROR((VLOOKUP($A194,'Dados StatusInvest'!$A:$AZ,COLUMN(AC194)-$A$5,0)),0)</f>
        <v>7.94</v>
      </c>
      <c r="AD194" s="57">
        <f>IFERROR((VLOOKUP($A194,'Dados StatusInvest'!$A:$AZ,COLUMN(AD194)-$A$5,0)),0)</f>
        <v>19.34</v>
      </c>
      <c r="AE194" s="56">
        <f>IFERROR((VLOOKUP($A194,'Dados StatusInvest'!$A:$AZ,COLUMN(AE194)-$A$5,0)),0)</f>
        <v>0</v>
      </c>
      <c r="AF194" s="56">
        <f>IFERROR((VLOOKUP($A194,'Dados StatusInvest'!$A:$AZ,COLUMN(AF194)-$A$5,0)),0)</f>
        <v>11.45</v>
      </c>
      <c r="AG194" s="56">
        <f>IFERROR((VLOOKUP($A194,'Dados StatusInvest'!$A:$AZ,COLUMN(AG194)-$A$5,0)),0)</f>
        <v>3.95</v>
      </c>
      <c r="AH194" s="56">
        <f>IFERROR((VLOOKUP($A194,'Dados StatusInvest'!$A:$AZ,COLUMN(AH194)-$A$5,0)),0)</f>
        <v>0.19</v>
      </c>
      <c r="AI194" s="57">
        <f>IFERROR((VLOOKUP($A194,'Dados StatusInvest'!$A:$AZ,COLUMN(AI194)-$A$5,0)),0)</f>
        <v>2273440192</v>
      </c>
      <c r="AJ194" s="59" t="str">
        <f>IFERROR((VLOOKUP($A194,'Dados StatusInvest'!$A:$AZ,COLUMN(AJ194)-$A$5,0)),0)</f>
        <v/>
      </c>
      <c r="AK194" s="60" t="str">
        <f>IFERROR(__xludf.DUMMYFUNCTION("IFERROR(GOOGLEFINANCE($A194,""high""),"""")"),"")</f>
        <v/>
      </c>
      <c r="AL194" s="60" t="str">
        <f>IFERROR(__xludf.DUMMYFUNCTION("IFERROR(GOOGLEFINANCE($A194,""low""),"""")"),"")</f>
        <v/>
      </c>
      <c r="AM194" s="61">
        <f t="shared" si="2"/>
        <v>0</v>
      </c>
      <c r="AN194" s="62">
        <f>IFERROR(__xludf.DUMMYFUNCTION("IFERROR((GOOGLEFINANCE($A194,""volume"")),0)"),0.0)</f>
        <v>0</v>
      </c>
      <c r="AO194" s="60" t="str">
        <f>IFERROR(__xludf.DUMMYFUNCTION("IFERROR((GOOGLEFINANCE($A194,""closeyest"")),"""")"),"")</f>
        <v/>
      </c>
      <c r="AP194" s="60" t="str">
        <f>IFERROR(__xludf.DUMMYFUNCTION("IFERROR((GOOGLEFINANCE($A194,""shares"")),"""")"),"")</f>
        <v/>
      </c>
      <c r="AQ194" s="18"/>
    </row>
    <row r="195">
      <c r="A195" s="45" t="str">
        <f>'Dados StatusInvest'!A190:A809</f>
        <v>CSRN6</v>
      </c>
      <c r="B195" s="46" t="str">
        <f>IFERROR(__xludf.DUMMYFUNCTION("IFERROR((GOOGLEFINANCE(A195,""name"")),"""")"),"")</f>
        <v/>
      </c>
      <c r="C195" s="46" t="str">
        <f>IFERROR((VLOOKUP(LEFT($A195,4),Setor!$A:$E,3,0)),"")</f>
        <v>Utilidade Pública</v>
      </c>
      <c r="D195" s="46" t="str">
        <f>IFERROR((VLOOKUP(LEFT($A195,4),Setor!$A:$E,4,0)),"")</f>
        <v>Energia Elétrica</v>
      </c>
      <c r="E195" s="46" t="str">
        <f>IFERROR((VLOOKUP(LEFT($A195,4),Setor!$A:$E,5,0)),"")</f>
        <v>Energia Elétrica</v>
      </c>
      <c r="F195" s="47" t="str">
        <f>IFERROR(__xludf.DUMMYFUNCTION("IFERROR((GOOGLEFINANCE(A195)),"""")"),"")</f>
        <v/>
      </c>
      <c r="G195" s="48" t="str">
        <f>IFERROR(__xludf.DUMMYFUNCTION("IFERROR((sparkline(GOOGLEFINANCE($A195,""price"",TODAY()-30,TODAY(),""DAILY""),{""charttype"",""line"";""linewidth"",1;""color"",""#5f88cc""})),"""")"),"")</f>
        <v/>
      </c>
      <c r="H195" s="49" t="str">
        <f>IFERROR(__xludf.DUMMYFUNCTION("IFERROR((((GOOGLEFINANCE(A195))-(INDEX(GoogleFinance(A195,""PRICE"",$AQ$1),2,2)))/(INDEX(GoogleFinance(A195,""PRICE"",$AQ$1),2,2))),"""")"),"")</f>
        <v/>
      </c>
      <c r="I195" s="47" t="str">
        <f>IFERROR(__xludf.DUMMYFUNCTION("IFERROR((GOOGLEFINANCE($A195,""high52"")),"""")"),"")</f>
        <v/>
      </c>
      <c r="J195" s="48" t="str">
        <f>IFERROR(__xludf.DUMMYFUNCTION("IFERROR((sparkline(GOOGLEFINANCE($A195,""price"",TODAY()-365,TODAY(),""DAILY""),{""charttype"",""line"";""linewidth"",1;""color"",""#5f88cc""})),"""")"),"")</f>
        <v/>
      </c>
      <c r="K195" s="50" t="str">
        <f>IFERROR(__xludf.DUMMYFUNCTION("IFERROR((((GOOGLEFINANCE(A195))-(INDEX(GoogleFinance(A195,""PRICE"",$AP$1),2,2)))/(INDEX(GoogleFinance(A195,""PRICE"",$AP$1),2,2))),"""")"),"")</f>
        <v/>
      </c>
      <c r="L195" s="51">
        <f t="shared" si="1"/>
        <v>0</v>
      </c>
      <c r="M195" s="52">
        <f>IFERROR((VLOOKUP($A195,'Dados StatusInvest'!$A:$AZ,COLUMN(M195)-$A$5,0)*VLOOKUP($A195,'Dados StatusInvest'!$A:$AZ,2,0)/$F195/100),0)</f>
        <v>0</v>
      </c>
      <c r="N195" s="53">
        <f>IFERROR((VLOOKUP($A195,'Dados StatusInvest'!$A:$AZ,COLUMN(N195)-$A$5,0)/VLOOKUP($A195,'Dados StatusInvest'!$A:$AZ,2,0)*$F195),"")</f>
        <v>0</v>
      </c>
      <c r="O195" s="53">
        <f>IFERROR((VLOOKUP($A195,'Dados StatusInvest'!$A:$AZ,COLUMN(O195)-$A$5,0)/VLOOKUP($A195,'Dados StatusInvest'!$A:$AZ,2,0)*$F195),0)</f>
        <v>0</v>
      </c>
      <c r="P195" s="54">
        <f>IFERROR((VLOOKUP($A195,'Dados StatusInvest'!$A:$AZ,COLUMN(P195)-$A$5,0)/VLOOKUP($A195,'Dados StatusInvest'!$A:$AZ,2,0)*$F195),0)</f>
        <v>0</v>
      </c>
      <c r="Q195" s="55">
        <f>IFERROR((VLOOKUP($A195,'Dados StatusInvest'!$A:$AZ,COLUMN(Q195)-$A$5,0)/100),0)</f>
        <v>0.0248</v>
      </c>
      <c r="R195" s="56">
        <f>VLOOKUP($A195,'Dados StatusInvest'!$A:$AZ,COLUMN(R195)-$A$5,0)</f>
        <v>1.36</v>
      </c>
      <c r="S195" s="56">
        <f>IFERROR((VLOOKUP($A195,'Dados StatusInvest'!$A:$AZ,COLUMN(S195)-$A$5,0)),0)</f>
        <v>0.62</v>
      </c>
      <c r="T195" s="53">
        <f>IFERROR((VLOOKUP($A195,'Dados StatusInvest'!$A:$AZ,COLUMN(T195)-$A$5,0)/VLOOKUP($A195,'Dados StatusInvest'!$A:$AZ,2,0)*$F195),0)</f>
        <v>0</v>
      </c>
      <c r="U195" s="53">
        <f>IFERROR((VLOOKUP($A195,'Dados StatusInvest'!$A:$AZ,COLUMN(U195)-$A$5,0)-VLOOKUP($A195,'Dados StatusInvest'!$A:$AZ,COLUMN(U195)-$A$5-1,0)+T195),0)</f>
        <v>-11.5</v>
      </c>
      <c r="V195" s="56">
        <f>IFERROR((VLOOKUP($A195,'Dados StatusInvest'!$A:$AZ,COLUMN(V195)-$A$5,0)),0)</f>
        <v>1.2</v>
      </c>
      <c r="W195" s="56">
        <f>IFERROR((VLOOKUP($A195,'Dados StatusInvest'!$A:$AZ,COLUMN(W195)-$A$5,0)),0)</f>
        <v>34.54</v>
      </c>
      <c r="X195" s="53">
        <f>IFERROR((VLOOKUP($A195,'Dados StatusInvest'!$A:$AZ,COLUMN(X195)-$A$5,0)/VLOOKUP($A195,'Dados StatusInvest'!$A:$AZ,2,0)*$F195),0)</f>
        <v>0</v>
      </c>
      <c r="Y195" s="54">
        <f>IFERROR((VLOOKUP($A195,'Dados StatusInvest'!$A:$AZ,COLUMN(Y195)-$A$5,0)/VLOOKUP($A195,'Dados StatusInvest'!$A:$AZ,2,0)*$F195),0)</f>
        <v>0</v>
      </c>
      <c r="Z195" s="56">
        <f>IFERROR((VLOOKUP($A195,'Dados StatusInvest'!$A:$AZ,COLUMN(Z195)-$A$5,0)),0)</f>
        <v>0.3</v>
      </c>
      <c r="AA195" s="57">
        <f>IFERROR((VLOOKUP($A195,'Dados StatusInvest'!$A:$AZ,COLUMN(AA195)-$A$5,0)),0)</f>
        <v>0.7</v>
      </c>
      <c r="AB195" s="57">
        <f>IFERROR((VLOOKUP($A195,'Dados StatusInvest'!$A:$AZ,COLUMN(AB195)-$A$5,0)),0)</f>
        <v>0.65</v>
      </c>
      <c r="AC195" s="58">
        <f>IFERROR((VLOOKUP($A195,'Dados StatusInvest'!$A:$AZ,COLUMN(AC195)-$A$5,0)),0)</f>
        <v>7.94</v>
      </c>
      <c r="AD195" s="57">
        <f>IFERROR((VLOOKUP($A195,'Dados StatusInvest'!$A:$AZ,COLUMN(AD195)-$A$5,0)),0)</f>
        <v>19.34</v>
      </c>
      <c r="AE195" s="56">
        <f>IFERROR((VLOOKUP($A195,'Dados StatusInvest'!$A:$AZ,COLUMN(AE195)-$A$5,0)),0)</f>
        <v>0</v>
      </c>
      <c r="AF195" s="56">
        <f>IFERROR((VLOOKUP($A195,'Dados StatusInvest'!$A:$AZ,COLUMN(AF195)-$A$5,0)),0)</f>
        <v>11.45</v>
      </c>
      <c r="AG195" s="56">
        <f>IFERROR((VLOOKUP($A195,'Dados StatusInvest'!$A:$AZ,COLUMN(AG195)-$A$5,0)),0)</f>
        <v>3.95</v>
      </c>
      <c r="AH195" s="56">
        <f>IFERROR((VLOOKUP($A195,'Dados StatusInvest'!$A:$AZ,COLUMN(AH195)-$A$5,0)),0)</f>
        <v>0.19</v>
      </c>
      <c r="AI195" s="57">
        <f>IFERROR((VLOOKUP($A195,'Dados StatusInvest'!$A:$AZ,COLUMN(AI195)-$A$5,0)),0)</f>
        <v>2273440192</v>
      </c>
      <c r="AJ195" s="59" t="str">
        <f>IFERROR((VLOOKUP($A195,'Dados StatusInvest'!$A:$AZ,COLUMN(AJ195)-$A$5,0)),0)</f>
        <v/>
      </c>
      <c r="AK195" s="60" t="str">
        <f>IFERROR(__xludf.DUMMYFUNCTION("IFERROR(GOOGLEFINANCE($A195,""high""),"""")"),"")</f>
        <v/>
      </c>
      <c r="AL195" s="60" t="str">
        <f>IFERROR(__xludf.DUMMYFUNCTION("IFERROR(GOOGLEFINANCE($A195,""low""),"""")"),"")</f>
        <v/>
      </c>
      <c r="AM195" s="61">
        <f t="shared" si="2"/>
        <v>0</v>
      </c>
      <c r="AN195" s="62">
        <f>IFERROR(__xludf.DUMMYFUNCTION("IFERROR((GOOGLEFINANCE($A195,""volume"")),0)"),0.0)</f>
        <v>0</v>
      </c>
      <c r="AO195" s="60" t="str">
        <f>IFERROR(__xludf.DUMMYFUNCTION("IFERROR((GOOGLEFINANCE($A195,""closeyest"")),"""")"),"")</f>
        <v/>
      </c>
      <c r="AP195" s="60" t="str">
        <f>IFERROR(__xludf.DUMMYFUNCTION("IFERROR((GOOGLEFINANCE($A195,""shares"")),"""")"),"")</f>
        <v/>
      </c>
      <c r="AQ195" s="18"/>
    </row>
    <row r="196">
      <c r="A196" s="45" t="str">
        <f>'Dados StatusInvest'!A191:A810</f>
        <v>CSUD3</v>
      </c>
      <c r="B196" s="46" t="str">
        <f>IFERROR(__xludf.DUMMYFUNCTION("IFERROR((GOOGLEFINANCE(A196,""name"")),"""")"),"CSU Digital SA")</f>
        <v>CSU Digital SA</v>
      </c>
      <c r="C196" s="46" t="str">
        <f>IFERROR((VLOOKUP(LEFT($A196,4),Setor!$A:$E,3,0)),"")</f>
        <v/>
      </c>
      <c r="D196" s="46" t="str">
        <f>IFERROR((VLOOKUP(LEFT($A196,4),Setor!$A:$E,4,0)),"")</f>
        <v/>
      </c>
      <c r="E196" s="46" t="str">
        <f>IFERROR((VLOOKUP(LEFT($A196,4),Setor!$A:$E,5,0)),"")</f>
        <v/>
      </c>
      <c r="F196" s="47">
        <f>IFERROR(__xludf.DUMMYFUNCTION("IFERROR((GOOGLEFINANCE(A196)),"""")"),19.17)</f>
        <v>19.17</v>
      </c>
      <c r="G196" s="48" t="str">
        <f>IFERROR(__xludf.DUMMYFUNCTION("IFERROR((sparkline(GOOGLEFINANCE($A196,""price"",TODAY()-30,TODAY(),""DAILY""),{""charttype"",""line"";""linewidth"",1;""color"",""#5f88cc""})),"""")"),"")</f>
        <v/>
      </c>
      <c r="H196" s="49">
        <f>IFERROR(__xludf.DUMMYFUNCTION("IFERROR((((GOOGLEFINANCE(A196))-(INDEX(GoogleFinance(A196,""PRICE"",$AQ$1),2,2)))/(INDEX(GoogleFinance(A196,""PRICE"",$AQ$1),2,2))),"""")"),0.07394957983193279)</f>
        <v>0.07394957983</v>
      </c>
      <c r="I196" s="47">
        <f>IFERROR(__xludf.DUMMYFUNCTION("IFERROR((GOOGLEFINANCE($A196,""high52"")),"""")"),19.45)</f>
        <v>19.45</v>
      </c>
      <c r="J196" s="48" t="str">
        <f>IFERROR(__xludf.DUMMYFUNCTION("IFERROR((sparkline(GOOGLEFINANCE($A196,""price"",TODAY()-365,TODAY(),""DAILY""),{""charttype"",""line"";""linewidth"",1;""color"",""#5f88cc""})),"""")"),"")</f>
        <v/>
      </c>
      <c r="K196" s="50">
        <f>IFERROR(__xludf.DUMMYFUNCTION("IFERROR((((GOOGLEFINANCE(A196))-(INDEX(GoogleFinance(A196,""PRICE"",$AP$1),2,2)))/(INDEX(GoogleFinance(A196,""PRICE"",$AP$1),2,2))),"""")"),0.1424314660309893)</f>
        <v>0.142431466</v>
      </c>
      <c r="L196" s="51">
        <f t="shared" si="1"/>
        <v>-0.01439588689</v>
      </c>
      <c r="M196" s="52">
        <f>IFERROR((VLOOKUP($A196,'Dados StatusInvest'!$A:$AZ,COLUMN(M196)-$A$5,0)*VLOOKUP($A196,'Dados StatusInvest'!$A:$AZ,2,0)/$F196/100),0)</f>
        <v>0.2112410016</v>
      </c>
      <c r="N196" s="53">
        <f>IFERROR((VLOOKUP($A196,'Dados StatusInvest'!$A:$AZ,COLUMN(N196)-$A$5,0)/VLOOKUP($A196,'Dados StatusInvest'!$A:$AZ,2,0)*$F196),"")</f>
        <v>15.35571208</v>
      </c>
      <c r="O196" s="53">
        <f>IFERROR((VLOOKUP($A196,'Dados StatusInvest'!$A:$AZ,COLUMN(O196)-$A$5,0)/VLOOKUP($A196,'Dados StatusInvest'!$A:$AZ,2,0)*$F196),0)</f>
        <v>6.367002571</v>
      </c>
      <c r="P196" s="54">
        <f>IFERROR((VLOOKUP($A196,'Dados StatusInvest'!$A:$AZ,COLUMN(P196)-$A$5,0)/VLOOKUP($A196,'Dados StatusInvest'!$A:$AZ,2,0)*$F196),0)</f>
        <v>5.962904884</v>
      </c>
      <c r="Q196" s="55">
        <f>IFERROR((VLOOKUP($A196,'Dados StatusInvest'!$A:$AZ,COLUMN(Q196)-$A$5,0)/100),0)</f>
        <v>-0.0041</v>
      </c>
      <c r="R196" s="56">
        <f>VLOOKUP($A196,'Dados StatusInvest'!$A:$AZ,COLUMN(R196)-$A$5,0)</f>
        <v>-0.1</v>
      </c>
      <c r="S196" s="56">
        <f>IFERROR((VLOOKUP($A196,'Dados StatusInvest'!$A:$AZ,COLUMN(S196)-$A$5,0)),0)</f>
        <v>1.34</v>
      </c>
      <c r="T196" s="53">
        <f>IFERROR((VLOOKUP($A196,'Dados StatusInvest'!$A:$AZ,COLUMN(T196)-$A$5,0)/VLOOKUP($A196,'Dados StatusInvest'!$A:$AZ,2,0)*$F196),0)</f>
        <v>17.51418509</v>
      </c>
      <c r="U196" s="53">
        <f>IFERROR((VLOOKUP($A196,'Dados StatusInvest'!$A:$AZ,COLUMN(U196)-$A$5,0)-VLOOKUP($A196,'Dados StatusInvest'!$A:$AZ,COLUMN(U196)-$A$5-1,0)+T196),0)</f>
        <v>-1.85581491</v>
      </c>
      <c r="V196" s="56">
        <f>IFERROR((VLOOKUP($A196,'Dados StatusInvest'!$A:$AZ,COLUMN(V196)-$A$5,0)),0)</f>
        <v>1.24</v>
      </c>
      <c r="W196" s="56">
        <f>IFERROR((VLOOKUP($A196,'Dados StatusInvest'!$A:$AZ,COLUMN(W196)-$A$5,0)),0)</f>
        <v>18.49</v>
      </c>
      <c r="X196" s="53">
        <f>IFERROR((VLOOKUP($A196,'Dados StatusInvest'!$A:$AZ,COLUMN(X196)-$A$5,0)/VLOOKUP($A196,'Dados StatusInvest'!$A:$AZ,2,0)*$F196),0)</f>
        <v>12.44817995</v>
      </c>
      <c r="Y196" s="54">
        <f>IFERROR((VLOOKUP($A196,'Dados StatusInvest'!$A:$AZ,COLUMN(Y196)-$A$5,0)/VLOOKUP($A196,'Dados StatusInvest'!$A:$AZ,2,0)*$F196),0)</f>
        <v>13.65061697</v>
      </c>
      <c r="Z196" s="56">
        <f>IFERROR((VLOOKUP($A196,'Dados StatusInvest'!$A:$AZ,COLUMN(Z196)-$A$5,0)),0)</f>
        <v>0.68</v>
      </c>
      <c r="AA196" s="57">
        <f>IFERROR((VLOOKUP($A196,'Dados StatusInvest'!$A:$AZ,COLUMN(AA196)-$A$5,0)),0)</f>
        <v>0.32</v>
      </c>
      <c r="AB196" s="57">
        <f>IFERROR((VLOOKUP($A196,'Dados StatusInvest'!$A:$AZ,COLUMN(AB196)-$A$5,0)),0)</f>
        <v>0.81</v>
      </c>
      <c r="AC196" s="58">
        <f>IFERROR((VLOOKUP($A196,'Dados StatusInvest'!$A:$AZ,COLUMN(AC196)-$A$5,0)),0)</f>
        <v>5.53</v>
      </c>
      <c r="AD196" s="57">
        <f>IFERROR((VLOOKUP($A196,'Dados StatusInvest'!$A:$AZ,COLUMN(AD196)-$A$5,0)),0)</f>
        <v>28.57</v>
      </c>
      <c r="AE196" s="56">
        <f>IFERROR((VLOOKUP($A196,'Dados StatusInvest'!$A:$AZ,COLUMN(AE196)-$A$5,0)),0)</f>
        <v>1283933</v>
      </c>
      <c r="AF196" s="56">
        <f>IFERROR((VLOOKUP($A196,'Dados StatusInvest'!$A:$AZ,COLUMN(AF196)-$A$5,0)),0)</f>
        <v>12.19</v>
      </c>
      <c r="AG196" s="56">
        <f>IFERROR((VLOOKUP($A196,'Dados StatusInvest'!$A:$AZ,COLUMN(AG196)-$A$5,0)),0)</f>
        <v>2.25</v>
      </c>
      <c r="AH196" s="56">
        <f>IFERROR((VLOOKUP($A196,'Dados StatusInvest'!$A:$AZ,COLUMN(AH196)-$A$5,0)),0)</f>
        <v>5.82</v>
      </c>
      <c r="AI196" s="57">
        <f>IFERROR((VLOOKUP($A196,'Dados StatusInvest'!$A:$AZ,COLUMN(AI196)-$A$5,0)),0)</f>
        <v>813010000</v>
      </c>
      <c r="AJ196" s="59" t="str">
        <f>IFERROR((VLOOKUP($A196,'Dados StatusInvest'!$A:$AZ,COLUMN(AJ196)-$A$5,0)),0)</f>
        <v/>
      </c>
      <c r="AK196" s="60">
        <f>IFERROR(__xludf.DUMMYFUNCTION("IFERROR(GOOGLEFINANCE($A196,""high""),"""")"),19.29)</f>
        <v>19.29</v>
      </c>
      <c r="AL196" s="60">
        <f>IFERROR(__xludf.DUMMYFUNCTION("IFERROR(GOOGLEFINANCE($A196,""low""),"""")"),19.17)</f>
        <v>19.17</v>
      </c>
      <c r="AM196" s="61">
        <f t="shared" si="2"/>
        <v>0.006259780908</v>
      </c>
      <c r="AN196" s="62">
        <f>IFERROR(__xludf.DUMMYFUNCTION("IFERROR((GOOGLEFINANCE($A196,""volume"")),0)"),3900.0)</f>
        <v>3900</v>
      </c>
      <c r="AO196" s="60">
        <f>IFERROR(__xludf.DUMMYFUNCTION("IFERROR((GOOGLEFINANCE($A196,""closeyest"")),"""")"),19.45)</f>
        <v>19.45</v>
      </c>
      <c r="AP196" s="60">
        <f>IFERROR(__xludf.DUMMYFUNCTION("IFERROR((GOOGLEFINANCE($A196,""shares"")),"""")"),4.18E7)</f>
        <v>41800000</v>
      </c>
      <c r="AQ196" s="18"/>
    </row>
    <row r="197">
      <c r="A197" s="45" t="str">
        <f>'Dados StatusInvest'!A192:A811</f>
        <v>CTAX3</v>
      </c>
      <c r="B197" s="46" t="str">
        <f>IFERROR(__xludf.DUMMYFUNCTION("IFERROR((GOOGLEFINANCE(A197,""name"")),"""")"),"Contax Participacoes SA em Recpraca Jdcl")</f>
        <v>Contax Participacoes SA em Recpraca Jdcl</v>
      </c>
      <c r="C197" s="46" t="str">
        <f>IFERROR((VLOOKUP(LEFT($A197,4),Setor!$A:$E,3,0)),"")</f>
        <v/>
      </c>
      <c r="D197" s="46" t="str">
        <f>IFERROR((VLOOKUP(LEFT($A197,4),Setor!$A:$E,4,0)),"")</f>
        <v/>
      </c>
      <c r="E197" s="46" t="str">
        <f>IFERROR((VLOOKUP(LEFT($A197,4),Setor!$A:$E,5,0)),"")</f>
        <v/>
      </c>
      <c r="F197" s="47">
        <f>IFERROR(__xludf.DUMMYFUNCTION("IFERROR((GOOGLEFINANCE(A197)),"""")"),0.83)</f>
        <v>0.83</v>
      </c>
      <c r="G197" s="48" t="str">
        <f>IFERROR(__xludf.DUMMYFUNCTION("IFERROR((sparkline(GOOGLEFINANCE($A197,""price"",TODAY()-30,TODAY(),""DAILY""),{""charttype"",""line"";""linewidth"",1;""color"",""#5f88cc""})),"""")"),"")</f>
        <v/>
      </c>
      <c r="H197" s="49">
        <f>IFERROR(__xludf.DUMMYFUNCTION("IFERROR((((GOOGLEFINANCE(A197))-(INDEX(GoogleFinance(A197,""PRICE"",$AQ$1),2,2)))/(INDEX(GoogleFinance(A197,""PRICE"",$AQ$1),2,2))),"""")"),-0.11702127659574467)</f>
        <v>-0.1170212766</v>
      </c>
      <c r="I197" s="47">
        <f>IFERROR(__xludf.DUMMYFUNCTION("IFERROR((GOOGLEFINANCE($A197,""high52"")),"""")"),1.29)</f>
        <v>1.29</v>
      </c>
      <c r="J197" s="48" t="str">
        <f>IFERROR(__xludf.DUMMYFUNCTION("IFERROR((sparkline(GOOGLEFINANCE($A197,""price"",TODAY()-365,TODAY(),""DAILY""),{""charttype"",""line"";""linewidth"",1;""color"",""#5f88cc""})),"""")"),"")</f>
        <v/>
      </c>
      <c r="K197" s="50">
        <f>IFERROR(__xludf.DUMMYFUNCTION("IFERROR((((GOOGLEFINANCE(A197))-(INDEX(GoogleFinance(A197,""PRICE"",$AP$1),2,2)))/(INDEX(GoogleFinance(A197,""PRICE"",$AP$1),2,2))),"""")"),-0.2589285714285715)</f>
        <v>-0.2589285714</v>
      </c>
      <c r="L197" s="51">
        <f t="shared" si="1"/>
        <v>-0.3565891473</v>
      </c>
      <c r="M197" s="52">
        <f>IFERROR((VLOOKUP($A197,'Dados StatusInvest'!$A:$AZ,COLUMN(M197)-$A$5,0)*VLOOKUP($A197,'Dados StatusInvest'!$A:$AZ,2,0)/$F197/100),0)</f>
        <v>-0.0189</v>
      </c>
      <c r="N197" s="53">
        <f>IFERROR((VLOOKUP($A197,'Dados StatusInvest'!$A:$AZ,COLUMN(N197)-$A$5,0)/VLOOKUP($A197,'Dados StatusInvest'!$A:$AZ,2,0)*$F197),"")</f>
        <v>-29.79</v>
      </c>
      <c r="O197" s="53">
        <f>IFERROR((VLOOKUP($A197,'Dados StatusInvest'!$A:$AZ,COLUMN(O197)-$A$5,0)/VLOOKUP($A197,'Dados StatusInvest'!$A:$AZ,2,0)*$F197),0)</f>
        <v>-2.7</v>
      </c>
      <c r="P197" s="54">
        <f>IFERROR((VLOOKUP($A197,'Dados StatusInvest'!$A:$AZ,COLUMN(P197)-$A$5,0)/VLOOKUP($A197,'Dados StatusInvest'!$A:$AZ,2,0)*$F197),0)</f>
        <v>-19.66</v>
      </c>
      <c r="Q197" s="55">
        <f>IFERROR((VLOOKUP($A197,'Dados StatusInvest'!$A:$AZ,COLUMN(Q197)-$A$5,0)/100),0)</f>
        <v>-0.1696</v>
      </c>
      <c r="R197" s="56">
        <f>VLOOKUP($A197,'Dados StatusInvest'!$A:$AZ,COLUMN(R197)-$A$5,0)</f>
        <v>1.56</v>
      </c>
      <c r="S197" s="56">
        <f>IFERROR((VLOOKUP($A197,'Dados StatusInvest'!$A:$AZ,COLUMN(S197)-$A$5,0)),0)</f>
        <v>0.05</v>
      </c>
      <c r="T197" s="53">
        <f>IFERROR((VLOOKUP($A197,'Dados StatusInvest'!$A:$AZ,COLUMN(T197)-$A$5,0)/VLOOKUP($A197,'Dados StatusInvest'!$A:$AZ,2,0)*$F197),0)</f>
        <v>-0.07</v>
      </c>
      <c r="U197" s="53">
        <f>IFERROR((VLOOKUP($A197,'Dados StatusInvest'!$A:$AZ,COLUMN(U197)-$A$5,0)-VLOOKUP($A197,'Dados StatusInvest'!$A:$AZ,COLUMN(U197)-$A$5-1,0)+T197),0)</f>
        <v>-0.02</v>
      </c>
      <c r="V197" s="56">
        <f>IFERROR((VLOOKUP($A197,'Dados StatusInvest'!$A:$AZ,COLUMN(V197)-$A$5,0)),0)</f>
        <v>0.38</v>
      </c>
      <c r="W197" s="56">
        <f>IFERROR((VLOOKUP($A197,'Dados StatusInvest'!$A:$AZ,COLUMN(W197)-$A$5,0)),0)</f>
        <v>-144.99</v>
      </c>
      <c r="X197" s="53">
        <f>IFERROR((VLOOKUP($A197,'Dados StatusInvest'!$A:$AZ,COLUMN(X197)-$A$5,0)/VLOOKUP($A197,'Dados StatusInvest'!$A:$AZ,2,0)*$F197),0)</f>
        <v>-11.36</v>
      </c>
      <c r="Y197" s="54">
        <f>IFERROR((VLOOKUP($A197,'Dados StatusInvest'!$A:$AZ,COLUMN(Y197)-$A$5,0)/VLOOKUP($A197,'Dados StatusInvest'!$A:$AZ,2,0)*$F197),0)</f>
        <v>-3.01</v>
      </c>
      <c r="Z197" s="56">
        <f>IFERROR((VLOOKUP($A197,'Dados StatusInvest'!$A:$AZ,COLUMN(Z197)-$A$5,0)),0)</f>
        <v>0.08</v>
      </c>
      <c r="AA197" s="57">
        <f>IFERROR((VLOOKUP($A197,'Dados StatusInvest'!$A:$AZ,COLUMN(AA197)-$A$5,0)),0)</f>
        <v>0.92</v>
      </c>
      <c r="AB197" s="57">
        <f>IFERROR((VLOOKUP($A197,'Dados StatusInvest'!$A:$AZ,COLUMN(AB197)-$A$5,0)),0)</f>
        <v>0.38</v>
      </c>
      <c r="AC197" s="58">
        <f>IFERROR((VLOOKUP($A197,'Dados StatusInvest'!$A:$AZ,COLUMN(AC197)-$A$5,0)),0)</f>
        <v>-15.5</v>
      </c>
      <c r="AD197" s="57">
        <f>IFERROR((VLOOKUP($A197,'Dados StatusInvest'!$A:$AZ,COLUMN(AD197)-$A$5,0)),0)</f>
        <v>0</v>
      </c>
      <c r="AE197" s="56">
        <f>IFERROR((VLOOKUP($A197,'Dados StatusInvest'!$A:$AZ,COLUMN(AE197)-$A$5,0)),0)</f>
        <v>3160.71</v>
      </c>
      <c r="AF197" s="56">
        <f>IFERROR((VLOOKUP($A197,'Dados StatusInvest'!$A:$AZ,COLUMN(AF197)-$A$5,0)),0)</f>
        <v>3.33</v>
      </c>
      <c r="AG197" s="56">
        <f>IFERROR((VLOOKUP($A197,'Dados StatusInvest'!$A:$AZ,COLUMN(AG197)-$A$5,0)),0)</f>
        <v>-4.83</v>
      </c>
      <c r="AH197" s="56">
        <f>IFERROR((VLOOKUP($A197,'Dados StatusInvest'!$A:$AZ,COLUMN(AH197)-$A$5,0)),0)</f>
        <v>0</v>
      </c>
      <c r="AI197" s="57">
        <f>IFERROR((VLOOKUP($A197,'Dados StatusInvest'!$A:$AZ,COLUMN(AI197)-$A$5,0)),0)</f>
        <v>22169595.48</v>
      </c>
      <c r="AJ197" s="59" t="str">
        <f>IFERROR((VLOOKUP($A197,'Dados StatusInvest'!$A:$AZ,COLUMN(AJ197)-$A$5,0)),0)</f>
        <v/>
      </c>
      <c r="AK197" s="60" t="str">
        <f>IFERROR(__xludf.DUMMYFUNCTION("IFERROR(GOOGLEFINANCE($A197,""high""),"""")"),"")</f>
        <v/>
      </c>
      <c r="AL197" s="60" t="str">
        <f>IFERROR(__xludf.DUMMYFUNCTION("IFERROR(GOOGLEFINANCE($A197,""low""),"""")"),"")</f>
        <v/>
      </c>
      <c r="AM197" s="61">
        <f t="shared" si="2"/>
        <v>0</v>
      </c>
      <c r="AN197" s="62">
        <f>IFERROR(__xludf.DUMMYFUNCTION("IFERROR((GOOGLEFINANCE($A197,""volume"")),0)"),0.0)</f>
        <v>0</v>
      </c>
      <c r="AO197" s="60">
        <f>IFERROR(__xludf.DUMMYFUNCTION("IFERROR((GOOGLEFINANCE($A197,""closeyest"")),"""")"),0.83)</f>
        <v>0.83</v>
      </c>
      <c r="AP197" s="60">
        <f>IFERROR(__xludf.DUMMYFUNCTION("IFERROR((GOOGLEFINANCE($A197,""shares"")),"""")"),2.6710356E7)</f>
        <v>26710356</v>
      </c>
      <c r="AQ197" s="18"/>
    </row>
    <row r="198">
      <c r="A198" s="45" t="str">
        <f>'Dados StatusInvest'!A193:A812</f>
        <v>CTCA3</v>
      </c>
      <c r="B198" s="46" t="str">
        <f>IFERROR(__xludf.DUMMYFUNCTION("IFERROR((GOOGLEFINANCE(A198,""name"")),"""")"),"CTC Centro de Tecnologia Canavieira SA")</f>
        <v>CTC Centro de Tecnologia Canavieira SA</v>
      </c>
      <c r="C198" s="46" t="str">
        <f>IFERROR((VLOOKUP(LEFT($A198,4),Setor!$A:$E,3,0)),"")</f>
        <v/>
      </c>
      <c r="D198" s="46" t="str">
        <f>IFERROR((VLOOKUP(LEFT($A198,4),Setor!$A:$E,4,0)),"")</f>
        <v/>
      </c>
      <c r="E198" s="46" t="str">
        <f>IFERROR((VLOOKUP(LEFT($A198,4),Setor!$A:$E,5,0)),"")</f>
        <v/>
      </c>
      <c r="F198" s="47">
        <f>IFERROR(__xludf.DUMMYFUNCTION("IFERROR((GOOGLEFINANCE(A198)),"""")"),0.0)</f>
        <v>0</v>
      </c>
      <c r="G198" s="48" t="str">
        <f>IFERROR(__xludf.DUMMYFUNCTION("IFERROR((sparkline(GOOGLEFINANCE($A198,""price"",TODAY()-30,TODAY(),""DAILY""),{""charttype"",""line"";""linewidth"",1;""color"",""#5f88cc""})),"""")"),"")</f>
        <v/>
      </c>
      <c r="H198" s="49" t="str">
        <f>IFERROR(__xludf.DUMMYFUNCTION("IFERROR((((GOOGLEFINANCE(A198))-(INDEX(GoogleFinance(A198,""PRICE"",$AQ$1),2,2)))/(INDEX(GoogleFinance(A198,""PRICE"",$AQ$1),2,2))),"""")"),"")</f>
        <v/>
      </c>
      <c r="I198" s="47" t="str">
        <f>IFERROR(__xludf.DUMMYFUNCTION("IFERROR((GOOGLEFINANCE($A198,""high52"")),"""")"),"")</f>
        <v/>
      </c>
      <c r="J198" s="48" t="str">
        <f>IFERROR(__xludf.DUMMYFUNCTION("IFERROR((sparkline(GOOGLEFINANCE($A198,""price"",TODAY()-365,TODAY(),""DAILY""),{""charttype"",""line"";""linewidth"",1;""color"",""#5f88cc""})),"""")"),"")</f>
        <v/>
      </c>
      <c r="K198" s="50" t="str">
        <f>IFERROR(__xludf.DUMMYFUNCTION("IFERROR((((GOOGLEFINANCE(A198))-(INDEX(GoogleFinance(A198,""PRICE"",$AP$1),2,2)))/(INDEX(GoogleFinance(A198,""PRICE"",$AP$1),2,2))),"""")"),"")</f>
        <v/>
      </c>
      <c r="L198" s="51">
        <f t="shared" si="1"/>
        <v>0</v>
      </c>
      <c r="M198" s="52">
        <f>IFERROR((VLOOKUP($A198,'Dados StatusInvest'!$A:$AZ,COLUMN(M198)-$A$5,0)*VLOOKUP($A198,'Dados StatusInvest'!$A:$AZ,2,0)/$F198/100),0)</f>
        <v>0</v>
      </c>
      <c r="N198" s="53" t="str">
        <f>IFERROR((VLOOKUP($A198,'Dados StatusInvest'!$A:$AZ,COLUMN(N198)-$A$5,0)/VLOOKUP($A198,'Dados StatusInvest'!$A:$AZ,2,0)*$F198),"")</f>
        <v/>
      </c>
      <c r="O198" s="53">
        <f>IFERROR((VLOOKUP($A198,'Dados StatusInvest'!$A:$AZ,COLUMN(O198)-$A$5,0)/VLOOKUP($A198,'Dados StatusInvest'!$A:$AZ,2,0)*$F198),0)</f>
        <v>0</v>
      </c>
      <c r="P198" s="54">
        <f>IFERROR((VLOOKUP($A198,'Dados StatusInvest'!$A:$AZ,COLUMN(P198)-$A$5,0)/VLOOKUP($A198,'Dados StatusInvest'!$A:$AZ,2,0)*$F198),0)</f>
        <v>0</v>
      </c>
      <c r="Q198" s="55">
        <f>IFERROR((VLOOKUP($A198,'Dados StatusInvest'!$A:$AZ,COLUMN(Q198)-$A$5,0)/100),0)</f>
        <v>-0.0285</v>
      </c>
      <c r="R198" s="56">
        <f>VLOOKUP($A198,'Dados StatusInvest'!$A:$AZ,COLUMN(R198)-$A$5,0)</f>
        <v>-0.41</v>
      </c>
      <c r="S198" s="56">
        <f>IFERROR((VLOOKUP($A198,'Dados StatusInvest'!$A:$AZ,COLUMN(S198)-$A$5,0)),0)</f>
        <v>0</v>
      </c>
      <c r="T198" s="53">
        <f>IFERROR((VLOOKUP($A198,'Dados StatusInvest'!$A:$AZ,COLUMN(T198)-$A$5,0)/VLOOKUP($A198,'Dados StatusInvest'!$A:$AZ,2,0)*$F198),0)</f>
        <v>0</v>
      </c>
      <c r="U198" s="53">
        <f>IFERROR((VLOOKUP($A198,'Dados StatusInvest'!$A:$AZ,COLUMN(U198)-$A$5,0)-VLOOKUP($A198,'Dados StatusInvest'!$A:$AZ,COLUMN(U198)-$A$5-1,0)+T198),0)</f>
        <v>0</v>
      </c>
      <c r="V198" s="56">
        <f>IFERROR((VLOOKUP($A198,'Dados StatusInvest'!$A:$AZ,COLUMN(V198)-$A$5,0)),0)</f>
        <v>5.53</v>
      </c>
      <c r="W198" s="56">
        <f>IFERROR((VLOOKUP($A198,'Dados StatusInvest'!$A:$AZ,COLUMN(W198)-$A$5,0)),0)</f>
        <v>18.55</v>
      </c>
      <c r="X198" s="53">
        <f>IFERROR((VLOOKUP($A198,'Dados StatusInvest'!$A:$AZ,COLUMN(X198)-$A$5,0)/VLOOKUP($A198,'Dados StatusInvest'!$A:$AZ,2,0)*$F198),0)</f>
        <v>0</v>
      </c>
      <c r="Y198" s="54">
        <f>IFERROR((VLOOKUP($A198,'Dados StatusInvest'!$A:$AZ,COLUMN(Y198)-$A$5,0)/VLOOKUP($A198,'Dados StatusInvest'!$A:$AZ,2,0)*$F198),0)</f>
        <v>0</v>
      </c>
      <c r="Z198" s="56">
        <f>IFERROR((VLOOKUP($A198,'Dados StatusInvest'!$A:$AZ,COLUMN(Z198)-$A$5,0)),0)</f>
        <v>0.78</v>
      </c>
      <c r="AA198" s="57">
        <f>IFERROR((VLOOKUP($A198,'Dados StatusInvest'!$A:$AZ,COLUMN(AA198)-$A$5,0)),0)</f>
        <v>0.22</v>
      </c>
      <c r="AB198" s="57">
        <f>IFERROR((VLOOKUP($A198,'Dados StatusInvest'!$A:$AZ,COLUMN(AB198)-$A$5,0)),0)</f>
        <v>0.31</v>
      </c>
      <c r="AC198" s="58">
        <f>IFERROR((VLOOKUP($A198,'Dados StatusInvest'!$A:$AZ,COLUMN(AC198)-$A$5,0)),0)</f>
        <v>11.54</v>
      </c>
      <c r="AD198" s="57">
        <f>IFERROR((VLOOKUP($A198,'Dados StatusInvest'!$A:$AZ,COLUMN(AD198)-$A$5,0)),0)</f>
        <v>60.86</v>
      </c>
      <c r="AE198" s="56">
        <f>IFERROR((VLOOKUP($A198,'Dados StatusInvest'!$A:$AZ,COLUMN(AE198)-$A$5,0)),0)</f>
        <v>0</v>
      </c>
      <c r="AF198" s="56">
        <f>IFERROR((VLOOKUP($A198,'Dados StatusInvest'!$A:$AZ,COLUMN(AF198)-$A$5,0)),0)</f>
        <v>3.51</v>
      </c>
      <c r="AG198" s="56">
        <f>IFERROR((VLOOKUP($A198,'Dados StatusInvest'!$A:$AZ,COLUMN(AG198)-$A$5,0)),0)</f>
        <v>0.65</v>
      </c>
      <c r="AH198" s="56">
        <f>IFERROR((VLOOKUP($A198,'Dados StatusInvest'!$A:$AZ,COLUMN(AH198)-$A$5,0)),0)</f>
        <v>0</v>
      </c>
      <c r="AI198" s="57">
        <f>IFERROR((VLOOKUP($A198,'Dados StatusInvest'!$A:$AZ,COLUMN(AI198)-$A$5,0)),0)</f>
        <v>0</v>
      </c>
      <c r="AJ198" s="59" t="str">
        <f>IFERROR((VLOOKUP($A198,'Dados StatusInvest'!$A:$AZ,COLUMN(AJ198)-$A$5,0)),0)</f>
        <v/>
      </c>
      <c r="AK198" s="60" t="str">
        <f>IFERROR(__xludf.DUMMYFUNCTION("IFERROR(GOOGLEFINANCE($A198,""high""),"""")"),"")</f>
        <v/>
      </c>
      <c r="AL198" s="60" t="str">
        <f>IFERROR(__xludf.DUMMYFUNCTION("IFERROR(GOOGLEFINANCE($A198,""low""),"""")"),"")</f>
        <v/>
      </c>
      <c r="AM198" s="61">
        <f t="shared" si="2"/>
        <v>0</v>
      </c>
      <c r="AN198" s="62">
        <f>IFERROR(__xludf.DUMMYFUNCTION("IFERROR((GOOGLEFINANCE($A198,""volume"")),0)"),0.0)</f>
        <v>0</v>
      </c>
      <c r="AO198" s="60" t="str">
        <f>IFERROR(__xludf.DUMMYFUNCTION("IFERROR((GOOGLEFINANCE($A198,""closeyest"")),"""")"),"")</f>
        <v/>
      </c>
      <c r="AP198" s="60">
        <f>IFERROR(__xludf.DUMMYFUNCTION("IFERROR((GOOGLEFINANCE($A198,""shares"")),"""")"),3.20748E8)</f>
        <v>320748000</v>
      </c>
      <c r="AQ198" s="18"/>
    </row>
    <row r="199">
      <c r="A199" s="45" t="str">
        <f>'Dados StatusInvest'!A194:A813</f>
        <v>CTKA3</v>
      </c>
      <c r="B199" s="46" t="str">
        <f>IFERROR(__xludf.DUMMYFUNCTION("IFERROR((GOOGLEFINANCE(A199,""name"")),"""")"),"Karsten SA")</f>
        <v>Karsten SA</v>
      </c>
      <c r="C199" s="46" t="str">
        <f>IFERROR((VLOOKUP(LEFT($A199,4),Setor!$A:$E,3,0)),"")</f>
        <v>Consumo Cíclico</v>
      </c>
      <c r="D199" s="46" t="str">
        <f>IFERROR((VLOOKUP(LEFT($A199,4),Setor!$A:$E,4,0)),"")</f>
        <v>Tecidos, Vestuário e Calçados</v>
      </c>
      <c r="E199" s="46" t="str">
        <f>IFERROR((VLOOKUP(LEFT($A199,4),Setor!$A:$E,5,0)),"")</f>
        <v>Fios e Tecidos</v>
      </c>
      <c r="F199" s="47">
        <f>IFERROR(__xludf.DUMMYFUNCTION("IFERROR((GOOGLEFINANCE(A199)),"""")"),50.0)</f>
        <v>50</v>
      </c>
      <c r="G199" s="48" t="str">
        <f>IFERROR(__xludf.DUMMYFUNCTION("IFERROR((sparkline(GOOGLEFINANCE($A199,""price"",TODAY()-30,TODAY(),""DAILY""),{""charttype"",""line"";""linewidth"",1;""color"",""#5f88cc""})),"""")"),"")</f>
        <v/>
      </c>
      <c r="H199" s="49">
        <f>IFERROR(__xludf.DUMMYFUNCTION("IFERROR((((GOOGLEFINANCE(A199))-(INDEX(GoogleFinance(A199,""PRICE"",$AQ$1),2,2)))/(INDEX(GoogleFinance(A199,""PRICE"",$AQ$1),2,2))),"""")"),0.3831258644536653)</f>
        <v>0.3831258645</v>
      </c>
      <c r="I199" s="47">
        <f>IFERROR(__xludf.DUMMYFUNCTION("IFERROR((GOOGLEFINANCE($A199,""high52"")),"""")"),50.0)</f>
        <v>50</v>
      </c>
      <c r="J199" s="48" t="str">
        <f>IFERROR(__xludf.DUMMYFUNCTION("IFERROR((sparkline(GOOGLEFINANCE($A199,""price"",TODAY()-365,TODAY(),""DAILY""),{""charttype"",""line"";""linewidth"",1;""color"",""#5f88cc""})),"""")"),"")</f>
        <v/>
      </c>
      <c r="K199" s="50">
        <f>IFERROR(__xludf.DUMMYFUNCTION("IFERROR((((GOOGLEFINANCE(A199))-(INDEX(GoogleFinance(A199,""PRICE"",$AP$1),2,2)))/(INDEX(GoogleFinance(A199,""PRICE"",$AP$1),2,2))),"""")"),0.4667057788207684)</f>
        <v>0.4667057788</v>
      </c>
      <c r="L199" s="51">
        <f t="shared" si="1"/>
        <v>0</v>
      </c>
      <c r="M199" s="52">
        <f>IFERROR((VLOOKUP($A199,'Dados StatusInvest'!$A:$AZ,COLUMN(M199)-$A$5,0)*VLOOKUP($A199,'Dados StatusInvest'!$A:$AZ,2,0)/$F199/100),0)</f>
        <v>0.1199</v>
      </c>
      <c r="N199" s="53">
        <f>IFERROR((VLOOKUP($A199,'Dados StatusInvest'!$A:$AZ,COLUMN(N199)-$A$5,0)/VLOOKUP($A199,'Dados StatusInvest'!$A:$AZ,2,0)*$F199),"")</f>
        <v>14.68</v>
      </c>
      <c r="O199" s="53">
        <f>IFERROR((VLOOKUP($A199,'Dados StatusInvest'!$A:$AZ,COLUMN(O199)-$A$5,0)/VLOOKUP($A199,'Dados StatusInvest'!$A:$AZ,2,0)*$F199),0)</f>
        <v>3.43</v>
      </c>
      <c r="P199" s="54">
        <f>IFERROR((VLOOKUP($A199,'Dados StatusInvest'!$A:$AZ,COLUMN(P199)-$A$5,0)/VLOOKUP($A199,'Dados StatusInvest'!$A:$AZ,2,0)*$F199),0)</f>
        <v>7.31</v>
      </c>
      <c r="Q199" s="55">
        <f>IFERROR((VLOOKUP($A199,'Dados StatusInvest'!$A:$AZ,COLUMN(Q199)-$A$5,0)/100),0)</f>
        <v>0.0388</v>
      </c>
      <c r="R199" s="56">
        <f>VLOOKUP($A199,'Dados StatusInvest'!$A:$AZ,COLUMN(R199)-$A$5,0)</f>
        <v>6.5</v>
      </c>
      <c r="S199" s="56">
        <f>IFERROR((VLOOKUP($A199,'Dados StatusInvest'!$A:$AZ,COLUMN(S199)-$A$5,0)),0)</f>
        <v>0.41</v>
      </c>
      <c r="T199" s="53">
        <f>IFERROR((VLOOKUP($A199,'Dados StatusInvest'!$A:$AZ,COLUMN(T199)-$A$5,0)/VLOOKUP($A199,'Dados StatusInvest'!$A:$AZ,2,0)*$F199),0)</f>
        <v>1.35</v>
      </c>
      <c r="U199" s="53">
        <f>IFERROR((VLOOKUP($A199,'Dados StatusInvest'!$A:$AZ,COLUMN(U199)-$A$5,0)-VLOOKUP($A199,'Dados StatusInvest'!$A:$AZ,COLUMN(U199)-$A$5-1,0)+T199),0)</f>
        <v>-1.28</v>
      </c>
      <c r="V199" s="56">
        <f>IFERROR((VLOOKUP($A199,'Dados StatusInvest'!$A:$AZ,COLUMN(V199)-$A$5,0)),0)</f>
        <v>1.91</v>
      </c>
      <c r="W199" s="56">
        <f>IFERROR((VLOOKUP($A199,'Dados StatusInvest'!$A:$AZ,COLUMN(W199)-$A$5,0)),0)</f>
        <v>204.93</v>
      </c>
      <c r="X199" s="53">
        <f>IFERROR((VLOOKUP($A199,'Dados StatusInvest'!$A:$AZ,COLUMN(X199)-$A$5,0)/VLOOKUP($A199,'Dados StatusInvest'!$A:$AZ,2,0)*$F199),0)</f>
        <v>15.25</v>
      </c>
      <c r="Y199" s="54">
        <f>IFERROR((VLOOKUP($A199,'Dados StatusInvest'!$A:$AZ,COLUMN(Y199)-$A$5,0)/VLOOKUP($A199,'Dados StatusInvest'!$A:$AZ,2,0)*$F199),0)</f>
        <v>14.07</v>
      </c>
      <c r="Z199" s="56">
        <f>IFERROR((VLOOKUP($A199,'Dados StatusInvest'!$A:$AZ,COLUMN(Z199)-$A$5,0)),0)</f>
        <v>0.07</v>
      </c>
      <c r="AA199" s="57">
        <f>IFERROR((VLOOKUP($A199,'Dados StatusInvest'!$A:$AZ,COLUMN(AA199)-$A$5,0)),0)</f>
        <v>0.93</v>
      </c>
      <c r="AB199" s="57">
        <f>IFERROR((VLOOKUP($A199,'Dados StatusInvest'!$A:$AZ,COLUMN(AB199)-$A$5,0)),0)</f>
        <v>1.04</v>
      </c>
      <c r="AC199" s="58">
        <f>IFERROR((VLOOKUP($A199,'Dados StatusInvest'!$A:$AZ,COLUMN(AC199)-$A$5,0)),0)</f>
        <v>15.69</v>
      </c>
      <c r="AD199" s="57">
        <f>IFERROR((VLOOKUP($A199,'Dados StatusInvest'!$A:$AZ,COLUMN(AD199)-$A$5,0)),0)</f>
        <v>0</v>
      </c>
      <c r="AE199" s="56">
        <f>IFERROR((VLOOKUP($A199,'Dados StatusInvest'!$A:$AZ,COLUMN(AE199)-$A$5,0)),0)</f>
        <v>1666.67</v>
      </c>
      <c r="AF199" s="56">
        <f>IFERROR((VLOOKUP($A199,'Dados StatusInvest'!$A:$AZ,COLUMN(AF199)-$A$5,0)),0)</f>
        <v>8.69</v>
      </c>
      <c r="AG199" s="56">
        <f>IFERROR((VLOOKUP($A199,'Dados StatusInvest'!$A:$AZ,COLUMN(AG199)-$A$5,0)),0)</f>
        <v>17.81</v>
      </c>
      <c r="AH199" s="56">
        <f>IFERROR((VLOOKUP($A199,'Dados StatusInvest'!$A:$AZ,COLUMN(AH199)-$A$5,0)),0)</f>
        <v>0.04</v>
      </c>
      <c r="AI199" s="57">
        <f>IFERROR((VLOOKUP($A199,'Dados StatusInvest'!$A:$AZ,COLUMN(AI199)-$A$5,0)),0)</f>
        <v>309570086.1</v>
      </c>
      <c r="AJ199" s="59" t="str">
        <f>IFERROR((VLOOKUP($A199,'Dados StatusInvest'!$A:$AZ,COLUMN(AJ199)-$A$5,0)),0)</f>
        <v/>
      </c>
      <c r="AK199" s="60" t="str">
        <f>IFERROR(__xludf.DUMMYFUNCTION("IFERROR(GOOGLEFINANCE($A199,""high""),"""")"),"")</f>
        <v/>
      </c>
      <c r="AL199" s="60" t="str">
        <f>IFERROR(__xludf.DUMMYFUNCTION("IFERROR(GOOGLEFINANCE($A199,""low""),"""")"),"")</f>
        <v/>
      </c>
      <c r="AM199" s="61">
        <f t="shared" si="2"/>
        <v>0</v>
      </c>
      <c r="AN199" s="62">
        <f>IFERROR(__xludf.DUMMYFUNCTION("IFERROR((GOOGLEFINANCE($A199,""volume"")),0)"),0.0)</f>
        <v>0</v>
      </c>
      <c r="AO199" s="60">
        <f>IFERROR(__xludf.DUMMYFUNCTION("IFERROR((GOOGLEFINANCE($A199,""closeyest"")),"""")"),50.0)</f>
        <v>50</v>
      </c>
      <c r="AP199" s="60">
        <f>IFERROR(__xludf.DUMMYFUNCTION("IFERROR((GOOGLEFINANCE($A199,""shares"")),"""")"),2878404.0)</f>
        <v>2878404</v>
      </c>
      <c r="AQ199" s="18"/>
    </row>
    <row r="200">
      <c r="A200" s="45" t="str">
        <f>'Dados StatusInvest'!A195:A814</f>
        <v>CTKA4</v>
      </c>
      <c r="B200" s="46" t="str">
        <f>IFERROR(__xludf.DUMMYFUNCTION("IFERROR((GOOGLEFINANCE(A200,""name"")),"""")"),"Karsten SA Preference Shares")</f>
        <v>Karsten SA Preference Shares</v>
      </c>
      <c r="C200" s="46" t="str">
        <f>IFERROR((VLOOKUP(LEFT($A200,4),Setor!$A:$E,3,0)),"")</f>
        <v>Consumo Cíclico</v>
      </c>
      <c r="D200" s="46" t="str">
        <f>IFERROR((VLOOKUP(LEFT($A200,4),Setor!$A:$E,4,0)),"")</f>
        <v>Tecidos, Vestuário e Calçados</v>
      </c>
      <c r="E200" s="46" t="str">
        <f>IFERROR((VLOOKUP(LEFT($A200,4),Setor!$A:$E,5,0)),"")</f>
        <v>Fios e Tecidos</v>
      </c>
      <c r="F200" s="47">
        <f>IFERROR(__xludf.DUMMYFUNCTION("IFERROR((GOOGLEFINANCE(A200)),"""")"),49.97)</f>
        <v>49.97</v>
      </c>
      <c r="G200" s="48" t="str">
        <f>IFERROR(__xludf.DUMMYFUNCTION("IFERROR((sparkline(GOOGLEFINANCE($A200,""price"",TODAY()-30,TODAY(),""DAILY""),{""charttype"",""line"";""linewidth"",1;""color"",""#5f88cc""})),"""")"),"")</f>
        <v/>
      </c>
      <c r="H200" s="49">
        <f>IFERROR(__xludf.DUMMYFUNCTION("IFERROR((((GOOGLEFINANCE(A200))-(INDEX(GoogleFinance(A200,""PRICE"",$AQ$1),2,2)))/(INDEX(GoogleFinance(A200,""PRICE"",$AQ$1),2,2))),"""")"),0.18976190476190474)</f>
        <v>0.1897619048</v>
      </c>
      <c r="I200" s="47">
        <f>IFERROR(__xludf.DUMMYFUNCTION("IFERROR((GOOGLEFINANCE($A200,""high52"")),"""")"),49.97)</f>
        <v>49.97</v>
      </c>
      <c r="J200" s="48" t="str">
        <f>IFERROR(__xludf.DUMMYFUNCTION("IFERROR((sparkline(GOOGLEFINANCE($A200,""price"",TODAY()-365,TODAY(),""DAILY""),{""charttype"",""line"";""linewidth"",1;""color"",""#5f88cc""})),"""")"),"")</f>
        <v/>
      </c>
      <c r="K200" s="50">
        <f>IFERROR(__xludf.DUMMYFUNCTION("IFERROR((((GOOGLEFINANCE(A200))-(INDEX(GoogleFinance(A200,""PRICE"",$AP$1),2,2)))/(INDEX(GoogleFinance(A200,""PRICE"",$AP$1),2,2))),"""")"),0.8170909090909091)</f>
        <v>0.8170909091</v>
      </c>
      <c r="L200" s="51">
        <f t="shared" si="1"/>
        <v>0</v>
      </c>
      <c r="M200" s="52">
        <f>IFERROR((VLOOKUP($A200,'Dados StatusInvest'!$A:$AZ,COLUMN(M200)-$A$5,0)*VLOOKUP($A200,'Dados StatusInvest'!$A:$AZ,2,0)/$F200/100),0)</f>
        <v>0.1194681009</v>
      </c>
      <c r="N200" s="53">
        <f>IFERROR((VLOOKUP($A200,'Dados StatusInvest'!$A:$AZ,COLUMN(N200)-$A$5,0)/VLOOKUP($A200,'Dados StatusInvest'!$A:$AZ,2,0)*$F200),"")</f>
        <v>14.7330709</v>
      </c>
      <c r="O200" s="53">
        <f>IFERROR((VLOOKUP($A200,'Dados StatusInvest'!$A:$AZ,COLUMN(O200)-$A$5,0)/VLOOKUP($A200,'Dados StatusInvest'!$A:$AZ,2,0)*$F200),0)</f>
        <v>3.432363928</v>
      </c>
      <c r="P200" s="54">
        <f>IFERROR((VLOOKUP($A200,'Dados StatusInvest'!$A:$AZ,COLUMN(P200)-$A$5,0)/VLOOKUP($A200,'Dados StatusInvest'!$A:$AZ,2,0)*$F200),0)</f>
        <v>7.336426993</v>
      </c>
      <c r="Q200" s="55">
        <f>IFERROR((VLOOKUP($A200,'Dados StatusInvest'!$A:$AZ,COLUMN(Q200)-$A$5,0)/100),0)</f>
        <v>0.0388</v>
      </c>
      <c r="R200" s="56">
        <f>VLOOKUP($A200,'Dados StatusInvest'!$A:$AZ,COLUMN(R200)-$A$5,0)</f>
        <v>6.5</v>
      </c>
      <c r="S200" s="56">
        <f>IFERROR((VLOOKUP($A200,'Dados StatusInvest'!$A:$AZ,COLUMN(S200)-$A$5,0)),0)</f>
        <v>0.41</v>
      </c>
      <c r="T200" s="53">
        <f>IFERROR((VLOOKUP($A200,'Dados StatusInvest'!$A:$AZ,COLUMN(T200)-$A$5,0)/VLOOKUP($A200,'Dados StatusInvest'!$A:$AZ,2,0)*$F200),0)</f>
        <v>1.354880498</v>
      </c>
      <c r="U200" s="53">
        <f>IFERROR((VLOOKUP($A200,'Dados StatusInvest'!$A:$AZ,COLUMN(U200)-$A$5,0)-VLOOKUP($A200,'Dados StatusInvest'!$A:$AZ,COLUMN(U200)-$A$5-1,0)+T200),0)</f>
        <v>-1.275119502</v>
      </c>
      <c r="V200" s="56">
        <f>IFERROR((VLOOKUP($A200,'Dados StatusInvest'!$A:$AZ,COLUMN(V200)-$A$5,0)),0)</f>
        <v>1.91</v>
      </c>
      <c r="W200" s="56">
        <f>IFERROR((VLOOKUP($A200,'Dados StatusInvest'!$A:$AZ,COLUMN(W200)-$A$5,0)),0)</f>
        <v>204.93</v>
      </c>
      <c r="X200" s="53">
        <f>IFERROR((VLOOKUP($A200,'Dados StatusInvest'!$A:$AZ,COLUMN(X200)-$A$5,0)/VLOOKUP($A200,'Dados StatusInvest'!$A:$AZ,2,0)*$F200),0)</f>
        <v>15.30513155</v>
      </c>
      <c r="Y200" s="54">
        <f>IFERROR((VLOOKUP($A200,'Dados StatusInvest'!$A:$AZ,COLUMN(Y200)-$A$5,0)/VLOOKUP($A200,'Dados StatusInvest'!$A:$AZ,2,0)*$F200),0)</f>
        <v>14.12086564</v>
      </c>
      <c r="Z200" s="56">
        <f>IFERROR((VLOOKUP($A200,'Dados StatusInvest'!$A:$AZ,COLUMN(Z200)-$A$5,0)),0)</f>
        <v>0.07</v>
      </c>
      <c r="AA200" s="57">
        <f>IFERROR((VLOOKUP($A200,'Dados StatusInvest'!$A:$AZ,COLUMN(AA200)-$A$5,0)),0)</f>
        <v>0.93</v>
      </c>
      <c r="AB200" s="57">
        <f>IFERROR((VLOOKUP($A200,'Dados StatusInvest'!$A:$AZ,COLUMN(AB200)-$A$5,0)),0)</f>
        <v>1.04</v>
      </c>
      <c r="AC200" s="58">
        <f>IFERROR((VLOOKUP($A200,'Dados StatusInvest'!$A:$AZ,COLUMN(AC200)-$A$5,0)),0)</f>
        <v>15.69</v>
      </c>
      <c r="AD200" s="57">
        <f>IFERROR((VLOOKUP($A200,'Dados StatusInvest'!$A:$AZ,COLUMN(AD200)-$A$5,0)),0)</f>
        <v>0</v>
      </c>
      <c r="AE200" s="56">
        <f>IFERROR((VLOOKUP($A200,'Dados StatusInvest'!$A:$AZ,COLUMN(AE200)-$A$5,0)),0)</f>
        <v>55933.88</v>
      </c>
      <c r="AF200" s="56">
        <f>IFERROR((VLOOKUP($A200,'Dados StatusInvest'!$A:$AZ,COLUMN(AF200)-$A$5,0)),0)</f>
        <v>8.69</v>
      </c>
      <c r="AG200" s="56">
        <f>IFERROR((VLOOKUP($A200,'Dados StatusInvest'!$A:$AZ,COLUMN(AG200)-$A$5,0)),0)</f>
        <v>17.81</v>
      </c>
      <c r="AH200" s="56">
        <f>IFERROR((VLOOKUP($A200,'Dados StatusInvest'!$A:$AZ,COLUMN(AH200)-$A$5,0)),0)</f>
        <v>0.04</v>
      </c>
      <c r="AI200" s="57">
        <f>IFERROR((VLOOKUP($A200,'Dados StatusInvest'!$A:$AZ,COLUMN(AI200)-$A$5,0)),0)</f>
        <v>309570086.1</v>
      </c>
      <c r="AJ200" s="59" t="str">
        <f>IFERROR((VLOOKUP($A200,'Dados StatusInvest'!$A:$AZ,COLUMN(AJ200)-$A$5,0)),0)</f>
        <v/>
      </c>
      <c r="AK200" s="60">
        <f>IFERROR(__xludf.DUMMYFUNCTION("IFERROR(GOOGLEFINANCE($A200,""high""),"""")"),49.97)</f>
        <v>49.97</v>
      </c>
      <c r="AL200" s="60">
        <f>IFERROR(__xludf.DUMMYFUNCTION("IFERROR(GOOGLEFINANCE($A200,""low""),"""")"),48.0)</f>
        <v>48</v>
      </c>
      <c r="AM200" s="61">
        <f t="shared" si="2"/>
        <v>0.04104166667</v>
      </c>
      <c r="AN200" s="62">
        <f>IFERROR(__xludf.DUMMYFUNCTION("IFERROR((GOOGLEFINANCE($A200,""volume"")),0)"),1700.0)</f>
        <v>1700</v>
      </c>
      <c r="AO200" s="60">
        <f>IFERROR(__xludf.DUMMYFUNCTION("IFERROR((GOOGLEFINANCE($A200,""closeyest"")),"""")"),49.79)</f>
        <v>49.79</v>
      </c>
      <c r="AP200" s="60">
        <f>IFERROR(__xludf.DUMMYFUNCTION("IFERROR((GOOGLEFINANCE($A200,""shares"")),"""")"),3326971.0)</f>
        <v>3326971</v>
      </c>
      <c r="AQ200" s="18"/>
    </row>
    <row r="201">
      <c r="A201" s="45" t="str">
        <f>'Dados StatusInvest'!A196:A815</f>
        <v>CTNM3</v>
      </c>
      <c r="B201" s="46" t="str">
        <f>IFERROR(__xludf.DUMMYFUNCTION("IFERROR((GOOGLEFINANCE(A201,""name"")),"""")"),"COTEMINAS ON")</f>
        <v>COTEMINAS ON</v>
      </c>
      <c r="C201" s="46" t="str">
        <f>IFERROR((VLOOKUP(LEFT($A201,4),Setor!$A:$E,3,0)),"")</f>
        <v>Consumo Cíclico</v>
      </c>
      <c r="D201" s="46" t="str">
        <f>IFERROR((VLOOKUP(LEFT($A201,4),Setor!$A:$E,4,0)),"")</f>
        <v>Tecidos, Vestuário e Calçados</v>
      </c>
      <c r="E201" s="46" t="str">
        <f>IFERROR((VLOOKUP(LEFT($A201,4),Setor!$A:$E,5,0)),"")</f>
        <v>Fios e Tecidos</v>
      </c>
      <c r="F201" s="47">
        <f>IFERROR(__xludf.DUMMYFUNCTION("IFERROR((GOOGLEFINANCE(A201)),"""")"),7.13)</f>
        <v>7.13</v>
      </c>
      <c r="G201" s="48" t="str">
        <f>IFERROR(__xludf.DUMMYFUNCTION("IFERROR((sparkline(GOOGLEFINANCE($A201,""price"",TODAY()-30,TODAY(),""DAILY""),{""charttype"",""line"";""linewidth"",1;""color"",""#5f88cc""})),"""")"),"")</f>
        <v/>
      </c>
      <c r="H201" s="49" t="str">
        <f>IFERROR(__xludf.DUMMYFUNCTION("IFERROR((((GOOGLEFINANCE(A201))-(INDEX(GoogleFinance(A201,""PRICE"",$AQ$1),2,2)))/(INDEX(GoogleFinance(A201,""PRICE"",$AQ$1),2,2))),"""")"),"")</f>
        <v/>
      </c>
      <c r="I201" s="47">
        <f>IFERROR(__xludf.DUMMYFUNCTION("IFERROR((GOOGLEFINANCE($A201,""high52"")),"""")"),7.13)</f>
        <v>7.13</v>
      </c>
      <c r="J201" s="48" t="str">
        <f>IFERROR(__xludf.DUMMYFUNCTION("IFERROR((sparkline(GOOGLEFINANCE($A201,""price"",TODAY()-365,TODAY(),""DAILY""),{""charttype"",""line"";""linewidth"",1;""color"",""#5f88cc""})),"""")"),"")</f>
        <v/>
      </c>
      <c r="K201" s="50" t="str">
        <f>IFERROR(__xludf.DUMMYFUNCTION("IFERROR((((GOOGLEFINANCE(A201))-(INDEX(GoogleFinance(A201,""PRICE"",$AP$1),2,2)))/(INDEX(GoogleFinance(A201,""PRICE"",$AP$1),2,2))),"""")"),"")</f>
        <v/>
      </c>
      <c r="L201" s="51">
        <f t="shared" si="1"/>
        <v>0</v>
      </c>
      <c r="M201" s="52">
        <f>IFERROR((VLOOKUP($A201,'Dados StatusInvest'!$A:$AZ,COLUMN(M201)-$A$5,0)*VLOOKUP($A201,'Dados StatusInvest'!$A:$AZ,2,0)/$F201/100),0)</f>
        <v>-1.0923</v>
      </c>
      <c r="N201" s="53">
        <f>IFERROR((VLOOKUP($A201,'Dados StatusInvest'!$A:$AZ,COLUMN(N201)-$A$5,0)/VLOOKUP($A201,'Dados StatusInvest'!$A:$AZ,2,0)*$F201),"")</f>
        <v>-89.63</v>
      </c>
      <c r="O201" s="53">
        <f>IFERROR((VLOOKUP($A201,'Dados StatusInvest'!$A:$AZ,COLUMN(O201)-$A$5,0)/VLOOKUP($A201,'Dados StatusInvest'!$A:$AZ,2,0)*$F201),0)</f>
        <v>-0.43</v>
      </c>
      <c r="P201" s="54">
        <f>IFERROR((VLOOKUP($A201,'Dados StatusInvest'!$A:$AZ,COLUMN(P201)-$A$5,0)/VLOOKUP($A201,'Dados StatusInvest'!$A:$AZ,2,0)*$F201),0)</f>
        <v>-2.7</v>
      </c>
      <c r="Q201" s="55">
        <f>IFERROR((VLOOKUP($A201,'Dados StatusInvest'!$A:$AZ,COLUMN(Q201)-$A$5,0)/100),0)</f>
        <v>-0.0248</v>
      </c>
      <c r="R201" s="56">
        <f>VLOOKUP($A201,'Dados StatusInvest'!$A:$AZ,COLUMN(R201)-$A$5,0)</f>
        <v>0</v>
      </c>
      <c r="S201" s="56">
        <f>IFERROR((VLOOKUP($A201,'Dados StatusInvest'!$A:$AZ,COLUMN(S201)-$A$5,0)),0)</f>
        <v>0.46</v>
      </c>
      <c r="T201" s="53">
        <f>IFERROR((VLOOKUP($A201,'Dados StatusInvest'!$A:$AZ,COLUMN(T201)-$A$5,0)/VLOOKUP($A201,'Dados StatusInvest'!$A:$AZ,2,0)*$F201),0)</f>
        <v>-0.13</v>
      </c>
      <c r="U201" s="53">
        <f>IFERROR((VLOOKUP($A201,'Dados StatusInvest'!$A:$AZ,COLUMN(U201)-$A$5,0)-VLOOKUP($A201,'Dados StatusInvest'!$A:$AZ,COLUMN(U201)-$A$5-1,0)+T201),0)</f>
        <v>-0.09</v>
      </c>
      <c r="V201" s="56">
        <f>IFERROR((VLOOKUP($A201,'Dados StatusInvest'!$A:$AZ,COLUMN(V201)-$A$5,0)),0)</f>
        <v>0.27</v>
      </c>
      <c r="W201" s="56">
        <f>IFERROR((VLOOKUP($A201,'Dados StatusInvest'!$A:$AZ,COLUMN(W201)-$A$5,0)),0)</f>
        <v>-47.26</v>
      </c>
      <c r="X201" s="53">
        <f>IFERROR((VLOOKUP($A201,'Dados StatusInvest'!$A:$AZ,COLUMN(X201)-$A$5,0)/VLOOKUP($A201,'Dados StatusInvest'!$A:$AZ,2,0)*$F201),0)</f>
        <v>-13.83</v>
      </c>
      <c r="Y201" s="54">
        <f>IFERROR((VLOOKUP($A201,'Dados StatusInvest'!$A:$AZ,COLUMN(Y201)-$A$5,0)/VLOOKUP($A201,'Dados StatusInvest'!$A:$AZ,2,0)*$F201),0)</f>
        <v>-120.86</v>
      </c>
      <c r="Z201" s="56">
        <f>IFERROR((VLOOKUP($A201,'Dados StatusInvest'!$A:$AZ,COLUMN(Z201)-$A$5,0)),0)</f>
        <v>-0.29</v>
      </c>
      <c r="AA201" s="57">
        <f>IFERROR((VLOOKUP($A201,'Dados StatusInvest'!$A:$AZ,COLUMN(AA201)-$A$5,0)),0)</f>
        <v>1.29</v>
      </c>
      <c r="AB201" s="57">
        <f>IFERROR((VLOOKUP($A201,'Dados StatusInvest'!$A:$AZ,COLUMN(AB201)-$A$5,0)),0)</f>
        <v>0.15</v>
      </c>
      <c r="AC201" s="58">
        <f>IFERROR((VLOOKUP($A201,'Dados StatusInvest'!$A:$AZ,COLUMN(AC201)-$A$5,0)),0)</f>
        <v>-24.09</v>
      </c>
      <c r="AD201" s="57">
        <f>IFERROR((VLOOKUP($A201,'Dados StatusInvest'!$A:$AZ,COLUMN(AD201)-$A$5,0)),0)</f>
        <v>0</v>
      </c>
      <c r="AE201" s="56">
        <f>IFERROR((VLOOKUP($A201,'Dados StatusInvest'!$A:$AZ,COLUMN(AE201)-$A$5,0)),0)</f>
        <v>0</v>
      </c>
      <c r="AF201" s="56">
        <f>IFERROR((VLOOKUP($A201,'Dados StatusInvest'!$A:$AZ,COLUMN(AF201)-$A$5,0)),0)</f>
        <v>-29.11</v>
      </c>
      <c r="AG201" s="56">
        <f>IFERROR((VLOOKUP($A201,'Dados StatusInvest'!$A:$AZ,COLUMN(AG201)-$A$5,0)),0)</f>
        <v>-13.76</v>
      </c>
      <c r="AH201" s="56">
        <f>IFERROR((VLOOKUP($A201,'Dados StatusInvest'!$A:$AZ,COLUMN(AH201)-$A$5,0)),0)</f>
        <v>0.01</v>
      </c>
      <c r="AI201" s="57">
        <f>IFERROR((VLOOKUP($A201,'Dados StatusInvest'!$A:$AZ,COLUMN(AI201)-$A$5,0)),0)</f>
        <v>113580609</v>
      </c>
      <c r="AJ201" s="59" t="str">
        <f>IFERROR((VLOOKUP($A201,'Dados StatusInvest'!$A:$AZ,COLUMN(AJ201)-$A$5,0)),0)</f>
        <v/>
      </c>
      <c r="AK201" s="60" t="str">
        <f>IFERROR(__xludf.DUMMYFUNCTION("IFERROR(GOOGLEFINANCE($A201,""high""),"""")"),"")</f>
        <v/>
      </c>
      <c r="AL201" s="60" t="str">
        <f>IFERROR(__xludf.DUMMYFUNCTION("IFERROR(GOOGLEFINANCE($A201,""low""),"""")"),"")</f>
        <v/>
      </c>
      <c r="AM201" s="61">
        <f t="shared" si="2"/>
        <v>0</v>
      </c>
      <c r="AN201" s="62">
        <f>IFERROR(__xludf.DUMMYFUNCTION("IFERROR((GOOGLEFINANCE($A201,""volume"")),0)"),0.0)</f>
        <v>0</v>
      </c>
      <c r="AO201" s="60">
        <f>IFERROR(__xludf.DUMMYFUNCTION("IFERROR((GOOGLEFINANCE($A201,""closeyest"")),"""")"),7.13)</f>
        <v>7.13</v>
      </c>
      <c r="AP201" s="60">
        <f>IFERROR(__xludf.DUMMYFUNCTION("IFERROR((GOOGLEFINANCE($A201,""shares"")),"""")"),1.39128E7)</f>
        <v>13912800</v>
      </c>
      <c r="AQ201" s="18"/>
    </row>
    <row r="202">
      <c r="A202" s="45" t="str">
        <f>'Dados StatusInvest'!A197:A816</f>
        <v>CTNM4</v>
      </c>
      <c r="B202" s="46" t="str">
        <f>IFERROR(__xludf.DUMMYFUNCTION("IFERROR((GOOGLEFINANCE(A202,""name"")),"""")"),"COTEMINAS ON")</f>
        <v>COTEMINAS ON</v>
      </c>
      <c r="C202" s="46" t="str">
        <f>IFERROR((VLOOKUP(LEFT($A202,4),Setor!$A:$E,3,0)),"")</f>
        <v>Consumo Cíclico</v>
      </c>
      <c r="D202" s="46" t="str">
        <f>IFERROR((VLOOKUP(LEFT($A202,4),Setor!$A:$E,4,0)),"")</f>
        <v>Tecidos, Vestuário e Calçados</v>
      </c>
      <c r="E202" s="46" t="str">
        <f>IFERROR((VLOOKUP(LEFT($A202,4),Setor!$A:$E,5,0)),"")</f>
        <v>Fios e Tecidos</v>
      </c>
      <c r="F202" s="47">
        <f>IFERROR(__xludf.DUMMYFUNCTION("IFERROR((GOOGLEFINANCE(A202)),"""")"),0.86)</f>
        <v>0.86</v>
      </c>
      <c r="G202" s="48" t="str">
        <f>IFERROR(__xludf.DUMMYFUNCTION("IFERROR((sparkline(GOOGLEFINANCE($A202,""price"",TODAY()-30,TODAY(),""DAILY""),{""charttype"",""line"";""linewidth"",1;""color"",""#5f88cc""})),"""")"),"")</f>
        <v/>
      </c>
      <c r="H202" s="49" t="str">
        <f>IFERROR(__xludf.DUMMYFUNCTION("IFERROR((((GOOGLEFINANCE(A202))-(INDEX(GoogleFinance(A202,""PRICE"",$AQ$1),2,2)))/(INDEX(GoogleFinance(A202,""PRICE"",$AQ$1),2,2))),"""")"),"")</f>
        <v/>
      </c>
      <c r="I202" s="47">
        <f>IFERROR(__xludf.DUMMYFUNCTION("IFERROR((GOOGLEFINANCE($A202,""high52"")),"""")"),0.86)</f>
        <v>0.86</v>
      </c>
      <c r="J202" s="48" t="str">
        <f>IFERROR(__xludf.DUMMYFUNCTION("IFERROR((sparkline(GOOGLEFINANCE($A202,""price"",TODAY()-365,TODAY(),""DAILY""),{""charttype"",""line"";""linewidth"",1;""color"",""#5f88cc""})),"""")"),"")</f>
        <v/>
      </c>
      <c r="K202" s="50" t="str">
        <f>IFERROR(__xludf.DUMMYFUNCTION("IFERROR((((GOOGLEFINANCE(A202))-(INDEX(GoogleFinance(A202,""PRICE"",$AP$1),2,2)))/(INDEX(GoogleFinance(A202,""PRICE"",$AP$1),2,2))),"""")"),"")</f>
        <v/>
      </c>
      <c r="L202" s="51">
        <f t="shared" si="1"/>
        <v>0</v>
      </c>
      <c r="M202" s="52">
        <f>IFERROR((VLOOKUP($A202,'Dados StatusInvest'!$A:$AZ,COLUMN(M202)-$A$5,0)*VLOOKUP($A202,'Dados StatusInvest'!$A:$AZ,2,0)/$F202/100),0)</f>
        <v>-1.0923</v>
      </c>
      <c r="N202" s="53">
        <f>IFERROR((VLOOKUP($A202,'Dados StatusInvest'!$A:$AZ,COLUMN(N202)-$A$5,0)/VLOOKUP($A202,'Dados StatusInvest'!$A:$AZ,2,0)*$F202),"")</f>
        <v>-89.63</v>
      </c>
      <c r="O202" s="53">
        <f>IFERROR((VLOOKUP($A202,'Dados StatusInvest'!$A:$AZ,COLUMN(O202)-$A$5,0)/VLOOKUP($A202,'Dados StatusInvest'!$A:$AZ,2,0)*$F202),0)</f>
        <v>-0.05</v>
      </c>
      <c r="P202" s="54">
        <f>IFERROR((VLOOKUP($A202,'Dados StatusInvest'!$A:$AZ,COLUMN(P202)-$A$5,0)/VLOOKUP($A202,'Dados StatusInvest'!$A:$AZ,2,0)*$F202),0)</f>
        <v>-2.7</v>
      </c>
      <c r="Q202" s="55">
        <f>IFERROR((VLOOKUP($A202,'Dados StatusInvest'!$A:$AZ,COLUMN(Q202)-$A$5,0)/100),0)</f>
        <v>-0.0248</v>
      </c>
      <c r="R202" s="56">
        <f>VLOOKUP($A202,'Dados StatusInvest'!$A:$AZ,COLUMN(R202)-$A$5,0)</f>
        <v>0</v>
      </c>
      <c r="S202" s="56">
        <f>IFERROR((VLOOKUP($A202,'Dados StatusInvest'!$A:$AZ,COLUMN(S202)-$A$5,0)),0)</f>
        <v>0.06</v>
      </c>
      <c r="T202" s="53">
        <f>IFERROR((VLOOKUP($A202,'Dados StatusInvest'!$A:$AZ,COLUMN(T202)-$A$5,0)/VLOOKUP($A202,'Dados StatusInvest'!$A:$AZ,2,0)*$F202),0)</f>
        <v>-0.02</v>
      </c>
      <c r="U202" s="53">
        <f>IFERROR((VLOOKUP($A202,'Dados StatusInvest'!$A:$AZ,COLUMN(U202)-$A$5,0)-VLOOKUP($A202,'Dados StatusInvest'!$A:$AZ,COLUMN(U202)-$A$5-1,0)+T202),0)</f>
        <v>-0.01</v>
      </c>
      <c r="V202" s="56">
        <f>IFERROR((VLOOKUP($A202,'Dados StatusInvest'!$A:$AZ,COLUMN(V202)-$A$5,0)),0)</f>
        <v>0.27</v>
      </c>
      <c r="W202" s="56">
        <f>IFERROR((VLOOKUP($A202,'Dados StatusInvest'!$A:$AZ,COLUMN(W202)-$A$5,0)),0)</f>
        <v>-47.26</v>
      </c>
      <c r="X202" s="53">
        <f>IFERROR((VLOOKUP($A202,'Dados StatusInvest'!$A:$AZ,COLUMN(X202)-$A$5,0)/VLOOKUP($A202,'Dados StatusInvest'!$A:$AZ,2,0)*$F202),0)</f>
        <v>-13.83</v>
      </c>
      <c r="Y202" s="54">
        <f>IFERROR((VLOOKUP($A202,'Dados StatusInvest'!$A:$AZ,COLUMN(Y202)-$A$5,0)/VLOOKUP($A202,'Dados StatusInvest'!$A:$AZ,2,0)*$F202),0)</f>
        <v>-120.86</v>
      </c>
      <c r="Z202" s="56">
        <f>IFERROR((VLOOKUP($A202,'Dados StatusInvest'!$A:$AZ,COLUMN(Z202)-$A$5,0)),0)</f>
        <v>-0.29</v>
      </c>
      <c r="AA202" s="57">
        <f>IFERROR((VLOOKUP($A202,'Dados StatusInvest'!$A:$AZ,COLUMN(AA202)-$A$5,0)),0)</f>
        <v>1.29</v>
      </c>
      <c r="AB202" s="57">
        <f>IFERROR((VLOOKUP($A202,'Dados StatusInvest'!$A:$AZ,COLUMN(AB202)-$A$5,0)),0)</f>
        <v>0.15</v>
      </c>
      <c r="AC202" s="58">
        <f>IFERROR((VLOOKUP($A202,'Dados StatusInvest'!$A:$AZ,COLUMN(AC202)-$A$5,0)),0)</f>
        <v>-24.09</v>
      </c>
      <c r="AD202" s="57">
        <f>IFERROR((VLOOKUP($A202,'Dados StatusInvest'!$A:$AZ,COLUMN(AD202)-$A$5,0)),0)</f>
        <v>0</v>
      </c>
      <c r="AE202" s="56">
        <f>IFERROR((VLOOKUP($A202,'Dados StatusInvest'!$A:$AZ,COLUMN(AE202)-$A$5,0)),0)</f>
        <v>0</v>
      </c>
      <c r="AF202" s="56">
        <f>IFERROR((VLOOKUP($A202,'Dados StatusInvest'!$A:$AZ,COLUMN(AF202)-$A$5,0)),0)</f>
        <v>-29.11</v>
      </c>
      <c r="AG202" s="56">
        <f>IFERROR((VLOOKUP($A202,'Dados StatusInvest'!$A:$AZ,COLUMN(AG202)-$A$5,0)),0)</f>
        <v>-13.76</v>
      </c>
      <c r="AH202" s="56">
        <f>IFERROR((VLOOKUP($A202,'Dados StatusInvest'!$A:$AZ,COLUMN(AH202)-$A$5,0)),0)</f>
        <v>0</v>
      </c>
      <c r="AI202" s="57">
        <f>IFERROR((VLOOKUP($A202,'Dados StatusInvest'!$A:$AZ,COLUMN(AI202)-$A$5,0)),0)</f>
        <v>113580609</v>
      </c>
      <c r="AJ202" s="59" t="str">
        <f>IFERROR((VLOOKUP($A202,'Dados StatusInvest'!$A:$AZ,COLUMN(AJ202)-$A$5,0)),0)</f>
        <v/>
      </c>
      <c r="AK202" s="60" t="str">
        <f>IFERROR(__xludf.DUMMYFUNCTION("IFERROR(GOOGLEFINANCE($A202,""high""),"""")"),"")</f>
        <v/>
      </c>
      <c r="AL202" s="60" t="str">
        <f>IFERROR(__xludf.DUMMYFUNCTION("IFERROR(GOOGLEFINANCE($A202,""low""),"""")"),"")</f>
        <v/>
      </c>
      <c r="AM202" s="61">
        <f t="shared" si="2"/>
        <v>0</v>
      </c>
      <c r="AN202" s="62">
        <f>IFERROR(__xludf.DUMMYFUNCTION("IFERROR((GOOGLEFINANCE($A202,""volume"")),0)"),0.0)</f>
        <v>0</v>
      </c>
      <c r="AO202" s="60">
        <f>IFERROR(__xludf.DUMMYFUNCTION("IFERROR((GOOGLEFINANCE($A202,""closeyest"")),"""")"),0.86)</f>
        <v>0.86</v>
      </c>
      <c r="AP202" s="60">
        <f>IFERROR(__xludf.DUMMYFUNCTION("IFERROR((GOOGLEFINANCE($A202,""shares"")),"""")"),1.6723657E7)</f>
        <v>16723657</v>
      </c>
      <c r="AQ202" s="18"/>
    </row>
    <row r="203">
      <c r="A203" s="45" t="str">
        <f>'Dados StatusInvest'!A198:A817</f>
        <v>CTSA3</v>
      </c>
      <c r="B203" s="46" t="str">
        <f>IFERROR(__xludf.DUMMYFUNCTION("IFERROR((GOOGLEFINANCE(A203,""name"")),"""")"),"Companhia Tecidos Santanense")</f>
        <v>Companhia Tecidos Santanense</v>
      </c>
      <c r="C203" s="46" t="str">
        <f>IFERROR((VLOOKUP(LEFT($A203,4),Setor!$A:$E,3,0)),"")</f>
        <v>Consumo Cíclico</v>
      </c>
      <c r="D203" s="46" t="str">
        <f>IFERROR((VLOOKUP(LEFT($A203,4),Setor!$A:$E,4,0)),"")</f>
        <v>Tecidos, Vestuário e Calçados</v>
      </c>
      <c r="E203" s="46" t="str">
        <f>IFERROR((VLOOKUP(LEFT($A203,4),Setor!$A:$E,5,0)),"")</f>
        <v>Fios e Tecidos</v>
      </c>
      <c r="F203" s="47">
        <f>IFERROR(__xludf.DUMMYFUNCTION("IFERROR((GOOGLEFINANCE(A203)),"""")"),2.56)</f>
        <v>2.56</v>
      </c>
      <c r="G203" s="48" t="str">
        <f>IFERROR(__xludf.DUMMYFUNCTION("IFERROR((sparkline(GOOGLEFINANCE($A203,""price"",TODAY()-30,TODAY(),""DAILY""),{""charttype"",""line"";""linewidth"",1;""color"",""#5f88cc""})),"""")"),"")</f>
        <v/>
      </c>
      <c r="H203" s="49">
        <f>IFERROR(__xludf.DUMMYFUNCTION("IFERROR((((GOOGLEFINANCE(A203))-(INDEX(GoogleFinance(A203,""PRICE"",$AQ$1),2,2)))/(INDEX(GoogleFinance(A203,""PRICE"",$AQ$1),2,2))),"""")"),0.08474576271186449)</f>
        <v>0.08474576271</v>
      </c>
      <c r="I203" s="47">
        <f>IFERROR(__xludf.DUMMYFUNCTION("IFERROR((GOOGLEFINANCE($A203,""high52"")),"""")"),5.4)</f>
        <v>5.4</v>
      </c>
      <c r="J203" s="48" t="str">
        <f>IFERROR(__xludf.DUMMYFUNCTION("IFERROR((sparkline(GOOGLEFINANCE($A203,""price"",TODAY()-365,TODAY(),""DAILY""),{""charttype"",""line"";""linewidth"",1;""color"",""#5f88cc""})),"""")"),"")</f>
        <v/>
      </c>
      <c r="K203" s="50">
        <f>IFERROR(__xludf.DUMMYFUNCTION("IFERROR((((GOOGLEFINANCE(A203))-(INDEX(GoogleFinance(A203,""PRICE"",$AP$1),2,2)))/(INDEX(GoogleFinance(A203,""PRICE"",$AP$1),2,2))),"""")"),-0.5)</f>
        <v>-0.5</v>
      </c>
      <c r="L203" s="51">
        <f t="shared" si="1"/>
        <v>-0.5259259259</v>
      </c>
      <c r="M203" s="52">
        <f>IFERROR((VLOOKUP($A203,'Dados StatusInvest'!$A:$AZ,COLUMN(M203)-$A$5,0)*VLOOKUP($A203,'Dados StatusInvest'!$A:$AZ,2,0)/$F203/100),0)</f>
        <v>-3.0416</v>
      </c>
      <c r="N203" s="53">
        <f>IFERROR((VLOOKUP($A203,'Dados StatusInvest'!$A:$AZ,COLUMN(N203)-$A$5,0)/VLOOKUP($A203,'Dados StatusInvest'!$A:$AZ,2,0)*$F203),"")</f>
        <v>-453.89</v>
      </c>
      <c r="O203" s="53">
        <f>IFERROR((VLOOKUP($A203,'Dados StatusInvest'!$A:$AZ,COLUMN(O203)-$A$5,0)/VLOOKUP($A203,'Dados StatusInvest'!$A:$AZ,2,0)*$F203),0)</f>
        <v>-0.16</v>
      </c>
      <c r="P203" s="54">
        <f>IFERROR((VLOOKUP($A203,'Dados StatusInvest'!$A:$AZ,COLUMN(P203)-$A$5,0)/VLOOKUP($A203,'Dados StatusInvest'!$A:$AZ,2,0)*$F203),0)</f>
        <v>-2.35</v>
      </c>
      <c r="Q203" s="55">
        <f>IFERROR((VLOOKUP($A203,'Dados StatusInvest'!$A:$AZ,COLUMN(Q203)-$A$5,0)/100),0)</f>
        <v>-0.0218</v>
      </c>
      <c r="R203" s="56">
        <f>VLOOKUP($A203,'Dados StatusInvest'!$A:$AZ,COLUMN(R203)-$A$5,0)</f>
        <v>2.38</v>
      </c>
      <c r="S203" s="56">
        <f>IFERROR((VLOOKUP($A203,'Dados StatusInvest'!$A:$AZ,COLUMN(S203)-$A$5,0)),0)</f>
        <v>0.5</v>
      </c>
      <c r="T203" s="53">
        <f>IFERROR((VLOOKUP($A203,'Dados StatusInvest'!$A:$AZ,COLUMN(T203)-$A$5,0)/VLOOKUP($A203,'Dados StatusInvest'!$A:$AZ,2,0)*$F203),0)</f>
        <v>-0.06</v>
      </c>
      <c r="U203" s="53">
        <f>IFERROR((VLOOKUP($A203,'Dados StatusInvest'!$A:$AZ,COLUMN(U203)-$A$5,0)-VLOOKUP($A203,'Dados StatusInvest'!$A:$AZ,COLUMN(U203)-$A$5-1,0)+T203),0)</f>
        <v>-0.03</v>
      </c>
      <c r="V203" s="56">
        <f>IFERROR((VLOOKUP($A203,'Dados StatusInvest'!$A:$AZ,COLUMN(V203)-$A$5,0)),0)</f>
        <v>0.28</v>
      </c>
      <c r="W203" s="56">
        <f>IFERROR((VLOOKUP($A203,'Dados StatusInvest'!$A:$AZ,COLUMN(W203)-$A$5,0)),0)</f>
        <v>-162.82</v>
      </c>
      <c r="X203" s="53">
        <f>IFERROR((VLOOKUP($A203,'Dados StatusInvest'!$A:$AZ,COLUMN(X203)-$A$5,0)/VLOOKUP($A203,'Dados StatusInvest'!$A:$AZ,2,0)*$F203),0)</f>
        <v>-23.97</v>
      </c>
      <c r="Y203" s="54">
        <f>IFERROR((VLOOKUP($A203,'Dados StatusInvest'!$A:$AZ,COLUMN(Y203)-$A$5,0)/VLOOKUP($A203,'Dados StatusInvest'!$A:$AZ,2,0)*$F203),0)</f>
        <v>-34.34</v>
      </c>
      <c r="Z203" s="56">
        <f>IFERROR((VLOOKUP($A203,'Dados StatusInvest'!$A:$AZ,COLUMN(Z203)-$A$5,0)),0)</f>
        <v>0.15</v>
      </c>
      <c r="AA203" s="57">
        <f>IFERROR((VLOOKUP($A203,'Dados StatusInvest'!$A:$AZ,COLUMN(AA203)-$A$5,0)),0)</f>
        <v>0.85</v>
      </c>
      <c r="AB203" s="57">
        <f>IFERROR((VLOOKUP($A203,'Dados StatusInvest'!$A:$AZ,COLUMN(AB203)-$A$5,0)),0)</f>
        <v>0.05</v>
      </c>
      <c r="AC203" s="58">
        <f>IFERROR((VLOOKUP($A203,'Dados StatusInvest'!$A:$AZ,COLUMN(AC203)-$A$5,0)),0)</f>
        <v>-40.11</v>
      </c>
      <c r="AD203" s="57">
        <f>IFERROR((VLOOKUP($A203,'Dados StatusInvest'!$A:$AZ,COLUMN(AD203)-$A$5,0)),0)</f>
        <v>0</v>
      </c>
      <c r="AE203" s="56">
        <f>IFERROR((VLOOKUP($A203,'Dados StatusInvest'!$A:$AZ,COLUMN(AE203)-$A$5,0)),0)</f>
        <v>1979.23</v>
      </c>
      <c r="AF203" s="56">
        <f>IFERROR((VLOOKUP($A203,'Dados StatusInvest'!$A:$AZ,COLUMN(AF203)-$A$5,0)),0)</f>
        <v>14.25</v>
      </c>
      <c r="AG203" s="56">
        <f>IFERROR((VLOOKUP($A203,'Dados StatusInvest'!$A:$AZ,COLUMN(AG203)-$A$5,0)),0)</f>
        <v>-23.2</v>
      </c>
      <c r="AH203" s="56">
        <f>IFERROR((VLOOKUP($A203,'Dados StatusInvest'!$A:$AZ,COLUMN(AH203)-$A$5,0)),0)</f>
        <v>0</v>
      </c>
      <c r="AI203" s="57">
        <f>IFERROR((VLOOKUP($A203,'Dados StatusInvest'!$A:$AZ,COLUMN(AI203)-$A$5,0)),0)</f>
        <v>17807859.2</v>
      </c>
      <c r="AJ203" s="59" t="str">
        <f>IFERROR((VLOOKUP($A203,'Dados StatusInvest'!$A:$AZ,COLUMN(AJ203)-$A$5,0)),0)</f>
        <v/>
      </c>
      <c r="AK203" s="60" t="str">
        <f>IFERROR(__xludf.DUMMYFUNCTION("IFERROR(GOOGLEFINANCE($A203,""high""),"""")"),"")</f>
        <v/>
      </c>
      <c r="AL203" s="60" t="str">
        <f>IFERROR(__xludf.DUMMYFUNCTION("IFERROR(GOOGLEFINANCE($A203,""low""),"""")"),"")</f>
        <v/>
      </c>
      <c r="AM203" s="61">
        <f t="shared" si="2"/>
        <v>0</v>
      </c>
      <c r="AN203" s="62">
        <f>IFERROR(__xludf.DUMMYFUNCTION("IFERROR((GOOGLEFINANCE($A203,""volume"")),0)"),0.0)</f>
        <v>0</v>
      </c>
      <c r="AO203" s="60">
        <f>IFERROR(__xludf.DUMMYFUNCTION("IFERROR((GOOGLEFINANCE($A203,""closeyest"")),"""")"),2.56)</f>
        <v>2.56</v>
      </c>
      <c r="AP203" s="60">
        <f>IFERROR(__xludf.DUMMYFUNCTION("IFERROR((GOOGLEFINANCE($A203,""shares"")),"""")"),2377569.0)</f>
        <v>2377569</v>
      </c>
      <c r="AQ203" s="18"/>
    </row>
    <row r="204">
      <c r="A204" s="45" t="str">
        <f>'Dados StatusInvest'!A199:A818</f>
        <v>CTSA4</v>
      </c>
      <c r="B204" s="46" t="str">
        <f>IFERROR(__xludf.DUMMYFUNCTION("IFERROR((GOOGLEFINANCE(A204,""name"")),"""")"),"Companhia Tecidos Santanense Preference Shares")</f>
        <v>Companhia Tecidos Santanense Preference Shares</v>
      </c>
      <c r="C204" s="46" t="str">
        <f>IFERROR((VLOOKUP(LEFT($A204,4),Setor!$A:$E,3,0)),"")</f>
        <v>Consumo Cíclico</v>
      </c>
      <c r="D204" s="46" t="str">
        <f>IFERROR((VLOOKUP(LEFT($A204,4),Setor!$A:$E,4,0)),"")</f>
        <v>Tecidos, Vestuário e Calçados</v>
      </c>
      <c r="E204" s="46" t="str">
        <f>IFERROR((VLOOKUP(LEFT($A204,4),Setor!$A:$E,5,0)),"")</f>
        <v>Fios e Tecidos</v>
      </c>
      <c r="F204" s="47">
        <f>IFERROR(__xludf.DUMMYFUNCTION("IFERROR((GOOGLEFINANCE(A204)),"""")"),1.72)</f>
        <v>1.72</v>
      </c>
      <c r="G204" s="48" t="str">
        <f>IFERROR(__xludf.DUMMYFUNCTION("IFERROR((sparkline(GOOGLEFINANCE($A204,""price"",TODAY()-30,TODAY(),""DAILY""),{""charttype"",""line"";""linewidth"",1;""color"",""#5f88cc""})),"""")"),"")</f>
        <v/>
      </c>
      <c r="H204" s="49">
        <f>IFERROR(__xludf.DUMMYFUNCTION("IFERROR((((GOOGLEFINANCE(A204))-(INDEX(GoogleFinance(A204,""PRICE"",$AQ$1),2,2)))/(INDEX(GoogleFinance(A204,""PRICE"",$AQ$1),2,2))),"""")"),-0.1886792452830189)</f>
        <v>-0.1886792453</v>
      </c>
      <c r="I204" s="47">
        <f>IFERROR(__xludf.DUMMYFUNCTION("IFERROR((GOOGLEFINANCE($A204,""high52"")),"""")"),3.56)</f>
        <v>3.56</v>
      </c>
      <c r="J204" s="48" t="str">
        <f>IFERROR(__xludf.DUMMYFUNCTION("IFERROR((sparkline(GOOGLEFINANCE($A204,""price"",TODAY()-365,TODAY(),""DAILY""),{""charttype"",""line"";""linewidth"",1;""color"",""#5f88cc""})),"""")"),"")</f>
        <v/>
      </c>
      <c r="K204" s="50">
        <f>IFERROR(__xludf.DUMMYFUNCTION("IFERROR((((GOOGLEFINANCE(A204))-(INDEX(GoogleFinance(A204,""PRICE"",$AP$1),2,2)))/(INDEX(GoogleFinance(A204,""PRICE"",$AP$1),2,2))),"""")"),-0.5168539325842697)</f>
        <v>-0.5168539326</v>
      </c>
      <c r="L204" s="51">
        <f t="shared" si="1"/>
        <v>-0.5168539326</v>
      </c>
      <c r="M204" s="52">
        <f>IFERROR((VLOOKUP($A204,'Dados StatusInvest'!$A:$AZ,COLUMN(M204)-$A$5,0)*VLOOKUP($A204,'Dados StatusInvest'!$A:$AZ,2,0)/$F204/100),0)</f>
        <v>-3.0416</v>
      </c>
      <c r="N204" s="53">
        <f>IFERROR((VLOOKUP($A204,'Dados StatusInvest'!$A:$AZ,COLUMN(N204)-$A$5,0)/VLOOKUP($A204,'Dados StatusInvest'!$A:$AZ,2,0)*$F204),"")</f>
        <v>-453.89</v>
      </c>
      <c r="O204" s="53">
        <f>IFERROR((VLOOKUP($A204,'Dados StatusInvest'!$A:$AZ,COLUMN(O204)-$A$5,0)/VLOOKUP($A204,'Dados StatusInvest'!$A:$AZ,2,0)*$F204),0)</f>
        <v>-0.11</v>
      </c>
      <c r="P204" s="54">
        <f>IFERROR((VLOOKUP($A204,'Dados StatusInvest'!$A:$AZ,COLUMN(P204)-$A$5,0)/VLOOKUP($A204,'Dados StatusInvest'!$A:$AZ,2,0)*$F204),0)</f>
        <v>-2.35</v>
      </c>
      <c r="Q204" s="55">
        <f>IFERROR((VLOOKUP($A204,'Dados StatusInvest'!$A:$AZ,COLUMN(Q204)-$A$5,0)/100),0)</f>
        <v>-0.0218</v>
      </c>
      <c r="R204" s="56">
        <f>VLOOKUP($A204,'Dados StatusInvest'!$A:$AZ,COLUMN(R204)-$A$5,0)</f>
        <v>2.38</v>
      </c>
      <c r="S204" s="56">
        <f>IFERROR((VLOOKUP($A204,'Dados StatusInvest'!$A:$AZ,COLUMN(S204)-$A$5,0)),0)</f>
        <v>0.34</v>
      </c>
      <c r="T204" s="53">
        <f>IFERROR((VLOOKUP($A204,'Dados StatusInvest'!$A:$AZ,COLUMN(T204)-$A$5,0)/VLOOKUP($A204,'Dados StatusInvest'!$A:$AZ,2,0)*$F204),0)</f>
        <v>-0.04</v>
      </c>
      <c r="U204" s="53">
        <f>IFERROR((VLOOKUP($A204,'Dados StatusInvest'!$A:$AZ,COLUMN(U204)-$A$5,0)-VLOOKUP($A204,'Dados StatusInvest'!$A:$AZ,COLUMN(U204)-$A$5-1,0)+T204),0)</f>
        <v>-0.02</v>
      </c>
      <c r="V204" s="56">
        <f>IFERROR((VLOOKUP($A204,'Dados StatusInvest'!$A:$AZ,COLUMN(V204)-$A$5,0)),0)</f>
        <v>0.28</v>
      </c>
      <c r="W204" s="56">
        <f>IFERROR((VLOOKUP($A204,'Dados StatusInvest'!$A:$AZ,COLUMN(W204)-$A$5,0)),0)</f>
        <v>-162.82</v>
      </c>
      <c r="X204" s="53">
        <f>IFERROR((VLOOKUP($A204,'Dados StatusInvest'!$A:$AZ,COLUMN(X204)-$A$5,0)/VLOOKUP($A204,'Dados StatusInvest'!$A:$AZ,2,0)*$F204),0)</f>
        <v>-23.97</v>
      </c>
      <c r="Y204" s="54">
        <f>IFERROR((VLOOKUP($A204,'Dados StatusInvest'!$A:$AZ,COLUMN(Y204)-$A$5,0)/VLOOKUP($A204,'Dados StatusInvest'!$A:$AZ,2,0)*$F204),0)</f>
        <v>-34.34</v>
      </c>
      <c r="Z204" s="56">
        <f>IFERROR((VLOOKUP($A204,'Dados StatusInvest'!$A:$AZ,COLUMN(Z204)-$A$5,0)),0)</f>
        <v>0.15</v>
      </c>
      <c r="AA204" s="57">
        <f>IFERROR((VLOOKUP($A204,'Dados StatusInvest'!$A:$AZ,COLUMN(AA204)-$A$5,0)),0)</f>
        <v>0.85</v>
      </c>
      <c r="AB204" s="57">
        <f>IFERROR((VLOOKUP($A204,'Dados StatusInvest'!$A:$AZ,COLUMN(AB204)-$A$5,0)),0)</f>
        <v>0.05</v>
      </c>
      <c r="AC204" s="58">
        <f>IFERROR((VLOOKUP($A204,'Dados StatusInvest'!$A:$AZ,COLUMN(AC204)-$A$5,0)),0)</f>
        <v>-40.11</v>
      </c>
      <c r="AD204" s="57">
        <f>IFERROR((VLOOKUP($A204,'Dados StatusInvest'!$A:$AZ,COLUMN(AD204)-$A$5,0)),0)</f>
        <v>0</v>
      </c>
      <c r="AE204" s="56">
        <f>IFERROR((VLOOKUP($A204,'Dados StatusInvest'!$A:$AZ,COLUMN(AE204)-$A$5,0)),0)</f>
        <v>985.47</v>
      </c>
      <c r="AF204" s="56">
        <f>IFERROR((VLOOKUP($A204,'Dados StatusInvest'!$A:$AZ,COLUMN(AF204)-$A$5,0)),0)</f>
        <v>14.25</v>
      </c>
      <c r="AG204" s="56">
        <f>IFERROR((VLOOKUP($A204,'Dados StatusInvest'!$A:$AZ,COLUMN(AG204)-$A$5,0)),0)</f>
        <v>-23.2</v>
      </c>
      <c r="AH204" s="56">
        <f>IFERROR((VLOOKUP($A204,'Dados StatusInvest'!$A:$AZ,COLUMN(AH204)-$A$5,0)),0)</f>
        <v>0</v>
      </c>
      <c r="AI204" s="57">
        <f>IFERROR((VLOOKUP($A204,'Dados StatusInvest'!$A:$AZ,COLUMN(AI204)-$A$5,0)),0)</f>
        <v>17807859.2</v>
      </c>
      <c r="AJ204" s="59" t="str">
        <f>IFERROR((VLOOKUP($A204,'Dados StatusInvest'!$A:$AZ,COLUMN(AJ204)-$A$5,0)),0)</f>
        <v/>
      </c>
      <c r="AK204" s="60" t="str">
        <f>IFERROR(__xludf.DUMMYFUNCTION("IFERROR(GOOGLEFINANCE($A204,""high""),"""")"),"")</f>
        <v/>
      </c>
      <c r="AL204" s="60" t="str">
        <f>IFERROR(__xludf.DUMMYFUNCTION("IFERROR(GOOGLEFINANCE($A204,""low""),"""")"),"")</f>
        <v/>
      </c>
      <c r="AM204" s="61">
        <f t="shared" si="2"/>
        <v>0</v>
      </c>
      <c r="AN204" s="62">
        <f>IFERROR(__xludf.DUMMYFUNCTION("IFERROR((GOOGLEFINANCE($A204,""volume"")),0)"),0.0)</f>
        <v>0</v>
      </c>
      <c r="AO204" s="60">
        <f>IFERROR(__xludf.DUMMYFUNCTION("IFERROR((GOOGLEFINANCE($A204,""closeyest"")),"""")"),1.72)</f>
        <v>1.72</v>
      </c>
      <c r="AP204" s="60">
        <f>IFERROR(__xludf.DUMMYFUNCTION("IFERROR((GOOGLEFINANCE($A204,""shares"")),"""")"),4578626.0)</f>
        <v>4578626</v>
      </c>
      <c r="AQ204" s="18"/>
    </row>
    <row r="205">
      <c r="A205" s="45" t="str">
        <f>'Dados StatusInvest'!A200:A819</f>
        <v>CTSA8</v>
      </c>
      <c r="B205" s="46" t="str">
        <f>IFERROR(__xludf.DUMMYFUNCTION("IFERROR((GOOGLEFINANCE(A205,""name"")),"""")"),"")</f>
        <v/>
      </c>
      <c r="C205" s="46" t="str">
        <f>IFERROR((VLOOKUP(LEFT($A205,4),Setor!$A:$E,3,0)),"")</f>
        <v>Consumo Cíclico</v>
      </c>
      <c r="D205" s="46" t="str">
        <f>IFERROR((VLOOKUP(LEFT($A205,4),Setor!$A:$E,4,0)),"")</f>
        <v>Tecidos, Vestuário e Calçados</v>
      </c>
      <c r="E205" s="46" t="str">
        <f>IFERROR((VLOOKUP(LEFT($A205,4),Setor!$A:$E,5,0)),"")</f>
        <v>Fios e Tecidos</v>
      </c>
      <c r="F205" s="47" t="str">
        <f>IFERROR(__xludf.DUMMYFUNCTION("IFERROR((GOOGLEFINANCE(A205)),"""")"),"")</f>
        <v/>
      </c>
      <c r="G205" s="48" t="str">
        <f>IFERROR(__xludf.DUMMYFUNCTION("IFERROR((sparkline(GOOGLEFINANCE($A205,""price"",TODAY()-30,TODAY(),""DAILY""),{""charttype"",""line"";""linewidth"",1;""color"",""#5f88cc""})),"""")"),"")</f>
        <v/>
      </c>
      <c r="H205" s="49" t="str">
        <f>IFERROR(__xludf.DUMMYFUNCTION("IFERROR((((GOOGLEFINANCE(A205))-(INDEX(GoogleFinance(A205,""PRICE"",$AQ$1),2,2)))/(INDEX(GoogleFinance(A205,""PRICE"",$AQ$1),2,2))),"""")"),"")</f>
        <v/>
      </c>
      <c r="I205" s="47" t="str">
        <f>IFERROR(__xludf.DUMMYFUNCTION("IFERROR((GOOGLEFINANCE($A205,""high52"")),"""")"),"")</f>
        <v/>
      </c>
      <c r="J205" s="48" t="str">
        <f>IFERROR(__xludf.DUMMYFUNCTION("IFERROR((sparkline(GOOGLEFINANCE($A205,""price"",TODAY()-365,TODAY(),""DAILY""),{""charttype"",""line"";""linewidth"",1;""color"",""#5f88cc""})),"""")"),"")</f>
        <v/>
      </c>
      <c r="K205" s="50" t="str">
        <f>IFERROR(__xludf.DUMMYFUNCTION("IFERROR((((GOOGLEFINANCE(A205))-(INDEX(GoogleFinance(A205,""PRICE"",$AP$1),2,2)))/(INDEX(GoogleFinance(A205,""PRICE"",$AP$1),2,2))),"""")"),"")</f>
        <v/>
      </c>
      <c r="L205" s="51">
        <f t="shared" si="1"/>
        <v>0</v>
      </c>
      <c r="M205" s="52">
        <f>IFERROR((VLOOKUP($A205,'Dados StatusInvest'!$A:$AZ,COLUMN(M205)-$A$5,0)*VLOOKUP($A205,'Dados StatusInvest'!$A:$AZ,2,0)/$F205/100),0)</f>
        <v>0</v>
      </c>
      <c r="N205" s="53" t="str">
        <f>IFERROR((VLOOKUP($A205,'Dados StatusInvest'!$A:$AZ,COLUMN(N205)-$A$5,0)/VLOOKUP($A205,'Dados StatusInvest'!$A:$AZ,2,0)*$F205),"")</f>
        <v/>
      </c>
      <c r="O205" s="53">
        <f>IFERROR((VLOOKUP($A205,'Dados StatusInvest'!$A:$AZ,COLUMN(O205)-$A$5,0)/VLOOKUP($A205,'Dados StatusInvest'!$A:$AZ,2,0)*$F205),0)</f>
        <v>0</v>
      </c>
      <c r="P205" s="54">
        <f>IFERROR((VLOOKUP($A205,'Dados StatusInvest'!$A:$AZ,COLUMN(P205)-$A$5,0)/VLOOKUP($A205,'Dados StatusInvest'!$A:$AZ,2,0)*$F205),0)</f>
        <v>0</v>
      </c>
      <c r="Q205" s="55">
        <f>IFERROR((VLOOKUP($A205,'Dados StatusInvest'!$A:$AZ,COLUMN(Q205)-$A$5,0)/100),0)</f>
        <v>-0.0218</v>
      </c>
      <c r="R205" s="56">
        <f>VLOOKUP($A205,'Dados StatusInvest'!$A:$AZ,COLUMN(R205)-$A$5,0)</f>
        <v>2.38</v>
      </c>
      <c r="S205" s="56">
        <f>IFERROR((VLOOKUP($A205,'Dados StatusInvest'!$A:$AZ,COLUMN(S205)-$A$5,0)),0)</f>
        <v>0</v>
      </c>
      <c r="T205" s="53">
        <f>IFERROR((VLOOKUP($A205,'Dados StatusInvest'!$A:$AZ,COLUMN(T205)-$A$5,0)/VLOOKUP($A205,'Dados StatusInvest'!$A:$AZ,2,0)*$F205),0)</f>
        <v>0</v>
      </c>
      <c r="U205" s="53">
        <f>IFERROR((VLOOKUP($A205,'Dados StatusInvest'!$A:$AZ,COLUMN(U205)-$A$5,0)-VLOOKUP($A205,'Dados StatusInvest'!$A:$AZ,COLUMN(U205)-$A$5-1,0)+T205),0)</f>
        <v>0</v>
      </c>
      <c r="V205" s="56">
        <f>IFERROR((VLOOKUP($A205,'Dados StatusInvest'!$A:$AZ,COLUMN(V205)-$A$5,0)),0)</f>
        <v>0.28</v>
      </c>
      <c r="W205" s="56">
        <f>IFERROR((VLOOKUP($A205,'Dados StatusInvest'!$A:$AZ,COLUMN(W205)-$A$5,0)),0)</f>
        <v>-162.82</v>
      </c>
      <c r="X205" s="53">
        <f>IFERROR((VLOOKUP($A205,'Dados StatusInvest'!$A:$AZ,COLUMN(X205)-$A$5,0)/VLOOKUP($A205,'Dados StatusInvest'!$A:$AZ,2,0)*$F205),0)</f>
        <v>0</v>
      </c>
      <c r="Y205" s="54">
        <f>IFERROR((VLOOKUP($A205,'Dados StatusInvest'!$A:$AZ,COLUMN(Y205)-$A$5,0)/VLOOKUP($A205,'Dados StatusInvest'!$A:$AZ,2,0)*$F205),0)</f>
        <v>0</v>
      </c>
      <c r="Z205" s="56">
        <f>IFERROR((VLOOKUP($A205,'Dados StatusInvest'!$A:$AZ,COLUMN(Z205)-$A$5,0)),0)</f>
        <v>0.15</v>
      </c>
      <c r="AA205" s="57">
        <f>IFERROR((VLOOKUP($A205,'Dados StatusInvest'!$A:$AZ,COLUMN(AA205)-$A$5,0)),0)</f>
        <v>0.85</v>
      </c>
      <c r="AB205" s="57">
        <f>IFERROR((VLOOKUP($A205,'Dados StatusInvest'!$A:$AZ,COLUMN(AB205)-$A$5,0)),0)</f>
        <v>0.05</v>
      </c>
      <c r="AC205" s="58">
        <f>IFERROR((VLOOKUP($A205,'Dados StatusInvest'!$A:$AZ,COLUMN(AC205)-$A$5,0)),0)</f>
        <v>-40.11</v>
      </c>
      <c r="AD205" s="57">
        <f>IFERROR((VLOOKUP($A205,'Dados StatusInvest'!$A:$AZ,COLUMN(AD205)-$A$5,0)),0)</f>
        <v>0</v>
      </c>
      <c r="AE205" s="56">
        <f>IFERROR((VLOOKUP($A205,'Dados StatusInvest'!$A:$AZ,COLUMN(AE205)-$A$5,0)),0)</f>
        <v>0</v>
      </c>
      <c r="AF205" s="56">
        <f>IFERROR((VLOOKUP($A205,'Dados StatusInvest'!$A:$AZ,COLUMN(AF205)-$A$5,0)),0)</f>
        <v>14.25</v>
      </c>
      <c r="AG205" s="56">
        <f>IFERROR((VLOOKUP($A205,'Dados StatusInvest'!$A:$AZ,COLUMN(AG205)-$A$5,0)),0)</f>
        <v>-23.2</v>
      </c>
      <c r="AH205" s="56">
        <f>IFERROR((VLOOKUP($A205,'Dados StatusInvest'!$A:$AZ,COLUMN(AH205)-$A$5,0)),0)</f>
        <v>0</v>
      </c>
      <c r="AI205" s="57">
        <f>IFERROR((VLOOKUP($A205,'Dados StatusInvest'!$A:$AZ,COLUMN(AI205)-$A$5,0)),0)</f>
        <v>17807859.2</v>
      </c>
      <c r="AJ205" s="59" t="str">
        <f>IFERROR((VLOOKUP($A205,'Dados StatusInvest'!$A:$AZ,COLUMN(AJ205)-$A$5,0)),0)</f>
        <v/>
      </c>
      <c r="AK205" s="60" t="str">
        <f>IFERROR(__xludf.DUMMYFUNCTION("IFERROR(GOOGLEFINANCE($A205,""high""),"""")"),"")</f>
        <v/>
      </c>
      <c r="AL205" s="60" t="str">
        <f>IFERROR(__xludf.DUMMYFUNCTION("IFERROR(GOOGLEFINANCE($A205,""low""),"""")"),"")</f>
        <v/>
      </c>
      <c r="AM205" s="61">
        <f t="shared" si="2"/>
        <v>0</v>
      </c>
      <c r="AN205" s="62">
        <f>IFERROR(__xludf.DUMMYFUNCTION("IFERROR((GOOGLEFINANCE($A205,""volume"")),0)"),0.0)</f>
        <v>0</v>
      </c>
      <c r="AO205" s="60" t="str">
        <f>IFERROR(__xludf.DUMMYFUNCTION("IFERROR((GOOGLEFINANCE($A205,""closeyest"")),"""")"),"")</f>
        <v/>
      </c>
      <c r="AP205" s="60" t="str">
        <f>IFERROR(__xludf.DUMMYFUNCTION("IFERROR((GOOGLEFINANCE($A205,""shares"")),"""")"),"")</f>
        <v/>
      </c>
      <c r="AQ205" s="18"/>
    </row>
    <row r="206">
      <c r="A206" s="45" t="str">
        <f>'Dados StatusInvest'!A201:A820</f>
        <v>CURY3</v>
      </c>
      <c r="B206" s="46" t="str">
        <f>IFERROR(__xludf.DUMMYFUNCTION("IFERROR((GOOGLEFINANCE(A206,""name"")),"""")"),"Cury Construtora E Incorporadora SA")</f>
        <v>Cury Construtora E Incorporadora SA</v>
      </c>
      <c r="C206" s="46" t="str">
        <f>IFERROR((VLOOKUP(LEFT($A206,4),Setor!$A:$E,3,0)),"")</f>
        <v>Consumo Cíclico</v>
      </c>
      <c r="D206" s="46" t="str">
        <f>IFERROR((VLOOKUP(LEFT($A206,4),Setor!$A:$E,4,0)),"")</f>
        <v>Construção Civil</v>
      </c>
      <c r="E206" s="46" t="str">
        <f>IFERROR((VLOOKUP(LEFT($A206,4),Setor!$A:$E,5,0)),"")</f>
        <v>Incorporações</v>
      </c>
      <c r="F206" s="47">
        <f>IFERROR(__xludf.DUMMYFUNCTION("IFERROR((GOOGLEFINANCE(A206)),"""")"),40.93)</f>
        <v>40.93</v>
      </c>
      <c r="G206" s="48" t="str">
        <f>IFERROR(__xludf.DUMMYFUNCTION("IFERROR((sparkline(GOOGLEFINANCE($A206,""price"",TODAY()-30,TODAY(),""DAILY""),{""charttype"",""line"";""linewidth"",1;""color"",""#5f88cc""})),"""")"),"")</f>
        <v/>
      </c>
      <c r="H206" s="49">
        <f>IFERROR(__xludf.DUMMYFUNCTION("IFERROR((((GOOGLEFINANCE(A206))-(INDEX(GoogleFinance(A206,""PRICE"",$AQ$1),2,2)))/(INDEX(GoogleFinance(A206,""PRICE"",$AQ$1),2,2))),"""")"),0.22691846522781775)</f>
        <v>0.2269184652</v>
      </c>
      <c r="I206" s="47">
        <f>IFERROR(__xludf.DUMMYFUNCTION("IFERROR((GOOGLEFINANCE($A206,""high52"")),"""")"),41.76)</f>
        <v>41.76</v>
      </c>
      <c r="J206" s="48" t="str">
        <f>IFERROR(__xludf.DUMMYFUNCTION("IFERROR((sparkline(GOOGLEFINANCE($A206,""price"",TODAY()-365,TODAY(),""DAILY""),{""charttype"",""line"";""linewidth"",1;""color"",""#5f88cc""})),"""")"),"")</f>
        <v/>
      </c>
      <c r="K206" s="50">
        <f>IFERROR(__xludf.DUMMYFUNCTION("IFERROR((((GOOGLEFINANCE(A206))-(INDEX(GoogleFinance(A206,""PRICE"",$AP$1),2,2)))/(INDEX(GoogleFinance(A206,""PRICE"",$AP$1),2,2))),"""")"),0.8046737213403881)</f>
        <v>0.8046737213</v>
      </c>
      <c r="L206" s="51">
        <f t="shared" si="1"/>
        <v>-0.01987547893</v>
      </c>
      <c r="M206" s="52">
        <f>IFERROR((VLOOKUP($A206,'Dados StatusInvest'!$A:$AZ,COLUMN(M206)-$A$5,0)*VLOOKUP($A206,'Dados StatusInvest'!$A:$AZ,2,0)/$F206/100),0)</f>
        <v>0.2313839238</v>
      </c>
      <c r="N206" s="53">
        <f>IFERROR((VLOOKUP($A206,'Dados StatusInvest'!$A:$AZ,COLUMN(N206)-$A$5,0)/VLOOKUP($A206,'Dados StatusInvest'!$A:$AZ,2,0)*$F206),"")</f>
        <v>17.20605276</v>
      </c>
      <c r="O206" s="53">
        <f>IFERROR((VLOOKUP($A206,'Dados StatusInvest'!$A:$AZ,COLUMN(O206)-$A$5,0)/VLOOKUP($A206,'Dados StatusInvest'!$A:$AZ,2,0)*$F206),0)</f>
        <v>10.96551549</v>
      </c>
      <c r="P206" s="54">
        <f>IFERROR((VLOOKUP($A206,'Dados StatusInvest'!$A:$AZ,COLUMN(P206)-$A$5,0)/VLOOKUP($A206,'Dados StatusInvest'!$A:$AZ,2,0)*$F206),0)</f>
        <v>10.57919652</v>
      </c>
      <c r="Q206" s="55">
        <f>IFERROR((VLOOKUP($A206,'Dados StatusInvest'!$A:$AZ,COLUMN(Q206)-$A$5,0)/100),0)</f>
        <v>-0.0039</v>
      </c>
      <c r="R206" s="56">
        <f>VLOOKUP($A206,'Dados StatusInvest'!$A:$AZ,COLUMN(R206)-$A$5,0)</f>
        <v>-0.33</v>
      </c>
      <c r="S206" s="56">
        <f>IFERROR((VLOOKUP($A206,'Dados StatusInvest'!$A:$AZ,COLUMN(S206)-$A$5,0)),0)</f>
        <v>2.54</v>
      </c>
      <c r="T206" s="53">
        <f>IFERROR((VLOOKUP($A206,'Dados StatusInvest'!$A:$AZ,COLUMN(T206)-$A$5,0)/VLOOKUP($A206,'Dados StatusInvest'!$A:$AZ,2,0)*$F206),0)</f>
        <v>7.409399806</v>
      </c>
      <c r="U206" s="53">
        <f>IFERROR((VLOOKUP($A206,'Dados StatusInvest'!$A:$AZ,COLUMN(U206)-$A$5,0)-VLOOKUP($A206,'Dados StatusInvest'!$A:$AZ,COLUMN(U206)-$A$5-1,0)+T206),0)</f>
        <v>-5.790600194</v>
      </c>
      <c r="V206" s="56">
        <f>IFERROR((VLOOKUP($A206,'Dados StatusInvest'!$A:$AZ,COLUMN(V206)-$A$5,0)),0)</f>
        <v>2</v>
      </c>
      <c r="W206" s="56">
        <f>IFERROR((VLOOKUP($A206,'Dados StatusInvest'!$A:$AZ,COLUMN(W206)-$A$5,0)),0)</f>
        <v>62.9</v>
      </c>
      <c r="X206" s="53">
        <f>IFERROR((VLOOKUP($A206,'Dados StatusInvest'!$A:$AZ,COLUMN(X206)-$A$5,0)/VLOOKUP($A206,'Dados StatusInvest'!$A:$AZ,2,0)*$F206),0)</f>
        <v>15.32398596</v>
      </c>
      <c r="Y206" s="54">
        <f>IFERROR((VLOOKUP($A206,'Dados StatusInvest'!$A:$AZ,COLUMN(Y206)-$A$5,0)/VLOOKUP($A206,'Dados StatusInvest'!$A:$AZ,2,0)*$F206),0)</f>
        <v>34.23380445</v>
      </c>
      <c r="Z206" s="56">
        <f>IFERROR((VLOOKUP($A206,'Dados StatusInvest'!$A:$AZ,COLUMN(Z206)-$A$5,0)),0)</f>
        <v>0.25</v>
      </c>
      <c r="AA206" s="57">
        <f>IFERROR((VLOOKUP($A206,'Dados StatusInvest'!$A:$AZ,COLUMN(AA206)-$A$5,0)),0)</f>
        <v>0.71</v>
      </c>
      <c r="AB206" s="57">
        <f>IFERROR((VLOOKUP($A206,'Dados StatusInvest'!$A:$AZ,COLUMN(AB206)-$A$5,0)),0)</f>
        <v>0.89</v>
      </c>
      <c r="AC206" s="58">
        <f>IFERROR((VLOOKUP($A206,'Dados StatusInvest'!$A:$AZ,COLUMN(AC206)-$A$5,0)),0)</f>
        <v>30.96</v>
      </c>
      <c r="AD206" s="57">
        <f>IFERROR((VLOOKUP($A206,'Dados StatusInvest'!$A:$AZ,COLUMN(AD206)-$A$5,0)),0)</f>
        <v>40.32</v>
      </c>
      <c r="AE206" s="56">
        <f>IFERROR((VLOOKUP($A206,'Dados StatusInvest'!$A:$AZ,COLUMN(AE206)-$A$5,0)),0)</f>
        <v>116000000</v>
      </c>
      <c r="AF206" s="56">
        <f>IFERROR((VLOOKUP($A206,'Dados StatusInvest'!$A:$AZ,COLUMN(AF206)-$A$5,0)),0)</f>
        <v>4.5</v>
      </c>
      <c r="AG206" s="56">
        <f>IFERROR((VLOOKUP($A206,'Dados StatusInvest'!$A:$AZ,COLUMN(AG206)-$A$5,0)),0)</f>
        <v>2.83</v>
      </c>
      <c r="AH206" s="56">
        <f>IFERROR((VLOOKUP($A206,'Dados StatusInvest'!$A:$AZ,COLUMN(AH206)-$A$5,0)),0)</f>
        <v>0.41</v>
      </c>
      <c r="AI206" s="57">
        <f>IFERROR((VLOOKUP($A206,'Dados StatusInvest'!$A:$AZ,COLUMN(AI206)-$A$5,0)),0)</f>
        <v>12728526584</v>
      </c>
      <c r="AJ206" s="59" t="str">
        <f>IFERROR((VLOOKUP($A206,'Dados StatusInvest'!$A:$AZ,COLUMN(AJ206)-$A$5,0)),0)</f>
        <v/>
      </c>
      <c r="AK206" s="60">
        <f>IFERROR(__xludf.DUMMYFUNCTION("IFERROR(GOOGLEFINANCE($A206,""high""),"""")"),41.13)</f>
        <v>41.13</v>
      </c>
      <c r="AL206" s="60">
        <f>IFERROR(__xludf.DUMMYFUNCTION("IFERROR(GOOGLEFINANCE($A206,""low""),"""")"),40.7)</f>
        <v>40.7</v>
      </c>
      <c r="AM206" s="61">
        <f t="shared" si="2"/>
        <v>0.01056511057</v>
      </c>
      <c r="AN206" s="62">
        <f>IFERROR(__xludf.DUMMYFUNCTION("IFERROR((GOOGLEFINANCE($A206,""volume"")),0)"),52000.0)</f>
        <v>52000</v>
      </c>
      <c r="AO206" s="60">
        <f>IFERROR(__xludf.DUMMYFUNCTION("IFERROR((GOOGLEFINANCE($A206,""closeyest"")),"""")"),41.32)</f>
        <v>41.32</v>
      </c>
      <c r="AP206" s="60">
        <f>IFERROR(__xludf.DUMMYFUNCTION("IFERROR((GOOGLEFINANCE($A206,""shares"")),"""")"),3.08047594E8)</f>
        <v>308047594</v>
      </c>
      <c r="AQ206" s="18"/>
    </row>
    <row r="207">
      <c r="A207" s="45" t="str">
        <f>'Dados StatusInvest'!A202:A821</f>
        <v>CVCB3</v>
      </c>
      <c r="B207" s="46" t="str">
        <f>IFERROR(__xludf.DUMMYFUNCTION("IFERROR((GOOGLEFINANCE(A207,""name"")),"""")"),"CVC Brasil Operadora e Agencia d Vgns SA")</f>
        <v>CVC Brasil Operadora e Agencia d Vgns SA</v>
      </c>
      <c r="C207" s="46" t="str">
        <f>IFERROR((VLOOKUP(LEFT($A207,4),Setor!$A:$E,3,0)),"")</f>
        <v>Consumo Cíclico</v>
      </c>
      <c r="D207" s="46" t="str">
        <f>IFERROR((VLOOKUP(LEFT($A207,4),Setor!$A:$E,4,0)),"")</f>
        <v>Viagens e Lazer</v>
      </c>
      <c r="E207" s="46" t="str">
        <f>IFERROR((VLOOKUP(LEFT($A207,4),Setor!$A:$E,5,0)),"")</f>
        <v>Viagens e Turismo</v>
      </c>
      <c r="F207" s="47">
        <f>IFERROR(__xludf.DUMMYFUNCTION("IFERROR((GOOGLEFINANCE(A207)),"""")"),2.34)</f>
        <v>2.34</v>
      </c>
      <c r="G207" s="48" t="str">
        <f>IFERROR(__xludf.DUMMYFUNCTION("IFERROR((sparkline(GOOGLEFINANCE($A207,""price"",TODAY()-30,TODAY(),""DAILY""),{""charttype"",""line"";""linewidth"",1;""color"",""#5f88cc""})),"""")"),"")</f>
        <v/>
      </c>
      <c r="H207" s="49">
        <f>IFERROR(__xludf.DUMMYFUNCTION("IFERROR((((GOOGLEFINANCE(A207))-(INDEX(GoogleFinance(A207,""PRICE"",$AQ$1),2,2)))/(INDEX(GoogleFinance(A207,""PRICE"",$AQ$1),2,2))),"""")"),-0.025000000000000022)</f>
        <v>-0.025</v>
      </c>
      <c r="I207" s="47">
        <f>IFERROR(__xludf.DUMMYFUNCTION("IFERROR((GOOGLEFINANCE($A207,""high52"")),"""")"),2.79)</f>
        <v>2.79</v>
      </c>
      <c r="J207" s="48" t="str">
        <f>IFERROR(__xludf.DUMMYFUNCTION("IFERROR((sparkline(GOOGLEFINANCE($A207,""price"",TODAY()-365,TODAY(),""DAILY""),{""charttype"",""line"";""linewidth"",1;""color"",""#5f88cc""})),"""")"),"")</f>
        <v/>
      </c>
      <c r="K207" s="50">
        <f>IFERROR(__xludf.DUMMYFUNCTION("IFERROR((((GOOGLEFINANCE(A207))-(INDEX(GoogleFinance(A207,""PRICE"",$AP$1),2,2)))/(INDEX(GoogleFinance(A207,""PRICE"",$AP$1),2,2))),"""")"),0.2928176795580109)</f>
        <v>0.2928176796</v>
      </c>
      <c r="L207" s="51">
        <f t="shared" si="1"/>
        <v>-0.1612903226</v>
      </c>
      <c r="M207" s="52">
        <f>IFERROR((VLOOKUP($A207,'Dados StatusInvest'!$A:$AZ,COLUMN(M207)-$A$5,0)*VLOOKUP($A207,'Dados StatusInvest'!$A:$AZ,2,0)/$F207/100),0)</f>
        <v>0.1240512821</v>
      </c>
      <c r="N207" s="53">
        <f>IFERROR((VLOOKUP($A207,'Dados StatusInvest'!$A:$AZ,COLUMN(N207)-$A$5,0)/VLOOKUP($A207,'Dados StatusInvest'!$A:$AZ,2,0)*$F207),"")</f>
        <v>-4.957627119</v>
      </c>
      <c r="O207" s="53">
        <f>IFERROR((VLOOKUP($A207,'Dados StatusInvest'!$A:$AZ,COLUMN(O207)-$A$5,0)/VLOOKUP($A207,'Dados StatusInvest'!$A:$AZ,2,0)*$F207),0)</f>
        <v>6.722542373</v>
      </c>
      <c r="P207" s="54">
        <f>IFERROR((VLOOKUP($A207,'Dados StatusInvest'!$A:$AZ,COLUMN(P207)-$A$5,0)/VLOOKUP($A207,'Dados StatusInvest'!$A:$AZ,2,0)*$F207),0)</f>
        <v>7.476101695</v>
      </c>
      <c r="Q207" s="55">
        <f>IFERROR((VLOOKUP($A207,'Dados StatusInvest'!$A:$AZ,COLUMN(Q207)-$A$5,0)/100),0)</f>
        <v>0.0076</v>
      </c>
      <c r="R207" s="56">
        <f>VLOOKUP($A207,'Dados StatusInvest'!$A:$AZ,COLUMN(R207)-$A$5,0)</f>
        <v>0.28</v>
      </c>
      <c r="S207" s="56">
        <f>IFERROR((VLOOKUP($A207,'Dados StatusInvest'!$A:$AZ,COLUMN(S207)-$A$5,0)),0)</f>
        <v>0.83</v>
      </c>
      <c r="T207" s="53">
        <f>IFERROR((VLOOKUP($A207,'Dados StatusInvest'!$A:$AZ,COLUMN(T207)-$A$5,0)/VLOOKUP($A207,'Dados StatusInvest'!$A:$AZ,2,0)*$F207),0)</f>
        <v>-2.568050847</v>
      </c>
      <c r="U207" s="53">
        <f>IFERROR((VLOOKUP($A207,'Dados StatusInvest'!$A:$AZ,COLUMN(U207)-$A$5,0)-VLOOKUP($A207,'Dados StatusInvest'!$A:$AZ,COLUMN(U207)-$A$5-1,0)+T207),0)</f>
        <v>-0.7780508475</v>
      </c>
      <c r="V207" s="56">
        <f>IFERROR((VLOOKUP($A207,'Dados StatusInvest'!$A:$AZ,COLUMN(V207)-$A$5,0)),0)</f>
        <v>0.81</v>
      </c>
      <c r="W207" s="56">
        <f>IFERROR((VLOOKUP($A207,'Dados StatusInvest'!$A:$AZ,COLUMN(W207)-$A$5,0)),0)</f>
        <v>-14.79</v>
      </c>
      <c r="X207" s="53">
        <f>IFERROR((VLOOKUP($A207,'Dados StatusInvest'!$A:$AZ,COLUMN(X207)-$A$5,0)/VLOOKUP($A207,'Dados StatusInvest'!$A:$AZ,2,0)*$F207),0)</f>
        <v>-2.062372881</v>
      </c>
      <c r="Y207" s="54">
        <f>IFERROR((VLOOKUP($A207,'Dados StatusInvest'!$A:$AZ,COLUMN(Y207)-$A$5,0)/VLOOKUP($A207,'Dados StatusInvest'!$A:$AZ,2,0)*$F207),0)</f>
        <v>18.62084746</v>
      </c>
      <c r="Z207" s="56">
        <f>IFERROR((VLOOKUP($A207,'Dados StatusInvest'!$A:$AZ,COLUMN(Z207)-$A$5,0)),0)</f>
        <v>0.14</v>
      </c>
      <c r="AA207" s="57">
        <f>IFERROR((VLOOKUP($A207,'Dados StatusInvest'!$A:$AZ,COLUMN(AA207)-$A$5,0)),0)</f>
        <v>0.86</v>
      </c>
      <c r="AB207" s="57">
        <f>IFERROR((VLOOKUP($A207,'Dados StatusInvest'!$A:$AZ,COLUMN(AB207)-$A$5,0)),0)</f>
        <v>0.42</v>
      </c>
      <c r="AC207" s="58">
        <f>IFERROR((VLOOKUP($A207,'Dados StatusInvest'!$A:$AZ,COLUMN(AC207)-$A$5,0)),0)</f>
        <v>-4.2</v>
      </c>
      <c r="AD207" s="57">
        <f>IFERROR((VLOOKUP($A207,'Dados StatusInvest'!$A:$AZ,COLUMN(AD207)-$A$5,0)),0)</f>
        <v>0</v>
      </c>
      <c r="AE207" s="56">
        <f>IFERROR((VLOOKUP($A207,'Dados StatusInvest'!$A:$AZ,COLUMN(AE207)-$A$5,0)),0)</f>
        <v>88875473</v>
      </c>
      <c r="AF207" s="56">
        <f>IFERROR((VLOOKUP($A207,'Dados StatusInvest'!$A:$AZ,COLUMN(AF207)-$A$5,0)),0)</f>
        <v>0.96</v>
      </c>
      <c r="AG207" s="56">
        <f>IFERROR((VLOOKUP($A207,'Dados StatusInvest'!$A:$AZ,COLUMN(AG207)-$A$5,0)),0)</f>
        <v>-0.14</v>
      </c>
      <c r="AH207" s="56">
        <f>IFERROR((VLOOKUP($A207,'Dados StatusInvest'!$A:$AZ,COLUMN(AH207)-$A$5,0)),0)</f>
        <v>0.46</v>
      </c>
      <c r="AI207" s="57">
        <f>IFERROR((VLOOKUP($A207,'Dados StatusInvest'!$A:$AZ,COLUMN(AI207)-$A$5,0)),0)</f>
        <v>1240394989</v>
      </c>
      <c r="AJ207" s="59" t="str">
        <f>IFERROR((VLOOKUP($A207,'Dados StatusInvest'!$A:$AZ,COLUMN(AJ207)-$A$5,0)),0)</f>
        <v/>
      </c>
      <c r="AK207" s="60">
        <f>IFERROR(__xludf.DUMMYFUNCTION("IFERROR(GOOGLEFINANCE($A207,""high""),"""")"),2.35)</f>
        <v>2.35</v>
      </c>
      <c r="AL207" s="60">
        <f>IFERROR(__xludf.DUMMYFUNCTION("IFERROR(GOOGLEFINANCE($A207,""low""),"""")"),2.33)</f>
        <v>2.33</v>
      </c>
      <c r="AM207" s="61">
        <f t="shared" si="2"/>
        <v>0.008583690987</v>
      </c>
      <c r="AN207" s="62">
        <f>IFERROR(__xludf.DUMMYFUNCTION("IFERROR((GOOGLEFINANCE($A207,""volume"")),0)"),1481500.0)</f>
        <v>1481500</v>
      </c>
      <c r="AO207" s="60">
        <f>IFERROR(__xludf.DUMMYFUNCTION("IFERROR((GOOGLEFINANCE($A207,""closeyest"")),"""")"),2.36)</f>
        <v>2.36</v>
      </c>
      <c r="AP207" s="60">
        <f>IFERROR(__xludf.DUMMYFUNCTION("IFERROR((GOOGLEFINANCE($A207,""shares"")),"""")"),5.25591097E8)</f>
        <v>525591097</v>
      </c>
      <c r="AQ207" s="18"/>
    </row>
    <row r="208">
      <c r="A208" s="45" t="str">
        <f>'Dados StatusInvest'!A203:A822</f>
        <v>CXSE3</v>
      </c>
      <c r="B208" s="46" t="str">
        <f>IFERROR(__xludf.DUMMYFUNCTION("IFERROR((GOOGLEFINANCE(A208,""name"")),"""")"),"Caixa Seguridade Participacoes SA")</f>
        <v>Caixa Seguridade Participacoes SA</v>
      </c>
      <c r="C208" s="46" t="str">
        <f>IFERROR((VLOOKUP(LEFT($A208,4),Setor!$A:$E,3,0)),"")</f>
        <v>Financeiro</v>
      </c>
      <c r="D208" s="46" t="str">
        <f>IFERROR((VLOOKUP(LEFT($A208,4),Setor!$A:$E,4,0)),"")</f>
        <v>Intermediários Financeiros</v>
      </c>
      <c r="E208" s="46" t="str">
        <f>IFERROR((VLOOKUP(LEFT($A208,4),Setor!$A:$E,5,0)),"")</f>
        <v>Bancos</v>
      </c>
      <c r="F208" s="47">
        <f>IFERROR(__xludf.DUMMYFUNCTION("IFERROR((GOOGLEFINANCE(A208)),"""")"),17.73)</f>
        <v>17.73</v>
      </c>
      <c r="G208" s="48" t="str">
        <f>IFERROR(__xludf.DUMMYFUNCTION("IFERROR((sparkline(GOOGLEFINANCE($A208,""price"",TODAY()-30,TODAY(),""DAILY""),{""charttype"",""line"";""linewidth"",1;""color"",""#5f88cc""})),"""")"),"")</f>
        <v/>
      </c>
      <c r="H208" s="49">
        <f>IFERROR(__xludf.DUMMYFUNCTION("IFERROR((((GOOGLEFINANCE(A208))-(INDEX(GoogleFinance(A208,""PRICE"",$AQ$1),2,2)))/(INDEX(GoogleFinance(A208,""PRICE"",$AQ$1),2,2))),"""")"),0.06294964028776982)</f>
        <v>0.06294964029</v>
      </c>
      <c r="I208" s="47">
        <f>IFERROR(__xludf.DUMMYFUNCTION("IFERROR((GOOGLEFINANCE($A208,""high52"")),"""")"),18.6)</f>
        <v>18.6</v>
      </c>
      <c r="J208" s="48" t="str">
        <f>IFERROR(__xludf.DUMMYFUNCTION("IFERROR((sparkline(GOOGLEFINANCE($A208,""price"",TODAY()-365,TODAY(),""DAILY""),{""charttype"",""line"";""linewidth"",1;""color"",""#5f88cc""})),"""")"),"")</f>
        <v/>
      </c>
      <c r="K208" s="50">
        <f>IFERROR(__xludf.DUMMYFUNCTION("IFERROR((((GOOGLEFINANCE(A208))-(INDEX(GoogleFinance(A208,""PRICE"",$AP$1),2,2)))/(INDEX(GoogleFinance(A208,""PRICE"",$AP$1),2,2))),"""")"),0.14906027219701884)</f>
        <v>0.1490602722</v>
      </c>
      <c r="L208" s="51">
        <f t="shared" si="1"/>
        <v>-0.04677419355</v>
      </c>
      <c r="M208" s="52">
        <f>IFERROR((VLOOKUP($A208,'Dados StatusInvest'!$A:$AZ,COLUMN(M208)-$A$5,0)*VLOOKUP($A208,'Dados StatusInvest'!$A:$AZ,2,0)/$F208/100),0)</f>
        <v>0</v>
      </c>
      <c r="N208" s="53">
        <f>IFERROR((VLOOKUP($A208,'Dados StatusInvest'!$A:$AZ,COLUMN(N208)-$A$5,0)/VLOOKUP($A208,'Dados StatusInvest'!$A:$AZ,2,0)*$F208),"")</f>
        <v>0</v>
      </c>
      <c r="O208" s="53">
        <f>IFERROR((VLOOKUP($A208,'Dados StatusInvest'!$A:$AZ,COLUMN(O208)-$A$5,0)/VLOOKUP($A208,'Dados StatusInvest'!$A:$AZ,2,0)*$F208),0)</f>
        <v>11.11611236</v>
      </c>
      <c r="P208" s="54">
        <f>IFERROR((VLOOKUP($A208,'Dados StatusInvest'!$A:$AZ,COLUMN(P208)-$A$5,0)/VLOOKUP($A208,'Dados StatusInvest'!$A:$AZ,2,0)*$F208),0)</f>
        <v>10.88701685</v>
      </c>
      <c r="Q208" s="55">
        <f>IFERROR((VLOOKUP($A208,'Dados StatusInvest'!$A:$AZ,COLUMN(Q208)-$A$5,0)/100),0)</f>
        <v>-0.0023</v>
      </c>
      <c r="R208" s="56">
        <f>VLOOKUP($A208,'Dados StatusInvest'!$A:$AZ,COLUMN(R208)-$A$5,0)</f>
        <v>-0.08</v>
      </c>
      <c r="S208" s="56">
        <f>IFERROR((VLOOKUP($A208,'Dados StatusInvest'!$A:$AZ,COLUMN(S208)-$A$5,0)),0)</f>
        <v>0</v>
      </c>
      <c r="T208" s="53">
        <f>IFERROR((VLOOKUP($A208,'Dados StatusInvest'!$A:$AZ,COLUMN(T208)-$A$5,0)/VLOOKUP($A208,'Dados StatusInvest'!$A:$AZ,2,0)*$F208),0)</f>
        <v>64.3658764</v>
      </c>
      <c r="U208" s="53">
        <f>IFERROR((VLOOKUP($A208,'Dados StatusInvest'!$A:$AZ,COLUMN(U208)-$A$5,0)-VLOOKUP($A208,'Dados StatusInvest'!$A:$AZ,COLUMN(U208)-$A$5-1,0)+T208),0)</f>
        <v>-4.464123596</v>
      </c>
      <c r="V208" s="56">
        <f>IFERROR((VLOOKUP($A208,'Dados StatusInvest'!$A:$AZ,COLUMN(V208)-$A$5,0)),0)</f>
        <v>1.75</v>
      </c>
      <c r="W208" s="56">
        <f>IFERROR((VLOOKUP($A208,'Dados StatusInvest'!$A:$AZ,COLUMN(W208)-$A$5,0)),0)</f>
        <v>32.48</v>
      </c>
      <c r="X208" s="53">
        <f>IFERROR((VLOOKUP($A208,'Dados StatusInvest'!$A:$AZ,COLUMN(X208)-$A$5,0)/VLOOKUP($A208,'Dados StatusInvest'!$A:$AZ,2,0)*$F208),0)</f>
        <v>29.8720618</v>
      </c>
      <c r="Y208" s="54">
        <f>IFERROR((VLOOKUP($A208,'Dados StatusInvest'!$A:$AZ,COLUMN(Y208)-$A$5,0)/VLOOKUP($A208,'Dados StatusInvest'!$A:$AZ,2,0)*$F208),0)</f>
        <v>30.87808989</v>
      </c>
      <c r="Z208" s="56">
        <f>IFERROR((VLOOKUP($A208,'Dados StatusInvest'!$A:$AZ,COLUMN(Z208)-$A$5,0)),0)</f>
        <v>0.92</v>
      </c>
      <c r="AA208" s="57">
        <f>IFERROR((VLOOKUP($A208,'Dados StatusInvest'!$A:$AZ,COLUMN(AA208)-$A$5,0)),0)</f>
        <v>0.08</v>
      </c>
      <c r="AB208" s="57">
        <f>IFERROR((VLOOKUP($A208,'Dados StatusInvest'!$A:$AZ,COLUMN(AB208)-$A$5,0)),0)</f>
        <v>0</v>
      </c>
      <c r="AC208" s="58">
        <f>IFERROR((VLOOKUP($A208,'Dados StatusInvest'!$A:$AZ,COLUMN(AC208)-$A$5,0)),0)</f>
        <v>0</v>
      </c>
      <c r="AD208" s="57">
        <f>IFERROR((VLOOKUP($A208,'Dados StatusInvest'!$A:$AZ,COLUMN(AD208)-$A$5,0)),0)</f>
        <v>23.35</v>
      </c>
      <c r="AE208" s="56">
        <f>IFERROR((VLOOKUP($A208,'Dados StatusInvest'!$A:$AZ,COLUMN(AE208)-$A$5,0)),0)</f>
        <v>73724892</v>
      </c>
      <c r="AF208" s="56">
        <f>IFERROR((VLOOKUP($A208,'Dados StatusInvest'!$A:$AZ,COLUMN(AF208)-$A$5,0)),0)</f>
        <v>4.5</v>
      </c>
      <c r="AG208" s="56">
        <f>IFERROR((VLOOKUP($A208,'Dados StatusInvest'!$A:$AZ,COLUMN(AG208)-$A$5,0)),0)</f>
        <v>1.46</v>
      </c>
      <c r="AH208" s="56">
        <f>IFERROR((VLOOKUP($A208,'Dados StatusInvest'!$A:$AZ,COLUMN(AH208)-$A$5,0)),0)</f>
        <v>0.5</v>
      </c>
      <c r="AI208" s="57">
        <f>IFERROR((VLOOKUP($A208,'Dados StatusInvest'!$A:$AZ,COLUMN(AI208)-$A$5,0)),0)</f>
        <v>53400000000</v>
      </c>
      <c r="AJ208" s="59" t="str">
        <f>IFERROR((VLOOKUP($A208,'Dados StatusInvest'!$A:$AZ,COLUMN(AJ208)-$A$5,0)),0)</f>
        <v/>
      </c>
      <c r="AK208" s="60">
        <f>IFERROR(__xludf.DUMMYFUNCTION("IFERROR(GOOGLEFINANCE($A208,""high""),"""")"),17.82)</f>
        <v>17.82</v>
      </c>
      <c r="AL208" s="60">
        <f>IFERROR(__xludf.DUMMYFUNCTION("IFERROR(GOOGLEFINANCE($A208,""low""),"""")"),17.69)</f>
        <v>17.69</v>
      </c>
      <c r="AM208" s="61">
        <f t="shared" si="2"/>
        <v>0.007348784624</v>
      </c>
      <c r="AN208" s="62">
        <f>IFERROR(__xludf.DUMMYFUNCTION("IFERROR((GOOGLEFINANCE($A208,""volume"")),0)"),205200.0)</f>
        <v>205200</v>
      </c>
      <c r="AO208" s="60">
        <f>IFERROR(__xludf.DUMMYFUNCTION("IFERROR((GOOGLEFINANCE($A208,""closeyest"")),"""")"),17.8)</f>
        <v>17.8</v>
      </c>
      <c r="AP208" s="60">
        <f>IFERROR(__xludf.DUMMYFUNCTION("IFERROR((GOOGLEFINANCE($A208,""shares"")),"""")"),3.0E9)</f>
        <v>3000000000</v>
      </c>
      <c r="AQ208" s="18"/>
    </row>
    <row r="209">
      <c r="A209" s="45" t="str">
        <f>'Dados StatusInvest'!A204:A823</f>
        <v>CYRE3</v>
      </c>
      <c r="B209" s="46" t="str">
        <f>IFERROR(__xludf.DUMMYFUNCTION("IFERROR((GOOGLEFINANCE(A209,""name"")),"""")"),"Cyrela Brazil Realty SA Emprdts e Prtpcs")</f>
        <v>Cyrela Brazil Realty SA Emprdts e Prtpcs</v>
      </c>
      <c r="C209" s="46" t="str">
        <f>IFERROR((VLOOKUP(LEFT($A209,4),Setor!$A:$E,3,0)),"")</f>
        <v>Consumo Cíclico</v>
      </c>
      <c r="D209" s="46" t="str">
        <f>IFERROR((VLOOKUP(LEFT($A209,4),Setor!$A:$E,4,0)),"")</f>
        <v>Construção Civil</v>
      </c>
      <c r="E209" s="46" t="str">
        <f>IFERROR((VLOOKUP(LEFT($A209,4),Setor!$A:$E,5,0)),"")</f>
        <v>Incorporações</v>
      </c>
      <c r="F209" s="47">
        <f>IFERROR(__xludf.DUMMYFUNCTION("IFERROR((GOOGLEFINANCE(A209)),"""")"),31.32)</f>
        <v>31.32</v>
      </c>
      <c r="G209" s="48" t="str">
        <f>IFERROR(__xludf.DUMMYFUNCTION("IFERROR((sparkline(GOOGLEFINANCE($A209,""price"",TODAY()-30,TODAY(),""DAILY""),{""charttype"",""line"";""linewidth"",1;""color"",""#5f88cc""})),"""")"),"")</f>
        <v/>
      </c>
      <c r="H209" s="49">
        <f>IFERROR(__xludf.DUMMYFUNCTION("IFERROR((((GOOGLEFINANCE(A209))-(INDEX(GoogleFinance(A209,""PRICE"",$AQ$1),2,2)))/(INDEX(GoogleFinance(A209,""PRICE"",$AQ$1),2,2))),"""")"),0.18233295583238965)</f>
        <v>0.1823329558</v>
      </c>
      <c r="I209" s="47">
        <f>IFERROR(__xludf.DUMMYFUNCTION("IFERROR((GOOGLEFINANCE($A209,""high52"")),"""")"),36.02)</f>
        <v>36.02</v>
      </c>
      <c r="J209" s="48" t="str">
        <f>IFERROR(__xludf.DUMMYFUNCTION("IFERROR((sparkline(GOOGLEFINANCE($A209,""price"",TODAY()-365,TODAY(),""DAILY""),{""charttype"",""line"";""linewidth"",1;""color"",""#5f88cc""})),"""")"),"")</f>
        <v/>
      </c>
      <c r="K209" s="50">
        <f>IFERROR(__xludf.DUMMYFUNCTION("IFERROR((((GOOGLEFINANCE(A209))-(INDEX(GoogleFinance(A209,""PRICE"",$AP$1),2,2)))/(INDEX(GoogleFinance(A209,""PRICE"",$AP$1),2,2))),"""")"),0.6739711384286478)</f>
        <v>0.6739711384</v>
      </c>
      <c r="L209" s="51">
        <f t="shared" si="1"/>
        <v>-0.130483065</v>
      </c>
      <c r="M209" s="52">
        <f>IFERROR((VLOOKUP($A209,'Dados StatusInvest'!$A:$AZ,COLUMN(M209)-$A$5,0)*VLOOKUP($A209,'Dados StatusInvest'!$A:$AZ,2,0)/$F209/100),0)</f>
        <v>0.2500413793</v>
      </c>
      <c r="N209" s="53">
        <f>IFERROR((VLOOKUP($A209,'Dados StatusInvest'!$A:$AZ,COLUMN(N209)-$A$5,0)/VLOOKUP($A209,'Dados StatusInvest'!$A:$AZ,2,0)*$F209),"")</f>
        <v>20.71193182</v>
      </c>
      <c r="O209" s="53">
        <f>IFERROR((VLOOKUP($A209,'Dados StatusInvest'!$A:$AZ,COLUMN(O209)-$A$5,0)/VLOOKUP($A209,'Dados StatusInvest'!$A:$AZ,2,0)*$F209),0)</f>
        <v>6.653522727</v>
      </c>
      <c r="P209" s="54">
        <f>IFERROR((VLOOKUP($A209,'Dados StatusInvest'!$A:$AZ,COLUMN(P209)-$A$5,0)/VLOOKUP($A209,'Dados StatusInvest'!$A:$AZ,2,0)*$F209),0)</f>
        <v>8.176022727</v>
      </c>
      <c r="Q209" s="55">
        <f>IFERROR((VLOOKUP($A209,'Dados StatusInvest'!$A:$AZ,COLUMN(Q209)-$A$5,0)/100),0)</f>
        <v>0.0153</v>
      </c>
      <c r="R209" s="56">
        <f>VLOOKUP($A209,'Dados StatusInvest'!$A:$AZ,COLUMN(R209)-$A$5,0)</f>
        <v>0.32</v>
      </c>
      <c r="S209" s="56">
        <f>IFERROR((VLOOKUP($A209,'Dados StatusInvest'!$A:$AZ,COLUMN(S209)-$A$5,0)),0)</f>
        <v>1.66</v>
      </c>
      <c r="T209" s="53">
        <f>IFERROR((VLOOKUP($A209,'Dados StatusInvest'!$A:$AZ,COLUMN(T209)-$A$5,0)/VLOOKUP($A209,'Dados StatusInvest'!$A:$AZ,2,0)*$F209),0)</f>
        <v>1.374204545</v>
      </c>
      <c r="U209" s="53">
        <f>IFERROR((VLOOKUP($A209,'Dados StatusInvest'!$A:$AZ,COLUMN(U209)-$A$5,0)-VLOOKUP($A209,'Dados StatusInvest'!$A:$AZ,COLUMN(U209)-$A$5-1,0)+T209),0)</f>
        <v>-1.405795455</v>
      </c>
      <c r="V209" s="56">
        <f>IFERROR((VLOOKUP($A209,'Dados StatusInvest'!$A:$AZ,COLUMN(V209)-$A$5,0)),0)</f>
        <v>3.51</v>
      </c>
      <c r="W209" s="56">
        <f>IFERROR((VLOOKUP($A209,'Dados StatusInvest'!$A:$AZ,COLUMN(W209)-$A$5,0)),0)</f>
        <v>17.45</v>
      </c>
      <c r="X209" s="53">
        <f>IFERROR((VLOOKUP($A209,'Dados StatusInvest'!$A:$AZ,COLUMN(X209)-$A$5,0)/VLOOKUP($A209,'Dados StatusInvest'!$A:$AZ,2,0)*$F209),0)</f>
        <v>7.217045455</v>
      </c>
      <c r="Y209" s="54">
        <f>IFERROR((VLOOKUP($A209,'Dados StatusInvest'!$A:$AZ,COLUMN(Y209)-$A$5,0)/VLOOKUP($A209,'Dados StatusInvest'!$A:$AZ,2,0)*$F209),0)</f>
        <v>10.13352273</v>
      </c>
      <c r="Z209" s="56">
        <f>IFERROR((VLOOKUP($A209,'Dados StatusInvest'!$A:$AZ,COLUMN(Z209)-$A$5,0)),0)</f>
        <v>0.42</v>
      </c>
      <c r="AA209" s="57">
        <f>IFERROR((VLOOKUP($A209,'Dados StatusInvest'!$A:$AZ,COLUMN(AA209)-$A$5,0)),0)</f>
        <v>0.54</v>
      </c>
      <c r="AB209" s="57">
        <f>IFERROR((VLOOKUP($A209,'Dados StatusInvest'!$A:$AZ,COLUMN(AB209)-$A$5,0)),0)</f>
        <v>0.35</v>
      </c>
      <c r="AC209" s="58">
        <f>IFERROR((VLOOKUP($A209,'Dados StatusInvest'!$A:$AZ,COLUMN(AC209)-$A$5,0)),0)</f>
        <v>15.17</v>
      </c>
      <c r="AD209" s="57">
        <f>IFERROR((VLOOKUP($A209,'Dados StatusInvest'!$A:$AZ,COLUMN(AD209)-$A$5,0)),0)</f>
        <v>34.36</v>
      </c>
      <c r="AE209" s="56">
        <f>IFERROR((VLOOKUP($A209,'Dados StatusInvest'!$A:$AZ,COLUMN(AE209)-$A$5,0)),0)</f>
        <v>161000000</v>
      </c>
      <c r="AF209" s="56">
        <f>IFERROR((VLOOKUP($A209,'Dados StatusInvest'!$A:$AZ,COLUMN(AF209)-$A$5,0)),0)</f>
        <v>22.84</v>
      </c>
      <c r="AG209" s="56">
        <f>IFERROR((VLOOKUP($A209,'Dados StatusInvest'!$A:$AZ,COLUMN(AG209)-$A$5,0)),0)</f>
        <v>3.99</v>
      </c>
      <c r="AH209" s="56">
        <f>IFERROR((VLOOKUP($A209,'Dados StatusInvest'!$A:$AZ,COLUMN(AH209)-$A$5,0)),0)</f>
        <v>0.26</v>
      </c>
      <c r="AI209" s="57">
        <f>IFERROR((VLOOKUP($A209,'Dados StatusInvest'!$A:$AZ,COLUMN(AI209)-$A$5,0)),0)</f>
        <v>14471424000</v>
      </c>
      <c r="AJ209" s="59" t="str">
        <f>IFERROR((VLOOKUP($A209,'Dados StatusInvest'!$A:$AZ,COLUMN(AJ209)-$A$5,0)),0)</f>
        <v/>
      </c>
      <c r="AK209" s="60">
        <f>IFERROR(__xludf.DUMMYFUNCTION("IFERROR(GOOGLEFINANCE($A209,""high""),"""")"),31.66)</f>
        <v>31.66</v>
      </c>
      <c r="AL209" s="60">
        <f>IFERROR(__xludf.DUMMYFUNCTION("IFERROR(GOOGLEFINANCE($A209,""low""),"""")"),30.88)</f>
        <v>30.88</v>
      </c>
      <c r="AM209" s="61">
        <f t="shared" si="2"/>
        <v>0.02525906736</v>
      </c>
      <c r="AN209" s="62">
        <f>IFERROR(__xludf.DUMMYFUNCTION("IFERROR((GOOGLEFINANCE($A209,""volume"")),0)"),251900.0)</f>
        <v>251900</v>
      </c>
      <c r="AO209" s="60">
        <f>IFERROR(__xludf.DUMMYFUNCTION("IFERROR((GOOGLEFINANCE($A209,""closeyest"")),"""")"),31.68)</f>
        <v>31.68</v>
      </c>
      <c r="AP209" s="60">
        <f>IFERROR(__xludf.DUMMYFUNCTION("IFERROR((GOOGLEFINANCE($A209,""shares"")),"""")"),3.84E8)</f>
        <v>384000000</v>
      </c>
      <c r="AQ209" s="18"/>
    </row>
    <row r="210">
      <c r="A210" s="45" t="str">
        <f>'Dados StatusInvest'!A205:A824</f>
        <v>CYRE4</v>
      </c>
      <c r="B210" s="46" t="str">
        <f>IFERROR(__xludf.DUMMYFUNCTION("IFERROR((GOOGLEFINANCE(A210,""name"")),"""")"),"Cyrela Brazil Realty SA Emprdts e Prtpcs Preference Shares")</f>
        <v>Cyrela Brazil Realty SA Emprdts e Prtpcs Preference Shares</v>
      </c>
      <c r="C210" s="46" t="str">
        <f>IFERROR((VLOOKUP(LEFT($A210,4),Setor!$A:$E,3,0)),"")</f>
        <v>Consumo Cíclico</v>
      </c>
      <c r="D210" s="46" t="str">
        <f>IFERROR((VLOOKUP(LEFT($A210,4),Setor!$A:$E,4,0)),"")</f>
        <v>Construção Civil</v>
      </c>
      <c r="E210" s="46" t="str">
        <f>IFERROR((VLOOKUP(LEFT($A210,4),Setor!$A:$E,5,0)),"")</f>
        <v>Incorporações</v>
      </c>
      <c r="F210" s="47">
        <f>IFERROR(__xludf.DUMMYFUNCTION("IFERROR((GOOGLEFINANCE(A210)),"""")"),29.68)</f>
        <v>29.68</v>
      </c>
      <c r="G210" s="48" t="str">
        <f>IFERROR(__xludf.DUMMYFUNCTION("IFERROR((sparkline(GOOGLEFINANCE($A210,""price"",TODAY()-30,TODAY(),""DAILY""),{""charttype"",""line"";""linewidth"",1;""color"",""#5f88cc""})),"""")"),"")</f>
        <v/>
      </c>
      <c r="H210" s="49">
        <f>IFERROR(__xludf.DUMMYFUNCTION("IFERROR((((GOOGLEFINANCE(A210))-(INDEX(GoogleFinance(A210,""PRICE"",$AQ$1),2,2)))/(INDEX(GoogleFinance(A210,""PRICE"",$AQ$1),2,2))),"""")"),0.17498020585906562)</f>
        <v>0.1749802059</v>
      </c>
      <c r="I210" s="47">
        <f>IFERROR(__xludf.DUMMYFUNCTION("IFERROR((GOOGLEFINANCE($A210,""high52"")),"""")"),30.9)</f>
        <v>30.9</v>
      </c>
      <c r="J210" s="48" t="str">
        <f>IFERROR(__xludf.DUMMYFUNCTION("IFERROR((sparkline(GOOGLEFINANCE($A210,""price"",TODAY()-365,TODAY(),""DAILY""),{""charttype"",""line"";""linewidth"",1;""color"",""#5f88cc""})),"""")"),"")</f>
        <v/>
      </c>
      <c r="K210" s="50" t="str">
        <f>IFERROR(__xludf.DUMMYFUNCTION("IFERROR((((GOOGLEFINANCE(A210))-(INDEX(GoogleFinance(A210,""PRICE"",$AP$1),2,2)))/(INDEX(GoogleFinance(A210,""PRICE"",$AP$1),2,2))),"""")"),"")</f>
        <v/>
      </c>
      <c r="L210" s="51">
        <f t="shared" si="1"/>
        <v>-0.03948220065</v>
      </c>
      <c r="M210" s="52">
        <f>IFERROR((VLOOKUP($A210,'Dados StatusInvest'!$A:$AZ,COLUMN(M210)-$A$5,0)*VLOOKUP($A210,'Dados StatusInvest'!$A:$AZ,2,0)/$F210/100),0)</f>
        <v>0.2511978437</v>
      </c>
      <c r="N210" s="53">
        <f>IFERROR((VLOOKUP($A210,'Dados StatusInvest'!$A:$AZ,COLUMN(N210)-$A$5,0)/VLOOKUP($A210,'Dados StatusInvest'!$A:$AZ,2,0)*$F210),"")</f>
        <v>20.61657825</v>
      </c>
      <c r="O210" s="53">
        <f>IFERROR((VLOOKUP($A210,'Dados StatusInvest'!$A:$AZ,COLUMN(O210)-$A$5,0)/VLOOKUP($A210,'Dados StatusInvest'!$A:$AZ,2,0)*$F210),0)</f>
        <v>6.307984085</v>
      </c>
      <c r="P210" s="54">
        <f>IFERROR((VLOOKUP($A210,'Dados StatusInvest'!$A:$AZ,COLUMN(P210)-$A$5,0)/VLOOKUP($A210,'Dados StatusInvest'!$A:$AZ,2,0)*$F210),0)</f>
        <v>8.138381963</v>
      </c>
      <c r="Q210" s="55">
        <f>IFERROR((VLOOKUP($A210,'Dados StatusInvest'!$A:$AZ,COLUMN(Q210)-$A$5,0)/100),0)</f>
        <v>0.0153</v>
      </c>
      <c r="R210" s="56">
        <f>VLOOKUP($A210,'Dados StatusInvest'!$A:$AZ,COLUMN(R210)-$A$5,0)</f>
        <v>0.32</v>
      </c>
      <c r="S210" s="56">
        <f>IFERROR((VLOOKUP($A210,'Dados StatusInvest'!$A:$AZ,COLUMN(S210)-$A$5,0)),0)</f>
        <v>1.58</v>
      </c>
      <c r="T210" s="53">
        <f>IFERROR((VLOOKUP($A210,'Dados StatusInvest'!$A:$AZ,COLUMN(T210)-$A$5,0)/VLOOKUP($A210,'Dados StatusInvest'!$A:$AZ,2,0)*$F210),0)</f>
        <v>1.308832891</v>
      </c>
      <c r="U210" s="53">
        <f>IFERROR((VLOOKUP($A210,'Dados StatusInvest'!$A:$AZ,COLUMN(U210)-$A$5,0)-VLOOKUP($A210,'Dados StatusInvest'!$A:$AZ,COLUMN(U210)-$A$5-1,0)+T210),0)</f>
        <v>-1.341167109</v>
      </c>
      <c r="V210" s="56">
        <f>IFERROR((VLOOKUP($A210,'Dados StatusInvest'!$A:$AZ,COLUMN(V210)-$A$5,0)),0)</f>
        <v>3.51</v>
      </c>
      <c r="W210" s="56">
        <f>IFERROR((VLOOKUP($A210,'Dados StatusInvest'!$A:$AZ,COLUMN(W210)-$A$5,0)),0)</f>
        <v>17.45</v>
      </c>
      <c r="X210" s="53">
        <f>IFERROR((VLOOKUP($A210,'Dados StatusInvest'!$A:$AZ,COLUMN(X210)-$A$5,0)/VLOOKUP($A210,'Dados StatusInvest'!$A:$AZ,2,0)*$F210),0)</f>
        <v>7.183819629</v>
      </c>
      <c r="Y210" s="54">
        <f>IFERROR((VLOOKUP($A210,'Dados StatusInvest'!$A:$AZ,COLUMN(Y210)-$A$5,0)/VLOOKUP($A210,'Dados StatusInvest'!$A:$AZ,2,0)*$F210),0)</f>
        <v>10.08687003</v>
      </c>
      <c r="Z210" s="56">
        <f>IFERROR((VLOOKUP($A210,'Dados StatusInvest'!$A:$AZ,COLUMN(Z210)-$A$5,0)),0)</f>
        <v>0.42</v>
      </c>
      <c r="AA210" s="57">
        <f>IFERROR((VLOOKUP($A210,'Dados StatusInvest'!$A:$AZ,COLUMN(AA210)-$A$5,0)),0)</f>
        <v>0.54</v>
      </c>
      <c r="AB210" s="57">
        <f>IFERROR((VLOOKUP($A210,'Dados StatusInvest'!$A:$AZ,COLUMN(AB210)-$A$5,0)),0)</f>
        <v>0.35</v>
      </c>
      <c r="AC210" s="58">
        <f>IFERROR((VLOOKUP($A210,'Dados StatusInvest'!$A:$AZ,COLUMN(AC210)-$A$5,0)),0)</f>
        <v>15.17</v>
      </c>
      <c r="AD210" s="57">
        <f>IFERROR((VLOOKUP($A210,'Dados StatusInvest'!$A:$AZ,COLUMN(AD210)-$A$5,0)),0)</f>
        <v>34.36</v>
      </c>
      <c r="AE210" s="56">
        <f>IFERROR((VLOOKUP($A210,'Dados StatusInvest'!$A:$AZ,COLUMN(AE210)-$A$5,0)),0)</f>
        <v>17486544</v>
      </c>
      <c r="AF210" s="56">
        <f>IFERROR((VLOOKUP($A210,'Dados StatusInvest'!$A:$AZ,COLUMN(AF210)-$A$5,0)),0)</f>
        <v>22.84</v>
      </c>
      <c r="AG210" s="56">
        <f>IFERROR((VLOOKUP($A210,'Dados StatusInvest'!$A:$AZ,COLUMN(AG210)-$A$5,0)),0)</f>
        <v>3.99</v>
      </c>
      <c r="AH210" s="56">
        <f>IFERROR((VLOOKUP($A210,'Dados StatusInvest'!$A:$AZ,COLUMN(AH210)-$A$5,0)),0)</f>
        <v>0.25</v>
      </c>
      <c r="AI210" s="57">
        <f>IFERROR((VLOOKUP($A210,'Dados StatusInvest'!$A:$AZ,COLUMN(AI210)-$A$5,0)),0)</f>
        <v>14471424000</v>
      </c>
      <c r="AJ210" s="59" t="str">
        <f>IFERROR((VLOOKUP($A210,'Dados StatusInvest'!$A:$AZ,COLUMN(AJ210)-$A$5,0)),0)</f>
        <v/>
      </c>
      <c r="AK210" s="60">
        <f>IFERROR(__xludf.DUMMYFUNCTION("IFERROR(GOOGLEFINANCE($A210,""high""),"""")"),30.27)</f>
        <v>30.27</v>
      </c>
      <c r="AL210" s="60">
        <f>IFERROR(__xludf.DUMMYFUNCTION("IFERROR(GOOGLEFINANCE($A210,""low""),"""")"),29.34)</f>
        <v>29.34</v>
      </c>
      <c r="AM210" s="61">
        <f t="shared" si="2"/>
        <v>0.03169734151</v>
      </c>
      <c r="AN210" s="62">
        <f>IFERROR(__xludf.DUMMYFUNCTION("IFERROR((GOOGLEFINANCE($A210,""volume"")),0)"),12700.0)</f>
        <v>12700</v>
      </c>
      <c r="AO210" s="60">
        <f>IFERROR(__xludf.DUMMYFUNCTION("IFERROR((GOOGLEFINANCE($A210,""closeyest"")),"""")"),30.16)</f>
        <v>30.16</v>
      </c>
      <c r="AP210" s="60">
        <f>IFERROR(__xludf.DUMMYFUNCTION("IFERROR((GOOGLEFINANCE($A210,""shares"")),"""")"),7.28E7)</f>
        <v>72800000</v>
      </c>
      <c r="AQ210" s="18"/>
    </row>
    <row r="211">
      <c r="A211" s="45" t="str">
        <f>'Dados StatusInvest'!A206:A825</f>
        <v>DASA3</v>
      </c>
      <c r="B211" s="46" t="str">
        <f>IFERROR(__xludf.DUMMYFUNCTION("IFERROR((GOOGLEFINANCE(A211,""name"")),"""")"),"Diagnosticos da America SA")</f>
        <v>Diagnosticos da America SA</v>
      </c>
      <c r="C211" s="46" t="str">
        <f>IFERROR((VLOOKUP(LEFT($A211,4),Setor!$A:$E,3,0)),"")</f>
        <v>Saúde</v>
      </c>
      <c r="D211" s="46" t="str">
        <f>IFERROR((VLOOKUP(LEFT($A211,4),Setor!$A:$E,4,0)),"")</f>
        <v>Análises e Diagnósticos</v>
      </c>
      <c r="E211" s="46" t="str">
        <f>IFERROR((VLOOKUP(LEFT($A211,4),Setor!$A:$E,5,0)),"")</f>
        <v>Análises e Diagnósticos</v>
      </c>
      <c r="F211" s="47">
        <f>IFERROR(__xludf.DUMMYFUNCTION("IFERROR((GOOGLEFINANCE(A211)),"""")"),4.17)</f>
        <v>4.17</v>
      </c>
      <c r="G211" s="48" t="str">
        <f>IFERROR(__xludf.DUMMYFUNCTION("IFERROR((sparkline(GOOGLEFINANCE($A211,""price"",TODAY()-30,TODAY(),""DAILY""),{""charttype"",""line"";""linewidth"",1;""color"",""#5f88cc""})),"""")"),"")</f>
        <v/>
      </c>
      <c r="H211" s="49">
        <f>IFERROR(__xludf.DUMMYFUNCTION("IFERROR((((GOOGLEFINANCE(A211))-(INDEX(GoogleFinance(A211,""PRICE"",$AQ$1),2,2)))/(INDEX(GoogleFinance(A211,""PRICE"",$AQ$1),2,2))),"""")"),0.07474226804123713)</f>
        <v>0.07474226804</v>
      </c>
      <c r="I211" s="47">
        <f>IFERROR(__xludf.DUMMYFUNCTION("IFERROR((GOOGLEFINANCE($A211,""high52"")),"""")"),4.77)</f>
        <v>4.77</v>
      </c>
      <c r="J211" s="48" t="str">
        <f>IFERROR(__xludf.DUMMYFUNCTION("IFERROR((sparkline(GOOGLEFINANCE($A211,""price"",TODAY()-365,TODAY(),""DAILY""),{""charttype"",""line"";""linewidth"",1;""color"",""#5f88cc""})),"""")"),"")</f>
        <v/>
      </c>
      <c r="K211" s="50">
        <f>IFERROR(__xludf.DUMMYFUNCTION("IFERROR((((GOOGLEFINANCE(A211))-(INDEX(GoogleFinance(A211,""PRICE"",$AP$1),2,2)))/(INDEX(GoogleFinance(A211,""PRICE"",$AP$1),2,2))),"""")"),1.3965517241379308)</f>
        <v>1.396551724</v>
      </c>
      <c r="L211" s="51">
        <f t="shared" si="1"/>
        <v>-0.1257861635</v>
      </c>
      <c r="M211" s="52">
        <f>IFERROR((VLOOKUP($A211,'Dados StatusInvest'!$A:$AZ,COLUMN(M211)-$A$5,0)*VLOOKUP($A211,'Dados StatusInvest'!$A:$AZ,2,0)/$F211/100),0)</f>
        <v>0.100841247</v>
      </c>
      <c r="N211" s="53">
        <f>IFERROR((VLOOKUP($A211,'Dados StatusInvest'!$A:$AZ,COLUMN(N211)-$A$5,0)/VLOOKUP($A211,'Dados StatusInvest'!$A:$AZ,2,0)*$F211),"")</f>
        <v>-8.160430622</v>
      </c>
      <c r="O211" s="53">
        <f>IFERROR((VLOOKUP($A211,'Dados StatusInvest'!$A:$AZ,COLUMN(O211)-$A$5,0)/VLOOKUP($A211,'Dados StatusInvest'!$A:$AZ,2,0)*$F211),0)</f>
        <v>4.14007177</v>
      </c>
      <c r="P211" s="54">
        <f>IFERROR((VLOOKUP($A211,'Dados StatusInvest'!$A:$AZ,COLUMN(P211)-$A$5,0)/VLOOKUP($A211,'Dados StatusInvest'!$A:$AZ,2,0)*$F211),0)</f>
        <v>8.758995215</v>
      </c>
      <c r="Q211" s="55">
        <f>IFERROR((VLOOKUP($A211,'Dados StatusInvest'!$A:$AZ,COLUMN(Q211)-$A$5,0)/100),0)</f>
        <v>0.0463</v>
      </c>
      <c r="R211" s="56">
        <f>VLOOKUP($A211,'Dados StatusInvest'!$A:$AZ,COLUMN(R211)-$A$5,0)</f>
        <v>0.75</v>
      </c>
      <c r="S211" s="56">
        <f>IFERROR((VLOOKUP($A211,'Dados StatusInvest'!$A:$AZ,COLUMN(S211)-$A$5,0)),0)</f>
        <v>0.42</v>
      </c>
      <c r="T211" s="53">
        <f>IFERROR((VLOOKUP($A211,'Dados StatusInvest'!$A:$AZ,COLUMN(T211)-$A$5,0)/VLOOKUP($A211,'Dados StatusInvest'!$A:$AZ,2,0)*$F211),0)</f>
        <v>4.299688995</v>
      </c>
      <c r="U211" s="53">
        <f>IFERROR((VLOOKUP($A211,'Dados StatusInvest'!$A:$AZ,COLUMN(U211)-$A$5,0)-VLOOKUP($A211,'Dados StatusInvest'!$A:$AZ,COLUMN(U211)-$A$5-1,0)+T211),0)</f>
        <v>-0.3703110048</v>
      </c>
      <c r="V211" s="56">
        <f>IFERROR((VLOOKUP($A211,'Dados StatusInvest'!$A:$AZ,COLUMN(V211)-$A$5,0)),0)</f>
        <v>1.23</v>
      </c>
      <c r="W211" s="56">
        <f>IFERROR((VLOOKUP($A211,'Dados StatusInvest'!$A:$AZ,COLUMN(W211)-$A$5,0)),0)</f>
        <v>-13.14</v>
      </c>
      <c r="X211" s="53">
        <f>IFERROR((VLOOKUP($A211,'Dados StatusInvest'!$A:$AZ,COLUMN(X211)-$A$5,0)/VLOOKUP($A211,'Dados StatusInvest'!$A:$AZ,2,0)*$F211),0)</f>
        <v>-4.858349282</v>
      </c>
      <c r="Y211" s="54">
        <f>IFERROR((VLOOKUP($A211,'Dados StatusInvest'!$A:$AZ,COLUMN(Y211)-$A$5,0)/VLOOKUP($A211,'Dados StatusInvest'!$A:$AZ,2,0)*$F211),0)</f>
        <v>4.569043062</v>
      </c>
      <c r="Z211" s="56">
        <f>IFERROR((VLOOKUP($A211,'Dados StatusInvest'!$A:$AZ,COLUMN(Z211)-$A$5,0)),0)</f>
        <v>0.37</v>
      </c>
      <c r="AA211" s="57">
        <f>IFERROR((VLOOKUP($A211,'Dados StatusInvest'!$A:$AZ,COLUMN(AA211)-$A$5,0)),0)</f>
        <v>0.63</v>
      </c>
      <c r="AB211" s="57">
        <f>IFERROR((VLOOKUP($A211,'Dados StatusInvest'!$A:$AZ,COLUMN(AB211)-$A$5,0)),0)</f>
        <v>0.6</v>
      </c>
      <c r="AC211" s="58">
        <f>IFERROR((VLOOKUP($A211,'Dados StatusInvest'!$A:$AZ,COLUMN(AC211)-$A$5,0)),0)</f>
        <v>28.55</v>
      </c>
      <c r="AD211" s="57">
        <f>IFERROR((VLOOKUP($A211,'Dados StatusInvest'!$A:$AZ,COLUMN(AD211)-$A$5,0)),0)</f>
        <v>0</v>
      </c>
      <c r="AE211" s="56">
        <f>IFERROR((VLOOKUP($A211,'Dados StatusInvest'!$A:$AZ,COLUMN(AE211)-$A$5,0)),0)</f>
        <v>6882380</v>
      </c>
      <c r="AF211" s="56">
        <f>IFERROR((VLOOKUP($A211,'Dados StatusInvest'!$A:$AZ,COLUMN(AF211)-$A$5,0)),0)</f>
        <v>6.23</v>
      </c>
      <c r="AG211" s="56">
        <f>IFERROR((VLOOKUP($A211,'Dados StatusInvest'!$A:$AZ,COLUMN(AG211)-$A$5,0)),0)</f>
        <v>-0.82</v>
      </c>
      <c r="AH211" s="56">
        <f>IFERROR((VLOOKUP($A211,'Dados StatusInvest'!$A:$AZ,COLUMN(AH211)-$A$5,0)),0)</f>
        <v>-0.38</v>
      </c>
      <c r="AI211" s="57">
        <f>IFERROR((VLOOKUP($A211,'Dados StatusInvest'!$A:$AZ,COLUMN(AI211)-$A$5,0)),0)</f>
        <v>5245929461</v>
      </c>
      <c r="AJ211" s="59" t="str">
        <f>IFERROR((VLOOKUP($A211,'Dados StatusInvest'!$A:$AZ,COLUMN(AJ211)-$A$5,0)),0)</f>
        <v/>
      </c>
      <c r="AK211" s="60">
        <f>IFERROR(__xludf.DUMMYFUNCTION("IFERROR(GOOGLEFINANCE($A211,""high""),"""")"),4.19)</f>
        <v>4.19</v>
      </c>
      <c r="AL211" s="60">
        <f>IFERROR(__xludf.DUMMYFUNCTION("IFERROR(GOOGLEFINANCE($A211,""low""),"""")"),4.11)</f>
        <v>4.11</v>
      </c>
      <c r="AM211" s="61">
        <f t="shared" si="2"/>
        <v>0.01946472019</v>
      </c>
      <c r="AN211" s="62">
        <f>IFERROR(__xludf.DUMMYFUNCTION("IFERROR((GOOGLEFINANCE($A211,""volume"")),0)"),50000.0)</f>
        <v>50000</v>
      </c>
      <c r="AO211" s="60">
        <f>IFERROR(__xludf.DUMMYFUNCTION("IFERROR((GOOGLEFINANCE($A211,""closeyest"")),"""")"),4.18)</f>
        <v>4.18</v>
      </c>
      <c r="AP211" s="60">
        <f>IFERROR(__xludf.DUMMYFUNCTION("IFERROR((GOOGLEFINANCE($A211,""shares"")),"""")"),1.255007048E9)</f>
        <v>1255007048</v>
      </c>
      <c r="AQ211" s="18"/>
    </row>
    <row r="212">
      <c r="A212" s="45" t="str">
        <f>'Dados StatusInvest'!A207:A826</f>
        <v>DESK3</v>
      </c>
      <c r="B212" s="46" t="str">
        <f>IFERROR(__xludf.DUMMYFUNCTION("IFERROR((GOOGLEFINANCE(A212,""name"")),"""")"),"Desktop SA")</f>
        <v>Desktop SA</v>
      </c>
      <c r="C212" s="46" t="str">
        <f>IFERROR((VLOOKUP(LEFT($A212,4),Setor!$A:$E,3,0)),"")</f>
        <v/>
      </c>
      <c r="D212" s="46" t="str">
        <f>IFERROR((VLOOKUP(LEFT($A212,4),Setor!$A:$E,4,0)),"")</f>
        <v/>
      </c>
      <c r="E212" s="46" t="str">
        <f>IFERROR((VLOOKUP(LEFT($A212,4),Setor!$A:$E,5,0)),"")</f>
        <v/>
      </c>
      <c r="F212" s="47">
        <f>IFERROR(__xludf.DUMMYFUNCTION("IFERROR((GOOGLEFINANCE(A212)),"""")"),15.76)</f>
        <v>15.76</v>
      </c>
      <c r="G212" s="48" t="str">
        <f>IFERROR(__xludf.DUMMYFUNCTION("IFERROR((sparkline(GOOGLEFINANCE($A212,""price"",TODAY()-30,TODAY(),""DAILY""),{""charttype"",""line"";""linewidth"",1;""color"",""#5f88cc""})),"""")"),"")</f>
        <v/>
      </c>
      <c r="H212" s="49">
        <f>IFERROR(__xludf.DUMMYFUNCTION("IFERROR((((GOOGLEFINANCE(A212))-(INDEX(GoogleFinance(A212,""PRICE"",$AQ$1),2,2)))/(INDEX(GoogleFinance(A212,""PRICE"",$AQ$1),2,2))),"""")"),-0.14254624591947765)</f>
        <v>-0.1425462459</v>
      </c>
      <c r="I212" s="47">
        <f>IFERROR(__xludf.DUMMYFUNCTION("IFERROR((GOOGLEFINANCE($A212,""high52"")),"""")"),18.51)</f>
        <v>18.51</v>
      </c>
      <c r="J212" s="48" t="str">
        <f>IFERROR(__xludf.DUMMYFUNCTION("IFERROR((sparkline(GOOGLEFINANCE($A212,""price"",TODAY()-365,TODAY(),""DAILY""),{""charttype"",""line"";""linewidth"",1;""color"",""#5f88cc""})),"""")"),"")</f>
        <v/>
      </c>
      <c r="K212" s="50">
        <f>IFERROR(__xludf.DUMMYFUNCTION("IFERROR((((GOOGLEFINANCE(A212))-(INDEX(GoogleFinance(A212,""PRICE"",$AP$1),2,2)))/(INDEX(GoogleFinance(A212,""PRICE"",$AP$1),2,2))),"""")"),0.7019438444924406)</f>
        <v>0.7019438445</v>
      </c>
      <c r="L212" s="51">
        <f t="shared" si="1"/>
        <v>-0.1485683414</v>
      </c>
      <c r="M212" s="52">
        <f>IFERROR((VLOOKUP($A212,'Dados StatusInvest'!$A:$AZ,COLUMN(M212)-$A$5,0)*VLOOKUP($A212,'Dados StatusInvest'!$A:$AZ,2,0)/$F212/100),0)</f>
        <v>0.3039064721</v>
      </c>
      <c r="N212" s="53">
        <f>IFERROR((VLOOKUP($A212,'Dados StatusInvest'!$A:$AZ,COLUMN(N212)-$A$5,0)/VLOOKUP($A212,'Dados StatusInvest'!$A:$AZ,2,0)*$F212),"")</f>
        <v>6.07758034</v>
      </c>
      <c r="O212" s="53">
        <f>IFERROR((VLOOKUP($A212,'Dados StatusInvest'!$A:$AZ,COLUMN(O212)-$A$5,0)/VLOOKUP($A212,'Dados StatusInvest'!$A:$AZ,2,0)*$F212),0)</f>
        <v>5.064650284</v>
      </c>
      <c r="P212" s="54">
        <f>IFERROR((VLOOKUP($A212,'Dados StatusInvest'!$A:$AZ,COLUMN(P212)-$A$5,0)/VLOOKUP($A212,'Dados StatusInvest'!$A:$AZ,2,0)*$F212),0)</f>
        <v>8.172955261</v>
      </c>
      <c r="Q212" s="55">
        <f>IFERROR((VLOOKUP($A212,'Dados StatusInvest'!$A:$AZ,COLUMN(Q212)-$A$5,0)/100),0)</f>
        <v>0.0313</v>
      </c>
      <c r="R212" s="56">
        <f>VLOOKUP($A212,'Dados StatusInvest'!$A:$AZ,COLUMN(R212)-$A$5,0)</f>
        <v>0.8</v>
      </c>
      <c r="S212" s="56">
        <f>IFERROR((VLOOKUP($A212,'Dados StatusInvest'!$A:$AZ,COLUMN(S212)-$A$5,0)),0)</f>
        <v>1.54</v>
      </c>
      <c r="T212" s="53">
        <f>IFERROR((VLOOKUP($A212,'Dados StatusInvest'!$A:$AZ,COLUMN(T212)-$A$5,0)/VLOOKUP($A212,'Dados StatusInvest'!$A:$AZ,2,0)*$F212),0)</f>
        <v>13.56531821</v>
      </c>
      <c r="U212" s="53">
        <f>IFERROR((VLOOKUP($A212,'Dados StatusInvest'!$A:$AZ,COLUMN(U212)-$A$5,0)-VLOOKUP($A212,'Dados StatusInvest'!$A:$AZ,COLUMN(U212)-$A$5-1,0)+T212),0)</f>
        <v>-0.6946817895</v>
      </c>
      <c r="V212" s="56">
        <f>IFERROR((VLOOKUP($A212,'Dados StatusInvest'!$A:$AZ,COLUMN(V212)-$A$5,0)),0)</f>
        <v>1.26</v>
      </c>
      <c r="W212" s="56">
        <f>IFERROR((VLOOKUP($A212,'Dados StatusInvest'!$A:$AZ,COLUMN(W212)-$A$5,0)),0)</f>
        <v>5.22</v>
      </c>
      <c r="X212" s="53">
        <f>IFERROR((VLOOKUP($A212,'Dados StatusInvest'!$A:$AZ,COLUMN(X212)-$A$5,0)/VLOOKUP($A212,'Dados StatusInvest'!$A:$AZ,2,0)*$F212),0)</f>
        <v>1.946414619</v>
      </c>
      <c r="Y212" s="54">
        <f>IFERROR((VLOOKUP($A212,'Dados StatusInvest'!$A:$AZ,COLUMN(Y212)-$A$5,0)/VLOOKUP($A212,'Dados StatusInvest'!$A:$AZ,2,0)*$F212),0)</f>
        <v>11.41035917</v>
      </c>
      <c r="Z212" s="56">
        <f>IFERROR((VLOOKUP($A212,'Dados StatusInvest'!$A:$AZ,COLUMN(Z212)-$A$5,0)),0)</f>
        <v>0.38</v>
      </c>
      <c r="AA212" s="57">
        <f>IFERROR((VLOOKUP($A212,'Dados StatusInvest'!$A:$AZ,COLUMN(AA212)-$A$5,0)),0)</f>
        <v>0.62</v>
      </c>
      <c r="AB212" s="57">
        <f>IFERROR((VLOOKUP($A212,'Dados StatusInvest'!$A:$AZ,COLUMN(AB212)-$A$5,0)),0)</f>
        <v>0.32</v>
      </c>
      <c r="AC212" s="58">
        <f>IFERROR((VLOOKUP($A212,'Dados StatusInvest'!$A:$AZ,COLUMN(AC212)-$A$5,0)),0)</f>
        <v>0</v>
      </c>
      <c r="AD212" s="57">
        <f>IFERROR((VLOOKUP($A212,'Dados StatusInvest'!$A:$AZ,COLUMN(AD212)-$A$5,0)),0)</f>
        <v>0</v>
      </c>
      <c r="AE212" s="56">
        <f>IFERROR((VLOOKUP($A212,'Dados StatusInvest'!$A:$AZ,COLUMN(AE212)-$A$5,0)),0)</f>
        <v>31216178</v>
      </c>
      <c r="AF212" s="56">
        <f>IFERROR((VLOOKUP($A212,'Dados StatusInvest'!$A:$AZ,COLUMN(AF212)-$A$5,0)),0)</f>
        <v>12.09</v>
      </c>
      <c r="AG212" s="56">
        <f>IFERROR((VLOOKUP($A212,'Dados StatusInvest'!$A:$AZ,COLUMN(AG212)-$A$5,0)),0)</f>
        <v>0.63</v>
      </c>
      <c r="AH212" s="56">
        <f>IFERROR((VLOOKUP($A212,'Dados StatusInvest'!$A:$AZ,COLUMN(AH212)-$A$5,0)),0)</f>
        <v>-1.16</v>
      </c>
      <c r="AI212" s="57">
        <f>IFERROR((VLOOKUP($A212,'Dados StatusInvest'!$A:$AZ,COLUMN(AI212)-$A$5,0)),0)</f>
        <v>1840673063</v>
      </c>
      <c r="AJ212" s="59" t="str">
        <f>IFERROR((VLOOKUP($A212,'Dados StatusInvest'!$A:$AZ,COLUMN(AJ212)-$A$5,0)),0)</f>
        <v/>
      </c>
      <c r="AK212" s="60">
        <f>IFERROR(__xludf.DUMMYFUNCTION("IFERROR(GOOGLEFINANCE($A212,""high""),"""")"),15.85)</f>
        <v>15.85</v>
      </c>
      <c r="AL212" s="60">
        <f>IFERROR(__xludf.DUMMYFUNCTION("IFERROR(GOOGLEFINANCE($A212,""low""),"""")"),15.44)</f>
        <v>15.44</v>
      </c>
      <c r="AM212" s="61">
        <f t="shared" si="2"/>
        <v>0.02655440415</v>
      </c>
      <c r="AN212" s="62">
        <f>IFERROR(__xludf.DUMMYFUNCTION("IFERROR((GOOGLEFINANCE($A212,""volume"")),0)"),31400.0)</f>
        <v>31400</v>
      </c>
      <c r="AO212" s="60">
        <f>IFERROR(__xludf.DUMMYFUNCTION("IFERROR((GOOGLEFINANCE($A212,""closeyest"")),"""")"),15.87)</f>
        <v>15.87</v>
      </c>
      <c r="AP212" s="60">
        <f>IFERROR(__xludf.DUMMYFUNCTION("IFERROR((GOOGLEFINANCE($A212,""shares"")),"""")"),1.1598444E8)</f>
        <v>115984440</v>
      </c>
      <c r="AQ212" s="18"/>
    </row>
    <row r="213">
      <c r="A213" s="45" t="str">
        <f>'Dados StatusInvest'!A208:A827</f>
        <v>DEXP3</v>
      </c>
      <c r="B213" s="46" t="str">
        <f>IFERROR(__xludf.DUMMYFUNCTION("IFERROR((GOOGLEFINANCE(A213,""name"")),"""")"),"Dexxos Participacoes SA")</f>
        <v>Dexxos Participacoes SA</v>
      </c>
      <c r="C213" s="46" t="str">
        <f>IFERROR((VLOOKUP(LEFT($A213,4),Setor!$A:$E,3,0)),"")</f>
        <v>Petróleo, Gás e Biocombustíveis</v>
      </c>
      <c r="D213" s="46" t="str">
        <f>IFERROR((VLOOKUP(LEFT($A213,4),Setor!$A:$E,4,0)),"")</f>
        <v>Petróleo, Gás e Biocombustíveis</v>
      </c>
      <c r="E213" s="46" t="str">
        <f>IFERROR((VLOOKUP(LEFT($A213,4),Setor!$A:$E,5,0)),"")</f>
        <v>Exploração, Refino e Distribuição</v>
      </c>
      <c r="F213" s="47">
        <f>IFERROR(__xludf.DUMMYFUNCTION("IFERROR((GOOGLEFINANCE(A213)),"""")"),7.62)</f>
        <v>7.62</v>
      </c>
      <c r="G213" s="48" t="str">
        <f>IFERROR(__xludf.DUMMYFUNCTION("IFERROR((sparkline(GOOGLEFINANCE($A213,""price"",TODAY()-30,TODAY(),""DAILY""),{""charttype"",""line"";""linewidth"",1;""color"",""#5f88cc""})),"""")"),"")</f>
        <v/>
      </c>
      <c r="H213" s="49">
        <f>IFERROR(__xludf.DUMMYFUNCTION("IFERROR((((GOOGLEFINANCE(A213))-(INDEX(GoogleFinance(A213,""PRICE"",$AQ$1),2,2)))/(INDEX(GoogleFinance(A213,""PRICE"",$AQ$1),2,2))),"""")"),0.036734693877551086)</f>
        <v>0.03673469388</v>
      </c>
      <c r="I213" s="47">
        <f>IFERROR(__xludf.DUMMYFUNCTION("IFERROR((GOOGLEFINANCE($A213,""high52"")),"""")"),8.15)</f>
        <v>8.15</v>
      </c>
      <c r="J213" s="48" t="str">
        <f>IFERROR(__xludf.DUMMYFUNCTION("IFERROR((sparkline(GOOGLEFINANCE($A213,""price"",TODAY()-365,TODAY(),""DAILY""),{""charttype"",""line"";""linewidth"",1;""color"",""#5f88cc""})),"""")"),"")</f>
        <v/>
      </c>
      <c r="K213" s="50">
        <f>IFERROR(__xludf.DUMMYFUNCTION("IFERROR((((GOOGLEFINANCE(A213))-(INDEX(GoogleFinance(A213,""PRICE"",$AP$1),2,2)))/(INDEX(GoogleFinance(A213,""PRICE"",$AP$1),2,2))),"""")"),0.02008032128514061)</f>
        <v>0.02008032129</v>
      </c>
      <c r="L213" s="51">
        <f t="shared" si="1"/>
        <v>-0.06503067485</v>
      </c>
      <c r="M213" s="52">
        <f>IFERROR((VLOOKUP($A213,'Dados StatusInvest'!$A:$AZ,COLUMN(M213)-$A$5,0)*VLOOKUP($A213,'Dados StatusInvest'!$A:$AZ,2,0)/$F213/100),0)</f>
        <v>0.1082787402</v>
      </c>
      <c r="N213" s="53">
        <f>IFERROR((VLOOKUP($A213,'Dados StatusInvest'!$A:$AZ,COLUMN(N213)-$A$5,0)/VLOOKUP($A213,'Dados StatusInvest'!$A:$AZ,2,0)*$F213),"")</f>
        <v>6.970232558</v>
      </c>
      <c r="O213" s="53">
        <f>IFERROR((VLOOKUP($A213,'Dados StatusInvest'!$A:$AZ,COLUMN(O213)-$A$5,0)/VLOOKUP($A213,'Dados StatusInvest'!$A:$AZ,2,0)*$F213),0)</f>
        <v>3.977364341</v>
      </c>
      <c r="P213" s="54">
        <f>IFERROR((VLOOKUP($A213,'Dados StatusInvest'!$A:$AZ,COLUMN(P213)-$A$5,0)/VLOOKUP($A213,'Dados StatusInvest'!$A:$AZ,2,0)*$F213),0)</f>
        <v>3.632790698</v>
      </c>
      <c r="Q213" s="55">
        <f>IFERROR((VLOOKUP($A213,'Dados StatusInvest'!$A:$AZ,COLUMN(Q213)-$A$5,0)/100),0)</f>
        <v>-0.0035</v>
      </c>
      <c r="R213" s="56">
        <f>VLOOKUP($A213,'Dados StatusInvest'!$A:$AZ,COLUMN(R213)-$A$5,0)</f>
        <v>-0.08</v>
      </c>
      <c r="S213" s="56">
        <f>IFERROR((VLOOKUP($A213,'Dados StatusInvest'!$A:$AZ,COLUMN(S213)-$A$5,0)),0)</f>
        <v>0.43</v>
      </c>
      <c r="T213" s="53">
        <f>IFERROR((VLOOKUP($A213,'Dados StatusInvest'!$A:$AZ,COLUMN(T213)-$A$5,0)/VLOOKUP($A213,'Dados StatusInvest'!$A:$AZ,2,0)*$F213),0)</f>
        <v>1.260155039</v>
      </c>
      <c r="U213" s="53">
        <f>IFERROR((VLOOKUP($A213,'Dados StatusInvest'!$A:$AZ,COLUMN(U213)-$A$5,0)-VLOOKUP($A213,'Dados StatusInvest'!$A:$AZ,COLUMN(U213)-$A$5-1,0)+T213),0)</f>
        <v>-1.699844961</v>
      </c>
      <c r="V213" s="56">
        <f>IFERROR((VLOOKUP($A213,'Dados StatusInvest'!$A:$AZ,COLUMN(V213)-$A$5,0)),0)</f>
        <v>3.48</v>
      </c>
      <c r="W213" s="56">
        <f>IFERROR((VLOOKUP($A213,'Dados StatusInvest'!$A:$AZ,COLUMN(W213)-$A$5,0)),0)</f>
        <v>15</v>
      </c>
      <c r="X213" s="53">
        <f>IFERROR((VLOOKUP($A213,'Dados StatusInvest'!$A:$AZ,COLUMN(X213)-$A$5,0)/VLOOKUP($A213,'Dados StatusInvest'!$A:$AZ,2,0)*$F213),0)</f>
        <v>9.549612403</v>
      </c>
      <c r="Y213" s="54">
        <f>IFERROR((VLOOKUP($A213,'Dados StatusInvest'!$A:$AZ,COLUMN(Y213)-$A$5,0)/VLOOKUP($A213,'Dados StatusInvest'!$A:$AZ,2,0)*$F213),0)</f>
        <v>12.58186047</v>
      </c>
      <c r="Z213" s="56">
        <f>IFERROR((VLOOKUP($A213,'Dados StatusInvest'!$A:$AZ,COLUMN(Z213)-$A$5,0)),0)</f>
        <v>0.65</v>
      </c>
      <c r="AA213" s="57">
        <f>IFERROR((VLOOKUP($A213,'Dados StatusInvest'!$A:$AZ,COLUMN(AA213)-$A$5,0)),0)</f>
        <v>0.35</v>
      </c>
      <c r="AB213" s="57">
        <f>IFERROR((VLOOKUP($A213,'Dados StatusInvest'!$A:$AZ,COLUMN(AB213)-$A$5,0)),0)</f>
        <v>1.37</v>
      </c>
      <c r="AC213" s="58">
        <f>IFERROR((VLOOKUP($A213,'Dados StatusInvest'!$A:$AZ,COLUMN(AC213)-$A$5,0)),0)</f>
        <v>17.81</v>
      </c>
      <c r="AD213" s="57">
        <f>IFERROR((VLOOKUP($A213,'Dados StatusInvest'!$A:$AZ,COLUMN(AD213)-$A$5,0)),0)</f>
        <v>44.31</v>
      </c>
      <c r="AE213" s="56">
        <f>IFERROR((VLOOKUP($A213,'Dados StatusInvest'!$A:$AZ,COLUMN(AE213)-$A$5,0)),0)</f>
        <v>1340591</v>
      </c>
      <c r="AF213" s="56">
        <f>IFERROR((VLOOKUP($A213,'Dados StatusInvest'!$A:$AZ,COLUMN(AF213)-$A$5,0)),0)</f>
        <v>8.46</v>
      </c>
      <c r="AG213" s="56">
        <f>IFERROR((VLOOKUP($A213,'Dados StatusInvest'!$A:$AZ,COLUMN(AG213)-$A$5,0)),0)</f>
        <v>1.27</v>
      </c>
      <c r="AH213" s="56">
        <f>IFERROR((VLOOKUP($A213,'Dados StatusInvest'!$A:$AZ,COLUMN(AH213)-$A$5,0)),0)</f>
        <v>-1.35</v>
      </c>
      <c r="AI213" s="57">
        <f>IFERROR((VLOOKUP($A213,'Dados StatusInvest'!$A:$AZ,COLUMN(AI213)-$A$5,0)),0)</f>
        <v>951237979.4</v>
      </c>
      <c r="AJ213" s="59" t="str">
        <f>IFERROR((VLOOKUP($A213,'Dados StatusInvest'!$A:$AZ,COLUMN(AJ213)-$A$5,0)),0)</f>
        <v/>
      </c>
      <c r="AK213" s="60">
        <f>IFERROR(__xludf.DUMMYFUNCTION("IFERROR(GOOGLEFINANCE($A213,""high""),"""")"),7.71)</f>
        <v>7.71</v>
      </c>
      <c r="AL213" s="60">
        <f>IFERROR(__xludf.DUMMYFUNCTION("IFERROR(GOOGLEFINANCE($A213,""low""),"""")"),7.6)</f>
        <v>7.6</v>
      </c>
      <c r="AM213" s="61">
        <f t="shared" si="2"/>
        <v>0.01447368421</v>
      </c>
      <c r="AN213" s="62">
        <f>IFERROR(__xludf.DUMMYFUNCTION("IFERROR((GOOGLEFINANCE($A213,""volume"")),0)"),8500.0)</f>
        <v>8500</v>
      </c>
      <c r="AO213" s="60">
        <f>IFERROR(__xludf.DUMMYFUNCTION("IFERROR((GOOGLEFINANCE($A213,""closeyest"")),"""")"),7.66)</f>
        <v>7.66</v>
      </c>
      <c r="AP213" s="60">
        <f>IFERROR(__xludf.DUMMYFUNCTION("IFERROR((GOOGLEFINANCE($A213,""shares"")),"""")"),1.16481187E8)</f>
        <v>116481187</v>
      </c>
      <c r="AQ213" s="18"/>
    </row>
    <row r="214">
      <c r="A214" s="45" t="str">
        <f>'Dados StatusInvest'!A209:A828</f>
        <v>DEXP4</v>
      </c>
      <c r="B214" s="46" t="str">
        <f>IFERROR(__xludf.DUMMYFUNCTION("IFERROR((GOOGLEFINANCE(A214,""name"")),"""")"),"Dexxos Participacoes SA Preference Shares")</f>
        <v>Dexxos Participacoes SA Preference Shares</v>
      </c>
      <c r="C214" s="46" t="str">
        <f>IFERROR((VLOOKUP(LEFT($A214,4),Setor!$A:$E,3,0)),"")</f>
        <v>Petróleo, Gás e Biocombustíveis</v>
      </c>
      <c r="D214" s="46" t="str">
        <f>IFERROR((VLOOKUP(LEFT($A214,4),Setor!$A:$E,4,0)),"")</f>
        <v>Petróleo, Gás e Biocombustíveis</v>
      </c>
      <c r="E214" s="46" t="str">
        <f>IFERROR((VLOOKUP(LEFT($A214,4),Setor!$A:$E,5,0)),"")</f>
        <v>Exploração, Refino e Distribuição</v>
      </c>
      <c r="F214" s="47">
        <f>IFERROR(__xludf.DUMMYFUNCTION("IFERROR((GOOGLEFINANCE(A214)),"""")"),7.65)</f>
        <v>7.65</v>
      </c>
      <c r="G214" s="48" t="str">
        <f>IFERROR(__xludf.DUMMYFUNCTION("IFERROR((sparkline(GOOGLEFINANCE($A214,""price"",TODAY()-30,TODAY(),""DAILY""),{""charttype"",""line"";""linewidth"",1;""color"",""#5f88cc""})),"""")"),"")</f>
        <v/>
      </c>
      <c r="H214" s="49">
        <f>IFERROR(__xludf.DUMMYFUNCTION("IFERROR((((GOOGLEFINANCE(A214))-(INDEX(GoogleFinance(A214,""PRICE"",$AQ$1),2,2)))/(INDEX(GoogleFinance(A214,""PRICE"",$AQ$1),2,2))),"""")"),0.04794520547945213)</f>
        <v>0.04794520548</v>
      </c>
      <c r="I214" s="47">
        <f>IFERROR(__xludf.DUMMYFUNCTION("IFERROR((GOOGLEFINANCE($A214,""high52"")),"""")"),8.49)</f>
        <v>8.49</v>
      </c>
      <c r="J214" s="48" t="str">
        <f>IFERROR(__xludf.DUMMYFUNCTION("IFERROR((sparkline(GOOGLEFINANCE($A214,""price"",TODAY()-365,TODAY(),""DAILY""),{""charttype"",""line"";""linewidth"",1;""color"",""#5f88cc""})),"""")"),"")</f>
        <v/>
      </c>
      <c r="K214" s="50">
        <f>IFERROR(__xludf.DUMMYFUNCTION("IFERROR((((GOOGLEFINANCE(A214))-(INDEX(GoogleFinance(A214,""PRICE"",$AP$1),2,2)))/(INDEX(GoogleFinance(A214,""PRICE"",$AP$1),2,2))),"""")"),0.009234828496042255)</f>
        <v>0.009234828496</v>
      </c>
      <c r="L214" s="51">
        <f t="shared" si="1"/>
        <v>-0.09893992933</v>
      </c>
      <c r="M214" s="52">
        <f>IFERROR((VLOOKUP($A214,'Dados StatusInvest'!$A:$AZ,COLUMN(M214)-$A$5,0)*VLOOKUP($A214,'Dados StatusInvest'!$A:$AZ,2,0)/$F214/100),0)</f>
        <v>0.1066</v>
      </c>
      <c r="N214" s="53">
        <f>IFERROR((VLOOKUP($A214,'Dados StatusInvest'!$A:$AZ,COLUMN(N214)-$A$5,0)/VLOOKUP($A214,'Dados StatusInvest'!$A:$AZ,2,0)*$F214),"")</f>
        <v>7.08</v>
      </c>
      <c r="O214" s="53">
        <f>IFERROR((VLOOKUP($A214,'Dados StatusInvest'!$A:$AZ,COLUMN(O214)-$A$5,0)/VLOOKUP($A214,'Dados StatusInvest'!$A:$AZ,2,0)*$F214),0)</f>
        <v>4</v>
      </c>
      <c r="P214" s="54">
        <f>IFERROR((VLOOKUP($A214,'Dados StatusInvest'!$A:$AZ,COLUMN(P214)-$A$5,0)/VLOOKUP($A214,'Dados StatusInvest'!$A:$AZ,2,0)*$F214),0)</f>
        <v>3.69</v>
      </c>
      <c r="Q214" s="55">
        <f>IFERROR((VLOOKUP($A214,'Dados StatusInvest'!$A:$AZ,COLUMN(Q214)-$A$5,0)/100),0)</f>
        <v>-0.0035</v>
      </c>
      <c r="R214" s="56">
        <f>VLOOKUP($A214,'Dados StatusInvest'!$A:$AZ,COLUMN(R214)-$A$5,0)</f>
        <v>-0.08</v>
      </c>
      <c r="S214" s="56">
        <f>IFERROR((VLOOKUP($A214,'Dados StatusInvest'!$A:$AZ,COLUMN(S214)-$A$5,0)),0)</f>
        <v>0.43</v>
      </c>
      <c r="T214" s="53">
        <f>IFERROR((VLOOKUP($A214,'Dados StatusInvest'!$A:$AZ,COLUMN(T214)-$A$5,0)/VLOOKUP($A214,'Dados StatusInvest'!$A:$AZ,2,0)*$F214),0)</f>
        <v>1.27</v>
      </c>
      <c r="U214" s="53">
        <f>IFERROR((VLOOKUP($A214,'Dados StatusInvest'!$A:$AZ,COLUMN(U214)-$A$5,0)-VLOOKUP($A214,'Dados StatusInvest'!$A:$AZ,COLUMN(U214)-$A$5-1,0)+T214),0)</f>
        <v>-1.66</v>
      </c>
      <c r="V214" s="56">
        <f>IFERROR((VLOOKUP($A214,'Dados StatusInvest'!$A:$AZ,COLUMN(V214)-$A$5,0)),0)</f>
        <v>3.48</v>
      </c>
      <c r="W214" s="56">
        <f>IFERROR((VLOOKUP($A214,'Dados StatusInvest'!$A:$AZ,COLUMN(W214)-$A$5,0)),0)</f>
        <v>15</v>
      </c>
      <c r="X214" s="53">
        <f>IFERROR((VLOOKUP($A214,'Dados StatusInvest'!$A:$AZ,COLUMN(X214)-$A$5,0)/VLOOKUP($A214,'Dados StatusInvest'!$A:$AZ,2,0)*$F214),0)</f>
        <v>9.7</v>
      </c>
      <c r="Y214" s="54">
        <f>IFERROR((VLOOKUP($A214,'Dados StatusInvest'!$A:$AZ,COLUMN(Y214)-$A$5,0)/VLOOKUP($A214,'Dados StatusInvest'!$A:$AZ,2,0)*$F214),0)</f>
        <v>12.78</v>
      </c>
      <c r="Z214" s="56">
        <f>IFERROR((VLOOKUP($A214,'Dados StatusInvest'!$A:$AZ,COLUMN(Z214)-$A$5,0)),0)</f>
        <v>0.65</v>
      </c>
      <c r="AA214" s="57">
        <f>IFERROR((VLOOKUP($A214,'Dados StatusInvest'!$A:$AZ,COLUMN(AA214)-$A$5,0)),0)</f>
        <v>0.35</v>
      </c>
      <c r="AB214" s="57">
        <f>IFERROR((VLOOKUP($A214,'Dados StatusInvest'!$A:$AZ,COLUMN(AB214)-$A$5,0)),0)</f>
        <v>1.37</v>
      </c>
      <c r="AC214" s="58">
        <f>IFERROR((VLOOKUP($A214,'Dados StatusInvest'!$A:$AZ,COLUMN(AC214)-$A$5,0)),0)</f>
        <v>17.81</v>
      </c>
      <c r="AD214" s="57">
        <f>IFERROR((VLOOKUP($A214,'Dados StatusInvest'!$A:$AZ,COLUMN(AD214)-$A$5,0)),0)</f>
        <v>44.31</v>
      </c>
      <c r="AE214" s="56">
        <f>IFERROR((VLOOKUP($A214,'Dados StatusInvest'!$A:$AZ,COLUMN(AE214)-$A$5,0)),0)</f>
        <v>34692.7</v>
      </c>
      <c r="AF214" s="56">
        <f>IFERROR((VLOOKUP($A214,'Dados StatusInvest'!$A:$AZ,COLUMN(AF214)-$A$5,0)),0)</f>
        <v>8.46</v>
      </c>
      <c r="AG214" s="56">
        <f>IFERROR((VLOOKUP($A214,'Dados StatusInvest'!$A:$AZ,COLUMN(AG214)-$A$5,0)),0)</f>
        <v>1.27</v>
      </c>
      <c r="AH214" s="56">
        <f>IFERROR((VLOOKUP($A214,'Dados StatusInvest'!$A:$AZ,COLUMN(AH214)-$A$5,0)),0)</f>
        <v>-1.33</v>
      </c>
      <c r="AI214" s="57">
        <f>IFERROR((VLOOKUP($A214,'Dados StatusInvest'!$A:$AZ,COLUMN(AI214)-$A$5,0)),0)</f>
        <v>951237979.4</v>
      </c>
      <c r="AJ214" s="59" t="str">
        <f>IFERROR((VLOOKUP($A214,'Dados StatusInvest'!$A:$AZ,COLUMN(AJ214)-$A$5,0)),0)</f>
        <v/>
      </c>
      <c r="AK214" s="60" t="str">
        <f>IFERROR(__xludf.DUMMYFUNCTION("IFERROR(GOOGLEFINANCE($A214,""high""),"""")"),"")</f>
        <v/>
      </c>
      <c r="AL214" s="60" t="str">
        <f>IFERROR(__xludf.DUMMYFUNCTION("IFERROR(GOOGLEFINANCE($A214,""low""),"""")"),"")</f>
        <v/>
      </c>
      <c r="AM214" s="61">
        <f t="shared" si="2"/>
        <v>0</v>
      </c>
      <c r="AN214" s="62">
        <f>IFERROR(__xludf.DUMMYFUNCTION("IFERROR((GOOGLEFINANCE($A214,""volume"")),0)"),0.0)</f>
        <v>0</v>
      </c>
      <c r="AO214" s="60">
        <f>IFERROR(__xludf.DUMMYFUNCTION("IFERROR((GOOGLEFINANCE($A214,""closeyest"")),"""")"),7.65)</f>
        <v>7.65</v>
      </c>
      <c r="AP214" s="60">
        <f>IFERROR(__xludf.DUMMYFUNCTION("IFERROR((GOOGLEFINANCE($A214,""shares"")),"""")"),6493280.0)</f>
        <v>6493280</v>
      </c>
      <c r="AQ214" s="18"/>
    </row>
    <row r="215">
      <c r="A215" s="45" t="str">
        <f>'Dados StatusInvest'!A210:A829</f>
        <v>DIRR3</v>
      </c>
      <c r="B215" s="46" t="str">
        <f>IFERROR(__xludf.DUMMYFUNCTION("IFERROR((GOOGLEFINANCE(A215,""name"")),"""")"),"Direcional Engenharia SA")</f>
        <v>Direcional Engenharia SA</v>
      </c>
      <c r="C215" s="46" t="str">
        <f>IFERROR((VLOOKUP(LEFT($A215,4),Setor!$A:$E,3,0)),"")</f>
        <v>Consumo Cíclico</v>
      </c>
      <c r="D215" s="46" t="str">
        <f>IFERROR((VLOOKUP(LEFT($A215,4),Setor!$A:$E,4,0)),"")</f>
        <v>Construção Civil</v>
      </c>
      <c r="E215" s="46" t="str">
        <f>IFERROR((VLOOKUP(LEFT($A215,4),Setor!$A:$E,5,0)),"")</f>
        <v>Incorporações</v>
      </c>
      <c r="F215" s="47">
        <f>IFERROR(__xludf.DUMMYFUNCTION("IFERROR((GOOGLEFINANCE(A215)),"""")"),16.55)</f>
        <v>16.55</v>
      </c>
      <c r="G215" s="48" t="str">
        <f>IFERROR(__xludf.DUMMYFUNCTION("IFERROR((sparkline(GOOGLEFINANCE($A215,""price"",TODAY()-30,TODAY(),""DAILY""),{""charttype"",""line"";""linewidth"",1;""color"",""#5f88cc""})),"""")"),"")</f>
        <v/>
      </c>
      <c r="H215" s="49">
        <f>IFERROR(__xludf.DUMMYFUNCTION("IFERROR((((GOOGLEFINANCE(A215))-(INDEX(GoogleFinance(A215,""PRICE"",$AQ$1),2,2)))/(INDEX(GoogleFinance(A215,""PRICE"",$AQ$1),2,2))),"""")"),0.22956909361069833)</f>
        <v>0.2295690936</v>
      </c>
      <c r="I215" s="47">
        <f>IFERROR(__xludf.DUMMYFUNCTION("IFERROR((GOOGLEFINANCE($A215,""high52"")),"""")"),17.26)</f>
        <v>17.26</v>
      </c>
      <c r="J215" s="48" t="str">
        <f>IFERROR(__xludf.DUMMYFUNCTION("IFERROR((sparkline(GOOGLEFINANCE($A215,""price"",TODAY()-365,TODAY(),""DAILY""),{""charttype"",""line"";""linewidth"",1;""color"",""#5f88cc""})),"""")"),"")</f>
        <v/>
      </c>
      <c r="K215" s="50">
        <f>IFERROR(__xludf.DUMMYFUNCTION("IFERROR((((GOOGLEFINANCE(A215))-(INDEX(GoogleFinance(A215,""PRICE"",$AP$1),2,2)))/(INDEX(GoogleFinance(A215,""PRICE"",$AP$1),2,2))),"""")"),0.5928777670837343)</f>
        <v>0.5928777671</v>
      </c>
      <c r="L215" s="51">
        <f t="shared" si="1"/>
        <v>-0.04113557358</v>
      </c>
      <c r="M215" s="52">
        <f>IFERROR((VLOOKUP($A215,'Dados StatusInvest'!$A:$AZ,COLUMN(M215)-$A$5,0)*VLOOKUP($A215,'Dados StatusInvest'!$A:$AZ,2,0)/$F215/100),0)</f>
        <v>0.2339693656</v>
      </c>
      <c r="N215" s="53">
        <f>IFERROR((VLOOKUP($A215,'Dados StatusInvest'!$A:$AZ,COLUMN(N215)-$A$5,0)/VLOOKUP($A215,'Dados StatusInvest'!$A:$AZ,2,0)*$F215),"")</f>
        <v>18.5435003</v>
      </c>
      <c r="O215" s="53">
        <f>IFERROR((VLOOKUP($A215,'Dados StatusInvest'!$A:$AZ,COLUMN(O215)-$A$5,0)/VLOOKUP($A215,'Dados StatusInvest'!$A:$AZ,2,0)*$F215),0)</f>
        <v>9.237209302</v>
      </c>
      <c r="P215" s="54">
        <f>IFERROR((VLOOKUP($A215,'Dados StatusInvest'!$A:$AZ,COLUMN(P215)-$A$5,0)/VLOOKUP($A215,'Dados StatusInvest'!$A:$AZ,2,0)*$F215),0)</f>
        <v>9.46419201</v>
      </c>
      <c r="Q215" s="55">
        <f>IFERROR((VLOOKUP($A215,'Dados StatusInvest'!$A:$AZ,COLUMN(Q215)-$A$5,0)/100),0)</f>
        <v>0.0023</v>
      </c>
      <c r="R215" s="56">
        <f>VLOOKUP($A215,'Dados StatusInvest'!$A:$AZ,COLUMN(R215)-$A$5,0)</f>
        <v>0.09</v>
      </c>
      <c r="S215" s="56">
        <f>IFERROR((VLOOKUP($A215,'Dados StatusInvest'!$A:$AZ,COLUMN(S215)-$A$5,0)),0)</f>
        <v>2.16</v>
      </c>
      <c r="T215" s="53">
        <f>IFERROR((VLOOKUP($A215,'Dados StatusInvest'!$A:$AZ,COLUMN(T215)-$A$5,0)/VLOOKUP($A215,'Dados StatusInvest'!$A:$AZ,2,0)*$F215),0)</f>
        <v>2.062581992</v>
      </c>
      <c r="U215" s="53">
        <f>IFERROR((VLOOKUP($A215,'Dados StatusInvest'!$A:$AZ,COLUMN(U215)-$A$5,0)-VLOOKUP($A215,'Dados StatusInvest'!$A:$AZ,COLUMN(U215)-$A$5-1,0)+T215),0)</f>
        <v>-1.307418008</v>
      </c>
      <c r="V215" s="56">
        <f>IFERROR((VLOOKUP($A215,'Dados StatusInvest'!$A:$AZ,COLUMN(V215)-$A$5,0)),0)</f>
        <v>3.93</v>
      </c>
      <c r="W215" s="56">
        <f>IFERROR((VLOOKUP($A215,'Dados StatusInvest'!$A:$AZ,COLUMN(W215)-$A$5,0)),0)</f>
        <v>31.05</v>
      </c>
      <c r="X215" s="53">
        <f>IFERROR((VLOOKUP($A215,'Dados StatusInvest'!$A:$AZ,COLUMN(X215)-$A$5,0)/VLOOKUP($A215,'Dados StatusInvest'!$A:$AZ,2,0)*$F215),0)</f>
        <v>6.039713775</v>
      </c>
      <c r="Y215" s="54">
        <f>IFERROR((VLOOKUP($A215,'Dados StatusInvest'!$A:$AZ,COLUMN(Y215)-$A$5,0)/VLOOKUP($A215,'Dados StatusInvest'!$A:$AZ,2,0)*$F215),0)</f>
        <v>15.46443053</v>
      </c>
      <c r="Z215" s="56">
        <f>IFERROR((VLOOKUP($A215,'Dados StatusInvest'!$A:$AZ,COLUMN(Z215)-$A$5,0)),0)</f>
        <v>0.2</v>
      </c>
      <c r="AA215" s="57">
        <f>IFERROR((VLOOKUP($A215,'Dados StatusInvest'!$A:$AZ,COLUMN(AA215)-$A$5,0)),0)</f>
        <v>0.78</v>
      </c>
      <c r="AB215" s="57">
        <f>IFERROR((VLOOKUP($A215,'Dados StatusInvest'!$A:$AZ,COLUMN(AB215)-$A$5,0)),0)</f>
        <v>0.33</v>
      </c>
      <c r="AC215" s="58">
        <f>IFERROR((VLOOKUP($A215,'Dados StatusInvest'!$A:$AZ,COLUMN(AC215)-$A$5,0)),0)</f>
        <v>18.09</v>
      </c>
      <c r="AD215" s="57">
        <f>IFERROR((VLOOKUP($A215,'Dados StatusInvest'!$A:$AZ,COLUMN(AD215)-$A$5,0)),0)</f>
        <v>49.86</v>
      </c>
      <c r="AE215" s="56">
        <f>IFERROR((VLOOKUP($A215,'Dados StatusInvest'!$A:$AZ,COLUMN(AE215)-$A$5,0)),0)</f>
        <v>117000000</v>
      </c>
      <c r="AF215" s="56">
        <f>IFERROR((VLOOKUP($A215,'Dados StatusInvest'!$A:$AZ,COLUMN(AF215)-$A$5,0)),0)</f>
        <v>4.7</v>
      </c>
      <c r="AG215" s="56">
        <f>IFERROR((VLOOKUP($A215,'Dados StatusInvest'!$A:$AZ,COLUMN(AG215)-$A$5,0)),0)</f>
        <v>1.46</v>
      </c>
      <c r="AH215" s="56">
        <f>IFERROR((VLOOKUP($A215,'Dados StatusInvest'!$A:$AZ,COLUMN(AH215)-$A$5,0)),0)</f>
        <v>0.32</v>
      </c>
      <c r="AI215" s="57">
        <f>IFERROR((VLOOKUP($A215,'Dados StatusInvest'!$A:$AZ,COLUMN(AI215)-$A$5,0)),0)</f>
        <v>8728785000</v>
      </c>
      <c r="AJ215" s="59" t="str">
        <f>IFERROR((VLOOKUP($A215,'Dados StatusInvest'!$A:$AZ,COLUMN(AJ215)-$A$5,0)),0)</f>
        <v/>
      </c>
      <c r="AK215" s="60">
        <f>IFERROR(__xludf.DUMMYFUNCTION("IFERROR(GOOGLEFINANCE($A215,""high""),"""")"),16.7)</f>
        <v>16.7</v>
      </c>
      <c r="AL215" s="60">
        <f>IFERROR(__xludf.DUMMYFUNCTION("IFERROR(GOOGLEFINANCE($A215,""low""),"""")"),16.48)</f>
        <v>16.48</v>
      </c>
      <c r="AM215" s="61">
        <f t="shared" si="2"/>
        <v>0.01334951456</v>
      </c>
      <c r="AN215" s="62">
        <f>IFERROR(__xludf.DUMMYFUNCTION("IFERROR((GOOGLEFINANCE($A215,""volume"")),0)"),186600.0)</f>
        <v>186600</v>
      </c>
      <c r="AO215" s="60">
        <f>IFERROR(__xludf.DUMMYFUNCTION("IFERROR((GOOGLEFINANCE($A215,""closeyest"")),"""")"),16.77)</f>
        <v>16.77</v>
      </c>
      <c r="AP215" s="60">
        <f>IFERROR(__xludf.DUMMYFUNCTION("IFERROR((GOOGLEFINANCE($A215,""shares"")),"""")"),5.205E8)</f>
        <v>520500000</v>
      </c>
      <c r="AQ215" s="18"/>
    </row>
    <row r="216">
      <c r="A216" s="45" t="str">
        <f>'Dados StatusInvest'!A211:A830</f>
        <v>DMMO3</v>
      </c>
      <c r="B216" s="46" t="str">
        <f>IFERROR(__xludf.DUMMYFUNCTION("IFERROR((GOOGLEFINANCE(A216,""name"")),"""")"),"")</f>
        <v/>
      </c>
      <c r="C216" s="46" t="str">
        <f>IFERROR((VLOOKUP(LEFT($A216,4),Setor!$A:$E,3,0)),"")</f>
        <v>Petróleo, Gás e Biocombustíveis</v>
      </c>
      <c r="D216" s="46" t="str">
        <f>IFERROR((VLOOKUP(LEFT($A216,4),Setor!$A:$E,4,0)),"")</f>
        <v>Petróleo, Gás e Biocombustíveis</v>
      </c>
      <c r="E216" s="46" t="str">
        <f>IFERROR((VLOOKUP(LEFT($A216,4),Setor!$A:$E,5,0)),"")</f>
        <v>Exploração, Refino e Distribuição</v>
      </c>
      <c r="F216" s="47" t="str">
        <f>IFERROR(__xludf.DUMMYFUNCTION("IFERROR((GOOGLEFINANCE(A216)),"""")"),"")</f>
        <v/>
      </c>
      <c r="G216" s="48" t="str">
        <f>IFERROR(__xludf.DUMMYFUNCTION("IFERROR((sparkline(GOOGLEFINANCE($A216,""price"",TODAY()-30,TODAY(),""DAILY""),{""charttype"",""line"";""linewidth"",1;""color"",""#5f88cc""})),"""")"),"")</f>
        <v/>
      </c>
      <c r="H216" s="49" t="str">
        <f>IFERROR(__xludf.DUMMYFUNCTION("IFERROR((((GOOGLEFINANCE(A216))-(INDEX(GoogleFinance(A216,""PRICE"",$AQ$1),2,2)))/(INDEX(GoogleFinance(A216,""PRICE"",$AQ$1),2,2))),"""")"),"")</f>
        <v/>
      </c>
      <c r="I216" s="47" t="str">
        <f>IFERROR(__xludf.DUMMYFUNCTION("IFERROR((GOOGLEFINANCE($A216,""high52"")),"""")"),"")</f>
        <v/>
      </c>
      <c r="J216" s="48" t="str">
        <f>IFERROR(__xludf.DUMMYFUNCTION("IFERROR((sparkline(GOOGLEFINANCE($A216,""price"",TODAY()-365,TODAY(),""DAILY""),{""charttype"",""line"";""linewidth"",1;""color"",""#5f88cc""})),"""")"),"")</f>
        <v/>
      </c>
      <c r="K216" s="50" t="str">
        <f>IFERROR(__xludf.DUMMYFUNCTION("IFERROR((((GOOGLEFINANCE(A216))-(INDEX(GoogleFinance(A216,""PRICE"",$AP$1),2,2)))/(INDEX(GoogleFinance(A216,""PRICE"",$AP$1),2,2))),"""")"),"")</f>
        <v/>
      </c>
      <c r="L216" s="51">
        <f t="shared" si="1"/>
        <v>0</v>
      </c>
      <c r="M216" s="52">
        <f>IFERROR((VLOOKUP($A216,'Dados StatusInvest'!$A:$AZ,COLUMN(M216)-$A$5,0)*VLOOKUP($A216,'Dados StatusInvest'!$A:$AZ,2,0)/$F216/100),0)</f>
        <v>0</v>
      </c>
      <c r="N216" s="53">
        <f>IFERROR((VLOOKUP($A216,'Dados StatusInvest'!$A:$AZ,COLUMN(N216)-$A$5,0)/VLOOKUP($A216,'Dados StatusInvest'!$A:$AZ,2,0)*$F216),"")</f>
        <v>0</v>
      </c>
      <c r="O216" s="53">
        <f>IFERROR((VLOOKUP($A216,'Dados StatusInvest'!$A:$AZ,COLUMN(O216)-$A$5,0)/VLOOKUP($A216,'Dados StatusInvest'!$A:$AZ,2,0)*$F216),0)</f>
        <v>0</v>
      </c>
      <c r="P216" s="54">
        <f>IFERROR((VLOOKUP($A216,'Dados StatusInvest'!$A:$AZ,COLUMN(P216)-$A$5,0)/VLOOKUP($A216,'Dados StatusInvest'!$A:$AZ,2,0)*$F216),0)</f>
        <v>0</v>
      </c>
      <c r="Q216" s="55">
        <f>IFERROR((VLOOKUP($A216,'Dados StatusInvest'!$A:$AZ,COLUMN(Q216)-$A$5,0)/100),0)</f>
        <v>0</v>
      </c>
      <c r="R216" s="56">
        <f>VLOOKUP($A216,'Dados StatusInvest'!$A:$AZ,COLUMN(R216)-$A$5,0)</f>
        <v>0</v>
      </c>
      <c r="S216" s="56">
        <f>IFERROR((VLOOKUP($A216,'Dados StatusInvest'!$A:$AZ,COLUMN(S216)-$A$5,0)),0)</f>
        <v>0.12</v>
      </c>
      <c r="T216" s="53">
        <f>IFERROR((VLOOKUP($A216,'Dados StatusInvest'!$A:$AZ,COLUMN(T216)-$A$5,0)/VLOOKUP($A216,'Dados StatusInvest'!$A:$AZ,2,0)*$F216),0)</f>
        <v>0</v>
      </c>
      <c r="U216" s="53">
        <f>IFERROR((VLOOKUP($A216,'Dados StatusInvest'!$A:$AZ,COLUMN(U216)-$A$5,0)-VLOOKUP($A216,'Dados StatusInvest'!$A:$AZ,COLUMN(U216)-$A$5-1,0)+T216),0)</f>
        <v>-4.74</v>
      </c>
      <c r="V216" s="56">
        <f>IFERROR((VLOOKUP($A216,'Dados StatusInvest'!$A:$AZ,COLUMN(V216)-$A$5,0)),0)</f>
        <v>0</v>
      </c>
      <c r="W216" s="56">
        <f>IFERROR((VLOOKUP($A216,'Dados StatusInvest'!$A:$AZ,COLUMN(W216)-$A$5,0)),0)</f>
        <v>13.29</v>
      </c>
      <c r="X216" s="53">
        <f>IFERROR((VLOOKUP($A216,'Dados StatusInvest'!$A:$AZ,COLUMN(X216)-$A$5,0)/VLOOKUP($A216,'Dados StatusInvest'!$A:$AZ,2,0)*$F216),0)</f>
        <v>0</v>
      </c>
      <c r="Y216" s="54">
        <f>IFERROR((VLOOKUP($A216,'Dados StatusInvest'!$A:$AZ,COLUMN(Y216)-$A$5,0)/VLOOKUP($A216,'Dados StatusInvest'!$A:$AZ,2,0)*$F216),0)</f>
        <v>0</v>
      </c>
      <c r="Z216" s="56">
        <f>IFERROR((VLOOKUP($A216,'Dados StatusInvest'!$A:$AZ,COLUMN(Z216)-$A$5,0)),0)</f>
        <v>0.05</v>
      </c>
      <c r="AA216" s="57">
        <f>IFERROR((VLOOKUP($A216,'Dados StatusInvest'!$A:$AZ,COLUMN(AA216)-$A$5,0)),0)</f>
        <v>0.95</v>
      </c>
      <c r="AB216" s="57">
        <f>IFERROR((VLOOKUP($A216,'Dados StatusInvest'!$A:$AZ,COLUMN(AB216)-$A$5,0)),0)</f>
        <v>0.16</v>
      </c>
      <c r="AC216" s="58">
        <f>IFERROR((VLOOKUP($A216,'Dados StatusInvest'!$A:$AZ,COLUMN(AC216)-$A$5,0)),0)</f>
        <v>51.46</v>
      </c>
      <c r="AD216" s="57">
        <f>IFERROR((VLOOKUP($A216,'Dados StatusInvest'!$A:$AZ,COLUMN(AD216)-$A$5,0)),0)</f>
        <v>0</v>
      </c>
      <c r="AE216" s="56">
        <f>IFERROR((VLOOKUP($A216,'Dados StatusInvest'!$A:$AZ,COLUMN(AE216)-$A$5,0)),0)</f>
        <v>0</v>
      </c>
      <c r="AF216" s="56">
        <f>IFERROR((VLOOKUP($A216,'Dados StatusInvest'!$A:$AZ,COLUMN(AF216)-$A$5,0)),0)</f>
        <v>4.29</v>
      </c>
      <c r="AG216" s="56">
        <f>IFERROR((VLOOKUP($A216,'Dados StatusInvest'!$A:$AZ,COLUMN(AG216)-$A$5,0)),0)</f>
        <v>0.57</v>
      </c>
      <c r="AH216" s="56">
        <f>IFERROR((VLOOKUP($A216,'Dados StatusInvest'!$A:$AZ,COLUMN(AH216)-$A$5,0)),0)</f>
        <v>0.01</v>
      </c>
      <c r="AI216" s="57">
        <f>IFERROR((VLOOKUP($A216,'Dados StatusInvest'!$A:$AZ,COLUMN(AI216)-$A$5,0)),0)</f>
        <v>949254731</v>
      </c>
      <c r="AJ216" s="59" t="str">
        <f>IFERROR((VLOOKUP($A216,'Dados StatusInvest'!$A:$AZ,COLUMN(AJ216)-$A$5,0)),0)</f>
        <v/>
      </c>
      <c r="AK216" s="60" t="str">
        <f>IFERROR(__xludf.DUMMYFUNCTION("IFERROR(GOOGLEFINANCE($A216,""high""),"""")"),"")</f>
        <v/>
      </c>
      <c r="AL216" s="60" t="str">
        <f>IFERROR(__xludf.DUMMYFUNCTION("IFERROR(GOOGLEFINANCE($A216,""low""),"""")"),"")</f>
        <v/>
      </c>
      <c r="AM216" s="61">
        <f t="shared" si="2"/>
        <v>0</v>
      </c>
      <c r="AN216" s="62">
        <f>IFERROR(__xludf.DUMMYFUNCTION("IFERROR((GOOGLEFINANCE($A216,""volume"")),0)"),0.0)</f>
        <v>0</v>
      </c>
      <c r="AO216" s="60" t="str">
        <f>IFERROR(__xludf.DUMMYFUNCTION("IFERROR((GOOGLEFINANCE($A216,""closeyest"")),"""")"),"")</f>
        <v/>
      </c>
      <c r="AP216" s="60" t="str">
        <f>IFERROR(__xludf.DUMMYFUNCTION("IFERROR((GOOGLEFINANCE($A216,""shares"")),"""")"),"")</f>
        <v/>
      </c>
      <c r="AQ216" s="18"/>
    </row>
    <row r="217">
      <c r="A217" s="45" t="str">
        <f>'Dados StatusInvest'!A212:A831</f>
        <v>DMVF3</v>
      </c>
      <c r="B217" s="46" t="str">
        <f>IFERROR(__xludf.DUMMYFUNCTION("IFERROR((GOOGLEFINANCE(A217,""name"")),"""")"),"D1000 Varejo Farma Participacoes SA")</f>
        <v>D1000 Varejo Farma Participacoes SA</v>
      </c>
      <c r="C217" s="46" t="str">
        <f>IFERROR((VLOOKUP(LEFT($A217,4),Setor!$A:$E,3,0)),"")</f>
        <v>Saúde</v>
      </c>
      <c r="D217" s="46" t="str">
        <f>IFERROR((VLOOKUP(LEFT($A217,4),Setor!$A:$E,4,0)),"")</f>
        <v>Comércio e Distribuição</v>
      </c>
      <c r="E217" s="46" t="str">
        <f>IFERROR((VLOOKUP(LEFT($A217,4),Setor!$A:$E,5,0)),"")</f>
        <v>Medicamentos e Outros Produtos</v>
      </c>
      <c r="F217" s="47">
        <f>IFERROR(__xludf.DUMMYFUNCTION("IFERROR((GOOGLEFINANCE(A217)),"""")"),6.91)</f>
        <v>6.91</v>
      </c>
      <c r="G217" s="48" t="str">
        <f>IFERROR(__xludf.DUMMYFUNCTION("IFERROR((sparkline(GOOGLEFINANCE($A217,""price"",TODAY()-30,TODAY(),""DAILY""),{""charttype"",""line"";""linewidth"",1;""color"",""#5f88cc""})),"""")"),"")</f>
        <v/>
      </c>
      <c r="H217" s="49">
        <f>IFERROR(__xludf.DUMMYFUNCTION("IFERROR((((GOOGLEFINANCE(A217))-(INDEX(GoogleFinance(A217,""PRICE"",$AQ$1),2,2)))/(INDEX(GoogleFinance(A217,""PRICE"",$AQ$1),2,2))),"""")"),-0.012857142857142836)</f>
        <v>-0.01285714286</v>
      </c>
      <c r="I217" s="47">
        <f>IFERROR(__xludf.DUMMYFUNCTION("IFERROR((GOOGLEFINANCE($A217,""high52"")),"""")"),7.14)</f>
        <v>7.14</v>
      </c>
      <c r="J217" s="48" t="str">
        <f>IFERROR(__xludf.DUMMYFUNCTION("IFERROR((sparkline(GOOGLEFINANCE($A217,""price"",TODAY()-365,TODAY(),""DAILY""),{""charttype"",""line"";""linewidth"",1;""color"",""#5f88cc""})),"""")"),"")</f>
        <v/>
      </c>
      <c r="K217" s="50">
        <f>IFERROR(__xludf.DUMMYFUNCTION("IFERROR((((GOOGLEFINANCE(A217))-(INDEX(GoogleFinance(A217,""PRICE"",$AP$1),2,2)))/(INDEX(GoogleFinance(A217,""PRICE"",$AP$1),2,2))),"""")"),0.13093289689034365)</f>
        <v>0.1309328969</v>
      </c>
      <c r="L217" s="51">
        <f t="shared" si="1"/>
        <v>-0.03221288515</v>
      </c>
      <c r="M217" s="52">
        <f>IFERROR((VLOOKUP($A217,'Dados StatusInvest'!$A:$AZ,COLUMN(M217)-$A$5,0)*VLOOKUP($A217,'Dados StatusInvest'!$A:$AZ,2,0)/$F217/100),0)</f>
        <v>0.02656642547</v>
      </c>
      <c r="N217" s="53">
        <f>IFERROR((VLOOKUP($A217,'Dados StatusInvest'!$A:$AZ,COLUMN(N217)-$A$5,0)/VLOOKUP($A217,'Dados StatusInvest'!$A:$AZ,2,0)*$F217),"")</f>
        <v>0.6335816619</v>
      </c>
      <c r="O217" s="53">
        <f>IFERROR((VLOOKUP($A217,'Dados StatusInvest'!$A:$AZ,COLUMN(O217)-$A$5,0)/VLOOKUP($A217,'Dados StatusInvest'!$A:$AZ,2,0)*$F217),0)</f>
        <v>5.118151862</v>
      </c>
      <c r="P217" s="54">
        <f>IFERROR((VLOOKUP($A217,'Dados StatusInvest'!$A:$AZ,COLUMN(P217)-$A$5,0)/VLOOKUP($A217,'Dados StatusInvest'!$A:$AZ,2,0)*$F217),0)</f>
        <v>5.385444126</v>
      </c>
      <c r="Q217" s="55">
        <f>IFERROR((VLOOKUP($A217,'Dados StatusInvest'!$A:$AZ,COLUMN(Q217)-$A$5,0)/100),0)</f>
        <v>0.0027</v>
      </c>
      <c r="R217" s="56">
        <f>VLOOKUP($A217,'Dados StatusInvest'!$A:$AZ,COLUMN(R217)-$A$5,0)</f>
        <v>0.02</v>
      </c>
      <c r="S217" s="56">
        <f>IFERROR((VLOOKUP($A217,'Dados StatusInvest'!$A:$AZ,COLUMN(S217)-$A$5,0)),0)</f>
        <v>0.14</v>
      </c>
      <c r="T217" s="53">
        <f>IFERROR((VLOOKUP($A217,'Dados StatusInvest'!$A:$AZ,COLUMN(T217)-$A$5,0)/VLOOKUP($A217,'Dados StatusInvest'!$A:$AZ,2,0)*$F217),0)</f>
        <v>9.206733524</v>
      </c>
      <c r="U217" s="53">
        <f>IFERROR((VLOOKUP($A217,'Dados StatusInvest'!$A:$AZ,COLUMN(U217)-$A$5,0)-VLOOKUP($A217,'Dados StatusInvest'!$A:$AZ,COLUMN(U217)-$A$5-1,0)+T217),0)</f>
        <v>-0.3632664756</v>
      </c>
      <c r="V217" s="56">
        <f>IFERROR((VLOOKUP($A217,'Dados StatusInvest'!$A:$AZ,COLUMN(V217)-$A$5,0)),0)</f>
        <v>1.06</v>
      </c>
      <c r="W217" s="56">
        <f>IFERROR((VLOOKUP($A217,'Dados StatusInvest'!$A:$AZ,COLUMN(W217)-$A$5,0)),0)</f>
        <v>1.83</v>
      </c>
      <c r="X217" s="53">
        <f>IFERROR((VLOOKUP($A217,'Dados StatusInvest'!$A:$AZ,COLUMN(X217)-$A$5,0)/VLOOKUP($A217,'Dados StatusInvest'!$A:$AZ,2,0)*$F217),0)</f>
        <v>0.8513753582</v>
      </c>
      <c r="Y217" s="54">
        <f>IFERROR((VLOOKUP($A217,'Dados StatusInvest'!$A:$AZ,COLUMN(Y217)-$A$5,0)/VLOOKUP($A217,'Dados StatusInvest'!$A:$AZ,2,0)*$F217),0)</f>
        <v>6.603108883</v>
      </c>
      <c r="Z217" s="56">
        <f>IFERROR((VLOOKUP($A217,'Dados StatusInvest'!$A:$AZ,COLUMN(Z217)-$A$5,0)),0)</f>
        <v>0.47</v>
      </c>
      <c r="AA217" s="57">
        <f>IFERROR((VLOOKUP($A217,'Dados StatusInvest'!$A:$AZ,COLUMN(AA217)-$A$5,0)),0)</f>
        <v>0.53</v>
      </c>
      <c r="AB217" s="57">
        <f>IFERROR((VLOOKUP($A217,'Dados StatusInvest'!$A:$AZ,COLUMN(AB217)-$A$5,0)),0)</f>
        <v>1.34</v>
      </c>
      <c r="AC217" s="58">
        <f>IFERROR((VLOOKUP($A217,'Dados StatusInvest'!$A:$AZ,COLUMN(AC217)-$A$5,0)),0)</f>
        <v>353.03</v>
      </c>
      <c r="AD217" s="57">
        <f>IFERROR((VLOOKUP($A217,'Dados StatusInvest'!$A:$AZ,COLUMN(AD217)-$A$5,0)),0)</f>
        <v>0</v>
      </c>
      <c r="AE217" s="56">
        <f>IFERROR((VLOOKUP($A217,'Dados StatusInvest'!$A:$AZ,COLUMN(AE217)-$A$5,0)),0)</f>
        <v>301687.2</v>
      </c>
      <c r="AF217" s="56">
        <f>IFERROR((VLOOKUP($A217,'Dados StatusInvest'!$A:$AZ,COLUMN(AF217)-$A$5,0)),0)</f>
        <v>17.98</v>
      </c>
      <c r="AG217" s="56">
        <f>IFERROR((VLOOKUP($A217,'Dados StatusInvest'!$A:$AZ,COLUMN(AG217)-$A$5,0)),0)</f>
        <v>0.33</v>
      </c>
      <c r="AH217" s="56">
        <f>IFERROR((VLOOKUP($A217,'Dados StatusInvest'!$A:$AZ,COLUMN(AH217)-$A$5,0)),0)</f>
        <v>-0.45</v>
      </c>
      <c r="AI217" s="57">
        <f>IFERROR((VLOOKUP($A217,'Dados StatusInvest'!$A:$AZ,COLUMN(AI217)-$A$5,0)),0)</f>
        <v>353207837.2</v>
      </c>
      <c r="AJ217" s="59" t="str">
        <f>IFERROR((VLOOKUP($A217,'Dados StatusInvest'!$A:$AZ,COLUMN(AJ217)-$A$5,0)),0)</f>
        <v/>
      </c>
      <c r="AK217" s="60">
        <f>IFERROR(__xludf.DUMMYFUNCTION("IFERROR(GOOGLEFINANCE($A217,""high""),"""")"),6.95)</f>
        <v>6.95</v>
      </c>
      <c r="AL217" s="60">
        <f>IFERROR(__xludf.DUMMYFUNCTION("IFERROR(GOOGLEFINANCE($A217,""low""),"""")"),6.87)</f>
        <v>6.87</v>
      </c>
      <c r="AM217" s="61">
        <f t="shared" si="2"/>
        <v>0.01164483261</v>
      </c>
      <c r="AN217" s="62">
        <f>IFERROR(__xludf.DUMMYFUNCTION("IFERROR((GOOGLEFINANCE($A217,""volume"")),0)"),600.0)</f>
        <v>600</v>
      </c>
      <c r="AO217" s="60">
        <f>IFERROR(__xludf.DUMMYFUNCTION("IFERROR((GOOGLEFINANCE($A217,""closeyest"")),"""")"),6.98)</f>
        <v>6.98</v>
      </c>
      <c r="AP217" s="60">
        <f>IFERROR(__xludf.DUMMYFUNCTION("IFERROR((GOOGLEFINANCE($A217,""shares"")),"""")"),5.0602842E7)</f>
        <v>50602842</v>
      </c>
      <c r="AQ217" s="18"/>
    </row>
    <row r="218">
      <c r="A218" s="45" t="str">
        <f>'Dados StatusInvest'!A213:A832</f>
        <v>DOHL3</v>
      </c>
      <c r="B218" s="46" t="str">
        <f>IFERROR(__xludf.DUMMYFUNCTION("IFERROR((GOOGLEFINANCE(A218,""name"")),"""")"),"Dohler SA")</f>
        <v>Dohler SA</v>
      </c>
      <c r="C218" s="46" t="str">
        <f>IFERROR((VLOOKUP(LEFT($A218,4),Setor!$A:$E,3,0)),"")</f>
        <v>Consumo Cíclico</v>
      </c>
      <c r="D218" s="46" t="str">
        <f>IFERROR((VLOOKUP(LEFT($A218,4),Setor!$A:$E,4,0)),"")</f>
        <v>Tecidos, Vestuário e Calçados</v>
      </c>
      <c r="E218" s="46" t="str">
        <f>IFERROR((VLOOKUP(LEFT($A218,4),Setor!$A:$E,5,0)),"")</f>
        <v>Fios e Tecidos</v>
      </c>
      <c r="F218" s="47">
        <f>IFERROR(__xludf.DUMMYFUNCTION("IFERROR((GOOGLEFINANCE(A218)),"""")"),6.51)</f>
        <v>6.51</v>
      </c>
      <c r="G218" s="48" t="str">
        <f>IFERROR(__xludf.DUMMYFUNCTION("IFERROR((sparkline(GOOGLEFINANCE($A218,""price"",TODAY()-30,TODAY(),""DAILY""),{""charttype"",""line"";""linewidth"",1;""color"",""#5f88cc""})),"""")"),"")</f>
        <v/>
      </c>
      <c r="H218" s="49" t="str">
        <f>IFERROR(__xludf.DUMMYFUNCTION("IFERROR((((GOOGLEFINANCE(A218))-(INDEX(GoogleFinance(A218,""PRICE"",$AQ$1),2,2)))/(INDEX(GoogleFinance(A218,""PRICE"",$AQ$1),2,2))),"""")"),"")</f>
        <v/>
      </c>
      <c r="I218" s="47">
        <f>IFERROR(__xludf.DUMMYFUNCTION("IFERROR((GOOGLEFINANCE($A218,""high52"")),"""")"),6.51)</f>
        <v>6.51</v>
      </c>
      <c r="J218" s="48" t="str">
        <f>IFERROR(__xludf.DUMMYFUNCTION("IFERROR((sparkline(GOOGLEFINANCE($A218,""price"",TODAY()-365,TODAY(),""DAILY""),{""charttype"",""line"";""linewidth"",1;""color"",""#5f88cc""})),"""")"),"")</f>
        <v/>
      </c>
      <c r="K218" s="50">
        <f>IFERROR(__xludf.DUMMYFUNCTION("IFERROR((((GOOGLEFINANCE(A218))-(INDEX(GoogleFinance(A218,""PRICE"",$AP$1),2,2)))/(INDEX(GoogleFinance(A218,""PRICE"",$AP$1),2,2))),"""")"),0.08499999999999996)</f>
        <v>0.085</v>
      </c>
      <c r="L218" s="51">
        <f t="shared" si="1"/>
        <v>0</v>
      </c>
      <c r="M218" s="52">
        <f>IFERROR((VLOOKUP($A218,'Dados StatusInvest'!$A:$AZ,COLUMN(M218)-$A$5,0)*VLOOKUP($A218,'Dados StatusInvest'!$A:$AZ,2,0)/$F218/100),0)</f>
        <v>-0.0135</v>
      </c>
      <c r="N218" s="53">
        <f>IFERROR((VLOOKUP($A218,'Dados StatusInvest'!$A:$AZ,COLUMN(N218)-$A$5,0)/VLOOKUP($A218,'Dados StatusInvest'!$A:$AZ,2,0)*$F218),"")</f>
        <v>0.89</v>
      </c>
      <c r="O218" s="53">
        <f>IFERROR((VLOOKUP($A218,'Dados StatusInvest'!$A:$AZ,COLUMN(O218)-$A$5,0)/VLOOKUP($A218,'Dados StatusInvest'!$A:$AZ,2,0)*$F218),0)</f>
        <v>-59.15</v>
      </c>
      <c r="P218" s="54">
        <f>IFERROR((VLOOKUP($A218,'Dados StatusInvest'!$A:$AZ,COLUMN(P218)-$A$5,0)/VLOOKUP($A218,'Dados StatusInvest'!$A:$AZ,2,0)*$F218),0)</f>
        <v>-58.79</v>
      </c>
      <c r="Q218" s="55">
        <f>IFERROR((VLOOKUP($A218,'Dados StatusInvest'!$A:$AZ,COLUMN(Q218)-$A$5,0)/100),0)</f>
        <v>-0.066</v>
      </c>
      <c r="R218" s="56">
        <f>VLOOKUP($A218,'Dados StatusInvest'!$A:$AZ,COLUMN(R218)-$A$5,0)</f>
        <v>0.08</v>
      </c>
      <c r="S218" s="56">
        <f>IFERROR((VLOOKUP($A218,'Dados StatusInvest'!$A:$AZ,COLUMN(S218)-$A$5,0)),0)</f>
        <v>0.8</v>
      </c>
      <c r="T218" s="53">
        <f>IFERROR((VLOOKUP($A218,'Dados StatusInvest'!$A:$AZ,COLUMN(T218)-$A$5,0)/VLOOKUP($A218,'Dados StatusInvest'!$A:$AZ,2,0)*$F218),0)</f>
        <v>1.07</v>
      </c>
      <c r="U218" s="53">
        <f>IFERROR((VLOOKUP($A218,'Dados StatusInvest'!$A:$AZ,COLUMN(U218)-$A$5,0)-VLOOKUP($A218,'Dados StatusInvest'!$A:$AZ,COLUMN(U218)-$A$5-1,0)+T218),0)</f>
        <v>-1.14</v>
      </c>
      <c r="V218" s="56">
        <f>IFERROR((VLOOKUP($A218,'Dados StatusInvest'!$A:$AZ,COLUMN(V218)-$A$5,0)),0)</f>
        <v>5.27</v>
      </c>
      <c r="W218" s="56">
        <f>IFERROR((VLOOKUP($A218,'Dados StatusInvest'!$A:$AZ,COLUMN(W218)-$A$5,0)),0)</f>
        <v>0.79</v>
      </c>
      <c r="X218" s="53">
        <f>IFERROR((VLOOKUP($A218,'Dados StatusInvest'!$A:$AZ,COLUMN(X218)-$A$5,0)/VLOOKUP($A218,'Dados StatusInvest'!$A:$AZ,2,0)*$F218),0)</f>
        <v>0.55</v>
      </c>
      <c r="Y218" s="54">
        <f>IFERROR((VLOOKUP($A218,'Dados StatusInvest'!$A:$AZ,COLUMN(Y218)-$A$5,0)/VLOOKUP($A218,'Dados StatusInvest'!$A:$AZ,2,0)*$F218),0)</f>
        <v>-1.03</v>
      </c>
      <c r="Z218" s="56">
        <f>IFERROR((VLOOKUP($A218,'Dados StatusInvest'!$A:$AZ,COLUMN(Z218)-$A$5,0)),0)</f>
        <v>0.69</v>
      </c>
      <c r="AA218" s="57">
        <f>IFERROR((VLOOKUP($A218,'Dados StatusInvest'!$A:$AZ,COLUMN(AA218)-$A$5,0)),0)</f>
        <v>0.31</v>
      </c>
      <c r="AB218" s="57">
        <f>IFERROR((VLOOKUP($A218,'Dados StatusInvest'!$A:$AZ,COLUMN(AB218)-$A$5,0)),0)</f>
        <v>0.62</v>
      </c>
      <c r="AC218" s="58">
        <f>IFERROR((VLOOKUP($A218,'Dados StatusInvest'!$A:$AZ,COLUMN(AC218)-$A$5,0)),0)</f>
        <v>4.67</v>
      </c>
      <c r="AD218" s="57">
        <f>IFERROR((VLOOKUP($A218,'Dados StatusInvest'!$A:$AZ,COLUMN(AD218)-$A$5,0)),0)</f>
        <v>-29.67</v>
      </c>
      <c r="AE218" s="56">
        <f>IFERROR((VLOOKUP($A218,'Dados StatusInvest'!$A:$AZ,COLUMN(AE218)-$A$5,0)),0)</f>
        <v>1953</v>
      </c>
      <c r="AF218" s="56">
        <f>IFERROR((VLOOKUP($A218,'Dados StatusInvest'!$A:$AZ,COLUMN(AF218)-$A$5,0)),0)</f>
        <v>9.14</v>
      </c>
      <c r="AG218" s="56">
        <f>IFERROR((VLOOKUP($A218,'Dados StatusInvest'!$A:$AZ,COLUMN(AG218)-$A$5,0)),0)</f>
        <v>0.07</v>
      </c>
      <c r="AH218" s="56">
        <f>IFERROR((VLOOKUP($A218,'Dados StatusInvest'!$A:$AZ,COLUMN(AH218)-$A$5,0)),0)</f>
        <v>-0.59</v>
      </c>
      <c r="AI218" s="57">
        <f>IFERROR((VLOOKUP($A218,'Dados StatusInvest'!$A:$AZ,COLUMN(AI218)-$A$5,0)),0)</f>
        <v>434424551.3</v>
      </c>
      <c r="AJ218" s="59" t="str">
        <f>IFERROR((VLOOKUP($A218,'Dados StatusInvest'!$A:$AZ,COLUMN(AJ218)-$A$5,0)),0)</f>
        <v/>
      </c>
      <c r="AK218" s="60" t="str">
        <f>IFERROR(__xludf.DUMMYFUNCTION("IFERROR(GOOGLEFINANCE($A218,""high""),"""")"),"")</f>
        <v/>
      </c>
      <c r="AL218" s="60" t="str">
        <f>IFERROR(__xludf.DUMMYFUNCTION("IFERROR(GOOGLEFINANCE($A218,""low""),"""")"),"")</f>
        <v/>
      </c>
      <c r="AM218" s="61">
        <f t="shared" si="2"/>
        <v>0</v>
      </c>
      <c r="AN218" s="62">
        <f>IFERROR(__xludf.DUMMYFUNCTION("IFERROR((GOOGLEFINANCE($A218,""volume"")),0)"),0.0)</f>
        <v>0</v>
      </c>
      <c r="AO218" s="60">
        <f>IFERROR(__xludf.DUMMYFUNCTION("IFERROR((GOOGLEFINANCE($A218,""closeyest"")),"""")"),6.51)</f>
        <v>6.51</v>
      </c>
      <c r="AP218" s="60">
        <f>IFERROR(__xludf.DUMMYFUNCTION("IFERROR((GOOGLEFINANCE($A218,""shares"")),"""")"),5.446782E7)</f>
        <v>54467820</v>
      </c>
      <c r="AQ218" s="18"/>
    </row>
    <row r="219">
      <c r="A219" s="45" t="str">
        <f>'Dados StatusInvest'!A214:A833</f>
        <v>DOHL4</v>
      </c>
      <c r="B219" s="46" t="str">
        <f>IFERROR(__xludf.DUMMYFUNCTION("IFERROR((GOOGLEFINANCE(A219,""name"")),"""")"),"Dohler SA Preference Shares")</f>
        <v>Dohler SA Preference Shares</v>
      </c>
      <c r="C219" s="46" t="str">
        <f>IFERROR((VLOOKUP(LEFT($A219,4),Setor!$A:$E,3,0)),"")</f>
        <v>Consumo Cíclico</v>
      </c>
      <c r="D219" s="46" t="str">
        <f>IFERROR((VLOOKUP(LEFT($A219,4),Setor!$A:$E,4,0)),"")</f>
        <v>Tecidos, Vestuário e Calçados</v>
      </c>
      <c r="E219" s="46" t="str">
        <f>IFERROR((VLOOKUP(LEFT($A219,4),Setor!$A:$E,5,0)),"")</f>
        <v>Fios e Tecidos</v>
      </c>
      <c r="F219" s="47">
        <f>IFERROR(__xludf.DUMMYFUNCTION("IFERROR((GOOGLEFINANCE(A219)),"""")"),3.77)</f>
        <v>3.77</v>
      </c>
      <c r="G219" s="48" t="str">
        <f>IFERROR(__xludf.DUMMYFUNCTION("IFERROR((sparkline(GOOGLEFINANCE($A219,""price"",TODAY()-30,TODAY(),""DAILY""),{""charttype"",""line"";""linewidth"",1;""color"",""#5f88cc""})),"""")"),"")</f>
        <v/>
      </c>
      <c r="H219" s="49">
        <f>IFERROR(__xludf.DUMMYFUNCTION("IFERROR((((GOOGLEFINANCE(A219))-(INDEX(GoogleFinance(A219,""PRICE"",$AQ$1),2,2)))/(INDEX(GoogleFinance(A219,""PRICE"",$AQ$1),2,2))),"""")"),-0.033333333333333305)</f>
        <v>-0.03333333333</v>
      </c>
      <c r="I219" s="47">
        <f>IFERROR(__xludf.DUMMYFUNCTION("IFERROR((GOOGLEFINANCE($A219,""high52"")),"""")"),4.35)</f>
        <v>4.35</v>
      </c>
      <c r="J219" s="48" t="str">
        <f>IFERROR(__xludf.DUMMYFUNCTION("IFERROR((sparkline(GOOGLEFINANCE($A219,""price"",TODAY()-365,TODAY(),""DAILY""),{""charttype"",""line"";""linewidth"",1;""color"",""#5f88cc""})),"""")"),"")</f>
        <v/>
      </c>
      <c r="K219" s="50">
        <f>IFERROR(__xludf.DUMMYFUNCTION("IFERROR((((GOOGLEFINANCE(A219))-(INDEX(GoogleFinance(A219,""PRICE"",$AP$1),2,2)))/(INDEX(GoogleFinance(A219,""PRICE"",$AP$1),2,2))),"""")"),-0.0804878048780487)</f>
        <v>-0.08048780488</v>
      </c>
      <c r="L219" s="51">
        <f t="shared" si="1"/>
        <v>-0.1333333333</v>
      </c>
      <c r="M219" s="52">
        <f>IFERROR((VLOOKUP($A219,'Dados StatusInvest'!$A:$AZ,COLUMN(M219)-$A$5,0)*VLOOKUP($A219,'Dados StatusInvest'!$A:$AZ,2,0)/$F219/100),0)</f>
        <v>-0.0135</v>
      </c>
      <c r="N219" s="53">
        <f>IFERROR((VLOOKUP($A219,'Dados StatusInvest'!$A:$AZ,COLUMN(N219)-$A$5,0)/VLOOKUP($A219,'Dados StatusInvest'!$A:$AZ,2,0)*$F219),"")</f>
        <v>0.89</v>
      </c>
      <c r="O219" s="53">
        <f>IFERROR((VLOOKUP($A219,'Dados StatusInvest'!$A:$AZ,COLUMN(O219)-$A$5,0)/VLOOKUP($A219,'Dados StatusInvest'!$A:$AZ,2,0)*$F219),0)</f>
        <v>-34.26</v>
      </c>
      <c r="P219" s="54">
        <f>IFERROR((VLOOKUP($A219,'Dados StatusInvest'!$A:$AZ,COLUMN(P219)-$A$5,0)/VLOOKUP($A219,'Dados StatusInvest'!$A:$AZ,2,0)*$F219),0)</f>
        <v>-58.79</v>
      </c>
      <c r="Q219" s="55">
        <f>IFERROR((VLOOKUP($A219,'Dados StatusInvest'!$A:$AZ,COLUMN(Q219)-$A$5,0)/100),0)</f>
        <v>-0.066</v>
      </c>
      <c r="R219" s="56">
        <f>VLOOKUP($A219,'Dados StatusInvest'!$A:$AZ,COLUMN(R219)-$A$5,0)</f>
        <v>0.08</v>
      </c>
      <c r="S219" s="56">
        <f>IFERROR((VLOOKUP($A219,'Dados StatusInvest'!$A:$AZ,COLUMN(S219)-$A$5,0)),0)</f>
        <v>0.46</v>
      </c>
      <c r="T219" s="53">
        <f>IFERROR((VLOOKUP($A219,'Dados StatusInvest'!$A:$AZ,COLUMN(T219)-$A$5,0)/VLOOKUP($A219,'Dados StatusInvest'!$A:$AZ,2,0)*$F219),0)</f>
        <v>0.62</v>
      </c>
      <c r="U219" s="53">
        <f>IFERROR((VLOOKUP($A219,'Dados StatusInvest'!$A:$AZ,COLUMN(U219)-$A$5,0)-VLOOKUP($A219,'Dados StatusInvest'!$A:$AZ,COLUMN(U219)-$A$5-1,0)+T219),0)</f>
        <v>-0.66</v>
      </c>
      <c r="V219" s="56">
        <f>IFERROR((VLOOKUP($A219,'Dados StatusInvest'!$A:$AZ,COLUMN(V219)-$A$5,0)),0)</f>
        <v>5.27</v>
      </c>
      <c r="W219" s="56">
        <f>IFERROR((VLOOKUP($A219,'Dados StatusInvest'!$A:$AZ,COLUMN(W219)-$A$5,0)),0)</f>
        <v>0.79</v>
      </c>
      <c r="X219" s="53">
        <f>IFERROR((VLOOKUP($A219,'Dados StatusInvest'!$A:$AZ,COLUMN(X219)-$A$5,0)/VLOOKUP($A219,'Dados StatusInvest'!$A:$AZ,2,0)*$F219),0)</f>
        <v>0.55</v>
      </c>
      <c r="Y219" s="54">
        <f>IFERROR((VLOOKUP($A219,'Dados StatusInvest'!$A:$AZ,COLUMN(Y219)-$A$5,0)/VLOOKUP($A219,'Dados StatusInvest'!$A:$AZ,2,0)*$F219),0)</f>
        <v>-1.03</v>
      </c>
      <c r="Z219" s="56">
        <f>IFERROR((VLOOKUP($A219,'Dados StatusInvest'!$A:$AZ,COLUMN(Z219)-$A$5,0)),0)</f>
        <v>0.69</v>
      </c>
      <c r="AA219" s="57">
        <f>IFERROR((VLOOKUP($A219,'Dados StatusInvest'!$A:$AZ,COLUMN(AA219)-$A$5,0)),0)</f>
        <v>0.31</v>
      </c>
      <c r="AB219" s="57">
        <f>IFERROR((VLOOKUP($A219,'Dados StatusInvest'!$A:$AZ,COLUMN(AB219)-$A$5,0)),0)</f>
        <v>0.62</v>
      </c>
      <c r="AC219" s="58">
        <f>IFERROR((VLOOKUP($A219,'Dados StatusInvest'!$A:$AZ,COLUMN(AC219)-$A$5,0)),0)</f>
        <v>4.67</v>
      </c>
      <c r="AD219" s="57">
        <f>IFERROR((VLOOKUP($A219,'Dados StatusInvest'!$A:$AZ,COLUMN(AD219)-$A$5,0)),0)</f>
        <v>-29.67</v>
      </c>
      <c r="AE219" s="56">
        <f>IFERROR((VLOOKUP($A219,'Dados StatusInvest'!$A:$AZ,COLUMN(AE219)-$A$5,0)),0)</f>
        <v>10433.43</v>
      </c>
      <c r="AF219" s="56">
        <f>IFERROR((VLOOKUP($A219,'Dados StatusInvest'!$A:$AZ,COLUMN(AF219)-$A$5,0)),0)</f>
        <v>9.14</v>
      </c>
      <c r="AG219" s="56">
        <f>IFERROR((VLOOKUP($A219,'Dados StatusInvest'!$A:$AZ,COLUMN(AG219)-$A$5,0)),0)</f>
        <v>0.07</v>
      </c>
      <c r="AH219" s="56">
        <f>IFERROR((VLOOKUP($A219,'Dados StatusInvest'!$A:$AZ,COLUMN(AH219)-$A$5,0)),0)</f>
        <v>-0.34</v>
      </c>
      <c r="AI219" s="57">
        <f>IFERROR((VLOOKUP($A219,'Dados StatusInvest'!$A:$AZ,COLUMN(AI219)-$A$5,0)),0)</f>
        <v>434424551.3</v>
      </c>
      <c r="AJ219" s="59" t="str">
        <f>IFERROR((VLOOKUP($A219,'Dados StatusInvest'!$A:$AZ,COLUMN(AJ219)-$A$5,0)),0)</f>
        <v/>
      </c>
      <c r="AK219" s="60" t="str">
        <f>IFERROR(__xludf.DUMMYFUNCTION("IFERROR(GOOGLEFINANCE($A219,""high""),"""")"),"")</f>
        <v/>
      </c>
      <c r="AL219" s="60" t="str">
        <f>IFERROR(__xludf.DUMMYFUNCTION("IFERROR(GOOGLEFINANCE($A219,""low""),"""")"),"")</f>
        <v/>
      </c>
      <c r="AM219" s="61">
        <f t="shared" si="2"/>
        <v>0</v>
      </c>
      <c r="AN219" s="62">
        <f>IFERROR(__xludf.DUMMYFUNCTION("IFERROR((GOOGLEFINANCE($A219,""volume"")),0)"),0.0)</f>
        <v>0</v>
      </c>
      <c r="AO219" s="60">
        <f>IFERROR(__xludf.DUMMYFUNCTION("IFERROR((GOOGLEFINANCE($A219,""closeyest"")),"""")"),3.77)</f>
        <v>3.77</v>
      </c>
      <c r="AP219" s="60">
        <f>IFERROR(__xludf.DUMMYFUNCTION("IFERROR((GOOGLEFINANCE($A219,""shares"")),"""")"),2.1177465E7)</f>
        <v>21177465</v>
      </c>
      <c r="AQ219" s="18"/>
    </row>
    <row r="220">
      <c r="A220" s="45" t="str">
        <f>'Dados StatusInvest'!A215:A834</f>
        <v>DOTZ3</v>
      </c>
      <c r="B220" s="46" t="str">
        <f>IFERROR(__xludf.DUMMYFUNCTION("IFERROR((GOOGLEFINANCE(A220,""name"")),"""")"),"Dotz SA")</f>
        <v>Dotz SA</v>
      </c>
      <c r="C220" s="46" t="str">
        <f>IFERROR((VLOOKUP(LEFT($A220,4),Setor!$A:$E,3,0)),"")</f>
        <v/>
      </c>
      <c r="D220" s="46" t="str">
        <f>IFERROR((VLOOKUP(LEFT($A220,4),Setor!$A:$E,4,0)),"")</f>
        <v/>
      </c>
      <c r="E220" s="46" t="str">
        <f>IFERROR((VLOOKUP(LEFT($A220,4),Setor!$A:$E,5,0)),"")</f>
        <v/>
      </c>
      <c r="F220" s="47">
        <f>IFERROR(__xludf.DUMMYFUNCTION("IFERROR((GOOGLEFINANCE(A220)),"""")"),2.98)</f>
        <v>2.98</v>
      </c>
      <c r="G220" s="48" t="str">
        <f>IFERROR(__xludf.DUMMYFUNCTION("IFERROR((sparkline(GOOGLEFINANCE($A220,""price"",TODAY()-30,TODAY(),""DAILY""),{""charttype"",""line"";""linewidth"",1;""color"",""#5f88cc""})),"""")"),"")</f>
        <v/>
      </c>
      <c r="H220" s="49">
        <f>IFERROR(__xludf.DUMMYFUNCTION("IFERROR((((GOOGLEFINANCE(A220))-(INDEX(GoogleFinance(A220,""PRICE"",$AQ$1),2,2)))/(INDEX(GoogleFinance(A220,""PRICE"",$AQ$1),2,2))),"""")"),-0.27845036319612587)</f>
        <v>-0.2784503632</v>
      </c>
      <c r="I220" s="47">
        <f>IFERROR(__xludf.DUMMYFUNCTION("IFERROR((GOOGLEFINANCE($A220,""high52"")),"""")"),9.38)</f>
        <v>9.38</v>
      </c>
      <c r="J220" s="48" t="str">
        <f>IFERROR(__xludf.DUMMYFUNCTION("IFERROR((sparkline(GOOGLEFINANCE($A220,""price"",TODAY()-365,TODAY(),""DAILY""),{""charttype"",""line"";""linewidth"",1;""color"",""#5f88cc""})),"""")"),"")</f>
        <v/>
      </c>
      <c r="K220" s="50">
        <f>IFERROR(__xludf.DUMMYFUNCTION("IFERROR((((GOOGLEFINANCE(A220))-(INDEX(GoogleFinance(A220,""PRICE"",$AP$1),2,2)))/(INDEX(GoogleFinance(A220,""PRICE"",$AP$1),2,2))),"""")"),-0.22395833333333331)</f>
        <v>-0.2239583333</v>
      </c>
      <c r="L220" s="51">
        <f t="shared" si="1"/>
        <v>-0.6823027719</v>
      </c>
      <c r="M220" s="52">
        <f>IFERROR((VLOOKUP($A220,'Dados StatusInvest'!$A:$AZ,COLUMN(M220)-$A$5,0)*VLOOKUP($A220,'Dados StatusInvest'!$A:$AZ,2,0)/$F220/100),0)</f>
        <v>0.1229</v>
      </c>
      <c r="N220" s="53">
        <f>IFERROR((VLOOKUP($A220,'Dados StatusInvest'!$A:$AZ,COLUMN(N220)-$A$5,0)/VLOOKUP($A220,'Dados StatusInvest'!$A:$AZ,2,0)*$F220),"")</f>
        <v>-1.49</v>
      </c>
      <c r="O220" s="53">
        <f>IFERROR((VLOOKUP($A220,'Dados StatusInvest'!$A:$AZ,COLUMN(O220)-$A$5,0)/VLOOKUP($A220,'Dados StatusInvest'!$A:$AZ,2,0)*$F220),0)</f>
        <v>1.71</v>
      </c>
      <c r="P220" s="54">
        <f>IFERROR((VLOOKUP($A220,'Dados StatusInvest'!$A:$AZ,COLUMN(P220)-$A$5,0)/VLOOKUP($A220,'Dados StatusInvest'!$A:$AZ,2,0)*$F220),0)</f>
        <v>4.81</v>
      </c>
      <c r="Q220" s="55">
        <f>IFERROR((VLOOKUP($A220,'Dados StatusInvest'!$A:$AZ,COLUMN(Q220)-$A$5,0)/100),0)</f>
        <v>0.031</v>
      </c>
      <c r="R220" s="56">
        <f>VLOOKUP($A220,'Dados StatusInvest'!$A:$AZ,COLUMN(R220)-$A$5,0)</f>
        <v>0</v>
      </c>
      <c r="S220" s="56">
        <f>IFERROR((VLOOKUP($A220,'Dados StatusInvest'!$A:$AZ,COLUMN(S220)-$A$5,0)),0)</f>
        <v>0.21</v>
      </c>
      <c r="T220" s="53">
        <f>IFERROR((VLOOKUP($A220,'Dados StatusInvest'!$A:$AZ,COLUMN(T220)-$A$5,0)/VLOOKUP($A220,'Dados StatusInvest'!$A:$AZ,2,0)*$F220),0)</f>
        <v>-0.23</v>
      </c>
      <c r="U220" s="53">
        <f>IFERROR((VLOOKUP($A220,'Dados StatusInvest'!$A:$AZ,COLUMN(U220)-$A$5,0)-VLOOKUP($A220,'Dados StatusInvest'!$A:$AZ,COLUMN(U220)-$A$5-1,0)+T220),0)</f>
        <v>-0.31</v>
      </c>
      <c r="V220" s="56">
        <f>IFERROR((VLOOKUP($A220,'Dados StatusInvest'!$A:$AZ,COLUMN(V220)-$A$5,0)),0)</f>
        <v>0.35</v>
      </c>
      <c r="W220" s="56">
        <f>IFERROR((VLOOKUP($A220,'Dados StatusInvest'!$A:$AZ,COLUMN(W220)-$A$5,0)),0)</f>
        <v>-1.13</v>
      </c>
      <c r="X220" s="53">
        <f>IFERROR((VLOOKUP($A220,'Dados StatusInvest'!$A:$AZ,COLUMN(X220)-$A$5,0)/VLOOKUP($A220,'Dados StatusInvest'!$A:$AZ,2,0)*$F220),0)</f>
        <v>-1.26</v>
      </c>
      <c r="Y220" s="54">
        <f>IFERROR((VLOOKUP($A220,'Dados StatusInvest'!$A:$AZ,COLUMN(Y220)-$A$5,0)/VLOOKUP($A220,'Dados StatusInvest'!$A:$AZ,2,0)*$F220),0)</f>
        <v>-11.09</v>
      </c>
      <c r="Z220" s="56">
        <f>IFERROR((VLOOKUP($A220,'Dados StatusInvest'!$A:$AZ,COLUMN(Z220)-$A$5,0)),0)</f>
        <v>-1.11</v>
      </c>
      <c r="AA220" s="57">
        <f>IFERROR((VLOOKUP($A220,'Dados StatusInvest'!$A:$AZ,COLUMN(AA220)-$A$5,0)),0)</f>
        <v>2.11</v>
      </c>
      <c r="AB220" s="57">
        <f>IFERROR((VLOOKUP($A220,'Dados StatusInvest'!$A:$AZ,COLUMN(AB220)-$A$5,0)),0)</f>
        <v>0.84</v>
      </c>
      <c r="AC220" s="58">
        <f>IFERROR((VLOOKUP($A220,'Dados StatusInvest'!$A:$AZ,COLUMN(AC220)-$A$5,0)),0)</f>
        <v>3.9</v>
      </c>
      <c r="AD220" s="57">
        <f>IFERROR((VLOOKUP($A220,'Dados StatusInvest'!$A:$AZ,COLUMN(AD220)-$A$5,0)),0)</f>
        <v>0</v>
      </c>
      <c r="AE220" s="56">
        <f>IFERROR((VLOOKUP($A220,'Dados StatusInvest'!$A:$AZ,COLUMN(AE220)-$A$5,0)),0)</f>
        <v>47562.48</v>
      </c>
      <c r="AF220" s="56">
        <f>IFERROR((VLOOKUP($A220,'Dados StatusInvest'!$A:$AZ,COLUMN(AF220)-$A$5,0)),0)</f>
        <v>-18.67</v>
      </c>
      <c r="AG220" s="56">
        <f>IFERROR((VLOOKUP($A220,'Dados StatusInvest'!$A:$AZ,COLUMN(AG220)-$A$5,0)),0)</f>
        <v>-0.21</v>
      </c>
      <c r="AH220" s="56">
        <f>IFERROR((VLOOKUP($A220,'Dados StatusInvest'!$A:$AZ,COLUMN(AH220)-$A$5,0)),0)</f>
        <v>0.16</v>
      </c>
      <c r="AI220" s="57">
        <f>IFERROR((VLOOKUP($A220,'Dados StatusInvest'!$A:$AZ,COLUMN(AI220)-$A$5,0)),0)</f>
        <v>39699494.44</v>
      </c>
      <c r="AJ220" s="59" t="str">
        <f>IFERROR((VLOOKUP($A220,'Dados StatusInvest'!$A:$AZ,COLUMN(AJ220)-$A$5,0)),0)</f>
        <v/>
      </c>
      <c r="AK220" s="60" t="str">
        <f>IFERROR(__xludf.DUMMYFUNCTION("IFERROR(GOOGLEFINANCE($A220,""high""),"""")"),"")</f>
        <v/>
      </c>
      <c r="AL220" s="60" t="str">
        <f>IFERROR(__xludf.DUMMYFUNCTION("IFERROR(GOOGLEFINANCE($A220,""low""),"""")"),"")</f>
        <v/>
      </c>
      <c r="AM220" s="61">
        <f t="shared" si="2"/>
        <v>0</v>
      </c>
      <c r="AN220" s="62">
        <f>IFERROR(__xludf.DUMMYFUNCTION("IFERROR((GOOGLEFINANCE($A220,""volume"")),0)"),300.0)</f>
        <v>300</v>
      </c>
      <c r="AO220" s="60">
        <f>IFERROR(__xludf.DUMMYFUNCTION("IFERROR((GOOGLEFINANCE($A220,""closeyest"")),"""")"),2.98)</f>
        <v>2.98</v>
      </c>
      <c r="AP220" s="60">
        <f>IFERROR(__xludf.DUMMYFUNCTION("IFERROR((GOOGLEFINANCE($A220,""shares"")),"""")"),1.3321978E7)</f>
        <v>13321978</v>
      </c>
      <c r="AQ220" s="18"/>
    </row>
    <row r="221">
      <c r="A221" s="45" t="str">
        <f>'Dados StatusInvest'!A216:A835</f>
        <v>DTCY3</v>
      </c>
      <c r="B221" s="46" t="str">
        <f>IFERROR(__xludf.DUMMYFUNCTION("IFERROR((GOOGLEFINANCE(A221,""name"")),"""")"),"Dtcom Direct to Company S/A")</f>
        <v>Dtcom Direct to Company S/A</v>
      </c>
      <c r="C221" s="46" t="str">
        <f>IFERROR((VLOOKUP(LEFT($A221,4),Setor!$A:$E,3,0)),"")</f>
        <v>Bens Industriais</v>
      </c>
      <c r="D221" s="46" t="str">
        <f>IFERROR((VLOOKUP(LEFT($A221,4),Setor!$A:$E,4,0)),"")</f>
        <v>Serviços Diversos</v>
      </c>
      <c r="E221" s="46" t="str">
        <f>IFERROR((VLOOKUP(LEFT($A221,4),Setor!$A:$E,5,0)),"")</f>
        <v>Serviços Diversos</v>
      </c>
      <c r="F221" s="47">
        <f>IFERROR(__xludf.DUMMYFUNCTION("IFERROR((GOOGLEFINANCE(A221)),"""")"),2.5)</f>
        <v>2.5</v>
      </c>
      <c r="G221" s="48" t="str">
        <f>IFERROR(__xludf.DUMMYFUNCTION("IFERROR((sparkline(GOOGLEFINANCE($A221,""price"",TODAY()-30,TODAY(),""DAILY""),{""charttype"",""line"";""linewidth"",1;""color"",""#5f88cc""})),"""")"),"")</f>
        <v/>
      </c>
      <c r="H221" s="49" t="str">
        <f>IFERROR(__xludf.DUMMYFUNCTION("IFERROR((((GOOGLEFINANCE(A221))-(INDEX(GoogleFinance(A221,""PRICE"",$AQ$1),2,2)))/(INDEX(GoogleFinance(A221,""PRICE"",$AQ$1),2,2))),"""")"),"")</f>
        <v/>
      </c>
      <c r="I221" s="47">
        <f>IFERROR(__xludf.DUMMYFUNCTION("IFERROR((GOOGLEFINANCE($A221,""high52"")),"""")"),4.2)</f>
        <v>4.2</v>
      </c>
      <c r="J221" s="48" t="str">
        <f>IFERROR(__xludf.DUMMYFUNCTION("IFERROR((sparkline(GOOGLEFINANCE($A221,""price"",TODAY()-365,TODAY(),""DAILY""),{""charttype"",""line"";""linewidth"",1;""color"",""#5f88cc""})),"""")"),"")</f>
        <v/>
      </c>
      <c r="K221" s="50">
        <f>IFERROR(__xludf.DUMMYFUNCTION("IFERROR((((GOOGLEFINANCE(A221))-(INDEX(GoogleFinance(A221,""PRICE"",$AP$1),2,2)))/(INDEX(GoogleFinance(A221,""PRICE"",$AP$1),2,2))),"""")"),-0.3975903614457832)</f>
        <v>-0.3975903614</v>
      </c>
      <c r="L221" s="51">
        <f t="shared" si="1"/>
        <v>-0.4047619048</v>
      </c>
      <c r="M221" s="52">
        <f>IFERROR((VLOOKUP($A221,'Dados StatusInvest'!$A:$AZ,COLUMN(M221)-$A$5,0)*VLOOKUP($A221,'Dados StatusInvest'!$A:$AZ,2,0)/$F221/100),0)</f>
        <v>0.015</v>
      </c>
      <c r="N221" s="53">
        <f>IFERROR((VLOOKUP($A221,'Dados StatusInvest'!$A:$AZ,COLUMN(N221)-$A$5,0)/VLOOKUP($A221,'Dados StatusInvest'!$A:$AZ,2,0)*$F221),"")</f>
        <v>-1.98</v>
      </c>
      <c r="O221" s="53">
        <f>IFERROR((VLOOKUP($A221,'Dados StatusInvest'!$A:$AZ,COLUMN(O221)-$A$5,0)/VLOOKUP($A221,'Dados StatusInvest'!$A:$AZ,2,0)*$F221),0)</f>
        <v>224.42</v>
      </c>
      <c r="P221" s="54">
        <f>IFERROR((VLOOKUP($A221,'Dados StatusInvest'!$A:$AZ,COLUMN(P221)-$A$5,0)/VLOOKUP($A221,'Dados StatusInvest'!$A:$AZ,2,0)*$F221),0)</f>
        <v>413.65</v>
      </c>
      <c r="Q221" s="55">
        <f>IFERROR((VLOOKUP($A221,'Dados StatusInvest'!$A:$AZ,COLUMN(Q221)-$A$5,0)/100),0)</f>
        <v>-0.2919</v>
      </c>
      <c r="R221" s="56">
        <f>VLOOKUP($A221,'Dados StatusInvest'!$A:$AZ,COLUMN(R221)-$A$5,0)</f>
        <v>-2.93</v>
      </c>
      <c r="S221" s="56">
        <f>IFERROR((VLOOKUP($A221,'Dados StatusInvest'!$A:$AZ,COLUMN(S221)-$A$5,0)),0)</f>
        <v>3.36</v>
      </c>
      <c r="T221" s="53">
        <f>IFERROR((VLOOKUP($A221,'Dados StatusInvest'!$A:$AZ,COLUMN(T221)-$A$5,0)/VLOOKUP($A221,'Dados StatusInvest'!$A:$AZ,2,0)*$F221),0)</f>
        <v>8.72</v>
      </c>
      <c r="U221" s="53">
        <f>IFERROR((VLOOKUP($A221,'Dados StatusInvest'!$A:$AZ,COLUMN(U221)-$A$5,0)-VLOOKUP($A221,'Dados StatusInvest'!$A:$AZ,COLUMN(U221)-$A$5-1,0)+T221),0)</f>
        <v>-123.13</v>
      </c>
      <c r="V221" s="56">
        <f>IFERROR((VLOOKUP($A221,'Dados StatusInvest'!$A:$AZ,COLUMN(V221)-$A$5,0)),0)</f>
        <v>1.82</v>
      </c>
      <c r="W221" s="56">
        <f>IFERROR((VLOOKUP($A221,'Dados StatusInvest'!$A:$AZ,COLUMN(W221)-$A$5,0)),0)</f>
        <v>-13.26</v>
      </c>
      <c r="X221" s="53">
        <f>IFERROR((VLOOKUP($A221,'Dados StatusInvest'!$A:$AZ,COLUMN(X221)-$A$5,0)/VLOOKUP($A221,'Dados StatusInvest'!$A:$AZ,2,0)*$F221),0)</f>
        <v>-2.24</v>
      </c>
      <c r="Y221" s="54">
        <f>IFERROR((VLOOKUP($A221,'Dados StatusInvest'!$A:$AZ,COLUMN(Y221)-$A$5,0)/VLOOKUP($A221,'Dados StatusInvest'!$A:$AZ,2,0)*$F221),0)</f>
        <v>10.02</v>
      </c>
      <c r="Z221" s="56">
        <f>IFERROR((VLOOKUP($A221,'Dados StatusInvest'!$A:$AZ,COLUMN(Z221)-$A$5,0)),0)</f>
        <v>0.17</v>
      </c>
      <c r="AA221" s="57">
        <f>IFERROR((VLOOKUP($A221,'Dados StatusInvest'!$A:$AZ,COLUMN(AA221)-$A$5,0)),0)</f>
        <v>0.83</v>
      </c>
      <c r="AB221" s="57">
        <f>IFERROR((VLOOKUP($A221,'Dados StatusInvest'!$A:$AZ,COLUMN(AB221)-$A$5,0)),0)</f>
        <v>1.13</v>
      </c>
      <c r="AC221" s="58">
        <f>IFERROR((VLOOKUP($A221,'Dados StatusInvest'!$A:$AZ,COLUMN(AC221)-$A$5,0)),0)</f>
        <v>-12.65</v>
      </c>
      <c r="AD221" s="57">
        <f>IFERROR((VLOOKUP($A221,'Dados StatusInvest'!$A:$AZ,COLUMN(AD221)-$A$5,0)),0)</f>
        <v>0</v>
      </c>
      <c r="AE221" s="56">
        <f>IFERROR((VLOOKUP($A221,'Dados StatusInvest'!$A:$AZ,COLUMN(AE221)-$A$5,0)),0)</f>
        <v>1955.13</v>
      </c>
      <c r="AF221" s="56">
        <f>IFERROR((VLOOKUP($A221,'Dados StatusInvest'!$A:$AZ,COLUMN(AF221)-$A$5,0)),0)</f>
        <v>0.11</v>
      </c>
      <c r="AG221" s="56">
        <f>IFERROR((VLOOKUP($A221,'Dados StatusInvest'!$A:$AZ,COLUMN(AG221)-$A$5,0)),0)</f>
        <v>-0.01</v>
      </c>
      <c r="AH221" s="56">
        <f>IFERROR((VLOOKUP($A221,'Dados StatusInvest'!$A:$AZ,COLUMN(AH221)-$A$5,0)),0)</f>
        <v>1.78</v>
      </c>
      <c r="AI221" s="57">
        <f>IFERROR((VLOOKUP($A221,'Dados StatusInvest'!$A:$AZ,COLUMN(AI221)-$A$5,0)),0)</f>
        <v>54912193</v>
      </c>
      <c r="AJ221" s="59" t="str">
        <f>IFERROR((VLOOKUP($A221,'Dados StatusInvest'!$A:$AZ,COLUMN(AJ221)-$A$5,0)),0)</f>
        <v/>
      </c>
      <c r="AK221" s="60" t="str">
        <f>IFERROR(__xludf.DUMMYFUNCTION("IFERROR(GOOGLEFINANCE($A221,""high""),"""")"),"")</f>
        <v/>
      </c>
      <c r="AL221" s="60" t="str">
        <f>IFERROR(__xludf.DUMMYFUNCTION("IFERROR(GOOGLEFINANCE($A221,""low""),"""")"),"")</f>
        <v/>
      </c>
      <c r="AM221" s="61">
        <f t="shared" si="2"/>
        <v>0</v>
      </c>
      <c r="AN221" s="62">
        <f>IFERROR(__xludf.DUMMYFUNCTION("IFERROR((GOOGLEFINANCE($A221,""volume"")),0)"),0.0)</f>
        <v>0</v>
      </c>
      <c r="AO221" s="60">
        <f>IFERROR(__xludf.DUMMYFUNCTION("IFERROR((GOOGLEFINANCE($A221,""closeyest"")),"""")"),2.5)</f>
        <v>2.5</v>
      </c>
      <c r="AP221" s="60">
        <f>IFERROR(__xludf.DUMMYFUNCTION("IFERROR((GOOGLEFINANCE($A221,""shares"")),"""")"),1.0680476E7)</f>
        <v>10680476</v>
      </c>
      <c r="AQ221" s="18"/>
    </row>
    <row r="222">
      <c r="A222" s="45" t="str">
        <f>'Dados StatusInvest'!A217:A836</f>
        <v>DTCY4</v>
      </c>
      <c r="B222" s="46" t="str">
        <f>IFERROR(__xludf.DUMMYFUNCTION("IFERROR((GOOGLEFINANCE(A222,""name"")),"""")"),"Dtcom Direct to Company S/A Preference Shares")</f>
        <v>Dtcom Direct to Company S/A Preference Shares</v>
      </c>
      <c r="C222" s="46" t="str">
        <f>IFERROR((VLOOKUP(LEFT($A222,4),Setor!$A:$E,3,0)),"")</f>
        <v>Bens Industriais</v>
      </c>
      <c r="D222" s="46" t="str">
        <f>IFERROR((VLOOKUP(LEFT($A222,4),Setor!$A:$E,4,0)),"")</f>
        <v>Serviços Diversos</v>
      </c>
      <c r="E222" s="46" t="str">
        <f>IFERROR((VLOOKUP(LEFT($A222,4),Setor!$A:$E,5,0)),"")</f>
        <v>Serviços Diversos</v>
      </c>
      <c r="F222" s="47">
        <f>IFERROR(__xludf.DUMMYFUNCTION("IFERROR((GOOGLEFINANCE(A222)),"""")"),0.0)</f>
        <v>0</v>
      </c>
      <c r="G222" s="48" t="str">
        <f>IFERROR(__xludf.DUMMYFUNCTION("IFERROR((sparkline(GOOGLEFINANCE($A222,""price"",TODAY()-30,TODAY(),""DAILY""),{""charttype"",""line"";""linewidth"",1;""color"",""#5f88cc""})),"""")"),"")</f>
        <v/>
      </c>
      <c r="H222" s="49" t="str">
        <f>IFERROR(__xludf.DUMMYFUNCTION("IFERROR((((GOOGLEFINANCE(A222))-(INDEX(GoogleFinance(A222,""PRICE"",$AQ$1),2,2)))/(INDEX(GoogleFinance(A222,""PRICE"",$AQ$1),2,2))),"""")"),"")</f>
        <v/>
      </c>
      <c r="I222" s="47" t="str">
        <f>IFERROR(__xludf.DUMMYFUNCTION("IFERROR((GOOGLEFINANCE($A222,""high52"")),"""")"),"")</f>
        <v/>
      </c>
      <c r="J222" s="48" t="str">
        <f>IFERROR(__xludf.DUMMYFUNCTION("IFERROR((sparkline(GOOGLEFINANCE($A222,""price"",TODAY()-365,TODAY(),""DAILY""),{""charttype"",""line"";""linewidth"",1;""color"",""#5f88cc""})),"""")"),"")</f>
        <v/>
      </c>
      <c r="K222" s="50" t="str">
        <f>IFERROR(__xludf.DUMMYFUNCTION("IFERROR((((GOOGLEFINANCE(A222))-(INDEX(GoogleFinance(A222,""PRICE"",$AP$1),2,2)))/(INDEX(GoogleFinance(A222,""PRICE"",$AP$1),2,2))),"""")"),"")</f>
        <v/>
      </c>
      <c r="L222" s="51">
        <f t="shared" si="1"/>
        <v>0</v>
      </c>
      <c r="M222" s="52">
        <f>IFERROR((VLOOKUP($A222,'Dados StatusInvest'!$A:$AZ,COLUMN(M222)-$A$5,0)*VLOOKUP($A222,'Dados StatusInvest'!$A:$AZ,2,0)/$F222/100),0)</f>
        <v>0</v>
      </c>
      <c r="N222" s="53">
        <f>IFERROR((VLOOKUP($A222,'Dados StatusInvest'!$A:$AZ,COLUMN(N222)-$A$5,0)/VLOOKUP($A222,'Dados StatusInvest'!$A:$AZ,2,0)*$F222),"")</f>
        <v>0</v>
      </c>
      <c r="O222" s="53">
        <f>IFERROR((VLOOKUP($A222,'Dados StatusInvest'!$A:$AZ,COLUMN(O222)-$A$5,0)/VLOOKUP($A222,'Dados StatusInvest'!$A:$AZ,2,0)*$F222),0)</f>
        <v>0</v>
      </c>
      <c r="P222" s="54">
        <f>IFERROR((VLOOKUP($A222,'Dados StatusInvest'!$A:$AZ,COLUMN(P222)-$A$5,0)/VLOOKUP($A222,'Dados StatusInvest'!$A:$AZ,2,0)*$F222),0)</f>
        <v>0</v>
      </c>
      <c r="Q222" s="55">
        <f>IFERROR((VLOOKUP($A222,'Dados StatusInvest'!$A:$AZ,COLUMN(Q222)-$A$5,0)/100),0)</f>
        <v>-0.2919</v>
      </c>
      <c r="R222" s="56">
        <f>VLOOKUP($A222,'Dados StatusInvest'!$A:$AZ,COLUMN(R222)-$A$5,0)</f>
        <v>-2.93</v>
      </c>
      <c r="S222" s="56">
        <f>IFERROR((VLOOKUP($A222,'Dados StatusInvest'!$A:$AZ,COLUMN(S222)-$A$5,0)),0)</f>
        <v>84.25</v>
      </c>
      <c r="T222" s="53">
        <f>IFERROR((VLOOKUP($A222,'Dados StatusInvest'!$A:$AZ,COLUMN(T222)-$A$5,0)/VLOOKUP($A222,'Dados StatusInvest'!$A:$AZ,2,0)*$F222),0)</f>
        <v>0</v>
      </c>
      <c r="U222" s="53">
        <f>IFERROR((VLOOKUP($A222,'Dados StatusInvest'!$A:$AZ,COLUMN(U222)-$A$5,0)-VLOOKUP($A222,'Dados StatusInvest'!$A:$AZ,COLUMN(U222)-$A$5-1,0)+T222),0)</f>
        <v>-3301.59</v>
      </c>
      <c r="V222" s="56">
        <f>IFERROR((VLOOKUP($A222,'Dados StatusInvest'!$A:$AZ,COLUMN(V222)-$A$5,0)),0)</f>
        <v>1.82</v>
      </c>
      <c r="W222" s="56">
        <f>IFERROR((VLOOKUP($A222,'Dados StatusInvest'!$A:$AZ,COLUMN(W222)-$A$5,0)),0)</f>
        <v>-13.26</v>
      </c>
      <c r="X222" s="53">
        <f>IFERROR((VLOOKUP($A222,'Dados StatusInvest'!$A:$AZ,COLUMN(X222)-$A$5,0)/VLOOKUP($A222,'Dados StatusInvest'!$A:$AZ,2,0)*$F222),0)</f>
        <v>0</v>
      </c>
      <c r="Y222" s="54">
        <f>IFERROR((VLOOKUP($A222,'Dados StatusInvest'!$A:$AZ,COLUMN(Y222)-$A$5,0)/VLOOKUP($A222,'Dados StatusInvest'!$A:$AZ,2,0)*$F222),0)</f>
        <v>0</v>
      </c>
      <c r="Z222" s="56">
        <f>IFERROR((VLOOKUP($A222,'Dados StatusInvest'!$A:$AZ,COLUMN(Z222)-$A$5,0)),0)</f>
        <v>0.17</v>
      </c>
      <c r="AA222" s="57">
        <f>IFERROR((VLOOKUP($A222,'Dados StatusInvest'!$A:$AZ,COLUMN(AA222)-$A$5,0)),0)</f>
        <v>0.83</v>
      </c>
      <c r="AB222" s="57">
        <f>IFERROR((VLOOKUP($A222,'Dados StatusInvest'!$A:$AZ,COLUMN(AB222)-$A$5,0)),0)</f>
        <v>1.13</v>
      </c>
      <c r="AC222" s="58">
        <f>IFERROR((VLOOKUP($A222,'Dados StatusInvest'!$A:$AZ,COLUMN(AC222)-$A$5,0)),0)</f>
        <v>-12.65</v>
      </c>
      <c r="AD222" s="57">
        <f>IFERROR((VLOOKUP($A222,'Dados StatusInvest'!$A:$AZ,COLUMN(AD222)-$A$5,0)),0)</f>
        <v>0</v>
      </c>
      <c r="AE222" s="56">
        <f>IFERROR((VLOOKUP($A222,'Dados StatusInvest'!$A:$AZ,COLUMN(AE222)-$A$5,0)),0)</f>
        <v>0</v>
      </c>
      <c r="AF222" s="56">
        <f>IFERROR((VLOOKUP($A222,'Dados StatusInvest'!$A:$AZ,COLUMN(AF222)-$A$5,0)),0)</f>
        <v>0.11</v>
      </c>
      <c r="AG222" s="56">
        <f>IFERROR((VLOOKUP($A222,'Dados StatusInvest'!$A:$AZ,COLUMN(AG222)-$A$5,0)),0)</f>
        <v>-0.01</v>
      </c>
      <c r="AH222" s="56">
        <f>IFERROR((VLOOKUP($A222,'Dados StatusInvest'!$A:$AZ,COLUMN(AH222)-$A$5,0)),0)</f>
        <v>44.69</v>
      </c>
      <c r="AI222" s="57">
        <f>IFERROR((VLOOKUP($A222,'Dados StatusInvest'!$A:$AZ,COLUMN(AI222)-$A$5,0)),0)</f>
        <v>54912193</v>
      </c>
      <c r="AJ222" s="59" t="str">
        <f>IFERROR((VLOOKUP($A222,'Dados StatusInvest'!$A:$AZ,COLUMN(AJ222)-$A$5,0)),0)</f>
        <v/>
      </c>
      <c r="AK222" s="60" t="str">
        <f>IFERROR(__xludf.DUMMYFUNCTION("IFERROR(GOOGLEFINANCE($A222,""high""),"""")"),"")</f>
        <v/>
      </c>
      <c r="AL222" s="60" t="str">
        <f>IFERROR(__xludf.DUMMYFUNCTION("IFERROR(GOOGLEFINANCE($A222,""low""),"""")"),"")</f>
        <v/>
      </c>
      <c r="AM222" s="61">
        <f t="shared" si="2"/>
        <v>0</v>
      </c>
      <c r="AN222" s="62">
        <f>IFERROR(__xludf.DUMMYFUNCTION("IFERROR((GOOGLEFINANCE($A222,""volume"")),0)"),0.0)</f>
        <v>0</v>
      </c>
      <c r="AO222" s="60" t="str">
        <f>IFERROR(__xludf.DUMMYFUNCTION("IFERROR((GOOGLEFINANCE($A222,""closeyest"")),"""")"),"")</f>
        <v/>
      </c>
      <c r="AP222" s="60">
        <f>IFERROR(__xludf.DUMMYFUNCTION("IFERROR((GOOGLEFINANCE($A222,""shares"")),"""")"),450655.0)</f>
        <v>450655</v>
      </c>
      <c r="AQ222" s="18"/>
    </row>
    <row r="223">
      <c r="A223" s="45" t="str">
        <f>'Dados StatusInvest'!A218:A837</f>
        <v>DXCO3</v>
      </c>
      <c r="B223" s="46" t="str">
        <f>IFERROR(__xludf.DUMMYFUNCTION("IFERROR((GOOGLEFINANCE(A223,""name"")),"""")"),"Dexco SA")</f>
        <v>Dexco SA</v>
      </c>
      <c r="C223" s="46" t="str">
        <f>IFERROR((VLOOKUP(LEFT($A223,4),Setor!$A:$E,3,0)),"")</f>
        <v>Outros</v>
      </c>
      <c r="D223" s="46" t="str">
        <f>IFERROR((VLOOKUP(LEFT($A223,4),Setor!$A:$E,4,0)),"")</f>
        <v>Outros</v>
      </c>
      <c r="E223" s="46" t="str">
        <f>IFERROR((VLOOKUP(LEFT($A223,4),Setor!$A:$E,5,0)),"")</f>
        <v>Outros</v>
      </c>
      <c r="F223" s="47">
        <f>IFERROR(__xludf.DUMMYFUNCTION("IFERROR((GOOGLEFINANCE(A223)),"""")"),5.6)</f>
        <v>5.6</v>
      </c>
      <c r="G223" s="48" t="str">
        <f>IFERROR(__xludf.DUMMYFUNCTION("IFERROR((sparkline(GOOGLEFINANCE($A223,""price"",TODAY()-30,TODAY(),""DAILY""),{""charttype"",""line"";""linewidth"",1;""color"",""#5f88cc""})),"""")"),"")</f>
        <v/>
      </c>
      <c r="H223" s="49">
        <f>IFERROR(__xludf.DUMMYFUNCTION("IFERROR((((GOOGLEFINANCE(A223))-(INDEX(GoogleFinance(A223,""PRICE"",$AQ$1),2,2)))/(INDEX(GoogleFinance(A223,""PRICE"",$AQ$1),2,2))),"""")"),0.010830324909747223)</f>
        <v>0.01083032491</v>
      </c>
      <c r="I223" s="47">
        <f>IFERROR(__xludf.DUMMYFUNCTION("IFERROR((GOOGLEFINANCE($A223,""high52"")),"""")"),6.22)</f>
        <v>6.22</v>
      </c>
      <c r="J223" s="48" t="str">
        <f>IFERROR(__xludf.DUMMYFUNCTION("IFERROR((sparkline(GOOGLEFINANCE($A223,""price"",TODAY()-365,TODAY(),""DAILY""),{""charttype"",""line"";""linewidth"",1;""color"",""#5f88cc""})),"""")"),"")</f>
        <v/>
      </c>
      <c r="K223" s="50">
        <f>IFERROR(__xludf.DUMMYFUNCTION("IFERROR((((GOOGLEFINANCE(A223))-(INDEX(GoogleFinance(A223,""PRICE"",$AP$1),2,2)))/(INDEX(GoogleFinance(A223,""PRICE"",$AP$1),2,2))),"""")"),0.009009009009008978)</f>
        <v>0.009009009009</v>
      </c>
      <c r="L223" s="51">
        <f t="shared" si="1"/>
        <v>-0.09967845659</v>
      </c>
      <c r="M223" s="52">
        <f>IFERROR((VLOOKUP($A223,'Dados StatusInvest'!$A:$AZ,COLUMN(M223)-$A$5,0)*VLOOKUP($A223,'Dados StatusInvest'!$A:$AZ,2,0)/$F223/100),0)</f>
        <v>0.09450357143</v>
      </c>
      <c r="N223" s="53">
        <f>IFERROR((VLOOKUP($A223,'Dados StatusInvest'!$A:$AZ,COLUMN(N223)-$A$5,0)/VLOOKUP($A223,'Dados StatusInvest'!$A:$AZ,2,0)*$F223),"")</f>
        <v>1.342806394</v>
      </c>
      <c r="O223" s="53">
        <f>IFERROR((VLOOKUP($A223,'Dados StatusInvest'!$A:$AZ,COLUMN(O223)-$A$5,0)/VLOOKUP($A223,'Dados StatusInvest'!$A:$AZ,2,0)*$F223),0)</f>
        <v>6.664298401</v>
      </c>
      <c r="P223" s="54">
        <f>IFERROR((VLOOKUP($A223,'Dados StatusInvest'!$A:$AZ,COLUMN(P223)-$A$5,0)/VLOOKUP($A223,'Dados StatusInvest'!$A:$AZ,2,0)*$F223),0)</f>
        <v>13.22912966</v>
      </c>
      <c r="Q223" s="55">
        <f>IFERROR((VLOOKUP($A223,'Dados StatusInvest'!$A:$AZ,COLUMN(Q223)-$A$5,0)/100),0)</f>
        <v>0.066</v>
      </c>
      <c r="R223" s="56">
        <f>VLOOKUP($A223,'Dados StatusInvest'!$A:$AZ,COLUMN(R223)-$A$5,0)</f>
        <v>0.76</v>
      </c>
      <c r="S223" s="56">
        <f>IFERROR((VLOOKUP($A223,'Dados StatusInvest'!$A:$AZ,COLUMN(S223)-$A$5,0)),0)</f>
        <v>0.63</v>
      </c>
      <c r="T223" s="53">
        <f>IFERROR((VLOOKUP($A223,'Dados StatusInvest'!$A:$AZ,COLUMN(T223)-$A$5,0)/VLOOKUP($A223,'Dados StatusInvest'!$A:$AZ,2,0)*$F223),0)</f>
        <v>3.919005329</v>
      </c>
      <c r="U223" s="53">
        <f>IFERROR((VLOOKUP($A223,'Dados StatusInvest'!$A:$AZ,COLUMN(U223)-$A$5,0)-VLOOKUP($A223,'Dados StatusInvest'!$A:$AZ,COLUMN(U223)-$A$5-1,0)+T223),0)</f>
        <v>-0.4309946714</v>
      </c>
      <c r="V223" s="56">
        <f>IFERROR((VLOOKUP($A223,'Dados StatusInvest'!$A:$AZ,COLUMN(V223)-$A$5,0)),0)</f>
        <v>1.33</v>
      </c>
      <c r="W223" s="56">
        <f>IFERROR((VLOOKUP($A223,'Dados StatusInvest'!$A:$AZ,COLUMN(W223)-$A$5,0)),0)</f>
        <v>1.65</v>
      </c>
      <c r="X223" s="53">
        <f>IFERROR((VLOOKUP($A223,'Dados StatusInvest'!$A:$AZ,COLUMN(X223)-$A$5,0)/VLOOKUP($A223,'Dados StatusInvest'!$A:$AZ,2,0)*$F223),0)</f>
        <v>0.61669627</v>
      </c>
      <c r="Y223" s="54">
        <f>IFERROR((VLOOKUP($A223,'Dados StatusInvest'!$A:$AZ,COLUMN(Y223)-$A$5,0)/VLOOKUP($A223,'Dados StatusInvest'!$A:$AZ,2,0)*$F223),0)</f>
        <v>3.690230906</v>
      </c>
      <c r="Z223" s="56">
        <f>IFERROR((VLOOKUP($A223,'Dados StatusInvest'!$A:$AZ,COLUMN(Z223)-$A$5,0)),0)</f>
        <v>0.37</v>
      </c>
      <c r="AA223" s="57">
        <f>IFERROR((VLOOKUP($A223,'Dados StatusInvest'!$A:$AZ,COLUMN(AA223)-$A$5,0)),0)</f>
        <v>0.61</v>
      </c>
      <c r="AB223" s="57">
        <f>IFERROR((VLOOKUP($A223,'Dados StatusInvest'!$A:$AZ,COLUMN(AB223)-$A$5,0)),0)</f>
        <v>0.46</v>
      </c>
      <c r="AC223" s="58">
        <f>IFERROR((VLOOKUP($A223,'Dados StatusInvest'!$A:$AZ,COLUMN(AC223)-$A$5,0)),0)</f>
        <v>10.44</v>
      </c>
      <c r="AD223" s="57">
        <f>IFERROR((VLOOKUP($A223,'Dados StatusInvest'!$A:$AZ,COLUMN(AD223)-$A$5,0)),0)</f>
        <v>-22.81</v>
      </c>
      <c r="AE223" s="56">
        <f>IFERROR((VLOOKUP($A223,'Dados StatusInvest'!$A:$AZ,COLUMN(AE223)-$A$5,0)),0)</f>
        <v>13997355</v>
      </c>
      <c r="AF223" s="56">
        <f>IFERROR((VLOOKUP($A223,'Dados StatusInvest'!$A:$AZ,COLUMN(AF223)-$A$5,0)),0)</f>
        <v>7.34</v>
      </c>
      <c r="AG223" s="56">
        <f>IFERROR((VLOOKUP($A223,'Dados StatusInvest'!$A:$AZ,COLUMN(AG223)-$A$5,0)),0)</f>
        <v>0.12</v>
      </c>
      <c r="AH223" s="56">
        <f>IFERROR((VLOOKUP($A223,'Dados StatusInvest'!$A:$AZ,COLUMN(AH223)-$A$5,0)),0)</f>
        <v>-0.69</v>
      </c>
      <c r="AI223" s="57">
        <f>IFERROR((VLOOKUP($A223,'Dados StatusInvest'!$A:$AZ,COLUMN(AI223)-$A$5,0)),0)</f>
        <v>5174162523</v>
      </c>
      <c r="AJ223" s="59" t="str">
        <f>IFERROR((VLOOKUP($A223,'Dados StatusInvest'!$A:$AZ,COLUMN(AJ223)-$A$5,0)),0)</f>
        <v/>
      </c>
      <c r="AK223" s="60">
        <f>IFERROR(__xludf.DUMMYFUNCTION("IFERROR(GOOGLEFINANCE($A223,""high""),"""")"),5.63)</f>
        <v>5.63</v>
      </c>
      <c r="AL223" s="60">
        <f>IFERROR(__xludf.DUMMYFUNCTION("IFERROR(GOOGLEFINANCE($A223,""low""),"""")"),5.54)</f>
        <v>5.54</v>
      </c>
      <c r="AM223" s="61">
        <f t="shared" si="2"/>
        <v>0.01624548736</v>
      </c>
      <c r="AN223" s="62">
        <f>IFERROR(__xludf.DUMMYFUNCTION("IFERROR((GOOGLEFINANCE($A223,""volume"")),0)"),34800.0)</f>
        <v>34800</v>
      </c>
      <c r="AO223" s="60">
        <f>IFERROR(__xludf.DUMMYFUNCTION("IFERROR((GOOGLEFINANCE($A223,""closeyest"")),"""")"),5.63)</f>
        <v>5.63</v>
      </c>
      <c r="AP223" s="60">
        <f>IFERROR(__xludf.DUMMYFUNCTION("IFERROR((GOOGLEFINANCE($A223,""shares"")),"""")"),9.19034196E8)</f>
        <v>919034196</v>
      </c>
      <c r="AQ223" s="18"/>
    </row>
    <row r="224">
      <c r="A224" s="45" t="str">
        <f>'Dados StatusInvest'!A219:A838</f>
        <v>EALT3</v>
      </c>
      <c r="B224" s="46" t="str">
        <f>IFERROR(__xludf.DUMMYFUNCTION("IFERROR((GOOGLEFINANCE(A224,""name"")),"""")"),"Electro Aco Altona SA")</f>
        <v>Electro Aco Altona SA</v>
      </c>
      <c r="C224" s="46" t="str">
        <f>IFERROR((VLOOKUP(LEFT($A224,4),Setor!$A:$E,3,0)),"")</f>
        <v>Bens Industriais</v>
      </c>
      <c r="D224" s="46" t="str">
        <f>IFERROR((VLOOKUP(LEFT($A224,4),Setor!$A:$E,4,0)),"")</f>
        <v>Máquinas e Equipamentos</v>
      </c>
      <c r="E224" s="46" t="str">
        <f>IFERROR((VLOOKUP(LEFT($A224,4),Setor!$A:$E,5,0)),"")</f>
        <v>Máq. e Equip. Industriais</v>
      </c>
      <c r="F224" s="47">
        <f>IFERROR(__xludf.DUMMYFUNCTION("IFERROR((GOOGLEFINANCE(A224)),"""")"),14.01)</f>
        <v>14.01</v>
      </c>
      <c r="G224" s="48" t="str">
        <f>IFERROR(__xludf.DUMMYFUNCTION("IFERROR((sparkline(GOOGLEFINANCE($A224,""price"",TODAY()-30,TODAY(),""DAILY""),{""charttype"",""line"";""linewidth"",1;""color"",""#5f88cc""})),"""")"),"")</f>
        <v/>
      </c>
      <c r="H224" s="49">
        <f>IFERROR(__xludf.DUMMYFUNCTION("IFERROR((((GOOGLEFINANCE(A224))-(INDEX(GoogleFinance(A224,""PRICE"",$AQ$1),2,2)))/(INDEX(GoogleFinance(A224,""PRICE"",$AQ$1),2,2))),"""")"),-0.03312629399585924)</f>
        <v>-0.033126294</v>
      </c>
      <c r="I224" s="47">
        <f>IFERROR(__xludf.DUMMYFUNCTION("IFERROR((GOOGLEFINANCE($A224,""high52"")),"""")"),15.08)</f>
        <v>15.08</v>
      </c>
      <c r="J224" s="48" t="str">
        <f>IFERROR(__xludf.DUMMYFUNCTION("IFERROR((sparkline(GOOGLEFINANCE($A224,""price"",TODAY()-365,TODAY(),""DAILY""),{""charttype"",""line"";""linewidth"",1;""color"",""#5f88cc""})),"""")"),"")</f>
        <v/>
      </c>
      <c r="K224" s="50">
        <f>IFERROR(__xludf.DUMMYFUNCTION("IFERROR((((GOOGLEFINANCE(A224))-(INDEX(GoogleFinance(A224,""PRICE"",$AP$1),2,2)))/(INDEX(GoogleFinance(A224,""PRICE"",$AP$1),2,2))),"""")"),0.04865269461077847)</f>
        <v>0.04865269461</v>
      </c>
      <c r="L224" s="51">
        <f t="shared" si="1"/>
        <v>-0.07095490716</v>
      </c>
      <c r="M224" s="52">
        <f>IFERROR((VLOOKUP($A224,'Dados StatusInvest'!$A:$AZ,COLUMN(M224)-$A$5,0)*VLOOKUP($A224,'Dados StatusInvest'!$A:$AZ,2,0)/$F224/100),0)</f>
        <v>0.1412</v>
      </c>
      <c r="N224" s="53">
        <f>IFERROR((VLOOKUP($A224,'Dados StatusInvest'!$A:$AZ,COLUMN(N224)-$A$5,0)/VLOOKUP($A224,'Dados StatusInvest'!$A:$AZ,2,0)*$F224),"")</f>
        <v>18.28</v>
      </c>
      <c r="O224" s="53">
        <f>IFERROR((VLOOKUP($A224,'Dados StatusInvest'!$A:$AZ,COLUMN(O224)-$A$5,0)/VLOOKUP($A224,'Dados StatusInvest'!$A:$AZ,2,0)*$F224),0)</f>
        <v>3.85</v>
      </c>
      <c r="P224" s="54">
        <f>IFERROR((VLOOKUP($A224,'Dados StatusInvest'!$A:$AZ,COLUMN(P224)-$A$5,0)/VLOOKUP($A224,'Dados StatusInvest'!$A:$AZ,2,0)*$F224),0)</f>
        <v>4.9</v>
      </c>
      <c r="Q224" s="55">
        <f>IFERROR((VLOOKUP($A224,'Dados StatusInvest'!$A:$AZ,COLUMN(Q224)-$A$5,0)/100),0)</f>
        <v>0.0101</v>
      </c>
      <c r="R224" s="56">
        <f>VLOOKUP($A224,'Dados StatusInvest'!$A:$AZ,COLUMN(R224)-$A$5,0)</f>
        <v>0.23</v>
      </c>
      <c r="S224" s="56">
        <f>IFERROR((VLOOKUP($A224,'Dados StatusInvest'!$A:$AZ,COLUMN(S224)-$A$5,0)),0)</f>
        <v>0.54</v>
      </c>
      <c r="T224" s="53">
        <f>IFERROR((VLOOKUP($A224,'Dados StatusInvest'!$A:$AZ,COLUMN(T224)-$A$5,0)/VLOOKUP($A224,'Dados StatusInvest'!$A:$AZ,2,0)*$F224),0)</f>
        <v>5.37</v>
      </c>
      <c r="U224" s="53">
        <f>IFERROR((VLOOKUP($A224,'Dados StatusInvest'!$A:$AZ,COLUMN(U224)-$A$5,0)-VLOOKUP($A224,'Dados StatusInvest'!$A:$AZ,COLUMN(U224)-$A$5-1,0)+T224),0)</f>
        <v>-0.82</v>
      </c>
      <c r="V224" s="56">
        <f>IFERROR((VLOOKUP($A224,'Dados StatusInvest'!$A:$AZ,COLUMN(V224)-$A$5,0)),0)</f>
        <v>1.31</v>
      </c>
      <c r="W224" s="56">
        <f>IFERROR((VLOOKUP($A224,'Dados StatusInvest'!$A:$AZ,COLUMN(W224)-$A$5,0)),0)</f>
        <v>29.71</v>
      </c>
      <c r="X224" s="53">
        <f>IFERROR((VLOOKUP($A224,'Dados StatusInvest'!$A:$AZ,COLUMN(X224)-$A$5,0)/VLOOKUP($A224,'Dados StatusInvest'!$A:$AZ,2,0)*$F224),0)</f>
        <v>16.76</v>
      </c>
      <c r="Y224" s="54">
        <f>IFERROR((VLOOKUP($A224,'Dados StatusInvest'!$A:$AZ,COLUMN(Y224)-$A$5,0)/VLOOKUP($A224,'Dados StatusInvest'!$A:$AZ,2,0)*$F224),0)</f>
        <v>11.99</v>
      </c>
      <c r="Z224" s="56">
        <f>IFERROR((VLOOKUP($A224,'Dados StatusInvest'!$A:$AZ,COLUMN(Z224)-$A$5,0)),0)</f>
        <v>0.56</v>
      </c>
      <c r="AA224" s="57">
        <f>IFERROR((VLOOKUP($A224,'Dados StatusInvest'!$A:$AZ,COLUMN(AA224)-$A$5,0)),0)</f>
        <v>0.44</v>
      </c>
      <c r="AB224" s="57">
        <f>IFERROR((VLOOKUP($A224,'Dados StatusInvest'!$A:$AZ,COLUMN(AB224)-$A$5,0)),0)</f>
        <v>0.92</v>
      </c>
      <c r="AC224" s="58">
        <f>IFERROR((VLOOKUP($A224,'Dados StatusInvest'!$A:$AZ,COLUMN(AC224)-$A$5,0)),0)</f>
        <v>13.53</v>
      </c>
      <c r="AD224" s="57">
        <f>IFERROR((VLOOKUP($A224,'Dados StatusInvest'!$A:$AZ,COLUMN(AD224)-$A$5,0)),0)</f>
        <v>44.42</v>
      </c>
      <c r="AE224" s="56">
        <f>IFERROR((VLOOKUP($A224,'Dados StatusInvest'!$A:$AZ,COLUMN(AE224)-$A$5,0)),0)</f>
        <v>24258.12</v>
      </c>
      <c r="AF224" s="56">
        <f>IFERROR((VLOOKUP($A224,'Dados StatusInvest'!$A:$AZ,COLUMN(AF224)-$A$5,0)),0)</f>
        <v>15.84</v>
      </c>
      <c r="AG224" s="56">
        <f>IFERROR((VLOOKUP($A224,'Dados StatusInvest'!$A:$AZ,COLUMN(AG224)-$A$5,0)),0)</f>
        <v>4.71</v>
      </c>
      <c r="AH224" s="56">
        <f>IFERROR((VLOOKUP($A224,'Dados StatusInvest'!$A:$AZ,COLUMN(AH224)-$A$5,0)),0)</f>
        <v>0.05</v>
      </c>
      <c r="AI224" s="57">
        <f>IFERROR((VLOOKUP($A224,'Dados StatusInvest'!$A:$AZ,COLUMN(AI224)-$A$5,0)),0)</f>
        <v>317902500</v>
      </c>
      <c r="AJ224" s="59" t="str">
        <f>IFERROR((VLOOKUP($A224,'Dados StatusInvest'!$A:$AZ,COLUMN(AJ224)-$A$5,0)),0)</f>
        <v/>
      </c>
      <c r="AK224" s="60" t="str">
        <f>IFERROR(__xludf.DUMMYFUNCTION("IFERROR(GOOGLEFINANCE($A224,""high""),"""")"),"")</f>
        <v/>
      </c>
      <c r="AL224" s="60" t="str">
        <f>IFERROR(__xludf.DUMMYFUNCTION("IFERROR(GOOGLEFINANCE($A224,""low""),"""")"),"")</f>
        <v/>
      </c>
      <c r="AM224" s="61">
        <f t="shared" si="2"/>
        <v>0</v>
      </c>
      <c r="AN224" s="62">
        <f>IFERROR(__xludf.DUMMYFUNCTION("IFERROR((GOOGLEFINANCE($A224,""volume"")),0)"),0.0)</f>
        <v>0</v>
      </c>
      <c r="AO224" s="60">
        <f>IFERROR(__xludf.DUMMYFUNCTION("IFERROR((GOOGLEFINANCE($A224,""closeyest"")),"""")"),14.01)</f>
        <v>14.01</v>
      </c>
      <c r="AP224" s="60">
        <f>IFERROR(__xludf.DUMMYFUNCTION("IFERROR((GOOGLEFINANCE($A224,""shares"")),"""")"),9750000.0)</f>
        <v>9750000</v>
      </c>
      <c r="AQ224" s="18"/>
    </row>
    <row r="225">
      <c r="A225" s="45" t="str">
        <f>'Dados StatusInvest'!A220:A839</f>
        <v>EALT4</v>
      </c>
      <c r="B225" s="46" t="str">
        <f>IFERROR(__xludf.DUMMYFUNCTION("IFERROR((GOOGLEFINANCE(A225,""name"")),"""")"),"Electro Aco Altona SA Preference Shares")</f>
        <v>Electro Aco Altona SA Preference Shares</v>
      </c>
      <c r="C225" s="46" t="str">
        <f>IFERROR((VLOOKUP(LEFT($A225,4),Setor!$A:$E,3,0)),"")</f>
        <v>Bens Industriais</v>
      </c>
      <c r="D225" s="46" t="str">
        <f>IFERROR((VLOOKUP(LEFT($A225,4),Setor!$A:$E,4,0)),"")</f>
        <v>Máquinas e Equipamentos</v>
      </c>
      <c r="E225" s="46" t="str">
        <f>IFERROR((VLOOKUP(LEFT($A225,4),Setor!$A:$E,5,0)),"")</f>
        <v>Máq. e Equip. Industriais</v>
      </c>
      <c r="F225" s="47">
        <f>IFERROR(__xludf.DUMMYFUNCTION("IFERROR((GOOGLEFINANCE(A225)),"""")"),14.22)</f>
        <v>14.22</v>
      </c>
      <c r="G225" s="48" t="str">
        <f>IFERROR(__xludf.DUMMYFUNCTION("IFERROR((sparkline(GOOGLEFINANCE($A225,""price"",TODAY()-30,TODAY(),""DAILY""),{""charttype"",""line"";""linewidth"",1;""color"",""#5f88cc""})),"""")"),"")</f>
        <v/>
      </c>
      <c r="H225" s="49">
        <f>IFERROR(__xludf.DUMMYFUNCTION("IFERROR((((GOOGLEFINANCE(A225))-(INDEX(GoogleFinance(A225,""PRICE"",$AQ$1),2,2)))/(INDEX(GoogleFinance(A225,""PRICE"",$AQ$1),2,2))),"""")"),0.017895490336435216)</f>
        <v>0.01789549034</v>
      </c>
      <c r="I225" s="47">
        <f>IFERROR(__xludf.DUMMYFUNCTION("IFERROR((GOOGLEFINANCE($A225,""high52"")),"""")"),14.85)</f>
        <v>14.85</v>
      </c>
      <c r="J225" s="48" t="str">
        <f>IFERROR(__xludf.DUMMYFUNCTION("IFERROR((sparkline(GOOGLEFINANCE($A225,""price"",TODAY()-365,TODAY(),""DAILY""),{""charttype"",""line"";""linewidth"",1;""color"",""#5f88cc""})),"""")"),"")</f>
        <v/>
      </c>
      <c r="K225" s="50">
        <f>IFERROR(__xludf.DUMMYFUNCTION("IFERROR((((GOOGLEFINANCE(A225))-(INDEX(GoogleFinance(A225,""PRICE"",$AP$1),2,2)))/(INDEX(GoogleFinance(A225,""PRICE"",$AP$1),2,2))),"""")"),0.04712812960235645)</f>
        <v>0.0471281296</v>
      </c>
      <c r="L225" s="51">
        <f t="shared" si="1"/>
        <v>-0.04242424242</v>
      </c>
      <c r="M225" s="52">
        <f>IFERROR((VLOOKUP($A225,'Dados StatusInvest'!$A:$AZ,COLUMN(M225)-$A$5,0)*VLOOKUP($A225,'Dados StatusInvest'!$A:$AZ,2,0)/$F225/100),0)</f>
        <v>0.1412</v>
      </c>
      <c r="N225" s="53">
        <f>IFERROR((VLOOKUP($A225,'Dados StatusInvest'!$A:$AZ,COLUMN(N225)-$A$5,0)/VLOOKUP($A225,'Dados StatusInvest'!$A:$AZ,2,0)*$F225),"")</f>
        <v>18.28</v>
      </c>
      <c r="O225" s="53">
        <f>IFERROR((VLOOKUP($A225,'Dados StatusInvest'!$A:$AZ,COLUMN(O225)-$A$5,0)/VLOOKUP($A225,'Dados StatusInvest'!$A:$AZ,2,0)*$F225),0)</f>
        <v>3.91</v>
      </c>
      <c r="P225" s="54">
        <f>IFERROR((VLOOKUP($A225,'Dados StatusInvest'!$A:$AZ,COLUMN(P225)-$A$5,0)/VLOOKUP($A225,'Dados StatusInvest'!$A:$AZ,2,0)*$F225),0)</f>
        <v>4.9</v>
      </c>
      <c r="Q225" s="55">
        <f>IFERROR((VLOOKUP($A225,'Dados StatusInvest'!$A:$AZ,COLUMN(Q225)-$A$5,0)/100),0)</f>
        <v>0.0101</v>
      </c>
      <c r="R225" s="56">
        <f>VLOOKUP($A225,'Dados StatusInvest'!$A:$AZ,COLUMN(R225)-$A$5,0)</f>
        <v>0.23</v>
      </c>
      <c r="S225" s="56">
        <f>IFERROR((VLOOKUP($A225,'Dados StatusInvest'!$A:$AZ,COLUMN(S225)-$A$5,0)),0)</f>
        <v>0.55</v>
      </c>
      <c r="T225" s="53">
        <f>IFERROR((VLOOKUP($A225,'Dados StatusInvest'!$A:$AZ,COLUMN(T225)-$A$5,0)/VLOOKUP($A225,'Dados StatusInvest'!$A:$AZ,2,0)*$F225),0)</f>
        <v>5.45</v>
      </c>
      <c r="U225" s="53">
        <f>IFERROR((VLOOKUP($A225,'Dados StatusInvest'!$A:$AZ,COLUMN(U225)-$A$5,0)-VLOOKUP($A225,'Dados StatusInvest'!$A:$AZ,COLUMN(U225)-$A$5-1,0)+T225),0)</f>
        <v>-0.83</v>
      </c>
      <c r="V225" s="56">
        <f>IFERROR((VLOOKUP($A225,'Dados StatusInvest'!$A:$AZ,COLUMN(V225)-$A$5,0)),0)</f>
        <v>1.31</v>
      </c>
      <c r="W225" s="56">
        <f>IFERROR((VLOOKUP($A225,'Dados StatusInvest'!$A:$AZ,COLUMN(W225)-$A$5,0)),0)</f>
        <v>29.71</v>
      </c>
      <c r="X225" s="53">
        <f>IFERROR((VLOOKUP($A225,'Dados StatusInvest'!$A:$AZ,COLUMN(X225)-$A$5,0)/VLOOKUP($A225,'Dados StatusInvest'!$A:$AZ,2,0)*$F225),0)</f>
        <v>16.76</v>
      </c>
      <c r="Y225" s="54">
        <f>IFERROR((VLOOKUP($A225,'Dados StatusInvest'!$A:$AZ,COLUMN(Y225)-$A$5,0)/VLOOKUP($A225,'Dados StatusInvest'!$A:$AZ,2,0)*$F225),0)</f>
        <v>11.99</v>
      </c>
      <c r="Z225" s="56">
        <f>IFERROR((VLOOKUP($A225,'Dados StatusInvest'!$A:$AZ,COLUMN(Z225)-$A$5,0)),0)</f>
        <v>0.56</v>
      </c>
      <c r="AA225" s="57">
        <f>IFERROR((VLOOKUP($A225,'Dados StatusInvest'!$A:$AZ,COLUMN(AA225)-$A$5,0)),0)</f>
        <v>0.44</v>
      </c>
      <c r="AB225" s="57">
        <f>IFERROR((VLOOKUP($A225,'Dados StatusInvest'!$A:$AZ,COLUMN(AB225)-$A$5,0)),0)</f>
        <v>0.92</v>
      </c>
      <c r="AC225" s="58">
        <f>IFERROR((VLOOKUP($A225,'Dados StatusInvest'!$A:$AZ,COLUMN(AC225)-$A$5,0)),0)</f>
        <v>13.53</v>
      </c>
      <c r="AD225" s="57">
        <f>IFERROR((VLOOKUP($A225,'Dados StatusInvest'!$A:$AZ,COLUMN(AD225)-$A$5,0)),0)</f>
        <v>44.42</v>
      </c>
      <c r="AE225" s="56">
        <f>IFERROR((VLOOKUP($A225,'Dados StatusInvest'!$A:$AZ,COLUMN(AE225)-$A$5,0)),0)</f>
        <v>257406.3</v>
      </c>
      <c r="AF225" s="56">
        <f>IFERROR((VLOOKUP($A225,'Dados StatusInvest'!$A:$AZ,COLUMN(AF225)-$A$5,0)),0)</f>
        <v>15.84</v>
      </c>
      <c r="AG225" s="56">
        <f>IFERROR((VLOOKUP($A225,'Dados StatusInvest'!$A:$AZ,COLUMN(AG225)-$A$5,0)),0)</f>
        <v>4.71</v>
      </c>
      <c r="AH225" s="56">
        <f>IFERROR((VLOOKUP($A225,'Dados StatusInvest'!$A:$AZ,COLUMN(AH225)-$A$5,0)),0)</f>
        <v>0.05</v>
      </c>
      <c r="AI225" s="57">
        <f>IFERROR((VLOOKUP($A225,'Dados StatusInvest'!$A:$AZ,COLUMN(AI225)-$A$5,0)),0)</f>
        <v>317902500</v>
      </c>
      <c r="AJ225" s="59" t="str">
        <f>IFERROR((VLOOKUP($A225,'Dados StatusInvest'!$A:$AZ,COLUMN(AJ225)-$A$5,0)),0)</f>
        <v/>
      </c>
      <c r="AK225" s="60">
        <f>IFERROR(__xludf.DUMMYFUNCTION("IFERROR(GOOGLEFINANCE($A225,""high""),"""")"),14.22)</f>
        <v>14.22</v>
      </c>
      <c r="AL225" s="60">
        <f>IFERROR(__xludf.DUMMYFUNCTION("IFERROR(GOOGLEFINANCE($A225,""low""),"""")"),14.21)</f>
        <v>14.21</v>
      </c>
      <c r="AM225" s="61">
        <f t="shared" si="2"/>
        <v>0.0007037297678</v>
      </c>
      <c r="AN225" s="62">
        <f>IFERROR(__xludf.DUMMYFUNCTION("IFERROR((GOOGLEFINANCE($A225,""volume"")),0)"),1900.0)</f>
        <v>1900</v>
      </c>
      <c r="AO225" s="60">
        <f>IFERROR(__xludf.DUMMYFUNCTION("IFERROR((GOOGLEFINANCE($A225,""closeyest"")),"""")"),14.22)</f>
        <v>14.22</v>
      </c>
      <c r="AP225" s="60">
        <f>IFERROR(__xludf.DUMMYFUNCTION("IFERROR((GOOGLEFINANCE($A225,""shares"")),"""")"),1.275E7)</f>
        <v>12750000</v>
      </c>
      <c r="AQ225" s="18"/>
    </row>
    <row r="226">
      <c r="A226" s="45" t="str">
        <f>'Dados StatusInvest'!A221:A840</f>
        <v>ECOR3</v>
      </c>
      <c r="B226" s="46" t="str">
        <f>IFERROR(__xludf.DUMMYFUNCTION("IFERROR((GOOGLEFINANCE(A226,""name"")),"""")"),"Ecorodovias Infraestrutura e Logistca SA")</f>
        <v>Ecorodovias Infraestrutura e Logistca SA</v>
      </c>
      <c r="C226" s="46" t="str">
        <f>IFERROR((VLOOKUP(LEFT($A226,4),Setor!$A:$E,3,0)),"")</f>
        <v>Bens Industriais</v>
      </c>
      <c r="D226" s="46" t="str">
        <f>IFERROR((VLOOKUP(LEFT($A226,4),Setor!$A:$E,4,0)),"")</f>
        <v>Transporte</v>
      </c>
      <c r="E226" s="46" t="str">
        <f>IFERROR((VLOOKUP(LEFT($A226,4),Setor!$A:$E,5,0)),"")</f>
        <v>Exploração de Rodovias</v>
      </c>
      <c r="F226" s="47">
        <f>IFERROR(__xludf.DUMMYFUNCTION("IFERROR((GOOGLEFINANCE(A226)),"""")"),10.65)</f>
        <v>10.65</v>
      </c>
      <c r="G226" s="48" t="str">
        <f>IFERROR(__xludf.DUMMYFUNCTION("IFERROR((sparkline(GOOGLEFINANCE($A226,""price"",TODAY()-30,TODAY(),""DAILY""),{""charttype"",""line"";""linewidth"",1;""color"",""#5f88cc""})),"""")"),"")</f>
        <v/>
      </c>
      <c r="H226" s="49">
        <f>IFERROR(__xludf.DUMMYFUNCTION("IFERROR((((GOOGLEFINANCE(A226))-(INDEX(GoogleFinance(A226,""PRICE"",$AQ$1),2,2)))/(INDEX(GoogleFinance(A226,""PRICE"",$AQ$1),2,2))),"""")"),-0.010223048327137494)</f>
        <v>-0.01022304833</v>
      </c>
      <c r="I226" s="47">
        <f>IFERROR(__xludf.DUMMYFUNCTION("IFERROR((GOOGLEFINANCE($A226,""high52"")),"""")"),12.38)</f>
        <v>12.38</v>
      </c>
      <c r="J226" s="48" t="str">
        <f>IFERROR(__xludf.DUMMYFUNCTION("IFERROR((sparkline(GOOGLEFINANCE($A226,""price"",TODAY()-365,TODAY(),""DAILY""),{""charttype"",""line"";""linewidth"",1;""color"",""#5f88cc""})),"""")"),"")</f>
        <v/>
      </c>
      <c r="K226" s="50">
        <f>IFERROR(__xludf.DUMMYFUNCTION("IFERROR((((GOOGLEFINANCE(A226))-(INDEX(GoogleFinance(A226,""PRICE"",$AP$1),2,2)))/(INDEX(GoogleFinance(A226,""PRICE"",$AP$1),2,2))),"""")"),1.0402298850574714)</f>
        <v>1.040229885</v>
      </c>
      <c r="L226" s="51">
        <f t="shared" si="1"/>
        <v>-0.1397415186</v>
      </c>
      <c r="M226" s="52">
        <f>IFERROR((VLOOKUP($A226,'Dados StatusInvest'!$A:$AZ,COLUMN(M226)-$A$5,0)*VLOOKUP($A226,'Dados StatusInvest'!$A:$AZ,2,0)/$F226/100),0)</f>
        <v>0.3786229108</v>
      </c>
      <c r="N226" s="53">
        <f>IFERROR((VLOOKUP($A226,'Dados StatusInvest'!$A:$AZ,COLUMN(N226)-$A$5,0)/VLOOKUP($A226,'Dados StatusInvest'!$A:$AZ,2,0)*$F226),"")</f>
        <v>8.377073625</v>
      </c>
      <c r="O226" s="53">
        <f>IFERROR((VLOOKUP($A226,'Dados StatusInvest'!$A:$AZ,COLUMN(O226)-$A$5,0)/VLOOKUP($A226,'Dados StatusInvest'!$A:$AZ,2,0)*$F226),0)</f>
        <v>1.806430568</v>
      </c>
      <c r="P226" s="54">
        <f>IFERROR((VLOOKUP($A226,'Dados StatusInvest'!$A:$AZ,COLUMN(P226)-$A$5,0)/VLOOKUP($A226,'Dados StatusInvest'!$A:$AZ,2,0)*$F226),0)</f>
        <v>6.808853681</v>
      </c>
      <c r="Q226" s="55">
        <f>IFERROR((VLOOKUP($A226,'Dados StatusInvest'!$A:$AZ,COLUMN(Q226)-$A$5,0)/100),0)</f>
        <v>0.0504</v>
      </c>
      <c r="R226" s="56">
        <f>VLOOKUP($A226,'Dados StatusInvest'!$A:$AZ,COLUMN(R226)-$A$5,0)</f>
        <v>4.92</v>
      </c>
      <c r="S226" s="56">
        <f>IFERROR((VLOOKUP($A226,'Dados StatusInvest'!$A:$AZ,COLUMN(S226)-$A$5,0)),0)</f>
        <v>0.68</v>
      </c>
      <c r="T226" s="53">
        <f>IFERROR((VLOOKUP($A226,'Dados StatusInvest'!$A:$AZ,COLUMN(T226)-$A$5,0)/VLOOKUP($A226,'Dados StatusInvest'!$A:$AZ,2,0)*$F226),0)</f>
        <v>4.208387698</v>
      </c>
      <c r="U226" s="53">
        <f>IFERROR((VLOOKUP($A226,'Dados StatusInvest'!$A:$AZ,COLUMN(U226)-$A$5,0)-VLOOKUP($A226,'Dados StatusInvest'!$A:$AZ,COLUMN(U226)-$A$5-1,0)+T226),0)</f>
        <v>-0.281612302</v>
      </c>
      <c r="V226" s="56">
        <f>IFERROR((VLOOKUP($A226,'Dados StatusInvest'!$A:$AZ,COLUMN(V226)-$A$5,0)),0)</f>
        <v>1.51</v>
      </c>
      <c r="W226" s="56">
        <f>IFERROR((VLOOKUP($A226,'Dados StatusInvest'!$A:$AZ,COLUMN(W226)-$A$5,0)),0)</f>
        <v>21.93</v>
      </c>
      <c r="X226" s="53">
        <f>IFERROR((VLOOKUP($A226,'Dados StatusInvest'!$A:$AZ,COLUMN(X226)-$A$5,0)/VLOOKUP($A226,'Dados StatusInvest'!$A:$AZ,2,0)*$F226),0)</f>
        <v>2.610391426</v>
      </c>
      <c r="Y226" s="54">
        <f>IFERROR((VLOOKUP($A226,'Dados StatusInvest'!$A:$AZ,COLUMN(Y226)-$A$5,0)/VLOOKUP($A226,'Dados StatusInvest'!$A:$AZ,2,0)*$F226),0)</f>
        <v>11.26537745</v>
      </c>
      <c r="Z226" s="56">
        <f>IFERROR((VLOOKUP($A226,'Dados StatusInvest'!$A:$AZ,COLUMN(Z226)-$A$5,0)),0)</f>
        <v>0.12</v>
      </c>
      <c r="AA226" s="57">
        <f>IFERROR((VLOOKUP($A226,'Dados StatusInvest'!$A:$AZ,COLUMN(AA226)-$A$5,0)),0)</f>
        <v>0.87</v>
      </c>
      <c r="AB226" s="57">
        <f>IFERROR((VLOOKUP($A226,'Dados StatusInvest'!$A:$AZ,COLUMN(AB226)-$A$5,0)),0)</f>
        <v>0.31</v>
      </c>
      <c r="AC226" s="58">
        <f>IFERROR((VLOOKUP($A226,'Dados StatusInvest'!$A:$AZ,COLUMN(AC226)-$A$5,0)),0)</f>
        <v>20.09</v>
      </c>
      <c r="AD226" s="57">
        <f>IFERROR((VLOOKUP($A226,'Dados StatusInvest'!$A:$AZ,COLUMN(AD226)-$A$5,0)),0)</f>
        <v>0</v>
      </c>
      <c r="AE226" s="56">
        <f>IFERROR((VLOOKUP($A226,'Dados StatusInvest'!$A:$AZ,COLUMN(AE226)-$A$5,0)),0)</f>
        <v>89504737</v>
      </c>
      <c r="AF226" s="56">
        <f>IFERROR((VLOOKUP($A226,'Dados StatusInvest'!$A:$AZ,COLUMN(AF226)-$A$5,0)),0)</f>
        <v>6.04</v>
      </c>
      <c r="AG226" s="56">
        <f>IFERROR((VLOOKUP($A226,'Dados StatusInvest'!$A:$AZ,COLUMN(AG226)-$A$5,0)),0)</f>
        <v>1.33</v>
      </c>
      <c r="AH226" s="56">
        <f>IFERROR((VLOOKUP($A226,'Dados StatusInvest'!$A:$AZ,COLUMN(AH226)-$A$5,0)),0)</f>
        <v>1.65</v>
      </c>
      <c r="AI226" s="57">
        <f>IFERROR((VLOOKUP($A226,'Dados StatusInvest'!$A:$AZ,COLUMN(AI226)-$A$5,0)),0)</f>
        <v>7471666224</v>
      </c>
      <c r="AJ226" s="59" t="str">
        <f>IFERROR((VLOOKUP($A226,'Dados StatusInvest'!$A:$AZ,COLUMN(AJ226)-$A$5,0)),0)</f>
        <v/>
      </c>
      <c r="AK226" s="60">
        <f>IFERROR(__xludf.DUMMYFUNCTION("IFERROR(GOOGLEFINANCE($A226,""high""),"""")"),10.7)</f>
        <v>10.7</v>
      </c>
      <c r="AL226" s="60">
        <f>IFERROR(__xludf.DUMMYFUNCTION("IFERROR(GOOGLEFINANCE($A226,""low""),"""")"),10.58)</f>
        <v>10.58</v>
      </c>
      <c r="AM226" s="61">
        <f t="shared" si="2"/>
        <v>0.01134215501</v>
      </c>
      <c r="AN226" s="62">
        <f>IFERROR(__xludf.DUMMYFUNCTION("IFERROR((GOOGLEFINANCE($A226,""volume"")),0)"),145200.0)</f>
        <v>145200</v>
      </c>
      <c r="AO226" s="60">
        <f>IFERROR(__xludf.DUMMYFUNCTION("IFERROR((GOOGLEFINANCE($A226,""closeyest"")),"""")"),10.73)</f>
        <v>10.73</v>
      </c>
      <c r="AP226" s="60">
        <f>IFERROR(__xludf.DUMMYFUNCTION("IFERROR((GOOGLEFINANCE($A226,""shares"")),"""")"),6.96334224E8)</f>
        <v>696334224</v>
      </c>
      <c r="AQ226" s="18"/>
    </row>
    <row r="227">
      <c r="A227" s="45" t="str">
        <f>'Dados StatusInvest'!A222:A841</f>
        <v>ECPR3</v>
      </c>
      <c r="B227" s="46" t="str">
        <f>IFERROR(__xludf.DUMMYFUNCTION("IFERROR((GOOGLEFINANCE(A227,""name"")),"""")"),"")</f>
        <v/>
      </c>
      <c r="C227" s="46" t="str">
        <f>IFERROR((VLOOKUP(LEFT($A227,4),Setor!$A:$E,3,0)),"")</f>
        <v>Consumo Cíclico</v>
      </c>
      <c r="D227" s="46" t="str">
        <f>IFERROR((VLOOKUP(LEFT($A227,4),Setor!$A:$E,4,0)),"")</f>
        <v>Tecidos, Vestuário e Calçados</v>
      </c>
      <c r="E227" s="46" t="str">
        <f>IFERROR((VLOOKUP(LEFT($A227,4),Setor!$A:$E,5,0)),"")</f>
        <v>Fios e Tecidos</v>
      </c>
      <c r="F227" s="47" t="str">
        <f>IFERROR(__xludf.DUMMYFUNCTION("IFERROR((GOOGLEFINANCE(A227)),"""")"),"")</f>
        <v/>
      </c>
      <c r="G227" s="48" t="str">
        <f>IFERROR(__xludf.DUMMYFUNCTION("IFERROR((sparkline(GOOGLEFINANCE($A227,""price"",TODAY()-30,TODAY(),""DAILY""),{""charttype"",""line"";""linewidth"",1;""color"",""#5f88cc""})),"""")"),"")</f>
        <v/>
      </c>
      <c r="H227" s="49" t="str">
        <f>IFERROR(__xludf.DUMMYFUNCTION("IFERROR((((GOOGLEFINANCE(A227))-(INDEX(GoogleFinance(A227,""PRICE"",$AQ$1),2,2)))/(INDEX(GoogleFinance(A227,""PRICE"",$AQ$1),2,2))),"""")"),"")</f>
        <v/>
      </c>
      <c r="I227" s="47" t="str">
        <f>IFERROR(__xludf.DUMMYFUNCTION("IFERROR((GOOGLEFINANCE($A227,""high52"")),"""")"),"")</f>
        <v/>
      </c>
      <c r="J227" s="48" t="str">
        <f>IFERROR(__xludf.DUMMYFUNCTION("IFERROR((sparkline(GOOGLEFINANCE($A227,""price"",TODAY()-365,TODAY(),""DAILY""),{""charttype"",""line"";""linewidth"",1;""color"",""#5f88cc""})),"""")"),"")</f>
        <v/>
      </c>
      <c r="K227" s="50" t="str">
        <f>IFERROR(__xludf.DUMMYFUNCTION("IFERROR((((GOOGLEFINANCE(A227))-(INDEX(GoogleFinance(A227,""PRICE"",$AP$1),2,2)))/(INDEX(GoogleFinance(A227,""PRICE"",$AP$1),2,2))),"""")"),"")</f>
        <v/>
      </c>
      <c r="L227" s="51">
        <f t="shared" si="1"/>
        <v>0</v>
      </c>
      <c r="M227" s="52">
        <f>IFERROR((VLOOKUP($A227,'Dados StatusInvest'!$A:$AZ,COLUMN(M227)-$A$5,0)*VLOOKUP($A227,'Dados StatusInvest'!$A:$AZ,2,0)/$F227/100),0)</f>
        <v>0</v>
      </c>
      <c r="N227" s="53">
        <f>IFERROR((VLOOKUP($A227,'Dados StatusInvest'!$A:$AZ,COLUMN(N227)-$A$5,0)/VLOOKUP($A227,'Dados StatusInvest'!$A:$AZ,2,0)*$F227),"")</f>
        <v>0</v>
      </c>
      <c r="O227" s="53">
        <f>IFERROR((VLOOKUP($A227,'Dados StatusInvest'!$A:$AZ,COLUMN(O227)-$A$5,0)/VLOOKUP($A227,'Dados StatusInvest'!$A:$AZ,2,0)*$F227),0)</f>
        <v>0</v>
      </c>
      <c r="P227" s="54">
        <f>IFERROR((VLOOKUP($A227,'Dados StatusInvest'!$A:$AZ,COLUMN(P227)-$A$5,0)/VLOOKUP($A227,'Dados StatusInvest'!$A:$AZ,2,0)*$F227),0)</f>
        <v>0</v>
      </c>
      <c r="Q227" s="55">
        <f>IFERROR((VLOOKUP($A227,'Dados StatusInvest'!$A:$AZ,COLUMN(Q227)-$A$5,0)/100),0)</f>
        <v>0.0008</v>
      </c>
      <c r="R227" s="56">
        <f>VLOOKUP($A227,'Dados StatusInvest'!$A:$AZ,COLUMN(R227)-$A$5,0)</f>
        <v>-0.01</v>
      </c>
      <c r="S227" s="56">
        <f>IFERROR((VLOOKUP($A227,'Dados StatusInvest'!$A:$AZ,COLUMN(S227)-$A$5,0)),0)</f>
        <v>0</v>
      </c>
      <c r="T227" s="53">
        <f>IFERROR((VLOOKUP($A227,'Dados StatusInvest'!$A:$AZ,COLUMN(T227)-$A$5,0)/VLOOKUP($A227,'Dados StatusInvest'!$A:$AZ,2,0)*$F227),0)</f>
        <v>0</v>
      </c>
      <c r="U227" s="53">
        <f>IFERROR((VLOOKUP($A227,'Dados StatusInvest'!$A:$AZ,COLUMN(U227)-$A$5,0)-VLOOKUP($A227,'Dados StatusInvest'!$A:$AZ,COLUMN(U227)-$A$5-1,0)+T227),0)</f>
        <v>-175.24</v>
      </c>
      <c r="V227" s="56">
        <f>IFERROR((VLOOKUP($A227,'Dados StatusInvest'!$A:$AZ,COLUMN(V227)-$A$5,0)),0)</f>
        <v>2.97</v>
      </c>
      <c r="W227" s="56">
        <f>IFERROR((VLOOKUP($A227,'Dados StatusInvest'!$A:$AZ,COLUMN(W227)-$A$5,0)),0)</f>
        <v>-12.28</v>
      </c>
      <c r="X227" s="53">
        <f>IFERROR((VLOOKUP($A227,'Dados StatusInvest'!$A:$AZ,COLUMN(X227)-$A$5,0)/VLOOKUP($A227,'Dados StatusInvest'!$A:$AZ,2,0)*$F227),0)</f>
        <v>0</v>
      </c>
      <c r="Y227" s="54">
        <f>IFERROR((VLOOKUP($A227,'Dados StatusInvest'!$A:$AZ,COLUMN(Y227)-$A$5,0)/VLOOKUP($A227,'Dados StatusInvest'!$A:$AZ,2,0)*$F227),0)</f>
        <v>0</v>
      </c>
      <c r="Z227" s="56">
        <f>IFERROR((VLOOKUP($A227,'Dados StatusInvest'!$A:$AZ,COLUMN(Z227)-$A$5,0)),0)</f>
        <v>0.51</v>
      </c>
      <c r="AA227" s="57">
        <f>IFERROR((VLOOKUP($A227,'Dados StatusInvest'!$A:$AZ,COLUMN(AA227)-$A$5,0)),0)</f>
        <v>0.49</v>
      </c>
      <c r="AB227" s="57">
        <f>IFERROR((VLOOKUP($A227,'Dados StatusInvest'!$A:$AZ,COLUMN(AB227)-$A$5,0)),0)</f>
        <v>0</v>
      </c>
      <c r="AC227" s="58">
        <f>IFERROR((VLOOKUP($A227,'Dados StatusInvest'!$A:$AZ,COLUMN(AC227)-$A$5,0)),0)</f>
        <v>0</v>
      </c>
      <c r="AD227" s="57">
        <f>IFERROR((VLOOKUP($A227,'Dados StatusInvest'!$A:$AZ,COLUMN(AD227)-$A$5,0)),0)</f>
        <v>0</v>
      </c>
      <c r="AE227" s="56">
        <f>IFERROR((VLOOKUP($A227,'Dados StatusInvest'!$A:$AZ,COLUMN(AE227)-$A$5,0)),0)</f>
        <v>0</v>
      </c>
      <c r="AF227" s="56">
        <f>IFERROR((VLOOKUP($A227,'Dados StatusInvest'!$A:$AZ,COLUMN(AF227)-$A$5,0)),0)</f>
        <v>74.46</v>
      </c>
      <c r="AG227" s="56">
        <f>IFERROR((VLOOKUP($A227,'Dados StatusInvest'!$A:$AZ,COLUMN(AG227)-$A$5,0)),0)</f>
        <v>-9.14</v>
      </c>
      <c r="AH227" s="56">
        <f>IFERROR((VLOOKUP($A227,'Dados StatusInvest'!$A:$AZ,COLUMN(AH227)-$A$5,0)),0)</f>
        <v>0.14</v>
      </c>
      <c r="AI227" s="57">
        <f>IFERROR((VLOOKUP($A227,'Dados StatusInvest'!$A:$AZ,COLUMN(AI227)-$A$5,0)),0)</f>
        <v>171908947.3</v>
      </c>
      <c r="AJ227" s="59" t="str">
        <f>IFERROR((VLOOKUP($A227,'Dados StatusInvest'!$A:$AZ,COLUMN(AJ227)-$A$5,0)),0)</f>
        <v/>
      </c>
      <c r="AK227" s="60" t="str">
        <f>IFERROR(__xludf.DUMMYFUNCTION("IFERROR(GOOGLEFINANCE($A227,""high""),"""")"),"")</f>
        <v/>
      </c>
      <c r="AL227" s="60" t="str">
        <f>IFERROR(__xludf.DUMMYFUNCTION("IFERROR(GOOGLEFINANCE($A227,""low""),"""")"),"")</f>
        <v/>
      </c>
      <c r="AM227" s="61">
        <f t="shared" si="2"/>
        <v>0</v>
      </c>
      <c r="AN227" s="62">
        <f>IFERROR(__xludf.DUMMYFUNCTION("IFERROR((GOOGLEFINANCE($A227,""volume"")),0)"),0.0)</f>
        <v>0</v>
      </c>
      <c r="AO227" s="60" t="str">
        <f>IFERROR(__xludf.DUMMYFUNCTION("IFERROR((GOOGLEFINANCE($A227,""closeyest"")),"""")"),"")</f>
        <v/>
      </c>
      <c r="AP227" s="60" t="str">
        <f>IFERROR(__xludf.DUMMYFUNCTION("IFERROR((GOOGLEFINANCE($A227,""shares"")),"""")"),"")</f>
        <v/>
      </c>
      <c r="AQ227" s="18"/>
    </row>
    <row r="228">
      <c r="A228" s="45" t="str">
        <f>'Dados StatusInvest'!A223:A842</f>
        <v>ECPR4</v>
      </c>
      <c r="B228" s="46" t="str">
        <f>IFERROR(__xludf.DUMMYFUNCTION("IFERROR((GOOGLEFINANCE(A228,""name"")),"""")"),"")</f>
        <v/>
      </c>
      <c r="C228" s="46" t="str">
        <f>IFERROR((VLOOKUP(LEFT($A228,4),Setor!$A:$E,3,0)),"")</f>
        <v>Consumo Cíclico</v>
      </c>
      <c r="D228" s="46" t="str">
        <f>IFERROR((VLOOKUP(LEFT($A228,4),Setor!$A:$E,4,0)),"")</f>
        <v>Tecidos, Vestuário e Calçados</v>
      </c>
      <c r="E228" s="46" t="str">
        <f>IFERROR((VLOOKUP(LEFT($A228,4),Setor!$A:$E,5,0)),"")</f>
        <v>Fios e Tecidos</v>
      </c>
      <c r="F228" s="47" t="str">
        <f>IFERROR(__xludf.DUMMYFUNCTION("IFERROR((GOOGLEFINANCE(A228)),"""")"),"")</f>
        <v/>
      </c>
      <c r="G228" s="48" t="str">
        <f>IFERROR(__xludf.DUMMYFUNCTION("IFERROR((sparkline(GOOGLEFINANCE($A228,""price"",TODAY()-30,TODAY(),""DAILY""),{""charttype"",""line"";""linewidth"",1;""color"",""#5f88cc""})),"""")"),"")</f>
        <v/>
      </c>
      <c r="H228" s="49" t="str">
        <f>IFERROR(__xludf.DUMMYFUNCTION("IFERROR((((GOOGLEFINANCE(A228))-(INDEX(GoogleFinance(A228,""PRICE"",$AQ$1),2,2)))/(INDEX(GoogleFinance(A228,""PRICE"",$AQ$1),2,2))),"""")"),"")</f>
        <v/>
      </c>
      <c r="I228" s="47" t="str">
        <f>IFERROR(__xludf.DUMMYFUNCTION("IFERROR((GOOGLEFINANCE($A228,""high52"")),"""")"),"")</f>
        <v/>
      </c>
      <c r="J228" s="48" t="str">
        <f>IFERROR(__xludf.DUMMYFUNCTION("IFERROR((sparkline(GOOGLEFINANCE($A228,""price"",TODAY()-365,TODAY(),""DAILY""),{""charttype"",""line"";""linewidth"",1;""color"",""#5f88cc""})),"""")"),"")</f>
        <v/>
      </c>
      <c r="K228" s="50" t="str">
        <f>IFERROR(__xludf.DUMMYFUNCTION("IFERROR((((GOOGLEFINANCE(A228))-(INDEX(GoogleFinance(A228,""PRICE"",$AP$1),2,2)))/(INDEX(GoogleFinance(A228,""PRICE"",$AP$1),2,2))),"""")"),"")</f>
        <v/>
      </c>
      <c r="L228" s="51">
        <f t="shared" si="1"/>
        <v>0</v>
      </c>
      <c r="M228" s="52">
        <f>IFERROR((VLOOKUP($A228,'Dados StatusInvest'!$A:$AZ,COLUMN(M228)-$A$5,0)*VLOOKUP($A228,'Dados StatusInvest'!$A:$AZ,2,0)/$F228/100),0)</f>
        <v>0</v>
      </c>
      <c r="N228" s="53">
        <f>IFERROR((VLOOKUP($A228,'Dados StatusInvest'!$A:$AZ,COLUMN(N228)-$A$5,0)/VLOOKUP($A228,'Dados StatusInvest'!$A:$AZ,2,0)*$F228),"")</f>
        <v>0</v>
      </c>
      <c r="O228" s="53">
        <f>IFERROR((VLOOKUP($A228,'Dados StatusInvest'!$A:$AZ,COLUMN(O228)-$A$5,0)/VLOOKUP($A228,'Dados StatusInvest'!$A:$AZ,2,0)*$F228),0)</f>
        <v>0</v>
      </c>
      <c r="P228" s="54">
        <f>IFERROR((VLOOKUP($A228,'Dados StatusInvest'!$A:$AZ,COLUMN(P228)-$A$5,0)/VLOOKUP($A228,'Dados StatusInvest'!$A:$AZ,2,0)*$F228),0)</f>
        <v>0</v>
      </c>
      <c r="Q228" s="55">
        <f>IFERROR((VLOOKUP($A228,'Dados StatusInvest'!$A:$AZ,COLUMN(Q228)-$A$5,0)/100),0)</f>
        <v>0.0008</v>
      </c>
      <c r="R228" s="56">
        <f>VLOOKUP($A228,'Dados StatusInvest'!$A:$AZ,COLUMN(R228)-$A$5,0)</f>
        <v>-0.01</v>
      </c>
      <c r="S228" s="56">
        <f>IFERROR((VLOOKUP($A228,'Dados StatusInvest'!$A:$AZ,COLUMN(S228)-$A$5,0)),0)</f>
        <v>0</v>
      </c>
      <c r="T228" s="53">
        <f>IFERROR((VLOOKUP($A228,'Dados StatusInvest'!$A:$AZ,COLUMN(T228)-$A$5,0)/VLOOKUP($A228,'Dados StatusInvest'!$A:$AZ,2,0)*$F228),0)</f>
        <v>0</v>
      </c>
      <c r="U228" s="53">
        <f>IFERROR((VLOOKUP($A228,'Dados StatusInvest'!$A:$AZ,COLUMN(U228)-$A$5,0)-VLOOKUP($A228,'Dados StatusInvest'!$A:$AZ,COLUMN(U228)-$A$5-1,0)+T228),0)</f>
        <v>-176.2</v>
      </c>
      <c r="V228" s="56">
        <f>IFERROR((VLOOKUP($A228,'Dados StatusInvest'!$A:$AZ,COLUMN(V228)-$A$5,0)),0)</f>
        <v>2.97</v>
      </c>
      <c r="W228" s="56">
        <f>IFERROR((VLOOKUP($A228,'Dados StatusInvest'!$A:$AZ,COLUMN(W228)-$A$5,0)),0)</f>
        <v>-12.28</v>
      </c>
      <c r="X228" s="53">
        <f>IFERROR((VLOOKUP($A228,'Dados StatusInvest'!$A:$AZ,COLUMN(X228)-$A$5,0)/VLOOKUP($A228,'Dados StatusInvest'!$A:$AZ,2,0)*$F228),0)</f>
        <v>0</v>
      </c>
      <c r="Y228" s="54">
        <f>IFERROR((VLOOKUP($A228,'Dados StatusInvest'!$A:$AZ,COLUMN(Y228)-$A$5,0)/VLOOKUP($A228,'Dados StatusInvest'!$A:$AZ,2,0)*$F228),0)</f>
        <v>0</v>
      </c>
      <c r="Z228" s="56">
        <f>IFERROR((VLOOKUP($A228,'Dados StatusInvest'!$A:$AZ,COLUMN(Z228)-$A$5,0)),0)</f>
        <v>0.51</v>
      </c>
      <c r="AA228" s="57">
        <f>IFERROR((VLOOKUP($A228,'Dados StatusInvest'!$A:$AZ,COLUMN(AA228)-$A$5,0)),0)</f>
        <v>0.49</v>
      </c>
      <c r="AB228" s="57">
        <f>IFERROR((VLOOKUP($A228,'Dados StatusInvest'!$A:$AZ,COLUMN(AB228)-$A$5,0)),0)</f>
        <v>0</v>
      </c>
      <c r="AC228" s="58">
        <f>IFERROR((VLOOKUP($A228,'Dados StatusInvest'!$A:$AZ,COLUMN(AC228)-$A$5,0)),0)</f>
        <v>0</v>
      </c>
      <c r="AD228" s="57">
        <f>IFERROR((VLOOKUP($A228,'Dados StatusInvest'!$A:$AZ,COLUMN(AD228)-$A$5,0)),0)</f>
        <v>0</v>
      </c>
      <c r="AE228" s="56">
        <f>IFERROR((VLOOKUP($A228,'Dados StatusInvest'!$A:$AZ,COLUMN(AE228)-$A$5,0)),0)</f>
        <v>0</v>
      </c>
      <c r="AF228" s="56">
        <f>IFERROR((VLOOKUP($A228,'Dados StatusInvest'!$A:$AZ,COLUMN(AF228)-$A$5,0)),0)</f>
        <v>74.46</v>
      </c>
      <c r="AG228" s="56">
        <f>IFERROR((VLOOKUP($A228,'Dados StatusInvest'!$A:$AZ,COLUMN(AG228)-$A$5,0)),0)</f>
        <v>-9.14</v>
      </c>
      <c r="AH228" s="56">
        <f>IFERROR((VLOOKUP($A228,'Dados StatusInvest'!$A:$AZ,COLUMN(AH228)-$A$5,0)),0)</f>
        <v>0.14</v>
      </c>
      <c r="AI228" s="57">
        <f>IFERROR((VLOOKUP($A228,'Dados StatusInvest'!$A:$AZ,COLUMN(AI228)-$A$5,0)),0)</f>
        <v>171908947.3</v>
      </c>
      <c r="AJ228" s="59" t="str">
        <f>IFERROR((VLOOKUP($A228,'Dados StatusInvest'!$A:$AZ,COLUMN(AJ228)-$A$5,0)),0)</f>
        <v/>
      </c>
      <c r="AK228" s="60" t="str">
        <f>IFERROR(__xludf.DUMMYFUNCTION("IFERROR(GOOGLEFINANCE($A228,""high""),"""")"),"")</f>
        <v/>
      </c>
      <c r="AL228" s="60" t="str">
        <f>IFERROR(__xludf.DUMMYFUNCTION("IFERROR(GOOGLEFINANCE($A228,""low""),"""")"),"")</f>
        <v/>
      </c>
      <c r="AM228" s="61">
        <f t="shared" si="2"/>
        <v>0</v>
      </c>
      <c r="AN228" s="62">
        <f>IFERROR(__xludf.DUMMYFUNCTION("IFERROR((GOOGLEFINANCE($A228,""volume"")),0)"),0.0)</f>
        <v>0</v>
      </c>
      <c r="AO228" s="60" t="str">
        <f>IFERROR(__xludf.DUMMYFUNCTION("IFERROR((GOOGLEFINANCE($A228,""closeyest"")),"""")"),"")</f>
        <v/>
      </c>
      <c r="AP228" s="60" t="str">
        <f>IFERROR(__xludf.DUMMYFUNCTION("IFERROR((GOOGLEFINANCE($A228,""shares"")),"""")"),"")</f>
        <v/>
      </c>
      <c r="AQ228" s="18"/>
    </row>
    <row r="229">
      <c r="A229" s="45" t="str">
        <f>'Dados StatusInvest'!A224:A843</f>
        <v>EEEL3</v>
      </c>
      <c r="B229" s="46" t="str">
        <f>IFERROR(__xludf.DUMMYFUNCTION("IFERROR((GOOGLEFINANCE(A229,""name"")),"""")"),"")</f>
        <v/>
      </c>
      <c r="C229" s="46" t="str">
        <f>IFERROR((VLOOKUP(LEFT($A229,4),Setor!$A:$E,3,0)),"")</f>
        <v>Utilidade Pública</v>
      </c>
      <c r="D229" s="46" t="str">
        <f>IFERROR((VLOOKUP(LEFT($A229,4),Setor!$A:$E,4,0)),"")</f>
        <v>Energia Elétrica</v>
      </c>
      <c r="E229" s="46" t="str">
        <f>IFERROR((VLOOKUP(LEFT($A229,4),Setor!$A:$E,5,0)),"")</f>
        <v>Energia Elétrica</v>
      </c>
      <c r="F229" s="47" t="str">
        <f>IFERROR(__xludf.DUMMYFUNCTION("IFERROR((GOOGLEFINANCE(A229)),"""")"),"")</f>
        <v/>
      </c>
      <c r="G229" s="48" t="str">
        <f>IFERROR(__xludf.DUMMYFUNCTION("IFERROR((sparkline(GOOGLEFINANCE($A229,""price"",TODAY()-30,TODAY(),""DAILY""),{""charttype"",""line"";""linewidth"",1;""color"",""#5f88cc""})),"""")"),"")</f>
        <v/>
      </c>
      <c r="H229" s="49" t="str">
        <f>IFERROR(__xludf.DUMMYFUNCTION("IFERROR((((GOOGLEFINANCE(A229))-(INDEX(GoogleFinance(A229,""PRICE"",$AQ$1),2,2)))/(INDEX(GoogleFinance(A229,""PRICE"",$AQ$1),2,2))),"""")"),"")</f>
        <v/>
      </c>
      <c r="I229" s="47" t="str">
        <f>IFERROR(__xludf.DUMMYFUNCTION("IFERROR((GOOGLEFINANCE($A229,""high52"")),"""")"),"")</f>
        <v/>
      </c>
      <c r="J229" s="48" t="str">
        <f>IFERROR(__xludf.DUMMYFUNCTION("IFERROR((sparkline(GOOGLEFINANCE($A229,""price"",TODAY()-365,TODAY(),""DAILY""),{""charttype"",""line"";""linewidth"",1;""color"",""#5f88cc""})),"""")"),"")</f>
        <v/>
      </c>
      <c r="K229" s="50" t="str">
        <f>IFERROR(__xludf.DUMMYFUNCTION("IFERROR((((GOOGLEFINANCE(A229))-(INDEX(GoogleFinance(A229,""PRICE"",$AP$1),2,2)))/(INDEX(GoogleFinance(A229,""PRICE"",$AP$1),2,2))),"""")"),"")</f>
        <v/>
      </c>
      <c r="L229" s="51">
        <f t="shared" si="1"/>
        <v>0</v>
      </c>
      <c r="M229" s="52">
        <f>IFERROR((VLOOKUP($A229,'Dados StatusInvest'!$A:$AZ,COLUMN(M229)-$A$5,0)*VLOOKUP($A229,'Dados StatusInvest'!$A:$AZ,2,0)/$F229/100),0)</f>
        <v>0</v>
      </c>
      <c r="N229" s="53">
        <f>IFERROR((VLOOKUP($A229,'Dados StatusInvest'!$A:$AZ,COLUMN(N229)-$A$5,0)/VLOOKUP($A229,'Dados StatusInvest'!$A:$AZ,2,0)*$F229),"")</f>
        <v>0</v>
      </c>
      <c r="O229" s="53">
        <f>IFERROR((VLOOKUP($A229,'Dados StatusInvest'!$A:$AZ,COLUMN(O229)-$A$5,0)/VLOOKUP($A229,'Dados StatusInvest'!$A:$AZ,2,0)*$F229),0)</f>
        <v>0</v>
      </c>
      <c r="P229" s="54">
        <f>IFERROR((VLOOKUP($A229,'Dados StatusInvest'!$A:$AZ,COLUMN(P229)-$A$5,0)/VLOOKUP($A229,'Dados StatusInvest'!$A:$AZ,2,0)*$F229),0)</f>
        <v>0</v>
      </c>
      <c r="Q229" s="55">
        <f>IFERROR((VLOOKUP($A229,'Dados StatusInvest'!$A:$AZ,COLUMN(Q229)-$A$5,0)/100),0)</f>
        <v>0.0328</v>
      </c>
      <c r="R229" s="56">
        <f>VLOOKUP($A229,'Dados StatusInvest'!$A:$AZ,COLUMN(R229)-$A$5,0)</f>
        <v>1.18</v>
      </c>
      <c r="S229" s="56">
        <f>IFERROR((VLOOKUP($A229,'Dados StatusInvest'!$A:$AZ,COLUMN(S229)-$A$5,0)),0)</f>
        <v>2.85</v>
      </c>
      <c r="T229" s="53">
        <f>IFERROR((VLOOKUP($A229,'Dados StatusInvest'!$A:$AZ,COLUMN(T229)-$A$5,0)/VLOOKUP($A229,'Dados StatusInvest'!$A:$AZ,2,0)*$F229),0)</f>
        <v>0</v>
      </c>
      <c r="U229" s="53">
        <f>IFERROR((VLOOKUP($A229,'Dados StatusInvest'!$A:$AZ,COLUMN(U229)-$A$5,0)-VLOOKUP($A229,'Dados StatusInvest'!$A:$AZ,COLUMN(U229)-$A$5-1,0)+T229),0)</f>
        <v>-19.05</v>
      </c>
      <c r="V229" s="56">
        <f>IFERROR((VLOOKUP($A229,'Dados StatusInvest'!$A:$AZ,COLUMN(V229)-$A$5,0)),0)</f>
        <v>1.31</v>
      </c>
      <c r="W229" s="56">
        <f>IFERROR((VLOOKUP($A229,'Dados StatusInvest'!$A:$AZ,COLUMN(W229)-$A$5,0)),0)</f>
        <v>17.46</v>
      </c>
      <c r="X229" s="53">
        <f>IFERROR((VLOOKUP($A229,'Dados StatusInvest'!$A:$AZ,COLUMN(X229)-$A$5,0)/VLOOKUP($A229,'Dados StatusInvest'!$A:$AZ,2,0)*$F229),0)</f>
        <v>0</v>
      </c>
      <c r="Y229" s="54">
        <f>IFERROR((VLOOKUP($A229,'Dados StatusInvest'!$A:$AZ,COLUMN(Y229)-$A$5,0)/VLOOKUP($A229,'Dados StatusInvest'!$A:$AZ,2,0)*$F229),0)</f>
        <v>0</v>
      </c>
      <c r="Z229" s="56">
        <f>IFERROR((VLOOKUP($A229,'Dados StatusInvest'!$A:$AZ,COLUMN(Z229)-$A$5,0)),0)</f>
        <v>0.35</v>
      </c>
      <c r="AA229" s="57">
        <f>IFERROR((VLOOKUP($A229,'Dados StatusInvest'!$A:$AZ,COLUMN(AA229)-$A$5,0)),0)</f>
        <v>0.65</v>
      </c>
      <c r="AB229" s="57">
        <f>IFERROR((VLOOKUP($A229,'Dados StatusInvest'!$A:$AZ,COLUMN(AB229)-$A$5,0)),0)</f>
        <v>0.27</v>
      </c>
      <c r="AC229" s="58">
        <f>IFERROR((VLOOKUP($A229,'Dados StatusInvest'!$A:$AZ,COLUMN(AC229)-$A$5,0)),0)</f>
        <v>13.69</v>
      </c>
      <c r="AD229" s="57">
        <f>IFERROR((VLOOKUP($A229,'Dados StatusInvest'!$A:$AZ,COLUMN(AD229)-$A$5,0)),0)</f>
        <v>5.88</v>
      </c>
      <c r="AE229" s="56">
        <f>IFERROR((VLOOKUP($A229,'Dados StatusInvest'!$A:$AZ,COLUMN(AE229)-$A$5,0)),0)</f>
        <v>0</v>
      </c>
      <c r="AF229" s="56">
        <f>IFERROR((VLOOKUP($A229,'Dados StatusInvest'!$A:$AZ,COLUMN(AF229)-$A$5,0)),0)</f>
        <v>135.31</v>
      </c>
      <c r="AG229" s="56">
        <f>IFERROR((VLOOKUP($A229,'Dados StatusInvest'!$A:$AZ,COLUMN(AG229)-$A$5,0)),0)</f>
        <v>23.62</v>
      </c>
      <c r="AH229" s="56">
        <f>IFERROR((VLOOKUP($A229,'Dados StatusInvest'!$A:$AZ,COLUMN(AH229)-$A$5,0)),0)</f>
        <v>-1.76</v>
      </c>
      <c r="AI229" s="57">
        <f>IFERROR((VLOOKUP($A229,'Dados StatusInvest'!$A:$AZ,COLUMN(AI229)-$A$5,0)),0)</f>
        <v>7539711816</v>
      </c>
      <c r="AJ229" s="59" t="str">
        <f>IFERROR((VLOOKUP($A229,'Dados StatusInvest'!$A:$AZ,COLUMN(AJ229)-$A$5,0)),0)</f>
        <v/>
      </c>
      <c r="AK229" s="60" t="str">
        <f>IFERROR(__xludf.DUMMYFUNCTION("IFERROR(GOOGLEFINANCE($A229,""high""),"""")"),"")</f>
        <v/>
      </c>
      <c r="AL229" s="60" t="str">
        <f>IFERROR(__xludf.DUMMYFUNCTION("IFERROR(GOOGLEFINANCE($A229,""low""),"""")"),"")</f>
        <v/>
      </c>
      <c r="AM229" s="61">
        <f t="shared" si="2"/>
        <v>0</v>
      </c>
      <c r="AN229" s="62">
        <f>IFERROR(__xludf.DUMMYFUNCTION("IFERROR((GOOGLEFINANCE($A229,""volume"")),0)"),0.0)</f>
        <v>0</v>
      </c>
      <c r="AO229" s="60" t="str">
        <f>IFERROR(__xludf.DUMMYFUNCTION("IFERROR((GOOGLEFINANCE($A229,""closeyest"")),"""")"),"")</f>
        <v/>
      </c>
      <c r="AP229" s="60" t="str">
        <f>IFERROR(__xludf.DUMMYFUNCTION("IFERROR((GOOGLEFINANCE($A229,""shares"")),"""")"),"")</f>
        <v/>
      </c>
      <c r="AQ229" s="18"/>
    </row>
    <row r="230">
      <c r="A230" s="45" t="str">
        <f>'Dados StatusInvest'!A225:A844</f>
        <v>EEEL4</v>
      </c>
      <c r="B230" s="46" t="str">
        <f>IFERROR(__xludf.DUMMYFUNCTION("IFERROR((GOOGLEFINANCE(A230,""name"")),"""")"),"")</f>
        <v/>
      </c>
      <c r="C230" s="46" t="str">
        <f>IFERROR((VLOOKUP(LEFT($A230,4),Setor!$A:$E,3,0)),"")</f>
        <v>Utilidade Pública</v>
      </c>
      <c r="D230" s="46" t="str">
        <f>IFERROR((VLOOKUP(LEFT($A230,4),Setor!$A:$E,4,0)),"")</f>
        <v>Energia Elétrica</v>
      </c>
      <c r="E230" s="46" t="str">
        <f>IFERROR((VLOOKUP(LEFT($A230,4),Setor!$A:$E,5,0)),"")</f>
        <v>Energia Elétrica</v>
      </c>
      <c r="F230" s="47" t="str">
        <f>IFERROR(__xludf.DUMMYFUNCTION("IFERROR((GOOGLEFINANCE(A230)),"""")"),"")</f>
        <v/>
      </c>
      <c r="G230" s="48" t="str">
        <f>IFERROR(__xludf.DUMMYFUNCTION("IFERROR((sparkline(GOOGLEFINANCE($A230,""price"",TODAY()-30,TODAY(),""DAILY""),{""charttype"",""line"";""linewidth"",1;""color"",""#5f88cc""})),"""")"),"")</f>
        <v/>
      </c>
      <c r="H230" s="49" t="str">
        <f>IFERROR(__xludf.DUMMYFUNCTION("IFERROR((((GOOGLEFINANCE(A230))-(INDEX(GoogleFinance(A230,""PRICE"",$AQ$1),2,2)))/(INDEX(GoogleFinance(A230,""PRICE"",$AQ$1),2,2))),"""")"),"")</f>
        <v/>
      </c>
      <c r="I230" s="47" t="str">
        <f>IFERROR(__xludf.DUMMYFUNCTION("IFERROR((GOOGLEFINANCE($A230,""high52"")),"""")"),"")</f>
        <v/>
      </c>
      <c r="J230" s="48" t="str">
        <f>IFERROR(__xludf.DUMMYFUNCTION("IFERROR((sparkline(GOOGLEFINANCE($A230,""price"",TODAY()-365,TODAY(),""DAILY""),{""charttype"",""line"";""linewidth"",1;""color"",""#5f88cc""})),"""")"),"")</f>
        <v/>
      </c>
      <c r="K230" s="50" t="str">
        <f>IFERROR(__xludf.DUMMYFUNCTION("IFERROR((((GOOGLEFINANCE(A230))-(INDEX(GoogleFinance(A230,""PRICE"",$AP$1),2,2)))/(INDEX(GoogleFinance(A230,""PRICE"",$AP$1),2,2))),"""")"),"")</f>
        <v/>
      </c>
      <c r="L230" s="51">
        <f t="shared" si="1"/>
        <v>0</v>
      </c>
      <c r="M230" s="52">
        <f>IFERROR((VLOOKUP($A230,'Dados StatusInvest'!$A:$AZ,COLUMN(M230)-$A$5,0)*VLOOKUP($A230,'Dados StatusInvest'!$A:$AZ,2,0)/$F230/100),0)</f>
        <v>0</v>
      </c>
      <c r="N230" s="53">
        <f>IFERROR((VLOOKUP($A230,'Dados StatusInvest'!$A:$AZ,COLUMN(N230)-$A$5,0)/VLOOKUP($A230,'Dados StatusInvest'!$A:$AZ,2,0)*$F230),"")</f>
        <v>0</v>
      </c>
      <c r="O230" s="53">
        <f>IFERROR((VLOOKUP($A230,'Dados StatusInvest'!$A:$AZ,COLUMN(O230)-$A$5,0)/VLOOKUP($A230,'Dados StatusInvest'!$A:$AZ,2,0)*$F230),0)</f>
        <v>0</v>
      </c>
      <c r="P230" s="54">
        <f>IFERROR((VLOOKUP($A230,'Dados StatusInvest'!$A:$AZ,COLUMN(P230)-$A$5,0)/VLOOKUP($A230,'Dados StatusInvest'!$A:$AZ,2,0)*$F230),0)</f>
        <v>0</v>
      </c>
      <c r="Q230" s="55">
        <f>IFERROR((VLOOKUP($A230,'Dados StatusInvest'!$A:$AZ,COLUMN(Q230)-$A$5,0)/100),0)</f>
        <v>0.0328</v>
      </c>
      <c r="R230" s="56">
        <f>VLOOKUP($A230,'Dados StatusInvest'!$A:$AZ,COLUMN(R230)-$A$5,0)</f>
        <v>1.18</v>
      </c>
      <c r="S230" s="56">
        <f>IFERROR((VLOOKUP($A230,'Dados StatusInvest'!$A:$AZ,COLUMN(S230)-$A$5,0)),0)</f>
        <v>3.96</v>
      </c>
      <c r="T230" s="53">
        <f>IFERROR((VLOOKUP($A230,'Dados StatusInvest'!$A:$AZ,COLUMN(T230)-$A$5,0)/VLOOKUP($A230,'Dados StatusInvest'!$A:$AZ,2,0)*$F230),0)</f>
        <v>0</v>
      </c>
      <c r="U230" s="53">
        <f>IFERROR((VLOOKUP($A230,'Dados StatusInvest'!$A:$AZ,COLUMN(U230)-$A$5,0)-VLOOKUP($A230,'Dados StatusInvest'!$A:$AZ,COLUMN(U230)-$A$5-1,0)+T230),0)</f>
        <v>-26.5</v>
      </c>
      <c r="V230" s="56">
        <f>IFERROR((VLOOKUP($A230,'Dados StatusInvest'!$A:$AZ,COLUMN(V230)-$A$5,0)),0)</f>
        <v>1.31</v>
      </c>
      <c r="W230" s="56">
        <f>IFERROR((VLOOKUP($A230,'Dados StatusInvest'!$A:$AZ,COLUMN(W230)-$A$5,0)),0)</f>
        <v>17.46</v>
      </c>
      <c r="X230" s="53">
        <f>IFERROR((VLOOKUP($A230,'Dados StatusInvest'!$A:$AZ,COLUMN(X230)-$A$5,0)/VLOOKUP($A230,'Dados StatusInvest'!$A:$AZ,2,0)*$F230),0)</f>
        <v>0</v>
      </c>
      <c r="Y230" s="54">
        <f>IFERROR((VLOOKUP($A230,'Dados StatusInvest'!$A:$AZ,COLUMN(Y230)-$A$5,0)/VLOOKUP($A230,'Dados StatusInvest'!$A:$AZ,2,0)*$F230),0)</f>
        <v>0</v>
      </c>
      <c r="Z230" s="56">
        <f>IFERROR((VLOOKUP($A230,'Dados StatusInvest'!$A:$AZ,COLUMN(Z230)-$A$5,0)),0)</f>
        <v>0.35</v>
      </c>
      <c r="AA230" s="57">
        <f>IFERROR((VLOOKUP($A230,'Dados StatusInvest'!$A:$AZ,COLUMN(AA230)-$A$5,0)),0)</f>
        <v>0.65</v>
      </c>
      <c r="AB230" s="57">
        <f>IFERROR((VLOOKUP($A230,'Dados StatusInvest'!$A:$AZ,COLUMN(AB230)-$A$5,0)),0)</f>
        <v>0.27</v>
      </c>
      <c r="AC230" s="58">
        <f>IFERROR((VLOOKUP($A230,'Dados StatusInvest'!$A:$AZ,COLUMN(AC230)-$A$5,0)),0)</f>
        <v>13.69</v>
      </c>
      <c r="AD230" s="57">
        <f>IFERROR((VLOOKUP($A230,'Dados StatusInvest'!$A:$AZ,COLUMN(AD230)-$A$5,0)),0)</f>
        <v>5.88</v>
      </c>
      <c r="AE230" s="56">
        <f>IFERROR((VLOOKUP($A230,'Dados StatusInvest'!$A:$AZ,COLUMN(AE230)-$A$5,0)),0)</f>
        <v>0</v>
      </c>
      <c r="AF230" s="56">
        <f>IFERROR((VLOOKUP($A230,'Dados StatusInvest'!$A:$AZ,COLUMN(AF230)-$A$5,0)),0)</f>
        <v>135.31</v>
      </c>
      <c r="AG230" s="56">
        <f>IFERROR((VLOOKUP($A230,'Dados StatusInvest'!$A:$AZ,COLUMN(AG230)-$A$5,0)),0)</f>
        <v>23.62</v>
      </c>
      <c r="AH230" s="56">
        <f>IFERROR((VLOOKUP($A230,'Dados StatusInvest'!$A:$AZ,COLUMN(AH230)-$A$5,0)),0)</f>
        <v>-2.45</v>
      </c>
      <c r="AI230" s="57">
        <f>IFERROR((VLOOKUP($A230,'Dados StatusInvest'!$A:$AZ,COLUMN(AI230)-$A$5,0)),0)</f>
        <v>7539711816</v>
      </c>
      <c r="AJ230" s="59" t="str">
        <f>IFERROR((VLOOKUP($A230,'Dados StatusInvest'!$A:$AZ,COLUMN(AJ230)-$A$5,0)),0)</f>
        <v/>
      </c>
      <c r="AK230" s="60" t="str">
        <f>IFERROR(__xludf.DUMMYFUNCTION("IFERROR(GOOGLEFINANCE($A230,""high""),"""")"),"")</f>
        <v/>
      </c>
      <c r="AL230" s="60" t="str">
        <f>IFERROR(__xludf.DUMMYFUNCTION("IFERROR(GOOGLEFINANCE($A230,""low""),"""")"),"")</f>
        <v/>
      </c>
      <c r="AM230" s="61">
        <f t="shared" si="2"/>
        <v>0</v>
      </c>
      <c r="AN230" s="62">
        <f>IFERROR(__xludf.DUMMYFUNCTION("IFERROR((GOOGLEFINANCE($A230,""volume"")),0)"),0.0)</f>
        <v>0</v>
      </c>
      <c r="AO230" s="60" t="str">
        <f>IFERROR(__xludf.DUMMYFUNCTION("IFERROR((GOOGLEFINANCE($A230,""closeyest"")),"""")"),"")</f>
        <v/>
      </c>
      <c r="AP230" s="60" t="str">
        <f>IFERROR(__xludf.DUMMYFUNCTION("IFERROR((GOOGLEFINANCE($A230,""shares"")),"""")"),"")</f>
        <v/>
      </c>
      <c r="AQ230" s="18"/>
    </row>
    <row r="231">
      <c r="A231" s="45" t="str">
        <f>'Dados StatusInvest'!A226:A845</f>
        <v>EGIE3</v>
      </c>
      <c r="B231" s="46" t="str">
        <f>IFERROR(__xludf.DUMMYFUNCTION("IFERROR((GOOGLEFINANCE(A231,""name"")),"""")"),"Engie Brasil Energia SA")</f>
        <v>Engie Brasil Energia SA</v>
      </c>
      <c r="C231" s="46" t="str">
        <f>IFERROR((VLOOKUP(LEFT($A231,4),Setor!$A:$E,3,0)),"")</f>
        <v>Utilidade Pública</v>
      </c>
      <c r="D231" s="46" t="str">
        <f>IFERROR((VLOOKUP(LEFT($A231,4),Setor!$A:$E,4,0)),"")</f>
        <v>Energia Elétrica</v>
      </c>
      <c r="E231" s="46" t="str">
        <f>IFERROR((VLOOKUP(LEFT($A231,4),Setor!$A:$E,5,0)),"")</f>
        <v>Energia Elétrica</v>
      </c>
      <c r="F231" s="47">
        <f>IFERROR(__xludf.DUMMYFUNCTION("IFERROR((GOOGLEFINANCE(A231)),"""")"),33.28)</f>
        <v>33.28</v>
      </c>
      <c r="G231" s="48" t="str">
        <f>IFERROR(__xludf.DUMMYFUNCTION("IFERROR((sparkline(GOOGLEFINANCE($A231,""price"",TODAY()-30,TODAY(),""DAILY""),{""charttype"",""line"";""linewidth"",1;""color"",""#5f88cc""})),"""")"),"")</f>
        <v/>
      </c>
      <c r="H231" s="49">
        <f>IFERROR(__xludf.DUMMYFUNCTION("IFERROR((((GOOGLEFINANCE(A231))-(INDEX(GoogleFinance(A231,""PRICE"",$AQ$1),2,2)))/(INDEX(GoogleFinance(A231,""PRICE"",$AQ$1),2,2))),"""")"),0.030021665119158117)</f>
        <v>0.03002166512</v>
      </c>
      <c r="I231" s="47">
        <f>IFERROR(__xludf.DUMMYFUNCTION("IFERROR((GOOGLEFINANCE($A231,""high52"")),"""")"),35.19)</f>
        <v>35.19</v>
      </c>
      <c r="J231" s="48" t="str">
        <f>IFERROR(__xludf.DUMMYFUNCTION("IFERROR((sparkline(GOOGLEFINANCE($A231,""price"",TODAY()-365,TODAY(),""DAILY""),{""charttype"",""line"";""linewidth"",1;""color"",""#5f88cc""})),"""")"),"")</f>
        <v/>
      </c>
      <c r="K231" s="50">
        <f>IFERROR(__xludf.DUMMYFUNCTION("IFERROR((((GOOGLEFINANCE(A231))-(INDEX(GoogleFinance(A231,""PRICE"",$AP$1),2,2)))/(INDEX(GoogleFinance(A231,""PRICE"",$AP$1),2,2))),"""")"),0.2755845151399004)</f>
        <v>0.2755845151</v>
      </c>
      <c r="L231" s="51">
        <f t="shared" si="1"/>
        <v>-0.05427678318</v>
      </c>
      <c r="M231" s="52">
        <f>IFERROR((VLOOKUP($A231,'Dados StatusInvest'!$A:$AZ,COLUMN(M231)-$A$5,0)*VLOOKUP($A231,'Dados StatusInvest'!$A:$AZ,2,0)/$F231/100),0)</f>
        <v>0.5160335337</v>
      </c>
      <c r="N231" s="53">
        <f>IFERROR((VLOOKUP($A231,'Dados StatusInvest'!$A:$AZ,COLUMN(N231)-$A$5,0)/VLOOKUP($A231,'Dados StatusInvest'!$A:$AZ,2,0)*$F231),"")</f>
        <v>23.55852906</v>
      </c>
      <c r="O231" s="53">
        <f>IFERROR((VLOOKUP($A231,'Dados StatusInvest'!$A:$AZ,COLUMN(O231)-$A$5,0)/VLOOKUP($A231,'Dados StatusInvest'!$A:$AZ,2,0)*$F231),0)</f>
        <v>5.872360617</v>
      </c>
      <c r="P231" s="54">
        <f>IFERROR((VLOOKUP($A231,'Dados StatusInvest'!$A:$AZ,COLUMN(P231)-$A$5,0)/VLOOKUP($A231,'Dados StatusInvest'!$A:$AZ,2,0)*$F231),0)</f>
        <v>9.583297746</v>
      </c>
      <c r="Q231" s="55">
        <f>IFERROR((VLOOKUP($A231,'Dados StatusInvest'!$A:$AZ,COLUMN(Q231)-$A$5,0)/100),0)</f>
        <v>0.0376</v>
      </c>
      <c r="R231" s="56">
        <f>VLOOKUP($A231,'Dados StatusInvest'!$A:$AZ,COLUMN(R231)-$A$5,0)</f>
        <v>1.98</v>
      </c>
      <c r="S231" s="56">
        <f>IFERROR((VLOOKUP($A231,'Dados StatusInvest'!$A:$AZ,COLUMN(S231)-$A$5,0)),0)</f>
        <v>3.03</v>
      </c>
      <c r="T231" s="53">
        <f>IFERROR((VLOOKUP($A231,'Dados StatusInvest'!$A:$AZ,COLUMN(T231)-$A$5,0)/VLOOKUP($A231,'Dados StatusInvest'!$A:$AZ,2,0)*$F231),0)</f>
        <v>61.64498221</v>
      </c>
      <c r="U231" s="53">
        <f>IFERROR((VLOOKUP($A231,'Dados StatusInvest'!$A:$AZ,COLUMN(U231)-$A$5,0)-VLOOKUP($A231,'Dados StatusInvest'!$A:$AZ,COLUMN(U231)-$A$5-1,0)+T231),0)</f>
        <v>-1.615017794</v>
      </c>
      <c r="V231" s="56">
        <f>IFERROR((VLOOKUP($A231,'Dados StatusInvest'!$A:$AZ,COLUMN(V231)-$A$5,0)),0)</f>
        <v>1.08</v>
      </c>
      <c r="W231" s="56">
        <f>IFERROR((VLOOKUP($A231,'Dados StatusInvest'!$A:$AZ,COLUMN(W231)-$A$5,0)),0)</f>
        <v>24.66</v>
      </c>
      <c r="X231" s="53">
        <f>IFERROR((VLOOKUP($A231,'Dados StatusInvest'!$A:$AZ,COLUMN(X231)-$A$5,0)/VLOOKUP($A231,'Dados StatusInvest'!$A:$AZ,2,0)*$F231),0)</f>
        <v>5.299928826</v>
      </c>
      <c r="Y231" s="54">
        <f>IFERROR((VLOOKUP($A231,'Dados StatusInvest'!$A:$AZ,COLUMN(Y231)-$A$5,0)/VLOOKUP($A231,'Dados StatusInvest'!$A:$AZ,2,0)*$F231),0)</f>
        <v>13.54097272</v>
      </c>
      <c r="Z231" s="56">
        <f>IFERROR((VLOOKUP($A231,'Dados StatusInvest'!$A:$AZ,COLUMN(Z231)-$A$5,0)),0)</f>
        <v>0.22</v>
      </c>
      <c r="AA231" s="57">
        <f>IFERROR((VLOOKUP($A231,'Dados StatusInvest'!$A:$AZ,COLUMN(AA231)-$A$5,0)),0)</f>
        <v>0.76</v>
      </c>
      <c r="AB231" s="57">
        <f>IFERROR((VLOOKUP($A231,'Dados StatusInvest'!$A:$AZ,COLUMN(AB231)-$A$5,0)),0)</f>
        <v>0.22</v>
      </c>
      <c r="AC231" s="58">
        <f>IFERROR((VLOOKUP($A231,'Dados StatusInvest'!$A:$AZ,COLUMN(AC231)-$A$5,0)),0)</f>
        <v>2.73</v>
      </c>
      <c r="AD231" s="57">
        <f>IFERROR((VLOOKUP($A231,'Dados StatusInvest'!$A:$AZ,COLUMN(AD231)-$A$5,0)),0)</f>
        <v>5.61</v>
      </c>
      <c r="AE231" s="56">
        <f>IFERROR((VLOOKUP($A231,'Dados StatusInvest'!$A:$AZ,COLUMN(AE231)-$A$5,0)),0)</f>
        <v>63572354</v>
      </c>
      <c r="AF231" s="56">
        <f>IFERROR((VLOOKUP($A231,'Dados StatusInvest'!$A:$AZ,COLUMN(AF231)-$A$5,0)),0)</f>
        <v>10.77</v>
      </c>
      <c r="AG231" s="56">
        <f>IFERROR((VLOOKUP($A231,'Dados StatusInvest'!$A:$AZ,COLUMN(AG231)-$A$5,0)),0)</f>
        <v>2.66</v>
      </c>
      <c r="AH231" s="56">
        <f>IFERROR((VLOOKUP($A231,'Dados StatusInvest'!$A:$AZ,COLUMN(AH231)-$A$5,0)),0)</f>
        <v>-0.47</v>
      </c>
      <c r="AI231" s="57">
        <f>IFERROR((VLOOKUP($A231,'Dados StatusInvest'!$A:$AZ,COLUMN(AI231)-$A$5,0)),0)</f>
        <v>38518316750</v>
      </c>
      <c r="AJ231" s="59" t="str">
        <f>IFERROR((VLOOKUP($A231,'Dados StatusInvest'!$A:$AZ,COLUMN(AJ231)-$A$5,0)),0)</f>
        <v/>
      </c>
      <c r="AK231" s="60">
        <f>IFERROR(__xludf.DUMMYFUNCTION("IFERROR(GOOGLEFINANCE($A231,""high""),"""")"),33.68)</f>
        <v>33.68</v>
      </c>
      <c r="AL231" s="60">
        <f>IFERROR(__xludf.DUMMYFUNCTION("IFERROR(GOOGLEFINANCE($A231,""low""),"""")"),33.26)</f>
        <v>33.26</v>
      </c>
      <c r="AM231" s="61">
        <f t="shared" si="2"/>
        <v>0.01262778112</v>
      </c>
      <c r="AN231" s="62">
        <f>IFERROR(__xludf.DUMMYFUNCTION("IFERROR((GOOGLEFINANCE($A231,""volume"")),0)"),38300.0)</f>
        <v>38300</v>
      </c>
      <c r="AO231" s="60">
        <f>IFERROR(__xludf.DUMMYFUNCTION("IFERROR((GOOGLEFINANCE($A231,""closeyest"")),"""")"),33.72)</f>
        <v>33.72</v>
      </c>
      <c r="AP231" s="60">
        <f>IFERROR(__xludf.DUMMYFUNCTION("IFERROR((GOOGLEFINANCE($A231,""shares"")),"""")"),1.142298836E9)</f>
        <v>1142298836</v>
      </c>
      <c r="AQ231" s="18"/>
    </row>
    <row r="232">
      <c r="A232" s="45" t="str">
        <f>'Dados StatusInvest'!A227:A846</f>
        <v>EKTR3</v>
      </c>
      <c r="B232" s="46" t="str">
        <f>IFERROR(__xludf.DUMMYFUNCTION("IFERROR((GOOGLEFINANCE(A232,""name"")),"""")"),"Elektro Redes SA")</f>
        <v>Elektro Redes SA</v>
      </c>
      <c r="C232" s="46" t="str">
        <f>IFERROR((VLOOKUP(LEFT($A232,4),Setor!$A:$E,3,0)),"")</f>
        <v>Utilidade Pública</v>
      </c>
      <c r="D232" s="46" t="str">
        <f>IFERROR((VLOOKUP(LEFT($A232,4),Setor!$A:$E,4,0)),"")</f>
        <v>Energia Elétrica</v>
      </c>
      <c r="E232" s="46" t="str">
        <f>IFERROR((VLOOKUP(LEFT($A232,4),Setor!$A:$E,5,0)),"")</f>
        <v>Energia Elétrica</v>
      </c>
      <c r="F232" s="47">
        <f>IFERROR(__xludf.DUMMYFUNCTION("IFERROR((GOOGLEFINANCE(A232)),"""")"),48.9)</f>
        <v>48.9</v>
      </c>
      <c r="G232" s="48" t="str">
        <f>IFERROR(__xludf.DUMMYFUNCTION("IFERROR((sparkline(GOOGLEFINANCE($A232,""price"",TODAY()-30,TODAY(),""DAILY""),{""charttype"",""line"";""linewidth"",1;""color"",""#5f88cc""})),"""")"),"")</f>
        <v/>
      </c>
      <c r="H232" s="49">
        <f>IFERROR(__xludf.DUMMYFUNCTION("IFERROR((((GOOGLEFINANCE(A232))-(INDEX(GoogleFinance(A232,""PRICE"",$AQ$1),2,2)))/(INDEX(GoogleFinance(A232,""PRICE"",$AQ$1),2,2))),"""")"),-0.0038704420452231577)</f>
        <v>-0.003870442045</v>
      </c>
      <c r="I232" s="47">
        <f>IFERROR(__xludf.DUMMYFUNCTION("IFERROR((GOOGLEFINANCE($A232,""high52"")),"""")"),49.07)</f>
        <v>49.07</v>
      </c>
      <c r="J232" s="48" t="str">
        <f>IFERROR(__xludf.DUMMYFUNCTION("IFERROR((sparkline(GOOGLEFINANCE($A232,""price"",TODAY()-365,TODAY(),""DAILY""),{""charttype"",""line"";""linewidth"",1;""color"",""#5f88cc""})),"""")"),"")</f>
        <v/>
      </c>
      <c r="K232" s="50">
        <f>IFERROR(__xludf.DUMMYFUNCTION("IFERROR((((GOOGLEFINANCE(A232))-(INDEX(GoogleFinance(A232,""PRICE"",$AP$1),2,2)))/(INDEX(GoogleFinance(A232,""PRICE"",$AP$1),2,2))),"""")"),-0.24884792626728106)</f>
        <v>-0.2488479263</v>
      </c>
      <c r="L232" s="51">
        <f t="shared" si="1"/>
        <v>-0.003464438557</v>
      </c>
      <c r="M232" s="52">
        <f>IFERROR((VLOOKUP($A232,'Dados StatusInvest'!$A:$AZ,COLUMN(M232)-$A$5,0)*VLOOKUP($A232,'Dados StatusInvest'!$A:$AZ,2,0)/$F232/100),0)</f>
        <v>0.2231</v>
      </c>
      <c r="N232" s="53">
        <f>IFERROR((VLOOKUP($A232,'Dados StatusInvest'!$A:$AZ,COLUMN(N232)-$A$5,0)/VLOOKUP($A232,'Dados StatusInvest'!$A:$AZ,2,0)*$F232),"")</f>
        <v>9.53</v>
      </c>
      <c r="O232" s="53">
        <f>IFERROR((VLOOKUP($A232,'Dados StatusInvest'!$A:$AZ,COLUMN(O232)-$A$5,0)/VLOOKUP($A232,'Dados StatusInvest'!$A:$AZ,2,0)*$F232),0)</f>
        <v>4.35</v>
      </c>
      <c r="P232" s="54">
        <f>IFERROR((VLOOKUP($A232,'Dados StatusInvest'!$A:$AZ,COLUMN(P232)-$A$5,0)/VLOOKUP($A232,'Dados StatusInvest'!$A:$AZ,2,0)*$F232),0)</f>
        <v>7.16</v>
      </c>
      <c r="Q232" s="55">
        <f>IFERROR((VLOOKUP($A232,'Dados StatusInvest'!$A:$AZ,COLUMN(Q232)-$A$5,0)/100),0)</f>
        <v>0.0327</v>
      </c>
      <c r="R232" s="56">
        <f>VLOOKUP($A232,'Dados StatusInvest'!$A:$AZ,COLUMN(R232)-$A$5,0)</f>
        <v>3.53</v>
      </c>
      <c r="S232" s="56">
        <f>IFERROR((VLOOKUP($A232,'Dados StatusInvest'!$A:$AZ,COLUMN(S232)-$A$5,0)),0)</f>
        <v>0.97</v>
      </c>
      <c r="T232" s="53">
        <f>IFERROR((VLOOKUP($A232,'Dados StatusInvest'!$A:$AZ,COLUMN(T232)-$A$5,0)/VLOOKUP($A232,'Dados StatusInvest'!$A:$AZ,2,0)*$F232),0)</f>
        <v>38.05</v>
      </c>
      <c r="U232" s="53">
        <f>IFERROR((VLOOKUP($A232,'Dados StatusInvest'!$A:$AZ,COLUMN(U232)-$A$5,0)-VLOOKUP($A232,'Dados StatusInvest'!$A:$AZ,COLUMN(U232)-$A$5-1,0)+T232),0)</f>
        <v>-1.02</v>
      </c>
      <c r="V232" s="56">
        <f>IFERROR((VLOOKUP($A232,'Dados StatusInvest'!$A:$AZ,COLUMN(V232)-$A$5,0)),0)</f>
        <v>1.07</v>
      </c>
      <c r="W232" s="56">
        <f>IFERROR((VLOOKUP($A232,'Dados StatusInvest'!$A:$AZ,COLUMN(W232)-$A$5,0)),0)</f>
        <v>46.11</v>
      </c>
      <c r="X232" s="53">
        <f>IFERROR((VLOOKUP($A232,'Dados StatusInvest'!$A:$AZ,COLUMN(X232)-$A$5,0)/VLOOKUP($A232,'Dados StatusInvest'!$A:$AZ,2,0)*$F232),0)</f>
        <v>7.16</v>
      </c>
      <c r="Y232" s="54">
        <f>IFERROR((VLOOKUP($A232,'Dados StatusInvest'!$A:$AZ,COLUMN(Y232)-$A$5,0)/VLOOKUP($A232,'Dados StatusInvest'!$A:$AZ,2,0)*$F232),0)</f>
        <v>19.94</v>
      </c>
      <c r="Z232" s="56">
        <f>IFERROR((VLOOKUP($A232,'Dados StatusInvest'!$A:$AZ,COLUMN(Z232)-$A$5,0)),0)</f>
        <v>0.16</v>
      </c>
      <c r="AA232" s="57">
        <f>IFERROR((VLOOKUP($A232,'Dados StatusInvest'!$A:$AZ,COLUMN(AA232)-$A$5,0)),0)</f>
        <v>0.84</v>
      </c>
      <c r="AB232" s="57">
        <f>IFERROR((VLOOKUP($A232,'Dados StatusInvest'!$A:$AZ,COLUMN(AB232)-$A$5,0)),0)</f>
        <v>0.75</v>
      </c>
      <c r="AC232" s="58">
        <f>IFERROR((VLOOKUP($A232,'Dados StatusInvest'!$A:$AZ,COLUMN(AC232)-$A$5,0)),0)</f>
        <v>6.61</v>
      </c>
      <c r="AD232" s="57">
        <f>IFERROR((VLOOKUP($A232,'Dados StatusInvest'!$A:$AZ,COLUMN(AD232)-$A$5,0)),0)</f>
        <v>13.47</v>
      </c>
      <c r="AE232" s="56">
        <f>IFERROR((VLOOKUP($A232,'Dados StatusInvest'!$A:$AZ,COLUMN(AE232)-$A$5,0)),0)</f>
        <v>4191.43</v>
      </c>
      <c r="AF232" s="56">
        <f>IFERROR((VLOOKUP($A232,'Dados StatusInvest'!$A:$AZ,COLUMN(AF232)-$A$5,0)),0)</f>
        <v>10.42</v>
      </c>
      <c r="AG232" s="56">
        <f>IFERROR((VLOOKUP($A232,'Dados StatusInvest'!$A:$AZ,COLUMN(AG232)-$A$5,0)),0)</f>
        <v>4.8</v>
      </c>
      <c r="AH232" s="56">
        <f>IFERROR((VLOOKUP($A232,'Dados StatusInvest'!$A:$AZ,COLUMN(AH232)-$A$5,0)),0)</f>
        <v>-1.42</v>
      </c>
      <c r="AI232" s="57">
        <f>IFERROR((VLOOKUP($A232,'Dados StatusInvest'!$A:$AZ,COLUMN(AI232)-$A$5,0)),0)</f>
        <v>8467251741</v>
      </c>
      <c r="AJ232" s="59" t="str">
        <f>IFERROR((VLOOKUP($A232,'Dados StatusInvest'!$A:$AZ,COLUMN(AJ232)-$A$5,0)),0)</f>
        <v/>
      </c>
      <c r="AK232" s="60" t="str">
        <f>IFERROR(__xludf.DUMMYFUNCTION("IFERROR(GOOGLEFINANCE($A232,""high""),"""")"),"")</f>
        <v/>
      </c>
      <c r="AL232" s="60" t="str">
        <f>IFERROR(__xludf.DUMMYFUNCTION("IFERROR(GOOGLEFINANCE($A232,""low""),"""")"),"")</f>
        <v/>
      </c>
      <c r="AM232" s="61">
        <f t="shared" si="2"/>
        <v>0</v>
      </c>
      <c r="AN232" s="62">
        <f>IFERROR(__xludf.DUMMYFUNCTION("IFERROR((GOOGLEFINANCE($A232,""volume"")),0)"),0.0)</f>
        <v>0</v>
      </c>
      <c r="AO232" s="60">
        <f>IFERROR(__xludf.DUMMYFUNCTION("IFERROR((GOOGLEFINANCE($A232,""closeyest"")),"""")"),48.9)</f>
        <v>48.9</v>
      </c>
      <c r="AP232" s="60">
        <f>IFERROR(__xludf.DUMMYFUNCTION("IFERROR((GOOGLEFINANCE($A232,""shares"")),"""")"),9.1880972E7)</f>
        <v>91880972</v>
      </c>
      <c r="AQ232" s="18"/>
    </row>
    <row r="233">
      <c r="A233" s="45" t="str">
        <f>'Dados StatusInvest'!A228:A847</f>
        <v>EKTR4</v>
      </c>
      <c r="B233" s="46" t="str">
        <f>IFERROR(__xludf.DUMMYFUNCTION("IFERROR((GOOGLEFINANCE(A233,""name"")),"""")"),"Elektro Redes SA Preference Shares")</f>
        <v>Elektro Redes SA Preference Shares</v>
      </c>
      <c r="C233" s="46" t="str">
        <f>IFERROR((VLOOKUP(LEFT($A233,4),Setor!$A:$E,3,0)),"")</f>
        <v>Utilidade Pública</v>
      </c>
      <c r="D233" s="46" t="str">
        <f>IFERROR((VLOOKUP(LEFT($A233,4),Setor!$A:$E,4,0)),"")</f>
        <v>Energia Elétrica</v>
      </c>
      <c r="E233" s="46" t="str">
        <f>IFERROR((VLOOKUP(LEFT($A233,4),Setor!$A:$E,5,0)),"")</f>
        <v>Energia Elétrica</v>
      </c>
      <c r="F233" s="47">
        <f>IFERROR(__xludf.DUMMYFUNCTION("IFERROR((GOOGLEFINANCE(A233)),"""")"),39.01)</f>
        <v>39.01</v>
      </c>
      <c r="G233" s="48" t="str">
        <f>IFERROR(__xludf.DUMMYFUNCTION("IFERROR((sparkline(GOOGLEFINANCE($A233,""price"",TODAY()-30,TODAY(),""DAILY""),{""charttype"",""line"";""linewidth"",1;""color"",""#5f88cc""})),"""")"),"")</f>
        <v/>
      </c>
      <c r="H233" s="49">
        <f>IFERROR(__xludf.DUMMYFUNCTION("IFERROR((((GOOGLEFINANCE(A233))-(INDEX(GoogleFinance(A233,""PRICE"",$AQ$1),2,2)))/(INDEX(GoogleFinance(A233,""PRICE"",$AQ$1),2,2))),"""")"),0.026578947368421)</f>
        <v>0.02657894737</v>
      </c>
      <c r="I233" s="47">
        <f>IFERROR(__xludf.DUMMYFUNCTION("IFERROR((GOOGLEFINANCE($A233,""high52"")),"""")"),55.34)</f>
        <v>55.34</v>
      </c>
      <c r="J233" s="48" t="str">
        <f>IFERROR(__xludf.DUMMYFUNCTION("IFERROR((sparkline(GOOGLEFINANCE($A233,""price"",TODAY()-365,TODAY(),""DAILY""),{""charttype"",""line"";""linewidth"",1;""color"",""#5f88cc""})),"""")"),"")</f>
        <v/>
      </c>
      <c r="K233" s="50">
        <f>IFERROR(__xludf.DUMMYFUNCTION("IFERROR((((GOOGLEFINANCE(A233))-(INDEX(GoogleFinance(A233,""PRICE"",$AP$1),2,2)))/(INDEX(GoogleFinance(A233,""PRICE"",$AP$1),2,2))),"""")"),-0.2447241045498548)</f>
        <v>-0.2447241045</v>
      </c>
      <c r="L233" s="51">
        <f t="shared" si="1"/>
        <v>-0.2950849295</v>
      </c>
      <c r="M233" s="52">
        <f>IFERROR((VLOOKUP($A233,'Dados StatusInvest'!$A:$AZ,COLUMN(M233)-$A$5,0)*VLOOKUP($A233,'Dados StatusInvest'!$A:$AZ,2,0)/$F233/100),0)</f>
        <v>0.2231</v>
      </c>
      <c r="N233" s="53">
        <f>IFERROR((VLOOKUP($A233,'Dados StatusInvest'!$A:$AZ,COLUMN(N233)-$A$5,0)/VLOOKUP($A233,'Dados StatusInvest'!$A:$AZ,2,0)*$F233),"")</f>
        <v>9.53</v>
      </c>
      <c r="O233" s="53">
        <f>IFERROR((VLOOKUP($A233,'Dados StatusInvest'!$A:$AZ,COLUMN(O233)-$A$5,0)/VLOOKUP($A233,'Dados StatusInvest'!$A:$AZ,2,0)*$F233),0)</f>
        <v>3.47</v>
      </c>
      <c r="P233" s="54">
        <f>IFERROR((VLOOKUP($A233,'Dados StatusInvest'!$A:$AZ,COLUMN(P233)-$A$5,0)/VLOOKUP($A233,'Dados StatusInvest'!$A:$AZ,2,0)*$F233),0)</f>
        <v>7.16</v>
      </c>
      <c r="Q233" s="55">
        <f>IFERROR((VLOOKUP($A233,'Dados StatusInvest'!$A:$AZ,COLUMN(Q233)-$A$5,0)/100),0)</f>
        <v>0.0327</v>
      </c>
      <c r="R233" s="56">
        <f>VLOOKUP($A233,'Dados StatusInvest'!$A:$AZ,COLUMN(R233)-$A$5,0)</f>
        <v>3.53</v>
      </c>
      <c r="S233" s="56">
        <f>IFERROR((VLOOKUP($A233,'Dados StatusInvest'!$A:$AZ,COLUMN(S233)-$A$5,0)),0)</f>
        <v>0.77</v>
      </c>
      <c r="T233" s="53">
        <f>IFERROR((VLOOKUP($A233,'Dados StatusInvest'!$A:$AZ,COLUMN(T233)-$A$5,0)/VLOOKUP($A233,'Dados StatusInvest'!$A:$AZ,2,0)*$F233),0)</f>
        <v>30.36</v>
      </c>
      <c r="U233" s="53">
        <f>IFERROR((VLOOKUP($A233,'Dados StatusInvest'!$A:$AZ,COLUMN(U233)-$A$5,0)-VLOOKUP($A233,'Dados StatusInvest'!$A:$AZ,COLUMN(U233)-$A$5-1,0)+T233),0)</f>
        <v>-0.81</v>
      </c>
      <c r="V233" s="56">
        <f>IFERROR((VLOOKUP($A233,'Dados StatusInvest'!$A:$AZ,COLUMN(V233)-$A$5,0)),0)</f>
        <v>1.07</v>
      </c>
      <c r="W233" s="56">
        <f>IFERROR((VLOOKUP($A233,'Dados StatusInvest'!$A:$AZ,COLUMN(W233)-$A$5,0)),0)</f>
        <v>46.11</v>
      </c>
      <c r="X233" s="53">
        <f>IFERROR((VLOOKUP($A233,'Dados StatusInvest'!$A:$AZ,COLUMN(X233)-$A$5,0)/VLOOKUP($A233,'Dados StatusInvest'!$A:$AZ,2,0)*$F233),0)</f>
        <v>7.16</v>
      </c>
      <c r="Y233" s="54">
        <f>IFERROR((VLOOKUP($A233,'Dados StatusInvest'!$A:$AZ,COLUMN(Y233)-$A$5,0)/VLOOKUP($A233,'Dados StatusInvest'!$A:$AZ,2,0)*$F233),0)</f>
        <v>19.94</v>
      </c>
      <c r="Z233" s="56">
        <f>IFERROR((VLOOKUP($A233,'Dados StatusInvest'!$A:$AZ,COLUMN(Z233)-$A$5,0)),0)</f>
        <v>0.16</v>
      </c>
      <c r="AA233" s="57">
        <f>IFERROR((VLOOKUP($A233,'Dados StatusInvest'!$A:$AZ,COLUMN(AA233)-$A$5,0)),0)</f>
        <v>0.84</v>
      </c>
      <c r="AB233" s="57">
        <f>IFERROR((VLOOKUP($A233,'Dados StatusInvest'!$A:$AZ,COLUMN(AB233)-$A$5,0)),0)</f>
        <v>0.75</v>
      </c>
      <c r="AC233" s="58">
        <f>IFERROR((VLOOKUP($A233,'Dados StatusInvest'!$A:$AZ,COLUMN(AC233)-$A$5,0)),0)</f>
        <v>6.61</v>
      </c>
      <c r="AD233" s="57">
        <f>IFERROR((VLOOKUP($A233,'Dados StatusInvest'!$A:$AZ,COLUMN(AD233)-$A$5,0)),0)</f>
        <v>13.47</v>
      </c>
      <c r="AE233" s="56">
        <f>IFERROR((VLOOKUP($A233,'Dados StatusInvest'!$A:$AZ,COLUMN(AE233)-$A$5,0)),0)</f>
        <v>48749.26</v>
      </c>
      <c r="AF233" s="56">
        <f>IFERROR((VLOOKUP($A233,'Dados StatusInvest'!$A:$AZ,COLUMN(AF233)-$A$5,0)),0)</f>
        <v>10.42</v>
      </c>
      <c r="AG233" s="56">
        <f>IFERROR((VLOOKUP($A233,'Dados StatusInvest'!$A:$AZ,COLUMN(AG233)-$A$5,0)),0)</f>
        <v>4.8</v>
      </c>
      <c r="AH233" s="56">
        <f>IFERROR((VLOOKUP($A233,'Dados StatusInvest'!$A:$AZ,COLUMN(AH233)-$A$5,0)),0)</f>
        <v>-1.13</v>
      </c>
      <c r="AI233" s="57">
        <f>IFERROR((VLOOKUP($A233,'Dados StatusInvest'!$A:$AZ,COLUMN(AI233)-$A$5,0)),0)</f>
        <v>8467251741</v>
      </c>
      <c r="AJ233" s="59" t="str">
        <f>IFERROR((VLOOKUP($A233,'Dados StatusInvest'!$A:$AZ,COLUMN(AJ233)-$A$5,0)),0)</f>
        <v/>
      </c>
      <c r="AK233" s="60" t="str">
        <f>IFERROR(__xludf.DUMMYFUNCTION("IFERROR(GOOGLEFINANCE($A233,""high""),"""")"),"")</f>
        <v/>
      </c>
      <c r="AL233" s="60" t="str">
        <f>IFERROR(__xludf.DUMMYFUNCTION("IFERROR(GOOGLEFINANCE($A233,""low""),"""")"),"")</f>
        <v/>
      </c>
      <c r="AM233" s="61">
        <f t="shared" si="2"/>
        <v>0</v>
      </c>
      <c r="AN233" s="62">
        <f>IFERROR(__xludf.DUMMYFUNCTION("IFERROR((GOOGLEFINANCE($A233,""volume"")),0)"),0.0)</f>
        <v>0</v>
      </c>
      <c r="AO233" s="60">
        <f>IFERROR(__xludf.DUMMYFUNCTION("IFERROR((GOOGLEFINANCE($A233,""closeyest"")),"""")"),39.01)</f>
        <v>39.01</v>
      </c>
      <c r="AP233" s="60">
        <f>IFERROR(__xludf.DUMMYFUNCTION("IFERROR((GOOGLEFINANCE($A233,""shares"")),"""")"),1.01878293E8)</f>
        <v>101878293</v>
      </c>
      <c r="AQ233" s="18"/>
    </row>
    <row r="234">
      <c r="A234" s="45" t="str">
        <f>'Dados StatusInvest'!A229:A848</f>
        <v>ELEK3</v>
      </c>
      <c r="B234" s="46" t="str">
        <f>IFERROR(__xludf.DUMMYFUNCTION("IFERROR((GOOGLEFINANCE(A234,""name"")),"""")"),"")</f>
        <v/>
      </c>
      <c r="C234" s="46" t="str">
        <f>IFERROR((VLOOKUP(LEFT($A234,4),Setor!$A:$E,3,0)),"")</f>
        <v>Materiais Básicos</v>
      </c>
      <c r="D234" s="46" t="str">
        <f>IFERROR((VLOOKUP(LEFT($A234,4),Setor!$A:$E,4,0)),"")</f>
        <v>Químicos</v>
      </c>
      <c r="E234" s="46" t="str">
        <f>IFERROR((VLOOKUP(LEFT($A234,4),Setor!$A:$E,5,0)),"")</f>
        <v>Petroquímicos</v>
      </c>
      <c r="F234" s="47" t="str">
        <f>IFERROR(__xludf.DUMMYFUNCTION("IFERROR((GOOGLEFINANCE(A234)),"""")"),"")</f>
        <v/>
      </c>
      <c r="G234" s="48" t="str">
        <f>IFERROR(__xludf.DUMMYFUNCTION("IFERROR((sparkline(GOOGLEFINANCE($A234,""price"",TODAY()-30,TODAY(),""DAILY""),{""charttype"",""line"";""linewidth"",1;""color"",""#5f88cc""})),"""")"),"")</f>
        <v/>
      </c>
      <c r="H234" s="49" t="str">
        <f>IFERROR(__xludf.DUMMYFUNCTION("IFERROR((((GOOGLEFINANCE(A234))-(INDEX(GoogleFinance(A234,""PRICE"",$AQ$1),2,2)))/(INDEX(GoogleFinance(A234,""PRICE"",$AQ$1),2,2))),"""")"),"")</f>
        <v/>
      </c>
      <c r="I234" s="47" t="str">
        <f>IFERROR(__xludf.DUMMYFUNCTION("IFERROR((GOOGLEFINANCE($A234,""high52"")),"""")"),"")</f>
        <v/>
      </c>
      <c r="J234" s="48" t="str">
        <f>IFERROR(__xludf.DUMMYFUNCTION("IFERROR((sparkline(GOOGLEFINANCE($A234,""price"",TODAY()-365,TODAY(),""DAILY""),{""charttype"",""line"";""linewidth"",1;""color"",""#5f88cc""})),"""")"),"")</f>
        <v/>
      </c>
      <c r="K234" s="50" t="str">
        <f>IFERROR(__xludf.DUMMYFUNCTION("IFERROR((((GOOGLEFINANCE(A234))-(INDEX(GoogleFinance(A234,""PRICE"",$AP$1),2,2)))/(INDEX(GoogleFinance(A234,""PRICE"",$AP$1),2,2))),"""")"),"")</f>
        <v/>
      </c>
      <c r="L234" s="51">
        <f t="shared" si="1"/>
        <v>0</v>
      </c>
      <c r="M234" s="52">
        <f>IFERROR((VLOOKUP($A234,'Dados StatusInvest'!$A:$AZ,COLUMN(M234)-$A$5,0)*VLOOKUP($A234,'Dados StatusInvest'!$A:$AZ,2,0)/$F234/100),0)</f>
        <v>0</v>
      </c>
      <c r="N234" s="53">
        <f>IFERROR((VLOOKUP($A234,'Dados StatusInvest'!$A:$AZ,COLUMN(N234)-$A$5,0)/VLOOKUP($A234,'Dados StatusInvest'!$A:$AZ,2,0)*$F234),"")</f>
        <v>0</v>
      </c>
      <c r="O234" s="53">
        <f>IFERROR((VLOOKUP($A234,'Dados StatusInvest'!$A:$AZ,COLUMN(O234)-$A$5,0)/VLOOKUP($A234,'Dados StatusInvest'!$A:$AZ,2,0)*$F234),0)</f>
        <v>0</v>
      </c>
      <c r="P234" s="54">
        <f>IFERROR((VLOOKUP($A234,'Dados StatusInvest'!$A:$AZ,COLUMN(P234)-$A$5,0)/VLOOKUP($A234,'Dados StatusInvest'!$A:$AZ,2,0)*$F234),0)</f>
        <v>0</v>
      </c>
      <c r="Q234" s="55">
        <f>IFERROR((VLOOKUP($A234,'Dados StatusInvest'!$A:$AZ,COLUMN(Q234)-$A$5,0)/100),0)</f>
        <v>0.0575</v>
      </c>
      <c r="R234" s="56">
        <f>VLOOKUP($A234,'Dados StatusInvest'!$A:$AZ,COLUMN(R234)-$A$5,0)</f>
        <v>0.7</v>
      </c>
      <c r="S234" s="56">
        <f>IFERROR((VLOOKUP($A234,'Dados StatusInvest'!$A:$AZ,COLUMN(S234)-$A$5,0)),0)</f>
        <v>0.62</v>
      </c>
      <c r="T234" s="53">
        <f>IFERROR((VLOOKUP($A234,'Dados StatusInvest'!$A:$AZ,COLUMN(T234)-$A$5,0)/VLOOKUP($A234,'Dados StatusInvest'!$A:$AZ,2,0)*$F234),0)</f>
        <v>0</v>
      </c>
      <c r="U234" s="53">
        <f>IFERROR((VLOOKUP($A234,'Dados StatusInvest'!$A:$AZ,COLUMN(U234)-$A$5,0)-VLOOKUP($A234,'Dados StatusInvest'!$A:$AZ,COLUMN(U234)-$A$5-1,0)+T234),0)</f>
        <v>-6.35</v>
      </c>
      <c r="V234" s="56">
        <f>IFERROR((VLOOKUP($A234,'Dados StatusInvest'!$A:$AZ,COLUMN(V234)-$A$5,0)),0)</f>
        <v>1.94</v>
      </c>
      <c r="W234" s="56">
        <f>IFERROR((VLOOKUP($A234,'Dados StatusInvest'!$A:$AZ,COLUMN(W234)-$A$5,0)),0)</f>
        <v>10.87</v>
      </c>
      <c r="X234" s="53">
        <f>IFERROR((VLOOKUP($A234,'Dados StatusInvest'!$A:$AZ,COLUMN(X234)-$A$5,0)/VLOOKUP($A234,'Dados StatusInvest'!$A:$AZ,2,0)*$F234),0)</f>
        <v>0</v>
      </c>
      <c r="Y234" s="54">
        <f>IFERROR((VLOOKUP($A234,'Dados StatusInvest'!$A:$AZ,COLUMN(Y234)-$A$5,0)/VLOOKUP($A234,'Dados StatusInvest'!$A:$AZ,2,0)*$F234),0)</f>
        <v>0</v>
      </c>
      <c r="Z234" s="56">
        <f>IFERROR((VLOOKUP($A234,'Dados StatusInvest'!$A:$AZ,COLUMN(Z234)-$A$5,0)),0)</f>
        <v>0.4</v>
      </c>
      <c r="AA234" s="57">
        <f>IFERROR((VLOOKUP($A234,'Dados StatusInvest'!$A:$AZ,COLUMN(AA234)-$A$5,0)),0)</f>
        <v>0.6</v>
      </c>
      <c r="AB234" s="57">
        <f>IFERROR((VLOOKUP($A234,'Dados StatusInvest'!$A:$AZ,COLUMN(AB234)-$A$5,0)),0)</f>
        <v>1.72</v>
      </c>
      <c r="AC234" s="58">
        <f>IFERROR((VLOOKUP($A234,'Dados StatusInvest'!$A:$AZ,COLUMN(AC234)-$A$5,0)),0)</f>
        <v>1.48</v>
      </c>
      <c r="AD234" s="57">
        <f>IFERROR((VLOOKUP($A234,'Dados StatusInvest'!$A:$AZ,COLUMN(AD234)-$A$5,0)),0)</f>
        <v>0</v>
      </c>
      <c r="AE234" s="56">
        <f>IFERROR((VLOOKUP($A234,'Dados StatusInvest'!$A:$AZ,COLUMN(AE234)-$A$5,0)),0)</f>
        <v>0</v>
      </c>
      <c r="AF234" s="56">
        <f>IFERROR((VLOOKUP($A234,'Dados StatusInvest'!$A:$AZ,COLUMN(AF234)-$A$5,0)),0)</f>
        <v>7.19</v>
      </c>
      <c r="AG234" s="56">
        <f>IFERROR((VLOOKUP($A234,'Dados StatusInvest'!$A:$AZ,COLUMN(AG234)-$A$5,0)),0)</f>
        <v>0.78</v>
      </c>
      <c r="AH234" s="56">
        <f>IFERROR((VLOOKUP($A234,'Dados StatusInvest'!$A:$AZ,COLUMN(AH234)-$A$5,0)),0)</f>
        <v>-0.35</v>
      </c>
      <c r="AI234" s="57">
        <f>IFERROR((VLOOKUP($A234,'Dados StatusInvest'!$A:$AZ,COLUMN(AI234)-$A$5,0)),0)</f>
        <v>905051916.3</v>
      </c>
      <c r="AJ234" s="59" t="str">
        <f>IFERROR((VLOOKUP($A234,'Dados StatusInvest'!$A:$AZ,COLUMN(AJ234)-$A$5,0)),0)</f>
        <v/>
      </c>
      <c r="AK234" s="60" t="str">
        <f>IFERROR(__xludf.DUMMYFUNCTION("IFERROR(GOOGLEFINANCE($A234,""high""),"""")"),"")</f>
        <v/>
      </c>
      <c r="AL234" s="60" t="str">
        <f>IFERROR(__xludf.DUMMYFUNCTION("IFERROR(GOOGLEFINANCE($A234,""low""),"""")"),"")</f>
        <v/>
      </c>
      <c r="AM234" s="61">
        <f t="shared" si="2"/>
        <v>0</v>
      </c>
      <c r="AN234" s="62">
        <f>IFERROR(__xludf.DUMMYFUNCTION("IFERROR((GOOGLEFINANCE($A234,""volume"")),0)"),0.0)</f>
        <v>0</v>
      </c>
      <c r="AO234" s="60" t="str">
        <f>IFERROR(__xludf.DUMMYFUNCTION("IFERROR((GOOGLEFINANCE($A234,""closeyest"")),"""")"),"")</f>
        <v/>
      </c>
      <c r="AP234" s="60" t="str">
        <f>IFERROR(__xludf.DUMMYFUNCTION("IFERROR((GOOGLEFINANCE($A234,""shares"")),"""")"),"")</f>
        <v/>
      </c>
      <c r="AQ234" s="18"/>
    </row>
    <row r="235">
      <c r="A235" s="45" t="str">
        <f>'Dados StatusInvest'!A230:A849</f>
        <v>ELEK4</v>
      </c>
      <c r="B235" s="46" t="str">
        <f>IFERROR(__xludf.DUMMYFUNCTION("IFERROR((GOOGLEFINANCE(A235,""name"")),"""")"),"")</f>
        <v/>
      </c>
      <c r="C235" s="46" t="str">
        <f>IFERROR((VLOOKUP(LEFT($A235,4),Setor!$A:$E,3,0)),"")</f>
        <v>Materiais Básicos</v>
      </c>
      <c r="D235" s="46" t="str">
        <f>IFERROR((VLOOKUP(LEFT($A235,4),Setor!$A:$E,4,0)),"")</f>
        <v>Químicos</v>
      </c>
      <c r="E235" s="46" t="str">
        <f>IFERROR((VLOOKUP(LEFT($A235,4),Setor!$A:$E,5,0)),"")</f>
        <v>Petroquímicos</v>
      </c>
      <c r="F235" s="47" t="str">
        <f>IFERROR(__xludf.DUMMYFUNCTION("IFERROR((GOOGLEFINANCE(A235)),"""")"),"")</f>
        <v/>
      </c>
      <c r="G235" s="48" t="str">
        <f>IFERROR(__xludf.DUMMYFUNCTION("IFERROR((sparkline(GOOGLEFINANCE($A235,""price"",TODAY()-30,TODAY(),""DAILY""),{""charttype"",""line"";""linewidth"",1;""color"",""#5f88cc""})),"""")"),"")</f>
        <v/>
      </c>
      <c r="H235" s="49" t="str">
        <f>IFERROR(__xludf.DUMMYFUNCTION("IFERROR((((GOOGLEFINANCE(A235))-(INDEX(GoogleFinance(A235,""PRICE"",$AQ$1),2,2)))/(INDEX(GoogleFinance(A235,""PRICE"",$AQ$1),2,2))),"""")"),"")</f>
        <v/>
      </c>
      <c r="I235" s="47" t="str">
        <f>IFERROR(__xludf.DUMMYFUNCTION("IFERROR((GOOGLEFINANCE($A235,""high52"")),"""")"),"")</f>
        <v/>
      </c>
      <c r="J235" s="48" t="str">
        <f>IFERROR(__xludf.DUMMYFUNCTION("IFERROR((sparkline(GOOGLEFINANCE($A235,""price"",TODAY()-365,TODAY(),""DAILY""),{""charttype"",""line"";""linewidth"",1;""color"",""#5f88cc""})),"""")"),"")</f>
        <v/>
      </c>
      <c r="K235" s="50" t="str">
        <f>IFERROR(__xludf.DUMMYFUNCTION("IFERROR((((GOOGLEFINANCE(A235))-(INDEX(GoogleFinance(A235,""PRICE"",$AP$1),2,2)))/(INDEX(GoogleFinance(A235,""PRICE"",$AP$1),2,2))),"""")"),"")</f>
        <v/>
      </c>
      <c r="L235" s="51">
        <f t="shared" si="1"/>
        <v>0</v>
      </c>
      <c r="M235" s="52">
        <f>IFERROR((VLOOKUP($A235,'Dados StatusInvest'!$A:$AZ,COLUMN(M235)-$A$5,0)*VLOOKUP($A235,'Dados StatusInvest'!$A:$AZ,2,0)/$F235/100),0)</f>
        <v>0</v>
      </c>
      <c r="N235" s="53">
        <f>IFERROR((VLOOKUP($A235,'Dados StatusInvest'!$A:$AZ,COLUMN(N235)-$A$5,0)/VLOOKUP($A235,'Dados StatusInvest'!$A:$AZ,2,0)*$F235),"")</f>
        <v>0</v>
      </c>
      <c r="O235" s="53">
        <f>IFERROR((VLOOKUP($A235,'Dados StatusInvest'!$A:$AZ,COLUMN(O235)-$A$5,0)/VLOOKUP($A235,'Dados StatusInvest'!$A:$AZ,2,0)*$F235),0)</f>
        <v>0</v>
      </c>
      <c r="P235" s="54">
        <f>IFERROR((VLOOKUP($A235,'Dados StatusInvest'!$A:$AZ,COLUMN(P235)-$A$5,0)/VLOOKUP($A235,'Dados StatusInvest'!$A:$AZ,2,0)*$F235),0)</f>
        <v>0</v>
      </c>
      <c r="Q235" s="55">
        <f>IFERROR((VLOOKUP($A235,'Dados StatusInvest'!$A:$AZ,COLUMN(Q235)-$A$5,0)/100),0)</f>
        <v>0.0575</v>
      </c>
      <c r="R235" s="56">
        <f>VLOOKUP($A235,'Dados StatusInvest'!$A:$AZ,COLUMN(R235)-$A$5,0)</f>
        <v>0.7</v>
      </c>
      <c r="S235" s="56">
        <f>IFERROR((VLOOKUP($A235,'Dados StatusInvest'!$A:$AZ,COLUMN(S235)-$A$5,0)),0)</f>
        <v>1.2</v>
      </c>
      <c r="T235" s="53">
        <f>IFERROR((VLOOKUP($A235,'Dados StatusInvest'!$A:$AZ,COLUMN(T235)-$A$5,0)/VLOOKUP($A235,'Dados StatusInvest'!$A:$AZ,2,0)*$F235),0)</f>
        <v>0</v>
      </c>
      <c r="U235" s="53">
        <f>IFERROR((VLOOKUP($A235,'Dados StatusInvest'!$A:$AZ,COLUMN(U235)-$A$5,0)-VLOOKUP($A235,'Dados StatusInvest'!$A:$AZ,COLUMN(U235)-$A$5-1,0)+T235),0)</f>
        <v>-12.28</v>
      </c>
      <c r="V235" s="56">
        <f>IFERROR((VLOOKUP($A235,'Dados StatusInvest'!$A:$AZ,COLUMN(V235)-$A$5,0)),0)</f>
        <v>1.94</v>
      </c>
      <c r="W235" s="56">
        <f>IFERROR((VLOOKUP($A235,'Dados StatusInvest'!$A:$AZ,COLUMN(W235)-$A$5,0)),0)</f>
        <v>10.87</v>
      </c>
      <c r="X235" s="53">
        <f>IFERROR((VLOOKUP($A235,'Dados StatusInvest'!$A:$AZ,COLUMN(X235)-$A$5,0)/VLOOKUP($A235,'Dados StatusInvest'!$A:$AZ,2,0)*$F235),0)</f>
        <v>0</v>
      </c>
      <c r="Y235" s="54">
        <f>IFERROR((VLOOKUP($A235,'Dados StatusInvest'!$A:$AZ,COLUMN(Y235)-$A$5,0)/VLOOKUP($A235,'Dados StatusInvest'!$A:$AZ,2,0)*$F235),0)</f>
        <v>0</v>
      </c>
      <c r="Z235" s="56">
        <f>IFERROR((VLOOKUP($A235,'Dados StatusInvest'!$A:$AZ,COLUMN(Z235)-$A$5,0)),0)</f>
        <v>0.4</v>
      </c>
      <c r="AA235" s="57">
        <f>IFERROR((VLOOKUP($A235,'Dados StatusInvest'!$A:$AZ,COLUMN(AA235)-$A$5,0)),0)</f>
        <v>0.6</v>
      </c>
      <c r="AB235" s="57">
        <f>IFERROR((VLOOKUP($A235,'Dados StatusInvest'!$A:$AZ,COLUMN(AB235)-$A$5,0)),0)</f>
        <v>1.72</v>
      </c>
      <c r="AC235" s="58">
        <f>IFERROR((VLOOKUP($A235,'Dados StatusInvest'!$A:$AZ,COLUMN(AC235)-$A$5,0)),0)</f>
        <v>1.48</v>
      </c>
      <c r="AD235" s="57">
        <f>IFERROR((VLOOKUP($A235,'Dados StatusInvest'!$A:$AZ,COLUMN(AD235)-$A$5,0)),0)</f>
        <v>0</v>
      </c>
      <c r="AE235" s="56">
        <f>IFERROR((VLOOKUP($A235,'Dados StatusInvest'!$A:$AZ,COLUMN(AE235)-$A$5,0)),0)</f>
        <v>0</v>
      </c>
      <c r="AF235" s="56">
        <f>IFERROR((VLOOKUP($A235,'Dados StatusInvest'!$A:$AZ,COLUMN(AF235)-$A$5,0)),0)</f>
        <v>7.19</v>
      </c>
      <c r="AG235" s="56">
        <f>IFERROR((VLOOKUP($A235,'Dados StatusInvest'!$A:$AZ,COLUMN(AG235)-$A$5,0)),0)</f>
        <v>0.78</v>
      </c>
      <c r="AH235" s="56">
        <f>IFERROR((VLOOKUP($A235,'Dados StatusInvest'!$A:$AZ,COLUMN(AH235)-$A$5,0)),0)</f>
        <v>-0.68</v>
      </c>
      <c r="AI235" s="57">
        <f>IFERROR((VLOOKUP($A235,'Dados StatusInvest'!$A:$AZ,COLUMN(AI235)-$A$5,0)),0)</f>
        <v>905051916.3</v>
      </c>
      <c r="AJ235" s="59" t="str">
        <f>IFERROR((VLOOKUP($A235,'Dados StatusInvest'!$A:$AZ,COLUMN(AJ235)-$A$5,0)),0)</f>
        <v/>
      </c>
      <c r="AK235" s="60" t="str">
        <f>IFERROR(__xludf.DUMMYFUNCTION("IFERROR(GOOGLEFINANCE($A235,""high""),"""")"),"")</f>
        <v/>
      </c>
      <c r="AL235" s="60" t="str">
        <f>IFERROR(__xludf.DUMMYFUNCTION("IFERROR(GOOGLEFINANCE($A235,""low""),"""")"),"")</f>
        <v/>
      </c>
      <c r="AM235" s="61">
        <f t="shared" si="2"/>
        <v>0</v>
      </c>
      <c r="AN235" s="62">
        <f>IFERROR(__xludf.DUMMYFUNCTION("IFERROR((GOOGLEFINANCE($A235,""volume"")),0)"),0.0)</f>
        <v>0</v>
      </c>
      <c r="AO235" s="60" t="str">
        <f>IFERROR(__xludf.DUMMYFUNCTION("IFERROR((GOOGLEFINANCE($A235,""closeyest"")),"""")"),"")</f>
        <v/>
      </c>
      <c r="AP235" s="60" t="str">
        <f>IFERROR(__xludf.DUMMYFUNCTION("IFERROR((GOOGLEFINANCE($A235,""shares"")),"""")"),"")</f>
        <v/>
      </c>
      <c r="AQ235" s="18"/>
    </row>
    <row r="236">
      <c r="A236" s="45" t="str">
        <f>'Dados StatusInvest'!A231:A850</f>
        <v>ELMD3</v>
      </c>
      <c r="B236" s="46" t="str">
        <f>IFERROR(__xludf.DUMMYFUNCTION("IFERROR((GOOGLEFINANCE(A236,""name"")),"""")"),"")</f>
        <v/>
      </c>
      <c r="C236" s="46" t="str">
        <f>IFERROR((VLOOKUP(LEFT($A236,4),Setor!$A:$E,3,0)),"")</f>
        <v/>
      </c>
      <c r="D236" s="46" t="str">
        <f>IFERROR((VLOOKUP(LEFT($A236,4),Setor!$A:$E,4,0)),"")</f>
        <v/>
      </c>
      <c r="E236" s="46" t="str">
        <f>IFERROR((VLOOKUP(LEFT($A236,4),Setor!$A:$E,5,0)),"")</f>
        <v/>
      </c>
      <c r="F236" s="47" t="str">
        <f>IFERROR(__xludf.DUMMYFUNCTION("IFERROR((GOOGLEFINANCE(A236)),"""")"),"")</f>
        <v/>
      </c>
      <c r="G236" s="48" t="str">
        <f>IFERROR(__xludf.DUMMYFUNCTION("IFERROR((sparkline(GOOGLEFINANCE($A236,""price"",TODAY()-30,TODAY(),""DAILY""),{""charttype"",""line"";""linewidth"",1;""color"",""#5f88cc""})),"""")"),"")</f>
        <v/>
      </c>
      <c r="H236" s="49" t="str">
        <f>IFERROR(__xludf.DUMMYFUNCTION("IFERROR((((GOOGLEFINANCE(A236))-(INDEX(GoogleFinance(A236,""PRICE"",$AQ$1),2,2)))/(INDEX(GoogleFinance(A236,""PRICE"",$AQ$1),2,2))),"""")"),"")</f>
        <v/>
      </c>
      <c r="I236" s="47" t="str">
        <f>IFERROR(__xludf.DUMMYFUNCTION("IFERROR((GOOGLEFINANCE($A236,""high52"")),"""")"),"")</f>
        <v/>
      </c>
      <c r="J236" s="48" t="str">
        <f>IFERROR(__xludf.DUMMYFUNCTION("IFERROR((sparkline(GOOGLEFINANCE($A236,""price"",TODAY()-365,TODAY(),""DAILY""),{""charttype"",""line"";""linewidth"",1;""color"",""#5f88cc""})),"""")"),"")</f>
        <v/>
      </c>
      <c r="K236" s="50" t="str">
        <f>IFERROR(__xludf.DUMMYFUNCTION("IFERROR((((GOOGLEFINANCE(A236))-(INDEX(GoogleFinance(A236,""PRICE"",$AP$1),2,2)))/(INDEX(GoogleFinance(A236,""PRICE"",$AP$1),2,2))),"""")"),"")</f>
        <v/>
      </c>
      <c r="L236" s="51">
        <f t="shared" si="1"/>
        <v>0</v>
      </c>
      <c r="M236" s="52">
        <f>IFERROR((VLOOKUP($A236,'Dados StatusInvest'!$A:$AZ,COLUMN(M236)-$A$5,0)*VLOOKUP($A236,'Dados StatusInvest'!$A:$AZ,2,0)/$F236/100),0)</f>
        <v>0</v>
      </c>
      <c r="N236" s="53">
        <f>IFERROR((VLOOKUP($A236,'Dados StatusInvest'!$A:$AZ,COLUMN(N236)-$A$5,0)/VLOOKUP($A236,'Dados StatusInvest'!$A:$AZ,2,0)*$F236),"")</f>
        <v>0</v>
      </c>
      <c r="O236" s="53">
        <f>IFERROR((VLOOKUP($A236,'Dados StatusInvest'!$A:$AZ,COLUMN(O236)-$A$5,0)/VLOOKUP($A236,'Dados StatusInvest'!$A:$AZ,2,0)*$F236),0)</f>
        <v>0</v>
      </c>
      <c r="P236" s="54">
        <f>IFERROR((VLOOKUP($A236,'Dados StatusInvest'!$A:$AZ,COLUMN(P236)-$A$5,0)/VLOOKUP($A236,'Dados StatusInvest'!$A:$AZ,2,0)*$F236),0)</f>
        <v>0</v>
      </c>
      <c r="Q236" s="55">
        <f>IFERROR((VLOOKUP($A236,'Dados StatusInvest'!$A:$AZ,COLUMN(Q236)-$A$5,0)/100),0)</f>
        <v>0.026</v>
      </c>
      <c r="R236" s="56">
        <f>VLOOKUP($A236,'Dados StatusInvest'!$A:$AZ,COLUMN(R236)-$A$5,0)</f>
        <v>0.82</v>
      </c>
      <c r="S236" s="56">
        <f>IFERROR((VLOOKUP($A236,'Dados StatusInvest'!$A:$AZ,COLUMN(S236)-$A$5,0)),0)</f>
        <v>3.55</v>
      </c>
      <c r="T236" s="53">
        <f>IFERROR((VLOOKUP($A236,'Dados StatusInvest'!$A:$AZ,COLUMN(T236)-$A$5,0)/VLOOKUP($A236,'Dados StatusInvest'!$A:$AZ,2,0)*$F236),0)</f>
        <v>0</v>
      </c>
      <c r="U236" s="53">
        <f>IFERROR((VLOOKUP($A236,'Dados StatusInvest'!$A:$AZ,COLUMN(U236)-$A$5,0)-VLOOKUP($A236,'Dados StatusInvest'!$A:$AZ,COLUMN(U236)-$A$5-1,0)+T236),0)</f>
        <v>-12.28</v>
      </c>
      <c r="V236" s="56">
        <f>IFERROR((VLOOKUP($A236,'Dados StatusInvest'!$A:$AZ,COLUMN(V236)-$A$5,0)),0)</f>
        <v>1.76</v>
      </c>
      <c r="W236" s="56">
        <f>IFERROR((VLOOKUP($A236,'Dados StatusInvest'!$A:$AZ,COLUMN(W236)-$A$5,0)),0)</f>
        <v>11.4</v>
      </c>
      <c r="X236" s="53">
        <f>IFERROR((VLOOKUP($A236,'Dados StatusInvest'!$A:$AZ,COLUMN(X236)-$A$5,0)/VLOOKUP($A236,'Dados StatusInvest'!$A:$AZ,2,0)*$F236),0)</f>
        <v>0</v>
      </c>
      <c r="Y236" s="54">
        <f>IFERROR((VLOOKUP($A236,'Dados StatusInvest'!$A:$AZ,COLUMN(Y236)-$A$5,0)/VLOOKUP($A236,'Dados StatusInvest'!$A:$AZ,2,0)*$F236),0)</f>
        <v>0</v>
      </c>
      <c r="Z236" s="56">
        <f>IFERROR((VLOOKUP($A236,'Dados StatusInvest'!$A:$AZ,COLUMN(Z236)-$A$5,0)),0)</f>
        <v>0.31</v>
      </c>
      <c r="AA236" s="57">
        <f>IFERROR((VLOOKUP($A236,'Dados StatusInvest'!$A:$AZ,COLUMN(AA236)-$A$5,0)),0)</f>
        <v>0.63</v>
      </c>
      <c r="AB236" s="57">
        <f>IFERROR((VLOOKUP($A236,'Dados StatusInvest'!$A:$AZ,COLUMN(AB236)-$A$5,0)),0)</f>
        <v>0.39</v>
      </c>
      <c r="AC236" s="58">
        <f>IFERROR((VLOOKUP($A236,'Dados StatusInvest'!$A:$AZ,COLUMN(AC236)-$A$5,0)),0)</f>
        <v>32</v>
      </c>
      <c r="AD236" s="57">
        <f>IFERROR((VLOOKUP($A236,'Dados StatusInvest'!$A:$AZ,COLUMN(AD236)-$A$5,0)),0)</f>
        <v>51.88</v>
      </c>
      <c r="AE236" s="56">
        <f>IFERROR((VLOOKUP($A236,'Dados StatusInvest'!$A:$AZ,COLUMN(AE236)-$A$5,0)),0)</f>
        <v>704100</v>
      </c>
      <c r="AF236" s="56">
        <f>IFERROR((VLOOKUP($A236,'Dados StatusInvest'!$A:$AZ,COLUMN(AF236)-$A$5,0)),0)</f>
        <v>6.85</v>
      </c>
      <c r="AG236" s="56">
        <f>IFERROR((VLOOKUP($A236,'Dados StatusInvest'!$A:$AZ,COLUMN(AG236)-$A$5,0)),0)</f>
        <v>0.78</v>
      </c>
      <c r="AH236" s="56">
        <f>IFERROR((VLOOKUP($A236,'Dados StatusInvest'!$A:$AZ,COLUMN(AH236)-$A$5,0)),0)</f>
        <v>8.29</v>
      </c>
      <c r="AI236" s="57">
        <f>IFERROR((VLOOKUP($A236,'Dados StatusInvest'!$A:$AZ,COLUMN(AI236)-$A$5,0)),0)</f>
        <v>4455057771</v>
      </c>
      <c r="AJ236" s="59" t="str">
        <f>IFERROR((VLOOKUP($A236,'Dados StatusInvest'!$A:$AZ,COLUMN(AJ236)-$A$5,0)),0)</f>
        <v/>
      </c>
      <c r="AK236" s="60" t="str">
        <f>IFERROR(__xludf.DUMMYFUNCTION("IFERROR(GOOGLEFINANCE($A236,""high""),"""")"),"")</f>
        <v/>
      </c>
      <c r="AL236" s="60" t="str">
        <f>IFERROR(__xludf.DUMMYFUNCTION("IFERROR(GOOGLEFINANCE($A236,""low""),"""")"),"")</f>
        <v/>
      </c>
      <c r="AM236" s="61">
        <f t="shared" si="2"/>
        <v>0</v>
      </c>
      <c r="AN236" s="62">
        <f>IFERROR(__xludf.DUMMYFUNCTION("IFERROR((GOOGLEFINANCE($A236,""volume"")),0)"),0.0)</f>
        <v>0</v>
      </c>
      <c r="AO236" s="60" t="str">
        <f>IFERROR(__xludf.DUMMYFUNCTION("IFERROR((GOOGLEFINANCE($A236,""closeyest"")),"""")"),"")</f>
        <v/>
      </c>
      <c r="AP236" s="60" t="str">
        <f>IFERROR(__xludf.DUMMYFUNCTION("IFERROR((GOOGLEFINANCE($A236,""shares"")),"""")"),"")</f>
        <v/>
      </c>
      <c r="AQ236" s="18"/>
    </row>
    <row r="237">
      <c r="A237" s="45" t="str">
        <f>'Dados StatusInvest'!A232:A851</f>
        <v>ELPL3</v>
      </c>
      <c r="B237" s="46" t="str">
        <f>IFERROR(__xludf.DUMMYFUNCTION("IFERROR((GOOGLEFINANCE(A237,""name"")),"""")"),"")</f>
        <v/>
      </c>
      <c r="C237" s="46" t="str">
        <f>IFERROR((VLOOKUP(LEFT($A237,4),Setor!$A:$E,3,0)),"")</f>
        <v/>
      </c>
      <c r="D237" s="46" t="str">
        <f>IFERROR((VLOOKUP(LEFT($A237,4),Setor!$A:$E,4,0)),"")</f>
        <v/>
      </c>
      <c r="E237" s="46" t="str">
        <f>IFERROR((VLOOKUP(LEFT($A237,4),Setor!$A:$E,5,0)),"")</f>
        <v/>
      </c>
      <c r="F237" s="47" t="str">
        <f>IFERROR(__xludf.DUMMYFUNCTION("IFERROR((GOOGLEFINANCE(A237)),"""")"),"")</f>
        <v/>
      </c>
      <c r="G237" s="48" t="str">
        <f>IFERROR(__xludf.DUMMYFUNCTION("IFERROR((sparkline(GOOGLEFINANCE($A237,""price"",TODAY()-30,TODAY(),""DAILY""),{""charttype"",""line"";""linewidth"",1;""color"",""#5f88cc""})),"""")"),"")</f>
        <v/>
      </c>
      <c r="H237" s="49" t="str">
        <f>IFERROR(__xludf.DUMMYFUNCTION("IFERROR((((GOOGLEFINANCE(A237))-(INDEX(GoogleFinance(A237,""PRICE"",$AQ$1),2,2)))/(INDEX(GoogleFinance(A237,""PRICE"",$AQ$1),2,2))),"""")"),"")</f>
        <v/>
      </c>
      <c r="I237" s="47" t="str">
        <f>IFERROR(__xludf.DUMMYFUNCTION("IFERROR((GOOGLEFINANCE($A237,""high52"")),"""")"),"")</f>
        <v/>
      </c>
      <c r="J237" s="48" t="str">
        <f>IFERROR(__xludf.DUMMYFUNCTION("IFERROR((sparkline(GOOGLEFINANCE($A237,""price"",TODAY()-365,TODAY(),""DAILY""),{""charttype"",""line"";""linewidth"",1;""color"",""#5f88cc""})),"""")"),"")</f>
        <v/>
      </c>
      <c r="K237" s="50" t="str">
        <f>IFERROR(__xludf.DUMMYFUNCTION("IFERROR((((GOOGLEFINANCE(A237))-(INDEX(GoogleFinance(A237,""PRICE"",$AP$1),2,2)))/(INDEX(GoogleFinance(A237,""PRICE"",$AP$1),2,2))),"""")"),"")</f>
        <v/>
      </c>
      <c r="L237" s="51">
        <f t="shared" si="1"/>
        <v>0</v>
      </c>
      <c r="M237" s="52">
        <f>IFERROR((VLOOKUP($A237,'Dados StatusInvest'!$A:$AZ,COLUMN(M237)-$A$5,0)*VLOOKUP($A237,'Dados StatusInvest'!$A:$AZ,2,0)/$F237/100),0)</f>
        <v>0</v>
      </c>
      <c r="N237" s="53">
        <f>IFERROR((VLOOKUP($A237,'Dados StatusInvest'!$A:$AZ,COLUMN(N237)-$A$5,0)/VLOOKUP($A237,'Dados StatusInvest'!$A:$AZ,2,0)*$F237),"")</f>
        <v>0</v>
      </c>
      <c r="O237" s="53">
        <f>IFERROR((VLOOKUP($A237,'Dados StatusInvest'!$A:$AZ,COLUMN(O237)-$A$5,0)/VLOOKUP($A237,'Dados StatusInvest'!$A:$AZ,2,0)*$F237),0)</f>
        <v>0</v>
      </c>
      <c r="P237" s="54">
        <f>IFERROR((VLOOKUP($A237,'Dados StatusInvest'!$A:$AZ,COLUMN(P237)-$A$5,0)/VLOOKUP($A237,'Dados StatusInvest'!$A:$AZ,2,0)*$F237),0)</f>
        <v>0</v>
      </c>
      <c r="Q237" s="55">
        <f>IFERROR((VLOOKUP($A237,'Dados StatusInvest'!$A:$AZ,COLUMN(Q237)-$A$5,0)/100),0)</f>
        <v>0.0338</v>
      </c>
      <c r="R237" s="56">
        <f>VLOOKUP($A237,'Dados StatusInvest'!$A:$AZ,COLUMN(R237)-$A$5,0)</f>
        <v>1.59</v>
      </c>
      <c r="S237" s="56">
        <f>IFERROR((VLOOKUP($A237,'Dados StatusInvest'!$A:$AZ,COLUMN(S237)-$A$5,0)),0)</f>
        <v>0.11</v>
      </c>
      <c r="T237" s="53">
        <f>IFERROR((VLOOKUP($A237,'Dados StatusInvest'!$A:$AZ,COLUMN(T237)-$A$5,0)/VLOOKUP($A237,'Dados StatusInvest'!$A:$AZ,2,0)*$F237),0)</f>
        <v>0</v>
      </c>
      <c r="U237" s="53">
        <f>IFERROR((VLOOKUP($A237,'Dados StatusInvest'!$A:$AZ,COLUMN(U237)-$A$5,0)-VLOOKUP($A237,'Dados StatusInvest'!$A:$AZ,COLUMN(U237)-$A$5-1,0)+T237),0)</f>
        <v>0.46</v>
      </c>
      <c r="V237" s="56">
        <f>IFERROR((VLOOKUP($A237,'Dados StatusInvest'!$A:$AZ,COLUMN(V237)-$A$5,0)),0)</f>
        <v>0.63</v>
      </c>
      <c r="W237" s="56">
        <f>IFERROR((VLOOKUP($A237,'Dados StatusInvest'!$A:$AZ,COLUMN(W237)-$A$5,0)),0)</f>
        <v>15.42</v>
      </c>
      <c r="X237" s="53">
        <f>IFERROR((VLOOKUP($A237,'Dados StatusInvest'!$A:$AZ,COLUMN(X237)-$A$5,0)/VLOOKUP($A237,'Dados StatusInvest'!$A:$AZ,2,0)*$F237),0)</f>
        <v>0</v>
      </c>
      <c r="Y237" s="54">
        <f>IFERROR((VLOOKUP($A237,'Dados StatusInvest'!$A:$AZ,COLUMN(Y237)-$A$5,0)/VLOOKUP($A237,'Dados StatusInvest'!$A:$AZ,2,0)*$F237),0)</f>
        <v>0</v>
      </c>
      <c r="Z237" s="56">
        <f>IFERROR((VLOOKUP($A237,'Dados StatusInvest'!$A:$AZ,COLUMN(Z237)-$A$5,0)),0)</f>
        <v>0.19</v>
      </c>
      <c r="AA237" s="57">
        <f>IFERROR((VLOOKUP($A237,'Dados StatusInvest'!$A:$AZ,COLUMN(AA237)-$A$5,0)),0)</f>
        <v>0.81</v>
      </c>
      <c r="AB237" s="57">
        <f>IFERROR((VLOOKUP($A237,'Dados StatusInvest'!$A:$AZ,COLUMN(AB237)-$A$5,0)),0)</f>
        <v>0.7</v>
      </c>
      <c r="AC237" s="58">
        <f>IFERROR((VLOOKUP($A237,'Dados StatusInvest'!$A:$AZ,COLUMN(AC237)-$A$5,0)),0)</f>
        <v>6.92</v>
      </c>
      <c r="AD237" s="57">
        <f>IFERROR((VLOOKUP($A237,'Dados StatusInvest'!$A:$AZ,COLUMN(AD237)-$A$5,0)),0)</f>
        <v>3.85</v>
      </c>
      <c r="AE237" s="56">
        <f>IFERROR((VLOOKUP($A237,'Dados StatusInvest'!$A:$AZ,COLUMN(AE237)-$A$5,0)),0)</f>
        <v>0</v>
      </c>
      <c r="AF237" s="56">
        <f>IFERROR((VLOOKUP($A237,'Dados StatusInvest'!$A:$AZ,COLUMN(AF237)-$A$5,0)),0)</f>
        <v>20.35</v>
      </c>
      <c r="AG237" s="56">
        <f>IFERROR((VLOOKUP($A237,'Dados StatusInvest'!$A:$AZ,COLUMN(AG237)-$A$5,0)),0)</f>
        <v>3.14</v>
      </c>
      <c r="AH237" s="56">
        <f>IFERROR((VLOOKUP($A237,'Dados StatusInvest'!$A:$AZ,COLUMN(AH237)-$A$5,0)),0)</f>
        <v>-0.44</v>
      </c>
      <c r="AI237" s="57">
        <f>IFERROR((VLOOKUP($A237,'Dados StatusInvest'!$A:$AZ,COLUMN(AI237)-$A$5,0)),0)</f>
        <v>2485315361</v>
      </c>
      <c r="AJ237" s="59" t="str">
        <f>IFERROR((VLOOKUP($A237,'Dados StatusInvest'!$A:$AZ,COLUMN(AJ237)-$A$5,0)),0)</f>
        <v/>
      </c>
      <c r="AK237" s="60" t="str">
        <f>IFERROR(__xludf.DUMMYFUNCTION("IFERROR(GOOGLEFINANCE($A237,""high""),"""")"),"")</f>
        <v/>
      </c>
      <c r="AL237" s="60" t="str">
        <f>IFERROR(__xludf.DUMMYFUNCTION("IFERROR(GOOGLEFINANCE($A237,""low""),"""")"),"")</f>
        <v/>
      </c>
      <c r="AM237" s="61">
        <f t="shared" si="2"/>
        <v>0</v>
      </c>
      <c r="AN237" s="62">
        <f>IFERROR(__xludf.DUMMYFUNCTION("IFERROR((GOOGLEFINANCE($A237,""volume"")),0)"),0.0)</f>
        <v>0</v>
      </c>
      <c r="AO237" s="60" t="str">
        <f>IFERROR(__xludf.DUMMYFUNCTION("IFERROR((GOOGLEFINANCE($A237,""closeyest"")),"""")"),"")</f>
        <v/>
      </c>
      <c r="AP237" s="60" t="str">
        <f>IFERROR(__xludf.DUMMYFUNCTION("IFERROR((GOOGLEFINANCE($A237,""shares"")),"""")"),"")</f>
        <v/>
      </c>
      <c r="AQ237" s="18"/>
    </row>
    <row r="238">
      <c r="A238" s="45" t="str">
        <f>'Dados StatusInvest'!A233:A852</f>
        <v>EMAE3</v>
      </c>
      <c r="B238" s="46" t="str">
        <f>IFERROR(__xludf.DUMMYFUNCTION("IFERROR((GOOGLEFINANCE(A238,""name"")),"""")"),"EMAE Empresa Metropltn de Agus e Enrg SA")</f>
        <v>EMAE Empresa Metropltn de Agus e Enrg SA</v>
      </c>
      <c r="C238" s="46" t="str">
        <f>IFERROR((VLOOKUP(LEFT($A238,4),Setor!$A:$E,3,0)),"")</f>
        <v>Utilidade Pública</v>
      </c>
      <c r="D238" s="46" t="str">
        <f>IFERROR((VLOOKUP(LEFT($A238,4),Setor!$A:$E,4,0)),"")</f>
        <v>Energia Elétrica</v>
      </c>
      <c r="E238" s="46" t="str">
        <f>IFERROR((VLOOKUP(LEFT($A238,4),Setor!$A:$E,5,0)),"")</f>
        <v>Energia Elétrica</v>
      </c>
      <c r="F238" s="47">
        <f>IFERROR(__xludf.DUMMYFUNCTION("IFERROR((GOOGLEFINANCE(A238)),"""")"),150.0)</f>
        <v>150</v>
      </c>
      <c r="G238" s="48" t="str">
        <f>IFERROR(__xludf.DUMMYFUNCTION("IFERROR((sparkline(GOOGLEFINANCE($A238,""price"",TODAY()-30,TODAY(),""DAILY""),{""charttype"",""line"";""linewidth"",1;""color"",""#5f88cc""})),"""")"),"")</f>
        <v/>
      </c>
      <c r="H238" s="49" t="str">
        <f>IFERROR(__xludf.DUMMYFUNCTION("IFERROR((((GOOGLEFINANCE(A238))-(INDEX(GoogleFinance(A238,""PRICE"",$AQ$1),2,2)))/(INDEX(GoogleFinance(A238,""PRICE"",$AQ$1),2,2))),"""")"),"")</f>
        <v/>
      </c>
      <c r="I238" s="47">
        <f>IFERROR(__xludf.DUMMYFUNCTION("IFERROR((GOOGLEFINANCE($A238,""high52"")),"""")"),150.02)</f>
        <v>150.02</v>
      </c>
      <c r="J238" s="48" t="str">
        <f>IFERROR(__xludf.DUMMYFUNCTION("IFERROR((sparkline(GOOGLEFINANCE($A238,""price"",TODAY()-365,TODAY(),""DAILY""),{""charttype"",""line"";""linewidth"",1;""color"",""#5f88cc""})),"""")"),"")</f>
        <v/>
      </c>
      <c r="K238" s="50" t="str">
        <f>IFERROR(__xludf.DUMMYFUNCTION("IFERROR((((GOOGLEFINANCE(A238))-(INDEX(GoogleFinance(A238,""PRICE"",$AP$1),2,2)))/(INDEX(GoogleFinance(A238,""PRICE"",$AP$1),2,2))),"""")"),"")</f>
        <v/>
      </c>
      <c r="L238" s="51">
        <f t="shared" si="1"/>
        <v>-0.0001333155579</v>
      </c>
      <c r="M238" s="52">
        <f>IFERROR((VLOOKUP($A238,'Dados StatusInvest'!$A:$AZ,COLUMN(M238)-$A$5,0)*VLOOKUP($A238,'Dados StatusInvest'!$A:$AZ,2,0)/$F238/100),0)</f>
        <v>0.4476</v>
      </c>
      <c r="N238" s="53">
        <f>IFERROR((VLOOKUP($A238,'Dados StatusInvest'!$A:$AZ,COLUMN(N238)-$A$5,0)/VLOOKUP($A238,'Dados StatusInvest'!$A:$AZ,2,0)*$F238),"")</f>
        <v>51.01</v>
      </c>
      <c r="O238" s="53">
        <f>IFERROR((VLOOKUP($A238,'Dados StatusInvest'!$A:$AZ,COLUMN(O238)-$A$5,0)/VLOOKUP($A238,'Dados StatusInvest'!$A:$AZ,2,0)*$F238),0)</f>
        <v>19.95</v>
      </c>
      <c r="P238" s="54">
        <f>IFERROR((VLOOKUP($A238,'Dados StatusInvest'!$A:$AZ,COLUMN(P238)-$A$5,0)/VLOOKUP($A238,'Dados StatusInvest'!$A:$AZ,2,0)*$F238),0)</f>
        <v>9.9</v>
      </c>
      <c r="Q238" s="55">
        <f>IFERROR((VLOOKUP($A238,'Dados StatusInvest'!$A:$AZ,COLUMN(Q238)-$A$5,0)/100),0)</f>
        <v>-0.0178</v>
      </c>
      <c r="R238" s="56">
        <f>VLOOKUP($A238,'Dados StatusInvest'!$A:$AZ,COLUMN(R238)-$A$5,0)</f>
        <v>-0.32</v>
      </c>
      <c r="S238" s="56">
        <f>IFERROR((VLOOKUP($A238,'Dados StatusInvest'!$A:$AZ,COLUMN(S238)-$A$5,0)),0)</f>
        <v>8.93</v>
      </c>
      <c r="T238" s="53">
        <f>IFERROR((VLOOKUP($A238,'Dados StatusInvest'!$A:$AZ,COLUMN(T238)-$A$5,0)/VLOOKUP($A238,'Dados StatusInvest'!$A:$AZ,2,0)*$F238),0)</f>
        <v>7.27</v>
      </c>
      <c r="U238" s="53">
        <f>IFERROR((VLOOKUP($A238,'Dados StatusInvest'!$A:$AZ,COLUMN(U238)-$A$5,0)-VLOOKUP($A238,'Dados StatusInvest'!$A:$AZ,COLUMN(U238)-$A$5-1,0)+T238),0)</f>
        <v>-3.53</v>
      </c>
      <c r="V238" s="56">
        <f>IFERROR((VLOOKUP($A238,'Dados StatusInvest'!$A:$AZ,COLUMN(V238)-$A$5,0)),0)</f>
        <v>7.69</v>
      </c>
      <c r="W238" s="56">
        <f>IFERROR((VLOOKUP($A238,'Dados StatusInvest'!$A:$AZ,COLUMN(W238)-$A$5,0)),0)</f>
        <v>20.41</v>
      </c>
      <c r="X238" s="53">
        <f>IFERROR((VLOOKUP($A238,'Dados StatusInvest'!$A:$AZ,COLUMN(X238)-$A$5,0)/VLOOKUP($A238,'Dados StatusInvest'!$A:$AZ,2,0)*$F238),0)</f>
        <v>12.95</v>
      </c>
      <c r="Y238" s="54">
        <f>IFERROR((VLOOKUP($A238,'Dados StatusInvest'!$A:$AZ,COLUMN(Y238)-$A$5,0)/VLOOKUP($A238,'Dados StatusInvest'!$A:$AZ,2,0)*$F238),0)</f>
        <v>13.06</v>
      </c>
      <c r="Z238" s="56">
        <f>IFERROR((VLOOKUP($A238,'Dados StatusInvest'!$A:$AZ,COLUMN(Z238)-$A$5,0)),0)</f>
        <v>0.63</v>
      </c>
      <c r="AA238" s="57">
        <f>IFERROR((VLOOKUP($A238,'Dados StatusInvest'!$A:$AZ,COLUMN(AA238)-$A$5,0)),0)</f>
        <v>0.37</v>
      </c>
      <c r="AB238" s="57">
        <f>IFERROR((VLOOKUP($A238,'Dados StatusInvest'!$A:$AZ,COLUMN(AB238)-$A$5,0)),0)</f>
        <v>0.25</v>
      </c>
      <c r="AC238" s="58">
        <f>IFERROR((VLOOKUP($A238,'Dados StatusInvest'!$A:$AZ,COLUMN(AC238)-$A$5,0)),0)</f>
        <v>7.2</v>
      </c>
      <c r="AD238" s="57">
        <f>IFERROR((VLOOKUP($A238,'Dados StatusInvest'!$A:$AZ,COLUMN(AD238)-$A$5,0)),0)</f>
        <v>27.86</v>
      </c>
      <c r="AE238" s="56">
        <f>IFERROR((VLOOKUP($A238,'Dados StatusInvest'!$A:$AZ,COLUMN(AE238)-$A$5,0)),0)</f>
        <v>0</v>
      </c>
      <c r="AF238" s="56">
        <f>IFERROR((VLOOKUP($A238,'Dados StatusInvest'!$A:$AZ,COLUMN(AF238)-$A$5,0)),0)</f>
        <v>41.96</v>
      </c>
      <c r="AG238" s="56">
        <f>IFERROR((VLOOKUP($A238,'Dados StatusInvest'!$A:$AZ,COLUMN(AG238)-$A$5,0)),0)</f>
        <v>8.57</v>
      </c>
      <c r="AH238" s="56">
        <f>IFERROR((VLOOKUP($A238,'Dados StatusInvest'!$A:$AZ,COLUMN(AH238)-$A$5,0)),0)</f>
        <v>0.15</v>
      </c>
      <c r="AI238" s="57">
        <f>IFERROR((VLOOKUP($A238,'Dados StatusInvest'!$A:$AZ,COLUMN(AI238)-$A$5,0)),0)</f>
        <v>3244712307</v>
      </c>
      <c r="AJ238" s="59" t="str">
        <f>IFERROR((VLOOKUP($A238,'Dados StatusInvest'!$A:$AZ,COLUMN(AJ238)-$A$5,0)),0)</f>
        <v/>
      </c>
      <c r="AK238" s="60" t="str">
        <f>IFERROR(__xludf.DUMMYFUNCTION("IFERROR(GOOGLEFINANCE($A238,""high""),"""")"),"")</f>
        <v/>
      </c>
      <c r="AL238" s="60" t="str">
        <f>IFERROR(__xludf.DUMMYFUNCTION("IFERROR(GOOGLEFINANCE($A238,""low""),"""")"),"")</f>
        <v/>
      </c>
      <c r="AM238" s="61">
        <f t="shared" si="2"/>
        <v>0</v>
      </c>
      <c r="AN238" s="62">
        <f>IFERROR(__xludf.DUMMYFUNCTION("IFERROR((GOOGLEFINANCE($A238,""volume"")),0)"),0.0)</f>
        <v>0</v>
      </c>
      <c r="AO238" s="60">
        <f>IFERROR(__xludf.DUMMYFUNCTION("IFERROR((GOOGLEFINANCE($A238,""closeyest"")),"""")"),150.0)</f>
        <v>150</v>
      </c>
      <c r="AP238" s="60">
        <f>IFERROR(__xludf.DUMMYFUNCTION("IFERROR((GOOGLEFINANCE($A238,""shares"")),"""")"),1.470535E7)</f>
        <v>14705350</v>
      </c>
      <c r="AQ238" s="18"/>
    </row>
    <row r="239">
      <c r="A239" s="45" t="str">
        <f>'Dados StatusInvest'!A234:A853</f>
        <v>EMAE4</v>
      </c>
      <c r="B239" s="46" t="str">
        <f>IFERROR(__xludf.DUMMYFUNCTION("IFERROR((GOOGLEFINANCE(A239,""name"")),"""")"),"EMAE Empresa Metropltn de Agus e Enrg SA Preference Shares")</f>
        <v>EMAE Empresa Metropltn de Agus e Enrg SA Preference Shares</v>
      </c>
      <c r="C239" s="46" t="str">
        <f>IFERROR((VLOOKUP(LEFT($A239,4),Setor!$A:$E,3,0)),"")</f>
        <v>Utilidade Pública</v>
      </c>
      <c r="D239" s="46" t="str">
        <f>IFERROR((VLOOKUP(LEFT($A239,4),Setor!$A:$E,4,0)),"")</f>
        <v>Energia Elétrica</v>
      </c>
      <c r="E239" s="46" t="str">
        <f>IFERROR((VLOOKUP(LEFT($A239,4),Setor!$A:$E,5,0)),"")</f>
        <v>Energia Elétrica</v>
      </c>
      <c r="F239" s="47">
        <f>IFERROR(__xludf.DUMMYFUNCTION("IFERROR((GOOGLEFINANCE(A239)),"""")"),47.24)</f>
        <v>47.24</v>
      </c>
      <c r="G239" s="48" t="str">
        <f>IFERROR(__xludf.DUMMYFUNCTION("IFERROR((sparkline(GOOGLEFINANCE($A239,""price"",TODAY()-30,TODAY(),""DAILY""),{""charttype"",""line"";""linewidth"",1;""color"",""#5f88cc""})),"""")"),"")</f>
        <v/>
      </c>
      <c r="H239" s="49">
        <f>IFERROR(__xludf.DUMMYFUNCTION("IFERROR((((GOOGLEFINANCE(A239))-(INDEX(GoogleFinance(A239,""PRICE"",$AQ$1),2,2)))/(INDEX(GoogleFinance(A239,""PRICE"",$AQ$1),2,2))),"""")"),-0.005473684210526274)</f>
        <v>-0.005473684211</v>
      </c>
      <c r="I239" s="47">
        <f>IFERROR(__xludf.DUMMYFUNCTION("IFERROR((GOOGLEFINANCE($A239,""high52"")),"""")"),50.06)</f>
        <v>50.06</v>
      </c>
      <c r="J239" s="48" t="str">
        <f>IFERROR(__xludf.DUMMYFUNCTION("IFERROR((sparkline(GOOGLEFINANCE($A239,""price"",TODAY()-365,TODAY(),""DAILY""),{""charttype"",""line"";""linewidth"",1;""color"",""#5f88cc""})),"""")"),"")</f>
        <v/>
      </c>
      <c r="K239" s="50">
        <f>IFERROR(__xludf.DUMMYFUNCTION("IFERROR((((GOOGLEFINANCE(A239))-(INDEX(GoogleFinance(A239,""PRICE"",$AP$1),2,2)))/(INDEX(GoogleFinance(A239,""PRICE"",$AP$1),2,2))),"""")"),-0.9764271457085828)</f>
        <v>-0.9764271457</v>
      </c>
      <c r="L239" s="51">
        <f t="shared" si="1"/>
        <v>-0.05633240112</v>
      </c>
      <c r="M239" s="52">
        <f>IFERROR((VLOOKUP($A239,'Dados StatusInvest'!$A:$AZ,COLUMN(M239)-$A$5,0)*VLOOKUP($A239,'Dados StatusInvest'!$A:$AZ,2,0)/$F239/100),0)</f>
        <v>0.4425782388</v>
      </c>
      <c r="N239" s="53">
        <f>IFERROR((VLOOKUP($A239,'Dados StatusInvest'!$A:$AZ,COLUMN(N239)-$A$5,0)/VLOOKUP($A239,'Dados StatusInvest'!$A:$AZ,2,0)*$F239),"")</f>
        <v>51.58879041</v>
      </c>
      <c r="O239" s="53">
        <f>IFERROR((VLOOKUP($A239,'Dados StatusInvest'!$A:$AZ,COLUMN(O239)-$A$5,0)/VLOOKUP($A239,'Dados StatusInvest'!$A:$AZ,2,0)*$F239),0)</f>
        <v>6.280462428</v>
      </c>
      <c r="P239" s="54">
        <f>IFERROR((VLOOKUP($A239,'Dados StatusInvest'!$A:$AZ,COLUMN(P239)-$A$5,0)/VLOOKUP($A239,'Dados StatusInvest'!$A:$AZ,2,0)*$F239),0)</f>
        <v>10.01233141</v>
      </c>
      <c r="Q239" s="55">
        <f>IFERROR((VLOOKUP($A239,'Dados StatusInvest'!$A:$AZ,COLUMN(Q239)-$A$5,0)/100),0)</f>
        <v>-0.0178</v>
      </c>
      <c r="R239" s="56">
        <f>VLOOKUP($A239,'Dados StatusInvest'!$A:$AZ,COLUMN(R239)-$A$5,0)</f>
        <v>-0.32</v>
      </c>
      <c r="S239" s="56">
        <f>IFERROR((VLOOKUP($A239,'Dados StatusInvest'!$A:$AZ,COLUMN(S239)-$A$5,0)),0)</f>
        <v>2.78</v>
      </c>
      <c r="T239" s="53">
        <f>IFERROR((VLOOKUP($A239,'Dados StatusInvest'!$A:$AZ,COLUMN(T239)-$A$5,0)/VLOOKUP($A239,'Dados StatusInvest'!$A:$AZ,2,0)*$F239),0)</f>
        <v>2.285643331</v>
      </c>
      <c r="U239" s="53">
        <f>IFERROR((VLOOKUP($A239,'Dados StatusInvest'!$A:$AZ,COLUMN(U239)-$A$5,0)-VLOOKUP($A239,'Dados StatusInvest'!$A:$AZ,COLUMN(U239)-$A$5-1,0)+T239),0)</f>
        <v>-1.074356669</v>
      </c>
      <c r="V239" s="56">
        <f>IFERROR((VLOOKUP($A239,'Dados StatusInvest'!$A:$AZ,COLUMN(V239)-$A$5,0)),0)</f>
        <v>7.69</v>
      </c>
      <c r="W239" s="56">
        <f>IFERROR((VLOOKUP($A239,'Dados StatusInvest'!$A:$AZ,COLUMN(W239)-$A$5,0)),0)</f>
        <v>20.41</v>
      </c>
      <c r="X239" s="53">
        <f>IFERROR((VLOOKUP($A239,'Dados StatusInvest'!$A:$AZ,COLUMN(X239)-$A$5,0)/VLOOKUP($A239,'Dados StatusInvest'!$A:$AZ,2,0)*$F239),0)</f>
        <v>13.09693856</v>
      </c>
      <c r="Y239" s="54">
        <f>IFERROR((VLOOKUP($A239,'Dados StatusInvest'!$A:$AZ,COLUMN(Y239)-$A$5,0)/VLOOKUP($A239,'Dados StatusInvest'!$A:$AZ,2,0)*$F239),0)</f>
        <v>13.20818668</v>
      </c>
      <c r="Z239" s="56">
        <f>IFERROR((VLOOKUP($A239,'Dados StatusInvest'!$A:$AZ,COLUMN(Z239)-$A$5,0)),0)</f>
        <v>0.63</v>
      </c>
      <c r="AA239" s="57">
        <f>IFERROR((VLOOKUP($A239,'Dados StatusInvest'!$A:$AZ,COLUMN(AA239)-$A$5,0)),0)</f>
        <v>0.37</v>
      </c>
      <c r="AB239" s="57">
        <f>IFERROR((VLOOKUP($A239,'Dados StatusInvest'!$A:$AZ,COLUMN(AB239)-$A$5,0)),0)</f>
        <v>0.25</v>
      </c>
      <c r="AC239" s="58">
        <f>IFERROR((VLOOKUP($A239,'Dados StatusInvest'!$A:$AZ,COLUMN(AC239)-$A$5,0)),0)</f>
        <v>7.2</v>
      </c>
      <c r="AD239" s="57">
        <f>IFERROR((VLOOKUP($A239,'Dados StatusInvest'!$A:$AZ,COLUMN(AD239)-$A$5,0)),0)</f>
        <v>27.86</v>
      </c>
      <c r="AE239" s="56">
        <f>IFERROR((VLOOKUP($A239,'Dados StatusInvest'!$A:$AZ,COLUMN(AE239)-$A$5,0)),0)</f>
        <v>202643.9</v>
      </c>
      <c r="AF239" s="56">
        <f>IFERROR((VLOOKUP($A239,'Dados StatusInvest'!$A:$AZ,COLUMN(AF239)-$A$5,0)),0)</f>
        <v>41.96</v>
      </c>
      <c r="AG239" s="56">
        <f>IFERROR((VLOOKUP($A239,'Dados StatusInvest'!$A:$AZ,COLUMN(AG239)-$A$5,0)),0)</f>
        <v>8.57</v>
      </c>
      <c r="AH239" s="56">
        <f>IFERROR((VLOOKUP($A239,'Dados StatusInvest'!$A:$AZ,COLUMN(AH239)-$A$5,0)),0)</f>
        <v>0.05</v>
      </c>
      <c r="AI239" s="57">
        <f>IFERROR((VLOOKUP($A239,'Dados StatusInvest'!$A:$AZ,COLUMN(AI239)-$A$5,0)),0)</f>
        <v>3244712307</v>
      </c>
      <c r="AJ239" s="59" t="str">
        <f>IFERROR((VLOOKUP($A239,'Dados StatusInvest'!$A:$AZ,COLUMN(AJ239)-$A$5,0)),0)</f>
        <v/>
      </c>
      <c r="AK239" s="60">
        <f>IFERROR(__xludf.DUMMYFUNCTION("IFERROR(GOOGLEFINANCE($A239,""high""),"""")"),47.5)</f>
        <v>47.5</v>
      </c>
      <c r="AL239" s="60">
        <f>IFERROR(__xludf.DUMMYFUNCTION("IFERROR(GOOGLEFINANCE($A239,""low""),"""")"),47.2)</f>
        <v>47.2</v>
      </c>
      <c r="AM239" s="61">
        <f t="shared" si="2"/>
        <v>0.006355932203</v>
      </c>
      <c r="AN239" s="62">
        <f>IFERROR(__xludf.DUMMYFUNCTION("IFERROR((GOOGLEFINANCE($A239,""volume"")),0)"),400.0)</f>
        <v>400</v>
      </c>
      <c r="AO239" s="60">
        <f>IFERROR(__xludf.DUMMYFUNCTION("IFERROR((GOOGLEFINANCE($A239,""closeyest"")),"""")"),46.71)</f>
        <v>46.71</v>
      </c>
      <c r="AP239" s="60">
        <f>IFERROR(__xludf.DUMMYFUNCTION("IFERROR((GOOGLEFINANCE($A239,""shares"")),"""")"),2.22417E7)</f>
        <v>22241700</v>
      </c>
      <c r="AQ239" s="18"/>
    </row>
    <row r="240">
      <c r="A240" s="45" t="str">
        <f>'Dados StatusInvest'!A235:A854</f>
        <v>EMBJ3</v>
      </c>
      <c r="B240" s="46" t="str">
        <f>IFERROR(__xludf.DUMMYFUNCTION("IFERROR((GOOGLEFINANCE(A240,""name"")),"""")"),"Embraer SA")</f>
        <v>Embraer SA</v>
      </c>
      <c r="C240" s="46" t="str">
        <f>IFERROR((VLOOKUP(LEFT($A240,4),Setor!$A:$E,3,0)),"")</f>
        <v/>
      </c>
      <c r="D240" s="46" t="str">
        <f>IFERROR((VLOOKUP(LEFT($A240,4),Setor!$A:$E,4,0)),"")</f>
        <v/>
      </c>
      <c r="E240" s="46" t="str">
        <f>IFERROR((VLOOKUP(LEFT($A240,4),Setor!$A:$E,5,0)),"")</f>
        <v/>
      </c>
      <c r="F240" s="47">
        <f>IFERROR(__xludf.DUMMYFUNCTION("IFERROR((GOOGLEFINANCE(A240)),"""")"),93.9)</f>
        <v>93.9</v>
      </c>
      <c r="G240" s="48" t="str">
        <f>IFERROR(__xludf.DUMMYFUNCTION("IFERROR((sparkline(GOOGLEFINANCE($A240,""price"",TODAY()-30,TODAY(),""DAILY""),{""charttype"",""line"";""linewidth"",1;""color"",""#5f88cc""})),"""")"),"")</f>
        <v/>
      </c>
      <c r="H240" s="49">
        <f>IFERROR(__xludf.DUMMYFUNCTION("IFERROR((((GOOGLEFINANCE(A240))-(INDEX(GoogleFinance(A240,""PRICE"",$AQ$1),2,2)))/(INDEX(GoogleFinance(A240,""PRICE"",$AQ$1),2,2))),"""")"),-0.05808004814926264)</f>
        <v>-0.05808004815</v>
      </c>
      <c r="I240" s="47">
        <f>IFERROR(__xludf.DUMMYFUNCTION("IFERROR((GOOGLEFINANCE($A240,""high52"")),"""")"),105.5)</f>
        <v>105.5</v>
      </c>
      <c r="J240" s="48" t="str">
        <f>IFERROR(__xludf.DUMMYFUNCTION("IFERROR((sparkline(GOOGLEFINANCE($A240,""price"",TODAY()-365,TODAY(),""DAILY""),{""charttype"",""line"";""linewidth"",1;""color"",""#5f88cc""})),"""")"),"")</f>
        <v/>
      </c>
      <c r="K240" s="50">
        <f>IFERROR(__xludf.DUMMYFUNCTION("IFERROR((((GOOGLEFINANCE(A240))-(INDEX(GoogleFinance(A240,""PRICE"",$AP$1),2,2)))/(INDEX(GoogleFinance(A240,""PRICE"",$AP$1),2,2))),"""")"),0.5335619794218522)</f>
        <v>0.5335619794</v>
      </c>
      <c r="L240" s="51">
        <f t="shared" si="1"/>
        <v>-0.1099526066</v>
      </c>
      <c r="M240" s="52">
        <f>IFERROR((VLOOKUP($A240,'Dados StatusInvest'!$A:$AZ,COLUMN(M240)-$A$5,0)*VLOOKUP($A240,'Dados StatusInvest'!$A:$AZ,2,0)/$F240/100),0)</f>
        <v>0.09069968051</v>
      </c>
      <c r="N240" s="53">
        <f>IFERROR((VLOOKUP($A240,'Dados StatusInvest'!$A:$AZ,COLUMN(N240)-$A$5,0)/VLOOKUP($A240,'Dados StatusInvest'!$A:$AZ,2,0)*$F240),"")</f>
        <v>4.256905844</v>
      </c>
      <c r="O240" s="53">
        <f>IFERROR((VLOOKUP($A240,'Dados StatusInvest'!$A:$AZ,COLUMN(O240)-$A$5,0)/VLOOKUP($A240,'Dados StatusInvest'!$A:$AZ,2,0)*$F240),0)</f>
        <v>18.71450914</v>
      </c>
      <c r="P240" s="54">
        <f>IFERROR((VLOOKUP($A240,'Dados StatusInvest'!$A:$AZ,COLUMN(P240)-$A$5,0)/VLOOKUP($A240,'Dados StatusInvest'!$A:$AZ,2,0)*$F240),0)</f>
        <v>19.44880059</v>
      </c>
      <c r="Q240" s="55">
        <f>IFERROR((VLOOKUP($A240,'Dados StatusInvest'!$A:$AZ,COLUMN(Q240)-$A$5,0)/100),0)</f>
        <v>0.0074</v>
      </c>
      <c r="R240" s="56">
        <f>VLOOKUP($A240,'Dados StatusInvest'!$A:$AZ,COLUMN(R240)-$A$5,0)</f>
        <v>0.14</v>
      </c>
      <c r="S240" s="56">
        <f>IFERROR((VLOOKUP($A240,'Dados StatusInvest'!$A:$AZ,COLUMN(S240)-$A$5,0)),0)</f>
        <v>1.7</v>
      </c>
      <c r="T240" s="53">
        <f>IFERROR((VLOOKUP($A240,'Dados StatusInvest'!$A:$AZ,COLUMN(T240)-$A$5,0)/VLOOKUP($A240,'Dados StatusInvest'!$A:$AZ,2,0)*$F240),0)</f>
        <v>6.301014477</v>
      </c>
      <c r="U240" s="53">
        <f>IFERROR((VLOOKUP($A240,'Dados StatusInvest'!$A:$AZ,COLUMN(U240)-$A$5,0)-VLOOKUP($A240,'Dados StatusInvest'!$A:$AZ,COLUMN(U240)-$A$5-1,0)+T240),0)</f>
        <v>-2.358985523</v>
      </c>
      <c r="V240" s="56">
        <f>IFERROR((VLOOKUP($A240,'Dados StatusInvest'!$A:$AZ,COLUMN(V240)-$A$5,0)),0)</f>
        <v>1.43</v>
      </c>
      <c r="W240" s="56">
        <f>IFERROR((VLOOKUP($A240,'Dados StatusInvest'!$A:$AZ,COLUMN(W240)-$A$5,0)),0)</f>
        <v>9.28</v>
      </c>
      <c r="X240" s="53">
        <f>IFERROR((VLOOKUP($A240,'Dados StatusInvest'!$A:$AZ,COLUMN(X240)-$A$5,0)/VLOOKUP($A240,'Dados StatusInvest'!$A:$AZ,2,0)*$F240),0)</f>
        <v>2.629557223</v>
      </c>
      <c r="Y240" s="54">
        <f>IFERROR((VLOOKUP($A240,'Dados StatusInvest'!$A:$AZ,COLUMN(Y240)-$A$5,0)/VLOOKUP($A240,'Dados StatusInvest'!$A:$AZ,2,0)*$F240),0)</f>
        <v>7.323068794</v>
      </c>
      <c r="Z240" s="56">
        <f>IFERROR((VLOOKUP($A240,'Dados StatusInvest'!$A:$AZ,COLUMN(Z240)-$A$5,0)),0)</f>
        <v>0.29</v>
      </c>
      <c r="AA240" s="57">
        <f>IFERROR((VLOOKUP($A240,'Dados StatusInvest'!$A:$AZ,COLUMN(AA240)-$A$5,0)),0)</f>
        <v>0.69</v>
      </c>
      <c r="AB240" s="57">
        <f>IFERROR((VLOOKUP($A240,'Dados StatusInvest'!$A:$AZ,COLUMN(AB240)-$A$5,0)),0)</f>
        <v>0.62</v>
      </c>
      <c r="AC240" s="58">
        <f>IFERROR((VLOOKUP($A240,'Dados StatusInvest'!$A:$AZ,COLUMN(AC240)-$A$5,0)),0)</f>
        <v>27.61</v>
      </c>
      <c r="AD240" s="57">
        <f>IFERROR((VLOOKUP($A240,'Dados StatusInvest'!$A:$AZ,COLUMN(AD240)-$A$5,0)),0)</f>
        <v>0</v>
      </c>
      <c r="AE240" s="56">
        <f>IFERROR((VLOOKUP($A240,'Dados StatusInvest'!$A:$AZ,COLUMN(AE240)-$A$5,0)),0)</f>
        <v>396000000</v>
      </c>
      <c r="AF240" s="56">
        <f>IFERROR((VLOOKUP($A240,'Dados StatusInvest'!$A:$AZ,COLUMN(AF240)-$A$5,0)),0)</f>
        <v>25.75</v>
      </c>
      <c r="AG240" s="56">
        <f>IFERROR((VLOOKUP($A240,'Dados StatusInvest'!$A:$AZ,COLUMN(AG240)-$A$5,0)),0)</f>
        <v>2.39</v>
      </c>
      <c r="AH240" s="56">
        <f>IFERROR((VLOOKUP($A240,'Dados StatusInvest'!$A:$AZ,COLUMN(AH240)-$A$5,0)),0)</f>
        <v>-1.24</v>
      </c>
      <c r="AI240" s="57">
        <f>IFERROR((VLOOKUP($A240,'Dados StatusInvest'!$A:$AZ,COLUMN(AI240)-$A$5,0)),0)</f>
        <v>70070207114</v>
      </c>
      <c r="AJ240" s="59" t="str">
        <f>IFERROR((VLOOKUP($A240,'Dados StatusInvest'!$A:$AZ,COLUMN(AJ240)-$A$5,0)),0)</f>
        <v/>
      </c>
      <c r="AK240" s="60">
        <f>IFERROR(__xludf.DUMMYFUNCTION("IFERROR(GOOGLEFINANCE($A240,""high""),"""")"),95.1)</f>
        <v>95.1</v>
      </c>
      <c r="AL240" s="60">
        <f>IFERROR(__xludf.DUMMYFUNCTION("IFERROR(GOOGLEFINANCE($A240,""low""),"""")"),93.85)</f>
        <v>93.85</v>
      </c>
      <c r="AM240" s="61">
        <f t="shared" si="2"/>
        <v>0.01331912627</v>
      </c>
      <c r="AN240" s="62">
        <f>IFERROR(__xludf.DUMMYFUNCTION("IFERROR((GOOGLEFINANCE($A240,""volume"")),0)"),274400.0)</f>
        <v>274400</v>
      </c>
      <c r="AO240" s="60">
        <f>IFERROR(__xludf.DUMMYFUNCTION("IFERROR((GOOGLEFINANCE($A240,""closeyest"")),"""")"),94.63)</f>
        <v>94.63</v>
      </c>
      <c r="AP240" s="60">
        <f>IFERROR(__xludf.DUMMYFUNCTION("IFERROR((GOOGLEFINANCE($A240,""shares"")),"""")"),7.40465044E8)</f>
        <v>740465044</v>
      </c>
      <c r="AQ240" s="18"/>
    </row>
    <row r="241">
      <c r="A241" s="45" t="str">
        <f>'Dados StatusInvest'!A236:A855</f>
        <v>ENAT3</v>
      </c>
      <c r="B241" s="46" t="str">
        <f>IFERROR(__xludf.DUMMYFUNCTION("IFERROR((GOOGLEFINANCE(A241,""name"")),"""")"),"")</f>
        <v/>
      </c>
      <c r="C241" s="46" t="str">
        <f>IFERROR((VLOOKUP(LEFT($A241,4),Setor!$A:$E,3,0)),"")</f>
        <v>Petróleo, Gás e Biocombustíveis</v>
      </c>
      <c r="D241" s="46" t="str">
        <f>IFERROR((VLOOKUP(LEFT($A241,4),Setor!$A:$E,4,0)),"")</f>
        <v>Petróleo, Gás e Biocombustíveis</v>
      </c>
      <c r="E241" s="46" t="str">
        <f>IFERROR((VLOOKUP(LEFT($A241,4),Setor!$A:$E,5,0)),"")</f>
        <v>Exploração, Refino e Distribuição</v>
      </c>
      <c r="F241" s="47" t="str">
        <f>IFERROR(__xludf.DUMMYFUNCTION("IFERROR((GOOGLEFINANCE(A241)),"""")"),"")</f>
        <v/>
      </c>
      <c r="G241" s="48" t="str">
        <f>IFERROR(__xludf.DUMMYFUNCTION("IFERROR((sparkline(GOOGLEFINANCE($A241,""price"",TODAY()-30,TODAY(),""DAILY""),{""charttype"",""line"";""linewidth"",1;""color"",""#5f88cc""})),"""")"),"")</f>
        <v/>
      </c>
      <c r="H241" s="49" t="str">
        <f>IFERROR(__xludf.DUMMYFUNCTION("IFERROR((((GOOGLEFINANCE(A241))-(INDEX(GoogleFinance(A241,""PRICE"",$AQ$1),2,2)))/(INDEX(GoogleFinance(A241,""PRICE"",$AQ$1),2,2))),"""")"),"")</f>
        <v/>
      </c>
      <c r="I241" s="47" t="str">
        <f>IFERROR(__xludf.DUMMYFUNCTION("IFERROR((GOOGLEFINANCE($A241,""high52"")),"""")"),"")</f>
        <v/>
      </c>
      <c r="J241" s="48" t="str">
        <f>IFERROR(__xludf.DUMMYFUNCTION("IFERROR((sparkline(GOOGLEFINANCE($A241,""price"",TODAY()-365,TODAY(),""DAILY""),{""charttype"",""line"";""linewidth"",1;""color"",""#5f88cc""})),"""")"),"")</f>
        <v/>
      </c>
      <c r="K241" s="50" t="str">
        <f>IFERROR(__xludf.DUMMYFUNCTION("IFERROR((((GOOGLEFINANCE(A241))-(INDEX(GoogleFinance(A241,""PRICE"",$AP$1),2,2)))/(INDEX(GoogleFinance(A241,""PRICE"",$AP$1),2,2))),"""")"),"")</f>
        <v/>
      </c>
      <c r="L241" s="51">
        <f t="shared" si="1"/>
        <v>0</v>
      </c>
      <c r="M241" s="52">
        <f>IFERROR((VLOOKUP($A241,'Dados StatusInvest'!$A:$AZ,COLUMN(M241)-$A$5,0)*VLOOKUP($A241,'Dados StatusInvest'!$A:$AZ,2,0)/$F241/100),0)</f>
        <v>0</v>
      </c>
      <c r="N241" s="53">
        <f>IFERROR((VLOOKUP($A241,'Dados StatusInvest'!$A:$AZ,COLUMN(N241)-$A$5,0)/VLOOKUP($A241,'Dados StatusInvest'!$A:$AZ,2,0)*$F241),"")</f>
        <v>0</v>
      </c>
      <c r="O241" s="53">
        <f>IFERROR((VLOOKUP($A241,'Dados StatusInvest'!$A:$AZ,COLUMN(O241)-$A$5,0)/VLOOKUP($A241,'Dados StatusInvest'!$A:$AZ,2,0)*$F241),0)</f>
        <v>0</v>
      </c>
      <c r="P241" s="54">
        <f>IFERROR((VLOOKUP($A241,'Dados StatusInvest'!$A:$AZ,COLUMN(P241)-$A$5,0)/VLOOKUP($A241,'Dados StatusInvest'!$A:$AZ,2,0)*$F241),0)</f>
        <v>0</v>
      </c>
      <c r="Q241" s="55">
        <f>IFERROR((VLOOKUP($A241,'Dados StatusInvest'!$A:$AZ,COLUMN(Q241)-$A$5,0)/100),0)</f>
        <v>0.0047</v>
      </c>
      <c r="R241" s="56">
        <f>VLOOKUP($A241,'Dados StatusInvest'!$A:$AZ,COLUMN(R241)-$A$5,0)</f>
        <v>0.13</v>
      </c>
      <c r="S241" s="56">
        <f>IFERROR((VLOOKUP($A241,'Dados StatusInvest'!$A:$AZ,COLUMN(S241)-$A$5,0)),0)</f>
        <v>2.61</v>
      </c>
      <c r="T241" s="53">
        <f>IFERROR((VLOOKUP($A241,'Dados StatusInvest'!$A:$AZ,COLUMN(T241)-$A$5,0)/VLOOKUP($A241,'Dados StatusInvest'!$A:$AZ,2,0)*$F241),0)</f>
        <v>0</v>
      </c>
      <c r="U241" s="53">
        <f>IFERROR((VLOOKUP($A241,'Dados StatusInvest'!$A:$AZ,COLUMN(U241)-$A$5,0)-VLOOKUP($A241,'Dados StatusInvest'!$A:$AZ,COLUMN(U241)-$A$5-1,0)+T241),0)</f>
        <v>-2.16</v>
      </c>
      <c r="V241" s="56">
        <f>IFERROR((VLOOKUP($A241,'Dados StatusInvest'!$A:$AZ,COLUMN(V241)-$A$5,0)),0)</f>
        <v>3.9</v>
      </c>
      <c r="W241" s="56">
        <f>IFERROR((VLOOKUP($A241,'Dados StatusInvest'!$A:$AZ,COLUMN(W241)-$A$5,0)),0)</f>
        <v>12.53</v>
      </c>
      <c r="X241" s="53">
        <f>IFERROR((VLOOKUP($A241,'Dados StatusInvest'!$A:$AZ,COLUMN(X241)-$A$5,0)/VLOOKUP($A241,'Dados StatusInvest'!$A:$AZ,2,0)*$F241),0)</f>
        <v>0</v>
      </c>
      <c r="Y241" s="54">
        <f>IFERROR((VLOOKUP($A241,'Dados StatusInvest'!$A:$AZ,COLUMN(Y241)-$A$5,0)/VLOOKUP($A241,'Dados StatusInvest'!$A:$AZ,2,0)*$F241),0)</f>
        <v>0</v>
      </c>
      <c r="Z241" s="56">
        <f>IFERROR((VLOOKUP($A241,'Dados StatusInvest'!$A:$AZ,COLUMN(Z241)-$A$5,0)),0)</f>
        <v>0.35</v>
      </c>
      <c r="AA241" s="57">
        <f>IFERROR((VLOOKUP($A241,'Dados StatusInvest'!$A:$AZ,COLUMN(AA241)-$A$5,0)),0)</f>
        <v>0.65</v>
      </c>
      <c r="AB241" s="57">
        <f>IFERROR((VLOOKUP($A241,'Dados StatusInvest'!$A:$AZ,COLUMN(AB241)-$A$5,0)),0)</f>
        <v>0.17</v>
      </c>
      <c r="AC241" s="58">
        <f>IFERROR((VLOOKUP($A241,'Dados StatusInvest'!$A:$AZ,COLUMN(AC241)-$A$5,0)),0)</f>
        <v>11.74</v>
      </c>
      <c r="AD241" s="57">
        <f>IFERROR((VLOOKUP($A241,'Dados StatusInvest'!$A:$AZ,COLUMN(AD241)-$A$5,0)),0)</f>
        <v>5.75</v>
      </c>
      <c r="AE241" s="56">
        <f>IFERROR((VLOOKUP($A241,'Dados StatusInvest'!$A:$AZ,COLUMN(AE241)-$A$5,0)),0)</f>
        <v>202000000</v>
      </c>
      <c r="AF241" s="56">
        <f>IFERROR((VLOOKUP($A241,'Dados StatusInvest'!$A:$AZ,COLUMN(AF241)-$A$5,0)),0)</f>
        <v>16.91</v>
      </c>
      <c r="AG241" s="56">
        <f>IFERROR((VLOOKUP($A241,'Dados StatusInvest'!$A:$AZ,COLUMN(AG241)-$A$5,0)),0)</f>
        <v>2.12</v>
      </c>
      <c r="AH241" s="56">
        <f>IFERROR((VLOOKUP($A241,'Dados StatusInvest'!$A:$AZ,COLUMN(AH241)-$A$5,0)),0)</f>
        <v>0.01</v>
      </c>
      <c r="AI241" s="57">
        <f>IFERROR((VLOOKUP($A241,'Dados StatusInvest'!$A:$AZ,COLUMN(AI241)-$A$5,0)),0)</f>
        <v>5785005265</v>
      </c>
      <c r="AJ241" s="59" t="str">
        <f>IFERROR((VLOOKUP($A241,'Dados StatusInvest'!$A:$AZ,COLUMN(AJ241)-$A$5,0)),0)</f>
        <v/>
      </c>
      <c r="AK241" s="60" t="str">
        <f>IFERROR(__xludf.DUMMYFUNCTION("IFERROR(GOOGLEFINANCE($A241,""high""),"""")"),"")</f>
        <v/>
      </c>
      <c r="AL241" s="60" t="str">
        <f>IFERROR(__xludf.DUMMYFUNCTION("IFERROR(GOOGLEFINANCE($A241,""low""),"""")"),"")</f>
        <v/>
      </c>
      <c r="AM241" s="61">
        <f t="shared" si="2"/>
        <v>0</v>
      </c>
      <c r="AN241" s="62">
        <f>IFERROR(__xludf.DUMMYFUNCTION("IFERROR((GOOGLEFINANCE($A241,""volume"")),0)"),0.0)</f>
        <v>0</v>
      </c>
      <c r="AO241" s="60" t="str">
        <f>IFERROR(__xludf.DUMMYFUNCTION("IFERROR((GOOGLEFINANCE($A241,""closeyest"")),"""")"),"")</f>
        <v/>
      </c>
      <c r="AP241" s="60" t="str">
        <f>IFERROR(__xludf.DUMMYFUNCTION("IFERROR((GOOGLEFINANCE($A241,""shares"")),"""")"),"")</f>
        <v/>
      </c>
      <c r="AQ241" s="18"/>
    </row>
    <row r="242">
      <c r="A242" s="45" t="str">
        <f>'Dados StatusInvest'!A237:A856</f>
        <v>ENBR3</v>
      </c>
      <c r="B242" s="46" t="str">
        <f>IFERROR(__xludf.DUMMYFUNCTION("IFERROR((GOOGLEFINANCE(A242,""name"")),"""")"),"")</f>
        <v/>
      </c>
      <c r="C242" s="46" t="str">
        <f>IFERROR((VLOOKUP(LEFT($A242,4),Setor!$A:$E,3,0)),"")</f>
        <v>Utilidade Pública</v>
      </c>
      <c r="D242" s="46" t="str">
        <f>IFERROR((VLOOKUP(LEFT($A242,4),Setor!$A:$E,4,0)),"")</f>
        <v>Energia Elétrica</v>
      </c>
      <c r="E242" s="46" t="str">
        <f>IFERROR((VLOOKUP(LEFT($A242,4),Setor!$A:$E,5,0)),"")</f>
        <v>Energia Elétrica</v>
      </c>
      <c r="F242" s="47" t="str">
        <f>IFERROR(__xludf.DUMMYFUNCTION("IFERROR((GOOGLEFINANCE(A242)),"""")"),"")</f>
        <v/>
      </c>
      <c r="G242" s="48" t="str">
        <f>IFERROR(__xludf.DUMMYFUNCTION("IFERROR((sparkline(GOOGLEFINANCE($A242,""price"",TODAY()-30,TODAY(),""DAILY""),{""charttype"",""line"";""linewidth"",1;""color"",""#5f88cc""})),"""")"),"")</f>
        <v/>
      </c>
      <c r="H242" s="49" t="str">
        <f>IFERROR(__xludf.DUMMYFUNCTION("IFERROR((((GOOGLEFINANCE(A242))-(INDEX(GoogleFinance(A242,""PRICE"",$AQ$1),2,2)))/(INDEX(GoogleFinance(A242,""PRICE"",$AQ$1),2,2))),"""")"),"")</f>
        <v/>
      </c>
      <c r="I242" s="47" t="str">
        <f>IFERROR(__xludf.DUMMYFUNCTION("IFERROR((GOOGLEFINANCE($A242,""high52"")),"""")"),"")</f>
        <v/>
      </c>
      <c r="J242" s="48" t="str">
        <f>IFERROR(__xludf.DUMMYFUNCTION("IFERROR((sparkline(GOOGLEFINANCE($A242,""price"",TODAY()-365,TODAY(),""DAILY""),{""charttype"",""line"";""linewidth"",1;""color"",""#5f88cc""})),"""")"),"")</f>
        <v/>
      </c>
      <c r="K242" s="50" t="str">
        <f>IFERROR(__xludf.DUMMYFUNCTION("IFERROR((((GOOGLEFINANCE(A242))-(INDEX(GoogleFinance(A242,""PRICE"",$AP$1),2,2)))/(INDEX(GoogleFinance(A242,""PRICE"",$AP$1),2,2))),"""")"),"")</f>
        <v/>
      </c>
      <c r="L242" s="51">
        <f t="shared" si="1"/>
        <v>0</v>
      </c>
      <c r="M242" s="52">
        <f>IFERROR((VLOOKUP($A242,'Dados StatusInvest'!$A:$AZ,COLUMN(M242)-$A$5,0)*VLOOKUP($A242,'Dados StatusInvest'!$A:$AZ,2,0)/$F242/100),0)</f>
        <v>0</v>
      </c>
      <c r="N242" s="53">
        <f>IFERROR((VLOOKUP($A242,'Dados StatusInvest'!$A:$AZ,COLUMN(N242)-$A$5,0)/VLOOKUP($A242,'Dados StatusInvest'!$A:$AZ,2,0)*$F242),"")</f>
        <v>0</v>
      </c>
      <c r="O242" s="53">
        <f>IFERROR((VLOOKUP($A242,'Dados StatusInvest'!$A:$AZ,COLUMN(O242)-$A$5,0)/VLOOKUP($A242,'Dados StatusInvest'!$A:$AZ,2,0)*$F242),0)</f>
        <v>0</v>
      </c>
      <c r="P242" s="54">
        <f>IFERROR((VLOOKUP($A242,'Dados StatusInvest'!$A:$AZ,COLUMN(P242)-$A$5,0)/VLOOKUP($A242,'Dados StatusInvest'!$A:$AZ,2,0)*$F242),0)</f>
        <v>0</v>
      </c>
      <c r="Q242" s="55">
        <f>IFERROR((VLOOKUP($A242,'Dados StatusInvest'!$A:$AZ,COLUMN(Q242)-$A$5,0)/100),0)</f>
        <v>0.0226</v>
      </c>
      <c r="R242" s="56">
        <f>VLOOKUP($A242,'Dados StatusInvest'!$A:$AZ,COLUMN(R242)-$A$5,0)</f>
        <v>0.7</v>
      </c>
      <c r="S242" s="56">
        <f>IFERROR((VLOOKUP($A242,'Dados StatusInvest'!$A:$AZ,COLUMN(S242)-$A$5,0)),0)</f>
        <v>0.72</v>
      </c>
      <c r="T242" s="53">
        <f>IFERROR((VLOOKUP($A242,'Dados StatusInvest'!$A:$AZ,COLUMN(T242)-$A$5,0)/VLOOKUP($A242,'Dados StatusInvest'!$A:$AZ,2,0)*$F242),0)</f>
        <v>0</v>
      </c>
      <c r="U242" s="53">
        <f>IFERROR((VLOOKUP($A242,'Dados StatusInvest'!$A:$AZ,COLUMN(U242)-$A$5,0)-VLOOKUP($A242,'Dados StatusInvest'!$A:$AZ,COLUMN(U242)-$A$5-1,0)+T242),0)</f>
        <v>-15.24</v>
      </c>
      <c r="V242" s="56">
        <f>IFERROR((VLOOKUP($A242,'Dados StatusInvest'!$A:$AZ,COLUMN(V242)-$A$5,0)),0)</f>
        <v>1.09</v>
      </c>
      <c r="W242" s="56">
        <f>IFERROR((VLOOKUP($A242,'Dados StatusInvest'!$A:$AZ,COLUMN(W242)-$A$5,0)),0)</f>
        <v>17.17</v>
      </c>
      <c r="X242" s="53">
        <f>IFERROR((VLOOKUP($A242,'Dados StatusInvest'!$A:$AZ,COLUMN(X242)-$A$5,0)/VLOOKUP($A242,'Dados StatusInvest'!$A:$AZ,2,0)*$F242),0)</f>
        <v>0</v>
      </c>
      <c r="Y242" s="54">
        <f>IFERROR((VLOOKUP($A242,'Dados StatusInvest'!$A:$AZ,COLUMN(Y242)-$A$5,0)/VLOOKUP($A242,'Dados StatusInvest'!$A:$AZ,2,0)*$F242),0)</f>
        <v>0</v>
      </c>
      <c r="Z242" s="56">
        <f>IFERROR((VLOOKUP($A242,'Dados StatusInvest'!$A:$AZ,COLUMN(Z242)-$A$5,0)),0)</f>
        <v>0.34</v>
      </c>
      <c r="AA242" s="57">
        <f>IFERROR((VLOOKUP($A242,'Dados StatusInvest'!$A:$AZ,COLUMN(AA242)-$A$5,0)),0)</f>
        <v>0.63</v>
      </c>
      <c r="AB242" s="57">
        <f>IFERROR((VLOOKUP($A242,'Dados StatusInvest'!$A:$AZ,COLUMN(AB242)-$A$5,0)),0)</f>
        <v>0.51</v>
      </c>
      <c r="AC242" s="58">
        <f>IFERROR((VLOOKUP($A242,'Dados StatusInvest'!$A:$AZ,COLUMN(AC242)-$A$5,0)),0)</f>
        <v>2.76</v>
      </c>
      <c r="AD242" s="57">
        <f>IFERROR((VLOOKUP($A242,'Dados StatusInvest'!$A:$AZ,COLUMN(AD242)-$A$5,0)),0)</f>
        <v>10.57</v>
      </c>
      <c r="AE242" s="56">
        <f>IFERROR((VLOOKUP($A242,'Dados StatusInvest'!$A:$AZ,COLUMN(AE242)-$A$5,0)),0)</f>
        <v>0</v>
      </c>
      <c r="AF242" s="56">
        <f>IFERROR((VLOOKUP($A242,'Dados StatusInvest'!$A:$AZ,COLUMN(AF242)-$A$5,0)),0)</f>
        <v>22.16</v>
      </c>
      <c r="AG242" s="56">
        <f>IFERROR((VLOOKUP($A242,'Dados StatusInvest'!$A:$AZ,COLUMN(AG242)-$A$5,0)),0)</f>
        <v>3.81</v>
      </c>
      <c r="AH242" s="56">
        <f>IFERROR((VLOOKUP($A242,'Dados StatusInvest'!$A:$AZ,COLUMN(AH242)-$A$5,0)),0)</f>
        <v>0.4</v>
      </c>
      <c r="AI242" s="57">
        <f>IFERROR((VLOOKUP($A242,'Dados StatusInvest'!$A:$AZ,COLUMN(AI242)-$A$5,0)),0)</f>
        <v>13994459653</v>
      </c>
      <c r="AJ242" s="59" t="str">
        <f>IFERROR((VLOOKUP($A242,'Dados StatusInvest'!$A:$AZ,COLUMN(AJ242)-$A$5,0)),0)</f>
        <v/>
      </c>
      <c r="AK242" s="60" t="str">
        <f>IFERROR(__xludf.DUMMYFUNCTION("IFERROR(GOOGLEFINANCE($A242,""high""),"""")"),"")</f>
        <v/>
      </c>
      <c r="AL242" s="60" t="str">
        <f>IFERROR(__xludf.DUMMYFUNCTION("IFERROR(GOOGLEFINANCE($A242,""low""),"""")"),"")</f>
        <v/>
      </c>
      <c r="AM242" s="61">
        <f t="shared" si="2"/>
        <v>0</v>
      </c>
      <c r="AN242" s="62">
        <f>IFERROR(__xludf.DUMMYFUNCTION("IFERROR((GOOGLEFINANCE($A242,""volume"")),0)"),0.0)</f>
        <v>0</v>
      </c>
      <c r="AO242" s="60" t="str">
        <f>IFERROR(__xludf.DUMMYFUNCTION("IFERROR((GOOGLEFINANCE($A242,""closeyest"")),"""")"),"")</f>
        <v/>
      </c>
      <c r="AP242" s="60" t="str">
        <f>IFERROR(__xludf.DUMMYFUNCTION("IFERROR((GOOGLEFINANCE($A242,""shares"")),"""")"),"")</f>
        <v/>
      </c>
      <c r="AQ242" s="18"/>
    </row>
    <row r="243">
      <c r="A243" s="45" t="str">
        <f>'Dados StatusInvest'!A238:A857</f>
        <v>ENEV3</v>
      </c>
      <c r="B243" s="46" t="str">
        <f>IFERROR(__xludf.DUMMYFUNCTION("IFERROR((GOOGLEFINANCE(A243,""name"")),"""")"),"Eneva SA")</f>
        <v>Eneva SA</v>
      </c>
      <c r="C243" s="46" t="str">
        <f>IFERROR((VLOOKUP(LEFT($A243,4),Setor!$A:$E,3,0)),"")</f>
        <v>Utilidade Pública</v>
      </c>
      <c r="D243" s="46" t="str">
        <f>IFERROR((VLOOKUP(LEFT($A243,4),Setor!$A:$E,4,0)),"")</f>
        <v>Energia Elétrica</v>
      </c>
      <c r="E243" s="46" t="str">
        <f>IFERROR((VLOOKUP(LEFT($A243,4),Setor!$A:$E,5,0)),"")</f>
        <v>Energia Elétrica</v>
      </c>
      <c r="F243" s="47">
        <f>IFERROR(__xludf.DUMMYFUNCTION("IFERROR((GOOGLEFINANCE(A243)),"""")"),21.87)</f>
        <v>21.87</v>
      </c>
      <c r="G243" s="48" t="str">
        <f>IFERROR(__xludf.DUMMYFUNCTION("IFERROR((sparkline(GOOGLEFINANCE($A243,""price"",TODAY()-30,TODAY(),""DAILY""),{""charttype"",""line"";""linewidth"",1;""color"",""#5f88cc""})),"""")"),"")</f>
        <v/>
      </c>
      <c r="H243" s="49">
        <f>IFERROR(__xludf.DUMMYFUNCTION("IFERROR((((GOOGLEFINANCE(A243))-(INDEX(GoogleFinance(A243,""PRICE"",$AQ$1),2,2)))/(INDEX(GoogleFinance(A243,""PRICE"",$AQ$1),2,2))),"""")"),0.014849187935034815)</f>
        <v>0.01484918794</v>
      </c>
      <c r="I243" s="47">
        <f>IFERROR(__xludf.DUMMYFUNCTION("IFERROR((GOOGLEFINANCE($A243,""high52"")),"""")"),22.79)</f>
        <v>22.79</v>
      </c>
      <c r="J243" s="48" t="str">
        <f>IFERROR(__xludf.DUMMYFUNCTION("IFERROR((sparkline(GOOGLEFINANCE($A243,""price"",TODAY()-365,TODAY(),""DAILY""),{""charttype"",""line"";""linewidth"",1;""color"",""#5f88cc""})),"""")"),"")</f>
        <v/>
      </c>
      <c r="K243" s="50">
        <f>IFERROR(__xludf.DUMMYFUNCTION("IFERROR((((GOOGLEFINANCE(A243))-(INDEX(GoogleFinance(A243,""PRICE"",$AP$1),2,2)))/(INDEX(GoogleFinance(A243,""PRICE"",$AP$1),2,2))),"""")"),0.7838499184339316)</f>
        <v>0.7838499184</v>
      </c>
      <c r="L243" s="51">
        <f t="shared" si="1"/>
        <v>-0.04036858271</v>
      </c>
      <c r="M243" s="52">
        <f>IFERROR((VLOOKUP($A243,'Dados StatusInvest'!$A:$AZ,COLUMN(M243)-$A$5,0)*VLOOKUP($A243,'Dados StatusInvest'!$A:$AZ,2,0)/$F243/100),0)</f>
        <v>0.1763415638</v>
      </c>
      <c r="N243" s="53">
        <f>IFERROR((VLOOKUP($A243,'Dados StatusInvest'!$A:$AZ,COLUMN(N243)-$A$5,0)/VLOOKUP($A243,'Dados StatusInvest'!$A:$AZ,2,0)*$F243),"")</f>
        <v>0.1997260274</v>
      </c>
      <c r="O243" s="53">
        <f>IFERROR((VLOOKUP($A243,'Dados StatusInvest'!$A:$AZ,COLUMN(O243)-$A$5,0)/VLOOKUP($A243,'Dados StatusInvest'!$A:$AZ,2,0)*$F243),0)</f>
        <v>13.96084932</v>
      </c>
      <c r="P243" s="54">
        <f>IFERROR((VLOOKUP($A243,'Dados StatusInvest'!$A:$AZ,COLUMN(P243)-$A$5,0)/VLOOKUP($A243,'Dados StatusInvest'!$A:$AZ,2,0)*$F243),0)</f>
        <v>19.07383562</v>
      </c>
      <c r="Q243" s="55">
        <f>IFERROR((VLOOKUP($A243,'Dados StatusInvest'!$A:$AZ,COLUMN(Q243)-$A$5,0)/100),0)</f>
        <v>0.0512</v>
      </c>
      <c r="R243" s="56">
        <f>VLOOKUP($A243,'Dados StatusInvest'!$A:$AZ,COLUMN(R243)-$A$5,0)</f>
        <v>0.78</v>
      </c>
      <c r="S243" s="56">
        <f>IFERROR((VLOOKUP($A243,'Dados StatusInvest'!$A:$AZ,COLUMN(S243)-$A$5,0)),0)</f>
        <v>2.46</v>
      </c>
      <c r="T243" s="53">
        <f>IFERROR((VLOOKUP($A243,'Dados StatusInvest'!$A:$AZ,COLUMN(T243)-$A$5,0)/VLOOKUP($A243,'Dados StatusInvest'!$A:$AZ,2,0)*$F243),0)</f>
        <v>18.06521918</v>
      </c>
      <c r="U243" s="53">
        <f>IFERROR((VLOOKUP($A243,'Dados StatusInvest'!$A:$AZ,COLUMN(U243)-$A$5,0)-VLOOKUP($A243,'Dados StatusInvest'!$A:$AZ,COLUMN(U243)-$A$5-1,0)+T243),0)</f>
        <v>-0.9647808219</v>
      </c>
      <c r="V243" s="56">
        <f>IFERROR((VLOOKUP($A243,'Dados StatusInvest'!$A:$AZ,COLUMN(V243)-$A$5,0)),0)</f>
        <v>1.34</v>
      </c>
      <c r="W243" s="56">
        <f>IFERROR((VLOOKUP($A243,'Dados StatusInvest'!$A:$AZ,COLUMN(W243)-$A$5,0)),0)</f>
        <v>0.17</v>
      </c>
      <c r="X243" s="53">
        <f>IFERROR((VLOOKUP($A243,'Dados StatusInvest'!$A:$AZ,COLUMN(X243)-$A$5,0)/VLOOKUP($A243,'Dados StatusInvest'!$A:$AZ,2,0)*$F243),0)</f>
        <v>0.05991780822</v>
      </c>
      <c r="Y243" s="54">
        <f>IFERROR((VLOOKUP($A243,'Dados StatusInvest'!$A:$AZ,COLUMN(Y243)-$A$5,0)/VLOOKUP($A243,'Dados StatusInvest'!$A:$AZ,2,0)*$F243),0)</f>
        <v>5.891917808</v>
      </c>
      <c r="Z243" s="56">
        <f>IFERROR((VLOOKUP($A243,'Dados StatusInvest'!$A:$AZ,COLUMN(Z243)-$A$5,0)),0)</f>
        <v>0.36</v>
      </c>
      <c r="AA243" s="57">
        <f>IFERROR((VLOOKUP($A243,'Dados StatusInvest'!$A:$AZ,COLUMN(AA243)-$A$5,0)),0)</f>
        <v>0.61</v>
      </c>
      <c r="AB243" s="57">
        <f>IFERROR((VLOOKUP($A243,'Dados StatusInvest'!$A:$AZ,COLUMN(AB243)-$A$5,0)),0)</f>
        <v>0.32</v>
      </c>
      <c r="AC243" s="58">
        <f>IFERROR((VLOOKUP($A243,'Dados StatusInvest'!$A:$AZ,COLUMN(AC243)-$A$5,0)),0)</f>
        <v>29.41</v>
      </c>
      <c r="AD243" s="57">
        <f>IFERROR((VLOOKUP($A243,'Dados StatusInvest'!$A:$AZ,COLUMN(AD243)-$A$5,0)),0)</f>
        <v>-43.68</v>
      </c>
      <c r="AE243" s="56">
        <f>IFERROR((VLOOKUP($A243,'Dados StatusInvest'!$A:$AZ,COLUMN(AE243)-$A$5,0)),0)</f>
        <v>490000000</v>
      </c>
      <c r="AF243" s="56">
        <f>IFERROR((VLOOKUP($A243,'Dados StatusInvest'!$A:$AZ,COLUMN(AF243)-$A$5,0)),0)</f>
        <v>10.25</v>
      </c>
      <c r="AG243" s="56">
        <f>IFERROR((VLOOKUP($A243,'Dados StatusInvest'!$A:$AZ,COLUMN(AG243)-$A$5,0)),0)</f>
        <v>0.02</v>
      </c>
      <c r="AH243" s="56">
        <f>IFERROR((VLOOKUP($A243,'Dados StatusInvest'!$A:$AZ,COLUMN(AH243)-$A$5,0)),0)</f>
        <v>-13.02</v>
      </c>
      <c r="AI243" s="57">
        <f>IFERROR((VLOOKUP($A243,'Dados StatusInvest'!$A:$AZ,COLUMN(AI243)-$A$5,0)),0)</f>
        <v>42419723110</v>
      </c>
      <c r="AJ243" s="59" t="str">
        <f>IFERROR((VLOOKUP($A243,'Dados StatusInvest'!$A:$AZ,COLUMN(AJ243)-$A$5,0)),0)</f>
        <v/>
      </c>
      <c r="AK243" s="60">
        <f>IFERROR(__xludf.DUMMYFUNCTION("IFERROR(GOOGLEFINANCE($A243,""high""),"""")"),21.9)</f>
        <v>21.9</v>
      </c>
      <c r="AL243" s="60">
        <f>IFERROR(__xludf.DUMMYFUNCTION("IFERROR(GOOGLEFINANCE($A243,""low""),"""")"),21.6)</f>
        <v>21.6</v>
      </c>
      <c r="AM243" s="61">
        <f t="shared" si="2"/>
        <v>0.01388888889</v>
      </c>
      <c r="AN243" s="62">
        <f>IFERROR(__xludf.DUMMYFUNCTION("IFERROR((GOOGLEFINANCE($A243,""volume"")),0)"),547600.0)</f>
        <v>547600</v>
      </c>
      <c r="AO243" s="60">
        <f>IFERROR(__xludf.DUMMYFUNCTION("IFERROR((GOOGLEFINANCE($A243,""closeyest"")),"""")"),21.9)</f>
        <v>21.9</v>
      </c>
      <c r="AP243" s="60">
        <f>IFERROR(__xludf.DUMMYFUNCTION("IFERROR((GOOGLEFINANCE($A243,""shares"")),"""")"),1.936973658E9)</f>
        <v>1936973658</v>
      </c>
      <c r="AQ243" s="18"/>
    </row>
    <row r="244">
      <c r="A244" s="45" t="str">
        <f>'Dados StatusInvest'!A239:A858</f>
        <v>ENGI11</v>
      </c>
      <c r="B244" s="46" t="str">
        <f>IFERROR(__xludf.DUMMYFUNCTION("IFERROR((GOOGLEFINANCE(A244,""name"")),"""")"),"Energisa SA Unit")</f>
        <v>Energisa SA Unit</v>
      </c>
      <c r="C244" s="46" t="str">
        <f>IFERROR((VLOOKUP(LEFT($A244,4),Setor!$A:$E,3,0)),"")</f>
        <v>Utilidade Pública</v>
      </c>
      <c r="D244" s="46" t="str">
        <f>IFERROR((VLOOKUP(LEFT($A244,4),Setor!$A:$E,4,0)),"")</f>
        <v>Energia Elétrica</v>
      </c>
      <c r="E244" s="46" t="str">
        <f>IFERROR((VLOOKUP(LEFT($A244,4),Setor!$A:$E,5,0)),"")</f>
        <v>Energia Elétrica</v>
      </c>
      <c r="F244" s="47">
        <f>IFERROR(__xludf.DUMMYFUNCTION("IFERROR((GOOGLEFINANCE(A244)),"""")"),52.2)</f>
        <v>52.2</v>
      </c>
      <c r="G244" s="48" t="str">
        <f>IFERROR(__xludf.DUMMYFUNCTION("IFERROR((sparkline(GOOGLEFINANCE($A244,""price"",TODAY()-30,TODAY(),""DAILY""),{""charttype"",""line"";""linewidth"",1;""color"",""#5f88cc""})),"""")"),"")</f>
        <v/>
      </c>
      <c r="H244" s="49">
        <f>IFERROR(__xludf.DUMMYFUNCTION("IFERROR((((GOOGLEFINANCE(A244))-(INDEX(GoogleFinance(A244,""PRICE"",$AQ$1),2,2)))/(INDEX(GoogleFinance(A244,""PRICE"",$AQ$1),2,2))),"""")"),0.0670482420278005)</f>
        <v>0.06704824203</v>
      </c>
      <c r="I244" s="47">
        <f>IFERROR(__xludf.DUMMYFUNCTION("IFERROR((GOOGLEFINANCE($A244,""high52"")),"""")"),54.0)</f>
        <v>54</v>
      </c>
      <c r="J244" s="48" t="str">
        <f>IFERROR(__xludf.DUMMYFUNCTION("IFERROR((sparkline(GOOGLEFINANCE($A244,""price"",TODAY()-365,TODAY(),""DAILY""),{""charttype"",""line"";""linewidth"",1;""color"",""#5f88cc""})),"""")"),"")</f>
        <v/>
      </c>
      <c r="K244" s="50">
        <f>IFERROR(__xludf.DUMMYFUNCTION("IFERROR((((GOOGLEFINANCE(A244))-(INDEX(GoogleFinance(A244,""PRICE"",$AP$1),2,2)))/(INDEX(GoogleFinance(A244,""PRICE"",$AP$1),2,2))),"""")"),0.39871382636655955)</f>
        <v>0.3987138264</v>
      </c>
      <c r="L244" s="51">
        <f t="shared" si="1"/>
        <v>-0.03333333333</v>
      </c>
      <c r="M244" s="52">
        <f>IFERROR((VLOOKUP($A244,'Dados StatusInvest'!$A:$AZ,COLUMN(M244)-$A$5,0)*VLOOKUP($A244,'Dados StatusInvest'!$A:$AZ,2,0)/$F244/100),0)</f>
        <v>0.1850522414</v>
      </c>
      <c r="N244" s="53">
        <f>IFERROR((VLOOKUP($A244,'Dados StatusInvest'!$A:$AZ,COLUMN(N244)-$A$5,0)/VLOOKUP($A244,'Dados StatusInvest'!$A:$AZ,2,0)*$F244),"")</f>
        <v>9.19245283</v>
      </c>
      <c r="O244" s="53">
        <f>IFERROR((VLOOKUP($A244,'Dados StatusInvest'!$A:$AZ,COLUMN(O244)-$A$5,0)/VLOOKUP($A244,'Dados StatusInvest'!$A:$AZ,2,0)*$F244),0)</f>
        <v>3.999313894</v>
      </c>
      <c r="P244" s="54">
        <f>IFERROR((VLOOKUP($A244,'Dados StatusInvest'!$A:$AZ,COLUMN(P244)-$A$5,0)/VLOOKUP($A244,'Dados StatusInvest'!$A:$AZ,2,0)*$F244),0)</f>
        <v>8.774614065</v>
      </c>
      <c r="Q244" s="55">
        <f>IFERROR((VLOOKUP($A244,'Dados StatusInvest'!$A:$AZ,COLUMN(Q244)-$A$5,0)/100),0)</f>
        <v>0.048</v>
      </c>
      <c r="R244" s="56">
        <f>VLOOKUP($A244,'Dados StatusInvest'!$A:$AZ,COLUMN(R244)-$A$5,0)</f>
        <v>1.71</v>
      </c>
      <c r="S244" s="56">
        <f>IFERROR((VLOOKUP($A244,'Dados StatusInvest'!$A:$AZ,COLUMN(S244)-$A$5,0)),0)</f>
        <v>0.74</v>
      </c>
      <c r="T244" s="53">
        <f>IFERROR((VLOOKUP($A244,'Dados StatusInvest'!$A:$AZ,COLUMN(T244)-$A$5,0)/VLOOKUP($A244,'Dados StatusInvest'!$A:$AZ,2,0)*$F244),0)</f>
        <v>4.735506003</v>
      </c>
      <c r="U244" s="53">
        <f>IFERROR((VLOOKUP($A244,'Dados StatusInvest'!$A:$AZ,COLUMN(U244)-$A$5,0)-VLOOKUP($A244,'Dados StatusInvest'!$A:$AZ,COLUMN(U244)-$A$5-1,0)+T244),0)</f>
        <v>-0.4444939966</v>
      </c>
      <c r="V244" s="56">
        <f>IFERROR((VLOOKUP($A244,'Dados StatusInvest'!$A:$AZ,COLUMN(V244)-$A$5,0)),0)</f>
        <v>1.39</v>
      </c>
      <c r="W244" s="56">
        <f>IFERROR((VLOOKUP($A244,'Dados StatusInvest'!$A:$AZ,COLUMN(W244)-$A$5,0)),0)</f>
        <v>17.86</v>
      </c>
      <c r="X244" s="53">
        <f>IFERROR((VLOOKUP($A244,'Dados StatusInvest'!$A:$AZ,COLUMN(X244)-$A$5,0)/VLOOKUP($A244,'Dados StatusInvest'!$A:$AZ,2,0)*$F244),0)</f>
        <v>3.959519726</v>
      </c>
      <c r="Y244" s="54">
        <f>IFERROR((VLOOKUP($A244,'Dados StatusInvest'!$A:$AZ,COLUMN(Y244)-$A$5,0)/VLOOKUP($A244,'Dados StatusInvest'!$A:$AZ,2,0)*$F244),0)</f>
        <v>9.709777015</v>
      </c>
      <c r="Z244" s="56">
        <f>IFERROR((VLOOKUP($A244,'Dados StatusInvest'!$A:$AZ,COLUMN(Z244)-$A$5,0)),0)</f>
        <v>0.22</v>
      </c>
      <c r="AA244" s="57">
        <f>IFERROR((VLOOKUP($A244,'Dados StatusInvest'!$A:$AZ,COLUMN(AA244)-$A$5,0)),0)</f>
        <v>0.73</v>
      </c>
      <c r="AB244" s="57">
        <f>IFERROR((VLOOKUP($A244,'Dados StatusInvest'!$A:$AZ,COLUMN(AB244)-$A$5,0)),0)</f>
        <v>0.43</v>
      </c>
      <c r="AC244" s="58">
        <f>IFERROR((VLOOKUP($A244,'Dados StatusInvest'!$A:$AZ,COLUMN(AC244)-$A$5,0)),0)</f>
        <v>11.12</v>
      </c>
      <c r="AD244" s="57">
        <f>IFERROR((VLOOKUP($A244,'Dados StatusInvest'!$A:$AZ,COLUMN(AD244)-$A$5,0)),0)</f>
        <v>48.61</v>
      </c>
      <c r="AE244" s="56">
        <f>IFERROR((VLOOKUP($A244,'Dados StatusInvest'!$A:$AZ,COLUMN(AE244)-$A$5,0)),0)</f>
        <v>149000000</v>
      </c>
      <c r="AF244" s="56">
        <f>IFERROR((VLOOKUP($A244,'Dados StatusInvest'!$A:$AZ,COLUMN(AF244)-$A$5,0)),0)</f>
        <v>36.7</v>
      </c>
      <c r="AG244" s="56">
        <f>IFERROR((VLOOKUP($A244,'Dados StatusInvest'!$A:$AZ,COLUMN(AG244)-$A$5,0)),0)</f>
        <v>6.55</v>
      </c>
      <c r="AH244" s="56">
        <f>IFERROR((VLOOKUP($A244,'Dados StatusInvest'!$A:$AZ,COLUMN(AH244)-$A$5,0)),0)</f>
        <v>0.24</v>
      </c>
      <c r="AI244" s="57">
        <f>IFERROR((VLOOKUP($A244,'Dados StatusInvest'!$A:$AZ,COLUMN(AI244)-$A$5,0)),0)</f>
        <v>26427744662</v>
      </c>
      <c r="AJ244" s="59" t="str">
        <f>IFERROR((VLOOKUP($A244,'Dados StatusInvest'!$A:$AZ,COLUMN(AJ244)-$A$5,0)),0)</f>
        <v/>
      </c>
      <c r="AK244" s="60">
        <f>IFERROR(__xludf.DUMMYFUNCTION("IFERROR(GOOGLEFINANCE($A244,""high""),"""")"),52.4)</f>
        <v>52.4</v>
      </c>
      <c r="AL244" s="60">
        <f>IFERROR(__xludf.DUMMYFUNCTION("IFERROR(GOOGLEFINANCE($A244,""low""),"""")"),52.06)</f>
        <v>52.06</v>
      </c>
      <c r="AM244" s="61">
        <f t="shared" si="2"/>
        <v>0.006530925855</v>
      </c>
      <c r="AN244" s="62">
        <f>IFERROR(__xludf.DUMMYFUNCTION("IFERROR((GOOGLEFINANCE($A244,""volume"")),0)"),102600.0)</f>
        <v>102600</v>
      </c>
      <c r="AO244" s="60">
        <f>IFERROR(__xludf.DUMMYFUNCTION("IFERROR((GOOGLEFINANCE($A244,""closeyest"")),"""")"),52.47)</f>
        <v>52.47</v>
      </c>
      <c r="AP244" s="60">
        <f>IFERROR(__xludf.DUMMYFUNCTION("IFERROR((GOOGLEFINANCE($A244,""shares"")),"""")"),0.0)</f>
        <v>0</v>
      </c>
      <c r="AQ244" s="18"/>
    </row>
    <row r="245">
      <c r="A245" s="45" t="str">
        <f>'Dados StatusInvest'!A240:A859</f>
        <v>ENGI3</v>
      </c>
      <c r="B245" s="46" t="str">
        <f>IFERROR(__xludf.DUMMYFUNCTION("IFERROR((GOOGLEFINANCE(A245,""name"")),"""")"),"Energisa SA")</f>
        <v>Energisa SA</v>
      </c>
      <c r="C245" s="46" t="str">
        <f>IFERROR((VLOOKUP(LEFT($A245,4),Setor!$A:$E,3,0)),"")</f>
        <v>Utilidade Pública</v>
      </c>
      <c r="D245" s="46" t="str">
        <f>IFERROR((VLOOKUP(LEFT($A245,4),Setor!$A:$E,4,0)),"")</f>
        <v>Energia Elétrica</v>
      </c>
      <c r="E245" s="46" t="str">
        <f>IFERROR((VLOOKUP(LEFT($A245,4),Setor!$A:$E,5,0)),"")</f>
        <v>Energia Elétrica</v>
      </c>
      <c r="F245" s="47">
        <f>IFERROR(__xludf.DUMMYFUNCTION("IFERROR((GOOGLEFINANCE(A245)),"""")"),12.59)</f>
        <v>12.59</v>
      </c>
      <c r="G245" s="48" t="str">
        <f>IFERROR(__xludf.DUMMYFUNCTION("IFERROR((sparkline(GOOGLEFINANCE($A245,""price"",TODAY()-30,TODAY(),""DAILY""),{""charttype"",""line"";""linewidth"",1;""color"",""#5f88cc""})),"""")"),"")</f>
        <v/>
      </c>
      <c r="H245" s="49">
        <f>IFERROR(__xludf.DUMMYFUNCTION("IFERROR((((GOOGLEFINANCE(A245))-(INDEX(GoogleFinance(A245,""PRICE"",$AQ$1),2,2)))/(INDEX(GoogleFinance(A245,""PRICE"",$AQ$1),2,2))),"""")"),-0.049093655589123895)</f>
        <v>-0.04909365559</v>
      </c>
      <c r="I245" s="47">
        <f>IFERROR(__xludf.DUMMYFUNCTION("IFERROR((GOOGLEFINANCE($A245,""high52"")),"""")"),14.47)</f>
        <v>14.47</v>
      </c>
      <c r="J245" s="48" t="str">
        <f>IFERROR(__xludf.DUMMYFUNCTION("IFERROR((sparkline(GOOGLEFINANCE($A245,""price"",TODAY()-365,TODAY(),""DAILY""),{""charttype"",""line"";""linewidth"",1;""color"",""#5f88cc""})),"""")"),"")</f>
        <v/>
      </c>
      <c r="K245" s="50">
        <f>IFERROR(__xludf.DUMMYFUNCTION("IFERROR((((GOOGLEFINANCE(A245))-(INDEX(GoogleFinance(A245,""PRICE"",$AP$1),2,2)))/(INDEX(GoogleFinance(A245,""PRICE"",$AP$1),2,2))),"""")"),0.1689879294336119)</f>
        <v>0.1689879294</v>
      </c>
      <c r="L245" s="51">
        <f t="shared" si="1"/>
        <v>-0.1299239806</v>
      </c>
      <c r="M245" s="52">
        <f>IFERROR((VLOOKUP($A245,'Dados StatusInvest'!$A:$AZ,COLUMN(M245)-$A$5,0)*VLOOKUP($A245,'Dados StatusInvest'!$A:$AZ,2,0)/$F245/100),0)</f>
        <v>0.1838075457</v>
      </c>
      <c r="N245" s="53">
        <f>IFERROR((VLOOKUP($A245,'Dados StatusInvest'!$A:$AZ,COLUMN(N245)-$A$5,0)/VLOOKUP($A245,'Dados StatusInvest'!$A:$AZ,2,0)*$F245),"")</f>
        <v>9.254701671</v>
      </c>
      <c r="O245" s="53">
        <f>IFERROR((VLOOKUP($A245,'Dados StatusInvest'!$A:$AZ,COLUMN(O245)-$A$5,0)/VLOOKUP($A245,'Dados StatusInvest'!$A:$AZ,2,0)*$F245),0)</f>
        <v>4.817653142</v>
      </c>
      <c r="P245" s="54">
        <f>IFERROR((VLOOKUP($A245,'Dados StatusInvest'!$A:$AZ,COLUMN(P245)-$A$5,0)/VLOOKUP($A245,'Dados StatusInvest'!$A:$AZ,2,0)*$F245),0)</f>
        <v>8.834033413</v>
      </c>
      <c r="Q245" s="55">
        <f>IFERROR((VLOOKUP($A245,'Dados StatusInvest'!$A:$AZ,COLUMN(Q245)-$A$5,0)/100),0)</f>
        <v>0.048</v>
      </c>
      <c r="R245" s="56">
        <f>VLOOKUP($A245,'Dados StatusInvest'!$A:$AZ,COLUMN(R245)-$A$5,0)</f>
        <v>1.71</v>
      </c>
      <c r="S245" s="56">
        <f>IFERROR((VLOOKUP($A245,'Dados StatusInvest'!$A:$AZ,COLUMN(S245)-$A$5,0)),0)</f>
        <v>0.89</v>
      </c>
      <c r="T245" s="53">
        <f>IFERROR((VLOOKUP($A245,'Dados StatusInvest'!$A:$AZ,COLUMN(T245)-$A$5,0)/VLOOKUP($A245,'Dados StatusInvest'!$A:$AZ,2,0)*$F245),0)</f>
        <v>5.709069212</v>
      </c>
      <c r="U245" s="53">
        <f>IFERROR((VLOOKUP($A245,'Dados StatusInvest'!$A:$AZ,COLUMN(U245)-$A$5,0)-VLOOKUP($A245,'Dados StatusInvest'!$A:$AZ,COLUMN(U245)-$A$5-1,0)+T245),0)</f>
        <v>-0.4909307876</v>
      </c>
      <c r="V245" s="56">
        <f>IFERROR((VLOOKUP($A245,'Dados StatusInvest'!$A:$AZ,COLUMN(V245)-$A$5,0)),0)</f>
        <v>1.39</v>
      </c>
      <c r="W245" s="56">
        <f>IFERROR((VLOOKUP($A245,'Dados StatusInvest'!$A:$AZ,COLUMN(W245)-$A$5,0)),0)</f>
        <v>17.86</v>
      </c>
      <c r="X245" s="53">
        <f>IFERROR((VLOOKUP($A245,'Dados StatusInvest'!$A:$AZ,COLUMN(X245)-$A$5,0)/VLOOKUP($A245,'Dados StatusInvest'!$A:$AZ,2,0)*$F245),0)</f>
        <v>3.986332538</v>
      </c>
      <c r="Y245" s="54">
        <f>IFERROR((VLOOKUP($A245,'Dados StatusInvest'!$A:$AZ,COLUMN(Y245)-$A$5,0)/VLOOKUP($A245,'Dados StatusInvest'!$A:$AZ,2,0)*$F245),0)</f>
        <v>9.775529037</v>
      </c>
      <c r="Z245" s="56">
        <f>IFERROR((VLOOKUP($A245,'Dados StatusInvest'!$A:$AZ,COLUMN(Z245)-$A$5,0)),0)</f>
        <v>0.22</v>
      </c>
      <c r="AA245" s="57">
        <f>IFERROR((VLOOKUP($A245,'Dados StatusInvest'!$A:$AZ,COLUMN(AA245)-$A$5,0)),0)</f>
        <v>0.73</v>
      </c>
      <c r="AB245" s="57">
        <f>IFERROR((VLOOKUP($A245,'Dados StatusInvest'!$A:$AZ,COLUMN(AB245)-$A$5,0)),0)</f>
        <v>0.43</v>
      </c>
      <c r="AC245" s="58">
        <f>IFERROR((VLOOKUP($A245,'Dados StatusInvest'!$A:$AZ,COLUMN(AC245)-$A$5,0)),0)</f>
        <v>11.12</v>
      </c>
      <c r="AD245" s="57">
        <f>IFERROR((VLOOKUP($A245,'Dados StatusInvest'!$A:$AZ,COLUMN(AD245)-$A$5,0)),0)</f>
        <v>48.61</v>
      </c>
      <c r="AE245" s="56">
        <f>IFERROR((VLOOKUP($A245,'Dados StatusInvest'!$A:$AZ,COLUMN(AE245)-$A$5,0)),0)</f>
        <v>78476.24</v>
      </c>
      <c r="AF245" s="56">
        <f>IFERROR((VLOOKUP($A245,'Dados StatusInvest'!$A:$AZ,COLUMN(AF245)-$A$5,0)),0)</f>
        <v>7.34</v>
      </c>
      <c r="AG245" s="56">
        <f>IFERROR((VLOOKUP($A245,'Dados StatusInvest'!$A:$AZ,COLUMN(AG245)-$A$5,0)),0)</f>
        <v>1.31</v>
      </c>
      <c r="AH245" s="56">
        <f>IFERROR((VLOOKUP($A245,'Dados StatusInvest'!$A:$AZ,COLUMN(AH245)-$A$5,0)),0)</f>
        <v>0.29</v>
      </c>
      <c r="AI245" s="57">
        <f>IFERROR((VLOOKUP($A245,'Dados StatusInvest'!$A:$AZ,COLUMN(AI245)-$A$5,0)),0)</f>
        <v>26427744662</v>
      </c>
      <c r="AJ245" s="59" t="str">
        <f>IFERROR((VLOOKUP($A245,'Dados StatusInvest'!$A:$AZ,COLUMN(AJ245)-$A$5,0)),0)</f>
        <v/>
      </c>
      <c r="AK245" s="60">
        <f>IFERROR(__xludf.DUMMYFUNCTION("IFERROR(GOOGLEFINANCE($A245,""high""),"""")"),12.65)</f>
        <v>12.65</v>
      </c>
      <c r="AL245" s="60">
        <f>IFERROR(__xludf.DUMMYFUNCTION("IFERROR(GOOGLEFINANCE($A245,""low""),"""")"),12.59)</f>
        <v>12.59</v>
      </c>
      <c r="AM245" s="61">
        <f t="shared" si="2"/>
        <v>0.004765687053</v>
      </c>
      <c r="AN245" s="62">
        <f>IFERROR(__xludf.DUMMYFUNCTION("IFERROR((GOOGLEFINANCE($A245,""volume"")),0)"),300.0)</f>
        <v>300</v>
      </c>
      <c r="AO245" s="60">
        <f>IFERROR(__xludf.DUMMYFUNCTION("IFERROR((GOOGLEFINANCE($A245,""closeyest"")),"""")"),12.57)</f>
        <v>12.57</v>
      </c>
      <c r="AP245" s="60">
        <f>IFERROR(__xludf.DUMMYFUNCTION("IFERROR((GOOGLEFINANCE($A245,""shares"")),"""")"),9.75954372E8)</f>
        <v>975954372</v>
      </c>
      <c r="AQ245" s="18"/>
    </row>
    <row r="246">
      <c r="A246" s="45" t="str">
        <f>'Dados StatusInvest'!A241:A860</f>
        <v>ENGI4</v>
      </c>
      <c r="B246" s="46" t="str">
        <f>IFERROR(__xludf.DUMMYFUNCTION("IFERROR((GOOGLEFINANCE(A246,""name"")),"""")"),"Energisa SA Preference Shares")</f>
        <v>Energisa SA Preference Shares</v>
      </c>
      <c r="C246" s="46" t="str">
        <f>IFERROR((VLOOKUP(LEFT($A246,4),Setor!$A:$E,3,0)),"")</f>
        <v>Utilidade Pública</v>
      </c>
      <c r="D246" s="46" t="str">
        <f>IFERROR((VLOOKUP(LEFT($A246,4),Setor!$A:$E,4,0)),"")</f>
        <v>Energia Elétrica</v>
      </c>
      <c r="E246" s="46" t="str">
        <f>IFERROR((VLOOKUP(LEFT($A246,4),Setor!$A:$E,5,0)),"")</f>
        <v>Energia Elétrica</v>
      </c>
      <c r="F246" s="47">
        <f>IFERROR(__xludf.DUMMYFUNCTION("IFERROR((GOOGLEFINANCE(A246)),"""")"),9.71)</f>
        <v>9.71</v>
      </c>
      <c r="G246" s="48" t="str">
        <f>IFERROR(__xludf.DUMMYFUNCTION("IFERROR((sparkline(GOOGLEFINANCE($A246,""price"",TODAY()-30,TODAY(),""DAILY""),{""charttype"",""line"";""linewidth"",1;""color"",""#5f88cc""})),"""")"),"")</f>
        <v/>
      </c>
      <c r="H246" s="49">
        <f>IFERROR(__xludf.DUMMYFUNCTION("IFERROR((((GOOGLEFINANCE(A246))-(INDEX(GoogleFinance(A246,""PRICE"",$AQ$1),2,2)))/(INDEX(GoogleFinance(A246,""PRICE"",$AQ$1),2,2))),"""")"),0.08612975391498898)</f>
        <v>0.08612975391</v>
      </c>
      <c r="I246" s="47">
        <f>IFERROR(__xludf.DUMMYFUNCTION("IFERROR((GOOGLEFINANCE($A246,""high52"")),"""")"),10.09)</f>
        <v>10.09</v>
      </c>
      <c r="J246" s="48" t="str">
        <f>IFERROR(__xludf.DUMMYFUNCTION("IFERROR((sparkline(GOOGLEFINANCE($A246,""price"",TODAY()-365,TODAY(),""DAILY""),{""charttype"",""line"";""linewidth"",1;""color"",""#5f88cc""})),"""")"),"")</f>
        <v/>
      </c>
      <c r="K246" s="50">
        <f>IFERROR(__xludf.DUMMYFUNCTION("IFERROR((((GOOGLEFINANCE(A246))-(INDEX(GoogleFinance(A246,""PRICE"",$AP$1),2,2)))/(INDEX(GoogleFinance(A246,""PRICE"",$AP$1),2,2))),"""")"),0.47792998477929993)</f>
        <v>0.4779299848</v>
      </c>
      <c r="L246" s="51">
        <f t="shared" si="1"/>
        <v>-0.03766105055</v>
      </c>
      <c r="M246" s="52">
        <f>IFERROR((VLOOKUP($A246,'Dados StatusInvest'!$A:$AZ,COLUMN(M246)-$A$5,0)*VLOOKUP($A246,'Dados StatusInvest'!$A:$AZ,2,0)/$F246/100),0)</f>
        <v>0.1869439753</v>
      </c>
      <c r="N246" s="53">
        <f>IFERROR((VLOOKUP($A246,'Dados StatusInvest'!$A:$AZ,COLUMN(N246)-$A$5,0)/VLOOKUP($A246,'Dados StatusInvest'!$A:$AZ,2,0)*$F246),"")</f>
        <v>9.099432049</v>
      </c>
      <c r="O246" s="53">
        <f>IFERROR((VLOOKUP($A246,'Dados StatusInvest'!$A:$AZ,COLUMN(O246)-$A$5,0)/VLOOKUP($A246,'Dados StatusInvest'!$A:$AZ,2,0)*$F246),0)</f>
        <v>3.722494929</v>
      </c>
      <c r="P246" s="54">
        <f>IFERROR((VLOOKUP($A246,'Dados StatusInvest'!$A:$AZ,COLUMN(P246)-$A$5,0)/VLOOKUP($A246,'Dados StatusInvest'!$A:$AZ,2,0)*$F246),0)</f>
        <v>8.685821501</v>
      </c>
      <c r="Q246" s="55">
        <f>IFERROR((VLOOKUP($A246,'Dados StatusInvest'!$A:$AZ,COLUMN(Q246)-$A$5,0)/100),0)</f>
        <v>0.048</v>
      </c>
      <c r="R246" s="56">
        <f>VLOOKUP($A246,'Dados StatusInvest'!$A:$AZ,COLUMN(R246)-$A$5,0)</f>
        <v>1.71</v>
      </c>
      <c r="S246" s="56">
        <f>IFERROR((VLOOKUP($A246,'Dados StatusInvest'!$A:$AZ,COLUMN(S246)-$A$5,0)),0)</f>
        <v>0.7</v>
      </c>
      <c r="T246" s="53">
        <f>IFERROR((VLOOKUP($A246,'Dados StatusInvest'!$A:$AZ,COLUMN(T246)-$A$5,0)/VLOOKUP($A246,'Dados StatusInvest'!$A:$AZ,2,0)*$F246),0)</f>
        <v>4.401997972</v>
      </c>
      <c r="U246" s="53">
        <f>IFERROR((VLOOKUP($A246,'Dados StatusInvest'!$A:$AZ,COLUMN(U246)-$A$5,0)-VLOOKUP($A246,'Dados StatusInvest'!$A:$AZ,COLUMN(U246)-$A$5-1,0)+T246),0)</f>
        <v>-0.4580020284</v>
      </c>
      <c r="V246" s="56">
        <f>IFERROR((VLOOKUP($A246,'Dados StatusInvest'!$A:$AZ,COLUMN(V246)-$A$5,0)),0)</f>
        <v>1.39</v>
      </c>
      <c r="W246" s="56">
        <f>IFERROR((VLOOKUP($A246,'Dados StatusInvest'!$A:$AZ,COLUMN(W246)-$A$5,0)),0)</f>
        <v>17.86</v>
      </c>
      <c r="X246" s="53">
        <f>IFERROR((VLOOKUP($A246,'Dados StatusInvest'!$A:$AZ,COLUMN(X246)-$A$5,0)/VLOOKUP($A246,'Dados StatusInvest'!$A:$AZ,2,0)*$F246),0)</f>
        <v>3.919452333</v>
      </c>
      <c r="Y246" s="54">
        <f>IFERROR((VLOOKUP($A246,'Dados StatusInvest'!$A:$AZ,COLUMN(Y246)-$A$5,0)/VLOOKUP($A246,'Dados StatusInvest'!$A:$AZ,2,0)*$F246),0)</f>
        <v>9.611521298</v>
      </c>
      <c r="Z246" s="56">
        <f>IFERROR((VLOOKUP($A246,'Dados StatusInvest'!$A:$AZ,COLUMN(Z246)-$A$5,0)),0)</f>
        <v>0.22</v>
      </c>
      <c r="AA246" s="57">
        <f>IFERROR((VLOOKUP($A246,'Dados StatusInvest'!$A:$AZ,COLUMN(AA246)-$A$5,0)),0)</f>
        <v>0.73</v>
      </c>
      <c r="AB246" s="57">
        <f>IFERROR((VLOOKUP($A246,'Dados StatusInvest'!$A:$AZ,COLUMN(AB246)-$A$5,0)),0)</f>
        <v>0.43</v>
      </c>
      <c r="AC246" s="58">
        <f>IFERROR((VLOOKUP($A246,'Dados StatusInvest'!$A:$AZ,COLUMN(AC246)-$A$5,0)),0)</f>
        <v>11.12</v>
      </c>
      <c r="AD246" s="57">
        <f>IFERROR((VLOOKUP($A246,'Dados StatusInvest'!$A:$AZ,COLUMN(AD246)-$A$5,0)),0)</f>
        <v>48.61</v>
      </c>
      <c r="AE246" s="56">
        <f>IFERROR((VLOOKUP($A246,'Dados StatusInvest'!$A:$AZ,COLUMN(AE246)-$A$5,0)),0)</f>
        <v>109797.6</v>
      </c>
      <c r="AF246" s="56">
        <f>IFERROR((VLOOKUP($A246,'Dados StatusInvest'!$A:$AZ,COLUMN(AF246)-$A$5,0)),0)</f>
        <v>7.34</v>
      </c>
      <c r="AG246" s="56">
        <f>IFERROR((VLOOKUP($A246,'Dados StatusInvest'!$A:$AZ,COLUMN(AG246)-$A$5,0)),0)</f>
        <v>1.31</v>
      </c>
      <c r="AH246" s="56">
        <f>IFERROR((VLOOKUP($A246,'Dados StatusInvest'!$A:$AZ,COLUMN(AH246)-$A$5,0)),0)</f>
        <v>0.23</v>
      </c>
      <c r="AI246" s="57">
        <f>IFERROR((VLOOKUP($A246,'Dados StatusInvest'!$A:$AZ,COLUMN(AI246)-$A$5,0)),0)</f>
        <v>26427744662</v>
      </c>
      <c r="AJ246" s="59" t="str">
        <f>IFERROR((VLOOKUP($A246,'Dados StatusInvest'!$A:$AZ,COLUMN(AJ246)-$A$5,0)),0)</f>
        <v/>
      </c>
      <c r="AK246" s="60">
        <f>IFERROR(__xludf.DUMMYFUNCTION("IFERROR(GOOGLEFINANCE($A246,""high""),"""")"),9.94)</f>
        <v>9.94</v>
      </c>
      <c r="AL246" s="60">
        <f>IFERROR(__xludf.DUMMYFUNCTION("IFERROR(GOOGLEFINANCE($A246,""low""),"""")"),9.71)</f>
        <v>9.71</v>
      </c>
      <c r="AM246" s="61">
        <f t="shared" si="2"/>
        <v>0.0236869207</v>
      </c>
      <c r="AN246" s="62">
        <f>IFERROR(__xludf.DUMMYFUNCTION("IFERROR((GOOGLEFINANCE($A246,""volume"")),0)"),1400.0)</f>
        <v>1400</v>
      </c>
      <c r="AO246" s="60">
        <f>IFERROR(__xludf.DUMMYFUNCTION("IFERROR((GOOGLEFINANCE($A246,""closeyest"")),"""")"),9.92)</f>
        <v>9.92</v>
      </c>
      <c r="AP246" s="60">
        <f>IFERROR(__xludf.DUMMYFUNCTION("IFERROR((GOOGLEFINANCE($A246,""shares"")),"""")"),1.542412758E9)</f>
        <v>1542412758</v>
      </c>
      <c r="AQ246" s="18"/>
    </row>
    <row r="247">
      <c r="A247" s="45" t="str">
        <f>'Dados StatusInvest'!A242:A861</f>
        <v>ENJU3</v>
      </c>
      <c r="B247" s="46" t="str">
        <f>IFERROR(__xludf.DUMMYFUNCTION("IFERROR((GOOGLEFINANCE(A247,""name"")),"""")"),"Enjoei SA")</f>
        <v>Enjoei SA</v>
      </c>
      <c r="C247" s="46" t="str">
        <f>IFERROR((VLOOKUP(LEFT($A247,4),Setor!$A:$E,3,0)),"")</f>
        <v>Tecnologia da Informação</v>
      </c>
      <c r="D247" s="46" t="str">
        <f>IFERROR((VLOOKUP(LEFT($A247,4),Setor!$A:$E,4,0)),"")</f>
        <v>Programas e Serviços</v>
      </c>
      <c r="E247" s="46" t="str">
        <f>IFERROR((VLOOKUP(LEFT($A247,4),Setor!$A:$E,5,0)),"")</f>
        <v>Programas e Serviços</v>
      </c>
      <c r="F247" s="47">
        <f>IFERROR(__xludf.DUMMYFUNCTION("IFERROR((GOOGLEFINANCE(A247)),"""")"),1.07)</f>
        <v>1.07</v>
      </c>
      <c r="G247" s="48" t="str">
        <f>IFERROR(__xludf.DUMMYFUNCTION("IFERROR((sparkline(GOOGLEFINANCE($A247,""price"",TODAY()-30,TODAY(),""DAILY""),{""charttype"",""line"";""linewidth"",1;""color"",""#5f88cc""})),"""")"),"")</f>
        <v/>
      </c>
      <c r="H247" s="49">
        <f>IFERROR(__xludf.DUMMYFUNCTION("IFERROR((((GOOGLEFINANCE(A247))-(INDEX(GoogleFinance(A247,""PRICE"",$AQ$1),2,2)))/(INDEX(GoogleFinance(A247,""PRICE"",$AQ$1),2,2))),"""")"),0.03883495145631071)</f>
        <v>0.03883495146</v>
      </c>
      <c r="I247" s="47">
        <f>IFERROR(__xludf.DUMMYFUNCTION("IFERROR((GOOGLEFINANCE($A247,""high52"")),"""")"),1.44)</f>
        <v>1.44</v>
      </c>
      <c r="J247" s="48" t="str">
        <f>IFERROR(__xludf.DUMMYFUNCTION("IFERROR((sparkline(GOOGLEFINANCE($A247,""price"",TODAY()-365,TODAY(),""DAILY""),{""charttype"",""line"";""linewidth"",1;""color"",""#5f88cc""})),"""")"),"")</f>
        <v/>
      </c>
      <c r="K247" s="50">
        <f>IFERROR(__xludf.DUMMYFUNCTION("IFERROR((((GOOGLEFINANCE(A247))-(INDEX(GoogleFinance(A247,""PRICE"",$AP$1),2,2)))/(INDEX(GoogleFinance(A247,""PRICE"",$AP$1),2,2))),"""")"),-0.1705426356589147)</f>
        <v>-0.1705426357</v>
      </c>
      <c r="L247" s="51">
        <f t="shared" si="1"/>
        <v>-0.2569444444</v>
      </c>
      <c r="M247" s="52">
        <f>IFERROR((VLOOKUP($A247,'Dados StatusInvest'!$A:$AZ,COLUMN(M247)-$A$5,0)*VLOOKUP($A247,'Dados StatusInvest'!$A:$AZ,2,0)/$F247/100),0)</f>
        <v>-0.1071</v>
      </c>
      <c r="N247" s="53">
        <f>IFERROR((VLOOKUP($A247,'Dados StatusInvest'!$A:$AZ,COLUMN(N247)-$A$5,0)/VLOOKUP($A247,'Dados StatusInvest'!$A:$AZ,2,0)*$F247),"")</f>
        <v>-7.66</v>
      </c>
      <c r="O247" s="53">
        <f>IFERROR((VLOOKUP($A247,'Dados StatusInvest'!$A:$AZ,COLUMN(O247)-$A$5,0)/VLOOKUP($A247,'Dados StatusInvest'!$A:$AZ,2,0)*$F247),0)</f>
        <v>-7.65</v>
      </c>
      <c r="P247" s="54">
        <f>IFERROR((VLOOKUP($A247,'Dados StatusInvest'!$A:$AZ,COLUMN(P247)-$A$5,0)/VLOOKUP($A247,'Dados StatusInvest'!$A:$AZ,2,0)*$F247),0)</f>
        <v>-0.34</v>
      </c>
      <c r="Q247" s="55">
        <f>IFERROR((VLOOKUP($A247,'Dados StatusInvest'!$A:$AZ,COLUMN(Q247)-$A$5,0)/100),0)</f>
        <v>0.0731</v>
      </c>
      <c r="R247" s="56">
        <f>VLOOKUP($A247,'Dados StatusInvest'!$A:$AZ,COLUMN(R247)-$A$5,0)</f>
        <v>-0.69</v>
      </c>
      <c r="S247" s="56">
        <f>IFERROR((VLOOKUP($A247,'Dados StatusInvest'!$A:$AZ,COLUMN(S247)-$A$5,0)),0)</f>
        <v>0.82</v>
      </c>
      <c r="T247" s="53">
        <f>IFERROR((VLOOKUP($A247,'Dados StatusInvest'!$A:$AZ,COLUMN(T247)-$A$5,0)/VLOOKUP($A247,'Dados StatusInvest'!$A:$AZ,2,0)*$F247),0)</f>
        <v>1.36</v>
      </c>
      <c r="U247" s="53">
        <f>IFERROR((VLOOKUP($A247,'Dados StatusInvest'!$A:$AZ,COLUMN(U247)-$A$5,0)-VLOOKUP($A247,'Dados StatusInvest'!$A:$AZ,COLUMN(U247)-$A$5-1,0)+T247),0)</f>
        <v>-1.25</v>
      </c>
      <c r="V247" s="56">
        <f>IFERROR((VLOOKUP($A247,'Dados StatusInvest'!$A:$AZ,COLUMN(V247)-$A$5,0)),0)</f>
        <v>2.6</v>
      </c>
      <c r="W247" s="56">
        <f>IFERROR((VLOOKUP($A247,'Dados StatusInvest'!$A:$AZ,COLUMN(W247)-$A$5,0)),0)</f>
        <v>-6.74</v>
      </c>
      <c r="X247" s="53">
        <f>IFERROR((VLOOKUP($A247,'Dados StatusInvest'!$A:$AZ,COLUMN(X247)-$A$5,0)/VLOOKUP($A247,'Dados StatusInvest'!$A:$AZ,2,0)*$F247),0)</f>
        <v>-4.69</v>
      </c>
      <c r="Y247" s="54">
        <f>IFERROR((VLOOKUP($A247,'Dados StatusInvest'!$A:$AZ,COLUMN(Y247)-$A$5,0)/VLOOKUP($A247,'Dados StatusInvest'!$A:$AZ,2,0)*$F247),0)</f>
        <v>-10</v>
      </c>
      <c r="Z247" s="56">
        <f>IFERROR((VLOOKUP($A247,'Dados StatusInvest'!$A:$AZ,COLUMN(Z247)-$A$5,0)),0)</f>
        <v>0.7</v>
      </c>
      <c r="AA247" s="57">
        <f>IFERROR((VLOOKUP($A247,'Dados StatusInvest'!$A:$AZ,COLUMN(AA247)-$A$5,0)),0)</f>
        <v>0.3</v>
      </c>
      <c r="AB247" s="57">
        <f>IFERROR((VLOOKUP($A247,'Dados StatusInvest'!$A:$AZ,COLUMN(AB247)-$A$5,0)),0)</f>
        <v>0.61</v>
      </c>
      <c r="AC247" s="58">
        <f>IFERROR((VLOOKUP($A247,'Dados StatusInvest'!$A:$AZ,COLUMN(AC247)-$A$5,0)),0)</f>
        <v>37.65</v>
      </c>
      <c r="AD247" s="57">
        <f>IFERROR((VLOOKUP($A247,'Dados StatusInvest'!$A:$AZ,COLUMN(AD247)-$A$5,0)),0)</f>
        <v>0</v>
      </c>
      <c r="AE247" s="56">
        <f>IFERROR((VLOOKUP($A247,'Dados StatusInvest'!$A:$AZ,COLUMN(AE247)-$A$5,0)),0)</f>
        <v>443470.3</v>
      </c>
      <c r="AF247" s="56">
        <f>IFERROR((VLOOKUP($A247,'Dados StatusInvest'!$A:$AZ,COLUMN(AF247)-$A$5,0)),0)</f>
        <v>1.48</v>
      </c>
      <c r="AG247" s="56">
        <f>IFERROR((VLOOKUP($A247,'Dados StatusInvest'!$A:$AZ,COLUMN(AG247)-$A$5,0)),0)</f>
        <v>-0.1</v>
      </c>
      <c r="AH247" s="56">
        <f>IFERROR((VLOOKUP($A247,'Dados StatusInvest'!$A:$AZ,COLUMN(AH247)-$A$5,0)),0)</f>
        <v>0.24</v>
      </c>
      <c r="AI247" s="57">
        <f>IFERROR((VLOOKUP($A247,'Dados StatusInvest'!$A:$AZ,COLUMN(AI247)-$A$5,0)),0)</f>
        <v>219369249.3</v>
      </c>
      <c r="AJ247" s="59" t="str">
        <f>IFERROR((VLOOKUP($A247,'Dados StatusInvest'!$A:$AZ,COLUMN(AJ247)-$A$5,0)),0)</f>
        <v/>
      </c>
      <c r="AK247" s="60">
        <f>IFERROR(__xludf.DUMMYFUNCTION("IFERROR(GOOGLEFINANCE($A247,""high""),"""")"),1.1)</f>
        <v>1.1</v>
      </c>
      <c r="AL247" s="60">
        <f>IFERROR(__xludf.DUMMYFUNCTION("IFERROR(GOOGLEFINANCE($A247,""low""),"""")"),1.06)</f>
        <v>1.06</v>
      </c>
      <c r="AM247" s="61">
        <f t="shared" si="2"/>
        <v>0.03773584906</v>
      </c>
      <c r="AN247" s="62">
        <f>IFERROR(__xludf.DUMMYFUNCTION("IFERROR((GOOGLEFINANCE($A247,""volume"")),0)"),23000.0)</f>
        <v>23000</v>
      </c>
      <c r="AO247" s="60">
        <f>IFERROR(__xludf.DUMMYFUNCTION("IFERROR((GOOGLEFINANCE($A247,""closeyest"")),"""")"),1.07)</f>
        <v>1.07</v>
      </c>
      <c r="AP247" s="60">
        <f>IFERROR(__xludf.DUMMYFUNCTION("IFERROR((GOOGLEFINANCE($A247,""shares"")),"""")"),2.0501799E8)</f>
        <v>205017990</v>
      </c>
      <c r="AQ247" s="18"/>
    </row>
    <row r="248">
      <c r="A248" s="45" t="str">
        <f>'Dados StatusInvest'!A243:A862</f>
        <v>ENMA3B</v>
      </c>
      <c r="B248" s="46" t="str">
        <f>IFERROR(__xludf.DUMMYFUNCTION("IFERROR((GOOGLEFINANCE(A248,""name"")),"""")"),"")</f>
        <v/>
      </c>
      <c r="C248" s="46" t="str">
        <f>IFERROR((VLOOKUP(LEFT($A248,4),Setor!$A:$E,3,0)),"")</f>
        <v/>
      </c>
      <c r="D248" s="46" t="str">
        <f>IFERROR((VLOOKUP(LEFT($A248,4),Setor!$A:$E,4,0)),"")</f>
        <v/>
      </c>
      <c r="E248" s="46" t="str">
        <f>IFERROR((VLOOKUP(LEFT($A248,4),Setor!$A:$E,5,0)),"")</f>
        <v/>
      </c>
      <c r="F248" s="47" t="str">
        <f>IFERROR(__xludf.DUMMYFUNCTION("IFERROR((GOOGLEFINANCE(A248)),"""")"),"")</f>
        <v/>
      </c>
      <c r="G248" s="48" t="str">
        <f>IFERROR(__xludf.DUMMYFUNCTION("IFERROR((sparkline(GOOGLEFINANCE($A248,""price"",TODAY()-30,TODAY(),""DAILY""),{""charttype"",""line"";""linewidth"",1;""color"",""#5f88cc""})),"""")"),"")</f>
        <v/>
      </c>
      <c r="H248" s="49" t="str">
        <f>IFERROR(__xludf.DUMMYFUNCTION("IFERROR((((GOOGLEFINANCE(A248))-(INDEX(GoogleFinance(A248,""PRICE"",$AQ$1),2,2)))/(INDEX(GoogleFinance(A248,""PRICE"",$AQ$1),2,2))),"""")"),"")</f>
        <v/>
      </c>
      <c r="I248" s="47" t="str">
        <f>IFERROR(__xludf.DUMMYFUNCTION("IFERROR((GOOGLEFINANCE($A248,""high52"")),"""")"),"")</f>
        <v/>
      </c>
      <c r="J248" s="48" t="str">
        <f>IFERROR(__xludf.DUMMYFUNCTION("IFERROR((sparkline(GOOGLEFINANCE($A248,""price"",TODAY()-365,TODAY(),""DAILY""),{""charttype"",""line"";""linewidth"",1;""color"",""#5f88cc""})),"""")"),"")</f>
        <v/>
      </c>
      <c r="K248" s="50" t="str">
        <f>IFERROR(__xludf.DUMMYFUNCTION("IFERROR((((GOOGLEFINANCE(A248))-(INDEX(GoogleFinance(A248,""PRICE"",$AP$1),2,2)))/(INDEX(GoogleFinance(A248,""PRICE"",$AP$1),2,2))),"""")"),"")</f>
        <v/>
      </c>
      <c r="L248" s="51">
        <f t="shared" si="1"/>
        <v>0</v>
      </c>
      <c r="M248" s="52">
        <f>IFERROR((VLOOKUP($A248,'Dados StatusInvest'!$A:$AZ,COLUMN(M248)-$A$5,0)*VLOOKUP($A248,'Dados StatusInvest'!$A:$AZ,2,0)/$F248/100),0)</f>
        <v>0</v>
      </c>
      <c r="N248" s="53">
        <f>IFERROR((VLOOKUP($A248,'Dados StatusInvest'!$A:$AZ,COLUMN(N248)-$A$5,0)/VLOOKUP($A248,'Dados StatusInvest'!$A:$AZ,2,0)*$F248),"")</f>
        <v>0</v>
      </c>
      <c r="O248" s="53">
        <f>IFERROR((VLOOKUP($A248,'Dados StatusInvest'!$A:$AZ,COLUMN(O248)-$A$5,0)/VLOOKUP($A248,'Dados StatusInvest'!$A:$AZ,2,0)*$F248),0)</f>
        <v>0</v>
      </c>
      <c r="P248" s="54">
        <f>IFERROR((VLOOKUP($A248,'Dados StatusInvest'!$A:$AZ,COLUMN(P248)-$A$5,0)/VLOOKUP($A248,'Dados StatusInvest'!$A:$AZ,2,0)*$F248),0)</f>
        <v>0</v>
      </c>
      <c r="Q248" s="55">
        <f>IFERROR((VLOOKUP($A248,'Dados StatusInvest'!$A:$AZ,COLUMN(Q248)-$A$5,0)/100),0)</f>
        <v>0.0282</v>
      </c>
      <c r="R248" s="56">
        <f>VLOOKUP($A248,'Dados StatusInvest'!$A:$AZ,COLUMN(R248)-$A$5,0)</f>
        <v>0.74</v>
      </c>
      <c r="S248" s="56">
        <f>IFERROR((VLOOKUP($A248,'Dados StatusInvest'!$A:$AZ,COLUMN(S248)-$A$5,0)),0)</f>
        <v>1.24</v>
      </c>
      <c r="T248" s="53">
        <f>IFERROR((VLOOKUP($A248,'Dados StatusInvest'!$A:$AZ,COLUMN(T248)-$A$5,0)/VLOOKUP($A248,'Dados StatusInvest'!$A:$AZ,2,0)*$F248),0)</f>
        <v>0</v>
      </c>
      <c r="U248" s="53">
        <f>IFERROR((VLOOKUP($A248,'Dados StatusInvest'!$A:$AZ,COLUMN(U248)-$A$5,0)-VLOOKUP($A248,'Dados StatusInvest'!$A:$AZ,COLUMN(U248)-$A$5-1,0)+T248),0)</f>
        <v>-14.63</v>
      </c>
      <c r="V248" s="56">
        <f>IFERROR((VLOOKUP($A248,'Dados StatusInvest'!$A:$AZ,COLUMN(V248)-$A$5,0)),0)</f>
        <v>1.26</v>
      </c>
      <c r="W248" s="56">
        <f>IFERROR((VLOOKUP($A248,'Dados StatusInvest'!$A:$AZ,COLUMN(W248)-$A$5,0)),0)</f>
        <v>17.24</v>
      </c>
      <c r="X248" s="53">
        <f>IFERROR((VLOOKUP($A248,'Dados StatusInvest'!$A:$AZ,COLUMN(X248)-$A$5,0)/VLOOKUP($A248,'Dados StatusInvest'!$A:$AZ,2,0)*$F248),0)</f>
        <v>0</v>
      </c>
      <c r="Y248" s="54">
        <f>IFERROR((VLOOKUP($A248,'Dados StatusInvest'!$A:$AZ,COLUMN(Y248)-$A$5,0)/VLOOKUP($A248,'Dados StatusInvest'!$A:$AZ,2,0)*$F248),0)</f>
        <v>0</v>
      </c>
      <c r="Z248" s="56">
        <f>IFERROR((VLOOKUP($A248,'Dados StatusInvest'!$A:$AZ,COLUMN(Z248)-$A$5,0)),0)</f>
        <v>0.38</v>
      </c>
      <c r="AA248" s="57">
        <f>IFERROR((VLOOKUP($A248,'Dados StatusInvest'!$A:$AZ,COLUMN(AA248)-$A$5,0)),0)</f>
        <v>0.62</v>
      </c>
      <c r="AB248" s="57">
        <f>IFERROR((VLOOKUP($A248,'Dados StatusInvest'!$A:$AZ,COLUMN(AB248)-$A$5,0)),0)</f>
        <v>0.58</v>
      </c>
      <c r="AC248" s="58">
        <f>IFERROR((VLOOKUP($A248,'Dados StatusInvest'!$A:$AZ,COLUMN(AC248)-$A$5,0)),0)</f>
        <v>10.37</v>
      </c>
      <c r="AD248" s="57">
        <f>IFERROR((VLOOKUP($A248,'Dados StatusInvest'!$A:$AZ,COLUMN(AD248)-$A$5,0)),0)</f>
        <v>2.92</v>
      </c>
      <c r="AE248" s="56">
        <f>IFERROR((VLOOKUP($A248,'Dados StatusInvest'!$A:$AZ,COLUMN(AE248)-$A$5,0)),0)</f>
        <v>0</v>
      </c>
      <c r="AF248" s="56">
        <f>IFERROR((VLOOKUP($A248,'Dados StatusInvest'!$A:$AZ,COLUMN(AF248)-$A$5,0)),0)</f>
        <v>26.4</v>
      </c>
      <c r="AG248" s="56">
        <f>IFERROR((VLOOKUP($A248,'Dados StatusInvest'!$A:$AZ,COLUMN(AG248)-$A$5,0)),0)</f>
        <v>4.55</v>
      </c>
      <c r="AH248" s="56">
        <f>IFERROR((VLOOKUP($A248,'Dados StatusInvest'!$A:$AZ,COLUMN(AH248)-$A$5,0)),0)</f>
        <v>-6.51</v>
      </c>
      <c r="AI248" s="57">
        <f>IFERROR((VLOOKUP($A248,'Dados StatusInvest'!$A:$AZ,COLUMN(AI248)-$A$5,0)),0)</f>
        <v>0</v>
      </c>
      <c r="AJ248" s="59" t="str">
        <f>IFERROR((VLOOKUP($A248,'Dados StatusInvest'!$A:$AZ,COLUMN(AJ248)-$A$5,0)),0)</f>
        <v/>
      </c>
      <c r="AK248" s="60" t="str">
        <f>IFERROR(__xludf.DUMMYFUNCTION("IFERROR(GOOGLEFINANCE($A248,""high""),"""")"),"")</f>
        <v/>
      </c>
      <c r="AL248" s="60" t="str">
        <f>IFERROR(__xludf.DUMMYFUNCTION("IFERROR(GOOGLEFINANCE($A248,""low""),"""")"),"")</f>
        <v/>
      </c>
      <c r="AM248" s="61">
        <f t="shared" si="2"/>
        <v>0</v>
      </c>
      <c r="AN248" s="62">
        <f>IFERROR(__xludf.DUMMYFUNCTION("IFERROR((GOOGLEFINANCE($A248,""volume"")),0)"),0.0)</f>
        <v>0</v>
      </c>
      <c r="AO248" s="60" t="str">
        <f>IFERROR(__xludf.DUMMYFUNCTION("IFERROR((GOOGLEFINANCE($A248,""closeyest"")),"""")"),"")</f>
        <v/>
      </c>
      <c r="AP248" s="60" t="str">
        <f>IFERROR(__xludf.DUMMYFUNCTION("IFERROR((GOOGLEFINANCE($A248,""shares"")),"""")"),"")</f>
        <v/>
      </c>
      <c r="AQ248" s="18"/>
    </row>
    <row r="249">
      <c r="A249" s="45" t="str">
        <f>'Dados StatusInvest'!A244:A863</f>
        <v>ENMA6B</v>
      </c>
      <c r="B249" s="46" t="str">
        <f>IFERROR(__xludf.DUMMYFUNCTION("IFERROR((GOOGLEFINANCE(A249,""name"")),"""")"),"")</f>
        <v/>
      </c>
      <c r="C249" s="46" t="str">
        <f>IFERROR((VLOOKUP(LEFT($A249,4),Setor!$A:$E,3,0)),"")</f>
        <v/>
      </c>
      <c r="D249" s="46" t="str">
        <f>IFERROR((VLOOKUP(LEFT($A249,4),Setor!$A:$E,4,0)),"")</f>
        <v/>
      </c>
      <c r="E249" s="46" t="str">
        <f>IFERROR((VLOOKUP(LEFT($A249,4),Setor!$A:$E,5,0)),"")</f>
        <v/>
      </c>
      <c r="F249" s="47" t="str">
        <f>IFERROR(__xludf.DUMMYFUNCTION("IFERROR((GOOGLEFINANCE(A249)),"""")"),"")</f>
        <v/>
      </c>
      <c r="G249" s="48" t="str">
        <f>IFERROR(__xludf.DUMMYFUNCTION("IFERROR((sparkline(GOOGLEFINANCE($A249,""price"",TODAY()-30,TODAY(),""DAILY""),{""charttype"",""line"";""linewidth"",1;""color"",""#5f88cc""})),"""")"),"")</f>
        <v/>
      </c>
      <c r="H249" s="49" t="str">
        <f>IFERROR(__xludf.DUMMYFUNCTION("IFERROR((((GOOGLEFINANCE(A249))-(INDEX(GoogleFinance(A249,""PRICE"",$AQ$1),2,2)))/(INDEX(GoogleFinance(A249,""PRICE"",$AQ$1),2,2))),"""")"),"")</f>
        <v/>
      </c>
      <c r="I249" s="47" t="str">
        <f>IFERROR(__xludf.DUMMYFUNCTION("IFERROR((GOOGLEFINANCE($A249,""high52"")),"""")"),"")</f>
        <v/>
      </c>
      <c r="J249" s="48" t="str">
        <f>IFERROR(__xludf.DUMMYFUNCTION("IFERROR((sparkline(GOOGLEFINANCE($A249,""price"",TODAY()-365,TODAY(),""DAILY""),{""charttype"",""line"";""linewidth"",1;""color"",""#5f88cc""})),"""")"),"")</f>
        <v/>
      </c>
      <c r="K249" s="50" t="str">
        <f>IFERROR(__xludf.DUMMYFUNCTION("IFERROR((((GOOGLEFINANCE(A249))-(INDEX(GoogleFinance(A249,""PRICE"",$AP$1),2,2)))/(INDEX(GoogleFinance(A249,""PRICE"",$AP$1),2,2))),"""")"),"")</f>
        <v/>
      </c>
      <c r="L249" s="51">
        <f t="shared" si="1"/>
        <v>0</v>
      </c>
      <c r="M249" s="52">
        <f>IFERROR((VLOOKUP($A249,'Dados StatusInvest'!$A:$AZ,COLUMN(M249)-$A$5,0)*VLOOKUP($A249,'Dados StatusInvest'!$A:$AZ,2,0)/$F249/100),0)</f>
        <v>0</v>
      </c>
      <c r="N249" s="53">
        <f>IFERROR((VLOOKUP($A249,'Dados StatusInvest'!$A:$AZ,COLUMN(N249)-$A$5,0)/VLOOKUP($A249,'Dados StatusInvest'!$A:$AZ,2,0)*$F249),"")</f>
        <v>0</v>
      </c>
      <c r="O249" s="53">
        <f>IFERROR((VLOOKUP($A249,'Dados StatusInvest'!$A:$AZ,COLUMN(O249)-$A$5,0)/VLOOKUP($A249,'Dados StatusInvest'!$A:$AZ,2,0)*$F249),0)</f>
        <v>0</v>
      </c>
      <c r="P249" s="54">
        <f>IFERROR((VLOOKUP($A249,'Dados StatusInvest'!$A:$AZ,COLUMN(P249)-$A$5,0)/VLOOKUP($A249,'Dados StatusInvest'!$A:$AZ,2,0)*$F249),0)</f>
        <v>0</v>
      </c>
      <c r="Q249" s="55">
        <f>IFERROR((VLOOKUP($A249,'Dados StatusInvest'!$A:$AZ,COLUMN(Q249)-$A$5,0)/100),0)</f>
        <v>0.0282</v>
      </c>
      <c r="R249" s="56">
        <f>VLOOKUP($A249,'Dados StatusInvest'!$A:$AZ,COLUMN(R249)-$A$5,0)</f>
        <v>0.74</v>
      </c>
      <c r="S249" s="56">
        <f>IFERROR((VLOOKUP($A249,'Dados StatusInvest'!$A:$AZ,COLUMN(S249)-$A$5,0)),0)</f>
        <v>2.06</v>
      </c>
      <c r="T249" s="53">
        <f>IFERROR((VLOOKUP($A249,'Dados StatusInvest'!$A:$AZ,COLUMN(T249)-$A$5,0)/VLOOKUP($A249,'Dados StatusInvest'!$A:$AZ,2,0)*$F249),0)</f>
        <v>0</v>
      </c>
      <c r="U249" s="53">
        <f>IFERROR((VLOOKUP($A249,'Dados StatusInvest'!$A:$AZ,COLUMN(U249)-$A$5,0)-VLOOKUP($A249,'Dados StatusInvest'!$A:$AZ,COLUMN(U249)-$A$5-1,0)+T249),0)</f>
        <v>-24.33</v>
      </c>
      <c r="V249" s="56">
        <f>IFERROR((VLOOKUP($A249,'Dados StatusInvest'!$A:$AZ,COLUMN(V249)-$A$5,0)),0)</f>
        <v>1.26</v>
      </c>
      <c r="W249" s="56">
        <f>IFERROR((VLOOKUP($A249,'Dados StatusInvest'!$A:$AZ,COLUMN(W249)-$A$5,0)),0)</f>
        <v>17.24</v>
      </c>
      <c r="X249" s="53">
        <f>IFERROR((VLOOKUP($A249,'Dados StatusInvest'!$A:$AZ,COLUMN(X249)-$A$5,0)/VLOOKUP($A249,'Dados StatusInvest'!$A:$AZ,2,0)*$F249),0)</f>
        <v>0</v>
      </c>
      <c r="Y249" s="54">
        <f>IFERROR((VLOOKUP($A249,'Dados StatusInvest'!$A:$AZ,COLUMN(Y249)-$A$5,0)/VLOOKUP($A249,'Dados StatusInvest'!$A:$AZ,2,0)*$F249),0)</f>
        <v>0</v>
      </c>
      <c r="Z249" s="56">
        <f>IFERROR((VLOOKUP($A249,'Dados StatusInvest'!$A:$AZ,COLUMN(Z249)-$A$5,0)),0)</f>
        <v>0.38</v>
      </c>
      <c r="AA249" s="57">
        <f>IFERROR((VLOOKUP($A249,'Dados StatusInvest'!$A:$AZ,COLUMN(AA249)-$A$5,0)),0)</f>
        <v>0.62</v>
      </c>
      <c r="AB249" s="57">
        <f>IFERROR((VLOOKUP($A249,'Dados StatusInvest'!$A:$AZ,COLUMN(AB249)-$A$5,0)),0)</f>
        <v>0.58</v>
      </c>
      <c r="AC249" s="58">
        <f>IFERROR((VLOOKUP($A249,'Dados StatusInvest'!$A:$AZ,COLUMN(AC249)-$A$5,0)),0)</f>
        <v>10.37</v>
      </c>
      <c r="AD249" s="57">
        <f>IFERROR((VLOOKUP($A249,'Dados StatusInvest'!$A:$AZ,COLUMN(AD249)-$A$5,0)),0)</f>
        <v>2.92</v>
      </c>
      <c r="AE249" s="56">
        <f>IFERROR((VLOOKUP($A249,'Dados StatusInvest'!$A:$AZ,COLUMN(AE249)-$A$5,0)),0)</f>
        <v>0</v>
      </c>
      <c r="AF249" s="56">
        <f>IFERROR((VLOOKUP($A249,'Dados StatusInvest'!$A:$AZ,COLUMN(AF249)-$A$5,0)),0)</f>
        <v>26.4</v>
      </c>
      <c r="AG249" s="56">
        <f>IFERROR((VLOOKUP($A249,'Dados StatusInvest'!$A:$AZ,COLUMN(AG249)-$A$5,0)),0)</f>
        <v>4.55</v>
      </c>
      <c r="AH249" s="56">
        <f>IFERROR((VLOOKUP($A249,'Dados StatusInvest'!$A:$AZ,COLUMN(AH249)-$A$5,0)),0)</f>
        <v>-10.83</v>
      </c>
      <c r="AI249" s="57">
        <f>IFERROR((VLOOKUP($A249,'Dados StatusInvest'!$A:$AZ,COLUMN(AI249)-$A$5,0)),0)</f>
        <v>0</v>
      </c>
      <c r="AJ249" s="59" t="str">
        <f>IFERROR((VLOOKUP($A249,'Dados StatusInvest'!$A:$AZ,COLUMN(AJ249)-$A$5,0)),0)</f>
        <v/>
      </c>
      <c r="AK249" s="60" t="str">
        <f>IFERROR(__xludf.DUMMYFUNCTION("IFERROR(GOOGLEFINANCE($A249,""high""),"""")"),"")</f>
        <v/>
      </c>
      <c r="AL249" s="60" t="str">
        <f>IFERROR(__xludf.DUMMYFUNCTION("IFERROR(GOOGLEFINANCE($A249,""low""),"""")"),"")</f>
        <v/>
      </c>
      <c r="AM249" s="61">
        <f t="shared" si="2"/>
        <v>0</v>
      </c>
      <c r="AN249" s="62">
        <f>IFERROR(__xludf.DUMMYFUNCTION("IFERROR((GOOGLEFINANCE($A249,""volume"")),0)"),0.0)</f>
        <v>0</v>
      </c>
      <c r="AO249" s="60" t="str">
        <f>IFERROR(__xludf.DUMMYFUNCTION("IFERROR((GOOGLEFINANCE($A249,""closeyest"")),"""")"),"")</f>
        <v/>
      </c>
      <c r="AP249" s="60" t="str">
        <f>IFERROR(__xludf.DUMMYFUNCTION("IFERROR((GOOGLEFINANCE($A249,""shares"")),"""")"),"")</f>
        <v/>
      </c>
      <c r="AQ249" s="18"/>
    </row>
    <row r="250">
      <c r="A250" s="45" t="str">
        <f>'Dados StatusInvest'!A245:A864</f>
        <v>ENMT3</v>
      </c>
      <c r="B250" s="46" t="str">
        <f>IFERROR(__xludf.DUMMYFUNCTION("IFERROR((GOOGLEFINANCE(A250,""name"")),"""")"),"Energisa Mato Grosso Distrbdr de Enrg SA")</f>
        <v>Energisa Mato Grosso Distrbdr de Enrg SA</v>
      </c>
      <c r="C250" s="46" t="str">
        <f>IFERROR((VLOOKUP(LEFT($A250,4),Setor!$A:$E,3,0)),"")</f>
        <v>Utilidade Pública</v>
      </c>
      <c r="D250" s="46" t="str">
        <f>IFERROR((VLOOKUP(LEFT($A250,4),Setor!$A:$E,4,0)),"")</f>
        <v>Energia Elétrica</v>
      </c>
      <c r="E250" s="46" t="str">
        <f>IFERROR((VLOOKUP(LEFT($A250,4),Setor!$A:$E,5,0)),"")</f>
        <v>Energia Elétrica</v>
      </c>
      <c r="F250" s="47">
        <f>IFERROR(__xludf.DUMMYFUNCTION("IFERROR((GOOGLEFINANCE(A250)),"""")"),48.48)</f>
        <v>48.48</v>
      </c>
      <c r="G250" s="48" t="str">
        <f>IFERROR(__xludf.DUMMYFUNCTION("IFERROR((sparkline(GOOGLEFINANCE($A250,""price"",TODAY()-30,TODAY(),""DAILY""),{""charttype"",""line"";""linewidth"",1;""color"",""#5f88cc""})),"""")"),"")</f>
        <v/>
      </c>
      <c r="H250" s="49">
        <f>IFERROR(__xludf.DUMMYFUNCTION("IFERROR((((GOOGLEFINANCE(A250))-(INDEX(GoogleFinance(A250,""PRICE"",$AQ$1),2,2)))/(INDEX(GoogleFinance(A250,""PRICE"",$AQ$1),2,2))),"""")"),-0.08493771234428087)</f>
        <v>-0.08493771234</v>
      </c>
      <c r="I250" s="47">
        <f>IFERROR(__xludf.DUMMYFUNCTION("IFERROR((GOOGLEFINANCE($A250,""high52"")),"""")"),80.78)</f>
        <v>80.78</v>
      </c>
      <c r="J250" s="48" t="str">
        <f>IFERROR(__xludf.DUMMYFUNCTION("IFERROR((sparkline(GOOGLEFINANCE($A250,""price"",TODAY()-365,TODAY(),""DAILY""),{""charttype"",""line"";""linewidth"",1;""color"",""#5f88cc""})),"""")"),"")</f>
        <v/>
      </c>
      <c r="K250" s="50">
        <f>IFERROR(__xludf.DUMMYFUNCTION("IFERROR((((GOOGLEFINANCE(A250))-(INDEX(GoogleFinance(A250,""PRICE"",$AP$1),2,2)))/(INDEX(GoogleFinance(A250,""PRICE"",$AP$1),2,2))),"""")"),-0.394)</f>
        <v>-0.394</v>
      </c>
      <c r="L250" s="51">
        <f t="shared" si="1"/>
        <v>-0.3998514484</v>
      </c>
      <c r="M250" s="52">
        <f>IFERROR((VLOOKUP($A250,'Dados StatusInvest'!$A:$AZ,COLUMN(M250)-$A$5,0)*VLOOKUP($A250,'Dados StatusInvest'!$A:$AZ,2,0)/$F250/100),0)</f>
        <v>0.1904392739</v>
      </c>
      <c r="N250" s="53">
        <f>IFERROR((VLOOKUP($A250,'Dados StatusInvest'!$A:$AZ,COLUMN(N250)-$A$5,0)/VLOOKUP($A250,'Dados StatusInvest'!$A:$AZ,2,0)*$F250),"")</f>
        <v>11.0277253</v>
      </c>
      <c r="O250" s="53">
        <f>IFERROR((VLOOKUP($A250,'Dados StatusInvest'!$A:$AZ,COLUMN(O250)-$A$5,0)/VLOOKUP($A250,'Dados StatusInvest'!$A:$AZ,2,0)*$F250),0)</f>
        <v>6.148731697</v>
      </c>
      <c r="P250" s="54">
        <f>IFERROR((VLOOKUP($A250,'Dados StatusInvest'!$A:$AZ,COLUMN(P250)-$A$5,0)/VLOOKUP($A250,'Dados StatusInvest'!$A:$AZ,2,0)*$F250),0)</f>
        <v>10.4178511</v>
      </c>
      <c r="Q250" s="55">
        <f>IFERROR((VLOOKUP($A250,'Dados StatusInvest'!$A:$AZ,COLUMN(Q250)-$A$5,0)/100),0)</f>
        <v>0.0398</v>
      </c>
      <c r="R250" s="56">
        <f>VLOOKUP($A250,'Dados StatusInvest'!$A:$AZ,COLUMN(R250)-$A$5,0)</f>
        <v>1.73</v>
      </c>
      <c r="S250" s="56">
        <f>IFERROR((VLOOKUP($A250,'Dados StatusInvest'!$A:$AZ,COLUMN(S250)-$A$5,0)),0)</f>
        <v>1.17</v>
      </c>
      <c r="T250" s="53">
        <f>IFERROR((VLOOKUP($A250,'Dados StatusInvest'!$A:$AZ,COLUMN(T250)-$A$5,0)/VLOOKUP($A250,'Dados StatusInvest'!$A:$AZ,2,0)*$F250),0)</f>
        <v>8.128323366</v>
      </c>
      <c r="U250" s="53">
        <f>IFERROR((VLOOKUP($A250,'Dados StatusInvest'!$A:$AZ,COLUMN(U250)-$A$5,0)-VLOOKUP($A250,'Dados StatusInvest'!$A:$AZ,COLUMN(U250)-$A$5-1,0)+T250),0)</f>
        <v>-0.9116766344</v>
      </c>
      <c r="V250" s="56">
        <f>IFERROR((VLOOKUP($A250,'Dados StatusInvest'!$A:$AZ,COLUMN(V250)-$A$5,0)),0)</f>
        <v>1.52</v>
      </c>
      <c r="W250" s="56">
        <f>IFERROR((VLOOKUP($A250,'Dados StatusInvest'!$A:$AZ,COLUMN(W250)-$A$5,0)),0)</f>
        <v>25.22</v>
      </c>
      <c r="X250" s="53">
        <f>IFERROR((VLOOKUP($A250,'Dados StatusInvest'!$A:$AZ,COLUMN(X250)-$A$5,0)/VLOOKUP($A250,'Dados StatusInvest'!$A:$AZ,2,0)*$F250),0)</f>
        <v>6.448669829</v>
      </c>
      <c r="Y250" s="54">
        <f>IFERROR((VLOOKUP($A250,'Dados StatusInvest'!$A:$AZ,COLUMN(Y250)-$A$5,0)/VLOOKUP($A250,'Dados StatusInvest'!$A:$AZ,2,0)*$F250),0)</f>
        <v>14.06709837</v>
      </c>
      <c r="Z250" s="56">
        <f>IFERROR((VLOOKUP($A250,'Dados StatusInvest'!$A:$AZ,COLUMN(Z250)-$A$5,0)),0)</f>
        <v>0.26</v>
      </c>
      <c r="AA250" s="57">
        <f>IFERROR((VLOOKUP($A250,'Dados StatusInvest'!$A:$AZ,COLUMN(AA250)-$A$5,0)),0)</f>
        <v>0.74</v>
      </c>
      <c r="AB250" s="57">
        <f>IFERROR((VLOOKUP($A250,'Dados StatusInvest'!$A:$AZ,COLUMN(AB250)-$A$5,0)),0)</f>
        <v>0.59</v>
      </c>
      <c r="AC250" s="58">
        <f>IFERROR((VLOOKUP($A250,'Dados StatusInvest'!$A:$AZ,COLUMN(AC250)-$A$5,0)),0)</f>
        <v>10.74</v>
      </c>
      <c r="AD250" s="57">
        <f>IFERROR((VLOOKUP($A250,'Dados StatusInvest'!$A:$AZ,COLUMN(AD250)-$A$5,0)),0)</f>
        <v>10.97</v>
      </c>
      <c r="AE250" s="56">
        <f>IFERROR((VLOOKUP($A250,'Dados StatusInvest'!$A:$AZ,COLUMN(AE250)-$A$5,0)),0)</f>
        <v>19281.38</v>
      </c>
      <c r="AF250" s="56">
        <f>IFERROR((VLOOKUP($A250,'Dados StatusInvest'!$A:$AZ,COLUMN(AF250)-$A$5,0)),0)</f>
        <v>18.11</v>
      </c>
      <c r="AG250" s="56">
        <f>IFERROR((VLOOKUP($A250,'Dados StatusInvest'!$A:$AZ,COLUMN(AG250)-$A$5,0)),0)</f>
        <v>4.57</v>
      </c>
      <c r="AH250" s="56">
        <f>IFERROR((VLOOKUP($A250,'Dados StatusInvest'!$A:$AZ,COLUMN(AH250)-$A$5,0)),0)</f>
        <v>-0.51</v>
      </c>
      <c r="AI250" s="57">
        <f>IFERROR((VLOOKUP($A250,'Dados StatusInvest'!$A:$AZ,COLUMN(AI250)-$A$5,0)),0)</f>
        <v>11118437200</v>
      </c>
      <c r="AJ250" s="59" t="str">
        <f>IFERROR((VLOOKUP($A250,'Dados StatusInvest'!$A:$AZ,COLUMN(AJ250)-$A$5,0)),0)</f>
        <v/>
      </c>
      <c r="AK250" s="60" t="str">
        <f>IFERROR(__xludf.DUMMYFUNCTION("IFERROR(GOOGLEFINANCE($A250,""high""),"""")"),"")</f>
        <v/>
      </c>
      <c r="AL250" s="60" t="str">
        <f>IFERROR(__xludf.DUMMYFUNCTION("IFERROR(GOOGLEFINANCE($A250,""low""),"""")"),"")</f>
        <v/>
      </c>
      <c r="AM250" s="61">
        <f t="shared" si="2"/>
        <v>0</v>
      </c>
      <c r="AN250" s="62">
        <f>IFERROR(__xludf.DUMMYFUNCTION("IFERROR((GOOGLEFINANCE($A250,""volume"")),0)"),0.0)</f>
        <v>0</v>
      </c>
      <c r="AO250" s="60">
        <f>IFERROR(__xludf.DUMMYFUNCTION("IFERROR((GOOGLEFINANCE($A250,""closeyest"")),"""")"),48.48)</f>
        <v>48.48</v>
      </c>
      <c r="AP250" s="60">
        <f>IFERROR(__xludf.DUMMYFUNCTION("IFERROR((GOOGLEFINANCE($A250,""shares"")),"""")"),7.5529774E7)</f>
        <v>75529774</v>
      </c>
      <c r="AQ250" s="18"/>
    </row>
    <row r="251">
      <c r="A251" s="45" t="str">
        <f>'Dados StatusInvest'!A246:A865</f>
        <v>ENMT4</v>
      </c>
      <c r="B251" s="46" t="str">
        <f>IFERROR(__xludf.DUMMYFUNCTION("IFERROR((GOOGLEFINANCE(A251,""name"")),"""")"),"Energisa Mato Grosso Distrbdr de Enrg SA Preference Shares")</f>
        <v>Energisa Mato Grosso Distrbdr de Enrg SA Preference Shares</v>
      </c>
      <c r="C251" s="46" t="str">
        <f>IFERROR((VLOOKUP(LEFT($A251,4),Setor!$A:$E,3,0)),"")</f>
        <v>Utilidade Pública</v>
      </c>
      <c r="D251" s="46" t="str">
        <f>IFERROR((VLOOKUP(LEFT($A251,4),Setor!$A:$E,4,0)),"")</f>
        <v>Energia Elétrica</v>
      </c>
      <c r="E251" s="46" t="str">
        <f>IFERROR((VLOOKUP(LEFT($A251,4),Setor!$A:$E,5,0)),"")</f>
        <v>Energia Elétrica</v>
      </c>
      <c r="F251" s="47">
        <f>IFERROR(__xludf.DUMMYFUNCTION("IFERROR((GOOGLEFINANCE(A251)),"""")"),51.99)</f>
        <v>51.99</v>
      </c>
      <c r="G251" s="48" t="str">
        <f>IFERROR(__xludf.DUMMYFUNCTION("IFERROR((sparkline(GOOGLEFINANCE($A251,""price"",TODAY()-30,TODAY(),""DAILY""),{""charttype"",""line"";""linewidth"",1;""color"",""#5f88cc""})),"""")"),"")</f>
        <v/>
      </c>
      <c r="H251" s="49">
        <f>IFERROR(__xludf.DUMMYFUNCTION("IFERROR((((GOOGLEFINANCE(A251))-(INDEX(GoogleFinance(A251,""PRICE"",$AQ$1),2,2)))/(INDEX(GoogleFinance(A251,""PRICE"",$AQ$1),2,2))),"""")"),0.029708853238265002)</f>
        <v>0.02970885324</v>
      </c>
      <c r="I251" s="47">
        <f>IFERROR(__xludf.DUMMYFUNCTION("IFERROR((GOOGLEFINANCE($A251,""high52"")),"""")"),75.8)</f>
        <v>75.8</v>
      </c>
      <c r="J251" s="48" t="str">
        <f>IFERROR(__xludf.DUMMYFUNCTION("IFERROR((sparkline(GOOGLEFINANCE($A251,""price"",TODAY()-365,TODAY(),""DAILY""),{""charttype"",""line"";""linewidth"",1;""color"",""#5f88cc""})),"""")"),"")</f>
        <v/>
      </c>
      <c r="K251" s="50" t="str">
        <f>IFERROR(__xludf.DUMMYFUNCTION("IFERROR((((GOOGLEFINANCE(A251))-(INDEX(GoogleFinance(A251,""PRICE"",$AP$1),2,2)))/(INDEX(GoogleFinance(A251,""PRICE"",$AP$1),2,2))),"""")"),"")</f>
        <v/>
      </c>
      <c r="L251" s="51">
        <f t="shared" si="1"/>
        <v>-0.314116095</v>
      </c>
      <c r="M251" s="52">
        <f>IFERROR((VLOOKUP($A251,'Dados StatusInvest'!$A:$AZ,COLUMN(M251)-$A$5,0)*VLOOKUP($A251,'Dados StatusInvest'!$A:$AZ,2,0)/$F251/100),0)</f>
        <v>0.1904</v>
      </c>
      <c r="N251" s="53">
        <f>IFERROR((VLOOKUP($A251,'Dados StatusInvest'!$A:$AZ,COLUMN(N251)-$A$5,0)/VLOOKUP($A251,'Dados StatusInvest'!$A:$AZ,2,0)*$F251),"")</f>
        <v>11.03</v>
      </c>
      <c r="O251" s="53">
        <f>IFERROR((VLOOKUP($A251,'Dados StatusInvest'!$A:$AZ,COLUMN(O251)-$A$5,0)/VLOOKUP($A251,'Dados StatusInvest'!$A:$AZ,2,0)*$F251),0)</f>
        <v>6.59</v>
      </c>
      <c r="P251" s="54">
        <f>IFERROR((VLOOKUP($A251,'Dados StatusInvest'!$A:$AZ,COLUMN(P251)-$A$5,0)/VLOOKUP($A251,'Dados StatusInvest'!$A:$AZ,2,0)*$F251),0)</f>
        <v>10.42</v>
      </c>
      <c r="Q251" s="55">
        <f>IFERROR((VLOOKUP($A251,'Dados StatusInvest'!$A:$AZ,COLUMN(Q251)-$A$5,0)/100),0)</f>
        <v>0.0398</v>
      </c>
      <c r="R251" s="56">
        <f>VLOOKUP($A251,'Dados StatusInvest'!$A:$AZ,COLUMN(R251)-$A$5,0)</f>
        <v>1.73</v>
      </c>
      <c r="S251" s="56">
        <f>IFERROR((VLOOKUP($A251,'Dados StatusInvest'!$A:$AZ,COLUMN(S251)-$A$5,0)),0)</f>
        <v>1.26</v>
      </c>
      <c r="T251" s="53">
        <f>IFERROR((VLOOKUP($A251,'Dados StatusInvest'!$A:$AZ,COLUMN(T251)-$A$5,0)/VLOOKUP($A251,'Dados StatusInvest'!$A:$AZ,2,0)*$F251),0)</f>
        <v>8.71</v>
      </c>
      <c r="U251" s="53">
        <f>IFERROR((VLOOKUP($A251,'Dados StatusInvest'!$A:$AZ,COLUMN(U251)-$A$5,0)-VLOOKUP($A251,'Dados StatusInvest'!$A:$AZ,COLUMN(U251)-$A$5-1,0)+T251),0)</f>
        <v>-0.97</v>
      </c>
      <c r="V251" s="56">
        <f>IFERROR((VLOOKUP($A251,'Dados StatusInvest'!$A:$AZ,COLUMN(V251)-$A$5,0)),0)</f>
        <v>1.52</v>
      </c>
      <c r="W251" s="56">
        <f>IFERROR((VLOOKUP($A251,'Dados StatusInvest'!$A:$AZ,COLUMN(W251)-$A$5,0)),0)</f>
        <v>25.22</v>
      </c>
      <c r="X251" s="53">
        <f>IFERROR((VLOOKUP($A251,'Dados StatusInvest'!$A:$AZ,COLUMN(X251)-$A$5,0)/VLOOKUP($A251,'Dados StatusInvest'!$A:$AZ,2,0)*$F251),0)</f>
        <v>6.45</v>
      </c>
      <c r="Y251" s="54">
        <f>IFERROR((VLOOKUP($A251,'Dados StatusInvest'!$A:$AZ,COLUMN(Y251)-$A$5,0)/VLOOKUP($A251,'Dados StatusInvest'!$A:$AZ,2,0)*$F251),0)</f>
        <v>14.07</v>
      </c>
      <c r="Z251" s="56">
        <f>IFERROR((VLOOKUP($A251,'Dados StatusInvest'!$A:$AZ,COLUMN(Z251)-$A$5,0)),0)</f>
        <v>0.26</v>
      </c>
      <c r="AA251" s="57">
        <f>IFERROR((VLOOKUP($A251,'Dados StatusInvest'!$A:$AZ,COLUMN(AA251)-$A$5,0)),0)</f>
        <v>0.74</v>
      </c>
      <c r="AB251" s="57">
        <f>IFERROR((VLOOKUP($A251,'Dados StatusInvest'!$A:$AZ,COLUMN(AB251)-$A$5,0)),0)</f>
        <v>0.59</v>
      </c>
      <c r="AC251" s="58">
        <f>IFERROR((VLOOKUP($A251,'Dados StatusInvest'!$A:$AZ,COLUMN(AC251)-$A$5,0)),0)</f>
        <v>10.74</v>
      </c>
      <c r="AD251" s="57">
        <f>IFERROR((VLOOKUP($A251,'Dados StatusInvest'!$A:$AZ,COLUMN(AD251)-$A$5,0)),0)</f>
        <v>10.97</v>
      </c>
      <c r="AE251" s="56">
        <f>IFERROR((VLOOKUP($A251,'Dados StatusInvest'!$A:$AZ,COLUMN(AE251)-$A$5,0)),0)</f>
        <v>6732.17</v>
      </c>
      <c r="AF251" s="56">
        <f>IFERROR((VLOOKUP($A251,'Dados StatusInvest'!$A:$AZ,COLUMN(AF251)-$A$5,0)),0)</f>
        <v>18.11</v>
      </c>
      <c r="AG251" s="56">
        <f>IFERROR((VLOOKUP($A251,'Dados StatusInvest'!$A:$AZ,COLUMN(AG251)-$A$5,0)),0)</f>
        <v>4.57</v>
      </c>
      <c r="AH251" s="56">
        <f>IFERROR((VLOOKUP($A251,'Dados StatusInvest'!$A:$AZ,COLUMN(AH251)-$A$5,0)),0)</f>
        <v>-0.55</v>
      </c>
      <c r="AI251" s="57">
        <f>IFERROR((VLOOKUP($A251,'Dados StatusInvest'!$A:$AZ,COLUMN(AI251)-$A$5,0)),0)</f>
        <v>11118437200</v>
      </c>
      <c r="AJ251" s="59" t="str">
        <f>IFERROR((VLOOKUP($A251,'Dados StatusInvest'!$A:$AZ,COLUMN(AJ251)-$A$5,0)),0)</f>
        <v/>
      </c>
      <c r="AK251" s="60" t="str">
        <f>IFERROR(__xludf.DUMMYFUNCTION("IFERROR(GOOGLEFINANCE($A251,""high""),"""")"),"")</f>
        <v/>
      </c>
      <c r="AL251" s="60" t="str">
        <f>IFERROR(__xludf.DUMMYFUNCTION("IFERROR(GOOGLEFINANCE($A251,""low""),"""")"),"")</f>
        <v/>
      </c>
      <c r="AM251" s="61">
        <f t="shared" si="2"/>
        <v>0</v>
      </c>
      <c r="AN251" s="62">
        <f>IFERROR(__xludf.DUMMYFUNCTION("IFERROR((GOOGLEFINANCE($A251,""volume"")),0)"),0.0)</f>
        <v>0</v>
      </c>
      <c r="AO251" s="60">
        <f>IFERROR(__xludf.DUMMYFUNCTION("IFERROR((GOOGLEFINANCE($A251,""closeyest"")),"""")"),51.99)</f>
        <v>51.99</v>
      </c>
      <c r="AP251" s="60">
        <f>IFERROR(__xludf.DUMMYFUNCTION("IFERROR((GOOGLEFINANCE($A251,""shares"")),"""")"),1.43412165E8)</f>
        <v>143412165</v>
      </c>
      <c r="AQ251" s="18"/>
    </row>
    <row r="252">
      <c r="A252" s="45" t="str">
        <f>'Dados StatusInvest'!A247:A866</f>
        <v>EPAR3</v>
      </c>
      <c r="B252" s="46" t="str">
        <f>IFERROR(__xludf.DUMMYFUNCTION("IFERROR((GOOGLEFINANCE(A252,""name"")),"""")"),"Embpar Participacoes SA")</f>
        <v>Embpar Participacoes SA</v>
      </c>
      <c r="C252" s="46" t="str">
        <f>IFERROR((VLOOKUP(LEFT($A252,4),Setor!$A:$E,3,0)),"")</f>
        <v/>
      </c>
      <c r="D252" s="46" t="str">
        <f>IFERROR((VLOOKUP(LEFT($A252,4),Setor!$A:$E,4,0)),"")</f>
        <v/>
      </c>
      <c r="E252" s="46" t="str">
        <f>IFERROR((VLOOKUP(LEFT($A252,4),Setor!$A:$E,5,0)),"")</f>
        <v/>
      </c>
      <c r="F252" s="47">
        <f>IFERROR(__xludf.DUMMYFUNCTION("IFERROR((GOOGLEFINANCE(A252)),"""")"),3.56)</f>
        <v>3.56</v>
      </c>
      <c r="G252" s="48" t="str">
        <f>IFERROR(__xludf.DUMMYFUNCTION("IFERROR((sparkline(GOOGLEFINANCE($A252,""price"",TODAY()-30,TODAY(),""DAILY""),{""charttype"",""line"";""linewidth"",1;""color"",""#5f88cc""})),"""")"),"")</f>
        <v/>
      </c>
      <c r="H252" s="49">
        <f>IFERROR(__xludf.DUMMYFUNCTION("IFERROR((((GOOGLEFINANCE(A252))-(INDEX(GoogleFinance(A252,""PRICE"",$AQ$1),2,2)))/(INDEX(GoogleFinance(A252,""PRICE"",$AQ$1),2,2))),"""")"),-0.09644670050761418)</f>
        <v>-0.09644670051</v>
      </c>
      <c r="I252" s="47">
        <f>IFERROR(__xludf.DUMMYFUNCTION("IFERROR((GOOGLEFINANCE($A252,""high52"")),"""")"),5.3)</f>
        <v>5.3</v>
      </c>
      <c r="J252" s="48" t="str">
        <f>IFERROR(__xludf.DUMMYFUNCTION("IFERROR((sparkline(GOOGLEFINANCE($A252,""price"",TODAY()-365,TODAY(),""DAILY""),{""charttype"",""line"";""linewidth"",1;""color"",""#5f88cc""})),"""")"),"")</f>
        <v/>
      </c>
      <c r="K252" s="50">
        <f>IFERROR(__xludf.DUMMYFUNCTION("IFERROR((((GOOGLEFINANCE(A252))-(INDEX(GoogleFinance(A252,""PRICE"",$AP$1),2,2)))/(INDEX(GoogleFinance(A252,""PRICE"",$AP$1),2,2))),"""")"),-0.28370221327967804)</f>
        <v>-0.2837022133</v>
      </c>
      <c r="L252" s="51">
        <f t="shared" si="1"/>
        <v>-0.3283018868</v>
      </c>
      <c r="M252" s="52">
        <f>IFERROR((VLOOKUP($A252,'Dados StatusInvest'!$A:$AZ,COLUMN(M252)-$A$5,0)*VLOOKUP($A252,'Dados StatusInvest'!$A:$AZ,2,0)/$F252/100),0)</f>
        <v>-1.189223315</v>
      </c>
      <c r="N252" s="53">
        <f>IFERROR((VLOOKUP($A252,'Dados StatusInvest'!$A:$AZ,COLUMN(N252)-$A$5,0)/VLOOKUP($A252,'Dados StatusInvest'!$A:$AZ,2,0)*$F252),"")</f>
        <v>267.1755616</v>
      </c>
      <c r="O252" s="53">
        <f>IFERROR((VLOOKUP($A252,'Dados StatusInvest'!$A:$AZ,COLUMN(O252)-$A$5,0)/VLOOKUP($A252,'Dados StatusInvest'!$A:$AZ,2,0)*$F252),0)</f>
        <v>-21.37950685</v>
      </c>
      <c r="P252" s="54">
        <f>IFERROR((VLOOKUP($A252,'Dados StatusInvest'!$A:$AZ,COLUMN(P252)-$A$5,0)/VLOOKUP($A252,'Dados StatusInvest'!$A:$AZ,2,0)*$F252),0)</f>
        <v>-20.03353425</v>
      </c>
      <c r="Q252" s="55">
        <f>IFERROR((VLOOKUP($A252,'Dados StatusInvest'!$A:$AZ,COLUMN(Q252)-$A$5,0)/100),0)</f>
        <v>0.0138</v>
      </c>
      <c r="R252" s="56">
        <f>VLOOKUP($A252,'Dados StatusInvest'!$A:$AZ,COLUMN(R252)-$A$5,0)</f>
        <v>-0.08</v>
      </c>
      <c r="S252" s="56">
        <f>IFERROR((VLOOKUP($A252,'Dados StatusInvest'!$A:$AZ,COLUMN(S252)-$A$5,0)),0)</f>
        <v>25.43</v>
      </c>
      <c r="T252" s="53">
        <f>IFERROR((VLOOKUP($A252,'Dados StatusInvest'!$A:$AZ,COLUMN(T252)-$A$5,0)/VLOOKUP($A252,'Dados StatusInvest'!$A:$AZ,2,0)*$F252),0)</f>
        <v>7.861260274</v>
      </c>
      <c r="U252" s="53">
        <f>IFERROR((VLOOKUP($A252,'Dados StatusInvest'!$A:$AZ,COLUMN(U252)-$A$5,0)-VLOOKUP($A252,'Dados StatusInvest'!$A:$AZ,COLUMN(U252)-$A$5-1,0)+T252),0)</f>
        <v>-1.328739726</v>
      </c>
      <c r="V252" s="56">
        <f>IFERROR((VLOOKUP($A252,'Dados StatusInvest'!$A:$AZ,COLUMN(V252)-$A$5,0)),0)</f>
        <v>4.12</v>
      </c>
      <c r="W252" s="56">
        <f>IFERROR((VLOOKUP($A252,'Dados StatusInvest'!$A:$AZ,COLUMN(W252)-$A$5,0)),0)</f>
        <v>13.99</v>
      </c>
      <c r="X252" s="53">
        <f>IFERROR((VLOOKUP($A252,'Dados StatusInvest'!$A:$AZ,COLUMN(X252)-$A$5,0)/VLOOKUP($A252,'Dados StatusInvest'!$A:$AZ,2,0)*$F252),0)</f>
        <v>10.0070137</v>
      </c>
      <c r="Y252" s="54">
        <f>IFERROR((VLOOKUP($A252,'Dados StatusInvest'!$A:$AZ,COLUMN(Y252)-$A$5,0)/VLOOKUP($A252,'Dados StatusInvest'!$A:$AZ,2,0)*$F252),0)</f>
        <v>-20.78454795</v>
      </c>
      <c r="Z252" s="56">
        <f>IFERROR((VLOOKUP($A252,'Dados StatusInvest'!$A:$AZ,COLUMN(Z252)-$A$5,0)),0)</f>
        <v>0.73</v>
      </c>
      <c r="AA252" s="57">
        <f>IFERROR((VLOOKUP($A252,'Dados StatusInvest'!$A:$AZ,COLUMN(AA252)-$A$5,0)),0)</f>
        <v>0.27</v>
      </c>
      <c r="AB252" s="57">
        <f>IFERROR((VLOOKUP($A252,'Dados StatusInvest'!$A:$AZ,COLUMN(AB252)-$A$5,0)),0)</f>
        <v>0.04</v>
      </c>
      <c r="AC252" s="58">
        <f>IFERROR((VLOOKUP($A252,'Dados StatusInvest'!$A:$AZ,COLUMN(AC252)-$A$5,0)),0)</f>
        <v>-44.69</v>
      </c>
      <c r="AD252" s="57">
        <f>IFERROR((VLOOKUP($A252,'Dados StatusInvest'!$A:$AZ,COLUMN(AD252)-$A$5,0)),0)</f>
        <v>-9.58</v>
      </c>
      <c r="AE252" s="56">
        <f>IFERROR((VLOOKUP($A252,'Dados StatusInvest'!$A:$AZ,COLUMN(AE252)-$A$5,0)),0)</f>
        <v>58412.43</v>
      </c>
      <c r="AF252" s="56">
        <f>IFERROR((VLOOKUP($A252,'Dados StatusInvest'!$A:$AZ,COLUMN(AF252)-$A$5,0)),0)</f>
        <v>2.81</v>
      </c>
      <c r="AG252" s="56">
        <f>IFERROR((VLOOKUP($A252,'Dados StatusInvest'!$A:$AZ,COLUMN(AG252)-$A$5,0)),0)</f>
        <v>0.39</v>
      </c>
      <c r="AH252" s="56">
        <f>IFERROR((VLOOKUP($A252,'Dados StatusInvest'!$A:$AZ,COLUMN(AH252)-$A$5,0)),0)</f>
        <v>-0.07</v>
      </c>
      <c r="AI252" s="57">
        <f>IFERROR((VLOOKUP($A252,'Dados StatusInvest'!$A:$AZ,COLUMN(AI252)-$A$5,0)),0)</f>
        <v>54241073.2</v>
      </c>
      <c r="AJ252" s="59" t="str">
        <f>IFERROR((VLOOKUP($A252,'Dados StatusInvest'!$A:$AZ,COLUMN(AJ252)-$A$5,0)),0)</f>
        <v/>
      </c>
      <c r="AK252" s="60">
        <f>IFERROR(__xludf.DUMMYFUNCTION("IFERROR(GOOGLEFINANCE($A252,""high""),"""")"),3.66)</f>
        <v>3.66</v>
      </c>
      <c r="AL252" s="60">
        <f>IFERROR(__xludf.DUMMYFUNCTION("IFERROR(GOOGLEFINANCE($A252,""low""),"""")"),3.55)</f>
        <v>3.55</v>
      </c>
      <c r="AM252" s="61">
        <f t="shared" si="2"/>
        <v>0.03098591549</v>
      </c>
      <c r="AN252" s="62">
        <f>IFERROR(__xludf.DUMMYFUNCTION("IFERROR((GOOGLEFINANCE($A252,""volume"")),0)"),1700.0)</f>
        <v>1700</v>
      </c>
      <c r="AO252" s="60">
        <f>IFERROR(__xludf.DUMMYFUNCTION("IFERROR((GOOGLEFINANCE($A252,""closeyest"")),"""")"),3.65)</f>
        <v>3.65</v>
      </c>
      <c r="AP252" s="60">
        <f>IFERROR(__xludf.DUMMYFUNCTION("IFERROR((GOOGLEFINANCE($A252,""shares"")),"""")"),1.4860568E7)</f>
        <v>14860568</v>
      </c>
      <c r="AQ252" s="18"/>
    </row>
    <row r="253">
      <c r="A253" s="45" t="str">
        <f>'Dados StatusInvest'!A248:A867</f>
        <v>EQPA3</v>
      </c>
      <c r="B253" s="46" t="str">
        <f>IFERROR(__xludf.DUMMYFUNCTION("IFERROR((GOOGLEFINANCE(A253,""name"")),"""")"),"Equatorial Para Dist De Energia Ord Shs")</f>
        <v>Equatorial Para Dist De Energia Ord Shs</v>
      </c>
      <c r="C253" s="46" t="str">
        <f>IFERROR((VLOOKUP(LEFT($A253,4),Setor!$A:$E,3,0)),"")</f>
        <v>Utilidade Pública</v>
      </c>
      <c r="D253" s="46" t="str">
        <f>IFERROR((VLOOKUP(LEFT($A253,4),Setor!$A:$E,4,0)),"")</f>
        <v>Energia Elétrica</v>
      </c>
      <c r="E253" s="46" t="str">
        <f>IFERROR((VLOOKUP(LEFT($A253,4),Setor!$A:$E,5,0)),"")</f>
        <v>Energia Elétrica</v>
      </c>
      <c r="F253" s="47">
        <f>IFERROR(__xludf.DUMMYFUNCTION("IFERROR((GOOGLEFINANCE(A253)),"""")"),6.3)</f>
        <v>6.3</v>
      </c>
      <c r="G253" s="48" t="str">
        <f>IFERROR(__xludf.DUMMYFUNCTION("IFERROR((sparkline(GOOGLEFINANCE($A253,""price"",TODAY()-30,TODAY(),""DAILY""),{""charttype"",""line"";""linewidth"",1;""color"",""#5f88cc""})),"""")"),"")</f>
        <v/>
      </c>
      <c r="H253" s="49">
        <f>IFERROR(__xludf.DUMMYFUNCTION("IFERROR((((GOOGLEFINANCE(A253))-(INDEX(GoogleFinance(A253,""PRICE"",$AQ$1),2,2)))/(INDEX(GoogleFinance(A253,""PRICE"",$AQ$1),2,2))),"""")"),0.014492753623188383)</f>
        <v>0.01449275362</v>
      </c>
      <c r="I253" s="47">
        <f>IFERROR(__xludf.DUMMYFUNCTION("IFERROR((GOOGLEFINANCE($A253,""high52"")),"""")"),6.58)</f>
        <v>6.58</v>
      </c>
      <c r="J253" s="48" t="str">
        <f>IFERROR(__xludf.DUMMYFUNCTION("IFERROR((sparkline(GOOGLEFINANCE($A253,""price"",TODAY()-365,TODAY(),""DAILY""),{""charttype"",""line"";""linewidth"",1;""color"",""#5f88cc""})),"""")"),"")</f>
        <v/>
      </c>
      <c r="K253" s="50">
        <f>IFERROR(__xludf.DUMMYFUNCTION("IFERROR((((GOOGLEFINANCE(A253))-(INDEX(GoogleFinance(A253,""PRICE"",$AP$1),2,2)))/(INDEX(GoogleFinance(A253,""PRICE"",$AP$1),2,2))),"""")"),0.141304347826087)</f>
        <v>0.1413043478</v>
      </c>
      <c r="L253" s="51">
        <f t="shared" si="1"/>
        <v>-0.04255319149</v>
      </c>
      <c r="M253" s="52">
        <f>IFERROR((VLOOKUP($A253,'Dados StatusInvest'!$A:$AZ,COLUMN(M253)-$A$5,0)*VLOOKUP($A253,'Dados StatusInvest'!$A:$AZ,2,0)/$F253/100),0)</f>
        <v>0.1952495238</v>
      </c>
      <c r="N253" s="53">
        <f>IFERROR((VLOOKUP($A253,'Dados StatusInvest'!$A:$AZ,COLUMN(N253)-$A$5,0)/VLOOKUP($A253,'Dados StatusInvest'!$A:$AZ,2,0)*$F253),"")</f>
        <v>13.5911215</v>
      </c>
      <c r="O253" s="53">
        <f>IFERROR((VLOOKUP($A253,'Dados StatusInvest'!$A:$AZ,COLUMN(O253)-$A$5,0)/VLOOKUP($A253,'Dados StatusInvest'!$A:$AZ,2,0)*$F253),0)</f>
        <v>6.103738318</v>
      </c>
      <c r="P253" s="54">
        <f>IFERROR((VLOOKUP($A253,'Dados StatusInvest'!$A:$AZ,COLUMN(P253)-$A$5,0)/VLOOKUP($A253,'Dados StatusInvest'!$A:$AZ,2,0)*$F253),0)</f>
        <v>8.036915888</v>
      </c>
      <c r="Q253" s="55">
        <f>IFERROR((VLOOKUP($A253,'Dados StatusInvest'!$A:$AZ,COLUMN(Q253)-$A$5,0)/100),0)</f>
        <v>0.0197</v>
      </c>
      <c r="R253" s="56">
        <f>VLOOKUP($A253,'Dados StatusInvest'!$A:$AZ,COLUMN(R253)-$A$5,0)</f>
        <v>0.89</v>
      </c>
      <c r="S253" s="56">
        <f>IFERROR((VLOOKUP($A253,'Dados StatusInvest'!$A:$AZ,COLUMN(S253)-$A$5,0)),0)</f>
        <v>1.19</v>
      </c>
      <c r="T253" s="53">
        <f>IFERROR((VLOOKUP($A253,'Dados StatusInvest'!$A:$AZ,COLUMN(T253)-$A$5,0)/VLOOKUP($A253,'Dados StatusInvest'!$A:$AZ,2,0)*$F253),0)</f>
        <v>4.563084112</v>
      </c>
      <c r="U253" s="53">
        <f>IFERROR((VLOOKUP($A253,'Dados StatusInvest'!$A:$AZ,COLUMN(U253)-$A$5,0)-VLOOKUP($A253,'Dados StatusInvest'!$A:$AZ,COLUMN(U253)-$A$5-1,0)+T253),0)</f>
        <v>-1.186915888</v>
      </c>
      <c r="V253" s="56">
        <f>IFERROR((VLOOKUP($A253,'Dados StatusInvest'!$A:$AZ,COLUMN(V253)-$A$5,0)),0)</f>
        <v>1.49</v>
      </c>
      <c r="W253" s="56">
        <f>IFERROR((VLOOKUP($A253,'Dados StatusInvest'!$A:$AZ,COLUMN(W253)-$A$5,0)),0)</f>
        <v>32.49</v>
      </c>
      <c r="X253" s="53">
        <f>IFERROR((VLOOKUP($A253,'Dados StatusInvest'!$A:$AZ,COLUMN(X253)-$A$5,0)/VLOOKUP($A253,'Dados StatusInvest'!$A:$AZ,2,0)*$F253),0)</f>
        <v>7.300934579</v>
      </c>
      <c r="Y253" s="54">
        <f>IFERROR((VLOOKUP($A253,'Dados StatusInvest'!$A:$AZ,COLUMN(Y253)-$A$5,0)/VLOOKUP($A253,'Dados StatusInvest'!$A:$AZ,2,0)*$F253),0)</f>
        <v>14.61168224</v>
      </c>
      <c r="Z253" s="56">
        <f>IFERROR((VLOOKUP($A253,'Dados StatusInvest'!$A:$AZ,COLUMN(Z253)-$A$5,0)),0)</f>
        <v>0.23</v>
      </c>
      <c r="AA253" s="57">
        <f>IFERROR((VLOOKUP($A253,'Dados StatusInvest'!$A:$AZ,COLUMN(AA253)-$A$5,0)),0)</f>
        <v>0.77</v>
      </c>
      <c r="AB253" s="57">
        <f>IFERROR((VLOOKUP($A253,'Dados StatusInvest'!$A:$AZ,COLUMN(AB253)-$A$5,0)),0)</f>
        <v>0.54</v>
      </c>
      <c r="AC253" s="58">
        <f>IFERROR((VLOOKUP($A253,'Dados StatusInvest'!$A:$AZ,COLUMN(AC253)-$A$5,0)),0)</f>
        <v>14.19</v>
      </c>
      <c r="AD253" s="57">
        <f>IFERROR((VLOOKUP($A253,'Dados StatusInvest'!$A:$AZ,COLUMN(AD253)-$A$5,0)),0)</f>
        <v>28.57</v>
      </c>
      <c r="AE253" s="56">
        <f>IFERROR((VLOOKUP($A253,'Dados StatusInvest'!$A:$AZ,COLUMN(AE253)-$A$5,0)),0)</f>
        <v>35633.86</v>
      </c>
      <c r="AF253" s="56">
        <f>IFERROR((VLOOKUP($A253,'Dados StatusInvest'!$A:$AZ,COLUMN(AF253)-$A$5,0)),0)</f>
        <v>2.3</v>
      </c>
      <c r="AG253" s="56">
        <f>IFERROR((VLOOKUP($A253,'Dados StatusInvest'!$A:$AZ,COLUMN(AG253)-$A$5,0)),0)</f>
        <v>0.75</v>
      </c>
      <c r="AH253" s="56">
        <f>IFERROR((VLOOKUP($A253,'Dados StatusInvest'!$A:$AZ,COLUMN(AH253)-$A$5,0)),0)</f>
        <v>-0.42</v>
      </c>
      <c r="AI253" s="57">
        <f>IFERROR((VLOOKUP($A253,'Dados StatusInvest'!$A:$AZ,COLUMN(AI253)-$A$5,0)),0)</f>
        <v>14183012209</v>
      </c>
      <c r="AJ253" s="59" t="str">
        <f>IFERROR((VLOOKUP($A253,'Dados StatusInvest'!$A:$AZ,COLUMN(AJ253)-$A$5,0)),0)</f>
        <v/>
      </c>
      <c r="AK253" s="60">
        <f>IFERROR(__xludf.DUMMYFUNCTION("IFERROR(GOOGLEFINANCE($A253,""high""),"""")"),6.3)</f>
        <v>6.3</v>
      </c>
      <c r="AL253" s="60">
        <f>IFERROR(__xludf.DUMMYFUNCTION("IFERROR(GOOGLEFINANCE($A253,""low""),"""")"),6.3)</f>
        <v>6.3</v>
      </c>
      <c r="AM253" s="61">
        <f t="shared" si="2"/>
        <v>0</v>
      </c>
      <c r="AN253" s="62">
        <f>IFERROR(__xludf.DUMMYFUNCTION("IFERROR((GOOGLEFINANCE($A253,""volume"")),0)"),100.0)</f>
        <v>100</v>
      </c>
      <c r="AO253" s="60">
        <f>IFERROR(__xludf.DUMMYFUNCTION("IFERROR((GOOGLEFINANCE($A253,""closeyest"")),"""")"),6.42)</f>
        <v>6.42</v>
      </c>
      <c r="AP253" s="60">
        <f>IFERROR(__xludf.DUMMYFUNCTION("IFERROR((GOOGLEFINANCE($A253,""shares"")),"""")"),2.204620569E9)</f>
        <v>2204620569</v>
      </c>
      <c r="AQ253" s="18"/>
    </row>
    <row r="254">
      <c r="A254" s="45" t="str">
        <f>'Dados StatusInvest'!A249:A868</f>
        <v>EQPA5</v>
      </c>
      <c r="B254" s="46" t="str">
        <f>IFERROR(__xludf.DUMMYFUNCTION("IFERROR((GOOGLEFINANCE(A254,""name"")),"""")"),"Equatorial Para Distribuidra de Enrga SA")</f>
        <v>Equatorial Para Distribuidra de Enrga SA</v>
      </c>
      <c r="C254" s="46" t="str">
        <f>IFERROR((VLOOKUP(LEFT($A254,4),Setor!$A:$E,3,0)),"")</f>
        <v>Utilidade Pública</v>
      </c>
      <c r="D254" s="46" t="str">
        <f>IFERROR((VLOOKUP(LEFT($A254,4),Setor!$A:$E,4,0)),"")</f>
        <v>Energia Elétrica</v>
      </c>
      <c r="E254" s="46" t="str">
        <f>IFERROR((VLOOKUP(LEFT($A254,4),Setor!$A:$E,5,0)),"")</f>
        <v>Energia Elétrica</v>
      </c>
      <c r="F254" s="47">
        <f>IFERROR(__xludf.DUMMYFUNCTION("IFERROR((GOOGLEFINANCE(A254)),"""")"),11.0)</f>
        <v>11</v>
      </c>
      <c r="G254" s="48" t="str">
        <f>IFERROR(__xludf.DUMMYFUNCTION("IFERROR((sparkline(GOOGLEFINANCE($A254,""price"",TODAY()-30,TODAY(),""DAILY""),{""charttype"",""line"";""linewidth"",1;""color"",""#5f88cc""})),"""")"),"")</f>
        <v/>
      </c>
      <c r="H254" s="49" t="str">
        <f>IFERROR(__xludf.DUMMYFUNCTION("IFERROR((((GOOGLEFINANCE(A254))-(INDEX(GoogleFinance(A254,""PRICE"",$AQ$1),2,2)))/(INDEX(GoogleFinance(A254,""PRICE"",$AQ$1),2,2))),"""")"),"")</f>
        <v/>
      </c>
      <c r="I254" s="47">
        <f>IFERROR(__xludf.DUMMYFUNCTION("IFERROR((GOOGLEFINANCE($A254,""high52"")),"""")"),17.0)</f>
        <v>17</v>
      </c>
      <c r="J254" s="48" t="str">
        <f>IFERROR(__xludf.DUMMYFUNCTION("IFERROR((sparkline(GOOGLEFINANCE($A254,""price"",TODAY()-365,TODAY(),""DAILY""),{""charttype"",""line"";""linewidth"",1;""color"",""#5f88cc""})),"""")"),"")</f>
        <v/>
      </c>
      <c r="K254" s="50" t="str">
        <f>IFERROR(__xludf.DUMMYFUNCTION("IFERROR((((GOOGLEFINANCE(A254))-(INDEX(GoogleFinance(A254,""PRICE"",$AP$1),2,2)))/(INDEX(GoogleFinance(A254,""PRICE"",$AP$1),2,2))),"""")"),"")</f>
        <v/>
      </c>
      <c r="L254" s="51">
        <f t="shared" si="1"/>
        <v>-0.3529411765</v>
      </c>
      <c r="M254" s="52">
        <f>IFERROR((VLOOKUP($A254,'Dados StatusInvest'!$A:$AZ,COLUMN(M254)-$A$5,0)*VLOOKUP($A254,'Dados StatusInvest'!$A:$AZ,2,0)/$F254/100),0)</f>
        <v>0.1916</v>
      </c>
      <c r="N254" s="53">
        <f>IFERROR((VLOOKUP($A254,'Dados StatusInvest'!$A:$AZ,COLUMN(N254)-$A$5,0)/VLOOKUP($A254,'Dados StatusInvest'!$A:$AZ,2,0)*$F254),"")</f>
        <v>13.85</v>
      </c>
      <c r="O254" s="53">
        <f>IFERROR((VLOOKUP($A254,'Dados StatusInvest'!$A:$AZ,COLUMN(O254)-$A$5,0)/VLOOKUP($A254,'Dados StatusInvest'!$A:$AZ,2,0)*$F254),0)</f>
        <v>10.65</v>
      </c>
      <c r="P254" s="54">
        <f>IFERROR((VLOOKUP($A254,'Dados StatusInvest'!$A:$AZ,COLUMN(P254)-$A$5,0)/VLOOKUP($A254,'Dados StatusInvest'!$A:$AZ,2,0)*$F254),0)</f>
        <v>8.19</v>
      </c>
      <c r="Q254" s="55">
        <f>IFERROR((VLOOKUP($A254,'Dados StatusInvest'!$A:$AZ,COLUMN(Q254)-$A$5,0)/100),0)</f>
        <v>0.0197</v>
      </c>
      <c r="R254" s="56">
        <f>VLOOKUP($A254,'Dados StatusInvest'!$A:$AZ,COLUMN(R254)-$A$5,0)</f>
        <v>0.89</v>
      </c>
      <c r="S254" s="56">
        <f>IFERROR((VLOOKUP($A254,'Dados StatusInvest'!$A:$AZ,COLUMN(S254)-$A$5,0)),0)</f>
        <v>2.04</v>
      </c>
      <c r="T254" s="53">
        <f>IFERROR((VLOOKUP($A254,'Dados StatusInvest'!$A:$AZ,COLUMN(T254)-$A$5,0)/VLOOKUP($A254,'Dados StatusInvest'!$A:$AZ,2,0)*$F254),0)</f>
        <v>7.97</v>
      </c>
      <c r="U254" s="53">
        <f>IFERROR((VLOOKUP($A254,'Dados StatusInvest'!$A:$AZ,COLUMN(U254)-$A$5,0)-VLOOKUP($A254,'Dados StatusInvest'!$A:$AZ,COLUMN(U254)-$A$5-1,0)+T254),0)</f>
        <v>-1.89</v>
      </c>
      <c r="V254" s="56">
        <f>IFERROR((VLOOKUP($A254,'Dados StatusInvest'!$A:$AZ,COLUMN(V254)-$A$5,0)),0)</f>
        <v>1.49</v>
      </c>
      <c r="W254" s="56">
        <f>IFERROR((VLOOKUP($A254,'Dados StatusInvest'!$A:$AZ,COLUMN(W254)-$A$5,0)),0)</f>
        <v>32.49</v>
      </c>
      <c r="X254" s="53">
        <f>IFERROR((VLOOKUP($A254,'Dados StatusInvest'!$A:$AZ,COLUMN(X254)-$A$5,0)/VLOOKUP($A254,'Dados StatusInvest'!$A:$AZ,2,0)*$F254),0)</f>
        <v>7.44</v>
      </c>
      <c r="Y254" s="54">
        <f>IFERROR((VLOOKUP($A254,'Dados StatusInvest'!$A:$AZ,COLUMN(Y254)-$A$5,0)/VLOOKUP($A254,'Dados StatusInvest'!$A:$AZ,2,0)*$F254),0)</f>
        <v>14.89</v>
      </c>
      <c r="Z254" s="56">
        <f>IFERROR((VLOOKUP($A254,'Dados StatusInvest'!$A:$AZ,COLUMN(Z254)-$A$5,0)),0)</f>
        <v>0.23</v>
      </c>
      <c r="AA254" s="57">
        <f>IFERROR((VLOOKUP($A254,'Dados StatusInvest'!$A:$AZ,COLUMN(AA254)-$A$5,0)),0)</f>
        <v>0.77</v>
      </c>
      <c r="AB254" s="57">
        <f>IFERROR((VLOOKUP($A254,'Dados StatusInvest'!$A:$AZ,COLUMN(AB254)-$A$5,0)),0)</f>
        <v>0.54</v>
      </c>
      <c r="AC254" s="58">
        <f>IFERROR((VLOOKUP($A254,'Dados StatusInvest'!$A:$AZ,COLUMN(AC254)-$A$5,0)),0)</f>
        <v>14.19</v>
      </c>
      <c r="AD254" s="57">
        <f>IFERROR((VLOOKUP($A254,'Dados StatusInvest'!$A:$AZ,COLUMN(AD254)-$A$5,0)),0)</f>
        <v>28.57</v>
      </c>
      <c r="AE254" s="56">
        <f>IFERROR((VLOOKUP($A254,'Dados StatusInvest'!$A:$AZ,COLUMN(AE254)-$A$5,0)),0)</f>
        <v>466</v>
      </c>
      <c r="AF254" s="56">
        <f>IFERROR((VLOOKUP($A254,'Dados StatusInvest'!$A:$AZ,COLUMN(AF254)-$A$5,0)),0)</f>
        <v>2.3</v>
      </c>
      <c r="AG254" s="56">
        <f>IFERROR((VLOOKUP($A254,'Dados StatusInvest'!$A:$AZ,COLUMN(AG254)-$A$5,0)),0)</f>
        <v>0.75</v>
      </c>
      <c r="AH254" s="56">
        <f>IFERROR((VLOOKUP($A254,'Dados StatusInvest'!$A:$AZ,COLUMN(AH254)-$A$5,0)),0)</f>
        <v>-0.72</v>
      </c>
      <c r="AI254" s="57">
        <f>IFERROR((VLOOKUP($A254,'Dados StatusInvest'!$A:$AZ,COLUMN(AI254)-$A$5,0)),0)</f>
        <v>14183012209</v>
      </c>
      <c r="AJ254" s="59" t="str">
        <f>IFERROR((VLOOKUP($A254,'Dados StatusInvest'!$A:$AZ,COLUMN(AJ254)-$A$5,0)),0)</f>
        <v/>
      </c>
      <c r="AK254" s="60" t="str">
        <f>IFERROR(__xludf.DUMMYFUNCTION("IFERROR(GOOGLEFINANCE($A254,""high""),"""")"),"")</f>
        <v/>
      </c>
      <c r="AL254" s="60" t="str">
        <f>IFERROR(__xludf.DUMMYFUNCTION("IFERROR(GOOGLEFINANCE($A254,""low""),"""")"),"")</f>
        <v/>
      </c>
      <c r="AM254" s="61">
        <f t="shared" si="2"/>
        <v>0</v>
      </c>
      <c r="AN254" s="62">
        <f>IFERROR(__xludf.DUMMYFUNCTION("IFERROR((GOOGLEFINANCE($A254,""volume"")),0)"),0.0)</f>
        <v>0</v>
      </c>
      <c r="AO254" s="60">
        <f>IFERROR(__xludf.DUMMYFUNCTION("IFERROR((GOOGLEFINANCE($A254,""closeyest"")),"""")"),11.0)</f>
        <v>11</v>
      </c>
      <c r="AP254" s="60">
        <f>IFERROR(__xludf.DUMMYFUNCTION("IFERROR((GOOGLEFINANCE($A254,""shares"")),"""")"),2166816.0)</f>
        <v>2166816</v>
      </c>
      <c r="AQ254" s="18"/>
    </row>
    <row r="255">
      <c r="A255" s="45" t="str">
        <f>'Dados StatusInvest'!A250:A869</f>
        <v>EQPA6</v>
      </c>
      <c r="B255" s="46" t="str">
        <f>IFERROR(__xludf.DUMMYFUNCTION("IFERROR((GOOGLEFINANCE(A255,""name"")),"""")"),"Equatorial Para Dist Energia Prf Shs Class B")</f>
        <v>Equatorial Para Dist Energia Prf Shs Class B</v>
      </c>
      <c r="C255" s="46" t="str">
        <f>IFERROR((VLOOKUP(LEFT($A255,4),Setor!$A:$E,3,0)),"")</f>
        <v>Utilidade Pública</v>
      </c>
      <c r="D255" s="46" t="str">
        <f>IFERROR((VLOOKUP(LEFT($A255,4),Setor!$A:$E,4,0)),"")</f>
        <v>Energia Elétrica</v>
      </c>
      <c r="E255" s="46" t="str">
        <f>IFERROR((VLOOKUP(LEFT($A255,4),Setor!$A:$E,5,0)),"")</f>
        <v>Energia Elétrica</v>
      </c>
      <c r="F255" s="47">
        <f>IFERROR(__xludf.DUMMYFUNCTION("IFERROR((GOOGLEFINANCE(A255)),"""")"),6.59)</f>
        <v>6.59</v>
      </c>
      <c r="G255" s="48" t="str">
        <f>IFERROR(__xludf.DUMMYFUNCTION("IFERROR((sparkline(GOOGLEFINANCE($A255,""price"",TODAY()-30,TODAY(),""DAILY""),{""charttype"",""line"";""linewidth"",1;""color"",""#5f88cc""})),"""")"),"")</f>
        <v/>
      </c>
      <c r="H255" s="49" t="str">
        <f>IFERROR(__xludf.DUMMYFUNCTION("IFERROR((((GOOGLEFINANCE(A255))-(INDEX(GoogleFinance(A255,""PRICE"",$AQ$1),2,2)))/(INDEX(GoogleFinance(A255,""PRICE"",$AQ$1),2,2))),"""")"),"")</f>
        <v/>
      </c>
      <c r="I255" s="47">
        <f>IFERROR(__xludf.DUMMYFUNCTION("IFERROR((GOOGLEFINANCE($A255,""high52"")),"""")"),7.12)</f>
        <v>7.12</v>
      </c>
      <c r="J255" s="48" t="str">
        <f>IFERROR(__xludf.DUMMYFUNCTION("IFERROR((sparkline(GOOGLEFINANCE($A255,""price"",TODAY()-365,TODAY(),""DAILY""),{""charttype"",""line"";""linewidth"",1;""color"",""#5f88cc""})),"""")"),"")</f>
        <v/>
      </c>
      <c r="K255" s="50" t="str">
        <f>IFERROR(__xludf.DUMMYFUNCTION("IFERROR((((GOOGLEFINANCE(A255))-(INDEX(GoogleFinance(A255,""PRICE"",$AP$1),2,2)))/(INDEX(GoogleFinance(A255,""PRICE"",$AP$1),2,2))),"""")"),"")</f>
        <v/>
      </c>
      <c r="L255" s="51">
        <f t="shared" si="1"/>
        <v>-0.07443820225</v>
      </c>
      <c r="M255" s="52">
        <f>IFERROR((VLOOKUP($A255,'Dados StatusInvest'!$A:$AZ,COLUMN(M255)-$A$5,0)*VLOOKUP($A255,'Dados StatusInvest'!$A:$AZ,2,0)/$F255/100),0)</f>
        <v>0.1916</v>
      </c>
      <c r="N255" s="53">
        <f>IFERROR((VLOOKUP($A255,'Dados StatusInvest'!$A:$AZ,COLUMN(N255)-$A$5,0)/VLOOKUP($A255,'Dados StatusInvest'!$A:$AZ,2,0)*$F255),"")</f>
        <v>13.85</v>
      </c>
      <c r="O255" s="53">
        <f>IFERROR((VLOOKUP($A255,'Dados StatusInvest'!$A:$AZ,COLUMN(O255)-$A$5,0)/VLOOKUP($A255,'Dados StatusInvest'!$A:$AZ,2,0)*$F255),0)</f>
        <v>6.38</v>
      </c>
      <c r="P255" s="54">
        <f>IFERROR((VLOOKUP($A255,'Dados StatusInvest'!$A:$AZ,COLUMN(P255)-$A$5,0)/VLOOKUP($A255,'Dados StatusInvest'!$A:$AZ,2,0)*$F255),0)</f>
        <v>8.19</v>
      </c>
      <c r="Q255" s="55">
        <f>IFERROR((VLOOKUP($A255,'Dados StatusInvest'!$A:$AZ,COLUMN(Q255)-$A$5,0)/100),0)</f>
        <v>0.0197</v>
      </c>
      <c r="R255" s="56">
        <f>VLOOKUP($A255,'Dados StatusInvest'!$A:$AZ,COLUMN(R255)-$A$5,0)</f>
        <v>0.89</v>
      </c>
      <c r="S255" s="56">
        <f>IFERROR((VLOOKUP($A255,'Dados StatusInvest'!$A:$AZ,COLUMN(S255)-$A$5,0)),0)</f>
        <v>1.22</v>
      </c>
      <c r="T255" s="53">
        <f>IFERROR((VLOOKUP($A255,'Dados StatusInvest'!$A:$AZ,COLUMN(T255)-$A$5,0)/VLOOKUP($A255,'Dados StatusInvest'!$A:$AZ,2,0)*$F255),0)</f>
        <v>4.77</v>
      </c>
      <c r="U255" s="53">
        <f>IFERROR((VLOOKUP($A255,'Dados StatusInvest'!$A:$AZ,COLUMN(U255)-$A$5,0)-VLOOKUP($A255,'Dados StatusInvest'!$A:$AZ,COLUMN(U255)-$A$5-1,0)+T255),0)</f>
        <v>-1.13</v>
      </c>
      <c r="V255" s="56">
        <f>IFERROR((VLOOKUP($A255,'Dados StatusInvest'!$A:$AZ,COLUMN(V255)-$A$5,0)),0)</f>
        <v>1.49</v>
      </c>
      <c r="W255" s="56">
        <f>IFERROR((VLOOKUP($A255,'Dados StatusInvest'!$A:$AZ,COLUMN(W255)-$A$5,0)),0)</f>
        <v>32.49</v>
      </c>
      <c r="X255" s="53">
        <f>IFERROR((VLOOKUP($A255,'Dados StatusInvest'!$A:$AZ,COLUMN(X255)-$A$5,0)/VLOOKUP($A255,'Dados StatusInvest'!$A:$AZ,2,0)*$F255),0)</f>
        <v>7.44</v>
      </c>
      <c r="Y255" s="54">
        <f>IFERROR((VLOOKUP($A255,'Dados StatusInvest'!$A:$AZ,COLUMN(Y255)-$A$5,0)/VLOOKUP($A255,'Dados StatusInvest'!$A:$AZ,2,0)*$F255),0)</f>
        <v>14.89</v>
      </c>
      <c r="Z255" s="56">
        <f>IFERROR((VLOOKUP($A255,'Dados StatusInvest'!$A:$AZ,COLUMN(Z255)-$A$5,0)),0)</f>
        <v>0.23</v>
      </c>
      <c r="AA255" s="57">
        <f>IFERROR((VLOOKUP($A255,'Dados StatusInvest'!$A:$AZ,COLUMN(AA255)-$A$5,0)),0)</f>
        <v>0.77</v>
      </c>
      <c r="AB255" s="57">
        <f>IFERROR((VLOOKUP($A255,'Dados StatusInvest'!$A:$AZ,COLUMN(AB255)-$A$5,0)),0)</f>
        <v>0.54</v>
      </c>
      <c r="AC255" s="58">
        <f>IFERROR((VLOOKUP($A255,'Dados StatusInvest'!$A:$AZ,COLUMN(AC255)-$A$5,0)),0)</f>
        <v>14.19</v>
      </c>
      <c r="AD255" s="57">
        <f>IFERROR((VLOOKUP($A255,'Dados StatusInvest'!$A:$AZ,COLUMN(AD255)-$A$5,0)),0)</f>
        <v>28.57</v>
      </c>
      <c r="AE255" s="56">
        <f>IFERROR((VLOOKUP($A255,'Dados StatusInvest'!$A:$AZ,COLUMN(AE255)-$A$5,0)),0)</f>
        <v>659</v>
      </c>
      <c r="AF255" s="56">
        <f>IFERROR((VLOOKUP($A255,'Dados StatusInvest'!$A:$AZ,COLUMN(AF255)-$A$5,0)),0)</f>
        <v>2.3</v>
      </c>
      <c r="AG255" s="56">
        <f>IFERROR((VLOOKUP($A255,'Dados StatusInvest'!$A:$AZ,COLUMN(AG255)-$A$5,0)),0)</f>
        <v>0.75</v>
      </c>
      <c r="AH255" s="56">
        <f>IFERROR((VLOOKUP($A255,'Dados StatusInvest'!$A:$AZ,COLUMN(AH255)-$A$5,0)),0)</f>
        <v>-0.43</v>
      </c>
      <c r="AI255" s="57">
        <f>IFERROR((VLOOKUP($A255,'Dados StatusInvest'!$A:$AZ,COLUMN(AI255)-$A$5,0)),0)</f>
        <v>14183012209</v>
      </c>
      <c r="AJ255" s="59" t="str">
        <f>IFERROR((VLOOKUP($A255,'Dados StatusInvest'!$A:$AZ,COLUMN(AJ255)-$A$5,0)),0)</f>
        <v/>
      </c>
      <c r="AK255" s="60" t="str">
        <f>IFERROR(__xludf.DUMMYFUNCTION("IFERROR(GOOGLEFINANCE($A255,""high""),"""")"),"")</f>
        <v/>
      </c>
      <c r="AL255" s="60" t="str">
        <f>IFERROR(__xludf.DUMMYFUNCTION("IFERROR(GOOGLEFINANCE($A255,""low""),"""")"),"")</f>
        <v/>
      </c>
      <c r="AM255" s="61">
        <f t="shared" si="2"/>
        <v>0</v>
      </c>
      <c r="AN255" s="62">
        <f>IFERROR(__xludf.DUMMYFUNCTION("IFERROR((GOOGLEFINANCE($A255,""volume"")),0)"),0.0)</f>
        <v>0</v>
      </c>
      <c r="AO255" s="60">
        <f>IFERROR(__xludf.DUMMYFUNCTION("IFERROR((GOOGLEFINANCE($A255,""closeyest"")),"""")"),6.59)</f>
        <v>6.59</v>
      </c>
      <c r="AP255" s="60">
        <f>IFERROR(__xludf.DUMMYFUNCTION("IFERROR((GOOGLEFINANCE($A255,""shares"")),"""")"),1085373.0)</f>
        <v>1085373</v>
      </c>
      <c r="AQ255" s="18"/>
    </row>
    <row r="256">
      <c r="A256" s="45" t="str">
        <f>'Dados StatusInvest'!A251:A870</f>
        <v>EQPA7</v>
      </c>
      <c r="B256" s="46" t="str">
        <f>IFERROR(__xludf.DUMMYFUNCTION("IFERROR((GOOGLEFINANCE(A256,""name"")),"""")"),"Equatorial Para Dist Energia Prf Shs Class C")</f>
        <v>Equatorial Para Dist Energia Prf Shs Class C</v>
      </c>
      <c r="C256" s="46" t="str">
        <f>IFERROR((VLOOKUP(LEFT($A256,4),Setor!$A:$E,3,0)),"")</f>
        <v>Utilidade Pública</v>
      </c>
      <c r="D256" s="46" t="str">
        <f>IFERROR((VLOOKUP(LEFT($A256,4),Setor!$A:$E,4,0)),"")</f>
        <v>Energia Elétrica</v>
      </c>
      <c r="E256" s="46" t="str">
        <f>IFERROR((VLOOKUP(LEFT($A256,4),Setor!$A:$E,5,0)),"")</f>
        <v>Energia Elétrica</v>
      </c>
      <c r="F256" s="47">
        <f>IFERROR(__xludf.DUMMYFUNCTION("IFERROR((GOOGLEFINANCE(A256)),"""")"),10.0)</f>
        <v>10</v>
      </c>
      <c r="G256" s="48" t="str">
        <f>IFERROR(__xludf.DUMMYFUNCTION("IFERROR((sparkline(GOOGLEFINANCE($A256,""price"",TODAY()-30,TODAY(),""DAILY""),{""charttype"",""line"";""linewidth"",1;""color"",""#5f88cc""})),"""")"),"")</f>
        <v/>
      </c>
      <c r="H256" s="49">
        <f>IFERROR(__xludf.DUMMYFUNCTION("IFERROR((((GOOGLEFINANCE(A256))-(INDEX(GoogleFinance(A256,""PRICE"",$AQ$1),2,2)))/(INDEX(GoogleFinance(A256,""PRICE"",$AQ$1),2,2))),"""")"),0.8148820326678766)</f>
        <v>0.8148820327</v>
      </c>
      <c r="I256" s="47">
        <f>IFERROR(__xludf.DUMMYFUNCTION("IFERROR((GOOGLEFINANCE($A256,""high52"")),"""")"),10.0)</f>
        <v>10</v>
      </c>
      <c r="J256" s="48" t="str">
        <f>IFERROR(__xludf.DUMMYFUNCTION("IFERROR((sparkline(GOOGLEFINANCE($A256,""price"",TODAY()-365,TODAY(),""DAILY""),{""charttype"",""line"";""linewidth"",1;""color"",""#5f88cc""})),"""")"),"")</f>
        <v/>
      </c>
      <c r="K256" s="50" t="str">
        <f>IFERROR(__xludf.DUMMYFUNCTION("IFERROR((((GOOGLEFINANCE(A256))-(INDEX(GoogleFinance(A256,""PRICE"",$AP$1),2,2)))/(INDEX(GoogleFinance(A256,""PRICE"",$AP$1),2,2))),"""")"),"")</f>
        <v/>
      </c>
      <c r="L256" s="51">
        <f t="shared" si="1"/>
        <v>0</v>
      </c>
      <c r="M256" s="52">
        <f>IFERROR((VLOOKUP($A256,'Dados StatusInvest'!$A:$AZ,COLUMN(M256)-$A$5,0)*VLOOKUP($A256,'Dados StatusInvest'!$A:$AZ,2,0)/$F256/100),0)</f>
        <v>0.1916</v>
      </c>
      <c r="N256" s="53">
        <f>IFERROR((VLOOKUP($A256,'Dados StatusInvest'!$A:$AZ,COLUMN(N256)-$A$5,0)/VLOOKUP($A256,'Dados StatusInvest'!$A:$AZ,2,0)*$F256),"")</f>
        <v>13.85</v>
      </c>
      <c r="O256" s="53">
        <f>IFERROR((VLOOKUP($A256,'Dados StatusInvest'!$A:$AZ,COLUMN(O256)-$A$5,0)/VLOOKUP($A256,'Dados StatusInvest'!$A:$AZ,2,0)*$F256),0)</f>
        <v>9.68</v>
      </c>
      <c r="P256" s="54">
        <f>IFERROR((VLOOKUP($A256,'Dados StatusInvest'!$A:$AZ,COLUMN(P256)-$A$5,0)/VLOOKUP($A256,'Dados StatusInvest'!$A:$AZ,2,0)*$F256),0)</f>
        <v>8.19</v>
      </c>
      <c r="Q256" s="55">
        <f>IFERROR((VLOOKUP($A256,'Dados StatusInvest'!$A:$AZ,COLUMN(Q256)-$A$5,0)/100),0)</f>
        <v>0.0197</v>
      </c>
      <c r="R256" s="56">
        <f>VLOOKUP($A256,'Dados StatusInvest'!$A:$AZ,COLUMN(R256)-$A$5,0)</f>
        <v>0.89</v>
      </c>
      <c r="S256" s="56">
        <f>IFERROR((VLOOKUP($A256,'Dados StatusInvest'!$A:$AZ,COLUMN(S256)-$A$5,0)),0)</f>
        <v>1.86</v>
      </c>
      <c r="T256" s="53">
        <f>IFERROR((VLOOKUP($A256,'Dados StatusInvest'!$A:$AZ,COLUMN(T256)-$A$5,0)/VLOOKUP($A256,'Dados StatusInvest'!$A:$AZ,2,0)*$F256),0)</f>
        <v>7.24</v>
      </c>
      <c r="U256" s="53">
        <f>IFERROR((VLOOKUP($A256,'Dados StatusInvest'!$A:$AZ,COLUMN(U256)-$A$5,0)-VLOOKUP($A256,'Dados StatusInvest'!$A:$AZ,COLUMN(U256)-$A$5-1,0)+T256),0)</f>
        <v>-1.72</v>
      </c>
      <c r="V256" s="56">
        <f>IFERROR((VLOOKUP($A256,'Dados StatusInvest'!$A:$AZ,COLUMN(V256)-$A$5,0)),0)</f>
        <v>1.49</v>
      </c>
      <c r="W256" s="56">
        <f>IFERROR((VLOOKUP($A256,'Dados StatusInvest'!$A:$AZ,COLUMN(W256)-$A$5,0)),0)</f>
        <v>32.49</v>
      </c>
      <c r="X256" s="53">
        <f>IFERROR((VLOOKUP($A256,'Dados StatusInvest'!$A:$AZ,COLUMN(X256)-$A$5,0)/VLOOKUP($A256,'Dados StatusInvest'!$A:$AZ,2,0)*$F256),0)</f>
        <v>7.44</v>
      </c>
      <c r="Y256" s="54">
        <f>IFERROR((VLOOKUP($A256,'Dados StatusInvest'!$A:$AZ,COLUMN(Y256)-$A$5,0)/VLOOKUP($A256,'Dados StatusInvest'!$A:$AZ,2,0)*$F256),0)</f>
        <v>14.89</v>
      </c>
      <c r="Z256" s="56">
        <f>IFERROR((VLOOKUP($A256,'Dados StatusInvest'!$A:$AZ,COLUMN(Z256)-$A$5,0)),0)</f>
        <v>0.23</v>
      </c>
      <c r="AA256" s="57">
        <f>IFERROR((VLOOKUP($A256,'Dados StatusInvest'!$A:$AZ,COLUMN(AA256)-$A$5,0)),0)</f>
        <v>0.77</v>
      </c>
      <c r="AB256" s="57">
        <f>IFERROR((VLOOKUP($A256,'Dados StatusInvest'!$A:$AZ,COLUMN(AB256)-$A$5,0)),0)</f>
        <v>0.54</v>
      </c>
      <c r="AC256" s="58">
        <f>IFERROR((VLOOKUP($A256,'Dados StatusInvest'!$A:$AZ,COLUMN(AC256)-$A$5,0)),0)</f>
        <v>14.19</v>
      </c>
      <c r="AD256" s="57">
        <f>IFERROR((VLOOKUP($A256,'Dados StatusInvest'!$A:$AZ,COLUMN(AD256)-$A$5,0)),0)</f>
        <v>28.57</v>
      </c>
      <c r="AE256" s="56">
        <f>IFERROR((VLOOKUP($A256,'Dados StatusInvest'!$A:$AZ,COLUMN(AE256)-$A$5,0)),0)</f>
        <v>3456</v>
      </c>
      <c r="AF256" s="56">
        <f>IFERROR((VLOOKUP($A256,'Dados StatusInvest'!$A:$AZ,COLUMN(AF256)-$A$5,0)),0)</f>
        <v>2.3</v>
      </c>
      <c r="AG256" s="56">
        <f>IFERROR((VLOOKUP($A256,'Dados StatusInvest'!$A:$AZ,COLUMN(AG256)-$A$5,0)),0)</f>
        <v>0.75</v>
      </c>
      <c r="AH256" s="56">
        <f>IFERROR((VLOOKUP($A256,'Dados StatusInvest'!$A:$AZ,COLUMN(AH256)-$A$5,0)),0)</f>
        <v>-0.65</v>
      </c>
      <c r="AI256" s="57">
        <f>IFERROR((VLOOKUP($A256,'Dados StatusInvest'!$A:$AZ,COLUMN(AI256)-$A$5,0)),0)</f>
        <v>14183012209</v>
      </c>
      <c r="AJ256" s="59" t="str">
        <f>IFERROR((VLOOKUP($A256,'Dados StatusInvest'!$A:$AZ,COLUMN(AJ256)-$A$5,0)),0)</f>
        <v/>
      </c>
      <c r="AK256" s="60" t="str">
        <f>IFERROR(__xludf.DUMMYFUNCTION("IFERROR(GOOGLEFINANCE($A256,""high""),"""")"),"")</f>
        <v/>
      </c>
      <c r="AL256" s="60" t="str">
        <f>IFERROR(__xludf.DUMMYFUNCTION("IFERROR(GOOGLEFINANCE($A256,""low""),"""")"),"")</f>
        <v/>
      </c>
      <c r="AM256" s="61">
        <f t="shared" si="2"/>
        <v>0</v>
      </c>
      <c r="AN256" s="62">
        <f>IFERROR(__xludf.DUMMYFUNCTION("IFERROR((GOOGLEFINANCE($A256,""volume"")),0)"),0.0)</f>
        <v>0</v>
      </c>
      <c r="AO256" s="60">
        <f>IFERROR(__xludf.DUMMYFUNCTION("IFERROR((GOOGLEFINANCE($A256,""closeyest"")),"""")"),10.0)</f>
        <v>10</v>
      </c>
      <c r="AP256" s="60">
        <f>IFERROR(__xludf.DUMMYFUNCTION("IFERROR((GOOGLEFINANCE($A256,""shares"")),"""")"),1201249.0)</f>
        <v>1201249</v>
      </c>
      <c r="AQ256" s="18"/>
    </row>
    <row r="257">
      <c r="A257" s="45" t="str">
        <f>'Dados StatusInvest'!A252:A871</f>
        <v>EQTL3</v>
      </c>
      <c r="B257" s="46" t="str">
        <f>IFERROR(__xludf.DUMMYFUNCTION("IFERROR((GOOGLEFINANCE(A257,""name"")),"""")"),"Equatorial SA")</f>
        <v>Equatorial SA</v>
      </c>
      <c r="C257" s="46" t="str">
        <f>IFERROR((VLOOKUP(LEFT($A257,4),Setor!$A:$E,3,0)),"")</f>
        <v>Utilidade Pública</v>
      </c>
      <c r="D257" s="46" t="str">
        <f>IFERROR((VLOOKUP(LEFT($A257,4),Setor!$A:$E,4,0)),"")</f>
        <v>Energia Elétrica</v>
      </c>
      <c r="E257" s="46" t="str">
        <f>IFERROR((VLOOKUP(LEFT($A257,4),Setor!$A:$E,5,0)),"")</f>
        <v>Energia Elétrica</v>
      </c>
      <c r="F257" s="47">
        <f>IFERROR(__xludf.DUMMYFUNCTION("IFERROR((GOOGLEFINANCE(A257)),"""")"),41.04)</f>
        <v>41.04</v>
      </c>
      <c r="G257" s="48" t="str">
        <f>IFERROR(__xludf.DUMMYFUNCTION("IFERROR((sparkline(GOOGLEFINANCE($A257,""price"",TODAY()-30,TODAY(),""DAILY""),{""charttype"",""line"";""linewidth"",1;""color"",""#5f88cc""})),"""")"),"")</f>
        <v/>
      </c>
      <c r="H257" s="49">
        <f>IFERROR(__xludf.DUMMYFUNCTION("IFERROR((((GOOGLEFINANCE(A257))-(INDEX(GoogleFinance(A257,""PRICE"",$AQ$1),2,2)))/(INDEX(GoogleFinance(A257,""PRICE"",$AQ$1),2,2))),"""")"),0.04988488104374509)</f>
        <v>0.04988488104</v>
      </c>
      <c r="I257" s="47">
        <f>IFERROR(__xludf.DUMMYFUNCTION("IFERROR((GOOGLEFINANCE($A257,""high52"")),"""")"),42.34)</f>
        <v>42.34</v>
      </c>
      <c r="J257" s="48" t="str">
        <f>IFERROR(__xludf.DUMMYFUNCTION("IFERROR((sparkline(GOOGLEFINANCE($A257,""price"",TODAY()-365,TODAY(),""DAILY""),{""charttype"",""line"";""linewidth"",1;""color"",""#5f88cc""})),"""")"),"")</f>
        <v/>
      </c>
      <c r="K257" s="50">
        <f>IFERROR(__xludf.DUMMYFUNCTION("IFERROR((((GOOGLEFINANCE(A257))-(INDEX(GoogleFinance(A257,""PRICE"",$AP$1),2,2)))/(INDEX(GoogleFinance(A257,""PRICE"",$AP$1),2,2))),"""")"),0.3196141479099678)</f>
        <v>0.3196141479</v>
      </c>
      <c r="L257" s="51">
        <f t="shared" si="1"/>
        <v>-0.03070382617</v>
      </c>
      <c r="M257" s="52">
        <f>IFERROR((VLOOKUP($A257,'Dados StatusInvest'!$A:$AZ,COLUMN(M257)-$A$5,0)*VLOOKUP($A257,'Dados StatusInvest'!$A:$AZ,2,0)/$F257/100),0)</f>
        <v>0.1946849903</v>
      </c>
      <c r="N257" s="53">
        <f>IFERROR((VLOOKUP($A257,'Dados StatusInvest'!$A:$AZ,COLUMN(N257)-$A$5,0)/VLOOKUP($A257,'Dados StatusInvest'!$A:$AZ,2,0)*$F257),"")</f>
        <v>6.523440756</v>
      </c>
      <c r="O257" s="53">
        <f>IFERROR((VLOOKUP($A257,'Dados StatusInvest'!$A:$AZ,COLUMN(O257)-$A$5,0)/VLOOKUP($A257,'Dados StatusInvest'!$A:$AZ,2,0)*$F257),0)</f>
        <v>5.20085292</v>
      </c>
      <c r="P257" s="54">
        <f>IFERROR((VLOOKUP($A257,'Dados StatusInvest'!$A:$AZ,COLUMN(P257)-$A$5,0)/VLOOKUP($A257,'Dados StatusInvest'!$A:$AZ,2,0)*$F257),0)</f>
        <v>9.934325176</v>
      </c>
      <c r="Q257" s="55">
        <f>IFERROR((VLOOKUP($A257,'Dados StatusInvest'!$A:$AZ,COLUMN(Q257)-$A$5,0)/100),0)</f>
        <v>0.0476</v>
      </c>
      <c r="R257" s="56">
        <f>VLOOKUP($A257,'Dados StatusInvest'!$A:$AZ,COLUMN(R257)-$A$5,0)</f>
        <v>1.65</v>
      </c>
      <c r="S257" s="56">
        <f>IFERROR((VLOOKUP($A257,'Dados StatusInvest'!$A:$AZ,COLUMN(S257)-$A$5,0)),0)</f>
        <v>1.01</v>
      </c>
      <c r="T257" s="53">
        <f>IFERROR((VLOOKUP($A257,'Dados StatusInvest'!$A:$AZ,COLUMN(T257)-$A$5,0)/VLOOKUP($A257,'Dados StatusInvest'!$A:$AZ,2,0)*$F257),0)</f>
        <v>4.375478556</v>
      </c>
      <c r="U257" s="53">
        <f>IFERROR((VLOOKUP($A257,'Dados StatusInvest'!$A:$AZ,COLUMN(U257)-$A$5,0)-VLOOKUP($A257,'Dados StatusInvest'!$A:$AZ,COLUMN(U257)-$A$5-1,0)+T257),0)</f>
        <v>-0.5845214441</v>
      </c>
      <c r="V257" s="56">
        <f>IFERROR((VLOOKUP($A257,'Dados StatusInvest'!$A:$AZ,COLUMN(V257)-$A$5,0)),0)</f>
        <v>1.57</v>
      </c>
      <c r="W257" s="56">
        <f>IFERROR((VLOOKUP($A257,'Dados StatusInvest'!$A:$AZ,COLUMN(W257)-$A$5,0)),0)</f>
        <v>11.78</v>
      </c>
      <c r="X257" s="53">
        <f>IFERROR((VLOOKUP($A257,'Dados StatusInvest'!$A:$AZ,COLUMN(X257)-$A$5,0)/VLOOKUP($A257,'Dados StatusInvest'!$A:$AZ,2,0)*$F257),0)</f>
        <v>2.655119942</v>
      </c>
      <c r="Y257" s="54">
        <f>IFERROR((VLOOKUP($A257,'Dados StatusInvest'!$A:$AZ,COLUMN(Y257)-$A$5,0)/VLOOKUP($A257,'Dados StatusInvest'!$A:$AZ,2,0)*$F257),0)</f>
        <v>10.33209595</v>
      </c>
      <c r="Z257" s="56">
        <f>IFERROR((VLOOKUP($A257,'Dados StatusInvest'!$A:$AZ,COLUMN(Z257)-$A$5,0)),0)</f>
        <v>0.23</v>
      </c>
      <c r="AA257" s="57">
        <f>IFERROR((VLOOKUP($A257,'Dados StatusInvest'!$A:$AZ,COLUMN(AA257)-$A$5,0)),0)</f>
        <v>0.74</v>
      </c>
      <c r="AB257" s="57">
        <f>IFERROR((VLOOKUP($A257,'Dados StatusInvest'!$A:$AZ,COLUMN(AB257)-$A$5,0)),0)</f>
        <v>0.41</v>
      </c>
      <c r="AC257" s="58">
        <f>IFERROR((VLOOKUP($A257,'Dados StatusInvest'!$A:$AZ,COLUMN(AC257)-$A$5,0)),0)</f>
        <v>19.27</v>
      </c>
      <c r="AD257" s="57">
        <f>IFERROR((VLOOKUP($A257,'Dados StatusInvest'!$A:$AZ,COLUMN(AD257)-$A$5,0)),0)</f>
        <v>6.84</v>
      </c>
      <c r="AE257" s="56">
        <f>IFERROR((VLOOKUP($A257,'Dados StatusInvest'!$A:$AZ,COLUMN(AE257)-$A$5,0)),0)</f>
        <v>312000000</v>
      </c>
      <c r="AF257" s="56">
        <f>IFERROR((VLOOKUP($A257,'Dados StatusInvest'!$A:$AZ,COLUMN(AF257)-$A$5,0)),0)</f>
        <v>22.68</v>
      </c>
      <c r="AG257" s="56">
        <f>IFERROR((VLOOKUP($A257,'Dados StatusInvest'!$A:$AZ,COLUMN(AG257)-$A$5,0)),0)</f>
        <v>2.67</v>
      </c>
      <c r="AH257" s="56">
        <f>IFERROR((VLOOKUP($A257,'Dados StatusInvest'!$A:$AZ,COLUMN(AH257)-$A$5,0)),0)</f>
        <v>0.3</v>
      </c>
      <c r="AI257" s="57">
        <f>IFERROR((VLOOKUP($A257,'Dados StatusInvest'!$A:$AZ,COLUMN(AI257)-$A$5,0)),0)</f>
        <v>51959747022</v>
      </c>
      <c r="AJ257" s="59" t="str">
        <f>IFERROR((VLOOKUP($A257,'Dados StatusInvest'!$A:$AZ,COLUMN(AJ257)-$A$5,0)),0)</f>
        <v/>
      </c>
      <c r="AK257" s="60">
        <f>IFERROR(__xludf.DUMMYFUNCTION("IFERROR(GOOGLEFINANCE($A257,""high""),"""")"),41.07)</f>
        <v>41.07</v>
      </c>
      <c r="AL257" s="60">
        <f>IFERROR(__xludf.DUMMYFUNCTION("IFERROR(GOOGLEFINANCE($A257,""low""),"""")"),40.76)</f>
        <v>40.76</v>
      </c>
      <c r="AM257" s="61">
        <f t="shared" si="2"/>
        <v>0.007605495584</v>
      </c>
      <c r="AN257" s="62">
        <f>IFERROR(__xludf.DUMMYFUNCTION("IFERROR((GOOGLEFINANCE($A257,""volume"")),0)"),93700.0)</f>
        <v>93700</v>
      </c>
      <c r="AO257" s="60">
        <f>IFERROR(__xludf.DUMMYFUNCTION("IFERROR((GOOGLEFINANCE($A257,""closeyest"")),"""")"),41.27)</f>
        <v>41.27</v>
      </c>
      <c r="AP257" s="60">
        <f>IFERROR(__xludf.DUMMYFUNCTION("IFERROR((GOOGLEFINANCE($A257,""shares"")),"""")"),1.259019797E9)</f>
        <v>1259019797</v>
      </c>
      <c r="AQ257" s="18"/>
    </row>
    <row r="258">
      <c r="A258" s="45" t="str">
        <f>'Dados StatusInvest'!A253:A872</f>
        <v>ESPA3</v>
      </c>
      <c r="B258" s="46" t="str">
        <f>IFERROR(__xludf.DUMMYFUNCTION("IFERROR((GOOGLEFINANCE(A258,""name"")),"""")"),"MPM Corporeos SA")</f>
        <v>MPM Corporeos SA</v>
      </c>
      <c r="C258" s="46" t="str">
        <f>IFERROR((VLOOKUP(LEFT($A258,4),Setor!$A:$E,3,0)),"")</f>
        <v/>
      </c>
      <c r="D258" s="46" t="str">
        <f>IFERROR((VLOOKUP(LEFT($A258,4),Setor!$A:$E,4,0)),"")</f>
        <v/>
      </c>
      <c r="E258" s="46" t="str">
        <f>IFERROR((VLOOKUP(LEFT($A258,4),Setor!$A:$E,5,0)),"")</f>
        <v/>
      </c>
      <c r="F258" s="47">
        <f>IFERROR(__xludf.DUMMYFUNCTION("IFERROR((GOOGLEFINANCE(A258)),"""")"),1.11)</f>
        <v>1.11</v>
      </c>
      <c r="G258" s="48" t="str">
        <f>IFERROR(__xludf.DUMMYFUNCTION("IFERROR((sparkline(GOOGLEFINANCE($A258,""price"",TODAY()-30,TODAY(),""DAILY""),{""charttype"",""line"";""linewidth"",1;""color"",""#5f88cc""})),"""")"),"")</f>
        <v/>
      </c>
      <c r="H258" s="49">
        <f>IFERROR(__xludf.DUMMYFUNCTION("IFERROR((((GOOGLEFINANCE(A258))-(INDEX(GoogleFinance(A258,""PRICE"",$AQ$1),2,2)))/(INDEX(GoogleFinance(A258,""PRICE"",$AQ$1),2,2))),"""")"),0.3214285714285716)</f>
        <v>0.3214285714</v>
      </c>
      <c r="I258" s="47">
        <f>IFERROR(__xludf.DUMMYFUNCTION("IFERROR((GOOGLEFINANCE($A258,""high52"")),"""")"),1.32)</f>
        <v>1.32</v>
      </c>
      <c r="J258" s="48" t="str">
        <f>IFERROR(__xludf.DUMMYFUNCTION("IFERROR((sparkline(GOOGLEFINANCE($A258,""price"",TODAY()-365,TODAY(),""DAILY""),{""charttype"",""line"";""linewidth"",1;""color"",""#5f88cc""})),"""")"),"")</f>
        <v/>
      </c>
      <c r="K258" s="50">
        <f>IFERROR(__xludf.DUMMYFUNCTION("IFERROR((((GOOGLEFINANCE(A258))-(INDEX(GoogleFinance(A258,""PRICE"",$AP$1),2,2)))/(INDEX(GoogleFinance(A258,""PRICE"",$AP$1),2,2))),"""")"),0.5416666666666669)</f>
        <v>0.5416666667</v>
      </c>
      <c r="L258" s="51">
        <f t="shared" si="1"/>
        <v>-0.1590909091</v>
      </c>
      <c r="M258" s="52">
        <f>IFERROR((VLOOKUP($A258,'Dados StatusInvest'!$A:$AZ,COLUMN(M258)-$A$5,0)*VLOOKUP($A258,'Dados StatusInvest'!$A:$AZ,2,0)/$F258/100),0)</f>
        <v>0.1478162162</v>
      </c>
      <c r="N258" s="53">
        <f>IFERROR((VLOOKUP($A258,'Dados StatusInvest'!$A:$AZ,COLUMN(N258)-$A$5,0)/VLOOKUP($A258,'Dados StatusInvest'!$A:$AZ,2,0)*$F258),"")</f>
        <v>1.031415929</v>
      </c>
      <c r="O258" s="53">
        <f>IFERROR((VLOOKUP($A258,'Dados StatusInvest'!$A:$AZ,COLUMN(O258)-$A$5,0)/VLOOKUP($A258,'Dados StatusInvest'!$A:$AZ,2,0)*$F258),0)</f>
        <v>2.573628319</v>
      </c>
      <c r="P258" s="54">
        <f>IFERROR((VLOOKUP($A258,'Dados StatusInvest'!$A:$AZ,COLUMN(P258)-$A$5,0)/VLOOKUP($A258,'Dados StatusInvest'!$A:$AZ,2,0)*$F258),0)</f>
        <v>6.40460177</v>
      </c>
      <c r="Q258" s="55">
        <f>IFERROR((VLOOKUP($A258,'Dados StatusInvest'!$A:$AZ,COLUMN(Q258)-$A$5,0)/100),0)</f>
        <v>0.039</v>
      </c>
      <c r="R258" s="56">
        <f>VLOOKUP($A258,'Dados StatusInvest'!$A:$AZ,COLUMN(R258)-$A$5,0)</f>
        <v>0.7</v>
      </c>
      <c r="S258" s="56">
        <f>IFERROR((VLOOKUP($A258,'Dados StatusInvest'!$A:$AZ,COLUMN(S258)-$A$5,0)),0)</f>
        <v>0.38</v>
      </c>
      <c r="T258" s="53">
        <f>IFERROR((VLOOKUP($A258,'Dados StatusInvest'!$A:$AZ,COLUMN(T258)-$A$5,0)/VLOOKUP($A258,'Dados StatusInvest'!$A:$AZ,2,0)*$F258),0)</f>
        <v>1.100176991</v>
      </c>
      <c r="U258" s="53">
        <f>IFERROR((VLOOKUP($A258,'Dados StatusInvest'!$A:$AZ,COLUMN(U258)-$A$5,0)-VLOOKUP($A258,'Dados StatusInvest'!$A:$AZ,COLUMN(U258)-$A$5-1,0)+T258),0)</f>
        <v>-0.3698230088</v>
      </c>
      <c r="V258" s="56">
        <f>IFERROR((VLOOKUP($A258,'Dados StatusInvest'!$A:$AZ,COLUMN(V258)-$A$5,0)),0)</f>
        <v>1.52</v>
      </c>
      <c r="W258" s="56">
        <f>IFERROR((VLOOKUP($A258,'Dados StatusInvest'!$A:$AZ,COLUMN(W258)-$A$5,0)),0)</f>
        <v>1.31</v>
      </c>
      <c r="X258" s="53">
        <f>IFERROR((VLOOKUP($A258,'Dados StatusInvest'!$A:$AZ,COLUMN(X258)-$A$5,0)/VLOOKUP($A258,'Dados StatusInvest'!$A:$AZ,2,0)*$F258),0)</f>
        <v>0.4911504425</v>
      </c>
      <c r="Y258" s="54">
        <f>IFERROR((VLOOKUP($A258,'Dados StatusInvest'!$A:$AZ,COLUMN(Y258)-$A$5,0)/VLOOKUP($A258,'Dados StatusInvest'!$A:$AZ,2,0)*$F258),0)</f>
        <v>8.418318584</v>
      </c>
      <c r="Z258" s="56">
        <f>IFERROR((VLOOKUP($A258,'Dados StatusInvest'!$A:$AZ,COLUMN(Z258)-$A$5,0)),0)</f>
        <v>0.38</v>
      </c>
      <c r="AA258" s="57">
        <f>IFERROR((VLOOKUP($A258,'Dados StatusInvest'!$A:$AZ,COLUMN(AA258)-$A$5,0)),0)</f>
        <v>0.62</v>
      </c>
      <c r="AB258" s="57">
        <f>IFERROR((VLOOKUP($A258,'Dados StatusInvest'!$A:$AZ,COLUMN(AB258)-$A$5,0)),0)</f>
        <v>0.48</v>
      </c>
      <c r="AC258" s="58">
        <f>IFERROR((VLOOKUP($A258,'Dados StatusInvest'!$A:$AZ,COLUMN(AC258)-$A$5,0)),0)</f>
        <v>9.72</v>
      </c>
      <c r="AD258" s="57">
        <f>IFERROR((VLOOKUP($A258,'Dados StatusInvest'!$A:$AZ,COLUMN(AD258)-$A$5,0)),0)</f>
        <v>-26.03</v>
      </c>
      <c r="AE258" s="56">
        <f>IFERROR((VLOOKUP($A258,'Dados StatusInvest'!$A:$AZ,COLUMN(AE258)-$A$5,0)),0)</f>
        <v>705964.2</v>
      </c>
      <c r="AF258" s="56">
        <f>IFERROR((VLOOKUP($A258,'Dados StatusInvest'!$A:$AZ,COLUMN(AF258)-$A$5,0)),0)</f>
        <v>2.39</v>
      </c>
      <c r="AG258" s="56">
        <f>IFERROR((VLOOKUP($A258,'Dados StatusInvest'!$A:$AZ,COLUMN(AG258)-$A$5,0)),0)</f>
        <v>0.03</v>
      </c>
      <c r="AH258" s="56">
        <f>IFERROR((VLOOKUP($A258,'Dados StatusInvest'!$A:$AZ,COLUMN(AH258)-$A$5,0)),0)</f>
        <v>-0.23</v>
      </c>
      <c r="AI258" s="57">
        <f>IFERROR((VLOOKUP($A258,'Dados StatusInvest'!$A:$AZ,COLUMN(AI258)-$A$5,0)),0)</f>
        <v>408408064.6</v>
      </c>
      <c r="AJ258" s="59" t="str">
        <f>IFERROR((VLOOKUP($A258,'Dados StatusInvest'!$A:$AZ,COLUMN(AJ258)-$A$5,0)),0)</f>
        <v/>
      </c>
      <c r="AK258" s="60">
        <f>IFERROR(__xludf.DUMMYFUNCTION("IFERROR(GOOGLEFINANCE($A258,""high""),"""")"),1.12)</f>
        <v>1.12</v>
      </c>
      <c r="AL258" s="60">
        <f>IFERROR(__xludf.DUMMYFUNCTION("IFERROR(GOOGLEFINANCE($A258,""low""),"""")"),1.1)</f>
        <v>1.1</v>
      </c>
      <c r="AM258" s="61">
        <f t="shared" si="2"/>
        <v>0.01818181818</v>
      </c>
      <c r="AN258" s="62">
        <f>IFERROR(__xludf.DUMMYFUNCTION("IFERROR((GOOGLEFINANCE($A258,""volume"")),0)"),65500.0)</f>
        <v>65500</v>
      </c>
      <c r="AO258" s="60">
        <f>IFERROR(__xludf.DUMMYFUNCTION("IFERROR((GOOGLEFINANCE($A258,""closeyest"")),"""")"),1.13)</f>
        <v>1.13</v>
      </c>
      <c r="AP258" s="60">
        <f>IFERROR(__xludf.DUMMYFUNCTION("IFERROR((GOOGLEFINANCE($A258,""shares"")),"""")"),3.61423066E8)</f>
        <v>361423066</v>
      </c>
      <c r="AQ258" s="18"/>
    </row>
    <row r="259">
      <c r="A259" s="45" t="str">
        <f>'Dados StatusInvest'!A254:A873</f>
        <v>ESTR3</v>
      </c>
      <c r="B259" s="46" t="str">
        <f>IFERROR(__xludf.DUMMYFUNCTION("IFERROR((GOOGLEFINANCE(A259,""name"")),"""")"),"Manufatura de Brinquedos Estrela SA")</f>
        <v>Manufatura de Brinquedos Estrela SA</v>
      </c>
      <c r="C259" s="46" t="str">
        <f>IFERROR((VLOOKUP(LEFT($A259,4),Setor!$A:$E,3,0)),"")</f>
        <v>Consumo Cíclico</v>
      </c>
      <c r="D259" s="46" t="str">
        <f>IFERROR((VLOOKUP(LEFT($A259,4),Setor!$A:$E,4,0)),"")</f>
        <v>Viagens e Lazer</v>
      </c>
      <c r="E259" s="46" t="str">
        <f>IFERROR((VLOOKUP(LEFT($A259,4),Setor!$A:$E,5,0)),"")</f>
        <v>Brinquedos e Jogos</v>
      </c>
      <c r="F259" s="47">
        <f>IFERROR(__xludf.DUMMYFUNCTION("IFERROR((GOOGLEFINANCE(A259)),"""")"),3.01)</f>
        <v>3.01</v>
      </c>
      <c r="G259" s="48" t="str">
        <f>IFERROR(__xludf.DUMMYFUNCTION("IFERROR((sparkline(GOOGLEFINANCE($A259,""price"",TODAY()-30,TODAY(),""DAILY""),{""charttype"",""line"";""linewidth"",1;""color"",""#5f88cc""})),"""")"),"")</f>
        <v/>
      </c>
      <c r="H259" s="49" t="str">
        <f>IFERROR(__xludf.DUMMYFUNCTION("IFERROR((((GOOGLEFINANCE(A259))-(INDEX(GoogleFinance(A259,""PRICE"",$AQ$1),2,2)))/(INDEX(GoogleFinance(A259,""PRICE"",$AQ$1),2,2))),"""")"),"")</f>
        <v/>
      </c>
      <c r="I259" s="47">
        <f>IFERROR(__xludf.DUMMYFUNCTION("IFERROR((GOOGLEFINANCE($A259,""high52"")),"""")"),5.1)</f>
        <v>5.1</v>
      </c>
      <c r="J259" s="48" t="str">
        <f>IFERROR(__xludf.DUMMYFUNCTION("IFERROR((sparkline(GOOGLEFINANCE($A259,""price"",TODAY()-365,TODAY(),""DAILY""),{""charttype"",""line"";""linewidth"",1;""color"",""#5f88cc""})),"""")"),"")</f>
        <v/>
      </c>
      <c r="K259" s="50" t="str">
        <f>IFERROR(__xludf.DUMMYFUNCTION("IFERROR((((GOOGLEFINANCE(A259))-(INDEX(GoogleFinance(A259,""PRICE"",$AP$1),2,2)))/(INDEX(GoogleFinance(A259,""PRICE"",$AP$1),2,2))),"""")"),"")</f>
        <v/>
      </c>
      <c r="L259" s="51">
        <f t="shared" si="1"/>
        <v>-0.4098039216</v>
      </c>
      <c r="M259" s="52">
        <f>IFERROR((VLOOKUP($A259,'Dados StatusInvest'!$A:$AZ,COLUMN(M259)-$A$5,0)*VLOOKUP($A259,'Dados StatusInvest'!$A:$AZ,2,0)/$F259/100),0)</f>
        <v>1.6148</v>
      </c>
      <c r="N259" s="53">
        <f>IFERROR((VLOOKUP($A259,'Dados StatusInvest'!$A:$AZ,COLUMN(N259)-$A$5,0)/VLOOKUP($A259,'Dados StatusInvest'!$A:$AZ,2,0)*$F259),"")</f>
        <v>123.03</v>
      </c>
      <c r="O259" s="53">
        <f>IFERROR((VLOOKUP($A259,'Dados StatusInvest'!$A:$AZ,COLUMN(O259)-$A$5,0)/VLOOKUP($A259,'Dados StatusInvest'!$A:$AZ,2,0)*$F259),0)</f>
        <v>0.1</v>
      </c>
      <c r="P259" s="54">
        <f>IFERROR((VLOOKUP($A259,'Dados StatusInvest'!$A:$AZ,COLUMN(P259)-$A$5,0)/VLOOKUP($A259,'Dados StatusInvest'!$A:$AZ,2,0)*$F259),0)</f>
        <v>0.68</v>
      </c>
      <c r="Q259" s="55">
        <f>IFERROR((VLOOKUP($A259,'Dados StatusInvest'!$A:$AZ,COLUMN(Q259)-$A$5,0)/100),0)</f>
        <v>0.0055</v>
      </c>
      <c r="R259" s="56">
        <f>VLOOKUP($A259,'Dados StatusInvest'!$A:$AZ,COLUMN(R259)-$A$5,0)</f>
        <v>0</v>
      </c>
      <c r="S259" s="56">
        <f>IFERROR((VLOOKUP($A259,'Dados StatusInvest'!$A:$AZ,COLUMN(S259)-$A$5,0)),0)</f>
        <v>0.16</v>
      </c>
      <c r="T259" s="53">
        <f>IFERROR((VLOOKUP($A259,'Dados StatusInvest'!$A:$AZ,COLUMN(T259)-$A$5,0)/VLOOKUP($A259,'Dados StatusInvest'!$A:$AZ,2,0)*$F259),0)</f>
        <v>-0.07</v>
      </c>
      <c r="U259" s="53">
        <f>IFERROR((VLOOKUP($A259,'Dados StatusInvest'!$A:$AZ,COLUMN(U259)-$A$5,0)-VLOOKUP($A259,'Dados StatusInvest'!$A:$AZ,COLUMN(U259)-$A$5-1,0)+T259),0)</f>
        <v>-0.11</v>
      </c>
      <c r="V259" s="56">
        <f>IFERROR((VLOOKUP($A259,'Dados StatusInvest'!$A:$AZ,COLUMN(V259)-$A$5,0)),0)</f>
        <v>0.33</v>
      </c>
      <c r="W259" s="56">
        <f>IFERROR((VLOOKUP($A259,'Dados StatusInvest'!$A:$AZ,COLUMN(W259)-$A$5,0)),0)</f>
        <v>-96.95</v>
      </c>
      <c r="X259" s="53">
        <f>IFERROR((VLOOKUP($A259,'Dados StatusInvest'!$A:$AZ,COLUMN(X259)-$A$5,0)/VLOOKUP($A259,'Dados StatusInvest'!$A:$AZ,2,0)*$F259),0)</f>
        <v>49.33</v>
      </c>
      <c r="Y259" s="54">
        <f>IFERROR((VLOOKUP($A259,'Dados StatusInvest'!$A:$AZ,COLUMN(Y259)-$A$5,0)/VLOOKUP($A259,'Dados StatusInvest'!$A:$AZ,2,0)*$F259),0)</f>
        <v>-432.68</v>
      </c>
      <c r="Z259" s="56">
        <f>IFERROR((VLOOKUP($A259,'Dados StatusInvest'!$A:$AZ,COLUMN(Z259)-$A$5,0)),0)</f>
        <v>-0.51</v>
      </c>
      <c r="AA259" s="57">
        <f>IFERROR((VLOOKUP($A259,'Dados StatusInvest'!$A:$AZ,COLUMN(AA259)-$A$5,0)),0)</f>
        <v>1.51</v>
      </c>
      <c r="AB259" s="57">
        <f>IFERROR((VLOOKUP($A259,'Dados StatusInvest'!$A:$AZ,COLUMN(AB259)-$A$5,0)),0)</f>
        <v>0.4</v>
      </c>
      <c r="AC259" s="58">
        <f>IFERROR((VLOOKUP($A259,'Dados StatusInvest'!$A:$AZ,COLUMN(AC259)-$A$5,0)),0)</f>
        <v>6.61</v>
      </c>
      <c r="AD259" s="57">
        <f>IFERROR((VLOOKUP($A259,'Dados StatusInvest'!$A:$AZ,COLUMN(AD259)-$A$5,0)),0)</f>
        <v>0</v>
      </c>
      <c r="AE259" s="56">
        <f>IFERROR((VLOOKUP($A259,'Dados StatusInvest'!$A:$AZ,COLUMN(AE259)-$A$5,0)),0)</f>
        <v>301</v>
      </c>
      <c r="AF259" s="56">
        <f>IFERROR((VLOOKUP($A259,'Dados StatusInvest'!$A:$AZ,COLUMN(AF259)-$A$5,0)),0)</f>
        <v>-24.55</v>
      </c>
      <c r="AG259" s="56">
        <f>IFERROR((VLOOKUP($A259,'Dados StatusInvest'!$A:$AZ,COLUMN(AG259)-$A$5,0)),0)</f>
        <v>23.8</v>
      </c>
      <c r="AH259" s="56">
        <f>IFERROR((VLOOKUP($A259,'Dados StatusInvest'!$A:$AZ,COLUMN(AH259)-$A$5,0)),0)</f>
        <v>0</v>
      </c>
      <c r="AI259" s="57">
        <f>IFERROR((VLOOKUP($A259,'Dados StatusInvest'!$A:$AZ,COLUMN(AI259)-$A$5,0)),0)</f>
        <v>31822045</v>
      </c>
      <c r="AJ259" s="59" t="str">
        <f>IFERROR((VLOOKUP($A259,'Dados StatusInvest'!$A:$AZ,COLUMN(AJ259)-$A$5,0)),0)</f>
        <v/>
      </c>
      <c r="AK259" s="60" t="str">
        <f>IFERROR(__xludf.DUMMYFUNCTION("IFERROR(GOOGLEFINANCE($A259,""high""),"""")"),"")</f>
        <v/>
      </c>
      <c r="AL259" s="60" t="str">
        <f>IFERROR(__xludf.DUMMYFUNCTION("IFERROR(GOOGLEFINANCE($A259,""low""),"""")"),"")</f>
        <v/>
      </c>
      <c r="AM259" s="61">
        <f t="shared" si="2"/>
        <v>0</v>
      </c>
      <c r="AN259" s="62">
        <f>IFERROR(__xludf.DUMMYFUNCTION("IFERROR((GOOGLEFINANCE($A259,""volume"")),0)"),0.0)</f>
        <v>0</v>
      </c>
      <c r="AO259" s="60">
        <f>IFERROR(__xludf.DUMMYFUNCTION("IFERROR((GOOGLEFINANCE($A259,""closeyest"")),"""")"),3.01)</f>
        <v>3.01</v>
      </c>
      <c r="AP259" s="60">
        <f>IFERROR(__xludf.DUMMYFUNCTION("IFERROR((GOOGLEFINANCE($A259,""shares"")),"""")"),2694500.0)</f>
        <v>2694500</v>
      </c>
      <c r="AQ259" s="18"/>
    </row>
    <row r="260">
      <c r="A260" s="45" t="str">
        <f>'Dados StatusInvest'!A255:A874</f>
        <v>ESTR4</v>
      </c>
      <c r="B260" s="46" t="str">
        <f>IFERROR(__xludf.DUMMYFUNCTION("IFERROR((GOOGLEFINANCE(A260,""name"")),"""")"),"Manufatura de Brinquedos Estrela SA Preference Shares")</f>
        <v>Manufatura de Brinquedos Estrela SA Preference Shares</v>
      </c>
      <c r="C260" s="46" t="str">
        <f>IFERROR((VLOOKUP(LEFT($A260,4),Setor!$A:$E,3,0)),"")</f>
        <v>Consumo Cíclico</v>
      </c>
      <c r="D260" s="46" t="str">
        <f>IFERROR((VLOOKUP(LEFT($A260,4),Setor!$A:$E,4,0)),"")</f>
        <v>Viagens e Lazer</v>
      </c>
      <c r="E260" s="46" t="str">
        <f>IFERROR((VLOOKUP(LEFT($A260,4),Setor!$A:$E,5,0)),"")</f>
        <v>Brinquedos e Jogos</v>
      </c>
      <c r="F260" s="47">
        <f>IFERROR(__xludf.DUMMYFUNCTION("IFERROR((GOOGLEFINANCE(A260)),"""")"),4.4)</f>
        <v>4.4</v>
      </c>
      <c r="G260" s="48" t="str">
        <f>IFERROR(__xludf.DUMMYFUNCTION("IFERROR((sparkline(GOOGLEFINANCE($A260,""price"",TODAY()-30,TODAY(),""DAILY""),{""charttype"",""line"";""linewidth"",1;""color"",""#5f88cc""})),"""")"),"")</f>
        <v/>
      </c>
      <c r="H260" s="49" t="str">
        <f>IFERROR(__xludf.DUMMYFUNCTION("IFERROR((((GOOGLEFINANCE(A260))-(INDEX(GoogleFinance(A260,""PRICE"",$AQ$1),2,2)))/(INDEX(GoogleFinance(A260,""PRICE"",$AQ$1),2,2))),"""")"),"")</f>
        <v/>
      </c>
      <c r="I260" s="47">
        <f>IFERROR(__xludf.DUMMYFUNCTION("IFERROR((GOOGLEFINANCE($A260,""high52"")),"""")"),6.5)</f>
        <v>6.5</v>
      </c>
      <c r="J260" s="48" t="str">
        <f>IFERROR(__xludf.DUMMYFUNCTION("IFERROR((sparkline(GOOGLEFINANCE($A260,""price"",TODAY()-365,TODAY(),""DAILY""),{""charttype"",""line"";""linewidth"",1;""color"",""#5f88cc""})),"""")"),"")</f>
        <v/>
      </c>
      <c r="K260" s="50">
        <f>IFERROR(__xludf.DUMMYFUNCTION("IFERROR((((GOOGLEFINANCE(A260))-(INDEX(GoogleFinance(A260,""PRICE"",$AP$1),2,2)))/(INDEX(GoogleFinance(A260,""PRICE"",$AP$1),2,2))),"""")"),0.20879120879120885)</f>
        <v>0.2087912088</v>
      </c>
      <c r="L260" s="51">
        <f t="shared" si="1"/>
        <v>-0.3230769231</v>
      </c>
      <c r="M260" s="52">
        <f>IFERROR((VLOOKUP($A260,'Dados StatusInvest'!$A:$AZ,COLUMN(M260)-$A$5,0)*VLOOKUP($A260,'Dados StatusInvest'!$A:$AZ,2,0)/$F260/100),0)</f>
        <v>1.6148</v>
      </c>
      <c r="N260" s="53">
        <f>IFERROR((VLOOKUP($A260,'Dados StatusInvest'!$A:$AZ,COLUMN(N260)-$A$5,0)/VLOOKUP($A260,'Dados StatusInvest'!$A:$AZ,2,0)*$F260),"")</f>
        <v>123.03</v>
      </c>
      <c r="O260" s="53">
        <f>IFERROR((VLOOKUP($A260,'Dados StatusInvest'!$A:$AZ,COLUMN(O260)-$A$5,0)/VLOOKUP($A260,'Dados StatusInvest'!$A:$AZ,2,0)*$F260),0)</f>
        <v>0.14</v>
      </c>
      <c r="P260" s="54">
        <f>IFERROR((VLOOKUP($A260,'Dados StatusInvest'!$A:$AZ,COLUMN(P260)-$A$5,0)/VLOOKUP($A260,'Dados StatusInvest'!$A:$AZ,2,0)*$F260),0)</f>
        <v>0.68</v>
      </c>
      <c r="Q260" s="55">
        <f>IFERROR((VLOOKUP($A260,'Dados StatusInvest'!$A:$AZ,COLUMN(Q260)-$A$5,0)/100),0)</f>
        <v>0.0055</v>
      </c>
      <c r="R260" s="56">
        <f>VLOOKUP($A260,'Dados StatusInvest'!$A:$AZ,COLUMN(R260)-$A$5,0)</f>
        <v>0</v>
      </c>
      <c r="S260" s="56">
        <f>IFERROR((VLOOKUP($A260,'Dados StatusInvest'!$A:$AZ,COLUMN(S260)-$A$5,0)),0)</f>
        <v>0.23</v>
      </c>
      <c r="T260" s="53">
        <f>IFERROR((VLOOKUP($A260,'Dados StatusInvest'!$A:$AZ,COLUMN(T260)-$A$5,0)/VLOOKUP($A260,'Dados StatusInvest'!$A:$AZ,2,0)*$F260),0)</f>
        <v>-0.1</v>
      </c>
      <c r="U260" s="53">
        <f>IFERROR((VLOOKUP($A260,'Dados StatusInvest'!$A:$AZ,COLUMN(U260)-$A$5,0)-VLOOKUP($A260,'Dados StatusInvest'!$A:$AZ,COLUMN(U260)-$A$5-1,0)+T260),0)</f>
        <v>-0.16</v>
      </c>
      <c r="V260" s="56">
        <f>IFERROR((VLOOKUP($A260,'Dados StatusInvest'!$A:$AZ,COLUMN(V260)-$A$5,0)),0)</f>
        <v>0.33</v>
      </c>
      <c r="W260" s="56">
        <f>IFERROR((VLOOKUP($A260,'Dados StatusInvest'!$A:$AZ,COLUMN(W260)-$A$5,0)),0)</f>
        <v>-96.95</v>
      </c>
      <c r="X260" s="53">
        <f>IFERROR((VLOOKUP($A260,'Dados StatusInvest'!$A:$AZ,COLUMN(X260)-$A$5,0)/VLOOKUP($A260,'Dados StatusInvest'!$A:$AZ,2,0)*$F260),0)</f>
        <v>49.33</v>
      </c>
      <c r="Y260" s="54">
        <f>IFERROR((VLOOKUP($A260,'Dados StatusInvest'!$A:$AZ,COLUMN(Y260)-$A$5,0)/VLOOKUP($A260,'Dados StatusInvest'!$A:$AZ,2,0)*$F260),0)</f>
        <v>-432.68</v>
      </c>
      <c r="Z260" s="56">
        <f>IFERROR((VLOOKUP($A260,'Dados StatusInvest'!$A:$AZ,COLUMN(Z260)-$A$5,0)),0)</f>
        <v>-0.51</v>
      </c>
      <c r="AA260" s="57">
        <f>IFERROR((VLOOKUP($A260,'Dados StatusInvest'!$A:$AZ,COLUMN(AA260)-$A$5,0)),0)</f>
        <v>1.51</v>
      </c>
      <c r="AB260" s="57">
        <f>IFERROR((VLOOKUP($A260,'Dados StatusInvest'!$A:$AZ,COLUMN(AB260)-$A$5,0)),0)</f>
        <v>0.4</v>
      </c>
      <c r="AC260" s="58">
        <f>IFERROR((VLOOKUP($A260,'Dados StatusInvest'!$A:$AZ,COLUMN(AC260)-$A$5,0)),0)</f>
        <v>6.61</v>
      </c>
      <c r="AD260" s="57">
        <f>IFERROR((VLOOKUP($A260,'Dados StatusInvest'!$A:$AZ,COLUMN(AD260)-$A$5,0)),0)</f>
        <v>0</v>
      </c>
      <c r="AE260" s="56">
        <f>IFERROR((VLOOKUP($A260,'Dados StatusInvest'!$A:$AZ,COLUMN(AE260)-$A$5,0)),0)</f>
        <v>1444.38</v>
      </c>
      <c r="AF260" s="56">
        <f>IFERROR((VLOOKUP($A260,'Dados StatusInvest'!$A:$AZ,COLUMN(AF260)-$A$5,0)),0)</f>
        <v>-24.55</v>
      </c>
      <c r="AG260" s="56">
        <f>IFERROR((VLOOKUP($A260,'Dados StatusInvest'!$A:$AZ,COLUMN(AG260)-$A$5,0)),0)</f>
        <v>23.8</v>
      </c>
      <c r="AH260" s="56">
        <f>IFERROR((VLOOKUP($A260,'Dados StatusInvest'!$A:$AZ,COLUMN(AH260)-$A$5,0)),0)</f>
        <v>0</v>
      </c>
      <c r="AI260" s="57">
        <f>IFERROR((VLOOKUP($A260,'Dados StatusInvest'!$A:$AZ,COLUMN(AI260)-$A$5,0)),0)</f>
        <v>31822045</v>
      </c>
      <c r="AJ260" s="59" t="str">
        <f>IFERROR((VLOOKUP($A260,'Dados StatusInvest'!$A:$AZ,COLUMN(AJ260)-$A$5,0)),0)</f>
        <v/>
      </c>
      <c r="AK260" s="60" t="str">
        <f>IFERROR(__xludf.DUMMYFUNCTION("IFERROR(GOOGLEFINANCE($A260,""high""),"""")"),"")</f>
        <v/>
      </c>
      <c r="AL260" s="60" t="str">
        <f>IFERROR(__xludf.DUMMYFUNCTION("IFERROR(GOOGLEFINANCE($A260,""low""),"""")"),"")</f>
        <v/>
      </c>
      <c r="AM260" s="61">
        <f t="shared" si="2"/>
        <v>0</v>
      </c>
      <c r="AN260" s="62">
        <f>IFERROR(__xludf.DUMMYFUNCTION("IFERROR((GOOGLEFINANCE($A260,""volume"")),0)"),0.0)</f>
        <v>0</v>
      </c>
      <c r="AO260" s="60">
        <f>IFERROR(__xludf.DUMMYFUNCTION("IFERROR((GOOGLEFINANCE($A260,""closeyest"")),"""")"),4.4)</f>
        <v>4.4</v>
      </c>
      <c r="AP260" s="60">
        <f>IFERROR(__xludf.DUMMYFUNCTION("IFERROR((GOOGLEFINANCE($A260,""shares"")),"""")"),5.389E7)</f>
        <v>53890000</v>
      </c>
      <c r="AQ260" s="18"/>
    </row>
    <row r="261">
      <c r="A261" s="45" t="str">
        <f>'Dados StatusInvest'!A256:A875</f>
        <v>ETER3</v>
      </c>
      <c r="B261" s="46" t="str">
        <f>IFERROR(__xludf.DUMMYFUNCTION("IFERROR((GOOGLEFINANCE(A261,""name"")),"""")"),"Eternit SA em Recuperacao Judicial")</f>
        <v>Eternit SA em Recuperacao Judicial</v>
      </c>
      <c r="C261" s="46" t="str">
        <f>IFERROR((VLOOKUP(LEFT($A261,4),Setor!$A:$E,3,0)),"")</f>
        <v>Bens Industriais</v>
      </c>
      <c r="D261" s="46" t="str">
        <f>IFERROR((VLOOKUP(LEFT($A261,4),Setor!$A:$E,4,0)),"")</f>
        <v>Construção e Engenharia</v>
      </c>
      <c r="E261" s="46" t="str">
        <f>IFERROR((VLOOKUP(LEFT($A261,4),Setor!$A:$E,5,0)),"")</f>
        <v>Produtos para Construção</v>
      </c>
      <c r="F261" s="47">
        <f>IFERROR(__xludf.DUMMYFUNCTION("IFERROR((GOOGLEFINANCE(A261)),"""")"),4.13)</f>
        <v>4.13</v>
      </c>
      <c r="G261" s="48" t="str">
        <f>IFERROR(__xludf.DUMMYFUNCTION("IFERROR((sparkline(GOOGLEFINANCE($A261,""price"",TODAY()-30,TODAY(),""DAILY""),{""charttype"",""line"";""linewidth"",1;""color"",""#5f88cc""})),"""")"),"")</f>
        <v/>
      </c>
      <c r="H261" s="49">
        <f>IFERROR(__xludf.DUMMYFUNCTION("IFERROR((((GOOGLEFINANCE(A261))-(INDEX(GoogleFinance(A261,""PRICE"",$AQ$1),2,2)))/(INDEX(GoogleFinance(A261,""PRICE"",$AQ$1),2,2))),"""")"),0.03508771929824553)</f>
        <v>0.0350877193</v>
      </c>
      <c r="I261" s="47">
        <f>IFERROR(__xludf.DUMMYFUNCTION("IFERROR((GOOGLEFINANCE($A261,""high52"")),"""")"),5.65)</f>
        <v>5.65</v>
      </c>
      <c r="J261" s="48" t="str">
        <f>IFERROR(__xludf.DUMMYFUNCTION("IFERROR((sparkline(GOOGLEFINANCE($A261,""price"",TODAY()-365,TODAY(),""DAILY""),{""charttype"",""line"";""linewidth"",1;""color"",""#5f88cc""})),"""")"),"")</f>
        <v/>
      </c>
      <c r="K261" s="50">
        <f>IFERROR(__xludf.DUMMYFUNCTION("IFERROR((((GOOGLEFINANCE(A261))-(INDEX(GoogleFinance(A261,""PRICE"",$AP$1),2,2)))/(INDEX(GoogleFinance(A261,""PRICE"",$AP$1),2,2))),"""")"),-0.25985663082437277)</f>
        <v>-0.2598566308</v>
      </c>
      <c r="L261" s="51">
        <f t="shared" si="1"/>
        <v>-0.2690265487</v>
      </c>
      <c r="M261" s="52">
        <f>IFERROR((VLOOKUP($A261,'Dados StatusInvest'!$A:$AZ,COLUMN(M261)-$A$5,0)*VLOOKUP($A261,'Dados StatusInvest'!$A:$AZ,2,0)/$F261/100),0)</f>
        <v>0.02388571429</v>
      </c>
      <c r="N261" s="53">
        <f>IFERROR((VLOOKUP($A261,'Dados StatusInvest'!$A:$AZ,COLUMN(N261)-$A$5,0)/VLOOKUP($A261,'Dados StatusInvest'!$A:$AZ,2,0)*$F261),"")</f>
        <v>3.971913876</v>
      </c>
      <c r="O261" s="53">
        <f>IFERROR((VLOOKUP($A261,'Dados StatusInvest'!$A:$AZ,COLUMN(O261)-$A$5,0)/VLOOKUP($A261,'Dados StatusInvest'!$A:$AZ,2,0)*$F261),0)</f>
        <v>9.228277512</v>
      </c>
      <c r="P261" s="54">
        <f>IFERROR((VLOOKUP($A261,'Dados StatusInvest'!$A:$AZ,COLUMN(P261)-$A$5,0)/VLOOKUP($A261,'Dados StatusInvest'!$A:$AZ,2,0)*$F261),0)</f>
        <v>14.3957177</v>
      </c>
      <c r="Q261" s="55">
        <f>IFERROR((VLOOKUP($A261,'Dados StatusInvest'!$A:$AZ,COLUMN(Q261)-$A$5,0)/100),0)</f>
        <v>0.0522</v>
      </c>
      <c r="R261" s="56">
        <f>VLOOKUP($A261,'Dados StatusInvest'!$A:$AZ,COLUMN(R261)-$A$5,0)</f>
        <v>0.17</v>
      </c>
      <c r="S261" s="56">
        <f>IFERROR((VLOOKUP($A261,'Dados StatusInvest'!$A:$AZ,COLUMN(S261)-$A$5,0)),0)</f>
        <v>0.22</v>
      </c>
      <c r="T261" s="53">
        <f>IFERROR((VLOOKUP($A261,'Dados StatusInvest'!$A:$AZ,COLUMN(T261)-$A$5,0)/VLOOKUP($A261,'Dados StatusInvest'!$A:$AZ,2,0)*$F261),0)</f>
        <v>1.027559809</v>
      </c>
      <c r="U261" s="53">
        <f>IFERROR((VLOOKUP($A261,'Dados StatusInvest'!$A:$AZ,COLUMN(U261)-$A$5,0)-VLOOKUP($A261,'Dados StatusInvest'!$A:$AZ,COLUMN(U261)-$A$5-1,0)+T261),0)</f>
        <v>-0.3424401914</v>
      </c>
      <c r="V261" s="56">
        <f>IFERROR((VLOOKUP($A261,'Dados StatusInvest'!$A:$AZ,COLUMN(V261)-$A$5,0)),0)</f>
        <v>1.66</v>
      </c>
      <c r="W261" s="56">
        <f>IFERROR((VLOOKUP($A261,'Dados StatusInvest'!$A:$AZ,COLUMN(W261)-$A$5,0)),0)</f>
        <v>5.57</v>
      </c>
      <c r="X261" s="53">
        <f>IFERROR((VLOOKUP($A261,'Dados StatusInvest'!$A:$AZ,COLUMN(X261)-$A$5,0)/VLOOKUP($A261,'Dados StatusInvest'!$A:$AZ,2,0)*$F261),0)</f>
        <v>3.290167464</v>
      </c>
      <c r="Y261" s="54">
        <f>IFERROR((VLOOKUP($A261,'Dados StatusInvest'!$A:$AZ,COLUMN(Y261)-$A$5,0)/VLOOKUP($A261,'Dados StatusInvest'!$A:$AZ,2,0)*$F261),0)</f>
        <v>-0.2766507177</v>
      </c>
      <c r="Z261" s="56">
        <f>IFERROR((VLOOKUP($A261,'Dados StatusInvest'!$A:$AZ,COLUMN(Z261)-$A$5,0)),0)</f>
        <v>0.6</v>
      </c>
      <c r="AA261" s="57">
        <f>IFERROR((VLOOKUP($A261,'Dados StatusInvest'!$A:$AZ,COLUMN(AA261)-$A$5,0)),0)</f>
        <v>0.4</v>
      </c>
      <c r="AB261" s="57">
        <f>IFERROR((VLOOKUP($A261,'Dados StatusInvest'!$A:$AZ,COLUMN(AB261)-$A$5,0)),0)</f>
        <v>0.83</v>
      </c>
      <c r="AC261" s="58">
        <f>IFERROR((VLOOKUP($A261,'Dados StatusInvest'!$A:$AZ,COLUMN(AC261)-$A$5,0)),0)</f>
        <v>18.91</v>
      </c>
      <c r="AD261" s="57">
        <f>IFERROR((VLOOKUP($A261,'Dados StatusInvest'!$A:$AZ,COLUMN(AD261)-$A$5,0)),0)</f>
        <v>0</v>
      </c>
      <c r="AE261" s="56">
        <f>IFERROR((VLOOKUP($A261,'Dados StatusInvest'!$A:$AZ,COLUMN(AE261)-$A$5,0)),0)</f>
        <v>610840.6</v>
      </c>
      <c r="AF261" s="56">
        <f>IFERROR((VLOOKUP($A261,'Dados StatusInvest'!$A:$AZ,COLUMN(AF261)-$A$5,0)),0)</f>
        <v>13.69</v>
      </c>
      <c r="AG261" s="56">
        <f>IFERROR((VLOOKUP($A261,'Dados StatusInvest'!$A:$AZ,COLUMN(AG261)-$A$5,0)),0)</f>
        <v>0.76</v>
      </c>
      <c r="AH261" s="56">
        <f>IFERROR((VLOOKUP($A261,'Dados StatusInvest'!$A:$AZ,COLUMN(AH261)-$A$5,0)),0)</f>
        <v>-0.09</v>
      </c>
      <c r="AI261" s="57">
        <f>IFERROR((VLOOKUP($A261,'Dados StatusInvest'!$A:$AZ,COLUMN(AI261)-$A$5,0)),0)</f>
        <v>258226083.5</v>
      </c>
      <c r="AJ261" s="59" t="str">
        <f>IFERROR((VLOOKUP($A261,'Dados StatusInvest'!$A:$AZ,COLUMN(AJ261)-$A$5,0)),0)</f>
        <v/>
      </c>
      <c r="AK261" s="60">
        <f>IFERROR(__xludf.DUMMYFUNCTION("IFERROR(GOOGLEFINANCE($A261,""high""),"""")"),4.13)</f>
        <v>4.13</v>
      </c>
      <c r="AL261" s="60">
        <f>IFERROR(__xludf.DUMMYFUNCTION("IFERROR(GOOGLEFINANCE($A261,""low""),"""")"),4.11)</f>
        <v>4.11</v>
      </c>
      <c r="AM261" s="61">
        <f t="shared" si="2"/>
        <v>0.004866180049</v>
      </c>
      <c r="AN261" s="62">
        <f>IFERROR(__xludf.DUMMYFUNCTION("IFERROR((GOOGLEFINANCE($A261,""volume"")),0)"),1100.0)</f>
        <v>1100</v>
      </c>
      <c r="AO261" s="60">
        <f>IFERROR(__xludf.DUMMYFUNCTION("IFERROR((GOOGLEFINANCE($A261,""closeyest"")),"""")"),4.18)</f>
        <v>4.18</v>
      </c>
      <c r="AP261" s="60">
        <f>IFERROR(__xludf.DUMMYFUNCTION("IFERROR((GOOGLEFINANCE($A261,""shares"")),"""")"),6.1776575E7)</f>
        <v>61776575</v>
      </c>
      <c r="AQ261" s="18"/>
    </row>
    <row r="262">
      <c r="A262" s="45" t="str">
        <f>'Dados StatusInvest'!A257:A876</f>
        <v>EUCA3</v>
      </c>
      <c r="B262" s="46" t="str">
        <f>IFERROR(__xludf.DUMMYFUNCTION("IFERROR((GOOGLEFINANCE(A262,""name"")),"""")"),"Eucatex SA Industria e Comercio")</f>
        <v>Eucatex SA Industria e Comercio</v>
      </c>
      <c r="C262" s="46" t="str">
        <f>IFERROR((VLOOKUP(LEFT($A262,4),Setor!$A:$E,3,0)),"")</f>
        <v>Materiais Básicos</v>
      </c>
      <c r="D262" s="46" t="str">
        <f>IFERROR((VLOOKUP(LEFT($A262,4),Setor!$A:$E,4,0)),"")</f>
        <v>Madeira e Papel</v>
      </c>
      <c r="E262" s="46" t="str">
        <f>IFERROR((VLOOKUP(LEFT($A262,4),Setor!$A:$E,5,0)),"")</f>
        <v>Madeira</v>
      </c>
      <c r="F262" s="47">
        <f>IFERROR(__xludf.DUMMYFUNCTION("IFERROR((GOOGLEFINANCE(A262)),"""")"),22.61)</f>
        <v>22.61</v>
      </c>
      <c r="G262" s="48" t="str">
        <f>IFERROR(__xludf.DUMMYFUNCTION("IFERROR((sparkline(GOOGLEFINANCE($A262,""price"",TODAY()-30,TODAY(),""DAILY""),{""charttype"",""line"";""linewidth"",1;""color"",""#5f88cc""})),"""")"),"")</f>
        <v/>
      </c>
      <c r="H262" s="49">
        <f>IFERROR(__xludf.DUMMYFUNCTION("IFERROR((((GOOGLEFINANCE(A262))-(INDEX(GoogleFinance(A262,""PRICE"",$AQ$1),2,2)))/(INDEX(GoogleFinance(A262,""PRICE"",$AQ$1),2,2))),"""")"),0.09917355371900823)</f>
        <v>0.09917355372</v>
      </c>
      <c r="I262" s="47">
        <f>IFERROR(__xludf.DUMMYFUNCTION("IFERROR((GOOGLEFINANCE($A262,""high52"")),"""")"),23.97)</f>
        <v>23.97</v>
      </c>
      <c r="J262" s="48" t="str">
        <f>IFERROR(__xludf.DUMMYFUNCTION("IFERROR((sparkline(GOOGLEFINANCE($A262,""price"",TODAY()-365,TODAY(),""DAILY""),{""charttype"",""line"";""linewidth"",1;""color"",""#5f88cc""})),"""")"),"")</f>
        <v/>
      </c>
      <c r="K262" s="50">
        <f>IFERROR(__xludf.DUMMYFUNCTION("IFERROR((((GOOGLEFINANCE(A262))-(INDEX(GoogleFinance(A262,""PRICE"",$AP$1),2,2)))/(INDEX(GoogleFinance(A262,""PRICE"",$AP$1),2,2))),"""")"),0.43829516539440194)</f>
        <v>0.4382951654</v>
      </c>
      <c r="L262" s="51">
        <f t="shared" si="1"/>
        <v>-0.05673758865</v>
      </c>
      <c r="M262" s="52">
        <f>IFERROR((VLOOKUP($A262,'Dados StatusInvest'!$A:$AZ,COLUMN(M262)-$A$5,0)*VLOOKUP($A262,'Dados StatusInvest'!$A:$AZ,2,0)/$F262/100),0)</f>
        <v>0.1643</v>
      </c>
      <c r="N262" s="53">
        <f>IFERROR((VLOOKUP($A262,'Dados StatusInvest'!$A:$AZ,COLUMN(N262)-$A$5,0)/VLOOKUP($A262,'Dados StatusInvest'!$A:$AZ,2,0)*$F262),"")</f>
        <v>9.59</v>
      </c>
      <c r="O262" s="53">
        <f>IFERROR((VLOOKUP($A262,'Dados StatusInvest'!$A:$AZ,COLUMN(O262)-$A$5,0)/VLOOKUP($A262,'Dados StatusInvest'!$A:$AZ,2,0)*$F262),0)</f>
        <v>4.14</v>
      </c>
      <c r="P262" s="54">
        <f>IFERROR((VLOOKUP($A262,'Dados StatusInvest'!$A:$AZ,COLUMN(P262)-$A$5,0)/VLOOKUP($A262,'Dados StatusInvest'!$A:$AZ,2,0)*$F262),0)</f>
        <v>5.04</v>
      </c>
      <c r="Q262" s="55">
        <f>IFERROR((VLOOKUP($A262,'Dados StatusInvest'!$A:$AZ,COLUMN(Q262)-$A$5,0)/100),0)</f>
        <v>0.0099</v>
      </c>
      <c r="R262" s="56">
        <f>VLOOKUP($A262,'Dados StatusInvest'!$A:$AZ,COLUMN(R262)-$A$5,0)</f>
        <v>0.18</v>
      </c>
      <c r="S262" s="56">
        <f>IFERROR((VLOOKUP($A262,'Dados StatusInvest'!$A:$AZ,COLUMN(S262)-$A$5,0)),0)</f>
        <v>0.68</v>
      </c>
      <c r="T262" s="53">
        <f>IFERROR((VLOOKUP($A262,'Dados StatusInvest'!$A:$AZ,COLUMN(T262)-$A$5,0)/VLOOKUP($A262,'Dados StatusInvest'!$A:$AZ,2,0)*$F262),0)</f>
        <v>2.21</v>
      </c>
      <c r="U262" s="53">
        <f>IFERROR((VLOOKUP($A262,'Dados StatusInvest'!$A:$AZ,COLUMN(U262)-$A$5,0)-VLOOKUP($A262,'Dados StatusInvest'!$A:$AZ,COLUMN(U262)-$A$5-1,0)+T262),0)</f>
        <v>-0.7</v>
      </c>
      <c r="V262" s="56">
        <f>IFERROR((VLOOKUP($A262,'Dados StatusInvest'!$A:$AZ,COLUMN(V262)-$A$5,0)),0)</f>
        <v>2.16</v>
      </c>
      <c r="W262" s="56">
        <f>IFERROR((VLOOKUP($A262,'Dados StatusInvest'!$A:$AZ,COLUMN(W262)-$A$5,0)),0)</f>
        <v>10.54</v>
      </c>
      <c r="X262" s="53">
        <f>IFERROR((VLOOKUP($A262,'Dados StatusInvest'!$A:$AZ,COLUMN(X262)-$A$5,0)/VLOOKUP($A262,'Dados StatusInvest'!$A:$AZ,2,0)*$F262),0)</f>
        <v>6.22</v>
      </c>
      <c r="Y262" s="54">
        <f>IFERROR((VLOOKUP($A262,'Dados StatusInvest'!$A:$AZ,COLUMN(Y262)-$A$5,0)/VLOOKUP($A262,'Dados StatusInvest'!$A:$AZ,2,0)*$F262),0)</f>
        <v>11.09</v>
      </c>
      <c r="Z262" s="56">
        <f>IFERROR((VLOOKUP($A262,'Dados StatusInvest'!$A:$AZ,COLUMN(Z262)-$A$5,0)),0)</f>
        <v>0.59</v>
      </c>
      <c r="AA262" s="57">
        <f>IFERROR((VLOOKUP($A262,'Dados StatusInvest'!$A:$AZ,COLUMN(AA262)-$A$5,0)),0)</f>
        <v>0.41</v>
      </c>
      <c r="AB262" s="57">
        <f>IFERROR((VLOOKUP($A262,'Dados StatusInvest'!$A:$AZ,COLUMN(AB262)-$A$5,0)),0)</f>
        <v>0.65</v>
      </c>
      <c r="AC262" s="58">
        <f>IFERROR((VLOOKUP($A262,'Dados StatusInvest'!$A:$AZ,COLUMN(AC262)-$A$5,0)),0)</f>
        <v>13.37</v>
      </c>
      <c r="AD262" s="57">
        <f>IFERROR((VLOOKUP($A262,'Dados StatusInvest'!$A:$AZ,COLUMN(AD262)-$A$5,0)),0)</f>
        <v>35.1</v>
      </c>
      <c r="AE262" s="56">
        <f>IFERROR((VLOOKUP($A262,'Dados StatusInvest'!$A:$AZ,COLUMN(AE262)-$A$5,0)),0)</f>
        <v>13201.39</v>
      </c>
      <c r="AF262" s="56">
        <f>IFERROR((VLOOKUP($A262,'Dados StatusInvest'!$A:$AZ,COLUMN(AF262)-$A$5,0)),0)</f>
        <v>30.27</v>
      </c>
      <c r="AG262" s="56">
        <f>IFERROR((VLOOKUP($A262,'Dados StatusInvest'!$A:$AZ,COLUMN(AG262)-$A$5,0)),0)</f>
        <v>3.19</v>
      </c>
      <c r="AH262" s="56">
        <f>IFERROR((VLOOKUP($A262,'Dados StatusInvest'!$A:$AZ,COLUMN(AH262)-$A$5,0)),0)</f>
        <v>-0.28</v>
      </c>
      <c r="AI262" s="57">
        <f>IFERROR((VLOOKUP($A262,'Dados StatusInvest'!$A:$AZ,COLUMN(AI262)-$A$5,0)),0)</f>
        <v>2046872980</v>
      </c>
      <c r="AJ262" s="59" t="str">
        <f>IFERROR((VLOOKUP($A262,'Dados StatusInvest'!$A:$AZ,COLUMN(AJ262)-$A$5,0)),0)</f>
        <v/>
      </c>
      <c r="AK262" s="60" t="str">
        <f>IFERROR(__xludf.DUMMYFUNCTION("IFERROR(GOOGLEFINANCE($A262,""high""),"""")"),"")</f>
        <v/>
      </c>
      <c r="AL262" s="60" t="str">
        <f>IFERROR(__xludf.DUMMYFUNCTION("IFERROR(GOOGLEFINANCE($A262,""low""),"""")"),"")</f>
        <v/>
      </c>
      <c r="AM262" s="61">
        <f t="shared" si="2"/>
        <v>0</v>
      </c>
      <c r="AN262" s="62">
        <f>IFERROR(__xludf.DUMMYFUNCTION("IFERROR((GOOGLEFINANCE($A262,""volume"")),0)"),0.0)</f>
        <v>0</v>
      </c>
      <c r="AO262" s="60">
        <f>IFERROR(__xludf.DUMMYFUNCTION("IFERROR((GOOGLEFINANCE($A262,""closeyest"")),"""")"),22.61)</f>
        <v>22.61</v>
      </c>
      <c r="AP262" s="60">
        <f>IFERROR(__xludf.DUMMYFUNCTION("IFERROR((GOOGLEFINANCE($A262,""shares"")),"""")"),3.12577E7)</f>
        <v>31257700</v>
      </c>
      <c r="AQ262" s="18"/>
    </row>
    <row r="263">
      <c r="A263" s="45" t="str">
        <f>'Dados StatusInvest'!A258:A877</f>
        <v>EUCA4</v>
      </c>
      <c r="B263" s="46" t="str">
        <f>IFERROR(__xludf.DUMMYFUNCTION("IFERROR((GOOGLEFINANCE(A263,""name"")),"""")"),"Eucatex SA Industria e Comercio Preference Shares")</f>
        <v>Eucatex SA Industria e Comercio Preference Shares</v>
      </c>
      <c r="C263" s="46" t="str">
        <f>IFERROR((VLOOKUP(LEFT($A263,4),Setor!$A:$E,3,0)),"")</f>
        <v>Materiais Básicos</v>
      </c>
      <c r="D263" s="46" t="str">
        <f>IFERROR((VLOOKUP(LEFT($A263,4),Setor!$A:$E,4,0)),"")</f>
        <v>Madeira e Papel</v>
      </c>
      <c r="E263" s="46" t="str">
        <f>IFERROR((VLOOKUP(LEFT($A263,4),Setor!$A:$E,5,0)),"")</f>
        <v>Madeira</v>
      </c>
      <c r="F263" s="47">
        <f>IFERROR(__xludf.DUMMYFUNCTION("IFERROR((GOOGLEFINANCE(A263)),"""")"),21.96)</f>
        <v>21.96</v>
      </c>
      <c r="G263" s="48" t="str">
        <f>IFERROR(__xludf.DUMMYFUNCTION("IFERROR((sparkline(GOOGLEFINANCE($A263,""price"",TODAY()-30,TODAY(),""DAILY""),{""charttype"",""line"";""linewidth"",1;""color"",""#5f88cc""})),"""")"),"")</f>
        <v/>
      </c>
      <c r="H263" s="49">
        <f>IFERROR(__xludf.DUMMYFUNCTION("IFERROR((((GOOGLEFINANCE(A263))-(INDEX(GoogleFinance(A263,""PRICE"",$AQ$1),2,2)))/(INDEX(GoogleFinance(A263,""PRICE"",$AQ$1),2,2))),"""")"),0.16995205114544493)</f>
        <v>0.1699520511</v>
      </c>
      <c r="I263" s="47">
        <f>IFERROR(__xludf.DUMMYFUNCTION("IFERROR((GOOGLEFINANCE($A263,""high52"")),"""")"),22.62)</f>
        <v>22.62</v>
      </c>
      <c r="J263" s="48" t="str">
        <f>IFERROR(__xludf.DUMMYFUNCTION("IFERROR((sparkline(GOOGLEFINANCE($A263,""price"",TODAY()-365,TODAY(),""DAILY""),{""charttype"",""line"";""linewidth"",1;""color"",""#5f88cc""})),"""")"),"")</f>
        <v/>
      </c>
      <c r="K263" s="50">
        <f>IFERROR(__xludf.DUMMYFUNCTION("IFERROR((((GOOGLEFINANCE(A263))-(INDEX(GoogleFinance(A263,""PRICE"",$AP$1),2,2)))/(INDEX(GoogleFinance(A263,""PRICE"",$AP$1),2,2))),"""")"),0.6375838926174497)</f>
        <v>0.6375838926</v>
      </c>
      <c r="L263" s="51">
        <f t="shared" si="1"/>
        <v>-0.02917771883</v>
      </c>
      <c r="M263" s="52">
        <f>IFERROR((VLOOKUP($A263,'Dados StatusInvest'!$A:$AZ,COLUMN(M263)-$A$5,0)*VLOOKUP($A263,'Dados StatusInvest'!$A:$AZ,2,0)/$F263/100),0)</f>
        <v>0.1634021858</v>
      </c>
      <c r="N263" s="53">
        <f>IFERROR((VLOOKUP($A263,'Dados StatusInvest'!$A:$AZ,COLUMN(N263)-$A$5,0)/VLOOKUP($A263,'Dados StatusInvest'!$A:$AZ,2,0)*$F263),"")</f>
        <v>9.642692308</v>
      </c>
      <c r="O263" s="53">
        <f>IFERROR((VLOOKUP($A263,'Dados StatusInvest'!$A:$AZ,COLUMN(O263)-$A$5,0)/VLOOKUP($A263,'Dados StatusInvest'!$A:$AZ,2,0)*$F263),0)</f>
        <v>4.021978022</v>
      </c>
      <c r="P263" s="54">
        <f>IFERROR((VLOOKUP($A263,'Dados StatusInvest'!$A:$AZ,COLUMN(P263)-$A$5,0)/VLOOKUP($A263,'Dados StatusInvest'!$A:$AZ,2,0)*$F263),0)</f>
        <v>5.067692308</v>
      </c>
      <c r="Q263" s="55">
        <f>IFERROR((VLOOKUP($A263,'Dados StatusInvest'!$A:$AZ,COLUMN(Q263)-$A$5,0)/100),0)</f>
        <v>0.0099</v>
      </c>
      <c r="R263" s="56">
        <f>VLOOKUP($A263,'Dados StatusInvest'!$A:$AZ,COLUMN(R263)-$A$5,0)</f>
        <v>0.18</v>
      </c>
      <c r="S263" s="56">
        <f>IFERROR((VLOOKUP($A263,'Dados StatusInvest'!$A:$AZ,COLUMN(S263)-$A$5,0)),0)</f>
        <v>0.66</v>
      </c>
      <c r="T263" s="53">
        <f>IFERROR((VLOOKUP($A263,'Dados StatusInvest'!$A:$AZ,COLUMN(T263)-$A$5,0)/VLOOKUP($A263,'Dados StatusInvest'!$A:$AZ,2,0)*$F263),0)</f>
        <v>2.141703297</v>
      </c>
      <c r="U263" s="53">
        <f>IFERROR((VLOOKUP($A263,'Dados StatusInvest'!$A:$AZ,COLUMN(U263)-$A$5,0)-VLOOKUP($A263,'Dados StatusInvest'!$A:$AZ,COLUMN(U263)-$A$5-1,0)+T263),0)</f>
        <v>-0.6682967033</v>
      </c>
      <c r="V263" s="56">
        <f>IFERROR((VLOOKUP($A263,'Dados StatusInvest'!$A:$AZ,COLUMN(V263)-$A$5,0)),0)</f>
        <v>2.16</v>
      </c>
      <c r="W263" s="56">
        <f>IFERROR((VLOOKUP($A263,'Dados StatusInvest'!$A:$AZ,COLUMN(W263)-$A$5,0)),0)</f>
        <v>10.54</v>
      </c>
      <c r="X263" s="53">
        <f>IFERROR((VLOOKUP($A263,'Dados StatusInvest'!$A:$AZ,COLUMN(X263)-$A$5,0)/VLOOKUP($A263,'Dados StatusInvest'!$A:$AZ,2,0)*$F263),0)</f>
        <v>6.254175824</v>
      </c>
      <c r="Y263" s="54">
        <f>IFERROR((VLOOKUP($A263,'Dados StatusInvest'!$A:$AZ,COLUMN(Y263)-$A$5,0)/VLOOKUP($A263,'Dados StatusInvest'!$A:$AZ,2,0)*$F263),0)</f>
        <v>11.15093407</v>
      </c>
      <c r="Z263" s="56">
        <f>IFERROR((VLOOKUP($A263,'Dados StatusInvest'!$A:$AZ,COLUMN(Z263)-$A$5,0)),0)</f>
        <v>0.59</v>
      </c>
      <c r="AA263" s="57">
        <f>IFERROR((VLOOKUP($A263,'Dados StatusInvest'!$A:$AZ,COLUMN(AA263)-$A$5,0)),0)</f>
        <v>0.41</v>
      </c>
      <c r="AB263" s="57">
        <f>IFERROR((VLOOKUP($A263,'Dados StatusInvest'!$A:$AZ,COLUMN(AB263)-$A$5,0)),0)</f>
        <v>0.65</v>
      </c>
      <c r="AC263" s="58">
        <f>IFERROR((VLOOKUP($A263,'Dados StatusInvest'!$A:$AZ,COLUMN(AC263)-$A$5,0)),0)</f>
        <v>13.37</v>
      </c>
      <c r="AD263" s="57">
        <f>IFERROR((VLOOKUP($A263,'Dados StatusInvest'!$A:$AZ,COLUMN(AD263)-$A$5,0)),0)</f>
        <v>35.1</v>
      </c>
      <c r="AE263" s="56">
        <f>IFERROR((VLOOKUP($A263,'Dados StatusInvest'!$A:$AZ,COLUMN(AE263)-$A$5,0)),0)</f>
        <v>991438.6</v>
      </c>
      <c r="AF263" s="56">
        <f>IFERROR((VLOOKUP($A263,'Dados StatusInvest'!$A:$AZ,COLUMN(AF263)-$A$5,0)),0)</f>
        <v>30.27</v>
      </c>
      <c r="AG263" s="56">
        <f>IFERROR((VLOOKUP($A263,'Dados StatusInvest'!$A:$AZ,COLUMN(AG263)-$A$5,0)),0)</f>
        <v>3.19</v>
      </c>
      <c r="AH263" s="56">
        <f>IFERROR((VLOOKUP($A263,'Dados StatusInvest'!$A:$AZ,COLUMN(AH263)-$A$5,0)),0)</f>
        <v>-0.27</v>
      </c>
      <c r="AI263" s="57">
        <f>IFERROR((VLOOKUP($A263,'Dados StatusInvest'!$A:$AZ,COLUMN(AI263)-$A$5,0)),0)</f>
        <v>2046872980</v>
      </c>
      <c r="AJ263" s="59" t="str">
        <f>IFERROR((VLOOKUP($A263,'Dados StatusInvest'!$A:$AZ,COLUMN(AJ263)-$A$5,0)),0)</f>
        <v/>
      </c>
      <c r="AK263" s="60">
        <f>IFERROR(__xludf.DUMMYFUNCTION("IFERROR(GOOGLEFINANCE($A263,""high""),"""")"),22.04)</f>
        <v>22.04</v>
      </c>
      <c r="AL263" s="60">
        <f>IFERROR(__xludf.DUMMYFUNCTION("IFERROR(GOOGLEFINANCE($A263,""low""),"""")"),21.59)</f>
        <v>21.59</v>
      </c>
      <c r="AM263" s="61">
        <f t="shared" si="2"/>
        <v>0.02084298286</v>
      </c>
      <c r="AN263" s="62">
        <f>IFERROR(__xludf.DUMMYFUNCTION("IFERROR((GOOGLEFINANCE($A263,""volume"")),0)"),300.0)</f>
        <v>300</v>
      </c>
      <c r="AO263" s="60">
        <f>IFERROR(__xludf.DUMMYFUNCTION("IFERROR((GOOGLEFINANCE($A263,""closeyest"")),"""")"),21.84)</f>
        <v>21.84</v>
      </c>
      <c r="AP263" s="60">
        <f>IFERROR(__xludf.DUMMYFUNCTION("IFERROR((GOOGLEFINANCE($A263,""shares"")),"""")"),6.1361556E7)</f>
        <v>61361556</v>
      </c>
      <c r="AQ263" s="18"/>
    </row>
    <row r="264">
      <c r="A264" s="45" t="str">
        <f>'Dados StatusInvest'!A259:A878</f>
        <v>EVEN3</v>
      </c>
      <c r="B264" s="46" t="str">
        <f>IFERROR(__xludf.DUMMYFUNCTION("IFERROR((GOOGLEFINANCE(A264,""name"")),"""")"),"Even Construtora E Incorporadora SA")</f>
        <v>Even Construtora E Incorporadora SA</v>
      </c>
      <c r="C264" s="46" t="str">
        <f>IFERROR((VLOOKUP(LEFT($A264,4),Setor!$A:$E,3,0)),"")</f>
        <v>Consumo Cíclico</v>
      </c>
      <c r="D264" s="46" t="str">
        <f>IFERROR((VLOOKUP(LEFT($A264,4),Setor!$A:$E,4,0)),"")</f>
        <v>Construção Civil</v>
      </c>
      <c r="E264" s="46" t="str">
        <f>IFERROR((VLOOKUP(LEFT($A264,4),Setor!$A:$E,5,0)),"")</f>
        <v>Incorporações</v>
      </c>
      <c r="F264" s="47">
        <f>IFERROR(__xludf.DUMMYFUNCTION("IFERROR((GOOGLEFINANCE(A264)),"""")"),8.4)</f>
        <v>8.4</v>
      </c>
      <c r="G264" s="48" t="str">
        <f>IFERROR(__xludf.DUMMYFUNCTION("IFERROR((sparkline(GOOGLEFINANCE($A264,""price"",TODAY()-30,TODAY(),""DAILY""),{""charttype"",""line"";""linewidth"",1;""color"",""#5f88cc""})),"""")"),"")</f>
        <v/>
      </c>
      <c r="H264" s="49">
        <f>IFERROR(__xludf.DUMMYFUNCTION("IFERROR((((GOOGLEFINANCE(A264))-(INDEX(GoogleFinance(A264,""PRICE"",$AQ$1),2,2)))/(INDEX(GoogleFinance(A264,""PRICE"",$AQ$1),2,2))),"""")"),0.15862068965517245)</f>
        <v>0.1586206897</v>
      </c>
      <c r="I264" s="47">
        <f>IFERROR(__xludf.DUMMYFUNCTION("IFERROR((GOOGLEFINANCE($A264,""high52"")),"""")"),8.76)</f>
        <v>8.76</v>
      </c>
      <c r="J264" s="48" t="str">
        <f>IFERROR(__xludf.DUMMYFUNCTION("IFERROR((sparkline(GOOGLEFINANCE($A264,""price"",TODAY()-365,TODAY(),""DAILY""),{""charttype"",""line"";""linewidth"",1;""color"",""#5f88cc""})),"""")"),"")</f>
        <v/>
      </c>
      <c r="K264" s="50">
        <f>IFERROR(__xludf.DUMMYFUNCTION("IFERROR((((GOOGLEFINANCE(A264))-(INDEX(GoogleFinance(A264,""PRICE"",$AP$1),2,2)))/(INDEX(GoogleFinance(A264,""PRICE"",$AP$1),2,2))),"""")"),0.4023372287145242)</f>
        <v>0.4023372287</v>
      </c>
      <c r="L264" s="51">
        <f t="shared" si="1"/>
        <v>-0.04109589041</v>
      </c>
      <c r="M264" s="52">
        <f>IFERROR((VLOOKUP($A264,'Dados StatusInvest'!$A:$AZ,COLUMN(M264)-$A$5,0)*VLOOKUP($A264,'Dados StatusInvest'!$A:$AZ,2,0)/$F264/100),0)</f>
        <v>0.09306642857</v>
      </c>
      <c r="N264" s="53">
        <f>IFERROR((VLOOKUP($A264,'Dados StatusInvest'!$A:$AZ,COLUMN(N264)-$A$5,0)/VLOOKUP($A264,'Dados StatusInvest'!$A:$AZ,2,0)*$F264),"")</f>
        <v>10.9390681</v>
      </c>
      <c r="O264" s="53">
        <f>IFERROR((VLOOKUP($A264,'Dados StatusInvest'!$A:$AZ,COLUMN(O264)-$A$5,0)/VLOOKUP($A264,'Dados StatusInvest'!$A:$AZ,2,0)*$F264),0)</f>
        <v>10.96917563</v>
      </c>
      <c r="P264" s="54">
        <f>IFERROR((VLOOKUP($A264,'Dados StatusInvest'!$A:$AZ,COLUMN(P264)-$A$5,0)/VLOOKUP($A264,'Dados StatusInvest'!$A:$AZ,2,0)*$F264),0)</f>
        <v>12.91612903</v>
      </c>
      <c r="Q264" s="55">
        <f>IFERROR((VLOOKUP($A264,'Dados StatusInvest'!$A:$AZ,COLUMN(Q264)-$A$5,0)/100),0)</f>
        <v>0.0195</v>
      </c>
      <c r="R264" s="56">
        <f>VLOOKUP($A264,'Dados StatusInvest'!$A:$AZ,COLUMN(R264)-$A$5,0)</f>
        <v>0.15</v>
      </c>
      <c r="S264" s="56">
        <f>IFERROR((VLOOKUP($A264,'Dados StatusInvest'!$A:$AZ,COLUMN(S264)-$A$5,0)),0)</f>
        <v>1.02</v>
      </c>
      <c r="T264" s="53">
        <f>IFERROR((VLOOKUP($A264,'Dados StatusInvest'!$A:$AZ,COLUMN(T264)-$A$5,0)/VLOOKUP($A264,'Dados StatusInvest'!$A:$AZ,2,0)*$F264),0)</f>
        <v>0.582078853</v>
      </c>
      <c r="U264" s="53">
        <f>IFERROR((VLOOKUP($A264,'Dados StatusInvest'!$A:$AZ,COLUMN(U264)-$A$5,0)-VLOOKUP($A264,'Dados StatusInvest'!$A:$AZ,COLUMN(U264)-$A$5-1,0)+T264),0)</f>
        <v>-1.167921147</v>
      </c>
      <c r="V264" s="56">
        <f>IFERROR((VLOOKUP($A264,'Dados StatusInvest'!$A:$AZ,COLUMN(V264)-$A$5,0)),0)</f>
        <v>5.14</v>
      </c>
      <c r="W264" s="56">
        <f>IFERROR((VLOOKUP($A264,'Dados StatusInvest'!$A:$AZ,COLUMN(W264)-$A$5,0)),0)</f>
        <v>9.03</v>
      </c>
      <c r="X264" s="53">
        <f>IFERROR((VLOOKUP($A264,'Dados StatusInvest'!$A:$AZ,COLUMN(X264)-$A$5,0)/VLOOKUP($A264,'Dados StatusInvest'!$A:$AZ,2,0)*$F264),0)</f>
        <v>3.582795699</v>
      </c>
      <c r="Y264" s="54">
        <f>IFERROR((VLOOKUP($A264,'Dados StatusInvest'!$A:$AZ,COLUMN(Y264)-$A$5,0)/VLOOKUP($A264,'Dados StatusInvest'!$A:$AZ,2,0)*$F264),0)</f>
        <v>3.221505376</v>
      </c>
      <c r="Z264" s="56">
        <f>IFERROR((VLOOKUP($A264,'Dados StatusInvest'!$A:$AZ,COLUMN(Z264)-$A$5,0)),0)</f>
        <v>0.4</v>
      </c>
      <c r="AA264" s="57">
        <f>IFERROR((VLOOKUP($A264,'Dados StatusInvest'!$A:$AZ,COLUMN(AA264)-$A$5,0)),0)</f>
        <v>0.55</v>
      </c>
      <c r="AB264" s="57">
        <f>IFERROR((VLOOKUP($A264,'Dados StatusInvest'!$A:$AZ,COLUMN(AB264)-$A$5,0)),0)</f>
        <v>0.33</v>
      </c>
      <c r="AC264" s="58">
        <f>IFERROR((VLOOKUP($A264,'Dados StatusInvest'!$A:$AZ,COLUMN(AC264)-$A$5,0)),0)</f>
        <v>2.43</v>
      </c>
      <c r="AD264" s="57">
        <f>IFERROR((VLOOKUP($A264,'Dados StatusInvest'!$A:$AZ,COLUMN(AD264)-$A$5,0)),0)</f>
        <v>8.46</v>
      </c>
      <c r="AE264" s="56">
        <f>IFERROR((VLOOKUP($A264,'Dados StatusInvest'!$A:$AZ,COLUMN(AE264)-$A$5,0)),0)</f>
        <v>4954211</v>
      </c>
      <c r="AF264" s="56">
        <f>IFERROR((VLOOKUP($A264,'Dados StatusInvest'!$A:$AZ,COLUMN(AF264)-$A$5,0)),0)</f>
        <v>9.9</v>
      </c>
      <c r="AG264" s="56">
        <f>IFERROR((VLOOKUP($A264,'Dados StatusInvest'!$A:$AZ,COLUMN(AG264)-$A$5,0)),0)</f>
        <v>0.89</v>
      </c>
      <c r="AH264" s="56">
        <f>IFERROR((VLOOKUP($A264,'Dados StatusInvest'!$A:$AZ,COLUMN(AH264)-$A$5,0)),0)</f>
        <v>0.16</v>
      </c>
      <c r="AI264" s="57">
        <f>IFERROR((VLOOKUP($A264,'Dados StatusInvest'!$A:$AZ,COLUMN(AI264)-$A$5,0)),0)</f>
        <v>1674000000</v>
      </c>
      <c r="AJ264" s="59" t="str">
        <f>IFERROR((VLOOKUP($A264,'Dados StatusInvest'!$A:$AZ,COLUMN(AJ264)-$A$5,0)),0)</f>
        <v/>
      </c>
      <c r="AK264" s="60">
        <f>IFERROR(__xludf.DUMMYFUNCTION("IFERROR(GOOGLEFINANCE($A264,""high""),"""")"),8.41)</f>
        <v>8.41</v>
      </c>
      <c r="AL264" s="60">
        <f>IFERROR(__xludf.DUMMYFUNCTION("IFERROR(GOOGLEFINANCE($A264,""low""),"""")"),8.22)</f>
        <v>8.22</v>
      </c>
      <c r="AM264" s="61">
        <f t="shared" si="2"/>
        <v>0.02311435523</v>
      </c>
      <c r="AN264" s="62">
        <f>IFERROR(__xludf.DUMMYFUNCTION("IFERROR((GOOGLEFINANCE($A264,""volume"")),0)"),23700.0)</f>
        <v>23700</v>
      </c>
      <c r="AO264" s="60">
        <f>IFERROR(__xludf.DUMMYFUNCTION("IFERROR((GOOGLEFINANCE($A264,""closeyest"")),"""")"),8.37)</f>
        <v>8.37</v>
      </c>
      <c r="AP264" s="60">
        <f>IFERROR(__xludf.DUMMYFUNCTION("IFERROR((GOOGLEFINANCE($A264,""shares"")),"""")"),2.0E8)</f>
        <v>200000000</v>
      </c>
      <c r="AQ264" s="18"/>
    </row>
    <row r="265">
      <c r="A265" s="45" t="str">
        <f>'Dados StatusInvest'!A260:A879</f>
        <v>EZTC3</v>
      </c>
      <c r="B265" s="46" t="str">
        <f>IFERROR(__xludf.DUMMYFUNCTION("IFERROR((GOOGLEFINANCE(A265,""name"")),"""")"),"EZ TEC Empreendimentos e Participaces SA")</f>
        <v>EZ TEC Empreendimentos e Participaces SA</v>
      </c>
      <c r="C265" s="46" t="str">
        <f>IFERROR((VLOOKUP(LEFT($A265,4),Setor!$A:$E,3,0)),"")</f>
        <v>Consumo Cíclico</v>
      </c>
      <c r="D265" s="46" t="str">
        <f>IFERROR((VLOOKUP(LEFT($A265,4),Setor!$A:$E,4,0)),"")</f>
        <v>Construção Civil</v>
      </c>
      <c r="E265" s="46" t="str">
        <f>IFERROR((VLOOKUP(LEFT($A265,4),Setor!$A:$E,5,0)),"")</f>
        <v>Incorporações</v>
      </c>
      <c r="F265" s="47">
        <f>IFERROR(__xludf.DUMMYFUNCTION("IFERROR((GOOGLEFINANCE(A265)),"""")"),15.57)</f>
        <v>15.57</v>
      </c>
      <c r="G265" s="48" t="str">
        <f>IFERROR(__xludf.DUMMYFUNCTION("IFERROR((sparkline(GOOGLEFINANCE($A265,""price"",TODAY()-30,TODAY(),""DAILY""),{""charttype"",""line"";""linewidth"",1;""color"",""#5f88cc""})),"""")"),"")</f>
        <v/>
      </c>
      <c r="H265" s="49">
        <f>IFERROR(__xludf.DUMMYFUNCTION("IFERROR((((GOOGLEFINANCE(A265))-(INDEX(GoogleFinance(A265,""PRICE"",$AQ$1),2,2)))/(INDEX(GoogleFinance(A265,""PRICE"",$AQ$1),2,2))),"""")"),0.10347271438695967)</f>
        <v>0.1034727144</v>
      </c>
      <c r="I265" s="47">
        <f>IFERROR(__xludf.DUMMYFUNCTION("IFERROR((GOOGLEFINANCE($A265,""high52"")),"""")"),16.72)</f>
        <v>16.72</v>
      </c>
      <c r="J265" s="48" t="str">
        <f>IFERROR(__xludf.DUMMYFUNCTION("IFERROR((sparkline(GOOGLEFINANCE($A265,""price"",TODAY()-365,TODAY(),""DAILY""),{""charttype"",""line"";""linewidth"",1;""color"",""#5f88cc""})),"""")"),"")</f>
        <v/>
      </c>
      <c r="K265" s="50">
        <f>IFERROR(__xludf.DUMMYFUNCTION("IFERROR((((GOOGLEFINANCE(A265))-(INDEX(GoogleFinance(A265,""PRICE"",$AP$1),2,2)))/(INDEX(GoogleFinance(A265,""PRICE"",$AP$1),2,2))),"""")"),0.45923149015932524)</f>
        <v>0.4592314902</v>
      </c>
      <c r="L265" s="51">
        <f t="shared" si="1"/>
        <v>-0.06877990431</v>
      </c>
      <c r="M265" s="52">
        <f>IFERROR((VLOOKUP($A265,'Dados StatusInvest'!$A:$AZ,COLUMN(M265)-$A$5,0)*VLOOKUP($A265,'Dados StatusInvest'!$A:$AZ,2,0)/$F265/100),0)</f>
        <v>0.2813385999</v>
      </c>
      <c r="N265" s="53">
        <f>IFERROR((VLOOKUP($A265,'Dados StatusInvest'!$A:$AZ,COLUMN(N265)-$A$5,0)/VLOOKUP($A265,'Dados StatusInvest'!$A:$AZ,2,0)*$F265),"")</f>
        <v>32.4952033</v>
      </c>
      <c r="O265" s="53">
        <f>IFERROR((VLOOKUP($A265,'Dados StatusInvest'!$A:$AZ,COLUMN(O265)-$A$5,0)/VLOOKUP($A265,'Dados StatusInvest'!$A:$AZ,2,0)*$F265),0)</f>
        <v>9.486423126</v>
      </c>
      <c r="P265" s="54">
        <f>IFERROR((VLOOKUP($A265,'Dados StatusInvest'!$A:$AZ,COLUMN(P265)-$A$5,0)/VLOOKUP($A265,'Dados StatusInvest'!$A:$AZ,2,0)*$F265),0)</f>
        <v>9.842534943</v>
      </c>
      <c r="Q265" s="55">
        <f>IFERROR((VLOOKUP($A265,'Dados StatusInvest'!$A:$AZ,COLUMN(Q265)-$A$5,0)/100),0)</f>
        <v>0.0036</v>
      </c>
      <c r="R265" s="56">
        <f>VLOOKUP($A265,'Dados StatusInvest'!$A:$AZ,COLUMN(R265)-$A$5,0)</f>
        <v>0.03</v>
      </c>
      <c r="S265" s="56">
        <f>IFERROR((VLOOKUP($A265,'Dados StatusInvest'!$A:$AZ,COLUMN(S265)-$A$5,0)),0)</f>
        <v>2.67</v>
      </c>
      <c r="T265" s="53">
        <f>IFERROR((VLOOKUP($A265,'Dados StatusInvest'!$A:$AZ,COLUMN(T265)-$A$5,0)/VLOOKUP($A265,'Dados StatusInvest'!$A:$AZ,2,0)*$F265),0)</f>
        <v>1.79045108</v>
      </c>
      <c r="U265" s="53">
        <f>IFERROR((VLOOKUP($A265,'Dados StatusInvest'!$A:$AZ,COLUMN(U265)-$A$5,0)-VLOOKUP($A265,'Dados StatusInvest'!$A:$AZ,COLUMN(U265)-$A$5-1,0)+T265),0)</f>
        <v>-1.10954892</v>
      </c>
      <c r="V265" s="56">
        <f>IFERROR((VLOOKUP($A265,'Dados StatusInvest'!$A:$AZ,COLUMN(V265)-$A$5,0)),0)</f>
        <v>5.66</v>
      </c>
      <c r="W265" s="56">
        <f>IFERROR((VLOOKUP($A265,'Dados StatusInvest'!$A:$AZ,COLUMN(W265)-$A$5,0)),0)</f>
        <v>10.6</v>
      </c>
      <c r="X265" s="53">
        <f>IFERROR((VLOOKUP($A265,'Dados StatusInvest'!$A:$AZ,COLUMN(X265)-$A$5,0)/VLOOKUP($A265,'Dados StatusInvest'!$A:$AZ,2,0)*$F265),0)</f>
        <v>7.676188056</v>
      </c>
      <c r="Y265" s="54">
        <f>IFERROR((VLOOKUP($A265,'Dados StatusInvest'!$A:$AZ,COLUMN(Y265)-$A$5,0)/VLOOKUP($A265,'Dados StatusInvest'!$A:$AZ,2,0)*$F265),0)</f>
        <v>6.113252859</v>
      </c>
      <c r="Z265" s="56">
        <f>IFERROR((VLOOKUP($A265,'Dados StatusInvest'!$A:$AZ,COLUMN(Z265)-$A$5,0)),0)</f>
        <v>0.73</v>
      </c>
      <c r="AA265" s="57">
        <f>IFERROR((VLOOKUP($A265,'Dados StatusInvest'!$A:$AZ,COLUMN(AA265)-$A$5,0)),0)</f>
        <v>0.26</v>
      </c>
      <c r="AB265" s="57">
        <f>IFERROR((VLOOKUP($A265,'Dados StatusInvest'!$A:$AZ,COLUMN(AB265)-$A$5,0)),0)</f>
        <v>0.24</v>
      </c>
      <c r="AC265" s="58">
        <f>IFERROR((VLOOKUP($A265,'Dados StatusInvest'!$A:$AZ,COLUMN(AC265)-$A$5,0)),0)</f>
        <v>14.17</v>
      </c>
      <c r="AD265" s="57">
        <f>IFERROR((VLOOKUP($A265,'Dados StatusInvest'!$A:$AZ,COLUMN(AD265)-$A$5,0)),0)</f>
        <v>14.12</v>
      </c>
      <c r="AE265" s="56">
        <f>IFERROR((VLOOKUP($A265,'Dados StatusInvest'!$A:$AZ,COLUMN(AE265)-$A$5,0)),0)</f>
        <v>30563739</v>
      </c>
      <c r="AF265" s="56">
        <f>IFERROR((VLOOKUP($A265,'Dados StatusInvest'!$A:$AZ,COLUMN(AF265)-$A$5,0)),0)</f>
        <v>18.27</v>
      </c>
      <c r="AG265" s="56">
        <f>IFERROR((VLOOKUP($A265,'Dados StatusInvest'!$A:$AZ,COLUMN(AG265)-$A$5,0)),0)</f>
        <v>1.94</v>
      </c>
      <c r="AH265" s="56">
        <f>IFERROR((VLOOKUP($A265,'Dados StatusInvest'!$A:$AZ,COLUMN(AH265)-$A$5,0)),0)</f>
        <v>0.16</v>
      </c>
      <c r="AI265" s="57">
        <f>IFERROR((VLOOKUP($A265,'Dados StatusInvest'!$A:$AZ,COLUMN(AI265)-$A$5,0)),0)</f>
        <v>4422940000</v>
      </c>
      <c r="AJ265" s="59" t="str">
        <f>IFERROR((VLOOKUP($A265,'Dados StatusInvest'!$A:$AZ,COLUMN(AJ265)-$A$5,0)),0)</f>
        <v/>
      </c>
      <c r="AK265" s="60">
        <f>IFERROR(__xludf.DUMMYFUNCTION("IFERROR(GOOGLEFINANCE($A265,""high""),"""")"),15.71)</f>
        <v>15.71</v>
      </c>
      <c r="AL265" s="60">
        <f>IFERROR(__xludf.DUMMYFUNCTION("IFERROR(GOOGLEFINANCE($A265,""low""),"""")"),15.51)</f>
        <v>15.51</v>
      </c>
      <c r="AM265" s="61">
        <f t="shared" si="2"/>
        <v>0.01289490651</v>
      </c>
      <c r="AN265" s="62">
        <f>IFERROR(__xludf.DUMMYFUNCTION("IFERROR((GOOGLEFINANCE($A265,""volume"")),0)"),33100.0)</f>
        <v>33100</v>
      </c>
      <c r="AO265" s="60">
        <f>IFERROR(__xludf.DUMMYFUNCTION("IFERROR((GOOGLEFINANCE($A265,""closeyest"")),"""")"),15.74)</f>
        <v>15.74</v>
      </c>
      <c r="AP265" s="60">
        <f>IFERROR(__xludf.DUMMYFUNCTION("IFERROR((GOOGLEFINANCE($A265,""shares"")),"""")"),2.81E8)</f>
        <v>281000000</v>
      </c>
      <c r="AQ265" s="18"/>
    </row>
    <row r="266">
      <c r="A266" s="45" t="str">
        <f>'Dados StatusInvest'!A261:A880</f>
        <v>FBMC3</v>
      </c>
      <c r="B266" s="46" t="str">
        <f>IFERROR(__xludf.DUMMYFUNCTION("IFERROR((GOOGLEFINANCE(A266,""name"")),"""")"),"")</f>
        <v/>
      </c>
      <c r="C266" s="46" t="str">
        <f>IFERROR((VLOOKUP(LEFT($A266,4),Setor!$A:$E,3,0)),"")</f>
        <v/>
      </c>
      <c r="D266" s="46" t="str">
        <f>IFERROR((VLOOKUP(LEFT($A266,4),Setor!$A:$E,4,0)),"")</f>
        <v/>
      </c>
      <c r="E266" s="46" t="str">
        <f>IFERROR((VLOOKUP(LEFT($A266,4),Setor!$A:$E,5,0)),"")</f>
        <v/>
      </c>
      <c r="F266" s="47" t="str">
        <f>IFERROR(__xludf.DUMMYFUNCTION("IFERROR((GOOGLEFINANCE(A266)),"""")"),"")</f>
        <v/>
      </c>
      <c r="G266" s="48" t="str">
        <f>IFERROR(__xludf.DUMMYFUNCTION("IFERROR((sparkline(GOOGLEFINANCE($A266,""price"",TODAY()-30,TODAY(),""DAILY""),{""charttype"",""line"";""linewidth"",1;""color"",""#5f88cc""})),"""")"),"")</f>
        <v/>
      </c>
      <c r="H266" s="49" t="str">
        <f>IFERROR(__xludf.DUMMYFUNCTION("IFERROR((((GOOGLEFINANCE(A266))-(INDEX(GoogleFinance(A266,""PRICE"",$AQ$1),2,2)))/(INDEX(GoogleFinance(A266,""PRICE"",$AQ$1),2,2))),"""")"),"")</f>
        <v/>
      </c>
      <c r="I266" s="47" t="str">
        <f>IFERROR(__xludf.DUMMYFUNCTION("IFERROR((GOOGLEFINANCE($A266,""high52"")),"""")"),"")</f>
        <v/>
      </c>
      <c r="J266" s="48" t="str">
        <f>IFERROR(__xludf.DUMMYFUNCTION("IFERROR((sparkline(GOOGLEFINANCE($A266,""price"",TODAY()-365,TODAY(),""DAILY""),{""charttype"",""line"";""linewidth"",1;""color"",""#5f88cc""})),"""")"),"")</f>
        <v/>
      </c>
      <c r="K266" s="50" t="str">
        <f>IFERROR(__xludf.DUMMYFUNCTION("IFERROR((((GOOGLEFINANCE(A266))-(INDEX(GoogleFinance(A266,""PRICE"",$AP$1),2,2)))/(INDEX(GoogleFinance(A266,""PRICE"",$AP$1),2,2))),"""")"),"")</f>
        <v/>
      </c>
      <c r="L266" s="51">
        <f t="shared" si="1"/>
        <v>0</v>
      </c>
      <c r="M266" s="52">
        <f>IFERROR((VLOOKUP($A266,'Dados StatusInvest'!$A:$AZ,COLUMN(M266)-$A$5,0)*VLOOKUP($A266,'Dados StatusInvest'!$A:$AZ,2,0)/$F266/100),0)</f>
        <v>0</v>
      </c>
      <c r="N266" s="53" t="str">
        <f>IFERROR((VLOOKUP($A266,'Dados StatusInvest'!$A:$AZ,COLUMN(N266)-$A$5,0)/VLOOKUP($A266,'Dados StatusInvest'!$A:$AZ,2,0)*$F266),"")</f>
        <v/>
      </c>
      <c r="O266" s="53">
        <f>IFERROR((VLOOKUP($A266,'Dados StatusInvest'!$A:$AZ,COLUMN(O266)-$A$5,0)/VLOOKUP($A266,'Dados StatusInvest'!$A:$AZ,2,0)*$F266),0)</f>
        <v>0</v>
      </c>
      <c r="P266" s="54">
        <f>IFERROR((VLOOKUP($A266,'Dados StatusInvest'!$A:$AZ,COLUMN(P266)-$A$5,0)/VLOOKUP($A266,'Dados StatusInvest'!$A:$AZ,2,0)*$F266),0)</f>
        <v>0</v>
      </c>
      <c r="Q266" s="55">
        <f>IFERROR((VLOOKUP($A266,'Dados StatusInvest'!$A:$AZ,COLUMN(Q266)-$A$5,0)/100),0)</f>
        <v>-0.0067</v>
      </c>
      <c r="R266" s="56">
        <f>VLOOKUP($A266,'Dados StatusInvest'!$A:$AZ,COLUMN(R266)-$A$5,0)</f>
        <v>0</v>
      </c>
      <c r="S266" s="56">
        <f>IFERROR((VLOOKUP($A266,'Dados StatusInvest'!$A:$AZ,COLUMN(S266)-$A$5,0)),0)</f>
        <v>0</v>
      </c>
      <c r="T266" s="53">
        <f>IFERROR((VLOOKUP($A266,'Dados StatusInvest'!$A:$AZ,COLUMN(T266)-$A$5,0)/VLOOKUP($A266,'Dados StatusInvest'!$A:$AZ,2,0)*$F266),0)</f>
        <v>0</v>
      </c>
      <c r="U266" s="53">
        <f>IFERROR((VLOOKUP($A266,'Dados StatusInvest'!$A:$AZ,COLUMN(U266)-$A$5,0)-VLOOKUP($A266,'Dados StatusInvest'!$A:$AZ,COLUMN(U266)-$A$5-1,0)+T266),0)</f>
        <v>0</v>
      </c>
      <c r="V266" s="56">
        <f>IFERROR((VLOOKUP($A266,'Dados StatusInvest'!$A:$AZ,COLUMN(V266)-$A$5,0)),0)</f>
        <v>0.31</v>
      </c>
      <c r="W266" s="56">
        <f>IFERROR((VLOOKUP($A266,'Dados StatusInvest'!$A:$AZ,COLUMN(W266)-$A$5,0)),0)</f>
        <v>-24.19</v>
      </c>
      <c r="X266" s="53">
        <f>IFERROR((VLOOKUP($A266,'Dados StatusInvest'!$A:$AZ,COLUMN(X266)-$A$5,0)/VLOOKUP($A266,'Dados StatusInvest'!$A:$AZ,2,0)*$F266),0)</f>
        <v>0</v>
      </c>
      <c r="Y266" s="54">
        <f>IFERROR((VLOOKUP($A266,'Dados StatusInvest'!$A:$AZ,COLUMN(Y266)-$A$5,0)/VLOOKUP($A266,'Dados StatusInvest'!$A:$AZ,2,0)*$F266),0)</f>
        <v>0</v>
      </c>
      <c r="Z266" s="56">
        <f>IFERROR((VLOOKUP($A266,'Dados StatusInvest'!$A:$AZ,COLUMN(Z266)-$A$5,0)),0)</f>
        <v>-1.51</v>
      </c>
      <c r="AA266" s="57">
        <f>IFERROR((VLOOKUP($A266,'Dados StatusInvest'!$A:$AZ,COLUMN(AA266)-$A$5,0)),0)</f>
        <v>2.51</v>
      </c>
      <c r="AB266" s="57">
        <f>IFERROR((VLOOKUP($A266,'Dados StatusInvest'!$A:$AZ,COLUMN(AB266)-$A$5,0)),0)</f>
        <v>0.36</v>
      </c>
      <c r="AC266" s="58">
        <f>IFERROR((VLOOKUP($A266,'Dados StatusInvest'!$A:$AZ,COLUMN(AC266)-$A$5,0)),0)</f>
        <v>-18.14</v>
      </c>
      <c r="AD266" s="57">
        <f>IFERROR((VLOOKUP($A266,'Dados StatusInvest'!$A:$AZ,COLUMN(AD266)-$A$5,0)),0)</f>
        <v>0</v>
      </c>
      <c r="AE266" s="56">
        <f>IFERROR((VLOOKUP($A266,'Dados StatusInvest'!$A:$AZ,COLUMN(AE266)-$A$5,0)),0)</f>
        <v>0</v>
      </c>
      <c r="AF266" s="56">
        <f>IFERROR((VLOOKUP($A266,'Dados StatusInvest'!$A:$AZ,COLUMN(AF266)-$A$5,0)),0)</f>
        <v>-87.48</v>
      </c>
      <c r="AG266" s="56">
        <f>IFERROR((VLOOKUP($A266,'Dados StatusInvest'!$A:$AZ,COLUMN(AG266)-$A$5,0)),0)</f>
        <v>-21.16</v>
      </c>
      <c r="AH266" s="56">
        <f>IFERROR((VLOOKUP($A266,'Dados StatusInvest'!$A:$AZ,COLUMN(AH266)-$A$5,0)),0)</f>
        <v>0</v>
      </c>
      <c r="AI266" s="57">
        <f>IFERROR((VLOOKUP($A266,'Dados StatusInvest'!$A:$AZ,COLUMN(AI266)-$A$5,0)),0)</f>
        <v>904253.84</v>
      </c>
      <c r="AJ266" s="59" t="str">
        <f>IFERROR((VLOOKUP($A266,'Dados StatusInvest'!$A:$AZ,COLUMN(AJ266)-$A$5,0)),0)</f>
        <v/>
      </c>
      <c r="AK266" s="60" t="str">
        <f>IFERROR(__xludf.DUMMYFUNCTION("IFERROR(GOOGLEFINANCE($A266,""high""),"""")"),"")</f>
        <v/>
      </c>
      <c r="AL266" s="60" t="str">
        <f>IFERROR(__xludf.DUMMYFUNCTION("IFERROR(GOOGLEFINANCE($A266,""low""),"""")"),"")</f>
        <v/>
      </c>
      <c r="AM266" s="61">
        <f t="shared" si="2"/>
        <v>0</v>
      </c>
      <c r="AN266" s="62">
        <f>IFERROR(__xludf.DUMMYFUNCTION("IFERROR((GOOGLEFINANCE($A266,""volume"")),0)"),0.0)</f>
        <v>0</v>
      </c>
      <c r="AO266" s="60" t="str">
        <f>IFERROR(__xludf.DUMMYFUNCTION("IFERROR((GOOGLEFINANCE($A266,""closeyest"")),"""")"),"")</f>
        <v/>
      </c>
      <c r="AP266" s="60" t="str">
        <f>IFERROR(__xludf.DUMMYFUNCTION("IFERROR((GOOGLEFINANCE($A266,""shares"")),"""")"),"")</f>
        <v/>
      </c>
      <c r="AQ266" s="18"/>
    </row>
    <row r="267">
      <c r="A267" s="45" t="str">
        <f>'Dados StatusInvest'!A262:A881</f>
        <v>FBMC4</v>
      </c>
      <c r="B267" s="46" t="str">
        <f>IFERROR(__xludf.DUMMYFUNCTION("IFERROR((GOOGLEFINANCE(A267,""name"")),"""")"),"")</f>
        <v/>
      </c>
      <c r="C267" s="46" t="str">
        <f>IFERROR((VLOOKUP(LEFT($A267,4),Setor!$A:$E,3,0)),"")</f>
        <v/>
      </c>
      <c r="D267" s="46" t="str">
        <f>IFERROR((VLOOKUP(LEFT($A267,4),Setor!$A:$E,4,0)),"")</f>
        <v/>
      </c>
      <c r="E267" s="46" t="str">
        <f>IFERROR((VLOOKUP(LEFT($A267,4),Setor!$A:$E,5,0)),"")</f>
        <v/>
      </c>
      <c r="F267" s="47" t="str">
        <f>IFERROR(__xludf.DUMMYFUNCTION("IFERROR((GOOGLEFINANCE(A267)),"""")"),"")</f>
        <v/>
      </c>
      <c r="G267" s="48" t="str">
        <f>IFERROR(__xludf.DUMMYFUNCTION("IFERROR((sparkline(GOOGLEFINANCE($A267,""price"",TODAY()-30,TODAY(),""DAILY""),{""charttype"",""line"";""linewidth"",1;""color"",""#5f88cc""})),"""")"),"")</f>
        <v/>
      </c>
      <c r="H267" s="49" t="str">
        <f>IFERROR(__xludf.DUMMYFUNCTION("IFERROR((((GOOGLEFINANCE(A267))-(INDEX(GoogleFinance(A267,""PRICE"",$AQ$1),2,2)))/(INDEX(GoogleFinance(A267,""PRICE"",$AQ$1),2,2))),"""")"),"")</f>
        <v/>
      </c>
      <c r="I267" s="47" t="str">
        <f>IFERROR(__xludf.DUMMYFUNCTION("IFERROR((GOOGLEFINANCE($A267,""high52"")),"""")"),"")</f>
        <v/>
      </c>
      <c r="J267" s="48" t="str">
        <f>IFERROR(__xludf.DUMMYFUNCTION("IFERROR((sparkline(GOOGLEFINANCE($A267,""price"",TODAY()-365,TODAY(),""DAILY""),{""charttype"",""line"";""linewidth"",1;""color"",""#5f88cc""})),"""")"),"")</f>
        <v/>
      </c>
      <c r="K267" s="50" t="str">
        <f>IFERROR(__xludf.DUMMYFUNCTION("IFERROR((((GOOGLEFINANCE(A267))-(INDEX(GoogleFinance(A267,""PRICE"",$AP$1),2,2)))/(INDEX(GoogleFinance(A267,""PRICE"",$AP$1),2,2))),"""")"),"")</f>
        <v/>
      </c>
      <c r="L267" s="51">
        <f t="shared" si="1"/>
        <v>0</v>
      </c>
      <c r="M267" s="52">
        <f>IFERROR((VLOOKUP($A267,'Dados StatusInvest'!$A:$AZ,COLUMN(M267)-$A$5,0)*VLOOKUP($A267,'Dados StatusInvest'!$A:$AZ,2,0)/$F267/100),0)</f>
        <v>0</v>
      </c>
      <c r="N267" s="53">
        <f>IFERROR((VLOOKUP($A267,'Dados StatusInvest'!$A:$AZ,COLUMN(N267)-$A$5,0)/VLOOKUP($A267,'Dados StatusInvest'!$A:$AZ,2,0)*$F267),"")</f>
        <v>0</v>
      </c>
      <c r="O267" s="53">
        <f>IFERROR((VLOOKUP($A267,'Dados StatusInvest'!$A:$AZ,COLUMN(O267)-$A$5,0)/VLOOKUP($A267,'Dados StatusInvest'!$A:$AZ,2,0)*$F267),0)</f>
        <v>0</v>
      </c>
      <c r="P267" s="54">
        <f>IFERROR((VLOOKUP($A267,'Dados StatusInvest'!$A:$AZ,COLUMN(P267)-$A$5,0)/VLOOKUP($A267,'Dados StatusInvest'!$A:$AZ,2,0)*$F267),0)</f>
        <v>0</v>
      </c>
      <c r="Q267" s="55">
        <f>IFERROR((VLOOKUP($A267,'Dados StatusInvest'!$A:$AZ,COLUMN(Q267)-$A$5,0)/100),0)</f>
        <v>-0.0067</v>
      </c>
      <c r="R267" s="56">
        <f>VLOOKUP($A267,'Dados StatusInvest'!$A:$AZ,COLUMN(R267)-$A$5,0)</f>
        <v>0</v>
      </c>
      <c r="S267" s="56">
        <f>IFERROR((VLOOKUP($A267,'Dados StatusInvest'!$A:$AZ,COLUMN(S267)-$A$5,0)),0)</f>
        <v>0.09</v>
      </c>
      <c r="T267" s="53">
        <f>IFERROR((VLOOKUP($A267,'Dados StatusInvest'!$A:$AZ,COLUMN(T267)-$A$5,0)/VLOOKUP($A267,'Dados StatusInvest'!$A:$AZ,2,0)*$F267),0)</f>
        <v>0</v>
      </c>
      <c r="U267" s="53">
        <f>IFERROR((VLOOKUP($A267,'Dados StatusInvest'!$A:$AZ,COLUMN(U267)-$A$5,0)-VLOOKUP($A267,'Dados StatusInvest'!$A:$AZ,COLUMN(U267)-$A$5-1,0)+T267),0)</f>
        <v>-0.01</v>
      </c>
      <c r="V267" s="56">
        <f>IFERROR((VLOOKUP($A267,'Dados StatusInvest'!$A:$AZ,COLUMN(V267)-$A$5,0)),0)</f>
        <v>0.31</v>
      </c>
      <c r="W267" s="56">
        <f>IFERROR((VLOOKUP($A267,'Dados StatusInvest'!$A:$AZ,COLUMN(W267)-$A$5,0)),0)</f>
        <v>-24.19</v>
      </c>
      <c r="X267" s="53">
        <f>IFERROR((VLOOKUP($A267,'Dados StatusInvest'!$A:$AZ,COLUMN(X267)-$A$5,0)/VLOOKUP($A267,'Dados StatusInvest'!$A:$AZ,2,0)*$F267),0)</f>
        <v>0</v>
      </c>
      <c r="Y267" s="54">
        <f>IFERROR((VLOOKUP($A267,'Dados StatusInvest'!$A:$AZ,COLUMN(Y267)-$A$5,0)/VLOOKUP($A267,'Dados StatusInvest'!$A:$AZ,2,0)*$F267),0)</f>
        <v>0</v>
      </c>
      <c r="Z267" s="56">
        <f>IFERROR((VLOOKUP($A267,'Dados StatusInvest'!$A:$AZ,COLUMN(Z267)-$A$5,0)),0)</f>
        <v>-1.51</v>
      </c>
      <c r="AA267" s="57">
        <f>IFERROR((VLOOKUP($A267,'Dados StatusInvest'!$A:$AZ,COLUMN(AA267)-$A$5,0)),0)</f>
        <v>2.51</v>
      </c>
      <c r="AB267" s="57">
        <f>IFERROR((VLOOKUP($A267,'Dados StatusInvest'!$A:$AZ,COLUMN(AB267)-$A$5,0)),0)</f>
        <v>0.36</v>
      </c>
      <c r="AC267" s="58">
        <f>IFERROR((VLOOKUP($A267,'Dados StatusInvest'!$A:$AZ,COLUMN(AC267)-$A$5,0)),0)</f>
        <v>-18.14</v>
      </c>
      <c r="AD267" s="57">
        <f>IFERROR((VLOOKUP($A267,'Dados StatusInvest'!$A:$AZ,COLUMN(AD267)-$A$5,0)),0)</f>
        <v>0</v>
      </c>
      <c r="AE267" s="56">
        <f>IFERROR((VLOOKUP($A267,'Dados StatusInvest'!$A:$AZ,COLUMN(AE267)-$A$5,0)),0)</f>
        <v>0</v>
      </c>
      <c r="AF267" s="56">
        <f>IFERROR((VLOOKUP($A267,'Dados StatusInvest'!$A:$AZ,COLUMN(AF267)-$A$5,0)),0)</f>
        <v>-87.48</v>
      </c>
      <c r="AG267" s="56">
        <f>IFERROR((VLOOKUP($A267,'Dados StatusInvest'!$A:$AZ,COLUMN(AG267)-$A$5,0)),0)</f>
        <v>-21.16</v>
      </c>
      <c r="AH267" s="56">
        <f>IFERROR((VLOOKUP($A267,'Dados StatusInvest'!$A:$AZ,COLUMN(AH267)-$A$5,0)),0)</f>
        <v>0</v>
      </c>
      <c r="AI267" s="57">
        <f>IFERROR((VLOOKUP($A267,'Dados StatusInvest'!$A:$AZ,COLUMN(AI267)-$A$5,0)),0)</f>
        <v>904253.84</v>
      </c>
      <c r="AJ267" s="59" t="str">
        <f>IFERROR((VLOOKUP($A267,'Dados StatusInvest'!$A:$AZ,COLUMN(AJ267)-$A$5,0)),0)</f>
        <v/>
      </c>
      <c r="AK267" s="60" t="str">
        <f>IFERROR(__xludf.DUMMYFUNCTION("IFERROR(GOOGLEFINANCE($A267,""high""),"""")"),"")</f>
        <v/>
      </c>
      <c r="AL267" s="60" t="str">
        <f>IFERROR(__xludf.DUMMYFUNCTION("IFERROR(GOOGLEFINANCE($A267,""low""),"""")"),"")</f>
        <v/>
      </c>
      <c r="AM267" s="61">
        <f t="shared" si="2"/>
        <v>0</v>
      </c>
      <c r="AN267" s="62">
        <f>IFERROR(__xludf.DUMMYFUNCTION("IFERROR((GOOGLEFINANCE($A267,""volume"")),0)"),0.0)</f>
        <v>0</v>
      </c>
      <c r="AO267" s="60" t="str">
        <f>IFERROR(__xludf.DUMMYFUNCTION("IFERROR((GOOGLEFINANCE($A267,""closeyest"")),"""")"),"")</f>
        <v/>
      </c>
      <c r="AP267" s="60" t="str">
        <f>IFERROR(__xludf.DUMMYFUNCTION("IFERROR((GOOGLEFINANCE($A267,""shares"")),"""")"),"")</f>
        <v/>
      </c>
      <c r="AQ267" s="18"/>
    </row>
    <row r="268">
      <c r="A268" s="45" t="str">
        <f>'Dados StatusInvest'!A263:A882</f>
        <v>FESA3</v>
      </c>
      <c r="B268" s="46" t="str">
        <f>IFERROR(__xludf.DUMMYFUNCTION("IFERROR((GOOGLEFINANCE(A268,""name"")),"""")"),"Companhia de Ferro Ligas da Bah Frbs")</f>
        <v>Companhia de Ferro Ligas da Bah Frbs</v>
      </c>
      <c r="C268" s="46" t="str">
        <f>IFERROR((VLOOKUP(LEFT($A268,4),Setor!$A:$E,3,0)),"")</f>
        <v>Materiais Básicos</v>
      </c>
      <c r="D268" s="46" t="str">
        <f>IFERROR((VLOOKUP(LEFT($A268,4),Setor!$A:$E,4,0)),"")</f>
        <v>Siderurgia e Metalurgia</v>
      </c>
      <c r="E268" s="46" t="str">
        <f>IFERROR((VLOOKUP(LEFT($A268,4),Setor!$A:$E,5,0)),"")</f>
        <v>Siderurgia</v>
      </c>
      <c r="F268" s="47">
        <f>IFERROR(__xludf.DUMMYFUNCTION("IFERROR((GOOGLEFINANCE(A268)),"""")"),12.11)</f>
        <v>12.11</v>
      </c>
      <c r="G268" s="48" t="str">
        <f>IFERROR(__xludf.DUMMYFUNCTION("IFERROR((sparkline(GOOGLEFINANCE($A268,""price"",TODAY()-30,TODAY(),""DAILY""),{""charttype"",""line"";""linewidth"",1;""color"",""#5f88cc""})),"""")"),"")</f>
        <v/>
      </c>
      <c r="H268" s="49">
        <f>IFERROR(__xludf.DUMMYFUNCTION("IFERROR((((GOOGLEFINANCE(A268))-(INDEX(GoogleFinance(A268,""PRICE"",$AQ$1),2,2)))/(INDEX(GoogleFinance(A268,""PRICE"",$AQ$1),2,2))),"""")"),0.026271186440677857)</f>
        <v>0.02627118644</v>
      </c>
      <c r="I268" s="47">
        <f>IFERROR(__xludf.DUMMYFUNCTION("IFERROR((GOOGLEFINANCE($A268,""high52"")),"""")"),12.7)</f>
        <v>12.7</v>
      </c>
      <c r="J268" s="48" t="str">
        <f>IFERROR(__xludf.DUMMYFUNCTION("IFERROR((sparkline(GOOGLEFINANCE($A268,""price"",TODAY()-365,TODAY(),""DAILY""),{""charttype"",""line"";""linewidth"",1;""color"",""#5f88cc""})),"""")"),"")</f>
        <v/>
      </c>
      <c r="K268" s="50">
        <f>IFERROR(__xludf.DUMMYFUNCTION("IFERROR((((GOOGLEFINANCE(A268))-(INDEX(GoogleFinance(A268,""PRICE"",$AP$1),2,2)))/(INDEX(GoogleFinance(A268,""PRICE"",$AP$1),2,2))),"""")"),-0.03659506762132067)</f>
        <v>-0.03659506762</v>
      </c>
      <c r="L268" s="51">
        <f t="shared" si="1"/>
        <v>-0.04645669291</v>
      </c>
      <c r="M268" s="52">
        <f>IFERROR((VLOOKUP($A268,'Dados StatusInvest'!$A:$AZ,COLUMN(M268)-$A$5,0)*VLOOKUP($A268,'Dados StatusInvest'!$A:$AZ,2,0)/$F268/100),0)</f>
        <v>0.0288</v>
      </c>
      <c r="N268" s="53">
        <f>IFERROR((VLOOKUP($A268,'Dados StatusInvest'!$A:$AZ,COLUMN(N268)-$A$5,0)/VLOOKUP($A268,'Dados StatusInvest'!$A:$AZ,2,0)*$F268),"")</f>
        <v>9.19</v>
      </c>
      <c r="O268" s="53">
        <f>IFERROR((VLOOKUP($A268,'Dados StatusInvest'!$A:$AZ,COLUMN(O268)-$A$5,0)/VLOOKUP($A268,'Dados StatusInvest'!$A:$AZ,2,0)*$F268),0)</f>
        <v>63.53</v>
      </c>
      <c r="P268" s="54">
        <f>IFERROR((VLOOKUP($A268,'Dados StatusInvest'!$A:$AZ,COLUMN(P268)-$A$5,0)/VLOOKUP($A268,'Dados StatusInvest'!$A:$AZ,2,0)*$F268),0)</f>
        <v>38.31</v>
      </c>
      <c r="Q268" s="55">
        <f>IFERROR((VLOOKUP($A268,'Dados StatusInvest'!$A:$AZ,COLUMN(Q268)-$A$5,0)/100),0)</f>
        <v>-0.1057</v>
      </c>
      <c r="R268" s="56">
        <f>VLOOKUP($A268,'Dados StatusInvest'!$A:$AZ,COLUMN(R268)-$A$5,0)</f>
        <v>-0.21</v>
      </c>
      <c r="S268" s="56">
        <f>IFERROR((VLOOKUP($A268,'Dados StatusInvest'!$A:$AZ,COLUMN(S268)-$A$5,0)),0)</f>
        <v>1.83</v>
      </c>
      <c r="T268" s="53">
        <f>IFERROR((VLOOKUP($A268,'Dados StatusInvest'!$A:$AZ,COLUMN(T268)-$A$5,0)/VLOOKUP($A268,'Dados StatusInvest'!$A:$AZ,2,0)*$F268),0)</f>
        <v>3.45</v>
      </c>
      <c r="U268" s="53">
        <f>IFERROR((VLOOKUP($A268,'Dados StatusInvest'!$A:$AZ,COLUMN(U268)-$A$5,0)-VLOOKUP($A268,'Dados StatusInvest'!$A:$AZ,COLUMN(U268)-$A$5-1,0)+T268),0)</f>
        <v>-1.68</v>
      </c>
      <c r="V268" s="56">
        <f>IFERROR((VLOOKUP($A268,'Dados StatusInvest'!$A:$AZ,COLUMN(V268)-$A$5,0)),0)</f>
        <v>3.76</v>
      </c>
      <c r="W268" s="56">
        <f>IFERROR((VLOOKUP($A268,'Dados StatusInvest'!$A:$AZ,COLUMN(W268)-$A$5,0)),0)</f>
        <v>6.34</v>
      </c>
      <c r="X268" s="53">
        <f>IFERROR((VLOOKUP($A268,'Dados StatusInvest'!$A:$AZ,COLUMN(X268)-$A$5,0)/VLOOKUP($A268,'Dados StatusInvest'!$A:$AZ,2,0)*$F268),0)</f>
        <v>5.08</v>
      </c>
      <c r="Y268" s="54">
        <f>IFERROR((VLOOKUP($A268,'Dados StatusInvest'!$A:$AZ,COLUMN(Y268)-$A$5,0)/VLOOKUP($A268,'Dados StatusInvest'!$A:$AZ,2,0)*$F268),0)</f>
        <v>0.46</v>
      </c>
      <c r="Z268" s="56">
        <f>IFERROR((VLOOKUP($A268,'Dados StatusInvest'!$A:$AZ,COLUMN(Z268)-$A$5,0)),0)</f>
        <v>0.8</v>
      </c>
      <c r="AA268" s="57">
        <f>IFERROR((VLOOKUP($A268,'Dados StatusInvest'!$A:$AZ,COLUMN(AA268)-$A$5,0)),0)</f>
        <v>0.2</v>
      </c>
      <c r="AB268" s="57">
        <f>IFERROR((VLOOKUP($A268,'Dados StatusInvest'!$A:$AZ,COLUMN(AB268)-$A$5,0)),0)</f>
        <v>0.55</v>
      </c>
      <c r="AC268" s="58">
        <f>IFERROR((VLOOKUP($A268,'Dados StatusInvest'!$A:$AZ,COLUMN(AC268)-$A$5,0)),0)</f>
        <v>11.82</v>
      </c>
      <c r="AD268" s="57">
        <f>IFERROR((VLOOKUP($A268,'Dados StatusInvest'!$A:$AZ,COLUMN(AD268)-$A$5,0)),0)</f>
        <v>-0.58</v>
      </c>
      <c r="AE268" s="56">
        <f>IFERROR((VLOOKUP($A268,'Dados StatusInvest'!$A:$AZ,COLUMN(AE268)-$A$5,0)),0)</f>
        <v>13482.62</v>
      </c>
      <c r="AF268" s="56">
        <f>IFERROR((VLOOKUP($A268,'Dados StatusInvest'!$A:$AZ,COLUMN(AF268)-$A$5,0)),0)</f>
        <v>9.59</v>
      </c>
      <c r="AG268" s="56">
        <f>IFERROR((VLOOKUP($A268,'Dados StatusInvest'!$A:$AZ,COLUMN(AG268)-$A$5,0)),0)</f>
        <v>0.61</v>
      </c>
      <c r="AH268" s="56">
        <f>IFERROR((VLOOKUP($A268,'Dados StatusInvest'!$A:$AZ,COLUMN(AH268)-$A$5,0)),0)</f>
        <v>-1.23</v>
      </c>
      <c r="AI268" s="57">
        <f>IFERROR((VLOOKUP($A268,'Dados StatusInvest'!$A:$AZ,COLUMN(AI268)-$A$5,0)),0)</f>
        <v>3290413750</v>
      </c>
      <c r="AJ268" s="59" t="str">
        <f>IFERROR((VLOOKUP($A268,'Dados StatusInvest'!$A:$AZ,COLUMN(AJ268)-$A$5,0)),0)</f>
        <v/>
      </c>
      <c r="AK268" s="60" t="str">
        <f>IFERROR(__xludf.DUMMYFUNCTION("IFERROR(GOOGLEFINANCE($A268,""high""),"""")"),"")</f>
        <v/>
      </c>
      <c r="AL268" s="60" t="str">
        <f>IFERROR(__xludf.DUMMYFUNCTION("IFERROR(GOOGLEFINANCE($A268,""low""),"""")"),"")</f>
        <v/>
      </c>
      <c r="AM268" s="61">
        <f t="shared" si="2"/>
        <v>0</v>
      </c>
      <c r="AN268" s="62">
        <f>IFERROR(__xludf.DUMMYFUNCTION("IFERROR((GOOGLEFINANCE($A268,""volume"")),0)"),0.0)</f>
        <v>0</v>
      </c>
      <c r="AO268" s="60">
        <f>IFERROR(__xludf.DUMMYFUNCTION("IFERROR((GOOGLEFINANCE($A268,""closeyest"")),"""")"),12.11)</f>
        <v>12.11</v>
      </c>
      <c r="AP268" s="60">
        <f>IFERROR(__xludf.DUMMYFUNCTION("IFERROR((GOOGLEFINANCE($A268,""shares"")),"""")"),1.17725E8)</f>
        <v>117725000</v>
      </c>
      <c r="AQ268" s="18"/>
    </row>
    <row r="269">
      <c r="A269" s="45" t="str">
        <f>'Dados StatusInvest'!A264:A883</f>
        <v>FESA4</v>
      </c>
      <c r="B269" s="46" t="str">
        <f>IFERROR(__xludf.DUMMYFUNCTION("IFERROR((GOOGLEFINANCE(A269,""name"")),"""")"),"Companhia de Ferro Ligas da Bah Frbs Preference Shares")</f>
        <v>Companhia de Ferro Ligas da Bah Frbs Preference Shares</v>
      </c>
      <c r="C269" s="46" t="str">
        <f>IFERROR((VLOOKUP(LEFT($A269,4),Setor!$A:$E,3,0)),"")</f>
        <v>Materiais Básicos</v>
      </c>
      <c r="D269" s="46" t="str">
        <f>IFERROR((VLOOKUP(LEFT($A269,4),Setor!$A:$E,4,0)),"")</f>
        <v>Siderurgia e Metalurgia</v>
      </c>
      <c r="E269" s="46" t="str">
        <f>IFERROR((VLOOKUP(LEFT($A269,4),Setor!$A:$E,5,0)),"")</f>
        <v>Siderurgia</v>
      </c>
      <c r="F269" s="47">
        <f>IFERROR(__xludf.DUMMYFUNCTION("IFERROR((GOOGLEFINANCE(A269)),"""")"),7.85)</f>
        <v>7.85</v>
      </c>
      <c r="G269" s="48" t="str">
        <f>IFERROR(__xludf.DUMMYFUNCTION("IFERROR((sparkline(GOOGLEFINANCE($A269,""price"",TODAY()-30,TODAY(),""DAILY""),{""charttype"",""line"";""linewidth"",1;""color"",""#5f88cc""})),"""")"),"")</f>
        <v/>
      </c>
      <c r="H269" s="49">
        <f>IFERROR(__xludf.DUMMYFUNCTION("IFERROR((((GOOGLEFINANCE(A269))-(INDEX(GoogleFinance(A269,""PRICE"",$AQ$1),2,2)))/(INDEX(GoogleFinance(A269,""PRICE"",$AQ$1),2,2))),"""")"),0.13768115942028974)</f>
        <v>0.1376811594</v>
      </c>
      <c r="I269" s="47">
        <f>IFERROR(__xludf.DUMMYFUNCTION("IFERROR((GOOGLEFINANCE($A269,""high52"")),"""")"),8.9)</f>
        <v>8.9</v>
      </c>
      <c r="J269" s="48" t="str">
        <f>IFERROR(__xludf.DUMMYFUNCTION("IFERROR((sparkline(GOOGLEFINANCE($A269,""price"",TODAY()-365,TODAY(),""DAILY""),{""charttype"",""line"";""linewidth"",1;""color"",""#5f88cc""})),"""")"),"")</f>
        <v/>
      </c>
      <c r="K269" s="50">
        <f>IFERROR(__xludf.DUMMYFUNCTION("IFERROR((((GOOGLEFINANCE(A269))-(INDEX(GoogleFinance(A269,""PRICE"",$AP$1),2,2)))/(INDEX(GoogleFinance(A269,""PRICE"",$AP$1),2,2))),"""")"),-0.002541296060991164)</f>
        <v>-0.002541296061</v>
      </c>
      <c r="L269" s="51">
        <f t="shared" si="1"/>
        <v>-0.1179775281</v>
      </c>
      <c r="M269" s="52">
        <f>IFERROR((VLOOKUP($A269,'Dados StatusInvest'!$A:$AZ,COLUMN(M269)-$A$5,0)*VLOOKUP($A269,'Dados StatusInvest'!$A:$AZ,2,0)/$F269/100),0)</f>
        <v>0.02905681529</v>
      </c>
      <c r="N269" s="53">
        <f>IFERROR((VLOOKUP($A269,'Dados StatusInvest'!$A:$AZ,COLUMN(N269)-$A$5,0)/VLOOKUP($A269,'Dados StatusInvest'!$A:$AZ,2,0)*$F269),"")</f>
        <v>9.108775253</v>
      </c>
      <c r="O269" s="53">
        <f>IFERROR((VLOOKUP($A269,'Dados StatusInvest'!$A:$AZ,COLUMN(O269)-$A$5,0)/VLOOKUP($A269,'Dados StatusInvest'!$A:$AZ,2,0)*$F269),0)</f>
        <v>41.18276515</v>
      </c>
      <c r="P269" s="54">
        <f>IFERROR((VLOOKUP($A269,'Dados StatusInvest'!$A:$AZ,COLUMN(P269)-$A$5,0)/VLOOKUP($A269,'Dados StatusInvest'!$A:$AZ,2,0)*$F269),0)</f>
        <v>37.97140152</v>
      </c>
      <c r="Q269" s="55">
        <f>IFERROR((VLOOKUP($A269,'Dados StatusInvest'!$A:$AZ,COLUMN(Q269)-$A$5,0)/100),0)</f>
        <v>-0.1057</v>
      </c>
      <c r="R269" s="56">
        <f>VLOOKUP($A269,'Dados StatusInvest'!$A:$AZ,COLUMN(R269)-$A$5,0)</f>
        <v>-0.21</v>
      </c>
      <c r="S269" s="56">
        <f>IFERROR((VLOOKUP($A269,'Dados StatusInvest'!$A:$AZ,COLUMN(S269)-$A$5,0)),0)</f>
        <v>1.2</v>
      </c>
      <c r="T269" s="53">
        <f>IFERROR((VLOOKUP($A269,'Dados StatusInvest'!$A:$AZ,COLUMN(T269)-$A$5,0)/VLOOKUP($A269,'Dados StatusInvest'!$A:$AZ,2,0)*$F269),0)</f>
        <v>2.230113636</v>
      </c>
      <c r="U269" s="53">
        <f>IFERROR((VLOOKUP($A269,'Dados StatusInvest'!$A:$AZ,COLUMN(U269)-$A$5,0)-VLOOKUP($A269,'Dados StatusInvest'!$A:$AZ,COLUMN(U269)-$A$5-1,0)+T269),0)</f>
        <v>-1.119886364</v>
      </c>
      <c r="V269" s="56">
        <f>IFERROR((VLOOKUP($A269,'Dados StatusInvest'!$A:$AZ,COLUMN(V269)-$A$5,0)),0)</f>
        <v>3.76</v>
      </c>
      <c r="W269" s="56">
        <f>IFERROR((VLOOKUP($A269,'Dados StatusInvest'!$A:$AZ,COLUMN(W269)-$A$5,0)),0)</f>
        <v>6.34</v>
      </c>
      <c r="X269" s="53">
        <f>IFERROR((VLOOKUP($A269,'Dados StatusInvest'!$A:$AZ,COLUMN(X269)-$A$5,0)/VLOOKUP($A269,'Dados StatusInvest'!$A:$AZ,2,0)*$F269),0)</f>
        <v>5.03510101</v>
      </c>
      <c r="Y269" s="54">
        <f>IFERROR((VLOOKUP($A269,'Dados StatusInvest'!$A:$AZ,COLUMN(Y269)-$A$5,0)/VLOOKUP($A269,'Dados StatusInvest'!$A:$AZ,2,0)*$F269),0)</f>
        <v>0.4559343434</v>
      </c>
      <c r="Z269" s="56">
        <f>IFERROR((VLOOKUP($A269,'Dados StatusInvest'!$A:$AZ,COLUMN(Z269)-$A$5,0)),0)</f>
        <v>0.8</v>
      </c>
      <c r="AA269" s="57">
        <f>IFERROR((VLOOKUP($A269,'Dados StatusInvest'!$A:$AZ,COLUMN(AA269)-$A$5,0)),0)</f>
        <v>0.2</v>
      </c>
      <c r="AB269" s="57">
        <f>IFERROR((VLOOKUP($A269,'Dados StatusInvest'!$A:$AZ,COLUMN(AB269)-$A$5,0)),0)</f>
        <v>0.55</v>
      </c>
      <c r="AC269" s="58">
        <f>IFERROR((VLOOKUP($A269,'Dados StatusInvest'!$A:$AZ,COLUMN(AC269)-$A$5,0)),0)</f>
        <v>11.82</v>
      </c>
      <c r="AD269" s="57">
        <f>IFERROR((VLOOKUP($A269,'Dados StatusInvest'!$A:$AZ,COLUMN(AD269)-$A$5,0)),0)</f>
        <v>-0.58</v>
      </c>
      <c r="AE269" s="56">
        <f>IFERROR((VLOOKUP($A269,'Dados StatusInvest'!$A:$AZ,COLUMN(AE269)-$A$5,0)),0)</f>
        <v>7903421</v>
      </c>
      <c r="AF269" s="56">
        <f>IFERROR((VLOOKUP($A269,'Dados StatusInvest'!$A:$AZ,COLUMN(AF269)-$A$5,0)),0)</f>
        <v>9.59</v>
      </c>
      <c r="AG269" s="56">
        <f>IFERROR((VLOOKUP($A269,'Dados StatusInvest'!$A:$AZ,COLUMN(AG269)-$A$5,0)),0)</f>
        <v>0.61</v>
      </c>
      <c r="AH269" s="56">
        <f>IFERROR((VLOOKUP($A269,'Dados StatusInvest'!$A:$AZ,COLUMN(AH269)-$A$5,0)),0)</f>
        <v>-0.81</v>
      </c>
      <c r="AI269" s="57">
        <f>IFERROR((VLOOKUP($A269,'Dados StatusInvest'!$A:$AZ,COLUMN(AI269)-$A$5,0)),0)</f>
        <v>3290413750</v>
      </c>
      <c r="AJ269" s="59" t="str">
        <f>IFERROR((VLOOKUP($A269,'Dados StatusInvest'!$A:$AZ,COLUMN(AJ269)-$A$5,0)),0)</f>
        <v/>
      </c>
      <c r="AK269" s="60">
        <f>IFERROR(__xludf.DUMMYFUNCTION("IFERROR(GOOGLEFINANCE($A269,""high""),"""")"),7.9)</f>
        <v>7.9</v>
      </c>
      <c r="AL269" s="60">
        <f>IFERROR(__xludf.DUMMYFUNCTION("IFERROR(GOOGLEFINANCE($A269,""low""),"""")"),7.83)</f>
        <v>7.83</v>
      </c>
      <c r="AM269" s="61">
        <f t="shared" si="2"/>
        <v>0.008939974457</v>
      </c>
      <c r="AN269" s="62">
        <f>IFERROR(__xludf.DUMMYFUNCTION("IFERROR((GOOGLEFINANCE($A269,""volume"")),0)"),19400.0)</f>
        <v>19400</v>
      </c>
      <c r="AO269" s="60">
        <f>IFERROR(__xludf.DUMMYFUNCTION("IFERROR((GOOGLEFINANCE($A269,""closeyest"")),"""")"),7.92)</f>
        <v>7.92</v>
      </c>
      <c r="AP269" s="60">
        <f>IFERROR(__xludf.DUMMYFUNCTION("IFERROR((GOOGLEFINANCE($A269,""shares"")),"""")"),2.3545E8)</f>
        <v>235450000</v>
      </c>
      <c r="AQ269" s="18"/>
    </row>
    <row r="270">
      <c r="A270" s="45" t="str">
        <f>'Dados StatusInvest'!A265:A884</f>
        <v>FHER3</v>
      </c>
      <c r="B270" s="46" t="str">
        <f>IFERROR(__xludf.DUMMYFUNCTION("IFERROR((GOOGLEFINANCE(A270,""name"")),"""")"),"Fertilizantes Heringer SA")</f>
        <v>Fertilizantes Heringer SA</v>
      </c>
      <c r="C270" s="46" t="str">
        <f>IFERROR((VLOOKUP(LEFT($A270,4),Setor!$A:$E,3,0)),"")</f>
        <v>Materiais Básicos</v>
      </c>
      <c r="D270" s="46" t="str">
        <f>IFERROR((VLOOKUP(LEFT($A270,4),Setor!$A:$E,4,0)),"")</f>
        <v>Químicos</v>
      </c>
      <c r="E270" s="46" t="str">
        <f>IFERROR((VLOOKUP(LEFT($A270,4),Setor!$A:$E,5,0)),"")</f>
        <v>Fertilizantes e Defensivos</v>
      </c>
      <c r="F270" s="47">
        <f>IFERROR(__xludf.DUMMYFUNCTION("IFERROR((GOOGLEFINANCE(A270)),"""")"),4.11)</f>
        <v>4.11</v>
      </c>
      <c r="G270" s="48" t="str">
        <f>IFERROR(__xludf.DUMMYFUNCTION("IFERROR((sparkline(GOOGLEFINANCE($A270,""price"",TODAY()-30,TODAY(),""DAILY""),{""charttype"",""line"";""linewidth"",1;""color"",""#5f88cc""})),"""")"),"")</f>
        <v/>
      </c>
      <c r="H270" s="49">
        <f>IFERROR(__xludf.DUMMYFUNCTION("IFERROR((((GOOGLEFINANCE(A270))-(INDEX(GoogleFinance(A270,""PRICE"",$AQ$1),2,2)))/(INDEX(GoogleFinance(A270,""PRICE"",$AQ$1),2,2))),"""")"),-0.05949656750572077)</f>
        <v>-0.05949656751</v>
      </c>
      <c r="I270" s="47">
        <f>IFERROR(__xludf.DUMMYFUNCTION("IFERROR((GOOGLEFINANCE($A270,""high52"")),"""")"),6.77)</f>
        <v>6.77</v>
      </c>
      <c r="J270" s="48" t="str">
        <f>IFERROR(__xludf.DUMMYFUNCTION("IFERROR((sparkline(GOOGLEFINANCE($A270,""price"",TODAY()-365,TODAY(),""DAILY""),{""charttype"",""line"";""linewidth"",1;""color"",""#5f88cc""})),"""")"),"")</f>
        <v/>
      </c>
      <c r="K270" s="50">
        <f>IFERROR(__xludf.DUMMYFUNCTION("IFERROR((((GOOGLEFINANCE(A270))-(INDEX(GoogleFinance(A270,""PRICE"",$AP$1),2,2)))/(INDEX(GoogleFinance(A270,""PRICE"",$AP$1),2,2))),"""")"),-0.19253438113948912)</f>
        <v>-0.1925343811</v>
      </c>
      <c r="L270" s="51">
        <f t="shared" si="1"/>
        <v>-0.3929098966</v>
      </c>
      <c r="M270" s="52">
        <f>IFERROR((VLOOKUP($A270,'Dados StatusInvest'!$A:$AZ,COLUMN(M270)-$A$5,0)*VLOOKUP($A270,'Dados StatusInvest'!$A:$AZ,2,0)/$F270/100),0)</f>
        <v>-0.0537</v>
      </c>
      <c r="N270" s="53">
        <f>IFERROR((VLOOKUP($A270,'Dados StatusInvest'!$A:$AZ,COLUMN(N270)-$A$5,0)/VLOOKUP($A270,'Dados StatusInvest'!$A:$AZ,2,0)*$F270),"")</f>
        <v>-14.19</v>
      </c>
      <c r="O270" s="53">
        <f>IFERROR((VLOOKUP($A270,'Dados StatusInvest'!$A:$AZ,COLUMN(O270)-$A$5,0)/VLOOKUP($A270,'Dados StatusInvest'!$A:$AZ,2,0)*$F270),0)</f>
        <v>-0.91</v>
      </c>
      <c r="P270" s="54">
        <f>IFERROR((VLOOKUP($A270,'Dados StatusInvest'!$A:$AZ,COLUMN(P270)-$A$5,0)/VLOOKUP($A270,'Dados StatusInvest'!$A:$AZ,2,0)*$F270),0)</f>
        <v>-0.57</v>
      </c>
      <c r="Q270" s="55">
        <f>IFERROR((VLOOKUP($A270,'Dados StatusInvest'!$A:$AZ,COLUMN(Q270)-$A$5,0)/100),0)</f>
        <v>0.0034</v>
      </c>
      <c r="R270" s="56">
        <f>VLOOKUP($A270,'Dados StatusInvest'!$A:$AZ,COLUMN(R270)-$A$5,0)</f>
        <v>0</v>
      </c>
      <c r="S270" s="56">
        <f>IFERROR((VLOOKUP($A270,'Dados StatusInvest'!$A:$AZ,COLUMN(S270)-$A$5,0)),0)</f>
        <v>0.05</v>
      </c>
      <c r="T270" s="53">
        <f>IFERROR((VLOOKUP($A270,'Dados StatusInvest'!$A:$AZ,COLUMN(T270)-$A$5,0)/VLOOKUP($A270,'Dados StatusInvest'!$A:$AZ,2,0)*$F270),0)</f>
        <v>-0.62</v>
      </c>
      <c r="U270" s="53">
        <f>IFERROR((VLOOKUP($A270,'Dados StatusInvest'!$A:$AZ,COLUMN(U270)-$A$5,0)-VLOOKUP($A270,'Dados StatusInvest'!$A:$AZ,COLUMN(U270)-$A$5-1,0)+T270),0)</f>
        <v>-0.26</v>
      </c>
      <c r="V270" s="56">
        <f>IFERROR((VLOOKUP($A270,'Dados StatusInvest'!$A:$AZ,COLUMN(V270)-$A$5,0)),0)</f>
        <v>0.85</v>
      </c>
      <c r="W270" s="56">
        <f>IFERROR((VLOOKUP($A270,'Dados StatusInvest'!$A:$AZ,COLUMN(W270)-$A$5,0)),0)</f>
        <v>-56.73</v>
      </c>
      <c r="X270" s="53">
        <f>IFERROR((VLOOKUP($A270,'Dados StatusInvest'!$A:$AZ,COLUMN(X270)-$A$5,0)/VLOOKUP($A270,'Dados StatusInvest'!$A:$AZ,2,0)*$F270),0)</f>
        <v>-22.3</v>
      </c>
      <c r="Y270" s="54">
        <f>IFERROR((VLOOKUP($A270,'Dados StatusInvest'!$A:$AZ,COLUMN(Y270)-$A$5,0)/VLOOKUP($A270,'Dados StatusInvest'!$A:$AZ,2,0)*$F270),0)</f>
        <v>48.85</v>
      </c>
      <c r="Z270" s="56">
        <f>IFERROR((VLOOKUP($A270,'Dados StatusInvest'!$A:$AZ,COLUMN(Z270)-$A$5,0)),0)</f>
        <v>-0.39</v>
      </c>
      <c r="AA270" s="57">
        <f>IFERROR((VLOOKUP($A270,'Dados StatusInvest'!$A:$AZ,COLUMN(AA270)-$A$5,0)),0)</f>
        <v>1.39</v>
      </c>
      <c r="AB270" s="57">
        <f>IFERROR((VLOOKUP($A270,'Dados StatusInvest'!$A:$AZ,COLUMN(AB270)-$A$5,0)),0)</f>
        <v>1.57</v>
      </c>
      <c r="AC270" s="58">
        <f>IFERROR((VLOOKUP($A270,'Dados StatusInvest'!$A:$AZ,COLUMN(AC270)-$A$5,0)),0)</f>
        <v>31.29</v>
      </c>
      <c r="AD270" s="57">
        <f>IFERROR((VLOOKUP($A270,'Dados StatusInvest'!$A:$AZ,COLUMN(AD270)-$A$5,0)),0)</f>
        <v>0</v>
      </c>
      <c r="AE270" s="56">
        <f>IFERROR((VLOOKUP($A270,'Dados StatusInvest'!$A:$AZ,COLUMN(AE270)-$A$5,0)),0)</f>
        <v>47300.05</v>
      </c>
      <c r="AF270" s="56">
        <f>IFERROR((VLOOKUP($A270,'Dados StatusInvest'!$A:$AZ,COLUMN(AF270)-$A$5,0)),0)</f>
        <v>-20.97</v>
      </c>
      <c r="AG270" s="56">
        <f>IFERROR((VLOOKUP($A270,'Dados StatusInvest'!$A:$AZ,COLUMN(AG270)-$A$5,0)),0)</f>
        <v>-11.9</v>
      </c>
      <c r="AH270" s="56">
        <f>IFERROR((VLOOKUP($A270,'Dados StatusInvest'!$A:$AZ,COLUMN(AH270)-$A$5,0)),0)</f>
        <v>-0.02</v>
      </c>
      <c r="AI270" s="57">
        <f>IFERROR((VLOOKUP($A270,'Dados StatusInvest'!$A:$AZ,COLUMN(AI270)-$A$5,0)),0)</f>
        <v>221353437.2</v>
      </c>
      <c r="AJ270" s="59" t="str">
        <f>IFERROR((VLOOKUP($A270,'Dados StatusInvest'!$A:$AZ,COLUMN(AJ270)-$A$5,0)),0)</f>
        <v/>
      </c>
      <c r="AK270" s="60" t="str">
        <f>IFERROR(__xludf.DUMMYFUNCTION("IFERROR(GOOGLEFINANCE($A270,""high""),"""")"),"")</f>
        <v/>
      </c>
      <c r="AL270" s="60" t="str">
        <f>IFERROR(__xludf.DUMMYFUNCTION("IFERROR(GOOGLEFINANCE($A270,""low""),"""")"),"")</f>
        <v/>
      </c>
      <c r="AM270" s="61">
        <f t="shared" si="2"/>
        <v>0</v>
      </c>
      <c r="AN270" s="62">
        <f>IFERROR(__xludf.DUMMYFUNCTION("IFERROR((GOOGLEFINANCE($A270,""volume"")),0)"),0.0)</f>
        <v>0</v>
      </c>
      <c r="AO270" s="60">
        <f>IFERROR(__xludf.DUMMYFUNCTION("IFERROR((GOOGLEFINANCE($A270,""closeyest"")),"""")"),4.11)</f>
        <v>4.11</v>
      </c>
      <c r="AP270" s="60">
        <f>IFERROR(__xludf.DUMMYFUNCTION("IFERROR((GOOGLEFINANCE($A270,""shares"")),"""")"),5.3857284E7)</f>
        <v>53857284</v>
      </c>
      <c r="AQ270" s="18"/>
    </row>
    <row r="271">
      <c r="A271" s="45" t="str">
        <f>'Dados StatusInvest'!A266:A885</f>
        <v>FICT3</v>
      </c>
      <c r="B271" s="46" t="str">
        <f>IFERROR(__xludf.DUMMYFUNCTION("IFERROR((GOOGLEFINANCE(A271,""name"")),"""")"),"Fictor Alimentos SA")</f>
        <v>Fictor Alimentos SA</v>
      </c>
      <c r="C271" s="46" t="str">
        <f>IFERROR((VLOOKUP(LEFT($A271,4),Setor!$A:$E,3,0)),"")</f>
        <v/>
      </c>
      <c r="D271" s="46" t="str">
        <f>IFERROR((VLOOKUP(LEFT($A271,4),Setor!$A:$E,4,0)),"")</f>
        <v/>
      </c>
      <c r="E271" s="46" t="str">
        <f>IFERROR((VLOOKUP(LEFT($A271,4),Setor!$A:$E,5,0)),"")</f>
        <v/>
      </c>
      <c r="F271" s="47">
        <f>IFERROR(__xludf.DUMMYFUNCTION("IFERROR((GOOGLEFINANCE(A271)),"""")"),0.58)</f>
        <v>0.58</v>
      </c>
      <c r="G271" s="48" t="str">
        <f>IFERROR(__xludf.DUMMYFUNCTION("IFERROR((sparkline(GOOGLEFINANCE($A271,""price"",TODAY()-30,TODAY(),""DAILY""),{""charttype"",""line"";""linewidth"",1;""color"",""#5f88cc""})),"""")"),"")</f>
        <v/>
      </c>
      <c r="H271" s="49">
        <f>IFERROR(__xludf.DUMMYFUNCTION("IFERROR((((GOOGLEFINANCE(A271))-(INDEX(GoogleFinance(A271,""PRICE"",$AQ$1),2,2)))/(INDEX(GoogleFinance(A271,""PRICE"",$AQ$1),2,2))),"""")"),-0.6329113924050632)</f>
        <v>-0.6329113924</v>
      </c>
      <c r="I271" s="47">
        <f>IFERROR(__xludf.DUMMYFUNCTION("IFERROR((GOOGLEFINANCE($A271,""high52"")),"""")"),4.85)</f>
        <v>4.85</v>
      </c>
      <c r="J271" s="48" t="str">
        <f>IFERROR(__xludf.DUMMYFUNCTION("IFERROR((sparkline(GOOGLEFINANCE($A271,""price"",TODAY()-365,TODAY(),""DAILY""),{""charttype"",""line"";""linewidth"",1;""color"",""#5f88cc""})),"""")"),"")</f>
        <v/>
      </c>
      <c r="K271" s="50">
        <f>IFERROR(__xludf.DUMMYFUNCTION("IFERROR((((GOOGLEFINANCE(A271))-(INDEX(GoogleFinance(A271,""PRICE"",$AP$1),2,2)))/(INDEX(GoogleFinance(A271,""PRICE"",$AP$1),2,2))),"""")"),-0.8516624040920716)</f>
        <v>-0.8516624041</v>
      </c>
      <c r="L271" s="51">
        <f t="shared" si="1"/>
        <v>-0.8804123711</v>
      </c>
      <c r="M271" s="52">
        <f>IFERROR((VLOOKUP($A271,'Dados StatusInvest'!$A:$AZ,COLUMN(M271)-$A$5,0)*VLOOKUP($A271,'Dados StatusInvest'!$A:$AZ,2,0)/$F271/100),0)</f>
        <v>-1.834344828</v>
      </c>
      <c r="N271" s="53">
        <f>IFERROR((VLOOKUP($A271,'Dados StatusInvest'!$A:$AZ,COLUMN(N271)-$A$5,0)/VLOOKUP($A271,'Dados StatusInvest'!$A:$AZ,2,0)*$F271),"")</f>
        <v>-714.2506667</v>
      </c>
      <c r="O271" s="53">
        <f>IFERROR((VLOOKUP($A271,'Dados StatusInvest'!$A:$AZ,COLUMN(O271)-$A$5,0)/VLOOKUP($A271,'Dados StatusInvest'!$A:$AZ,2,0)*$F271),0)</f>
        <v>-4.137333333</v>
      </c>
      <c r="P271" s="54">
        <f>IFERROR((VLOOKUP($A271,'Dados StatusInvest'!$A:$AZ,COLUMN(P271)-$A$5,0)/VLOOKUP($A271,'Dados StatusInvest'!$A:$AZ,2,0)*$F271),0)</f>
        <v>2.523</v>
      </c>
      <c r="Q271" s="55">
        <f>IFERROR((VLOOKUP($A271,'Dados StatusInvest'!$A:$AZ,COLUMN(Q271)-$A$5,0)/100),0)</f>
        <v>0.0689</v>
      </c>
      <c r="R271" s="56">
        <f>VLOOKUP($A271,'Dados StatusInvest'!$A:$AZ,COLUMN(R271)-$A$5,0)</f>
        <v>-0.72</v>
      </c>
      <c r="S271" s="56">
        <f>IFERROR((VLOOKUP($A271,'Dados StatusInvest'!$A:$AZ,COLUMN(S271)-$A$5,0)),0)</f>
        <v>7.58</v>
      </c>
      <c r="T271" s="53">
        <f>IFERROR((VLOOKUP($A271,'Dados StatusInvest'!$A:$AZ,COLUMN(T271)-$A$5,0)/VLOOKUP($A271,'Dados StatusInvest'!$A:$AZ,2,0)*$F271),0)</f>
        <v>0.464</v>
      </c>
      <c r="U271" s="53">
        <f>IFERROR((VLOOKUP($A271,'Dados StatusInvest'!$A:$AZ,COLUMN(U271)-$A$5,0)-VLOOKUP($A271,'Dados StatusInvest'!$A:$AZ,COLUMN(U271)-$A$5-1,0)+T271),0)</f>
        <v>-2.886</v>
      </c>
      <c r="V271" s="56">
        <f>IFERROR((VLOOKUP($A271,'Dados StatusInvest'!$A:$AZ,COLUMN(V271)-$A$5,0)),0)</f>
        <v>3.17</v>
      </c>
      <c r="W271" s="56">
        <f>IFERROR((VLOOKUP($A271,'Dados StatusInvest'!$A:$AZ,COLUMN(W271)-$A$5,0)),0)</f>
        <v>-43.25</v>
      </c>
      <c r="X271" s="53">
        <f>IFERROR((VLOOKUP($A271,'Dados StatusInvest'!$A:$AZ,COLUMN(X271)-$A$5,0)/VLOOKUP($A271,'Dados StatusInvest'!$A:$AZ,2,0)*$F271),0)</f>
        <v>-27.53066667</v>
      </c>
      <c r="Y271" s="54">
        <f>IFERROR((VLOOKUP($A271,'Dados StatusInvest'!$A:$AZ,COLUMN(Y271)-$A$5,0)/VLOOKUP($A271,'Dados StatusInvest'!$A:$AZ,2,0)*$F271),0)</f>
        <v>-90.20933333</v>
      </c>
      <c r="Z271" s="56">
        <f>IFERROR((VLOOKUP($A271,'Dados StatusInvest'!$A:$AZ,COLUMN(Z271)-$A$5,0)),0)</f>
        <v>0.66</v>
      </c>
      <c r="AA271" s="57">
        <f>IFERROR((VLOOKUP($A271,'Dados StatusInvest'!$A:$AZ,COLUMN(AA271)-$A$5,0)),0)</f>
        <v>0.34</v>
      </c>
      <c r="AB271" s="57">
        <f>IFERROR((VLOOKUP($A271,'Dados StatusInvest'!$A:$AZ,COLUMN(AB271)-$A$5,0)),0)</f>
        <v>0.04</v>
      </c>
      <c r="AC271" s="58">
        <f>IFERROR((VLOOKUP($A271,'Dados StatusInvest'!$A:$AZ,COLUMN(AC271)-$A$5,0)),0)</f>
        <v>0</v>
      </c>
      <c r="AD271" s="57">
        <f>IFERROR((VLOOKUP($A271,'Dados StatusInvest'!$A:$AZ,COLUMN(AD271)-$A$5,0)),0)</f>
        <v>0</v>
      </c>
      <c r="AE271" s="56">
        <f>IFERROR((VLOOKUP($A271,'Dados StatusInvest'!$A:$AZ,COLUMN(AE271)-$A$5,0)),0)</f>
        <v>165640.1</v>
      </c>
      <c r="AF271" s="56">
        <f>IFERROR((VLOOKUP($A271,'Dados StatusInvest'!$A:$AZ,COLUMN(AF271)-$A$5,0)),0)</f>
        <v>1.35</v>
      </c>
      <c r="AG271" s="56">
        <f>IFERROR((VLOOKUP($A271,'Dados StatusInvest'!$A:$AZ,COLUMN(AG271)-$A$5,0)),0)</f>
        <v>-0.58</v>
      </c>
      <c r="AH271" s="56">
        <f>IFERROR((VLOOKUP($A271,'Dados StatusInvest'!$A:$AZ,COLUMN(AH271)-$A$5,0)),0)</f>
        <v>0</v>
      </c>
      <c r="AI271" s="57">
        <f>IFERROR((VLOOKUP($A271,'Dados StatusInvest'!$A:$AZ,COLUMN(AI271)-$A$5,0)),0)</f>
        <v>26317323</v>
      </c>
      <c r="AJ271" s="59" t="str">
        <f>IFERROR((VLOOKUP($A271,'Dados StatusInvest'!$A:$AZ,COLUMN(AJ271)-$A$5,0)),0)</f>
        <v/>
      </c>
      <c r="AK271" s="60">
        <f>IFERROR(__xludf.DUMMYFUNCTION("IFERROR(GOOGLEFINANCE($A271,""high""),"""")"),0.6)</f>
        <v>0.6</v>
      </c>
      <c r="AL271" s="60">
        <f>IFERROR(__xludf.DUMMYFUNCTION("IFERROR(GOOGLEFINANCE($A271,""low""),"""")"),0.6)</f>
        <v>0.6</v>
      </c>
      <c r="AM271" s="61">
        <f t="shared" si="2"/>
        <v>0</v>
      </c>
      <c r="AN271" s="62">
        <f>IFERROR(__xludf.DUMMYFUNCTION("IFERROR((GOOGLEFINANCE($A271,""volume"")),0)"),10000.0)</f>
        <v>10000</v>
      </c>
      <c r="AO271" s="60">
        <f>IFERROR(__xludf.DUMMYFUNCTION("IFERROR((GOOGLEFINANCE($A271,""closeyest"")),"""")"),0.6)</f>
        <v>0.6</v>
      </c>
      <c r="AP271" s="60">
        <f>IFERROR(__xludf.DUMMYFUNCTION("IFERROR((GOOGLEFINANCE($A271,""shares"")),"""")"),4.3862205E7)</f>
        <v>43862205</v>
      </c>
      <c r="AQ271" s="18"/>
    </row>
    <row r="272">
      <c r="A272" s="45" t="str">
        <f>'Dados StatusInvest'!A267:A886</f>
        <v>FIEI3</v>
      </c>
      <c r="B272" s="46" t="str">
        <f>IFERROR(__xludf.DUMMYFUNCTION("IFERROR((GOOGLEFINANCE(A272,""name"")),"""")"),"FICA Empreendimentos Imobiliarios SA")</f>
        <v>FICA Empreendimentos Imobiliarios SA</v>
      </c>
      <c r="C272" s="46" t="str">
        <f>IFERROR((VLOOKUP(LEFT($A272,4),Setor!$A:$E,3,0)),"")</f>
        <v/>
      </c>
      <c r="D272" s="46" t="str">
        <f>IFERROR((VLOOKUP(LEFT($A272,4),Setor!$A:$E,4,0)),"")</f>
        <v/>
      </c>
      <c r="E272" s="46" t="str">
        <f>IFERROR((VLOOKUP(LEFT($A272,4),Setor!$A:$E,5,0)),"")</f>
        <v/>
      </c>
      <c r="F272" s="47">
        <f>IFERROR(__xludf.DUMMYFUNCTION("IFERROR((GOOGLEFINANCE(A272)),"""")"),12.6)</f>
        <v>12.6</v>
      </c>
      <c r="G272" s="48" t="str">
        <f>IFERROR(__xludf.DUMMYFUNCTION("IFERROR((sparkline(GOOGLEFINANCE($A272,""price"",TODAY()-30,TODAY(),""DAILY""),{""charttype"",""line"";""linewidth"",1;""color"",""#5f88cc""})),"""")"),"")</f>
        <v/>
      </c>
      <c r="H272" s="49">
        <f>IFERROR(__xludf.DUMMYFUNCTION("IFERROR((((GOOGLEFINANCE(A272))-(INDEX(GoogleFinance(A272,""PRICE"",$AQ$1),2,2)))/(INDEX(GoogleFinance(A272,""PRICE"",$AQ$1),2,2))),"""")"),-0.1480730223123732)</f>
        <v>-0.1480730223</v>
      </c>
      <c r="I272" s="47">
        <f>IFERROR(__xludf.DUMMYFUNCTION("IFERROR((GOOGLEFINANCE($A272,""high52"")),"""")"),25.0)</f>
        <v>25</v>
      </c>
      <c r="J272" s="48" t="str">
        <f>IFERROR(__xludf.DUMMYFUNCTION("IFERROR((sparkline(GOOGLEFINANCE($A272,""price"",TODAY()-365,TODAY(),""DAILY""),{""charttype"",""line"";""linewidth"",1;""color"",""#5f88cc""})),"""")"),"")</f>
        <v/>
      </c>
      <c r="K272" s="50" t="str">
        <f>IFERROR(__xludf.DUMMYFUNCTION("IFERROR((((GOOGLEFINANCE(A272))-(INDEX(GoogleFinance(A272,""PRICE"",$AP$1),2,2)))/(INDEX(GoogleFinance(A272,""PRICE"",$AP$1),2,2))),"""")"),"")</f>
        <v/>
      </c>
      <c r="L272" s="51">
        <f t="shared" si="1"/>
        <v>-0.496</v>
      </c>
      <c r="M272" s="52">
        <f>IFERROR((VLOOKUP($A272,'Dados StatusInvest'!$A:$AZ,COLUMN(M272)-$A$5,0)*VLOOKUP($A272,'Dados StatusInvest'!$A:$AZ,2,0)/$F272/100),0)</f>
        <v>-1.2806</v>
      </c>
      <c r="N272" s="53">
        <f>IFERROR((VLOOKUP($A272,'Dados StatusInvest'!$A:$AZ,COLUMN(N272)-$A$5,0)/VLOOKUP($A272,'Dados StatusInvest'!$A:$AZ,2,0)*$F272),"")</f>
        <v>-259.37</v>
      </c>
      <c r="O272" s="53">
        <f>IFERROR((VLOOKUP($A272,'Dados StatusInvest'!$A:$AZ,COLUMN(O272)-$A$5,0)/VLOOKUP($A272,'Dados StatusInvest'!$A:$AZ,2,0)*$F272),0)</f>
        <v>-18.37</v>
      </c>
      <c r="P272" s="54">
        <f>IFERROR((VLOOKUP($A272,'Dados StatusInvest'!$A:$AZ,COLUMN(P272)-$A$5,0)/VLOOKUP($A272,'Dados StatusInvest'!$A:$AZ,2,0)*$F272),0)</f>
        <v>-28.87</v>
      </c>
      <c r="Q272" s="55">
        <f>IFERROR((VLOOKUP($A272,'Dados StatusInvest'!$A:$AZ,COLUMN(Q272)-$A$5,0)/100),0)</f>
        <v>-0.1049</v>
      </c>
      <c r="R272" s="56">
        <f>VLOOKUP($A272,'Dados StatusInvest'!$A:$AZ,COLUMN(R272)-$A$5,0)</f>
        <v>0.24</v>
      </c>
      <c r="S272" s="56">
        <f>IFERROR((VLOOKUP($A272,'Dados StatusInvest'!$A:$AZ,COLUMN(S272)-$A$5,0)),0)</f>
        <v>23.53</v>
      </c>
      <c r="T272" s="53">
        <f>IFERROR((VLOOKUP($A272,'Dados StatusInvest'!$A:$AZ,COLUMN(T272)-$A$5,0)/VLOOKUP($A272,'Dados StatusInvest'!$A:$AZ,2,0)*$F272),0)</f>
        <v>-3.39</v>
      </c>
      <c r="U272" s="53">
        <f>IFERROR((VLOOKUP($A272,'Dados StatusInvest'!$A:$AZ,COLUMN(U272)-$A$5,0)-VLOOKUP($A272,'Dados StatusInvest'!$A:$AZ,COLUMN(U272)-$A$5-1,0)+T272),0)</f>
        <v>-0.29</v>
      </c>
      <c r="V272" s="56">
        <f>IFERROR((VLOOKUP($A272,'Dados StatusInvest'!$A:$AZ,COLUMN(V272)-$A$5,0)),0)</f>
        <v>0.5</v>
      </c>
      <c r="W272" s="56">
        <f>IFERROR((VLOOKUP($A272,'Dados StatusInvest'!$A:$AZ,COLUMN(W272)-$A$5,0)),0)</f>
        <v>-4.63</v>
      </c>
      <c r="X272" s="53">
        <f>IFERROR((VLOOKUP($A272,'Dados StatusInvest'!$A:$AZ,COLUMN(X272)-$A$5,0)/VLOOKUP($A272,'Dados StatusInvest'!$A:$AZ,2,0)*$F272),0)</f>
        <v>-2.95</v>
      </c>
      <c r="Y272" s="54">
        <f>IFERROR((VLOOKUP($A272,'Dados StatusInvest'!$A:$AZ,COLUMN(Y272)-$A$5,0)/VLOOKUP($A272,'Dados StatusInvest'!$A:$AZ,2,0)*$F272),0)</f>
        <v>-1.9</v>
      </c>
      <c r="Z272" s="56">
        <f>IFERROR((VLOOKUP($A272,'Dados StatusInvest'!$A:$AZ,COLUMN(Z272)-$A$5,0)),0)</f>
        <v>0.64</v>
      </c>
      <c r="AA272" s="57">
        <f>IFERROR((VLOOKUP($A272,'Dados StatusInvest'!$A:$AZ,COLUMN(AA272)-$A$5,0)),0)</f>
        <v>0.36</v>
      </c>
      <c r="AB272" s="57">
        <f>IFERROR((VLOOKUP($A272,'Dados StatusInvest'!$A:$AZ,COLUMN(AB272)-$A$5,0)),0)</f>
        <v>0.01</v>
      </c>
      <c r="AC272" s="58">
        <f>IFERROR((VLOOKUP($A272,'Dados StatusInvest'!$A:$AZ,COLUMN(AC272)-$A$5,0)),0)</f>
        <v>-40.55</v>
      </c>
      <c r="AD272" s="57">
        <f>IFERROR((VLOOKUP($A272,'Dados StatusInvest'!$A:$AZ,COLUMN(AD272)-$A$5,0)),0)</f>
        <v>0</v>
      </c>
      <c r="AE272" s="56">
        <f>IFERROR((VLOOKUP($A272,'Dados StatusInvest'!$A:$AZ,COLUMN(AE272)-$A$5,0)),0)</f>
        <v>10517.11</v>
      </c>
      <c r="AF272" s="56">
        <f>IFERROR((VLOOKUP($A272,'Dados StatusInvest'!$A:$AZ,COLUMN(AF272)-$A$5,0)),0)</f>
        <v>30.01</v>
      </c>
      <c r="AG272" s="56">
        <f>IFERROR((VLOOKUP($A272,'Dados StatusInvest'!$A:$AZ,COLUMN(AG272)-$A$5,0)),0)</f>
        <v>-1.39</v>
      </c>
      <c r="AH272" s="56">
        <f>IFERROR((VLOOKUP($A272,'Dados StatusInvest'!$A:$AZ,COLUMN(AH272)-$A$5,0)),0)</f>
        <v>0.18</v>
      </c>
      <c r="AI272" s="57">
        <f>IFERROR((VLOOKUP($A272,'Dados StatusInvest'!$A:$AZ,COLUMN(AI272)-$A$5,0)),0)</f>
        <v>30519127.8</v>
      </c>
      <c r="AJ272" s="59" t="str">
        <f>IFERROR((VLOOKUP($A272,'Dados StatusInvest'!$A:$AZ,COLUMN(AJ272)-$A$5,0)),0)</f>
        <v/>
      </c>
      <c r="AK272" s="60" t="str">
        <f>IFERROR(__xludf.DUMMYFUNCTION("IFERROR(GOOGLEFINANCE($A272,""high""),"""")"),"")</f>
        <v/>
      </c>
      <c r="AL272" s="60" t="str">
        <f>IFERROR(__xludf.DUMMYFUNCTION("IFERROR(GOOGLEFINANCE($A272,""low""),"""")"),"")</f>
        <v/>
      </c>
      <c r="AM272" s="61">
        <f t="shared" si="2"/>
        <v>0</v>
      </c>
      <c r="AN272" s="62">
        <f>IFERROR(__xludf.DUMMYFUNCTION("IFERROR((GOOGLEFINANCE($A272,""volume"")),0)"),0.0)</f>
        <v>0</v>
      </c>
      <c r="AO272" s="60">
        <f>IFERROR(__xludf.DUMMYFUNCTION("IFERROR((GOOGLEFINANCE($A272,""closeyest"")),"""")"),12.6)</f>
        <v>12.6</v>
      </c>
      <c r="AP272" s="60">
        <f>IFERROR(__xludf.DUMMYFUNCTION("IFERROR((GOOGLEFINANCE($A272,""shares"")),"""")"),2422153.0)</f>
        <v>2422153</v>
      </c>
      <c r="AQ272" s="18"/>
    </row>
    <row r="273">
      <c r="A273" s="45" t="str">
        <f>'Dados StatusInvest'!A268:A887</f>
        <v>FIGE3</v>
      </c>
      <c r="B273" s="46" t="str">
        <f>IFERROR(__xludf.DUMMYFUNCTION("IFERROR((GOOGLEFINANCE(A273,""name"")),"""")"),"Investimentos Bemge SA")</f>
        <v>Investimentos Bemge SA</v>
      </c>
      <c r="C273" s="46" t="str">
        <f>IFERROR((VLOOKUP(LEFT($A273,4),Setor!$A:$E,3,0)),"")</f>
        <v>Outros</v>
      </c>
      <c r="D273" s="46" t="str">
        <f>IFERROR((VLOOKUP(LEFT($A273,4),Setor!$A:$E,4,0)),"")</f>
        <v>Outros</v>
      </c>
      <c r="E273" s="46" t="str">
        <f>IFERROR((VLOOKUP(LEFT($A273,4),Setor!$A:$E,5,0)),"")</f>
        <v>Outros</v>
      </c>
      <c r="F273" s="47">
        <f>IFERROR(__xludf.DUMMYFUNCTION("IFERROR((GOOGLEFINANCE(A273)),"""")"),21.07)</f>
        <v>21.07</v>
      </c>
      <c r="G273" s="48" t="str">
        <f>IFERROR(__xludf.DUMMYFUNCTION("IFERROR((sparkline(GOOGLEFINANCE($A273,""price"",TODAY()-30,TODAY(),""DAILY""),{""charttype"",""line"";""linewidth"",1;""color"",""#5f88cc""})),"""")"),"")</f>
        <v/>
      </c>
      <c r="H273" s="49" t="str">
        <f>IFERROR(__xludf.DUMMYFUNCTION("IFERROR((((GOOGLEFINANCE(A273))-(INDEX(GoogleFinance(A273,""PRICE"",$AQ$1),2,2)))/(INDEX(GoogleFinance(A273,""PRICE"",$AQ$1),2,2))),"""")"),"")</f>
        <v/>
      </c>
      <c r="I273" s="47">
        <f>IFERROR(__xludf.DUMMYFUNCTION("IFERROR((GOOGLEFINANCE($A273,""high52"")),"""")"),21.07)</f>
        <v>21.07</v>
      </c>
      <c r="J273" s="48" t="str">
        <f>IFERROR(__xludf.DUMMYFUNCTION("IFERROR((sparkline(GOOGLEFINANCE($A273,""price"",TODAY()-365,TODAY(),""DAILY""),{""charttype"",""line"";""linewidth"",1;""color"",""#5f88cc""})),"""")"),"")</f>
        <v/>
      </c>
      <c r="K273" s="50" t="str">
        <f>IFERROR(__xludf.DUMMYFUNCTION("IFERROR((((GOOGLEFINANCE(A273))-(INDEX(GoogleFinance(A273,""PRICE"",$AP$1),2,2)))/(INDEX(GoogleFinance(A273,""PRICE"",$AP$1),2,2))),"""")"),"")</f>
        <v/>
      </c>
      <c r="L273" s="51">
        <f t="shared" si="1"/>
        <v>0</v>
      </c>
      <c r="M273" s="52">
        <f>IFERROR((VLOOKUP($A273,'Dados StatusInvest'!$A:$AZ,COLUMN(M273)-$A$5,0)*VLOOKUP($A273,'Dados StatusInvest'!$A:$AZ,2,0)/$F273/100),0)</f>
        <v>0.9403</v>
      </c>
      <c r="N273" s="53">
        <f>IFERROR((VLOOKUP($A273,'Dados StatusInvest'!$A:$AZ,COLUMN(N273)-$A$5,0)/VLOOKUP($A273,'Dados StatusInvest'!$A:$AZ,2,0)*$F273),"")</f>
        <v>62.3</v>
      </c>
      <c r="O273" s="53">
        <f>IFERROR((VLOOKUP($A273,'Dados StatusInvest'!$A:$AZ,COLUMN(O273)-$A$5,0)/VLOOKUP($A273,'Dados StatusInvest'!$A:$AZ,2,0)*$F273),0)</f>
        <v>2.16</v>
      </c>
      <c r="P273" s="54">
        <f>IFERROR((VLOOKUP($A273,'Dados StatusInvest'!$A:$AZ,COLUMN(P273)-$A$5,0)/VLOOKUP($A273,'Dados StatusInvest'!$A:$AZ,2,0)*$F273),0)</f>
        <v>0.72</v>
      </c>
      <c r="Q273" s="55">
        <f>IFERROR((VLOOKUP($A273,'Dados StatusInvest'!$A:$AZ,COLUMN(Q273)-$A$5,0)/100),0)</f>
        <v>0</v>
      </c>
      <c r="R273" s="56">
        <f>VLOOKUP($A273,'Dados StatusInvest'!$A:$AZ,COLUMN(R273)-$A$5,0)</f>
        <v>0</v>
      </c>
      <c r="S273" s="56">
        <f>IFERROR((VLOOKUP($A273,'Dados StatusInvest'!$A:$AZ,COLUMN(S273)-$A$5,0)),0)</f>
        <v>2.03</v>
      </c>
      <c r="T273" s="53">
        <f>IFERROR((VLOOKUP($A273,'Dados StatusInvest'!$A:$AZ,COLUMN(T273)-$A$5,0)/VLOOKUP($A273,'Dados StatusInvest'!$A:$AZ,2,0)*$F273),0)</f>
        <v>24904.07</v>
      </c>
      <c r="U273" s="53">
        <f>IFERROR((VLOOKUP($A273,'Dados StatusInvest'!$A:$AZ,COLUMN(U273)-$A$5,0)-VLOOKUP($A273,'Dados StatusInvest'!$A:$AZ,COLUMN(U273)-$A$5-1,0)+T273),0)</f>
        <v>-0.26</v>
      </c>
      <c r="V273" s="56">
        <f>IFERROR((VLOOKUP($A273,'Dados StatusInvest'!$A:$AZ,COLUMN(V273)-$A$5,0)),0)</f>
        <v>0</v>
      </c>
      <c r="W273" s="56">
        <f>IFERROR((VLOOKUP($A273,'Dados StatusInvest'!$A:$AZ,COLUMN(W273)-$A$5,0)),0)</f>
        <v>8.18</v>
      </c>
      <c r="X273" s="53">
        <f>IFERROR((VLOOKUP($A273,'Dados StatusInvest'!$A:$AZ,COLUMN(X273)-$A$5,0)/VLOOKUP($A273,'Dados StatusInvest'!$A:$AZ,2,0)*$F273),0)</f>
        <v>7.86</v>
      </c>
      <c r="Y273" s="54">
        <f>IFERROR((VLOOKUP($A273,'Dados StatusInvest'!$A:$AZ,COLUMN(Y273)-$A$5,0)/VLOOKUP($A273,'Dados StatusInvest'!$A:$AZ,2,0)*$F273),0)</f>
        <v>0</v>
      </c>
      <c r="Z273" s="56">
        <f>IFERROR((VLOOKUP($A273,'Dados StatusInvest'!$A:$AZ,COLUMN(Z273)-$A$5,0)),0)</f>
        <v>0.96</v>
      </c>
      <c r="AA273" s="57">
        <f>IFERROR((VLOOKUP($A273,'Dados StatusInvest'!$A:$AZ,COLUMN(AA273)-$A$5,0)),0)</f>
        <v>0.04</v>
      </c>
      <c r="AB273" s="57">
        <f>IFERROR((VLOOKUP($A273,'Dados StatusInvest'!$A:$AZ,COLUMN(AB273)-$A$5,0)),0)</f>
        <v>0.13</v>
      </c>
      <c r="AC273" s="58">
        <f>IFERROR((VLOOKUP($A273,'Dados StatusInvest'!$A:$AZ,COLUMN(AC273)-$A$5,0)),0)</f>
        <v>31.76</v>
      </c>
      <c r="AD273" s="57">
        <f>IFERROR((VLOOKUP($A273,'Dados StatusInvest'!$A:$AZ,COLUMN(AD273)-$A$5,0)),0)</f>
        <v>35.04</v>
      </c>
      <c r="AE273" s="56">
        <f>IFERROR((VLOOKUP($A273,'Dados StatusInvest'!$A:$AZ,COLUMN(AE273)-$A$5,0)),0)</f>
        <v>4214</v>
      </c>
      <c r="AF273" s="56">
        <f>IFERROR((VLOOKUP($A273,'Dados StatusInvest'!$A:$AZ,COLUMN(AF273)-$A$5,0)),0)</f>
        <v>78.99</v>
      </c>
      <c r="AG273" s="56">
        <f>IFERROR((VLOOKUP($A273,'Dados StatusInvest'!$A:$AZ,COLUMN(AG273)-$A$5,0)),0)</f>
        <v>6.46</v>
      </c>
      <c r="AH273" s="56">
        <f>IFERROR((VLOOKUP($A273,'Dados StatusInvest'!$A:$AZ,COLUMN(AH273)-$A$5,0)),0)</f>
        <v>0.1</v>
      </c>
      <c r="AI273" s="57">
        <f>IFERROR((VLOOKUP($A273,'Dados StatusInvest'!$A:$AZ,COLUMN(AI273)-$A$5,0)),0)</f>
        <v>16690052.68</v>
      </c>
      <c r="AJ273" s="59" t="str">
        <f>IFERROR((VLOOKUP($A273,'Dados StatusInvest'!$A:$AZ,COLUMN(AJ273)-$A$5,0)),0)</f>
        <v/>
      </c>
      <c r="AK273" s="60" t="str">
        <f>IFERROR(__xludf.DUMMYFUNCTION("IFERROR(GOOGLEFINANCE($A273,""high""),"""")"),"")</f>
        <v/>
      </c>
      <c r="AL273" s="60" t="str">
        <f>IFERROR(__xludf.DUMMYFUNCTION("IFERROR(GOOGLEFINANCE($A273,""low""),"""")"),"")</f>
        <v/>
      </c>
      <c r="AM273" s="61">
        <f t="shared" si="2"/>
        <v>0</v>
      </c>
      <c r="AN273" s="62">
        <f>IFERROR(__xludf.DUMMYFUNCTION("IFERROR((GOOGLEFINANCE($A273,""volume"")),0)"),0.0)</f>
        <v>0</v>
      </c>
      <c r="AO273" s="60">
        <f>IFERROR(__xludf.DUMMYFUNCTION("IFERROR((GOOGLEFINANCE($A273,""closeyest"")),"""")"),21.07)</f>
        <v>21.07</v>
      </c>
      <c r="AP273" s="60">
        <f>IFERROR(__xludf.DUMMYFUNCTION("IFERROR((GOOGLEFINANCE($A273,""shares"")),"""")"),792124.0)</f>
        <v>792124</v>
      </c>
      <c r="AQ273" s="18"/>
    </row>
    <row r="274">
      <c r="A274" s="45" t="str">
        <f>'Dados StatusInvest'!A269:A888</f>
        <v>FIGE4</v>
      </c>
      <c r="B274" s="46" t="str">
        <f>IFERROR(__xludf.DUMMYFUNCTION("IFERROR((GOOGLEFINANCE(A274,""name"")),"""")"),"Investimentos Bemge SA Preference Shares")</f>
        <v>Investimentos Bemge SA Preference Shares</v>
      </c>
      <c r="C274" s="46" t="str">
        <f>IFERROR((VLOOKUP(LEFT($A274,4),Setor!$A:$E,3,0)),"")</f>
        <v>Outros</v>
      </c>
      <c r="D274" s="46" t="str">
        <f>IFERROR((VLOOKUP(LEFT($A274,4),Setor!$A:$E,4,0)),"")</f>
        <v>Outros</v>
      </c>
      <c r="E274" s="46" t="str">
        <f>IFERROR((VLOOKUP(LEFT($A274,4),Setor!$A:$E,5,0)),"")</f>
        <v>Outros</v>
      </c>
      <c r="F274" s="47">
        <f>IFERROR(__xludf.DUMMYFUNCTION("IFERROR((GOOGLEFINANCE(A274)),"""")"),0.0)</f>
        <v>0</v>
      </c>
      <c r="G274" s="48" t="str">
        <f>IFERROR(__xludf.DUMMYFUNCTION("IFERROR((sparkline(GOOGLEFINANCE($A274,""price"",TODAY()-30,TODAY(),""DAILY""),{""charttype"",""line"";""linewidth"",1;""color"",""#5f88cc""})),"""")"),"")</f>
        <v/>
      </c>
      <c r="H274" s="49" t="str">
        <f>IFERROR(__xludf.DUMMYFUNCTION("IFERROR((((GOOGLEFINANCE(A274))-(INDEX(GoogleFinance(A274,""PRICE"",$AQ$1),2,2)))/(INDEX(GoogleFinance(A274,""PRICE"",$AQ$1),2,2))),"""")"),"")</f>
        <v/>
      </c>
      <c r="I274" s="47">
        <f>IFERROR(__xludf.DUMMYFUNCTION("IFERROR((GOOGLEFINANCE($A274,""high52"")),"""")"),38.01)</f>
        <v>38.01</v>
      </c>
      <c r="J274" s="48" t="str">
        <f>IFERROR(__xludf.DUMMYFUNCTION("IFERROR((sparkline(GOOGLEFINANCE($A274,""price"",TODAY()-365,TODAY(),""DAILY""),{""charttype"",""line"";""linewidth"",1;""color"",""#5f88cc""})),"""")"),"")</f>
        <v/>
      </c>
      <c r="K274" s="50" t="str">
        <f>IFERROR(__xludf.DUMMYFUNCTION("IFERROR((((GOOGLEFINANCE(A274))-(INDEX(GoogleFinance(A274,""PRICE"",$AP$1),2,2)))/(INDEX(GoogleFinance(A274,""PRICE"",$AP$1),2,2))),"""")"),"")</f>
        <v/>
      </c>
      <c r="L274" s="51">
        <f t="shared" si="1"/>
        <v>-1</v>
      </c>
      <c r="M274" s="52">
        <f>IFERROR((VLOOKUP($A274,'Dados StatusInvest'!$A:$AZ,COLUMN(M274)-$A$5,0)*VLOOKUP($A274,'Dados StatusInvest'!$A:$AZ,2,0)/$F274/100),0)</f>
        <v>0</v>
      </c>
      <c r="N274" s="53" t="str">
        <f>IFERROR((VLOOKUP($A274,'Dados StatusInvest'!$A:$AZ,COLUMN(N274)-$A$5,0)/VLOOKUP($A274,'Dados StatusInvest'!$A:$AZ,2,0)*$F274),"")</f>
        <v/>
      </c>
      <c r="O274" s="53">
        <f>IFERROR((VLOOKUP($A274,'Dados StatusInvest'!$A:$AZ,COLUMN(O274)-$A$5,0)/VLOOKUP($A274,'Dados StatusInvest'!$A:$AZ,2,0)*$F274),0)</f>
        <v>0</v>
      </c>
      <c r="P274" s="54">
        <f>IFERROR((VLOOKUP($A274,'Dados StatusInvest'!$A:$AZ,COLUMN(P274)-$A$5,0)/VLOOKUP($A274,'Dados StatusInvest'!$A:$AZ,2,0)*$F274),0)</f>
        <v>0</v>
      </c>
      <c r="Q274" s="55">
        <f>IFERROR((VLOOKUP($A274,'Dados StatusInvest'!$A:$AZ,COLUMN(Q274)-$A$5,0)/100),0)</f>
        <v>0</v>
      </c>
      <c r="R274" s="56">
        <f>VLOOKUP($A274,'Dados StatusInvest'!$A:$AZ,COLUMN(R274)-$A$5,0)</f>
        <v>0</v>
      </c>
      <c r="S274" s="56">
        <f>IFERROR((VLOOKUP($A274,'Dados StatusInvest'!$A:$AZ,COLUMN(S274)-$A$5,0)),0)</f>
        <v>0</v>
      </c>
      <c r="T274" s="53">
        <f>IFERROR((VLOOKUP($A274,'Dados StatusInvest'!$A:$AZ,COLUMN(T274)-$A$5,0)/VLOOKUP($A274,'Dados StatusInvest'!$A:$AZ,2,0)*$F274),0)</f>
        <v>0</v>
      </c>
      <c r="U274" s="53">
        <f>IFERROR((VLOOKUP($A274,'Dados StatusInvest'!$A:$AZ,COLUMN(U274)-$A$5,0)-VLOOKUP($A274,'Dados StatusInvest'!$A:$AZ,COLUMN(U274)-$A$5-1,0)+T274),0)</f>
        <v>0</v>
      </c>
      <c r="V274" s="56">
        <f>IFERROR((VLOOKUP($A274,'Dados StatusInvest'!$A:$AZ,COLUMN(V274)-$A$5,0)),0)</f>
        <v>0</v>
      </c>
      <c r="W274" s="56">
        <f>IFERROR((VLOOKUP($A274,'Dados StatusInvest'!$A:$AZ,COLUMN(W274)-$A$5,0)),0)</f>
        <v>8.18</v>
      </c>
      <c r="X274" s="53">
        <f>IFERROR((VLOOKUP($A274,'Dados StatusInvest'!$A:$AZ,COLUMN(X274)-$A$5,0)/VLOOKUP($A274,'Dados StatusInvest'!$A:$AZ,2,0)*$F274),0)</f>
        <v>0</v>
      </c>
      <c r="Y274" s="54">
        <f>IFERROR((VLOOKUP($A274,'Dados StatusInvest'!$A:$AZ,COLUMN(Y274)-$A$5,0)/VLOOKUP($A274,'Dados StatusInvest'!$A:$AZ,2,0)*$F274),0)</f>
        <v>0</v>
      </c>
      <c r="Z274" s="56">
        <f>IFERROR((VLOOKUP($A274,'Dados StatusInvest'!$A:$AZ,COLUMN(Z274)-$A$5,0)),0)</f>
        <v>0.96</v>
      </c>
      <c r="AA274" s="57">
        <f>IFERROR((VLOOKUP($A274,'Dados StatusInvest'!$A:$AZ,COLUMN(AA274)-$A$5,0)),0)</f>
        <v>0.04</v>
      </c>
      <c r="AB274" s="57">
        <f>IFERROR((VLOOKUP($A274,'Dados StatusInvest'!$A:$AZ,COLUMN(AB274)-$A$5,0)),0)</f>
        <v>0.13</v>
      </c>
      <c r="AC274" s="58">
        <f>IFERROR((VLOOKUP($A274,'Dados StatusInvest'!$A:$AZ,COLUMN(AC274)-$A$5,0)),0)</f>
        <v>31.76</v>
      </c>
      <c r="AD274" s="57">
        <f>IFERROR((VLOOKUP($A274,'Dados StatusInvest'!$A:$AZ,COLUMN(AD274)-$A$5,0)),0)</f>
        <v>35.04</v>
      </c>
      <c r="AE274" s="56">
        <f>IFERROR((VLOOKUP($A274,'Dados StatusInvest'!$A:$AZ,COLUMN(AE274)-$A$5,0)),0)</f>
        <v>0</v>
      </c>
      <c r="AF274" s="56">
        <f>IFERROR((VLOOKUP($A274,'Dados StatusInvest'!$A:$AZ,COLUMN(AF274)-$A$5,0)),0)</f>
        <v>78.99</v>
      </c>
      <c r="AG274" s="56">
        <f>IFERROR((VLOOKUP($A274,'Dados StatusInvest'!$A:$AZ,COLUMN(AG274)-$A$5,0)),0)</f>
        <v>6.46</v>
      </c>
      <c r="AH274" s="56">
        <f>IFERROR((VLOOKUP($A274,'Dados StatusInvest'!$A:$AZ,COLUMN(AH274)-$A$5,0)),0)</f>
        <v>0</v>
      </c>
      <c r="AI274" s="57">
        <f>IFERROR((VLOOKUP($A274,'Dados StatusInvest'!$A:$AZ,COLUMN(AI274)-$A$5,0)),0)</f>
        <v>16690052.68</v>
      </c>
      <c r="AJ274" s="59" t="str">
        <f>IFERROR((VLOOKUP($A274,'Dados StatusInvest'!$A:$AZ,COLUMN(AJ274)-$A$5,0)),0)</f>
        <v/>
      </c>
      <c r="AK274" s="60" t="str">
        <f>IFERROR(__xludf.DUMMYFUNCTION("IFERROR(GOOGLEFINANCE($A274,""high""),"""")"),"")</f>
        <v/>
      </c>
      <c r="AL274" s="60" t="str">
        <f>IFERROR(__xludf.DUMMYFUNCTION("IFERROR(GOOGLEFINANCE($A274,""low""),"""")"),"")</f>
        <v/>
      </c>
      <c r="AM274" s="61">
        <f t="shared" si="2"/>
        <v>0</v>
      </c>
      <c r="AN274" s="62">
        <f>IFERROR(__xludf.DUMMYFUNCTION("IFERROR((GOOGLEFINANCE($A274,""volume"")),0)"),0.0)</f>
        <v>0</v>
      </c>
      <c r="AO274" s="60" t="str">
        <f>IFERROR(__xludf.DUMMYFUNCTION("IFERROR((GOOGLEFINANCE($A274,""closeyest"")),"""")"),"")</f>
        <v/>
      </c>
      <c r="AP274" s="60">
        <f>IFERROR(__xludf.DUMMYFUNCTION("IFERROR((GOOGLEFINANCE($A274,""shares"")),"""")"),1571812.0)</f>
        <v>1571812</v>
      </c>
      <c r="AQ274" s="18"/>
    </row>
    <row r="275">
      <c r="A275" s="45" t="str">
        <f>'Dados StatusInvest'!A270:A889</f>
        <v>FIQE3</v>
      </c>
      <c r="B275" s="46" t="str">
        <f>IFERROR(__xludf.DUMMYFUNCTION("IFERROR((GOOGLEFINANCE(A275,""name"")),"""")"),"Unifique Telecomunicacoes SA")</f>
        <v>Unifique Telecomunicacoes SA</v>
      </c>
      <c r="C275" s="46" t="str">
        <f>IFERROR((VLOOKUP(LEFT($A275,4),Setor!$A:$E,3,0)),"")</f>
        <v/>
      </c>
      <c r="D275" s="46" t="str">
        <f>IFERROR((VLOOKUP(LEFT($A275,4),Setor!$A:$E,4,0)),"")</f>
        <v/>
      </c>
      <c r="E275" s="46" t="str">
        <f>IFERROR((VLOOKUP(LEFT($A275,4),Setor!$A:$E,5,0)),"")</f>
        <v/>
      </c>
      <c r="F275" s="47">
        <f>IFERROR(__xludf.DUMMYFUNCTION("IFERROR((GOOGLEFINANCE(A275)),"""")"),5.24)</f>
        <v>5.24</v>
      </c>
      <c r="G275" s="48" t="str">
        <f>IFERROR(__xludf.DUMMYFUNCTION("IFERROR((sparkline(GOOGLEFINANCE($A275,""price"",TODAY()-30,TODAY(),""DAILY""),{""charttype"",""line"";""linewidth"",1;""color"",""#5f88cc""})),"""")"),"")</f>
        <v/>
      </c>
      <c r="H275" s="49">
        <f>IFERROR(__xludf.DUMMYFUNCTION("IFERROR((((GOOGLEFINANCE(A275))-(INDEX(GoogleFinance(A275,""PRICE"",$AQ$1),2,2)))/(INDEX(GoogleFinance(A275,""PRICE"",$AQ$1),2,2))),"""")"),0.039682539682539715)</f>
        <v>0.03968253968</v>
      </c>
      <c r="I275" s="47">
        <f>IFERROR(__xludf.DUMMYFUNCTION("IFERROR((GOOGLEFINANCE($A275,""high52"")),"""")"),5.59)</f>
        <v>5.59</v>
      </c>
      <c r="J275" s="48" t="str">
        <f>IFERROR(__xludf.DUMMYFUNCTION("IFERROR((sparkline(GOOGLEFINANCE($A275,""price"",TODAY()-365,TODAY(),""DAILY""),{""charttype"",""line"";""linewidth"",1;""color"",""#5f88cc""})),"""")"),"")</f>
        <v/>
      </c>
      <c r="K275" s="50">
        <f>IFERROR(__xludf.DUMMYFUNCTION("IFERROR((((GOOGLEFINANCE(A275))-(INDEX(GoogleFinance(A275,""PRICE"",$AP$1),2,2)))/(INDEX(GoogleFinance(A275,""PRICE"",$AP$1),2,2))),"""")"),0.6741214057507988)</f>
        <v>0.6741214058</v>
      </c>
      <c r="L275" s="51">
        <f t="shared" si="1"/>
        <v>-0.0626118068</v>
      </c>
      <c r="M275" s="52">
        <f>IFERROR((VLOOKUP($A275,'Dados StatusInvest'!$A:$AZ,COLUMN(M275)-$A$5,0)*VLOOKUP($A275,'Dados StatusInvest'!$A:$AZ,2,0)/$F275/100),0)</f>
        <v>0.271379771</v>
      </c>
      <c r="N275" s="53">
        <f>IFERROR((VLOOKUP($A275,'Dados StatusInvest'!$A:$AZ,COLUMN(N275)-$A$5,0)/VLOOKUP($A275,'Dados StatusInvest'!$A:$AZ,2,0)*$F275),"")</f>
        <v>17.05203738</v>
      </c>
      <c r="O275" s="53">
        <f>IFERROR((VLOOKUP($A275,'Dados StatusInvest'!$A:$AZ,COLUMN(O275)-$A$5,0)/VLOOKUP($A275,'Dados StatusInvest'!$A:$AZ,2,0)*$F275),0)</f>
        <v>6.973607477</v>
      </c>
      <c r="P275" s="54">
        <f>IFERROR((VLOOKUP($A275,'Dados StatusInvest'!$A:$AZ,COLUMN(P275)-$A$5,0)/VLOOKUP($A275,'Dados StatusInvest'!$A:$AZ,2,0)*$F275),0)</f>
        <v>7.737570093</v>
      </c>
      <c r="Q275" s="55">
        <f>IFERROR((VLOOKUP($A275,'Dados StatusInvest'!$A:$AZ,COLUMN(Q275)-$A$5,0)/100),0)</f>
        <v>0.0078</v>
      </c>
      <c r="R275" s="56">
        <f>VLOOKUP($A275,'Dados StatusInvest'!$A:$AZ,COLUMN(R275)-$A$5,0)</f>
        <v>0.18</v>
      </c>
      <c r="S275" s="56">
        <f>IFERROR((VLOOKUP($A275,'Dados StatusInvest'!$A:$AZ,COLUMN(S275)-$A$5,0)),0)</f>
        <v>1.89</v>
      </c>
      <c r="T275" s="53">
        <f>IFERROR((VLOOKUP($A275,'Dados StatusInvest'!$A:$AZ,COLUMN(T275)-$A$5,0)/VLOOKUP($A275,'Dados StatusInvest'!$A:$AZ,2,0)*$F275),0)</f>
        <v>10.00986916</v>
      </c>
      <c r="U275" s="53">
        <f>IFERROR((VLOOKUP($A275,'Dados StatusInvest'!$A:$AZ,COLUMN(U275)-$A$5,0)-VLOOKUP($A275,'Dados StatusInvest'!$A:$AZ,COLUMN(U275)-$A$5-1,0)+T275),0)</f>
        <v>-1.400130841</v>
      </c>
      <c r="V275" s="56">
        <f>IFERROR((VLOOKUP($A275,'Dados StatusInvest'!$A:$AZ,COLUMN(V275)-$A$5,0)),0)</f>
        <v>1.57</v>
      </c>
      <c r="W275" s="56">
        <f>IFERROR((VLOOKUP($A275,'Dados StatusInvest'!$A:$AZ,COLUMN(W275)-$A$5,0)),0)</f>
        <v>15.46</v>
      </c>
      <c r="X275" s="53">
        <f>IFERROR((VLOOKUP($A275,'Dados StatusInvest'!$A:$AZ,COLUMN(X275)-$A$5,0)/VLOOKUP($A275,'Dados StatusInvest'!$A:$AZ,2,0)*$F275),0)</f>
        <v>8.139140187</v>
      </c>
      <c r="Y275" s="54">
        <f>IFERROR((VLOOKUP($A275,'Dados StatusInvest'!$A:$AZ,COLUMN(Y275)-$A$5,0)/VLOOKUP($A275,'Dados StatusInvest'!$A:$AZ,2,0)*$F275),0)</f>
        <v>9.774803738</v>
      </c>
      <c r="Z275" s="56">
        <f>IFERROR((VLOOKUP($A275,'Dados StatusInvest'!$A:$AZ,COLUMN(Z275)-$A$5,0)),0)</f>
        <v>0.54</v>
      </c>
      <c r="AA275" s="57">
        <f>IFERROR((VLOOKUP($A275,'Dados StatusInvest'!$A:$AZ,COLUMN(AA275)-$A$5,0)),0)</f>
        <v>0.46</v>
      </c>
      <c r="AB275" s="57">
        <f>IFERROR((VLOOKUP($A275,'Dados StatusInvest'!$A:$AZ,COLUMN(AB275)-$A$5,0)),0)</f>
        <v>0.48</v>
      </c>
      <c r="AC275" s="58">
        <f>IFERROR((VLOOKUP($A275,'Dados StatusInvest'!$A:$AZ,COLUMN(AC275)-$A$5,0)),0)</f>
        <v>44.39</v>
      </c>
      <c r="AD275" s="57">
        <f>IFERROR((VLOOKUP($A275,'Dados StatusInvest'!$A:$AZ,COLUMN(AD275)-$A$5,0)),0)</f>
        <v>39.94</v>
      </c>
      <c r="AE275" s="56">
        <f>IFERROR((VLOOKUP($A275,'Dados StatusInvest'!$A:$AZ,COLUMN(AE275)-$A$5,0)),0)</f>
        <v>2892520</v>
      </c>
      <c r="AF275" s="56">
        <f>IFERROR((VLOOKUP($A275,'Dados StatusInvest'!$A:$AZ,COLUMN(AF275)-$A$5,0)),0)</f>
        <v>3.18</v>
      </c>
      <c r="AG275" s="56">
        <f>IFERROR((VLOOKUP($A275,'Dados StatusInvest'!$A:$AZ,COLUMN(AG275)-$A$5,0)),0)</f>
        <v>0.49</v>
      </c>
      <c r="AH275" s="56">
        <f>IFERROR((VLOOKUP($A275,'Dados StatusInvest'!$A:$AZ,COLUMN(AH275)-$A$5,0)),0)</f>
        <v>-0.4</v>
      </c>
      <c r="AI275" s="57">
        <f>IFERROR((VLOOKUP($A275,'Dados StatusInvest'!$A:$AZ,COLUMN(AI275)-$A$5,0)),0)</f>
        <v>2135113556</v>
      </c>
      <c r="AJ275" s="59" t="str">
        <f>IFERROR((VLOOKUP($A275,'Dados StatusInvest'!$A:$AZ,COLUMN(AJ275)-$A$5,0)),0)</f>
        <v/>
      </c>
      <c r="AK275" s="60">
        <f>IFERROR(__xludf.DUMMYFUNCTION("IFERROR(GOOGLEFINANCE($A275,""high""),"""")"),5.35)</f>
        <v>5.35</v>
      </c>
      <c r="AL275" s="60">
        <f>IFERROR(__xludf.DUMMYFUNCTION("IFERROR(GOOGLEFINANCE($A275,""low""),"""")"),5.24)</f>
        <v>5.24</v>
      </c>
      <c r="AM275" s="61">
        <f t="shared" si="2"/>
        <v>0.02099236641</v>
      </c>
      <c r="AN275" s="62">
        <f>IFERROR(__xludf.DUMMYFUNCTION("IFERROR((GOOGLEFINANCE($A275,""volume"")),0)"),56900.0)</f>
        <v>56900</v>
      </c>
      <c r="AO275" s="60">
        <f>IFERROR(__xludf.DUMMYFUNCTION("IFERROR((GOOGLEFINANCE($A275,""closeyest"")),"""")"),5.35)</f>
        <v>5.35</v>
      </c>
      <c r="AP275" s="60">
        <f>IFERROR(__xludf.DUMMYFUNCTION("IFERROR((GOOGLEFINANCE($A275,""shares"")),"""")"),3.99086646E8)</f>
        <v>399086646</v>
      </c>
      <c r="AQ275" s="18"/>
    </row>
    <row r="276">
      <c r="A276" s="45" t="str">
        <f>'Dados StatusInvest'!A271:A890</f>
        <v>FLEX3</v>
      </c>
      <c r="B276" s="46" t="str">
        <f>IFERROR(__xludf.DUMMYFUNCTION("IFERROR((GOOGLEFINANCE(A276,""name"")),"""")"),"")</f>
        <v/>
      </c>
      <c r="C276" s="46" t="str">
        <f>IFERROR((VLOOKUP(LEFT($A276,4),Setor!$A:$E,3,0)),"")</f>
        <v>Bens Industriais</v>
      </c>
      <c r="D276" s="46" t="str">
        <f>IFERROR((VLOOKUP(LEFT($A276,4),Setor!$A:$E,4,0)),"")</f>
        <v>Serviços Diversos</v>
      </c>
      <c r="E276" s="46" t="str">
        <f>IFERROR((VLOOKUP(LEFT($A276,4),Setor!$A:$E,5,0)),"")</f>
        <v>Serviços Diversos</v>
      </c>
      <c r="F276" s="47" t="str">
        <f>IFERROR(__xludf.DUMMYFUNCTION("IFERROR((GOOGLEFINANCE(A276)),"""")"),"")</f>
        <v/>
      </c>
      <c r="G276" s="48" t="str">
        <f>IFERROR(__xludf.DUMMYFUNCTION("IFERROR((sparkline(GOOGLEFINANCE($A276,""price"",TODAY()-30,TODAY(),""DAILY""),{""charttype"",""line"";""linewidth"",1;""color"",""#5f88cc""})),"""")"),"")</f>
        <v/>
      </c>
      <c r="H276" s="49" t="str">
        <f>IFERROR(__xludf.DUMMYFUNCTION("IFERROR((((GOOGLEFINANCE(A276))-(INDEX(GoogleFinance(A276,""PRICE"",$AQ$1),2,2)))/(INDEX(GoogleFinance(A276,""PRICE"",$AQ$1),2,2))),"""")"),"")</f>
        <v/>
      </c>
      <c r="I276" s="47" t="str">
        <f>IFERROR(__xludf.DUMMYFUNCTION("IFERROR((GOOGLEFINANCE($A276,""high52"")),"""")"),"")</f>
        <v/>
      </c>
      <c r="J276" s="48" t="str">
        <f>IFERROR(__xludf.DUMMYFUNCTION("IFERROR((sparkline(GOOGLEFINANCE($A276,""price"",TODAY()-365,TODAY(),""DAILY""),{""charttype"",""line"";""linewidth"",1;""color"",""#5f88cc""})),"""")"),"")</f>
        <v/>
      </c>
      <c r="K276" s="50" t="str">
        <f>IFERROR(__xludf.DUMMYFUNCTION("IFERROR((((GOOGLEFINANCE(A276))-(INDEX(GoogleFinance(A276,""PRICE"",$AP$1),2,2)))/(INDEX(GoogleFinance(A276,""PRICE"",$AP$1),2,2))),"""")"),"")</f>
        <v/>
      </c>
      <c r="L276" s="51">
        <f t="shared" si="1"/>
        <v>0</v>
      </c>
      <c r="M276" s="52">
        <f>IFERROR((VLOOKUP($A276,'Dados StatusInvest'!$A:$AZ,COLUMN(M276)-$A$5,0)*VLOOKUP($A276,'Dados StatusInvest'!$A:$AZ,2,0)/$F276/100),0)</f>
        <v>0</v>
      </c>
      <c r="N276" s="53" t="str">
        <f>IFERROR((VLOOKUP($A276,'Dados StatusInvest'!$A:$AZ,COLUMN(N276)-$A$5,0)/VLOOKUP($A276,'Dados StatusInvest'!$A:$AZ,2,0)*$F276),"")</f>
        <v/>
      </c>
      <c r="O276" s="53">
        <f>IFERROR((VLOOKUP($A276,'Dados StatusInvest'!$A:$AZ,COLUMN(O276)-$A$5,0)/VLOOKUP($A276,'Dados StatusInvest'!$A:$AZ,2,0)*$F276),0)</f>
        <v>0</v>
      </c>
      <c r="P276" s="54">
        <f>IFERROR((VLOOKUP($A276,'Dados StatusInvest'!$A:$AZ,COLUMN(P276)-$A$5,0)/VLOOKUP($A276,'Dados StatusInvest'!$A:$AZ,2,0)*$F276),0)</f>
        <v>0</v>
      </c>
      <c r="Q276" s="55">
        <f>IFERROR((VLOOKUP($A276,'Dados StatusInvest'!$A:$AZ,COLUMN(Q276)-$A$5,0)/100),0)</f>
        <v>-0.0043</v>
      </c>
      <c r="R276" s="56">
        <f>VLOOKUP($A276,'Dados StatusInvest'!$A:$AZ,COLUMN(R276)-$A$5,0)</f>
        <v>0</v>
      </c>
      <c r="S276" s="56">
        <f>IFERROR((VLOOKUP($A276,'Dados StatusInvest'!$A:$AZ,COLUMN(S276)-$A$5,0)),0)</f>
        <v>0</v>
      </c>
      <c r="T276" s="53">
        <f>IFERROR((VLOOKUP($A276,'Dados StatusInvest'!$A:$AZ,COLUMN(T276)-$A$5,0)/VLOOKUP($A276,'Dados StatusInvest'!$A:$AZ,2,0)*$F276),0)</f>
        <v>0</v>
      </c>
      <c r="U276" s="53">
        <f>IFERROR((VLOOKUP($A276,'Dados StatusInvest'!$A:$AZ,COLUMN(U276)-$A$5,0)-VLOOKUP($A276,'Dados StatusInvest'!$A:$AZ,COLUMN(U276)-$A$5-1,0)+T276),0)</f>
        <v>0</v>
      </c>
      <c r="V276" s="56">
        <f>IFERROR((VLOOKUP($A276,'Dados StatusInvest'!$A:$AZ,COLUMN(V276)-$A$5,0)),0)</f>
        <v>0.11</v>
      </c>
      <c r="W276" s="56">
        <f>IFERROR((VLOOKUP($A276,'Dados StatusInvest'!$A:$AZ,COLUMN(W276)-$A$5,0)),0)</f>
        <v>-81</v>
      </c>
      <c r="X276" s="53">
        <f>IFERROR((VLOOKUP($A276,'Dados StatusInvest'!$A:$AZ,COLUMN(X276)-$A$5,0)/VLOOKUP($A276,'Dados StatusInvest'!$A:$AZ,2,0)*$F276),0)</f>
        <v>0</v>
      </c>
      <c r="Y276" s="54">
        <f>IFERROR((VLOOKUP($A276,'Dados StatusInvest'!$A:$AZ,COLUMN(Y276)-$A$5,0)/VLOOKUP($A276,'Dados StatusInvest'!$A:$AZ,2,0)*$F276),0)</f>
        <v>0</v>
      </c>
      <c r="Z276" s="56">
        <f>IFERROR((VLOOKUP($A276,'Dados StatusInvest'!$A:$AZ,COLUMN(Z276)-$A$5,0)),0)</f>
        <v>-3.58</v>
      </c>
      <c r="AA276" s="57">
        <f>IFERROR((VLOOKUP($A276,'Dados StatusInvest'!$A:$AZ,COLUMN(AA276)-$A$5,0)),0)</f>
        <v>4.58</v>
      </c>
      <c r="AB276" s="57">
        <f>IFERROR((VLOOKUP($A276,'Dados StatusInvest'!$A:$AZ,COLUMN(AB276)-$A$5,0)),0)</f>
        <v>2.05</v>
      </c>
      <c r="AC276" s="58">
        <f>IFERROR((VLOOKUP($A276,'Dados StatusInvest'!$A:$AZ,COLUMN(AC276)-$A$5,0)),0)</f>
        <v>-5.08</v>
      </c>
      <c r="AD276" s="57">
        <f>IFERROR((VLOOKUP($A276,'Dados StatusInvest'!$A:$AZ,COLUMN(AD276)-$A$5,0)),0)</f>
        <v>0</v>
      </c>
      <c r="AE276" s="56">
        <f>IFERROR((VLOOKUP($A276,'Dados StatusInvest'!$A:$AZ,COLUMN(AE276)-$A$5,0)),0)</f>
        <v>0</v>
      </c>
      <c r="AF276" s="56">
        <f>IFERROR((VLOOKUP($A276,'Dados StatusInvest'!$A:$AZ,COLUMN(AF276)-$A$5,0)),0)</f>
        <v>-132.45</v>
      </c>
      <c r="AG276" s="56">
        <f>IFERROR((VLOOKUP($A276,'Dados StatusInvest'!$A:$AZ,COLUMN(AG276)-$A$5,0)),0)</f>
        <v>-107.28</v>
      </c>
      <c r="AH276" s="56">
        <f>IFERROR((VLOOKUP($A276,'Dados StatusInvest'!$A:$AZ,COLUMN(AH276)-$A$5,0)),0)</f>
        <v>0</v>
      </c>
      <c r="AI276" s="57">
        <f>IFERROR((VLOOKUP($A276,'Dados StatusInvest'!$A:$AZ,COLUMN(AI276)-$A$5,0)),0)</f>
        <v>0</v>
      </c>
      <c r="AJ276" s="59" t="str">
        <f>IFERROR((VLOOKUP($A276,'Dados StatusInvest'!$A:$AZ,COLUMN(AJ276)-$A$5,0)),0)</f>
        <v/>
      </c>
      <c r="AK276" s="60" t="str">
        <f>IFERROR(__xludf.DUMMYFUNCTION("IFERROR(GOOGLEFINANCE($A276,""high""),"""")"),"")</f>
        <v/>
      </c>
      <c r="AL276" s="60" t="str">
        <f>IFERROR(__xludf.DUMMYFUNCTION("IFERROR(GOOGLEFINANCE($A276,""low""),"""")"),"")</f>
        <v/>
      </c>
      <c r="AM276" s="61">
        <f t="shared" si="2"/>
        <v>0</v>
      </c>
      <c r="AN276" s="62">
        <f>IFERROR(__xludf.DUMMYFUNCTION("IFERROR((GOOGLEFINANCE($A276,""volume"")),0)"),0.0)</f>
        <v>0</v>
      </c>
      <c r="AO276" s="60" t="str">
        <f>IFERROR(__xludf.DUMMYFUNCTION("IFERROR((GOOGLEFINANCE($A276,""closeyest"")),"""")"),"")</f>
        <v/>
      </c>
      <c r="AP276" s="60" t="str">
        <f>IFERROR(__xludf.DUMMYFUNCTION("IFERROR((GOOGLEFINANCE($A276,""shares"")),"""")"),"")</f>
        <v/>
      </c>
      <c r="AQ276" s="18"/>
    </row>
    <row r="277">
      <c r="A277" s="45" t="str">
        <f>'Dados StatusInvest'!A272:A891</f>
        <v>FLRY3</v>
      </c>
      <c r="B277" s="46" t="str">
        <f>IFERROR(__xludf.DUMMYFUNCTION("IFERROR((GOOGLEFINANCE(A277,""name"")),"""")"),"Fleury SA")</f>
        <v>Fleury SA</v>
      </c>
      <c r="C277" s="46" t="str">
        <f>IFERROR((VLOOKUP(LEFT($A277,4),Setor!$A:$E,3,0)),"")</f>
        <v>Saúde</v>
      </c>
      <c r="D277" s="46" t="str">
        <f>IFERROR((VLOOKUP(LEFT($A277,4),Setor!$A:$E,4,0)),"")</f>
        <v>Análises e Diagnósticos</v>
      </c>
      <c r="E277" s="46" t="str">
        <f>IFERROR((VLOOKUP(LEFT($A277,4),Setor!$A:$E,5,0)),"")</f>
        <v>Análises e Diagnósticos</v>
      </c>
      <c r="F277" s="47">
        <f>IFERROR(__xludf.DUMMYFUNCTION("IFERROR((GOOGLEFINANCE(A277)),"""")"),17.81)</f>
        <v>17.81</v>
      </c>
      <c r="G277" s="48" t="str">
        <f>IFERROR(__xludf.DUMMYFUNCTION("IFERROR((sparkline(GOOGLEFINANCE($A277,""price"",TODAY()-30,TODAY(),""DAILY""),{""charttype"",""line"";""linewidth"",1;""color"",""#5f88cc""})),"""")"),"")</f>
        <v/>
      </c>
      <c r="H277" s="49">
        <f>IFERROR(__xludf.DUMMYFUNCTION("IFERROR((((GOOGLEFINANCE(A277))-(INDEX(GoogleFinance(A277,""PRICE"",$AQ$1),2,2)))/(INDEX(GoogleFinance(A277,""PRICE"",$AQ$1),2,2))),"""")"),0.11173533083645439)</f>
        <v>0.1117353308</v>
      </c>
      <c r="I277" s="47">
        <f>IFERROR(__xludf.DUMMYFUNCTION("IFERROR((GOOGLEFINANCE($A277,""high52"")),"""")"),17.89)</f>
        <v>17.89</v>
      </c>
      <c r="J277" s="48" t="str">
        <f>IFERROR(__xludf.DUMMYFUNCTION("IFERROR((sparkline(GOOGLEFINANCE($A277,""price"",TODAY()-365,TODAY(),""DAILY""),{""charttype"",""line"";""linewidth"",1;""color"",""#5f88cc""})),"""")"),"")</f>
        <v/>
      </c>
      <c r="K277" s="50">
        <f>IFERROR(__xludf.DUMMYFUNCTION("IFERROR((((GOOGLEFINANCE(A277))-(INDEX(GoogleFinance(A277,""PRICE"",$AP$1),2,2)))/(INDEX(GoogleFinance(A277,""PRICE"",$AP$1),2,2))),"""")"),0.49915824915824897)</f>
        <v>0.4991582492</v>
      </c>
      <c r="L277" s="51">
        <f t="shared" si="1"/>
        <v>-0.00447177194</v>
      </c>
      <c r="M277" s="52">
        <f>IFERROR((VLOOKUP($A277,'Dados StatusInvest'!$A:$AZ,COLUMN(M277)-$A$5,0)*VLOOKUP($A277,'Dados StatusInvest'!$A:$AZ,2,0)/$F277/100),0)</f>
        <v>0.1507759686</v>
      </c>
      <c r="N277" s="53">
        <f>IFERROR((VLOOKUP($A277,'Dados StatusInvest'!$A:$AZ,COLUMN(N277)-$A$5,0)/VLOOKUP($A277,'Dados StatusInvest'!$A:$AZ,2,0)*$F277),"")</f>
        <v>7.381972145</v>
      </c>
      <c r="O277" s="53">
        <f>IFERROR((VLOOKUP($A277,'Dados StatusInvest'!$A:$AZ,COLUMN(O277)-$A$5,0)/VLOOKUP($A277,'Dados StatusInvest'!$A:$AZ,2,0)*$F277),0)</f>
        <v>8.066590529</v>
      </c>
      <c r="P277" s="54">
        <f>IFERROR((VLOOKUP($A277,'Dados StatusInvest'!$A:$AZ,COLUMN(P277)-$A$5,0)/VLOOKUP($A277,'Dados StatusInvest'!$A:$AZ,2,0)*$F277),0)</f>
        <v>10.52724791</v>
      </c>
      <c r="Q277" s="55">
        <f>IFERROR((VLOOKUP($A277,'Dados StatusInvest'!$A:$AZ,COLUMN(Q277)-$A$5,0)/100),0)</f>
        <v>0.0248</v>
      </c>
      <c r="R277" s="56">
        <f>VLOOKUP($A277,'Dados StatusInvest'!$A:$AZ,COLUMN(R277)-$A$5,0)</f>
        <v>0.55</v>
      </c>
      <c r="S277" s="56">
        <f>IFERROR((VLOOKUP($A277,'Dados StatusInvest'!$A:$AZ,COLUMN(S277)-$A$5,0)),0)</f>
        <v>1.22</v>
      </c>
      <c r="T277" s="53">
        <f>IFERROR((VLOOKUP($A277,'Dados StatusInvest'!$A:$AZ,COLUMN(T277)-$A$5,0)/VLOOKUP($A277,'Dados StatusInvest'!$A:$AZ,2,0)*$F277),0)</f>
        <v>3.661220056</v>
      </c>
      <c r="U277" s="53">
        <f>IFERROR((VLOOKUP($A277,'Dados StatusInvest'!$A:$AZ,COLUMN(U277)-$A$5,0)-VLOOKUP($A277,'Dados StatusInvest'!$A:$AZ,COLUMN(U277)-$A$5-1,0)+T277),0)</f>
        <v>-1.158779944</v>
      </c>
      <c r="V277" s="56">
        <f>IFERROR((VLOOKUP($A277,'Dados StatusInvest'!$A:$AZ,COLUMN(V277)-$A$5,0)),0)</f>
        <v>2.21</v>
      </c>
      <c r="W277" s="56">
        <f>IFERROR((VLOOKUP($A277,'Dados StatusInvest'!$A:$AZ,COLUMN(W277)-$A$5,0)),0)</f>
        <v>11.13</v>
      </c>
      <c r="X277" s="53">
        <f>IFERROR((VLOOKUP($A277,'Dados StatusInvest'!$A:$AZ,COLUMN(X277)-$A$5,0)/VLOOKUP($A277,'Dados StatusInvest'!$A:$AZ,2,0)*$F277),0)</f>
        <v>4.385526462</v>
      </c>
      <c r="Y277" s="54">
        <f>IFERROR((VLOOKUP($A277,'Dados StatusInvest'!$A:$AZ,COLUMN(Y277)-$A$5,0)/VLOOKUP($A277,'Dados StatusInvest'!$A:$AZ,2,0)*$F277),0)</f>
        <v>9.237387187</v>
      </c>
      <c r="Z277" s="56">
        <f>IFERROR((VLOOKUP($A277,'Dados StatusInvest'!$A:$AZ,COLUMN(Z277)-$A$5,0)),0)</f>
        <v>0.4</v>
      </c>
      <c r="AA277" s="57">
        <f>IFERROR((VLOOKUP($A277,'Dados StatusInvest'!$A:$AZ,COLUMN(AA277)-$A$5,0)),0)</f>
        <v>0.6</v>
      </c>
      <c r="AB277" s="57">
        <f>IFERROR((VLOOKUP($A277,'Dados StatusInvest'!$A:$AZ,COLUMN(AB277)-$A$5,0)),0)</f>
        <v>0.59</v>
      </c>
      <c r="AC277" s="58">
        <f>IFERROR((VLOOKUP($A277,'Dados StatusInvest'!$A:$AZ,COLUMN(AC277)-$A$5,0)),0)</f>
        <v>21.48</v>
      </c>
      <c r="AD277" s="57">
        <f>IFERROR((VLOOKUP($A277,'Dados StatusInvest'!$A:$AZ,COLUMN(AD277)-$A$5,0)),0)</f>
        <v>13.97</v>
      </c>
      <c r="AE277" s="56">
        <f>IFERROR((VLOOKUP($A277,'Dados StatusInvest'!$A:$AZ,COLUMN(AE277)-$A$5,0)),0)</f>
        <v>55006614</v>
      </c>
      <c r="AF277" s="56">
        <f>IFERROR((VLOOKUP($A277,'Dados StatusInvest'!$A:$AZ,COLUMN(AF277)-$A$5,0)),0)</f>
        <v>9.86</v>
      </c>
      <c r="AG277" s="56">
        <f>IFERROR((VLOOKUP($A277,'Dados StatusInvest'!$A:$AZ,COLUMN(AG277)-$A$5,0)),0)</f>
        <v>1.1</v>
      </c>
      <c r="AH277" s="56">
        <f>IFERROR((VLOOKUP($A277,'Dados StatusInvest'!$A:$AZ,COLUMN(AH277)-$A$5,0)),0)</f>
        <v>-7.66</v>
      </c>
      <c r="AI277" s="57">
        <f>IFERROR((VLOOKUP($A277,'Dados StatusInvest'!$A:$AZ,COLUMN(AI277)-$A$5,0)),0)</f>
        <v>9822078917</v>
      </c>
      <c r="AJ277" s="59" t="str">
        <f>IFERROR((VLOOKUP($A277,'Dados StatusInvest'!$A:$AZ,COLUMN(AJ277)-$A$5,0)),0)</f>
        <v/>
      </c>
      <c r="AK277" s="60">
        <f>IFERROR(__xludf.DUMMYFUNCTION("IFERROR(GOOGLEFINANCE($A277,""high""),"""")"),17.89)</f>
        <v>17.89</v>
      </c>
      <c r="AL277" s="60">
        <f>IFERROR(__xludf.DUMMYFUNCTION("IFERROR(GOOGLEFINANCE($A277,""low""),"""")"),17.69)</f>
        <v>17.69</v>
      </c>
      <c r="AM277" s="61">
        <f t="shared" si="2"/>
        <v>0.0113058225</v>
      </c>
      <c r="AN277" s="62">
        <f>IFERROR(__xludf.DUMMYFUNCTION("IFERROR((GOOGLEFINANCE($A277,""volume"")),0)"),90700.0)</f>
        <v>90700</v>
      </c>
      <c r="AO277" s="60">
        <f>IFERROR(__xludf.DUMMYFUNCTION("IFERROR((GOOGLEFINANCE($A277,""closeyest"")),"""")"),17.95)</f>
        <v>17.95</v>
      </c>
      <c r="AP277" s="60">
        <f>IFERROR(__xludf.DUMMYFUNCTION("IFERROR((GOOGLEFINANCE($A277,""shares"")),"""")"),5.47191026E8)</f>
        <v>547191026</v>
      </c>
      <c r="AQ277" s="18"/>
    </row>
    <row r="278">
      <c r="A278" s="45" t="str">
        <f>'Dados StatusInvest'!A273:A892</f>
        <v>FNCN3</v>
      </c>
      <c r="B278" s="46" t="str">
        <f>IFERROR(__xludf.DUMMYFUNCTION("IFERROR((GOOGLEFINANCE(A278,""name"")),"""")"),"")</f>
        <v/>
      </c>
      <c r="C278" s="46" t="str">
        <f>IFERROR((VLOOKUP(LEFT($A278,4),Setor!$A:$E,3,0)),"")</f>
        <v>Financeiro</v>
      </c>
      <c r="D278" s="46" t="str">
        <f>IFERROR((VLOOKUP(LEFT($A278,4),Setor!$A:$E,4,0)),"")</f>
        <v>Intermediários Financeiros</v>
      </c>
      <c r="E278" s="46" t="str">
        <f>IFERROR((VLOOKUP(LEFT($A278,4),Setor!$A:$E,5,0)),"")</f>
        <v>Soc. Crédito e Financiamento</v>
      </c>
      <c r="F278" s="47" t="str">
        <f>IFERROR(__xludf.DUMMYFUNCTION("IFERROR((GOOGLEFINANCE(A278)),"""")"),"")</f>
        <v/>
      </c>
      <c r="G278" s="48" t="str">
        <f>IFERROR(__xludf.DUMMYFUNCTION("IFERROR((sparkline(GOOGLEFINANCE($A278,""price"",TODAY()-30,TODAY(),""DAILY""),{""charttype"",""line"";""linewidth"",1;""color"",""#5f88cc""})),"""")"),"")</f>
        <v/>
      </c>
      <c r="H278" s="49" t="str">
        <f>IFERROR(__xludf.DUMMYFUNCTION("IFERROR((((GOOGLEFINANCE(A278))-(INDEX(GoogleFinance(A278,""PRICE"",$AQ$1),2,2)))/(INDEX(GoogleFinance(A278,""PRICE"",$AQ$1),2,2))),"""")"),"")</f>
        <v/>
      </c>
      <c r="I278" s="47" t="str">
        <f>IFERROR(__xludf.DUMMYFUNCTION("IFERROR((GOOGLEFINANCE($A278,""high52"")),"""")"),"")</f>
        <v/>
      </c>
      <c r="J278" s="48" t="str">
        <f>IFERROR(__xludf.DUMMYFUNCTION("IFERROR((sparkline(GOOGLEFINANCE($A278,""price"",TODAY()-365,TODAY(),""DAILY""),{""charttype"",""line"";""linewidth"",1;""color"",""#5f88cc""})),"""")"),"")</f>
        <v/>
      </c>
      <c r="K278" s="50" t="str">
        <f>IFERROR(__xludf.DUMMYFUNCTION("IFERROR((((GOOGLEFINANCE(A278))-(INDEX(GoogleFinance(A278,""PRICE"",$AP$1),2,2)))/(INDEX(GoogleFinance(A278,""PRICE"",$AP$1),2,2))),"""")"),"")</f>
        <v/>
      </c>
      <c r="L278" s="51">
        <f t="shared" si="1"/>
        <v>0</v>
      </c>
      <c r="M278" s="52">
        <f>IFERROR((VLOOKUP($A278,'Dados StatusInvest'!$A:$AZ,COLUMN(M278)-$A$5,0)*VLOOKUP($A278,'Dados StatusInvest'!$A:$AZ,2,0)/$F278/100),0)</f>
        <v>0</v>
      </c>
      <c r="N278" s="53">
        <f>IFERROR((VLOOKUP($A278,'Dados StatusInvest'!$A:$AZ,COLUMN(N278)-$A$5,0)/VLOOKUP($A278,'Dados StatusInvest'!$A:$AZ,2,0)*$F278),"")</f>
        <v>0</v>
      </c>
      <c r="O278" s="53">
        <f>IFERROR((VLOOKUP($A278,'Dados StatusInvest'!$A:$AZ,COLUMN(O278)-$A$5,0)/VLOOKUP($A278,'Dados StatusInvest'!$A:$AZ,2,0)*$F278),0)</f>
        <v>0</v>
      </c>
      <c r="P278" s="54">
        <f>IFERROR((VLOOKUP($A278,'Dados StatusInvest'!$A:$AZ,COLUMN(P278)-$A$5,0)/VLOOKUP($A278,'Dados StatusInvest'!$A:$AZ,2,0)*$F278),0)</f>
        <v>0</v>
      </c>
      <c r="Q278" s="55">
        <f>IFERROR((VLOOKUP($A278,'Dados StatusInvest'!$A:$AZ,COLUMN(Q278)-$A$5,0)/100),0)</f>
        <v>0</v>
      </c>
      <c r="R278" s="56">
        <f>VLOOKUP($A278,'Dados StatusInvest'!$A:$AZ,COLUMN(R278)-$A$5,0)</f>
        <v>0</v>
      </c>
      <c r="S278" s="56">
        <f>IFERROR((VLOOKUP($A278,'Dados StatusInvest'!$A:$AZ,COLUMN(S278)-$A$5,0)),0)</f>
        <v>0.02</v>
      </c>
      <c r="T278" s="53">
        <f>IFERROR((VLOOKUP($A278,'Dados StatusInvest'!$A:$AZ,COLUMN(T278)-$A$5,0)/VLOOKUP($A278,'Dados StatusInvest'!$A:$AZ,2,0)*$F278),0)</f>
        <v>0</v>
      </c>
      <c r="U278" s="53">
        <f>IFERROR((VLOOKUP($A278,'Dados StatusInvest'!$A:$AZ,COLUMN(U278)-$A$5,0)-VLOOKUP($A278,'Dados StatusInvest'!$A:$AZ,COLUMN(U278)-$A$5-1,0)+T278),0)</f>
        <v>-0.03</v>
      </c>
      <c r="V278" s="56">
        <f>IFERROR((VLOOKUP($A278,'Dados StatusInvest'!$A:$AZ,COLUMN(V278)-$A$5,0)),0)</f>
        <v>1.56</v>
      </c>
      <c r="W278" s="56">
        <f>IFERROR((VLOOKUP($A278,'Dados StatusInvest'!$A:$AZ,COLUMN(W278)-$A$5,0)),0)</f>
        <v>-65.31</v>
      </c>
      <c r="X278" s="53">
        <f>IFERROR((VLOOKUP($A278,'Dados StatusInvest'!$A:$AZ,COLUMN(X278)-$A$5,0)/VLOOKUP($A278,'Dados StatusInvest'!$A:$AZ,2,0)*$F278),0)</f>
        <v>0</v>
      </c>
      <c r="Y278" s="54">
        <f>IFERROR((VLOOKUP($A278,'Dados StatusInvest'!$A:$AZ,COLUMN(Y278)-$A$5,0)/VLOOKUP($A278,'Dados StatusInvest'!$A:$AZ,2,0)*$F278),0)</f>
        <v>0</v>
      </c>
      <c r="Z278" s="56">
        <f>IFERROR((VLOOKUP($A278,'Dados StatusInvest'!$A:$AZ,COLUMN(Z278)-$A$5,0)),0)</f>
        <v>0.16</v>
      </c>
      <c r="AA278" s="57">
        <f>IFERROR((VLOOKUP($A278,'Dados StatusInvest'!$A:$AZ,COLUMN(AA278)-$A$5,0)),0)</f>
        <v>0.84</v>
      </c>
      <c r="AB278" s="57">
        <f>IFERROR((VLOOKUP($A278,'Dados StatusInvest'!$A:$AZ,COLUMN(AB278)-$A$5,0)),0)</f>
        <v>0.18</v>
      </c>
      <c r="AC278" s="58">
        <f>IFERROR((VLOOKUP($A278,'Dados StatusInvest'!$A:$AZ,COLUMN(AC278)-$A$5,0)),0)</f>
        <v>187.45</v>
      </c>
      <c r="AD278" s="57">
        <f>IFERROR((VLOOKUP($A278,'Dados StatusInvest'!$A:$AZ,COLUMN(AD278)-$A$5,0)),0)</f>
        <v>0</v>
      </c>
      <c r="AE278" s="56">
        <f>IFERROR((VLOOKUP($A278,'Dados StatusInvest'!$A:$AZ,COLUMN(AE278)-$A$5,0)),0)</f>
        <v>0</v>
      </c>
      <c r="AF278" s="56">
        <f>IFERROR((VLOOKUP($A278,'Dados StatusInvest'!$A:$AZ,COLUMN(AF278)-$A$5,0)),0)</f>
        <v>555.08</v>
      </c>
      <c r="AG278" s="56">
        <f>IFERROR((VLOOKUP($A278,'Dados StatusInvest'!$A:$AZ,COLUMN(AG278)-$A$5,0)),0)</f>
        <v>-362.52</v>
      </c>
      <c r="AH278" s="56">
        <f>IFERROR((VLOOKUP($A278,'Dados StatusInvest'!$A:$AZ,COLUMN(AH278)-$A$5,0)),0)</f>
        <v>0</v>
      </c>
      <c r="AI278" s="57">
        <f>IFERROR((VLOOKUP($A278,'Dados StatusInvest'!$A:$AZ,COLUMN(AI278)-$A$5,0)),0)</f>
        <v>13021336.5</v>
      </c>
      <c r="AJ278" s="59" t="str">
        <f>IFERROR((VLOOKUP($A278,'Dados StatusInvest'!$A:$AZ,COLUMN(AJ278)-$A$5,0)),0)</f>
        <v/>
      </c>
      <c r="AK278" s="60" t="str">
        <f>IFERROR(__xludf.DUMMYFUNCTION("IFERROR(GOOGLEFINANCE($A278,""high""),"""")"),"")</f>
        <v/>
      </c>
      <c r="AL278" s="60" t="str">
        <f>IFERROR(__xludf.DUMMYFUNCTION("IFERROR(GOOGLEFINANCE($A278,""low""),"""")"),"")</f>
        <v/>
      </c>
      <c r="AM278" s="61">
        <f t="shared" si="2"/>
        <v>0</v>
      </c>
      <c r="AN278" s="62">
        <f>IFERROR(__xludf.DUMMYFUNCTION("IFERROR((GOOGLEFINANCE($A278,""volume"")),0)"),0.0)</f>
        <v>0</v>
      </c>
      <c r="AO278" s="60" t="str">
        <f>IFERROR(__xludf.DUMMYFUNCTION("IFERROR((GOOGLEFINANCE($A278,""closeyest"")),"""")"),"")</f>
        <v/>
      </c>
      <c r="AP278" s="60" t="str">
        <f>IFERROR(__xludf.DUMMYFUNCTION("IFERROR((GOOGLEFINANCE($A278,""shares"")),"""")"),"")</f>
        <v/>
      </c>
      <c r="AQ278" s="18"/>
    </row>
    <row r="279">
      <c r="A279" s="45" t="str">
        <f>'Dados StatusInvest'!A274:A893</f>
        <v>FRAS3</v>
      </c>
      <c r="B279" s="46" t="str">
        <f>IFERROR(__xludf.DUMMYFUNCTION("IFERROR((GOOGLEFINANCE(A279,""name"")),"""")"),"Frasle Mobility SA")</f>
        <v>Frasle Mobility SA</v>
      </c>
      <c r="C279" s="46" t="str">
        <f>IFERROR((VLOOKUP(LEFT($A279,4),Setor!$A:$E,3,0)),"")</f>
        <v>Bens Industriais</v>
      </c>
      <c r="D279" s="46" t="str">
        <f>IFERROR((VLOOKUP(LEFT($A279,4),Setor!$A:$E,4,0)),"")</f>
        <v>Material de Transporte</v>
      </c>
      <c r="E279" s="46" t="str">
        <f>IFERROR((VLOOKUP(LEFT($A279,4),Setor!$A:$E,5,0)),"")</f>
        <v>Material Rodoviário</v>
      </c>
      <c r="F279" s="47">
        <f>IFERROR(__xludf.DUMMYFUNCTION("IFERROR((GOOGLEFINANCE(A279)),"""")"),23.71)</f>
        <v>23.71</v>
      </c>
      <c r="G279" s="48" t="str">
        <f>IFERROR(__xludf.DUMMYFUNCTION("IFERROR((sparkline(GOOGLEFINANCE($A279,""price"",TODAY()-30,TODAY(),""DAILY""),{""charttype"",""line"";""linewidth"",1;""color"",""#5f88cc""})),"""")"),"")</f>
        <v/>
      </c>
      <c r="H279" s="49">
        <f>IFERROR(__xludf.DUMMYFUNCTION("IFERROR((((GOOGLEFINANCE(A279))-(INDEX(GoogleFinance(A279,""PRICE"",$AQ$1),2,2)))/(INDEX(GoogleFinance(A279,""PRICE"",$AQ$1),2,2))),"""")"),-0.027082478457119415)</f>
        <v>-0.02708247846</v>
      </c>
      <c r="I279" s="47">
        <f>IFERROR(__xludf.DUMMYFUNCTION("IFERROR((GOOGLEFINANCE($A279,""high52"")),"""")"),29.23)</f>
        <v>29.23</v>
      </c>
      <c r="J279" s="48" t="str">
        <f>IFERROR(__xludf.DUMMYFUNCTION("IFERROR((sparkline(GOOGLEFINANCE($A279,""price"",TODAY()-365,TODAY(),""DAILY""),{""charttype"",""line"";""linewidth"",1;""color"",""#5f88cc""})),"""")"),"")</f>
        <v/>
      </c>
      <c r="K279" s="50">
        <f>IFERROR(__xludf.DUMMYFUNCTION("IFERROR((((GOOGLEFINANCE(A279))-(INDEX(GoogleFinance(A279,""PRICE"",$AP$1),2,2)))/(INDEX(GoogleFinance(A279,""PRICE"",$AP$1),2,2))),"""")"),0.0025369978858351913)</f>
        <v>0.002536997886</v>
      </c>
      <c r="L279" s="51">
        <f t="shared" si="1"/>
        <v>-0.1888470749</v>
      </c>
      <c r="M279" s="52">
        <f>IFERROR((VLOOKUP($A279,'Dados StatusInvest'!$A:$AZ,COLUMN(M279)-$A$5,0)*VLOOKUP($A279,'Dados StatusInvest'!$A:$AZ,2,0)/$F279/100),0)</f>
        <v>0.1497943906</v>
      </c>
      <c r="N279" s="53">
        <f>IFERROR((VLOOKUP($A279,'Dados StatusInvest'!$A:$AZ,COLUMN(N279)-$A$5,0)/VLOOKUP($A279,'Dados StatusInvest'!$A:$AZ,2,0)*$F279),"")</f>
        <v>6.54300202</v>
      </c>
      <c r="O279" s="53">
        <f>IFERROR((VLOOKUP($A279,'Dados StatusInvest'!$A:$AZ,COLUMN(O279)-$A$5,0)/VLOOKUP($A279,'Dados StatusInvest'!$A:$AZ,2,0)*$F279),0)</f>
        <v>8.880472727</v>
      </c>
      <c r="P279" s="54">
        <f>IFERROR((VLOOKUP($A279,'Dados StatusInvest'!$A:$AZ,COLUMN(P279)-$A$5,0)/VLOOKUP($A279,'Dados StatusInvest'!$A:$AZ,2,0)*$F279),0)</f>
        <v>10.98802828</v>
      </c>
      <c r="Q279" s="55">
        <f>IFERROR((VLOOKUP($A279,'Dados StatusInvest'!$A:$AZ,COLUMN(Q279)-$A$5,0)/100),0)</f>
        <v>0.022</v>
      </c>
      <c r="R279" s="56">
        <f>VLOOKUP($A279,'Dados StatusInvest'!$A:$AZ,COLUMN(R279)-$A$5,0)</f>
        <v>0.68</v>
      </c>
      <c r="S279" s="56">
        <f>IFERROR((VLOOKUP($A279,'Dados StatusInvest'!$A:$AZ,COLUMN(S279)-$A$5,0)),0)</f>
        <v>1.33</v>
      </c>
      <c r="T279" s="53">
        <f>IFERROR((VLOOKUP($A279,'Dados StatusInvest'!$A:$AZ,COLUMN(T279)-$A$5,0)/VLOOKUP($A279,'Dados StatusInvest'!$A:$AZ,2,0)*$F279),0)</f>
        <v>3.525365657</v>
      </c>
      <c r="U279" s="53">
        <f>IFERROR((VLOOKUP($A279,'Dados StatusInvest'!$A:$AZ,COLUMN(U279)-$A$5,0)-VLOOKUP($A279,'Dados StatusInvest'!$A:$AZ,COLUMN(U279)-$A$5-1,0)+T279),0)</f>
        <v>-2.124634343</v>
      </c>
      <c r="V279" s="56">
        <f>IFERROR((VLOOKUP($A279,'Dados StatusInvest'!$A:$AZ,COLUMN(V279)-$A$5,0)),0)</f>
        <v>2.27</v>
      </c>
      <c r="W279" s="56">
        <f>IFERROR((VLOOKUP($A279,'Dados StatusInvest'!$A:$AZ,COLUMN(W279)-$A$5,0)),0)</f>
        <v>14.78</v>
      </c>
      <c r="X279" s="53">
        <f>IFERROR((VLOOKUP($A279,'Dados StatusInvest'!$A:$AZ,COLUMN(X279)-$A$5,0)/VLOOKUP($A279,'Dados StatusInvest'!$A:$AZ,2,0)*$F279),0)</f>
        <v>4.952755556</v>
      </c>
      <c r="Y279" s="54">
        <f>IFERROR((VLOOKUP($A279,'Dados StatusInvest'!$A:$AZ,COLUMN(Y279)-$A$5,0)/VLOOKUP($A279,'Dados StatusInvest'!$A:$AZ,2,0)*$F279),0)</f>
        <v>13.54583434</v>
      </c>
      <c r="Z279" s="56">
        <f>IFERROR((VLOOKUP($A279,'Dados StatusInvest'!$A:$AZ,COLUMN(Z279)-$A$5,0)),0)</f>
        <v>0.35</v>
      </c>
      <c r="AA279" s="57">
        <f>IFERROR((VLOOKUP($A279,'Dados StatusInvest'!$A:$AZ,COLUMN(AA279)-$A$5,0)),0)</f>
        <v>0.65</v>
      </c>
      <c r="AB279" s="57">
        <f>IFERROR((VLOOKUP($A279,'Dados StatusInvest'!$A:$AZ,COLUMN(AB279)-$A$5,0)),0)</f>
        <v>0.76</v>
      </c>
      <c r="AC279" s="58">
        <f>IFERROR((VLOOKUP($A279,'Dados StatusInvest'!$A:$AZ,COLUMN(AC279)-$A$5,0)),0)</f>
        <v>23.77</v>
      </c>
      <c r="AD279" s="57">
        <f>IFERROR((VLOOKUP($A279,'Dados StatusInvest'!$A:$AZ,COLUMN(AD279)-$A$5,0)),0)</f>
        <v>57.37</v>
      </c>
      <c r="AE279" s="56">
        <f>IFERROR((VLOOKUP($A279,'Dados StatusInvest'!$A:$AZ,COLUMN(AE279)-$A$5,0)),0)</f>
        <v>6865960</v>
      </c>
      <c r="AF279" s="56">
        <f>IFERROR((VLOOKUP($A279,'Dados StatusInvest'!$A:$AZ,COLUMN(AF279)-$A$5,0)),0)</f>
        <v>8.6</v>
      </c>
      <c r="AG279" s="56">
        <f>IFERROR((VLOOKUP($A279,'Dados StatusInvest'!$A:$AZ,COLUMN(AG279)-$A$5,0)),0)</f>
        <v>1.27</v>
      </c>
      <c r="AH279" s="56">
        <f>IFERROR((VLOOKUP($A279,'Dados StatusInvest'!$A:$AZ,COLUMN(AH279)-$A$5,0)),0)</f>
        <v>1.82</v>
      </c>
      <c r="AI279" s="57">
        <f>IFERROR((VLOOKUP($A279,'Dados StatusInvest'!$A:$AZ,COLUMN(AI279)-$A$5,0)),0)</f>
        <v>6938293502</v>
      </c>
      <c r="AJ279" s="59" t="str">
        <f>IFERROR((VLOOKUP($A279,'Dados StatusInvest'!$A:$AZ,COLUMN(AJ279)-$A$5,0)),0)</f>
        <v/>
      </c>
      <c r="AK279" s="60">
        <f>IFERROR(__xludf.DUMMYFUNCTION("IFERROR(GOOGLEFINANCE($A279,""high""),"""")"),24.64)</f>
        <v>24.64</v>
      </c>
      <c r="AL279" s="60">
        <f>IFERROR(__xludf.DUMMYFUNCTION("IFERROR(GOOGLEFINANCE($A279,""low""),"""")"),24.05)</f>
        <v>24.05</v>
      </c>
      <c r="AM279" s="61">
        <f t="shared" si="2"/>
        <v>0.02453222453</v>
      </c>
      <c r="AN279" s="62">
        <f>IFERROR(__xludf.DUMMYFUNCTION("IFERROR((GOOGLEFINANCE($A279,""volume"")),0)"),28000.0)</f>
        <v>28000</v>
      </c>
      <c r="AO279" s="60">
        <f>IFERROR(__xludf.DUMMYFUNCTION("IFERROR((GOOGLEFINANCE($A279,""closeyest"")),"""")"),24.75)</f>
        <v>24.75</v>
      </c>
      <c r="AP279" s="60">
        <f>IFERROR(__xludf.DUMMYFUNCTION("IFERROR((GOOGLEFINANCE($A279,""shares"")),"""")"),2.80335091E8)</f>
        <v>280335091</v>
      </c>
      <c r="AQ279" s="18"/>
    </row>
    <row r="280">
      <c r="A280" s="45" t="str">
        <f>'Dados StatusInvest'!A275:A894</f>
        <v>FRIO3</v>
      </c>
      <c r="B280" s="46" t="str">
        <f>IFERROR(__xludf.DUMMYFUNCTION("IFERROR((GOOGLEFINANCE(A280,""name"")),"""")"),"Metalfrio Solutions SA")</f>
        <v>Metalfrio Solutions SA</v>
      </c>
      <c r="C280" s="46" t="str">
        <f>IFERROR((VLOOKUP(LEFT($A280,4),Setor!$A:$E,3,0)),"")</f>
        <v>Bens Industriais</v>
      </c>
      <c r="D280" s="46" t="str">
        <f>IFERROR((VLOOKUP(LEFT($A280,4),Setor!$A:$E,4,0)),"")</f>
        <v>Máquinas e Equipamentos</v>
      </c>
      <c r="E280" s="46" t="str">
        <f>IFERROR((VLOOKUP(LEFT($A280,4),Setor!$A:$E,5,0)),"")</f>
        <v>Máq. e Equip. Industriais</v>
      </c>
      <c r="F280" s="47">
        <f>IFERROR(__xludf.DUMMYFUNCTION("IFERROR((GOOGLEFINANCE(A280)),"""")"),170.18)</f>
        <v>170.18</v>
      </c>
      <c r="G280" s="48" t="str">
        <f>IFERROR(__xludf.DUMMYFUNCTION("IFERROR((sparkline(GOOGLEFINANCE($A280,""price"",TODAY()-30,TODAY(),""DAILY""),{""charttype"",""line"";""linewidth"",1;""color"",""#5f88cc""})),"""")"),"")</f>
        <v/>
      </c>
      <c r="H280" s="49">
        <f>IFERROR(__xludf.DUMMYFUNCTION("IFERROR((((GOOGLEFINANCE(A280))-(INDEX(GoogleFinance(A280,""PRICE"",$AQ$1),2,2)))/(INDEX(GoogleFinance(A280,""PRICE"",$AQ$1),2,2))),"""")"),-0.025091659028414273)</f>
        <v>-0.02509165903</v>
      </c>
      <c r="I280" s="47">
        <f>IFERROR(__xludf.DUMMYFUNCTION("IFERROR((GOOGLEFINANCE($A280,""high52"")),"""")"),316.0)</f>
        <v>316</v>
      </c>
      <c r="J280" s="48" t="str">
        <f>IFERROR(__xludf.DUMMYFUNCTION("IFERROR((sparkline(GOOGLEFINANCE($A280,""price"",TODAY()-365,TODAY(),""DAILY""),{""charttype"",""line"";""linewidth"",1;""color"",""#5f88cc""})),"""")"),"")</f>
        <v/>
      </c>
      <c r="K280" s="50">
        <f>IFERROR(__xludf.DUMMYFUNCTION("IFERROR((((GOOGLEFINANCE(A280))-(INDEX(GoogleFinance(A280,""PRICE"",$AP$1),2,2)))/(INDEX(GoogleFinance(A280,""PRICE"",$AP$1),2,2))),"""")"),-0.3811636363636363)</f>
        <v>-0.3811636364</v>
      </c>
      <c r="L280" s="51">
        <f t="shared" si="1"/>
        <v>-0.4614556962</v>
      </c>
      <c r="M280" s="52">
        <f>IFERROR((VLOOKUP($A280,'Dados StatusInvest'!$A:$AZ,COLUMN(M280)-$A$5,0)*VLOOKUP($A280,'Dados StatusInvest'!$A:$AZ,2,0)/$F280/100),0)</f>
        <v>0.0779</v>
      </c>
      <c r="N280" s="53">
        <f>IFERROR((VLOOKUP($A280,'Dados StatusInvest'!$A:$AZ,COLUMN(N280)-$A$5,0)/VLOOKUP($A280,'Dados StatusInvest'!$A:$AZ,2,0)*$F280),"")</f>
        <v>0.98</v>
      </c>
      <c r="O280" s="53">
        <f>IFERROR((VLOOKUP($A280,'Dados StatusInvest'!$A:$AZ,COLUMN(O280)-$A$5,0)/VLOOKUP($A280,'Dados StatusInvest'!$A:$AZ,2,0)*$F280),0)</f>
        <v>5.67</v>
      </c>
      <c r="P280" s="54">
        <f>IFERROR((VLOOKUP($A280,'Dados StatusInvest'!$A:$AZ,COLUMN(P280)-$A$5,0)/VLOOKUP($A280,'Dados StatusInvest'!$A:$AZ,2,0)*$F280),0)</f>
        <v>9.37</v>
      </c>
      <c r="Q280" s="55">
        <f>IFERROR((VLOOKUP($A280,'Dados StatusInvest'!$A:$AZ,COLUMN(Q280)-$A$5,0)/100),0)</f>
        <v>0.037</v>
      </c>
      <c r="R280" s="56">
        <f>VLOOKUP($A280,'Dados StatusInvest'!$A:$AZ,COLUMN(R280)-$A$5,0)</f>
        <v>1.95</v>
      </c>
      <c r="S280" s="56">
        <f>IFERROR((VLOOKUP($A280,'Dados StatusInvest'!$A:$AZ,COLUMN(S280)-$A$5,0)),0)</f>
        <v>0.44</v>
      </c>
      <c r="T280" s="53">
        <f>IFERROR((VLOOKUP($A280,'Dados StatusInvest'!$A:$AZ,COLUMN(T280)-$A$5,0)/VLOOKUP($A280,'Dados StatusInvest'!$A:$AZ,2,0)*$F280),0)</f>
        <v>4.1</v>
      </c>
      <c r="U280" s="53">
        <f>IFERROR((VLOOKUP($A280,'Dados StatusInvest'!$A:$AZ,COLUMN(U280)-$A$5,0)-VLOOKUP($A280,'Dados StatusInvest'!$A:$AZ,COLUMN(U280)-$A$5-1,0)+T280),0)</f>
        <v>-1.76</v>
      </c>
      <c r="V280" s="56">
        <f>IFERROR((VLOOKUP($A280,'Dados StatusInvest'!$A:$AZ,COLUMN(V280)-$A$5,0)),0)</f>
        <v>1.26</v>
      </c>
      <c r="W280" s="56">
        <f>IFERROR((VLOOKUP($A280,'Dados StatusInvest'!$A:$AZ,COLUMN(W280)-$A$5,0)),0)</f>
        <v>6.63</v>
      </c>
      <c r="X280" s="53">
        <f>IFERROR((VLOOKUP($A280,'Dados StatusInvest'!$A:$AZ,COLUMN(X280)-$A$5,0)/VLOOKUP($A280,'Dados StatusInvest'!$A:$AZ,2,0)*$F280),0)</f>
        <v>1.27</v>
      </c>
      <c r="Y280" s="54">
        <f>IFERROR((VLOOKUP($A280,'Dados StatusInvest'!$A:$AZ,COLUMN(Y280)-$A$5,0)/VLOOKUP($A280,'Dados StatusInvest'!$A:$AZ,2,0)*$F280),0)</f>
        <v>13.09</v>
      </c>
      <c r="Z280" s="56">
        <f>IFERROR((VLOOKUP($A280,'Dados StatusInvest'!$A:$AZ,COLUMN(Z280)-$A$5,0)),0)</f>
        <v>0.19</v>
      </c>
      <c r="AA280" s="57">
        <f>IFERROR((VLOOKUP($A280,'Dados StatusInvest'!$A:$AZ,COLUMN(AA280)-$A$5,0)),0)</f>
        <v>0.77</v>
      </c>
      <c r="AB280" s="57">
        <f>IFERROR((VLOOKUP($A280,'Dados StatusInvest'!$A:$AZ,COLUMN(AB280)-$A$5,0)),0)</f>
        <v>1.29</v>
      </c>
      <c r="AC280" s="58">
        <f>IFERROR((VLOOKUP($A280,'Dados StatusInvest'!$A:$AZ,COLUMN(AC280)-$A$5,0)),0)</f>
        <v>8.13</v>
      </c>
      <c r="AD280" s="57">
        <f>IFERROR((VLOOKUP($A280,'Dados StatusInvest'!$A:$AZ,COLUMN(AD280)-$A$5,0)),0)</f>
        <v>2.08</v>
      </c>
      <c r="AE280" s="56">
        <f>IFERROR((VLOOKUP($A280,'Dados StatusInvest'!$A:$AZ,COLUMN(AE280)-$A$5,0)),0)</f>
        <v>9108.25</v>
      </c>
      <c r="AF280" s="56">
        <f>IFERROR((VLOOKUP($A280,'Dados StatusInvest'!$A:$AZ,COLUMN(AF280)-$A$5,0)),0)</f>
        <v>57.06</v>
      </c>
      <c r="AG280" s="56">
        <f>IFERROR((VLOOKUP($A280,'Dados StatusInvest'!$A:$AZ,COLUMN(AG280)-$A$5,0)),0)</f>
        <v>3.78</v>
      </c>
      <c r="AH280" s="56">
        <f>IFERROR((VLOOKUP($A280,'Dados StatusInvest'!$A:$AZ,COLUMN(AH280)-$A$5,0)),0)</f>
        <v>1.74</v>
      </c>
      <c r="AI280" s="57">
        <f>IFERROR((VLOOKUP($A280,'Dados StatusInvest'!$A:$AZ,COLUMN(AI280)-$A$5,0)),0)</f>
        <v>1086152918</v>
      </c>
      <c r="AJ280" s="59" t="str">
        <f>IFERROR((VLOOKUP($A280,'Dados StatusInvest'!$A:$AZ,COLUMN(AJ280)-$A$5,0)),0)</f>
        <v/>
      </c>
      <c r="AK280" s="60" t="str">
        <f>IFERROR(__xludf.DUMMYFUNCTION("IFERROR(GOOGLEFINANCE($A280,""high""),"""")"),"")</f>
        <v/>
      </c>
      <c r="AL280" s="60" t="str">
        <f>IFERROR(__xludf.DUMMYFUNCTION("IFERROR(GOOGLEFINANCE($A280,""low""),"""")"),"")</f>
        <v/>
      </c>
      <c r="AM280" s="61">
        <f t="shared" si="2"/>
        <v>0</v>
      </c>
      <c r="AN280" s="62">
        <f>IFERROR(__xludf.DUMMYFUNCTION("IFERROR((GOOGLEFINANCE($A280,""volume"")),0)"),0.0)</f>
        <v>0</v>
      </c>
      <c r="AO280" s="60">
        <f>IFERROR(__xludf.DUMMYFUNCTION("IFERROR((GOOGLEFINANCE($A280,""closeyest"")),"""")"),170.18)</f>
        <v>170.18</v>
      </c>
      <c r="AP280" s="60">
        <f>IFERROR(__xludf.DUMMYFUNCTION("IFERROR((GOOGLEFINANCE($A280,""shares"")),"""")"),6382377.0)</f>
        <v>6382377</v>
      </c>
      <c r="AQ280" s="18"/>
    </row>
    <row r="281">
      <c r="A281" s="45" t="str">
        <f>'Dados StatusInvest'!A276:A895</f>
        <v>FRTA3</v>
      </c>
      <c r="B281" s="46" t="str">
        <f>IFERROR(__xludf.DUMMYFUNCTION("IFERROR((GOOGLEFINANCE(A281,""name"")),"""")"),"")</f>
        <v/>
      </c>
      <c r="C281" s="46" t="str">
        <f>IFERROR((VLOOKUP(LEFT($A281,4),Setor!$A:$E,3,0)),"")</f>
        <v>Consumo não Cíclico</v>
      </c>
      <c r="D281" s="46" t="str">
        <f>IFERROR((VLOOKUP(LEFT($A281,4),Setor!$A:$E,4,0)),"")</f>
        <v>Agropecuária</v>
      </c>
      <c r="E281" s="46" t="str">
        <f>IFERROR((VLOOKUP(LEFT($A281,4),Setor!$A:$E,5,0)),"")</f>
        <v>Agricultura</v>
      </c>
      <c r="F281" s="47" t="str">
        <f>IFERROR(__xludf.DUMMYFUNCTION("IFERROR((GOOGLEFINANCE(A281)),"""")"),"")</f>
        <v/>
      </c>
      <c r="G281" s="48" t="str">
        <f>IFERROR(__xludf.DUMMYFUNCTION("IFERROR((sparkline(GOOGLEFINANCE($A281,""price"",TODAY()-30,TODAY(),""DAILY""),{""charttype"",""line"";""linewidth"",1;""color"",""#5f88cc""})),"""")"),"")</f>
        <v/>
      </c>
      <c r="H281" s="49" t="str">
        <f>IFERROR(__xludf.DUMMYFUNCTION("IFERROR((((GOOGLEFINANCE(A281))-(INDEX(GoogleFinance(A281,""PRICE"",$AQ$1),2,2)))/(INDEX(GoogleFinance(A281,""PRICE"",$AQ$1),2,2))),"""")"),"")</f>
        <v/>
      </c>
      <c r="I281" s="47" t="str">
        <f>IFERROR(__xludf.DUMMYFUNCTION("IFERROR((GOOGLEFINANCE($A281,""high52"")),"""")"),"")</f>
        <v/>
      </c>
      <c r="J281" s="48" t="str">
        <f>IFERROR(__xludf.DUMMYFUNCTION("IFERROR((sparkline(GOOGLEFINANCE($A281,""price"",TODAY()-365,TODAY(),""DAILY""),{""charttype"",""line"";""linewidth"",1;""color"",""#5f88cc""})),"""")"),"")</f>
        <v/>
      </c>
      <c r="K281" s="50" t="str">
        <f>IFERROR(__xludf.DUMMYFUNCTION("IFERROR((((GOOGLEFINANCE(A281))-(INDEX(GoogleFinance(A281,""PRICE"",$AP$1),2,2)))/(INDEX(GoogleFinance(A281,""PRICE"",$AP$1),2,2))),"""")"),"")</f>
        <v/>
      </c>
      <c r="L281" s="51">
        <f t="shared" si="1"/>
        <v>0</v>
      </c>
      <c r="M281" s="52">
        <f>IFERROR((VLOOKUP($A281,'Dados StatusInvest'!$A:$AZ,COLUMN(M281)-$A$5,0)*VLOOKUP($A281,'Dados StatusInvest'!$A:$AZ,2,0)/$F281/100),0)</f>
        <v>0</v>
      </c>
      <c r="N281" s="53">
        <f>IFERROR((VLOOKUP($A281,'Dados StatusInvest'!$A:$AZ,COLUMN(N281)-$A$5,0)/VLOOKUP($A281,'Dados StatusInvest'!$A:$AZ,2,0)*$F281),"")</f>
        <v>0</v>
      </c>
      <c r="O281" s="53">
        <f>IFERROR((VLOOKUP($A281,'Dados StatusInvest'!$A:$AZ,COLUMN(O281)-$A$5,0)/VLOOKUP($A281,'Dados StatusInvest'!$A:$AZ,2,0)*$F281),0)</f>
        <v>0</v>
      </c>
      <c r="P281" s="54">
        <f>IFERROR((VLOOKUP($A281,'Dados StatusInvest'!$A:$AZ,COLUMN(P281)-$A$5,0)/VLOOKUP($A281,'Dados StatusInvest'!$A:$AZ,2,0)*$F281),0)</f>
        <v>0</v>
      </c>
      <c r="Q281" s="55">
        <f>IFERROR((VLOOKUP($A281,'Dados StatusInvest'!$A:$AZ,COLUMN(Q281)-$A$5,0)/100),0)</f>
        <v>-0.5468</v>
      </c>
      <c r="R281" s="56">
        <f>VLOOKUP($A281,'Dados StatusInvest'!$A:$AZ,COLUMN(R281)-$A$5,0)</f>
        <v>0</v>
      </c>
      <c r="S281" s="56">
        <f>IFERROR((VLOOKUP($A281,'Dados StatusInvest'!$A:$AZ,COLUMN(S281)-$A$5,0)),0)</f>
        <v>0.36</v>
      </c>
      <c r="T281" s="53">
        <f>IFERROR((VLOOKUP($A281,'Dados StatusInvest'!$A:$AZ,COLUMN(T281)-$A$5,0)/VLOOKUP($A281,'Dados StatusInvest'!$A:$AZ,2,0)*$F281),0)</f>
        <v>0</v>
      </c>
      <c r="U281" s="53">
        <f>IFERROR((VLOOKUP($A281,'Dados StatusInvest'!$A:$AZ,COLUMN(U281)-$A$5,0)-VLOOKUP($A281,'Dados StatusInvest'!$A:$AZ,COLUMN(U281)-$A$5-1,0)+T281),0)</f>
        <v>-0.07</v>
      </c>
      <c r="V281" s="56">
        <f>IFERROR((VLOOKUP($A281,'Dados StatusInvest'!$A:$AZ,COLUMN(V281)-$A$5,0)),0)</f>
        <v>0.03</v>
      </c>
      <c r="W281" s="56">
        <f>IFERROR((VLOOKUP($A281,'Dados StatusInvest'!$A:$AZ,COLUMN(W281)-$A$5,0)),0)</f>
        <v>-7.17</v>
      </c>
      <c r="X281" s="53">
        <f>IFERROR((VLOOKUP($A281,'Dados StatusInvest'!$A:$AZ,COLUMN(X281)-$A$5,0)/VLOOKUP($A281,'Dados StatusInvest'!$A:$AZ,2,0)*$F281),0)</f>
        <v>0</v>
      </c>
      <c r="Y281" s="54">
        <f>IFERROR((VLOOKUP($A281,'Dados StatusInvest'!$A:$AZ,COLUMN(Y281)-$A$5,0)/VLOOKUP($A281,'Dados StatusInvest'!$A:$AZ,2,0)*$F281),0)</f>
        <v>0</v>
      </c>
      <c r="Z281" s="56">
        <f>IFERROR((VLOOKUP($A281,'Dados StatusInvest'!$A:$AZ,COLUMN(Z281)-$A$5,0)),0)</f>
        <v>-2.48</v>
      </c>
      <c r="AA281" s="57">
        <f>IFERROR((VLOOKUP($A281,'Dados StatusInvest'!$A:$AZ,COLUMN(AA281)-$A$5,0)),0)</f>
        <v>3.48</v>
      </c>
      <c r="AB281" s="57">
        <f>IFERROR((VLOOKUP($A281,'Dados StatusInvest'!$A:$AZ,COLUMN(AB281)-$A$5,0)),0)</f>
        <v>0.25</v>
      </c>
      <c r="AC281" s="58">
        <f>IFERROR((VLOOKUP($A281,'Dados StatusInvest'!$A:$AZ,COLUMN(AC281)-$A$5,0)),0)</f>
        <v>7.62</v>
      </c>
      <c r="AD281" s="57">
        <f>IFERROR((VLOOKUP($A281,'Dados StatusInvest'!$A:$AZ,COLUMN(AD281)-$A$5,0)),0)</f>
        <v>0</v>
      </c>
      <c r="AE281" s="56">
        <f>IFERROR((VLOOKUP($A281,'Dados StatusInvest'!$A:$AZ,COLUMN(AE281)-$A$5,0)),0)</f>
        <v>0</v>
      </c>
      <c r="AF281" s="56">
        <f>IFERROR((VLOOKUP($A281,'Dados StatusInvest'!$A:$AZ,COLUMN(AF281)-$A$5,0)),0)</f>
        <v>-36.95</v>
      </c>
      <c r="AG281" s="56">
        <f>IFERROR((VLOOKUP($A281,'Dados StatusInvest'!$A:$AZ,COLUMN(AG281)-$A$5,0)),0)</f>
        <v>-2.65</v>
      </c>
      <c r="AH281" s="56">
        <f>IFERROR((VLOOKUP($A281,'Dados StatusInvest'!$A:$AZ,COLUMN(AH281)-$A$5,0)),0)</f>
        <v>-0.11</v>
      </c>
      <c r="AI281" s="57">
        <f>IFERROR((VLOOKUP($A281,'Dados StatusInvest'!$A:$AZ,COLUMN(AI281)-$A$5,0)),0)</f>
        <v>2690223.86</v>
      </c>
      <c r="AJ281" s="59" t="str">
        <f>IFERROR((VLOOKUP($A281,'Dados StatusInvest'!$A:$AZ,COLUMN(AJ281)-$A$5,0)),0)</f>
        <v/>
      </c>
      <c r="AK281" s="60" t="str">
        <f>IFERROR(__xludf.DUMMYFUNCTION("IFERROR(GOOGLEFINANCE($A281,""high""),"""")"),"")</f>
        <v/>
      </c>
      <c r="AL281" s="60" t="str">
        <f>IFERROR(__xludf.DUMMYFUNCTION("IFERROR(GOOGLEFINANCE($A281,""low""),"""")"),"")</f>
        <v/>
      </c>
      <c r="AM281" s="61">
        <f t="shared" si="2"/>
        <v>0</v>
      </c>
      <c r="AN281" s="62">
        <f>IFERROR(__xludf.DUMMYFUNCTION("IFERROR((GOOGLEFINANCE($A281,""volume"")),0)"),0.0)</f>
        <v>0</v>
      </c>
      <c r="AO281" s="60" t="str">
        <f>IFERROR(__xludf.DUMMYFUNCTION("IFERROR((GOOGLEFINANCE($A281,""closeyest"")),"""")"),"")</f>
        <v/>
      </c>
      <c r="AP281" s="60" t="str">
        <f>IFERROR(__xludf.DUMMYFUNCTION("IFERROR((GOOGLEFINANCE($A281,""shares"")),"""")"),"")</f>
        <v/>
      </c>
      <c r="AQ281" s="18"/>
    </row>
    <row r="282">
      <c r="A282" s="45" t="str">
        <f>'Dados StatusInvest'!A277:A896</f>
        <v>FTRT3B</v>
      </c>
      <c r="B282" s="46" t="str">
        <f>IFERROR(__xludf.DUMMYFUNCTION("IFERROR((GOOGLEFINANCE(A282,""name"")),"""")"),"")</f>
        <v/>
      </c>
      <c r="C282" s="46" t="str">
        <f>IFERROR((VLOOKUP(LEFT($A282,4),Setor!$A:$E,3,0)),"")</f>
        <v/>
      </c>
      <c r="D282" s="46" t="str">
        <f>IFERROR((VLOOKUP(LEFT($A282,4),Setor!$A:$E,4,0)),"")</f>
        <v/>
      </c>
      <c r="E282" s="46" t="str">
        <f>IFERROR((VLOOKUP(LEFT($A282,4),Setor!$A:$E,5,0)),"")</f>
        <v/>
      </c>
      <c r="F282" s="47" t="str">
        <f>IFERROR(__xludf.DUMMYFUNCTION("IFERROR((GOOGLEFINANCE(A282)),"""")"),"")</f>
        <v/>
      </c>
      <c r="G282" s="48" t="str">
        <f>IFERROR(__xludf.DUMMYFUNCTION("IFERROR((sparkline(GOOGLEFINANCE($A282,""price"",TODAY()-30,TODAY(),""DAILY""),{""charttype"",""line"";""linewidth"",1;""color"",""#5f88cc""})),"""")"),"")</f>
        <v/>
      </c>
      <c r="H282" s="49" t="str">
        <f>IFERROR(__xludf.DUMMYFUNCTION("IFERROR((((GOOGLEFINANCE(A282))-(INDEX(GoogleFinance(A282,""PRICE"",$AQ$1),2,2)))/(INDEX(GoogleFinance(A282,""PRICE"",$AQ$1),2,2))),"""")"),"")</f>
        <v/>
      </c>
      <c r="I282" s="47" t="str">
        <f>IFERROR(__xludf.DUMMYFUNCTION("IFERROR((GOOGLEFINANCE($A282,""high52"")),"""")"),"")</f>
        <v/>
      </c>
      <c r="J282" s="48" t="str">
        <f>IFERROR(__xludf.DUMMYFUNCTION("IFERROR((sparkline(GOOGLEFINANCE($A282,""price"",TODAY()-365,TODAY(),""DAILY""),{""charttype"",""line"";""linewidth"",1;""color"",""#5f88cc""})),"""")"),"")</f>
        <v/>
      </c>
      <c r="K282" s="50" t="str">
        <f>IFERROR(__xludf.DUMMYFUNCTION("IFERROR((((GOOGLEFINANCE(A282))-(INDEX(GoogleFinance(A282,""PRICE"",$AP$1),2,2)))/(INDEX(GoogleFinance(A282,""PRICE"",$AP$1),2,2))),"""")"),"")</f>
        <v/>
      </c>
      <c r="L282" s="51">
        <f t="shared" si="1"/>
        <v>0</v>
      </c>
      <c r="M282" s="52">
        <f>IFERROR((VLOOKUP($A282,'Dados StatusInvest'!$A:$AZ,COLUMN(M282)-$A$5,0)*VLOOKUP($A282,'Dados StatusInvest'!$A:$AZ,2,0)/$F282/100),0)</f>
        <v>0</v>
      </c>
      <c r="N282" s="53" t="str">
        <f>IFERROR((VLOOKUP($A282,'Dados StatusInvest'!$A:$AZ,COLUMN(N282)-$A$5,0)/VLOOKUP($A282,'Dados StatusInvest'!$A:$AZ,2,0)*$F282),"")</f>
        <v/>
      </c>
      <c r="O282" s="53">
        <f>IFERROR((VLOOKUP($A282,'Dados StatusInvest'!$A:$AZ,COLUMN(O282)-$A$5,0)/VLOOKUP($A282,'Dados StatusInvest'!$A:$AZ,2,0)*$F282),0)</f>
        <v>0</v>
      </c>
      <c r="P282" s="54">
        <f>IFERROR((VLOOKUP($A282,'Dados StatusInvest'!$A:$AZ,COLUMN(P282)-$A$5,0)/VLOOKUP($A282,'Dados StatusInvest'!$A:$AZ,2,0)*$F282),0)</f>
        <v>0</v>
      </c>
      <c r="Q282" s="55">
        <f>IFERROR((VLOOKUP($A282,'Dados StatusInvest'!$A:$AZ,COLUMN(Q282)-$A$5,0)/100),0)</f>
        <v>0</v>
      </c>
      <c r="R282" s="56">
        <f>VLOOKUP($A282,'Dados StatusInvest'!$A:$AZ,COLUMN(R282)-$A$5,0)</f>
        <v>0</v>
      </c>
      <c r="S282" s="56">
        <f>IFERROR((VLOOKUP($A282,'Dados StatusInvest'!$A:$AZ,COLUMN(S282)-$A$5,0)),0)</f>
        <v>0</v>
      </c>
      <c r="T282" s="53">
        <f>IFERROR((VLOOKUP($A282,'Dados StatusInvest'!$A:$AZ,COLUMN(T282)-$A$5,0)/VLOOKUP($A282,'Dados StatusInvest'!$A:$AZ,2,0)*$F282),0)</f>
        <v>0</v>
      </c>
      <c r="U282" s="53">
        <f>IFERROR((VLOOKUP($A282,'Dados StatusInvest'!$A:$AZ,COLUMN(U282)-$A$5,0)-VLOOKUP($A282,'Dados StatusInvest'!$A:$AZ,COLUMN(U282)-$A$5-1,0)+T282),0)</f>
        <v>0</v>
      </c>
      <c r="V282" s="56">
        <f>IFERROR((VLOOKUP($A282,'Dados StatusInvest'!$A:$AZ,COLUMN(V282)-$A$5,0)),0)</f>
        <v>0</v>
      </c>
      <c r="W282" s="56">
        <f>IFERROR((VLOOKUP($A282,'Dados StatusInvest'!$A:$AZ,COLUMN(W282)-$A$5,0)),0)</f>
        <v>-0.95</v>
      </c>
      <c r="X282" s="53">
        <f>IFERROR((VLOOKUP($A282,'Dados StatusInvest'!$A:$AZ,COLUMN(X282)-$A$5,0)/VLOOKUP($A282,'Dados StatusInvest'!$A:$AZ,2,0)*$F282),0)</f>
        <v>0</v>
      </c>
      <c r="Y282" s="54">
        <f>IFERROR((VLOOKUP($A282,'Dados StatusInvest'!$A:$AZ,COLUMN(Y282)-$A$5,0)/VLOOKUP($A282,'Dados StatusInvest'!$A:$AZ,2,0)*$F282),0)</f>
        <v>0</v>
      </c>
      <c r="Z282" s="56">
        <f>IFERROR((VLOOKUP($A282,'Dados StatusInvest'!$A:$AZ,COLUMN(Z282)-$A$5,0)),0)</f>
        <v>0.95</v>
      </c>
      <c r="AA282" s="57">
        <f>IFERROR((VLOOKUP($A282,'Dados StatusInvest'!$A:$AZ,COLUMN(AA282)-$A$5,0)),0)</f>
        <v>0.05</v>
      </c>
      <c r="AB282" s="57">
        <f>IFERROR((VLOOKUP($A282,'Dados StatusInvest'!$A:$AZ,COLUMN(AB282)-$A$5,0)),0)</f>
        <v>0</v>
      </c>
      <c r="AC282" s="58">
        <f>IFERROR((VLOOKUP($A282,'Dados StatusInvest'!$A:$AZ,COLUMN(AC282)-$A$5,0)),0)</f>
        <v>0</v>
      </c>
      <c r="AD282" s="57">
        <f>IFERROR((VLOOKUP($A282,'Dados StatusInvest'!$A:$AZ,COLUMN(AD282)-$A$5,0)),0)</f>
        <v>0</v>
      </c>
      <c r="AE282" s="56">
        <f>IFERROR((VLOOKUP($A282,'Dados StatusInvest'!$A:$AZ,COLUMN(AE282)-$A$5,0)),0)</f>
        <v>0</v>
      </c>
      <c r="AF282" s="56">
        <f>IFERROR((VLOOKUP($A282,'Dados StatusInvest'!$A:$AZ,COLUMN(AF282)-$A$5,0)),0)</f>
        <v>0.01</v>
      </c>
      <c r="AG282" s="56">
        <f>IFERROR((VLOOKUP($A282,'Dados StatusInvest'!$A:$AZ,COLUMN(AG282)-$A$5,0)),0)</f>
        <v>0</v>
      </c>
      <c r="AH282" s="56">
        <f>IFERROR((VLOOKUP($A282,'Dados StatusInvest'!$A:$AZ,COLUMN(AH282)-$A$5,0)),0)</f>
        <v>0</v>
      </c>
      <c r="AI282" s="57">
        <f>IFERROR((VLOOKUP($A282,'Dados StatusInvest'!$A:$AZ,COLUMN(AI282)-$A$5,0)),0)</f>
        <v>0</v>
      </c>
      <c r="AJ282" s="59" t="str">
        <f>IFERROR((VLOOKUP($A282,'Dados StatusInvest'!$A:$AZ,COLUMN(AJ282)-$A$5,0)),0)</f>
        <v/>
      </c>
      <c r="AK282" s="60" t="str">
        <f>IFERROR(__xludf.DUMMYFUNCTION("IFERROR(GOOGLEFINANCE($A282,""high""),"""")"),"")</f>
        <v/>
      </c>
      <c r="AL282" s="60" t="str">
        <f>IFERROR(__xludf.DUMMYFUNCTION("IFERROR(GOOGLEFINANCE($A282,""low""),"""")"),"")</f>
        <v/>
      </c>
      <c r="AM282" s="61">
        <f t="shared" si="2"/>
        <v>0</v>
      </c>
      <c r="AN282" s="62">
        <f>IFERROR(__xludf.DUMMYFUNCTION("IFERROR((GOOGLEFINANCE($A282,""volume"")),0)"),0.0)</f>
        <v>0</v>
      </c>
      <c r="AO282" s="60" t="str">
        <f>IFERROR(__xludf.DUMMYFUNCTION("IFERROR((GOOGLEFINANCE($A282,""closeyest"")),"""")"),"")</f>
        <v/>
      </c>
      <c r="AP282" s="60" t="str">
        <f>IFERROR(__xludf.DUMMYFUNCTION("IFERROR((GOOGLEFINANCE($A282,""shares"")),"""")"),"")</f>
        <v/>
      </c>
      <c r="AQ282" s="18"/>
    </row>
    <row r="283">
      <c r="A283" s="45" t="str">
        <f>'Dados StatusInvest'!A278:A897</f>
        <v>G2DI33</v>
      </c>
      <c r="B283" s="46" t="str">
        <f>IFERROR(__xludf.DUMMYFUNCTION("IFERROR((GOOGLEFINANCE(A283,""name"")),"""")"),"G2D Investments Ltd")</f>
        <v>G2D Investments Ltd</v>
      </c>
      <c r="C283" s="46" t="str">
        <f>IFERROR((VLOOKUP(LEFT($A283,4),Setor!$A:$E,3,0)),"")</f>
        <v/>
      </c>
      <c r="D283" s="46" t="str">
        <f>IFERROR((VLOOKUP(LEFT($A283,4),Setor!$A:$E,4,0)),"")</f>
        <v/>
      </c>
      <c r="E283" s="46" t="str">
        <f>IFERROR((VLOOKUP(LEFT($A283,4),Setor!$A:$E,5,0)),"")</f>
        <v/>
      </c>
      <c r="F283" s="47">
        <f>IFERROR(__xludf.DUMMYFUNCTION("IFERROR((GOOGLEFINANCE(A283)),"""")"),1.65)</f>
        <v>1.65</v>
      </c>
      <c r="G283" s="48" t="str">
        <f>IFERROR(__xludf.DUMMYFUNCTION("IFERROR((sparkline(GOOGLEFINANCE($A283,""price"",TODAY()-30,TODAY(),""DAILY""),{""charttype"",""line"";""linewidth"",1;""color"",""#5f88cc""})),"""")"),"")</f>
        <v/>
      </c>
      <c r="H283" s="49">
        <f>IFERROR(__xludf.DUMMYFUNCTION("IFERROR((((GOOGLEFINANCE(A283))-(INDEX(GoogleFinance(A283,""PRICE"",$AQ$1),2,2)))/(INDEX(GoogleFinance(A283,""PRICE"",$AQ$1),2,2))),"""")"),-0.011976047904191628)</f>
        <v>-0.0119760479</v>
      </c>
      <c r="I283" s="47">
        <f>IFERROR(__xludf.DUMMYFUNCTION("IFERROR((GOOGLEFINANCE($A283,""high52"")),"""")"),1.85)</f>
        <v>1.85</v>
      </c>
      <c r="J283" s="48" t="str">
        <f>IFERROR(__xludf.DUMMYFUNCTION("IFERROR((sparkline(GOOGLEFINANCE($A283,""price"",TODAY()-365,TODAY(),""DAILY""),{""charttype"",""line"";""linewidth"",1;""color"",""#5f88cc""})),"""")"),"")</f>
        <v/>
      </c>
      <c r="K283" s="50">
        <f>IFERROR(__xludf.DUMMYFUNCTION("IFERROR((((GOOGLEFINANCE(A283))-(INDEX(GoogleFinance(A283,""PRICE"",$AP$1),2,2)))/(INDEX(GoogleFinance(A283,""PRICE"",$AP$1),2,2))),"""")"),-0.08333333333333341)</f>
        <v>-0.08333333333</v>
      </c>
      <c r="L283" s="51">
        <f t="shared" si="1"/>
        <v>-0.1081081081</v>
      </c>
      <c r="M283" s="52">
        <f>IFERROR((VLOOKUP($A283,'Dados StatusInvest'!$A:$AZ,COLUMN(M283)-$A$5,0)*VLOOKUP($A283,'Dados StatusInvest'!$A:$AZ,2,0)/$F283/100),0)</f>
        <v>10.2802</v>
      </c>
      <c r="N283" s="53">
        <f>IFERROR((VLOOKUP($A283,'Dados StatusInvest'!$A:$AZ,COLUMN(N283)-$A$5,0)/VLOOKUP($A283,'Dados StatusInvest'!$A:$AZ,2,0)*$F283),"")</f>
        <v>1303.14</v>
      </c>
      <c r="O283" s="53">
        <f>IFERROR((VLOOKUP($A283,'Dados StatusInvest'!$A:$AZ,COLUMN(O283)-$A$5,0)/VLOOKUP($A283,'Dados StatusInvest'!$A:$AZ,2,0)*$F283),0)</f>
        <v>-12.32</v>
      </c>
      <c r="P283" s="54">
        <f>IFERROR((VLOOKUP($A283,'Dados StatusInvest'!$A:$AZ,COLUMN(P283)-$A$5,0)/VLOOKUP($A283,'Dados StatusInvest'!$A:$AZ,2,0)*$F283),0)</f>
        <v>-14.83</v>
      </c>
      <c r="Q283" s="55">
        <f>IFERROR((VLOOKUP($A283,'Dados StatusInvest'!$A:$AZ,COLUMN(Q283)-$A$5,0)/100),0)</f>
        <v>-0.0251</v>
      </c>
      <c r="R283" s="56">
        <f>VLOOKUP($A283,'Dados StatusInvest'!$A:$AZ,COLUMN(R283)-$A$5,0)</f>
        <v>0.05</v>
      </c>
      <c r="S283" s="56">
        <f>IFERROR((VLOOKUP($A283,'Dados StatusInvest'!$A:$AZ,COLUMN(S283)-$A$5,0)),0)</f>
        <v>0</v>
      </c>
      <c r="T283" s="53">
        <f>IFERROR((VLOOKUP($A283,'Dados StatusInvest'!$A:$AZ,COLUMN(T283)-$A$5,0)/VLOOKUP($A283,'Dados StatusInvest'!$A:$AZ,2,0)*$F283),0)</f>
        <v>-6.07</v>
      </c>
      <c r="U283" s="53">
        <f>IFERROR((VLOOKUP($A283,'Dados StatusInvest'!$A:$AZ,COLUMN(U283)-$A$5,0)-VLOOKUP($A283,'Dados StatusInvest'!$A:$AZ,COLUMN(U283)-$A$5-1,0)+T283),0)</f>
        <v>-0.24</v>
      </c>
      <c r="V283" s="56">
        <f>IFERROR((VLOOKUP($A283,'Dados StatusInvest'!$A:$AZ,COLUMN(V283)-$A$5,0)),0)</f>
        <v>0.17</v>
      </c>
      <c r="W283" s="56">
        <f>IFERROR((VLOOKUP($A283,'Dados StatusInvest'!$A:$AZ,COLUMN(W283)-$A$5,0)),0)</f>
        <v>-2.65</v>
      </c>
      <c r="X283" s="53">
        <f>IFERROR((VLOOKUP($A283,'Dados StatusInvest'!$A:$AZ,COLUMN(X283)-$A$5,0)/VLOOKUP($A283,'Dados StatusInvest'!$A:$AZ,2,0)*$F283),0)</f>
        <v>-2.49</v>
      </c>
      <c r="Y283" s="54">
        <f>IFERROR((VLOOKUP($A283,'Dados StatusInvest'!$A:$AZ,COLUMN(Y283)-$A$5,0)/VLOOKUP($A283,'Dados StatusInvest'!$A:$AZ,2,0)*$F283),0)</f>
        <v>-1.97</v>
      </c>
      <c r="Z283" s="56">
        <f>IFERROR((VLOOKUP($A283,'Dados StatusInvest'!$A:$AZ,COLUMN(Z283)-$A$5,0)),0)</f>
        <v>0.94</v>
      </c>
      <c r="AA283" s="57">
        <f>IFERROR((VLOOKUP($A283,'Dados StatusInvest'!$A:$AZ,COLUMN(AA283)-$A$5,0)),0)</f>
        <v>0.06</v>
      </c>
      <c r="AB283" s="57">
        <f>IFERROR((VLOOKUP($A283,'Dados StatusInvest'!$A:$AZ,COLUMN(AB283)-$A$5,0)),0)</f>
        <v>0</v>
      </c>
      <c r="AC283" s="58">
        <f>IFERROR((VLOOKUP($A283,'Dados StatusInvest'!$A:$AZ,COLUMN(AC283)-$A$5,0)),0)</f>
        <v>0</v>
      </c>
      <c r="AD283" s="57">
        <f>IFERROR((VLOOKUP($A283,'Dados StatusInvest'!$A:$AZ,COLUMN(AD283)-$A$5,0)),0)</f>
        <v>0</v>
      </c>
      <c r="AE283" s="56">
        <f>IFERROR((VLOOKUP($A283,'Dados StatusInvest'!$A:$AZ,COLUMN(AE283)-$A$5,0)),0)</f>
        <v>65478.62</v>
      </c>
      <c r="AF283" s="56">
        <f>IFERROR((VLOOKUP($A283,'Dados StatusInvest'!$A:$AZ,COLUMN(AF283)-$A$5,0)),0)</f>
        <v>6.4</v>
      </c>
      <c r="AG283" s="56">
        <f>IFERROR((VLOOKUP($A283,'Dados StatusInvest'!$A:$AZ,COLUMN(AG283)-$A$5,0)),0)</f>
        <v>-0.17</v>
      </c>
      <c r="AH283" s="56">
        <f>IFERROR((VLOOKUP($A283,'Dados StatusInvest'!$A:$AZ,COLUMN(AH283)-$A$5,0)),0)</f>
        <v>0.12</v>
      </c>
      <c r="AI283" s="57">
        <f>IFERROR((VLOOKUP($A283,'Dados StatusInvest'!$A:$AZ,COLUMN(AI283)-$A$5,0)),0)</f>
        <v>189843040.2</v>
      </c>
      <c r="AJ283" s="59" t="str">
        <f>IFERROR((VLOOKUP($A283,'Dados StatusInvest'!$A:$AZ,COLUMN(AJ283)-$A$5,0)),0)</f>
        <v/>
      </c>
      <c r="AK283" s="60">
        <f>IFERROR(__xludf.DUMMYFUNCTION("IFERROR(GOOGLEFINANCE($A283,""high""),"""")"),1.65)</f>
        <v>1.65</v>
      </c>
      <c r="AL283" s="60">
        <f>IFERROR(__xludf.DUMMYFUNCTION("IFERROR(GOOGLEFINANCE($A283,""low""),"""")"),1.65)</f>
        <v>1.65</v>
      </c>
      <c r="AM283" s="61">
        <f t="shared" si="2"/>
        <v>0</v>
      </c>
      <c r="AN283" s="62">
        <f>IFERROR(__xludf.DUMMYFUNCTION("IFERROR((GOOGLEFINANCE($A283,""volume"")),0)"),1.0)</f>
        <v>1</v>
      </c>
      <c r="AO283" s="60">
        <f>IFERROR(__xludf.DUMMYFUNCTION("IFERROR((GOOGLEFINANCE($A283,""closeyest"")),"""")"),1.65)</f>
        <v>1.65</v>
      </c>
      <c r="AP283" s="60">
        <f>IFERROR(__xludf.DUMMYFUNCTION("IFERROR((GOOGLEFINANCE($A283,""shares"")),"""")"),4.9031062E7)</f>
        <v>49031062</v>
      </c>
      <c r="AQ283" s="18"/>
    </row>
    <row r="284">
      <c r="A284" s="45" t="str">
        <f>'Dados StatusInvest'!A279:A898</f>
        <v>GBIO33</v>
      </c>
      <c r="B284" s="46" t="str">
        <f>IFERROR(__xludf.DUMMYFUNCTION("IFERROR((GOOGLEFINANCE(A284,""name"")),"""")"),"")</f>
        <v/>
      </c>
      <c r="C284" s="46" t="str">
        <f>IFERROR((VLOOKUP(LEFT($A284,4),Setor!$A:$E,3,0)),"")</f>
        <v>Saúde</v>
      </c>
      <c r="D284" s="46" t="str">
        <f>IFERROR((VLOOKUP(LEFT($A284,4),Setor!$A:$E,4,0)),"")</f>
        <v>Medicamentos e Outros Produtos</v>
      </c>
      <c r="E284" s="46" t="str">
        <f>IFERROR((VLOOKUP(LEFT($A284,4),Setor!$A:$E,5,0)),"")</f>
        <v>Medicamentos e Outros Produtos</v>
      </c>
      <c r="F284" s="47" t="str">
        <f>IFERROR(__xludf.DUMMYFUNCTION("IFERROR((GOOGLEFINANCE(A284)),"""")"),"")</f>
        <v/>
      </c>
      <c r="G284" s="48" t="str">
        <f>IFERROR(__xludf.DUMMYFUNCTION("IFERROR((sparkline(GOOGLEFINANCE($A284,""price"",TODAY()-30,TODAY(),""DAILY""),{""charttype"",""line"";""linewidth"",1;""color"",""#5f88cc""})),"""")"),"")</f>
        <v/>
      </c>
      <c r="H284" s="49" t="str">
        <f>IFERROR(__xludf.DUMMYFUNCTION("IFERROR((((GOOGLEFINANCE(A284))-(INDEX(GoogleFinance(A284,""PRICE"",$AQ$1),2,2)))/(INDEX(GoogleFinance(A284,""PRICE"",$AQ$1),2,2))),"""")"),"")</f>
        <v/>
      </c>
      <c r="I284" s="47" t="str">
        <f>IFERROR(__xludf.DUMMYFUNCTION("IFERROR((GOOGLEFINANCE($A284,""high52"")),"""")"),"")</f>
        <v/>
      </c>
      <c r="J284" s="48" t="str">
        <f>IFERROR(__xludf.DUMMYFUNCTION("IFERROR((sparkline(GOOGLEFINANCE($A284,""price"",TODAY()-365,TODAY(),""DAILY""),{""charttype"",""line"";""linewidth"",1;""color"",""#5f88cc""})),"""")"),"")</f>
        <v/>
      </c>
      <c r="K284" s="50" t="str">
        <f>IFERROR(__xludf.DUMMYFUNCTION("IFERROR((((GOOGLEFINANCE(A284))-(INDEX(GoogleFinance(A284,""PRICE"",$AP$1),2,2)))/(INDEX(GoogleFinance(A284,""PRICE"",$AP$1),2,2))),"""")"),"")</f>
        <v/>
      </c>
      <c r="L284" s="51">
        <f t="shared" si="1"/>
        <v>0</v>
      </c>
      <c r="M284" s="52">
        <f>IFERROR((VLOOKUP($A284,'Dados StatusInvest'!$A:$AZ,COLUMN(M284)-$A$5,0)*VLOOKUP($A284,'Dados StatusInvest'!$A:$AZ,2,0)/$F284/100),0)</f>
        <v>0</v>
      </c>
      <c r="N284" s="53">
        <f>IFERROR((VLOOKUP($A284,'Dados StatusInvest'!$A:$AZ,COLUMN(N284)-$A$5,0)/VLOOKUP($A284,'Dados StatusInvest'!$A:$AZ,2,0)*$F284),"")</f>
        <v>0</v>
      </c>
      <c r="O284" s="53">
        <f>IFERROR((VLOOKUP($A284,'Dados StatusInvest'!$A:$AZ,COLUMN(O284)-$A$5,0)/VLOOKUP($A284,'Dados StatusInvest'!$A:$AZ,2,0)*$F284),0)</f>
        <v>0</v>
      </c>
      <c r="P284" s="54">
        <f>IFERROR((VLOOKUP($A284,'Dados StatusInvest'!$A:$AZ,COLUMN(P284)-$A$5,0)/VLOOKUP($A284,'Dados StatusInvest'!$A:$AZ,2,0)*$F284),0)</f>
        <v>0</v>
      </c>
      <c r="Q284" s="55">
        <f>IFERROR((VLOOKUP($A284,'Dados StatusInvest'!$A:$AZ,COLUMN(Q284)-$A$5,0)/100),0)</f>
        <v>0.0748</v>
      </c>
      <c r="R284" s="56">
        <f>VLOOKUP($A284,'Dados StatusInvest'!$A:$AZ,COLUMN(R284)-$A$5,0)</f>
        <v>0.25</v>
      </c>
      <c r="S284" s="56">
        <f>IFERROR((VLOOKUP($A284,'Dados StatusInvest'!$A:$AZ,COLUMN(S284)-$A$5,0)),0)</f>
        <v>1.52</v>
      </c>
      <c r="T284" s="53">
        <f>IFERROR((VLOOKUP($A284,'Dados StatusInvest'!$A:$AZ,COLUMN(T284)-$A$5,0)/VLOOKUP($A284,'Dados StatusInvest'!$A:$AZ,2,0)*$F284),0)</f>
        <v>0</v>
      </c>
      <c r="U284" s="53">
        <f>IFERROR((VLOOKUP($A284,'Dados StatusInvest'!$A:$AZ,COLUMN(U284)-$A$5,0)-VLOOKUP($A284,'Dados StatusInvest'!$A:$AZ,COLUMN(U284)-$A$5-1,0)+T284),0)</f>
        <v>-9</v>
      </c>
      <c r="V284" s="56">
        <f>IFERROR((VLOOKUP($A284,'Dados StatusInvest'!$A:$AZ,COLUMN(V284)-$A$5,0)),0)</f>
        <v>1.31</v>
      </c>
      <c r="W284" s="56">
        <f>IFERROR((VLOOKUP($A284,'Dados StatusInvest'!$A:$AZ,COLUMN(W284)-$A$5,0)),0)</f>
        <v>-8.83</v>
      </c>
      <c r="X284" s="53">
        <f>IFERROR((VLOOKUP($A284,'Dados StatusInvest'!$A:$AZ,COLUMN(X284)-$A$5,0)/VLOOKUP($A284,'Dados StatusInvest'!$A:$AZ,2,0)*$F284),0)</f>
        <v>0</v>
      </c>
      <c r="Y284" s="54">
        <f>IFERROR((VLOOKUP($A284,'Dados StatusInvest'!$A:$AZ,COLUMN(Y284)-$A$5,0)/VLOOKUP($A284,'Dados StatusInvest'!$A:$AZ,2,0)*$F284),0)</f>
        <v>0</v>
      </c>
      <c r="Z284" s="56">
        <f>IFERROR((VLOOKUP($A284,'Dados StatusInvest'!$A:$AZ,COLUMN(Z284)-$A$5,0)),0)</f>
        <v>0.6</v>
      </c>
      <c r="AA284" s="57">
        <f>IFERROR((VLOOKUP($A284,'Dados StatusInvest'!$A:$AZ,COLUMN(AA284)-$A$5,0)),0)</f>
        <v>0.4</v>
      </c>
      <c r="AB284" s="57">
        <f>IFERROR((VLOOKUP($A284,'Dados StatusInvest'!$A:$AZ,COLUMN(AB284)-$A$5,0)),0)</f>
        <v>0.52</v>
      </c>
      <c r="AC284" s="58">
        <f>IFERROR((VLOOKUP($A284,'Dados StatusInvest'!$A:$AZ,COLUMN(AC284)-$A$5,0)),0)</f>
        <v>12.83</v>
      </c>
      <c r="AD284" s="57">
        <f>IFERROR((VLOOKUP($A284,'Dados StatusInvest'!$A:$AZ,COLUMN(AD284)-$A$5,0)),0)</f>
        <v>0</v>
      </c>
      <c r="AE284" s="56">
        <f>IFERROR((VLOOKUP($A284,'Dados StatusInvest'!$A:$AZ,COLUMN(AE284)-$A$5,0)),0)</f>
        <v>0</v>
      </c>
      <c r="AF284" s="56">
        <f>IFERROR((VLOOKUP($A284,'Dados StatusInvest'!$A:$AZ,COLUMN(AF284)-$A$5,0)),0)</f>
        <v>7.86</v>
      </c>
      <c r="AG284" s="56">
        <f>IFERROR((VLOOKUP($A284,'Dados StatusInvest'!$A:$AZ,COLUMN(AG284)-$A$5,0)),0)</f>
        <v>-0.69</v>
      </c>
      <c r="AH284" s="56">
        <f>IFERROR((VLOOKUP($A284,'Dados StatusInvest'!$A:$AZ,COLUMN(AH284)-$A$5,0)),0)</f>
        <v>0.06</v>
      </c>
      <c r="AI284" s="57">
        <f>IFERROR((VLOOKUP($A284,'Dados StatusInvest'!$A:$AZ,COLUMN(AI284)-$A$5,0)),0)</f>
        <v>1108871982</v>
      </c>
      <c r="AJ284" s="59" t="str">
        <f>IFERROR((VLOOKUP($A284,'Dados StatusInvest'!$A:$AZ,COLUMN(AJ284)-$A$5,0)),0)</f>
        <v/>
      </c>
      <c r="AK284" s="60" t="str">
        <f>IFERROR(__xludf.DUMMYFUNCTION("IFERROR(GOOGLEFINANCE($A284,""high""),"""")"),"")</f>
        <v/>
      </c>
      <c r="AL284" s="60" t="str">
        <f>IFERROR(__xludf.DUMMYFUNCTION("IFERROR(GOOGLEFINANCE($A284,""low""),"""")"),"")</f>
        <v/>
      </c>
      <c r="AM284" s="61">
        <f t="shared" si="2"/>
        <v>0</v>
      </c>
      <c r="AN284" s="62">
        <f>IFERROR(__xludf.DUMMYFUNCTION("IFERROR((GOOGLEFINANCE($A284,""volume"")),0)"),0.0)</f>
        <v>0</v>
      </c>
      <c r="AO284" s="60" t="str">
        <f>IFERROR(__xludf.DUMMYFUNCTION("IFERROR((GOOGLEFINANCE($A284,""closeyest"")),"""")"),"")</f>
        <v/>
      </c>
      <c r="AP284" s="60" t="str">
        <f>IFERROR(__xludf.DUMMYFUNCTION("IFERROR((GOOGLEFINANCE($A284,""shares"")),"""")"),"")</f>
        <v/>
      </c>
      <c r="AQ284" s="18"/>
    </row>
    <row r="285">
      <c r="A285" s="45" t="str">
        <f>'Dados StatusInvest'!A280:A899</f>
        <v>GEPA3</v>
      </c>
      <c r="B285" s="46" t="str">
        <f>IFERROR(__xludf.DUMMYFUNCTION("IFERROR((GOOGLEFINANCE(A285,""name"")),"""")"),"Rio Paranapanema Energia SA")</f>
        <v>Rio Paranapanema Energia SA</v>
      </c>
      <c r="C285" s="46" t="str">
        <f>IFERROR((VLOOKUP(LEFT($A285,4),Setor!$A:$E,3,0)),"")</f>
        <v>Utilidade Pública</v>
      </c>
      <c r="D285" s="46" t="str">
        <f>IFERROR((VLOOKUP(LEFT($A285,4),Setor!$A:$E,4,0)),"")</f>
        <v>Energia Elétrica</v>
      </c>
      <c r="E285" s="46" t="str">
        <f>IFERROR((VLOOKUP(LEFT($A285,4),Setor!$A:$E,5,0)),"")</f>
        <v>Energia Elétrica</v>
      </c>
      <c r="F285" s="47">
        <f>IFERROR(__xludf.DUMMYFUNCTION("IFERROR((GOOGLEFINANCE(A285)),"""")"),33.0)</f>
        <v>33</v>
      </c>
      <c r="G285" s="48" t="str">
        <f>IFERROR(__xludf.DUMMYFUNCTION("IFERROR((sparkline(GOOGLEFINANCE($A285,""price"",TODAY()-30,TODAY(),""DAILY""),{""charttype"",""line"";""linewidth"",1;""color"",""#5f88cc""})),"""")"),"")</f>
        <v/>
      </c>
      <c r="H285" s="49">
        <f>IFERROR(__xludf.DUMMYFUNCTION("IFERROR((((GOOGLEFINANCE(A285))-(INDEX(GoogleFinance(A285,""PRICE"",$AQ$1),2,2)))/(INDEX(GoogleFinance(A285,""PRICE"",$AQ$1),2,2))),"""")"),-0.0036231884057970243)</f>
        <v>-0.003623188406</v>
      </c>
      <c r="I285" s="47">
        <f>IFERROR(__xludf.DUMMYFUNCTION("IFERROR((GOOGLEFINANCE($A285,""high52"")),"""")"),34.0)</f>
        <v>34</v>
      </c>
      <c r="J285" s="48" t="str">
        <f>IFERROR(__xludf.DUMMYFUNCTION("IFERROR((sparkline(GOOGLEFINANCE($A285,""price"",TODAY()-365,TODAY(),""DAILY""),{""charttype"",""line"";""linewidth"",1;""color"",""#5f88cc""})),"""")"),"")</f>
        <v/>
      </c>
      <c r="K285" s="50">
        <f>IFERROR(__xludf.DUMMYFUNCTION("IFERROR((((GOOGLEFINANCE(A285))-(INDEX(GoogleFinance(A285,""PRICE"",$AP$1),2,2)))/(INDEX(GoogleFinance(A285,""PRICE"",$AP$1),2,2))),"""")"),0.09634551495016606)</f>
        <v>0.09634551495</v>
      </c>
      <c r="L285" s="51">
        <f t="shared" si="1"/>
        <v>-0.02941176471</v>
      </c>
      <c r="M285" s="52">
        <f>IFERROR((VLOOKUP($A285,'Dados StatusInvest'!$A:$AZ,COLUMN(M285)-$A$5,0)*VLOOKUP($A285,'Dados StatusInvest'!$A:$AZ,2,0)/$F285/100),0)</f>
        <v>0.3396</v>
      </c>
      <c r="N285" s="53">
        <f>IFERROR((VLOOKUP($A285,'Dados StatusInvest'!$A:$AZ,COLUMN(N285)-$A$5,0)/VLOOKUP($A285,'Dados StatusInvest'!$A:$AZ,2,0)*$F285),"")</f>
        <v>20.61</v>
      </c>
      <c r="O285" s="53">
        <f>IFERROR((VLOOKUP($A285,'Dados StatusInvest'!$A:$AZ,COLUMN(O285)-$A$5,0)/VLOOKUP($A285,'Dados StatusInvest'!$A:$AZ,2,0)*$F285),0)</f>
        <v>7.48</v>
      </c>
      <c r="P285" s="54">
        <f>IFERROR((VLOOKUP($A285,'Dados StatusInvest'!$A:$AZ,COLUMN(P285)-$A$5,0)/VLOOKUP($A285,'Dados StatusInvest'!$A:$AZ,2,0)*$F285),0)</f>
        <v>9.99</v>
      </c>
      <c r="Q285" s="55">
        <f>IFERROR((VLOOKUP($A285,'Dados StatusInvest'!$A:$AZ,COLUMN(Q285)-$A$5,0)/100),0)</f>
        <v>0.0218</v>
      </c>
      <c r="R285" s="56">
        <f>VLOOKUP($A285,'Dados StatusInvest'!$A:$AZ,COLUMN(R285)-$A$5,0)</f>
        <v>0.51</v>
      </c>
      <c r="S285" s="56">
        <f>IFERROR((VLOOKUP($A285,'Dados StatusInvest'!$A:$AZ,COLUMN(S285)-$A$5,0)),0)</f>
        <v>2.54</v>
      </c>
      <c r="T285" s="53">
        <f>IFERROR((VLOOKUP($A285,'Dados StatusInvest'!$A:$AZ,COLUMN(T285)-$A$5,0)/VLOOKUP($A285,'Dados StatusInvest'!$A:$AZ,2,0)*$F285),0)</f>
        <v>-2.85</v>
      </c>
      <c r="U285" s="53">
        <f>IFERROR((VLOOKUP($A285,'Dados StatusInvest'!$A:$AZ,COLUMN(U285)-$A$5,0)-VLOOKUP($A285,'Dados StatusInvest'!$A:$AZ,COLUMN(U285)-$A$5-1,0)+T285),0)</f>
        <v>-0.84</v>
      </c>
      <c r="V285" s="56">
        <f>IFERROR((VLOOKUP($A285,'Dados StatusInvest'!$A:$AZ,COLUMN(V285)-$A$5,0)),0)</f>
        <v>0.21</v>
      </c>
      <c r="W285" s="56">
        <f>IFERROR((VLOOKUP($A285,'Dados StatusInvest'!$A:$AZ,COLUMN(W285)-$A$5,0)),0)</f>
        <v>14.12</v>
      </c>
      <c r="X285" s="53">
        <f>IFERROR((VLOOKUP($A285,'Dados StatusInvest'!$A:$AZ,COLUMN(X285)-$A$5,0)/VLOOKUP($A285,'Dados StatusInvest'!$A:$AZ,2,0)*$F285),0)</f>
        <v>6.31</v>
      </c>
      <c r="Y285" s="54">
        <f>IFERROR((VLOOKUP($A285,'Dados StatusInvest'!$A:$AZ,COLUMN(Y285)-$A$5,0)/VLOOKUP($A285,'Dados StatusInvest'!$A:$AZ,2,0)*$F285),0)</f>
        <v>10.11</v>
      </c>
      <c r="Z285" s="56">
        <f>IFERROR((VLOOKUP($A285,'Dados StatusInvest'!$A:$AZ,COLUMN(Z285)-$A$5,0)),0)</f>
        <v>0.45</v>
      </c>
      <c r="AA285" s="57">
        <f>IFERROR((VLOOKUP($A285,'Dados StatusInvest'!$A:$AZ,COLUMN(AA285)-$A$5,0)),0)</f>
        <v>0.55</v>
      </c>
      <c r="AB285" s="57">
        <f>IFERROR((VLOOKUP($A285,'Dados StatusInvest'!$A:$AZ,COLUMN(AB285)-$A$5,0)),0)</f>
        <v>0.31</v>
      </c>
      <c r="AC285" s="58">
        <f>IFERROR((VLOOKUP($A285,'Dados StatusInvest'!$A:$AZ,COLUMN(AC285)-$A$5,0)),0)</f>
        <v>1.08</v>
      </c>
      <c r="AD285" s="57">
        <f>IFERROR((VLOOKUP($A285,'Dados StatusInvest'!$A:$AZ,COLUMN(AD285)-$A$5,0)),0)</f>
        <v>-0.25</v>
      </c>
      <c r="AE285" s="56">
        <f>IFERROR((VLOOKUP($A285,'Dados StatusInvest'!$A:$AZ,COLUMN(AE285)-$A$5,0)),0)</f>
        <v>8229.73</v>
      </c>
      <c r="AF285" s="56">
        <f>IFERROR((VLOOKUP($A285,'Dados StatusInvest'!$A:$AZ,COLUMN(AF285)-$A$5,0)),0)</f>
        <v>18.95</v>
      </c>
      <c r="AG285" s="56">
        <f>IFERROR((VLOOKUP($A285,'Dados StatusInvest'!$A:$AZ,COLUMN(AG285)-$A$5,0)),0)</f>
        <v>2.68</v>
      </c>
      <c r="AH285" s="56">
        <f>IFERROR((VLOOKUP($A285,'Dados StatusInvest'!$A:$AZ,COLUMN(AH285)-$A$5,0)),0)</f>
        <v>-0.68</v>
      </c>
      <c r="AI285" s="57">
        <f>IFERROR((VLOOKUP($A285,'Dados StatusInvest'!$A:$AZ,COLUMN(AI285)-$A$5,0)),0)</f>
        <v>3251652711</v>
      </c>
      <c r="AJ285" s="59" t="str">
        <f>IFERROR((VLOOKUP($A285,'Dados StatusInvest'!$A:$AZ,COLUMN(AJ285)-$A$5,0)),0)</f>
        <v/>
      </c>
      <c r="AK285" s="60" t="str">
        <f>IFERROR(__xludf.DUMMYFUNCTION("IFERROR(GOOGLEFINANCE($A285,""high""),"""")"),"")</f>
        <v/>
      </c>
      <c r="AL285" s="60" t="str">
        <f>IFERROR(__xludf.DUMMYFUNCTION("IFERROR(GOOGLEFINANCE($A285,""low""),"""")"),"")</f>
        <v/>
      </c>
      <c r="AM285" s="61">
        <f t="shared" si="2"/>
        <v>0</v>
      </c>
      <c r="AN285" s="62">
        <f>IFERROR(__xludf.DUMMYFUNCTION("IFERROR((GOOGLEFINANCE($A285,""volume"")),0)"),0.0)</f>
        <v>0</v>
      </c>
      <c r="AO285" s="60">
        <f>IFERROR(__xludf.DUMMYFUNCTION("IFERROR((GOOGLEFINANCE($A285,""closeyest"")),"""")"),33.0)</f>
        <v>33</v>
      </c>
      <c r="AP285" s="60">
        <f>IFERROR(__xludf.DUMMYFUNCTION("IFERROR((GOOGLEFINANCE($A285,""shares"")),"""")"),3.1477761E7)</f>
        <v>31477761</v>
      </c>
      <c r="AQ285" s="18"/>
    </row>
    <row r="286">
      <c r="A286" s="45" t="str">
        <f>'Dados StatusInvest'!A281:A900</f>
        <v>GEPA4</v>
      </c>
      <c r="B286" s="46" t="str">
        <f>IFERROR(__xludf.DUMMYFUNCTION("IFERROR((GOOGLEFINANCE(A286,""name"")),"""")"),"Rio Paranapanema Energia SA Preference Shares")</f>
        <v>Rio Paranapanema Energia SA Preference Shares</v>
      </c>
      <c r="C286" s="46" t="str">
        <f>IFERROR((VLOOKUP(LEFT($A286,4),Setor!$A:$E,3,0)),"")</f>
        <v>Utilidade Pública</v>
      </c>
      <c r="D286" s="46" t="str">
        <f>IFERROR((VLOOKUP(LEFT($A286,4),Setor!$A:$E,4,0)),"")</f>
        <v>Energia Elétrica</v>
      </c>
      <c r="E286" s="46" t="str">
        <f>IFERROR((VLOOKUP(LEFT($A286,4),Setor!$A:$E,5,0)),"")</f>
        <v>Energia Elétrica</v>
      </c>
      <c r="F286" s="47">
        <f>IFERROR(__xludf.DUMMYFUNCTION("IFERROR((GOOGLEFINANCE(A286)),"""")"),35.15)</f>
        <v>35.15</v>
      </c>
      <c r="G286" s="48" t="str">
        <f>IFERROR(__xludf.DUMMYFUNCTION("IFERROR((sparkline(GOOGLEFINANCE($A286,""price"",TODAY()-30,TODAY(),""DAILY""),{""charttype"",""line"";""linewidth"",1;""color"",""#5f88cc""})),"""")"),"")</f>
        <v/>
      </c>
      <c r="H286" s="49">
        <f>IFERROR(__xludf.DUMMYFUNCTION("IFERROR((((GOOGLEFINANCE(A286))-(INDEX(GoogleFinance(A286,""PRICE"",$AQ$1),2,2)))/(INDEX(GoogleFinance(A286,""PRICE"",$AQ$1),2,2))),"""")"),0.011510791366906433)</f>
        <v>0.01151079137</v>
      </c>
      <c r="I286" s="47">
        <f>IFERROR(__xludf.DUMMYFUNCTION("IFERROR((GOOGLEFINANCE($A286,""high52"")),"""")"),35.17)</f>
        <v>35.17</v>
      </c>
      <c r="J286" s="48" t="str">
        <f>IFERROR(__xludf.DUMMYFUNCTION("IFERROR((sparkline(GOOGLEFINANCE($A286,""price"",TODAY()-365,TODAY(),""DAILY""),{""charttype"",""line"";""linewidth"",1;""color"",""#5f88cc""})),"""")"),"")</f>
        <v/>
      </c>
      <c r="K286" s="50">
        <f>IFERROR(__xludf.DUMMYFUNCTION("IFERROR((((GOOGLEFINANCE(A286))-(INDEX(GoogleFinance(A286,""PRICE"",$AP$1),2,2)))/(INDEX(GoogleFinance(A286,""PRICE"",$AP$1),2,2))),"""")"),0.18151260504201677)</f>
        <v>0.181512605</v>
      </c>
      <c r="L286" s="51">
        <f t="shared" si="1"/>
        <v>-0.0005686664771</v>
      </c>
      <c r="M286" s="52">
        <f>IFERROR((VLOOKUP($A286,'Dados StatusInvest'!$A:$AZ,COLUMN(M286)-$A$5,0)*VLOOKUP($A286,'Dados StatusInvest'!$A:$AZ,2,0)/$F286/100),0)</f>
        <v>0.3396</v>
      </c>
      <c r="N286" s="53">
        <f>IFERROR((VLOOKUP($A286,'Dados StatusInvest'!$A:$AZ,COLUMN(N286)-$A$5,0)/VLOOKUP($A286,'Dados StatusInvest'!$A:$AZ,2,0)*$F286),"")</f>
        <v>20.61</v>
      </c>
      <c r="O286" s="53">
        <f>IFERROR((VLOOKUP($A286,'Dados StatusInvest'!$A:$AZ,COLUMN(O286)-$A$5,0)/VLOOKUP($A286,'Dados StatusInvest'!$A:$AZ,2,0)*$F286),0)</f>
        <v>7.97</v>
      </c>
      <c r="P286" s="54">
        <f>IFERROR((VLOOKUP($A286,'Dados StatusInvest'!$A:$AZ,COLUMN(P286)-$A$5,0)/VLOOKUP($A286,'Dados StatusInvest'!$A:$AZ,2,0)*$F286),0)</f>
        <v>9.99</v>
      </c>
      <c r="Q286" s="55">
        <f>IFERROR((VLOOKUP($A286,'Dados StatusInvest'!$A:$AZ,COLUMN(Q286)-$A$5,0)/100),0)</f>
        <v>0.0218</v>
      </c>
      <c r="R286" s="56">
        <f>VLOOKUP($A286,'Dados StatusInvest'!$A:$AZ,COLUMN(R286)-$A$5,0)</f>
        <v>0.51</v>
      </c>
      <c r="S286" s="56">
        <f>IFERROR((VLOOKUP($A286,'Dados StatusInvest'!$A:$AZ,COLUMN(S286)-$A$5,0)),0)</f>
        <v>2.71</v>
      </c>
      <c r="T286" s="53">
        <f>IFERROR((VLOOKUP($A286,'Dados StatusInvest'!$A:$AZ,COLUMN(T286)-$A$5,0)/VLOOKUP($A286,'Dados StatusInvest'!$A:$AZ,2,0)*$F286),0)</f>
        <v>-3.03</v>
      </c>
      <c r="U286" s="53">
        <f>IFERROR((VLOOKUP($A286,'Dados StatusInvest'!$A:$AZ,COLUMN(U286)-$A$5,0)-VLOOKUP($A286,'Dados StatusInvest'!$A:$AZ,COLUMN(U286)-$A$5-1,0)+T286),0)</f>
        <v>-0.9</v>
      </c>
      <c r="V286" s="56">
        <f>IFERROR((VLOOKUP($A286,'Dados StatusInvest'!$A:$AZ,COLUMN(V286)-$A$5,0)),0)</f>
        <v>0.21</v>
      </c>
      <c r="W286" s="56">
        <f>IFERROR((VLOOKUP($A286,'Dados StatusInvest'!$A:$AZ,COLUMN(W286)-$A$5,0)),0)</f>
        <v>14.12</v>
      </c>
      <c r="X286" s="53">
        <f>IFERROR((VLOOKUP($A286,'Dados StatusInvest'!$A:$AZ,COLUMN(X286)-$A$5,0)/VLOOKUP($A286,'Dados StatusInvest'!$A:$AZ,2,0)*$F286),0)</f>
        <v>6.31</v>
      </c>
      <c r="Y286" s="54">
        <f>IFERROR((VLOOKUP($A286,'Dados StatusInvest'!$A:$AZ,COLUMN(Y286)-$A$5,0)/VLOOKUP($A286,'Dados StatusInvest'!$A:$AZ,2,0)*$F286),0)</f>
        <v>10.11</v>
      </c>
      <c r="Z286" s="56">
        <f>IFERROR((VLOOKUP($A286,'Dados StatusInvest'!$A:$AZ,COLUMN(Z286)-$A$5,0)),0)</f>
        <v>0.45</v>
      </c>
      <c r="AA286" s="57">
        <f>IFERROR((VLOOKUP($A286,'Dados StatusInvest'!$A:$AZ,COLUMN(AA286)-$A$5,0)),0)</f>
        <v>0.55</v>
      </c>
      <c r="AB286" s="57">
        <f>IFERROR((VLOOKUP($A286,'Dados StatusInvest'!$A:$AZ,COLUMN(AB286)-$A$5,0)),0)</f>
        <v>0.31</v>
      </c>
      <c r="AC286" s="58">
        <f>IFERROR((VLOOKUP($A286,'Dados StatusInvest'!$A:$AZ,COLUMN(AC286)-$A$5,0)),0)</f>
        <v>1.08</v>
      </c>
      <c r="AD286" s="57">
        <f>IFERROR((VLOOKUP($A286,'Dados StatusInvest'!$A:$AZ,COLUMN(AD286)-$A$5,0)),0)</f>
        <v>-0.25</v>
      </c>
      <c r="AE286" s="56">
        <f>IFERROR((VLOOKUP($A286,'Dados StatusInvest'!$A:$AZ,COLUMN(AE286)-$A$5,0)),0)</f>
        <v>24048.1</v>
      </c>
      <c r="AF286" s="56">
        <f>IFERROR((VLOOKUP($A286,'Dados StatusInvest'!$A:$AZ,COLUMN(AF286)-$A$5,0)),0)</f>
        <v>18.95</v>
      </c>
      <c r="AG286" s="56">
        <f>IFERROR((VLOOKUP($A286,'Dados StatusInvest'!$A:$AZ,COLUMN(AG286)-$A$5,0)),0)</f>
        <v>2.68</v>
      </c>
      <c r="AH286" s="56">
        <f>IFERROR((VLOOKUP($A286,'Dados StatusInvest'!$A:$AZ,COLUMN(AH286)-$A$5,0)),0)</f>
        <v>-0.72</v>
      </c>
      <c r="AI286" s="57">
        <f>IFERROR((VLOOKUP($A286,'Dados StatusInvest'!$A:$AZ,COLUMN(AI286)-$A$5,0)),0)</f>
        <v>3251652711</v>
      </c>
      <c r="AJ286" s="59" t="str">
        <f>IFERROR((VLOOKUP($A286,'Dados StatusInvest'!$A:$AZ,COLUMN(AJ286)-$A$5,0)),0)</f>
        <v/>
      </c>
      <c r="AK286" s="60" t="str">
        <f>IFERROR(__xludf.DUMMYFUNCTION("IFERROR(GOOGLEFINANCE($A286,""high""),"""")"),"")</f>
        <v/>
      </c>
      <c r="AL286" s="60" t="str">
        <f>IFERROR(__xludf.DUMMYFUNCTION("IFERROR(GOOGLEFINANCE($A286,""low""),"""")"),"")</f>
        <v/>
      </c>
      <c r="AM286" s="61">
        <f t="shared" si="2"/>
        <v>0</v>
      </c>
      <c r="AN286" s="62">
        <f>IFERROR(__xludf.DUMMYFUNCTION("IFERROR((GOOGLEFINANCE($A286,""volume"")),0)"),0.0)</f>
        <v>0</v>
      </c>
      <c r="AO286" s="60">
        <f>IFERROR(__xludf.DUMMYFUNCTION("IFERROR((GOOGLEFINANCE($A286,""closeyest"")),"""")"),35.15)</f>
        <v>35.15</v>
      </c>
      <c r="AP286" s="60">
        <f>IFERROR(__xludf.DUMMYFUNCTION("IFERROR((GOOGLEFINANCE($A286,""shares"")),"""")"),6.2955522E7)</f>
        <v>62955522</v>
      </c>
      <c r="AQ286" s="18"/>
    </row>
    <row r="287">
      <c r="A287" s="45" t="str">
        <f>'Dados StatusInvest'!A282:A901</f>
        <v>GETT11</v>
      </c>
      <c r="B287" s="46" t="str">
        <f>IFERROR(__xludf.DUMMYFUNCTION("IFERROR((GOOGLEFINANCE(A287,""name"")),"""")"),"")</f>
        <v/>
      </c>
      <c r="C287" s="46" t="str">
        <f>IFERROR((VLOOKUP(LEFT($A287,4),Setor!$A:$E,3,0)),"")</f>
        <v/>
      </c>
      <c r="D287" s="46" t="str">
        <f>IFERROR((VLOOKUP(LEFT($A287,4),Setor!$A:$E,4,0)),"")</f>
        <v/>
      </c>
      <c r="E287" s="46" t="str">
        <f>IFERROR((VLOOKUP(LEFT($A287,4),Setor!$A:$E,5,0)),"")</f>
        <v/>
      </c>
      <c r="F287" s="47" t="str">
        <f>IFERROR(__xludf.DUMMYFUNCTION("IFERROR((GOOGLEFINANCE(A287)),"""")"),"")</f>
        <v/>
      </c>
      <c r="G287" s="48" t="str">
        <f>IFERROR(__xludf.DUMMYFUNCTION("IFERROR((sparkline(GOOGLEFINANCE($A287,""price"",TODAY()-30,TODAY(),""DAILY""),{""charttype"",""line"";""linewidth"",1;""color"",""#5f88cc""})),"""")"),"")</f>
        <v/>
      </c>
      <c r="H287" s="49" t="str">
        <f>IFERROR(__xludf.DUMMYFUNCTION("IFERROR((((GOOGLEFINANCE(A287))-(INDEX(GoogleFinance(A287,""PRICE"",$AQ$1),2,2)))/(INDEX(GoogleFinance(A287,""PRICE"",$AQ$1),2,2))),"""")"),"")</f>
        <v/>
      </c>
      <c r="I287" s="47" t="str">
        <f>IFERROR(__xludf.DUMMYFUNCTION("IFERROR((GOOGLEFINANCE($A287,""high52"")),"""")"),"")</f>
        <v/>
      </c>
      <c r="J287" s="48" t="str">
        <f>IFERROR(__xludf.DUMMYFUNCTION("IFERROR((sparkline(GOOGLEFINANCE($A287,""price"",TODAY()-365,TODAY(),""DAILY""),{""charttype"",""line"";""linewidth"",1;""color"",""#5f88cc""})),"""")"),"")</f>
        <v/>
      </c>
      <c r="K287" s="50" t="str">
        <f>IFERROR(__xludf.DUMMYFUNCTION("IFERROR((((GOOGLEFINANCE(A287))-(INDEX(GoogleFinance(A287,""PRICE"",$AP$1),2,2)))/(INDEX(GoogleFinance(A287,""PRICE"",$AP$1),2,2))),"""")"),"")</f>
        <v/>
      </c>
      <c r="L287" s="51">
        <f t="shared" si="1"/>
        <v>0</v>
      </c>
      <c r="M287" s="52">
        <f>IFERROR((VLOOKUP($A287,'Dados StatusInvest'!$A:$AZ,COLUMN(M287)-$A$5,0)*VLOOKUP($A287,'Dados StatusInvest'!$A:$AZ,2,0)/$F287/100),0)</f>
        <v>0</v>
      </c>
      <c r="N287" s="53">
        <f>IFERROR((VLOOKUP($A287,'Dados StatusInvest'!$A:$AZ,COLUMN(N287)-$A$5,0)/VLOOKUP($A287,'Dados StatusInvest'!$A:$AZ,2,0)*$F287),"")</f>
        <v>0</v>
      </c>
      <c r="O287" s="53">
        <f>IFERROR((VLOOKUP($A287,'Dados StatusInvest'!$A:$AZ,COLUMN(O287)-$A$5,0)/VLOOKUP($A287,'Dados StatusInvest'!$A:$AZ,2,0)*$F287),0)</f>
        <v>0</v>
      </c>
      <c r="P287" s="54">
        <f>IFERROR((VLOOKUP($A287,'Dados StatusInvest'!$A:$AZ,COLUMN(P287)-$A$5,0)/VLOOKUP($A287,'Dados StatusInvest'!$A:$AZ,2,0)*$F287),0)</f>
        <v>0</v>
      </c>
      <c r="Q287" s="55">
        <f>IFERROR((VLOOKUP($A287,'Dados StatusInvest'!$A:$AZ,COLUMN(Q287)-$A$5,0)/100),0)</f>
        <v>0.0099</v>
      </c>
      <c r="R287" s="56">
        <f>VLOOKUP($A287,'Dados StatusInvest'!$A:$AZ,COLUMN(R287)-$A$5,0)</f>
        <v>0.17</v>
      </c>
      <c r="S287" s="56">
        <f>IFERROR((VLOOKUP($A287,'Dados StatusInvest'!$A:$AZ,COLUMN(S287)-$A$5,0)),0)</f>
        <v>5.57</v>
      </c>
      <c r="T287" s="53">
        <f>IFERROR((VLOOKUP($A287,'Dados StatusInvest'!$A:$AZ,COLUMN(T287)-$A$5,0)/VLOOKUP($A287,'Dados StatusInvest'!$A:$AZ,2,0)*$F287),0)</f>
        <v>0</v>
      </c>
      <c r="U287" s="53">
        <f>IFERROR((VLOOKUP($A287,'Dados StatusInvest'!$A:$AZ,COLUMN(U287)-$A$5,0)-VLOOKUP($A287,'Dados StatusInvest'!$A:$AZ,COLUMN(U287)-$A$5-1,0)+T287),0)</f>
        <v>-21.21</v>
      </c>
      <c r="V287" s="56">
        <f>IFERROR((VLOOKUP($A287,'Dados StatusInvest'!$A:$AZ,COLUMN(V287)-$A$5,0)),0)</f>
        <v>1.03</v>
      </c>
      <c r="W287" s="56">
        <f>IFERROR((VLOOKUP($A287,'Dados StatusInvest'!$A:$AZ,COLUMN(W287)-$A$5,0)),0)</f>
        <v>16.41</v>
      </c>
      <c r="X287" s="53">
        <f>IFERROR((VLOOKUP($A287,'Dados StatusInvest'!$A:$AZ,COLUMN(X287)-$A$5,0)/VLOOKUP($A287,'Dados StatusInvest'!$A:$AZ,2,0)*$F287),0)</f>
        <v>0</v>
      </c>
      <c r="Y287" s="54">
        <f>IFERROR((VLOOKUP($A287,'Dados StatusInvest'!$A:$AZ,COLUMN(Y287)-$A$5,0)/VLOOKUP($A287,'Dados StatusInvest'!$A:$AZ,2,0)*$F287),0)</f>
        <v>0</v>
      </c>
      <c r="Z287" s="56">
        <f>IFERROR((VLOOKUP($A287,'Dados StatusInvest'!$A:$AZ,COLUMN(Z287)-$A$5,0)),0)</f>
        <v>0.07</v>
      </c>
      <c r="AA287" s="57">
        <f>IFERROR((VLOOKUP($A287,'Dados StatusInvest'!$A:$AZ,COLUMN(AA287)-$A$5,0)),0)</f>
        <v>0.93</v>
      </c>
      <c r="AB287" s="57">
        <f>IFERROR((VLOOKUP($A287,'Dados StatusInvest'!$A:$AZ,COLUMN(AB287)-$A$5,0)),0)</f>
        <v>0.06</v>
      </c>
      <c r="AC287" s="58">
        <f>IFERROR((VLOOKUP($A287,'Dados StatusInvest'!$A:$AZ,COLUMN(AC287)-$A$5,0)),0)</f>
        <v>0</v>
      </c>
      <c r="AD287" s="57">
        <f>IFERROR((VLOOKUP($A287,'Dados StatusInvest'!$A:$AZ,COLUMN(AD287)-$A$5,0)),0)</f>
        <v>0</v>
      </c>
      <c r="AE287" s="56">
        <f>IFERROR((VLOOKUP($A287,'Dados StatusInvest'!$A:$AZ,COLUMN(AE287)-$A$5,0)),0)</f>
        <v>0</v>
      </c>
      <c r="AF287" s="56">
        <f>IFERROR((VLOOKUP($A287,'Dados StatusInvest'!$A:$AZ,COLUMN(AF287)-$A$5,0)),0)</f>
        <v>1.94</v>
      </c>
      <c r="AG287" s="56">
        <f>IFERROR((VLOOKUP($A287,'Dados StatusInvest'!$A:$AZ,COLUMN(AG287)-$A$5,0)),0)</f>
        <v>0.32</v>
      </c>
      <c r="AH287" s="56">
        <f>IFERROR((VLOOKUP($A287,'Dados StatusInvest'!$A:$AZ,COLUMN(AH287)-$A$5,0)),0)</f>
        <v>0.28</v>
      </c>
      <c r="AI287" s="57">
        <f>IFERROR((VLOOKUP($A287,'Dados StatusInvest'!$A:$AZ,COLUMN(AI287)-$A$5,0)),0)</f>
        <v>0</v>
      </c>
      <c r="AJ287" s="59" t="str">
        <f>IFERROR((VLOOKUP($A287,'Dados StatusInvest'!$A:$AZ,COLUMN(AJ287)-$A$5,0)),0)</f>
        <v/>
      </c>
      <c r="AK287" s="60" t="str">
        <f>IFERROR(__xludf.DUMMYFUNCTION("IFERROR(GOOGLEFINANCE($A287,""high""),"""")"),"")</f>
        <v/>
      </c>
      <c r="AL287" s="60" t="str">
        <f>IFERROR(__xludf.DUMMYFUNCTION("IFERROR(GOOGLEFINANCE($A287,""low""),"""")"),"")</f>
        <v/>
      </c>
      <c r="AM287" s="61">
        <f t="shared" si="2"/>
        <v>0</v>
      </c>
      <c r="AN287" s="62">
        <f>IFERROR(__xludf.DUMMYFUNCTION("IFERROR((GOOGLEFINANCE($A287,""volume"")),0)"),0.0)</f>
        <v>0</v>
      </c>
      <c r="AO287" s="60" t="str">
        <f>IFERROR(__xludf.DUMMYFUNCTION("IFERROR((GOOGLEFINANCE($A287,""closeyest"")),"""")"),"")</f>
        <v/>
      </c>
      <c r="AP287" s="60" t="str">
        <f>IFERROR(__xludf.DUMMYFUNCTION("IFERROR((GOOGLEFINANCE($A287,""shares"")),"""")"),"")</f>
        <v/>
      </c>
      <c r="AQ287" s="18"/>
    </row>
    <row r="288">
      <c r="A288" s="45" t="str">
        <f>'Dados StatusInvest'!A283:A902</f>
        <v>GETT3</v>
      </c>
      <c r="B288" s="46" t="str">
        <f>IFERROR(__xludf.DUMMYFUNCTION("IFERROR((GOOGLEFINANCE(A288,""name"")),"""")"),"")</f>
        <v/>
      </c>
      <c r="C288" s="46" t="str">
        <f>IFERROR((VLOOKUP(LEFT($A288,4),Setor!$A:$E,3,0)),"")</f>
        <v/>
      </c>
      <c r="D288" s="46" t="str">
        <f>IFERROR((VLOOKUP(LEFT($A288,4),Setor!$A:$E,4,0)),"")</f>
        <v/>
      </c>
      <c r="E288" s="46" t="str">
        <f>IFERROR((VLOOKUP(LEFT($A288,4),Setor!$A:$E,5,0)),"")</f>
        <v/>
      </c>
      <c r="F288" s="47" t="str">
        <f>IFERROR(__xludf.DUMMYFUNCTION("IFERROR((GOOGLEFINANCE(A288)),"""")"),"")</f>
        <v/>
      </c>
      <c r="G288" s="48" t="str">
        <f>IFERROR(__xludf.DUMMYFUNCTION("IFERROR((sparkline(GOOGLEFINANCE($A288,""price"",TODAY()-30,TODAY(),""DAILY""),{""charttype"",""line"";""linewidth"",1;""color"",""#5f88cc""})),"""")"),"")</f>
        <v/>
      </c>
      <c r="H288" s="49" t="str">
        <f>IFERROR(__xludf.DUMMYFUNCTION("IFERROR((((GOOGLEFINANCE(A288))-(INDEX(GoogleFinance(A288,""PRICE"",$AQ$1),2,2)))/(INDEX(GoogleFinance(A288,""PRICE"",$AQ$1),2,2))),"""")"),"")</f>
        <v/>
      </c>
      <c r="I288" s="47" t="str">
        <f>IFERROR(__xludf.DUMMYFUNCTION("IFERROR((GOOGLEFINANCE($A288,""high52"")),"""")"),"")</f>
        <v/>
      </c>
      <c r="J288" s="48" t="str">
        <f>IFERROR(__xludf.DUMMYFUNCTION("IFERROR((sparkline(GOOGLEFINANCE($A288,""price"",TODAY()-365,TODAY(),""DAILY""),{""charttype"",""line"";""linewidth"",1;""color"",""#5f88cc""})),"""")"),"")</f>
        <v/>
      </c>
      <c r="K288" s="50" t="str">
        <f>IFERROR(__xludf.DUMMYFUNCTION("IFERROR((((GOOGLEFINANCE(A288))-(INDEX(GoogleFinance(A288,""PRICE"",$AP$1),2,2)))/(INDEX(GoogleFinance(A288,""PRICE"",$AP$1),2,2))),"""")"),"")</f>
        <v/>
      </c>
      <c r="L288" s="51">
        <f t="shared" si="1"/>
        <v>0</v>
      </c>
      <c r="M288" s="52">
        <f>IFERROR((VLOOKUP($A288,'Dados StatusInvest'!$A:$AZ,COLUMN(M288)-$A$5,0)*VLOOKUP($A288,'Dados StatusInvest'!$A:$AZ,2,0)/$F288/100),0)</f>
        <v>0</v>
      </c>
      <c r="N288" s="53">
        <f>IFERROR((VLOOKUP($A288,'Dados StatusInvest'!$A:$AZ,COLUMN(N288)-$A$5,0)/VLOOKUP($A288,'Dados StatusInvest'!$A:$AZ,2,0)*$F288),"")</f>
        <v>0</v>
      </c>
      <c r="O288" s="53">
        <f>IFERROR((VLOOKUP($A288,'Dados StatusInvest'!$A:$AZ,COLUMN(O288)-$A$5,0)/VLOOKUP($A288,'Dados StatusInvest'!$A:$AZ,2,0)*$F288),0)</f>
        <v>0</v>
      </c>
      <c r="P288" s="54">
        <f>IFERROR((VLOOKUP($A288,'Dados StatusInvest'!$A:$AZ,COLUMN(P288)-$A$5,0)/VLOOKUP($A288,'Dados StatusInvest'!$A:$AZ,2,0)*$F288),0)</f>
        <v>0</v>
      </c>
      <c r="Q288" s="55">
        <f>IFERROR((VLOOKUP($A288,'Dados StatusInvest'!$A:$AZ,COLUMN(Q288)-$A$5,0)/100),0)</f>
        <v>0.0099</v>
      </c>
      <c r="R288" s="56">
        <f>VLOOKUP($A288,'Dados StatusInvest'!$A:$AZ,COLUMN(R288)-$A$5,0)</f>
        <v>0.17</v>
      </c>
      <c r="S288" s="56">
        <f>IFERROR((VLOOKUP($A288,'Dados StatusInvest'!$A:$AZ,COLUMN(S288)-$A$5,0)),0)</f>
        <v>1.34</v>
      </c>
      <c r="T288" s="53">
        <f>IFERROR((VLOOKUP($A288,'Dados StatusInvest'!$A:$AZ,COLUMN(T288)-$A$5,0)/VLOOKUP($A288,'Dados StatusInvest'!$A:$AZ,2,0)*$F288),0)</f>
        <v>0</v>
      </c>
      <c r="U288" s="53">
        <f>IFERROR((VLOOKUP($A288,'Dados StatusInvest'!$A:$AZ,COLUMN(U288)-$A$5,0)-VLOOKUP($A288,'Dados StatusInvest'!$A:$AZ,COLUMN(U288)-$A$5-1,0)+T288),0)</f>
        <v>-5.09</v>
      </c>
      <c r="V288" s="56">
        <f>IFERROR((VLOOKUP($A288,'Dados StatusInvest'!$A:$AZ,COLUMN(V288)-$A$5,0)),0)</f>
        <v>1.03</v>
      </c>
      <c r="W288" s="56">
        <f>IFERROR((VLOOKUP($A288,'Dados StatusInvest'!$A:$AZ,COLUMN(W288)-$A$5,0)),0)</f>
        <v>16.41</v>
      </c>
      <c r="X288" s="53">
        <f>IFERROR((VLOOKUP($A288,'Dados StatusInvest'!$A:$AZ,COLUMN(X288)-$A$5,0)/VLOOKUP($A288,'Dados StatusInvest'!$A:$AZ,2,0)*$F288),0)</f>
        <v>0</v>
      </c>
      <c r="Y288" s="54">
        <f>IFERROR((VLOOKUP($A288,'Dados StatusInvest'!$A:$AZ,COLUMN(Y288)-$A$5,0)/VLOOKUP($A288,'Dados StatusInvest'!$A:$AZ,2,0)*$F288),0)</f>
        <v>0</v>
      </c>
      <c r="Z288" s="56">
        <f>IFERROR((VLOOKUP($A288,'Dados StatusInvest'!$A:$AZ,COLUMN(Z288)-$A$5,0)),0)</f>
        <v>0.07</v>
      </c>
      <c r="AA288" s="57">
        <f>IFERROR((VLOOKUP($A288,'Dados StatusInvest'!$A:$AZ,COLUMN(AA288)-$A$5,0)),0)</f>
        <v>0.93</v>
      </c>
      <c r="AB288" s="57">
        <f>IFERROR((VLOOKUP($A288,'Dados StatusInvest'!$A:$AZ,COLUMN(AB288)-$A$5,0)),0)</f>
        <v>0.06</v>
      </c>
      <c r="AC288" s="58">
        <f>IFERROR((VLOOKUP($A288,'Dados StatusInvest'!$A:$AZ,COLUMN(AC288)-$A$5,0)),0)</f>
        <v>0</v>
      </c>
      <c r="AD288" s="57">
        <f>IFERROR((VLOOKUP($A288,'Dados StatusInvest'!$A:$AZ,COLUMN(AD288)-$A$5,0)),0)</f>
        <v>0</v>
      </c>
      <c r="AE288" s="56">
        <f>IFERROR((VLOOKUP($A288,'Dados StatusInvest'!$A:$AZ,COLUMN(AE288)-$A$5,0)),0)</f>
        <v>0</v>
      </c>
      <c r="AF288" s="56">
        <f>IFERROR((VLOOKUP($A288,'Dados StatusInvest'!$A:$AZ,COLUMN(AF288)-$A$5,0)),0)</f>
        <v>1.94</v>
      </c>
      <c r="AG288" s="56">
        <f>IFERROR((VLOOKUP($A288,'Dados StatusInvest'!$A:$AZ,COLUMN(AG288)-$A$5,0)),0)</f>
        <v>0.32</v>
      </c>
      <c r="AH288" s="56">
        <f>IFERROR((VLOOKUP($A288,'Dados StatusInvest'!$A:$AZ,COLUMN(AH288)-$A$5,0)),0)</f>
        <v>0.07</v>
      </c>
      <c r="AI288" s="57">
        <f>IFERROR((VLOOKUP($A288,'Dados StatusInvest'!$A:$AZ,COLUMN(AI288)-$A$5,0)),0)</f>
        <v>0</v>
      </c>
      <c r="AJ288" s="59" t="str">
        <f>IFERROR((VLOOKUP($A288,'Dados StatusInvest'!$A:$AZ,COLUMN(AJ288)-$A$5,0)),0)</f>
        <v/>
      </c>
      <c r="AK288" s="60" t="str">
        <f>IFERROR(__xludf.DUMMYFUNCTION("IFERROR(GOOGLEFINANCE($A288,""high""),"""")"),"")</f>
        <v/>
      </c>
      <c r="AL288" s="60" t="str">
        <f>IFERROR(__xludf.DUMMYFUNCTION("IFERROR(GOOGLEFINANCE($A288,""low""),"""")"),"")</f>
        <v/>
      </c>
      <c r="AM288" s="61">
        <f t="shared" si="2"/>
        <v>0</v>
      </c>
      <c r="AN288" s="62">
        <f>IFERROR(__xludf.DUMMYFUNCTION("IFERROR((GOOGLEFINANCE($A288,""volume"")),0)"),0.0)</f>
        <v>0</v>
      </c>
      <c r="AO288" s="60" t="str">
        <f>IFERROR(__xludf.DUMMYFUNCTION("IFERROR((GOOGLEFINANCE($A288,""closeyest"")),"""")"),"")</f>
        <v/>
      </c>
      <c r="AP288" s="60" t="str">
        <f>IFERROR(__xludf.DUMMYFUNCTION("IFERROR((GOOGLEFINANCE($A288,""shares"")),"""")"),"")</f>
        <v/>
      </c>
      <c r="AQ288" s="18"/>
    </row>
    <row r="289">
      <c r="A289" s="45" t="str">
        <f>'Dados StatusInvest'!A284:A903</f>
        <v>GETT4</v>
      </c>
      <c r="B289" s="46" t="str">
        <f>IFERROR(__xludf.DUMMYFUNCTION("IFERROR((GOOGLEFINANCE(A289,""name"")),"""")"),"")</f>
        <v/>
      </c>
      <c r="C289" s="46" t="str">
        <f>IFERROR((VLOOKUP(LEFT($A289,4),Setor!$A:$E,3,0)),"")</f>
        <v/>
      </c>
      <c r="D289" s="46" t="str">
        <f>IFERROR((VLOOKUP(LEFT($A289,4),Setor!$A:$E,4,0)),"")</f>
        <v/>
      </c>
      <c r="E289" s="46" t="str">
        <f>IFERROR((VLOOKUP(LEFT($A289,4),Setor!$A:$E,5,0)),"")</f>
        <v/>
      </c>
      <c r="F289" s="47" t="str">
        <f>IFERROR(__xludf.DUMMYFUNCTION("IFERROR((GOOGLEFINANCE(A289)),"""")"),"")</f>
        <v/>
      </c>
      <c r="G289" s="48" t="str">
        <f>IFERROR(__xludf.DUMMYFUNCTION("IFERROR((sparkline(GOOGLEFINANCE($A289,""price"",TODAY()-30,TODAY(),""DAILY""),{""charttype"",""line"";""linewidth"",1;""color"",""#5f88cc""})),"""")"),"")</f>
        <v/>
      </c>
      <c r="H289" s="49" t="str">
        <f>IFERROR(__xludf.DUMMYFUNCTION("IFERROR((((GOOGLEFINANCE(A289))-(INDEX(GoogleFinance(A289,""PRICE"",$AQ$1),2,2)))/(INDEX(GoogleFinance(A289,""PRICE"",$AQ$1),2,2))),"""")"),"")</f>
        <v/>
      </c>
      <c r="I289" s="47" t="str">
        <f>IFERROR(__xludf.DUMMYFUNCTION("IFERROR((GOOGLEFINANCE($A289,""high52"")),"""")"),"")</f>
        <v/>
      </c>
      <c r="J289" s="48" t="str">
        <f>IFERROR(__xludf.DUMMYFUNCTION("IFERROR((sparkline(GOOGLEFINANCE($A289,""price"",TODAY()-365,TODAY(),""DAILY""),{""charttype"",""line"";""linewidth"",1;""color"",""#5f88cc""})),"""")"),"")</f>
        <v/>
      </c>
      <c r="K289" s="50" t="str">
        <f>IFERROR(__xludf.DUMMYFUNCTION("IFERROR((((GOOGLEFINANCE(A289))-(INDEX(GoogleFinance(A289,""PRICE"",$AP$1),2,2)))/(INDEX(GoogleFinance(A289,""PRICE"",$AP$1),2,2))),"""")"),"")</f>
        <v/>
      </c>
      <c r="L289" s="51">
        <f t="shared" si="1"/>
        <v>0</v>
      </c>
      <c r="M289" s="52">
        <f>IFERROR((VLOOKUP($A289,'Dados StatusInvest'!$A:$AZ,COLUMN(M289)-$A$5,0)*VLOOKUP($A289,'Dados StatusInvest'!$A:$AZ,2,0)/$F289/100),0)</f>
        <v>0</v>
      </c>
      <c r="N289" s="53">
        <f>IFERROR((VLOOKUP($A289,'Dados StatusInvest'!$A:$AZ,COLUMN(N289)-$A$5,0)/VLOOKUP($A289,'Dados StatusInvest'!$A:$AZ,2,0)*$F289),"")</f>
        <v>0</v>
      </c>
      <c r="O289" s="53">
        <f>IFERROR((VLOOKUP($A289,'Dados StatusInvest'!$A:$AZ,COLUMN(O289)-$A$5,0)/VLOOKUP($A289,'Dados StatusInvest'!$A:$AZ,2,0)*$F289),0)</f>
        <v>0</v>
      </c>
      <c r="P289" s="54">
        <f>IFERROR((VLOOKUP($A289,'Dados StatusInvest'!$A:$AZ,COLUMN(P289)-$A$5,0)/VLOOKUP($A289,'Dados StatusInvest'!$A:$AZ,2,0)*$F289),0)</f>
        <v>0</v>
      </c>
      <c r="Q289" s="55">
        <f>IFERROR((VLOOKUP($A289,'Dados StatusInvest'!$A:$AZ,COLUMN(Q289)-$A$5,0)/100),0)</f>
        <v>0.0099</v>
      </c>
      <c r="R289" s="56">
        <f>VLOOKUP($A289,'Dados StatusInvest'!$A:$AZ,COLUMN(R289)-$A$5,0)</f>
        <v>0.17</v>
      </c>
      <c r="S289" s="56">
        <f>IFERROR((VLOOKUP($A289,'Dados StatusInvest'!$A:$AZ,COLUMN(S289)-$A$5,0)),0)</f>
        <v>1.34</v>
      </c>
      <c r="T289" s="53">
        <f>IFERROR((VLOOKUP($A289,'Dados StatusInvest'!$A:$AZ,COLUMN(T289)-$A$5,0)/VLOOKUP($A289,'Dados StatusInvest'!$A:$AZ,2,0)*$F289),0)</f>
        <v>0</v>
      </c>
      <c r="U289" s="53">
        <f>IFERROR((VLOOKUP($A289,'Dados StatusInvest'!$A:$AZ,COLUMN(U289)-$A$5,0)-VLOOKUP($A289,'Dados StatusInvest'!$A:$AZ,COLUMN(U289)-$A$5-1,0)+T289),0)</f>
        <v>-5.09</v>
      </c>
      <c r="V289" s="56">
        <f>IFERROR((VLOOKUP($A289,'Dados StatusInvest'!$A:$AZ,COLUMN(V289)-$A$5,0)),0)</f>
        <v>1.03</v>
      </c>
      <c r="W289" s="56">
        <f>IFERROR((VLOOKUP($A289,'Dados StatusInvest'!$A:$AZ,COLUMN(W289)-$A$5,0)),0)</f>
        <v>16.41</v>
      </c>
      <c r="X289" s="53">
        <f>IFERROR((VLOOKUP($A289,'Dados StatusInvest'!$A:$AZ,COLUMN(X289)-$A$5,0)/VLOOKUP($A289,'Dados StatusInvest'!$A:$AZ,2,0)*$F289),0)</f>
        <v>0</v>
      </c>
      <c r="Y289" s="54">
        <f>IFERROR((VLOOKUP($A289,'Dados StatusInvest'!$A:$AZ,COLUMN(Y289)-$A$5,0)/VLOOKUP($A289,'Dados StatusInvest'!$A:$AZ,2,0)*$F289),0)</f>
        <v>0</v>
      </c>
      <c r="Z289" s="56">
        <f>IFERROR((VLOOKUP($A289,'Dados StatusInvest'!$A:$AZ,COLUMN(Z289)-$A$5,0)),0)</f>
        <v>0.07</v>
      </c>
      <c r="AA289" s="57">
        <f>IFERROR((VLOOKUP($A289,'Dados StatusInvest'!$A:$AZ,COLUMN(AA289)-$A$5,0)),0)</f>
        <v>0.93</v>
      </c>
      <c r="AB289" s="57">
        <f>IFERROR((VLOOKUP($A289,'Dados StatusInvest'!$A:$AZ,COLUMN(AB289)-$A$5,0)),0)</f>
        <v>0.06</v>
      </c>
      <c r="AC289" s="58">
        <f>IFERROR((VLOOKUP($A289,'Dados StatusInvest'!$A:$AZ,COLUMN(AC289)-$A$5,0)),0)</f>
        <v>0</v>
      </c>
      <c r="AD289" s="57">
        <f>IFERROR((VLOOKUP($A289,'Dados StatusInvest'!$A:$AZ,COLUMN(AD289)-$A$5,0)),0)</f>
        <v>0</v>
      </c>
      <c r="AE289" s="56">
        <f>IFERROR((VLOOKUP($A289,'Dados StatusInvest'!$A:$AZ,COLUMN(AE289)-$A$5,0)),0)</f>
        <v>0</v>
      </c>
      <c r="AF289" s="56">
        <f>IFERROR((VLOOKUP($A289,'Dados StatusInvest'!$A:$AZ,COLUMN(AF289)-$A$5,0)),0)</f>
        <v>1.94</v>
      </c>
      <c r="AG289" s="56">
        <f>IFERROR((VLOOKUP($A289,'Dados StatusInvest'!$A:$AZ,COLUMN(AG289)-$A$5,0)),0)</f>
        <v>0.32</v>
      </c>
      <c r="AH289" s="56">
        <f>IFERROR((VLOOKUP($A289,'Dados StatusInvest'!$A:$AZ,COLUMN(AH289)-$A$5,0)),0)</f>
        <v>0.07</v>
      </c>
      <c r="AI289" s="57">
        <f>IFERROR((VLOOKUP($A289,'Dados StatusInvest'!$A:$AZ,COLUMN(AI289)-$A$5,0)),0)</f>
        <v>0</v>
      </c>
      <c r="AJ289" s="59" t="str">
        <f>IFERROR((VLOOKUP($A289,'Dados StatusInvest'!$A:$AZ,COLUMN(AJ289)-$A$5,0)),0)</f>
        <v/>
      </c>
      <c r="AK289" s="60" t="str">
        <f>IFERROR(__xludf.DUMMYFUNCTION("IFERROR(GOOGLEFINANCE($A289,""high""),"""")"),"")</f>
        <v/>
      </c>
      <c r="AL289" s="60" t="str">
        <f>IFERROR(__xludf.DUMMYFUNCTION("IFERROR(GOOGLEFINANCE($A289,""low""),"""")"),"")</f>
        <v/>
      </c>
      <c r="AM289" s="61">
        <f t="shared" si="2"/>
        <v>0</v>
      </c>
      <c r="AN289" s="62">
        <f>IFERROR(__xludf.DUMMYFUNCTION("IFERROR((GOOGLEFINANCE($A289,""volume"")),0)"),0.0)</f>
        <v>0</v>
      </c>
      <c r="AO289" s="60" t="str">
        <f>IFERROR(__xludf.DUMMYFUNCTION("IFERROR((GOOGLEFINANCE($A289,""closeyest"")),"""")"),"")</f>
        <v/>
      </c>
      <c r="AP289" s="60" t="str">
        <f>IFERROR(__xludf.DUMMYFUNCTION("IFERROR((GOOGLEFINANCE($A289,""shares"")),"""")"),"")</f>
        <v/>
      </c>
      <c r="AQ289" s="18"/>
    </row>
    <row r="290">
      <c r="A290" s="45" t="str">
        <f>'Dados StatusInvest'!A285:A904</f>
        <v>GFSA3</v>
      </c>
      <c r="B290" s="46" t="str">
        <f>IFERROR(__xludf.DUMMYFUNCTION("IFERROR((GOOGLEFINANCE(A290,""name"")),"""")"),"Gafisa SA")</f>
        <v>Gafisa SA</v>
      </c>
      <c r="C290" s="46" t="str">
        <f>IFERROR((VLOOKUP(LEFT($A290,4),Setor!$A:$E,3,0)),"")</f>
        <v>Consumo Cíclico</v>
      </c>
      <c r="D290" s="46" t="str">
        <f>IFERROR((VLOOKUP(LEFT($A290,4),Setor!$A:$E,4,0)),"")</f>
        <v>Construção Civil</v>
      </c>
      <c r="E290" s="46" t="str">
        <f>IFERROR((VLOOKUP(LEFT($A290,4),Setor!$A:$E,5,0)),"")</f>
        <v>Incorporações</v>
      </c>
      <c r="F290" s="47">
        <f>IFERROR(__xludf.DUMMYFUNCTION("IFERROR((GOOGLEFINANCE(A290)),"""")"),2.8)</f>
        <v>2.8</v>
      </c>
      <c r="G290" s="48" t="str">
        <f>IFERROR(__xludf.DUMMYFUNCTION("IFERROR((sparkline(GOOGLEFINANCE($A290,""price"",TODAY()-30,TODAY(),""DAILY""),{""charttype"",""line"";""linewidth"",1;""color"",""#5f88cc""})),"""")"),"")</f>
        <v/>
      </c>
      <c r="H290" s="49">
        <f>IFERROR(__xludf.DUMMYFUNCTION("IFERROR((((GOOGLEFINANCE(A290))-(INDEX(GoogleFinance(A290,""PRICE"",$AQ$1),2,2)))/(INDEX(GoogleFinance(A290,""PRICE"",$AQ$1),2,2))),"""")"),-0.308641975308642)</f>
        <v>-0.3086419753</v>
      </c>
      <c r="I290" s="47">
        <f>IFERROR(__xludf.DUMMYFUNCTION("IFERROR((GOOGLEFINANCE($A290,""high52"")),"""")"),55.6)</f>
        <v>55.6</v>
      </c>
      <c r="J290" s="48" t="str">
        <f>IFERROR(__xludf.DUMMYFUNCTION("IFERROR((sparkline(GOOGLEFINANCE($A290,""price"",TODAY()-365,TODAY(),""DAILY""),{""charttype"",""line"";""linewidth"",1;""color"",""#5f88cc""})),"""")"),"")</f>
        <v/>
      </c>
      <c r="K290" s="50">
        <f>IFERROR(__xludf.DUMMYFUNCTION("IFERROR((((GOOGLEFINANCE(A290))-(INDEX(GoogleFinance(A290,""PRICE"",$AP$1),2,2)))/(INDEX(GoogleFinance(A290,""PRICE"",$AP$1),2,2))),"""")"),-0.87324581258488)</f>
        <v>-0.8732458126</v>
      </c>
      <c r="L290" s="51">
        <f t="shared" si="1"/>
        <v>-0.9496402878</v>
      </c>
      <c r="M290" s="52">
        <f>IFERROR((VLOOKUP($A290,'Dados StatusInvest'!$A:$AZ,COLUMN(M290)-$A$5,0)*VLOOKUP($A290,'Dados StatusInvest'!$A:$AZ,2,0)/$F290/100),0)</f>
        <v>-0.06381964286</v>
      </c>
      <c r="N290" s="53">
        <f>IFERROR((VLOOKUP($A290,'Dados StatusInvest'!$A:$AZ,COLUMN(N290)-$A$5,0)/VLOOKUP($A290,'Dados StatusInvest'!$A:$AZ,2,0)*$F290),"")</f>
        <v>-22.18385965</v>
      </c>
      <c r="O290" s="53">
        <f>IFERROR((VLOOKUP($A290,'Dados StatusInvest'!$A:$AZ,COLUMN(O290)-$A$5,0)/VLOOKUP($A290,'Dados StatusInvest'!$A:$AZ,2,0)*$F290),0)</f>
        <v>-1.25754386</v>
      </c>
      <c r="P290" s="54">
        <f>IFERROR((VLOOKUP($A290,'Dados StatusInvest'!$A:$AZ,COLUMN(P290)-$A$5,0)/VLOOKUP($A290,'Dados StatusInvest'!$A:$AZ,2,0)*$F290),0)</f>
        <v>-25.53403509</v>
      </c>
      <c r="Q290" s="55">
        <f>IFERROR((VLOOKUP($A290,'Dados StatusInvest'!$A:$AZ,COLUMN(Q290)-$A$5,0)/100),0)</f>
        <v>-0.247</v>
      </c>
      <c r="R290" s="56">
        <f>VLOOKUP($A290,'Dados StatusInvest'!$A:$AZ,COLUMN(R290)-$A$5,0)</f>
        <v>0.68</v>
      </c>
      <c r="S290" s="56">
        <f>IFERROR((VLOOKUP($A290,'Dados StatusInvest'!$A:$AZ,COLUMN(S290)-$A$5,0)),0)</f>
        <v>0.08</v>
      </c>
      <c r="T290" s="53">
        <f>IFERROR((VLOOKUP($A290,'Dados StatusInvest'!$A:$AZ,COLUMN(T290)-$A$5,0)/VLOOKUP($A290,'Dados StatusInvest'!$A:$AZ,2,0)*$F290),0)</f>
        <v>0.04912280702</v>
      </c>
      <c r="U290" s="53">
        <f>IFERROR((VLOOKUP($A290,'Dados StatusInvest'!$A:$AZ,COLUMN(U290)-$A$5,0)-VLOOKUP($A290,'Dados StatusInvest'!$A:$AZ,COLUMN(U290)-$A$5-1,0)+T290),0)</f>
        <v>-0.03087719298</v>
      </c>
      <c r="V290" s="56">
        <f>IFERROR((VLOOKUP($A290,'Dados StatusInvest'!$A:$AZ,COLUMN(V290)-$A$5,0)),0)</f>
        <v>1.88</v>
      </c>
      <c r="W290" s="56">
        <f>IFERROR((VLOOKUP($A290,'Dados StatusInvest'!$A:$AZ,COLUMN(W290)-$A$5,0)),0)</f>
        <v>-9.87</v>
      </c>
      <c r="X290" s="53">
        <f>IFERROR((VLOOKUP($A290,'Dados StatusInvest'!$A:$AZ,COLUMN(X290)-$A$5,0)/VLOOKUP($A290,'Dados StatusInvest'!$A:$AZ,2,0)*$F290),0)</f>
        <v>-3.870877193</v>
      </c>
      <c r="Y290" s="54">
        <f>IFERROR((VLOOKUP($A290,'Dados StatusInvest'!$A:$AZ,COLUMN(Y290)-$A$5,0)/VLOOKUP($A290,'Dados StatusInvest'!$A:$AZ,2,0)*$F290),0)</f>
        <v>-5.639298246</v>
      </c>
      <c r="Z290" s="56">
        <f>IFERROR((VLOOKUP($A290,'Dados StatusInvest'!$A:$AZ,COLUMN(Z290)-$A$5,0)),0)</f>
        <v>0.4</v>
      </c>
      <c r="AA290" s="57">
        <f>IFERROR((VLOOKUP($A290,'Dados StatusInvest'!$A:$AZ,COLUMN(AA290)-$A$5,0)),0)</f>
        <v>0.6</v>
      </c>
      <c r="AB290" s="57">
        <f>IFERROR((VLOOKUP($A290,'Dados StatusInvest'!$A:$AZ,COLUMN(AB290)-$A$5,0)),0)</f>
        <v>0.17</v>
      </c>
      <c r="AC290" s="58">
        <f>IFERROR((VLOOKUP($A290,'Dados StatusInvest'!$A:$AZ,COLUMN(AC290)-$A$5,0)),0)</f>
        <v>20.38</v>
      </c>
      <c r="AD290" s="57">
        <f>IFERROR((VLOOKUP($A290,'Dados StatusInvest'!$A:$AZ,COLUMN(AD290)-$A$5,0)),0)</f>
        <v>0</v>
      </c>
      <c r="AE290" s="56">
        <f>IFERROR((VLOOKUP($A290,'Dados StatusInvest'!$A:$AZ,COLUMN(AE290)-$A$5,0)),0)</f>
        <v>2966414</v>
      </c>
      <c r="AF290" s="56">
        <f>IFERROR((VLOOKUP($A290,'Dados StatusInvest'!$A:$AZ,COLUMN(AF290)-$A$5,0)),0)</f>
        <v>81.14</v>
      </c>
      <c r="AG290" s="56">
        <f>IFERROR((VLOOKUP($A290,'Dados StatusInvest'!$A:$AZ,COLUMN(AG290)-$A$5,0)),0)</f>
        <v>-8.01</v>
      </c>
      <c r="AH290" s="56">
        <f>IFERROR((VLOOKUP($A290,'Dados StatusInvest'!$A:$AZ,COLUMN(AH290)-$A$5,0)),0)</f>
        <v>0</v>
      </c>
      <c r="AI290" s="57">
        <f>IFERROR((VLOOKUP($A290,'Dados StatusInvest'!$A:$AZ,COLUMN(AI290)-$A$5,0)),0)</f>
        <v>69870383.4</v>
      </c>
      <c r="AJ290" s="59" t="str">
        <f>IFERROR((VLOOKUP($A290,'Dados StatusInvest'!$A:$AZ,COLUMN(AJ290)-$A$5,0)),0)</f>
        <v/>
      </c>
      <c r="AK290" s="60">
        <f>IFERROR(__xludf.DUMMYFUNCTION("IFERROR(GOOGLEFINANCE($A290,""high""),"""")"),2.83)</f>
        <v>2.83</v>
      </c>
      <c r="AL290" s="60">
        <f>IFERROR(__xludf.DUMMYFUNCTION("IFERROR(GOOGLEFINANCE($A290,""low""),"""")"),2.77)</f>
        <v>2.77</v>
      </c>
      <c r="AM290" s="61">
        <f t="shared" si="2"/>
        <v>0.02166064982</v>
      </c>
      <c r="AN290" s="62">
        <f>IFERROR(__xludf.DUMMYFUNCTION("IFERROR((GOOGLEFINANCE($A290,""volume"")),0)"),75200.0)</f>
        <v>75200</v>
      </c>
      <c r="AO290" s="60">
        <f>IFERROR(__xludf.DUMMYFUNCTION("IFERROR((GOOGLEFINANCE($A290,""closeyest"")),"""")"),2.85)</f>
        <v>2.85</v>
      </c>
      <c r="AP290" s="60">
        <f>IFERROR(__xludf.DUMMYFUNCTION("IFERROR((GOOGLEFINANCE($A290,""shares"")),"""")"),2.4515924E7)</f>
        <v>24515924</v>
      </c>
      <c r="AQ290" s="18"/>
    </row>
    <row r="291">
      <c r="A291" s="45" t="str">
        <f>'Dados StatusInvest'!A286:A905</f>
        <v>GGBR3</v>
      </c>
      <c r="B291" s="46" t="str">
        <f>IFERROR(__xludf.DUMMYFUNCTION("IFERROR((GOOGLEFINANCE(A291,""name"")),"""")"),"Gerdau SA")</f>
        <v>Gerdau SA</v>
      </c>
      <c r="C291" s="46" t="str">
        <f>IFERROR((VLOOKUP(LEFT($A291,4),Setor!$A:$E,3,0)),"")</f>
        <v>Materiais Básicos</v>
      </c>
      <c r="D291" s="46" t="str">
        <f>IFERROR((VLOOKUP(LEFT($A291,4),Setor!$A:$E,4,0)),"")</f>
        <v>Siderurgia e Metalurgia</v>
      </c>
      <c r="E291" s="46" t="str">
        <f>IFERROR((VLOOKUP(LEFT($A291,4),Setor!$A:$E,5,0)),"")</f>
        <v>Siderurgia</v>
      </c>
      <c r="F291" s="47">
        <f>IFERROR(__xludf.DUMMYFUNCTION("IFERROR((GOOGLEFINANCE(A291)),"""")"),18.46)</f>
        <v>18.46</v>
      </c>
      <c r="G291" s="48" t="str">
        <f>IFERROR(__xludf.DUMMYFUNCTION("IFERROR((sparkline(GOOGLEFINANCE($A291,""price"",TODAY()-30,TODAY(),""DAILY""),{""charttype"",""line"";""linewidth"",1;""color"",""#5f88cc""})),"""")"),"")</f>
        <v/>
      </c>
      <c r="H291" s="49">
        <f>IFERROR(__xludf.DUMMYFUNCTION("IFERROR((((GOOGLEFINANCE(A291))-(INDEX(GoogleFinance(A291,""PRICE"",$AQ$1),2,2)))/(INDEX(GoogleFinance(A291,""PRICE"",$AQ$1),2,2))),"""")"),-0.038541666666666585)</f>
        <v>-0.03854166667</v>
      </c>
      <c r="I291" s="47">
        <f>IFERROR(__xludf.DUMMYFUNCTION("IFERROR((GOOGLEFINANCE($A291,""high52"")),"""")"),20.6)</f>
        <v>20.6</v>
      </c>
      <c r="J291" s="48" t="str">
        <f>IFERROR(__xludf.DUMMYFUNCTION("IFERROR((sparkline(GOOGLEFINANCE($A291,""price"",TODAY()-365,TODAY(),""DAILY""),{""charttype"",""line"";""linewidth"",1;""color"",""#5f88cc""})),"""")"),"")</f>
        <v/>
      </c>
      <c r="K291" s="50">
        <f>IFERROR(__xludf.DUMMYFUNCTION("IFERROR((((GOOGLEFINANCE(A291))-(INDEX(GoogleFinance(A291,""PRICE"",$AP$1),2,2)))/(INDEX(GoogleFinance(A291,""PRICE"",$AP$1),2,2))),"""")"),0.18485237483953793)</f>
        <v>0.1848523748</v>
      </c>
      <c r="L291" s="51">
        <f t="shared" si="1"/>
        <v>-0.1038834951</v>
      </c>
      <c r="M291" s="52">
        <f>IFERROR((VLOOKUP($A291,'Dados StatusInvest'!$A:$AZ,COLUMN(M291)-$A$5,0)*VLOOKUP($A291,'Dados StatusInvest'!$A:$AZ,2,0)/$F291/100),0)</f>
        <v>0.07932871073</v>
      </c>
      <c r="N291" s="53">
        <f>IFERROR((VLOOKUP($A291,'Dados StatusInvest'!$A:$AZ,COLUMN(N291)-$A$5,0)/VLOOKUP($A291,'Dados StatusInvest'!$A:$AZ,2,0)*$F291),"")</f>
        <v>4.303007031</v>
      </c>
      <c r="O291" s="53">
        <f>IFERROR((VLOOKUP($A291,'Dados StatusInvest'!$A:$AZ,COLUMN(O291)-$A$5,0)/VLOOKUP($A291,'Dados StatusInvest'!$A:$AZ,2,0)*$F291),0)</f>
        <v>6.689129259</v>
      </c>
      <c r="P291" s="54">
        <f>IFERROR((VLOOKUP($A291,'Dados StatusInvest'!$A:$AZ,COLUMN(P291)-$A$5,0)/VLOOKUP($A291,'Dados StatusInvest'!$A:$AZ,2,0)*$F291),0)</f>
        <v>8.975413737</v>
      </c>
      <c r="Q291" s="55">
        <f>IFERROR((VLOOKUP($A291,'Dados StatusInvest'!$A:$AZ,COLUMN(Q291)-$A$5,0)/100),0)</f>
        <v>0.0159</v>
      </c>
      <c r="R291" s="56">
        <f>VLOOKUP($A291,'Dados StatusInvest'!$A:$AZ,COLUMN(R291)-$A$5,0)</f>
        <v>0.16</v>
      </c>
      <c r="S291" s="56">
        <f>IFERROR((VLOOKUP($A291,'Dados StatusInvest'!$A:$AZ,COLUMN(S291)-$A$5,0)),0)</f>
        <v>0.53</v>
      </c>
      <c r="T291" s="53">
        <f>IFERROR((VLOOKUP($A291,'Dados StatusInvest'!$A:$AZ,COLUMN(T291)-$A$5,0)/VLOOKUP($A291,'Dados StatusInvest'!$A:$AZ,2,0)*$F291),0)</f>
        <v>1.757144402</v>
      </c>
      <c r="U291" s="53">
        <f>IFERROR((VLOOKUP($A291,'Dados StatusInvest'!$A:$AZ,COLUMN(U291)-$A$5,0)-VLOOKUP($A291,'Dados StatusInvest'!$A:$AZ,COLUMN(U291)-$A$5-1,0)+T291),0)</f>
        <v>-0.6928555976</v>
      </c>
      <c r="V291" s="56">
        <f>IFERROR((VLOOKUP($A291,'Dados StatusInvest'!$A:$AZ,COLUMN(V291)-$A$5,0)),0)</f>
        <v>2.7</v>
      </c>
      <c r="W291" s="56">
        <f>IFERROR((VLOOKUP($A291,'Dados StatusInvest'!$A:$AZ,COLUMN(W291)-$A$5,0)),0)</f>
        <v>5.5</v>
      </c>
      <c r="X291" s="53">
        <f>IFERROR((VLOOKUP($A291,'Dados StatusInvest'!$A:$AZ,COLUMN(X291)-$A$5,0)/VLOOKUP($A291,'Dados StatusInvest'!$A:$AZ,2,0)*$F291),0)</f>
        <v>3.434418605</v>
      </c>
      <c r="Y291" s="54">
        <f>IFERROR((VLOOKUP($A291,'Dados StatusInvest'!$A:$AZ,COLUMN(Y291)-$A$5,0)/VLOOKUP($A291,'Dados StatusInvest'!$A:$AZ,2,0)*$F291),0)</f>
        <v>5.800573283</v>
      </c>
      <c r="Z291" s="56">
        <f>IFERROR((VLOOKUP($A291,'Dados StatusInvest'!$A:$AZ,COLUMN(Z291)-$A$5,0)),0)</f>
        <v>0.63</v>
      </c>
      <c r="AA291" s="57">
        <f>IFERROR((VLOOKUP($A291,'Dados StatusInvest'!$A:$AZ,COLUMN(AA291)-$A$5,0)),0)</f>
        <v>0.37</v>
      </c>
      <c r="AB291" s="57">
        <f>IFERROR((VLOOKUP($A291,'Dados StatusInvest'!$A:$AZ,COLUMN(AB291)-$A$5,0)),0)</f>
        <v>0.8</v>
      </c>
      <c r="AC291" s="58">
        <f>IFERROR((VLOOKUP($A291,'Dados StatusInvest'!$A:$AZ,COLUMN(AC291)-$A$5,0)),0)</f>
        <v>11.07</v>
      </c>
      <c r="AD291" s="57">
        <f>IFERROR((VLOOKUP($A291,'Dados StatusInvest'!$A:$AZ,COLUMN(AD291)-$A$5,0)),0)</f>
        <v>20.05</v>
      </c>
      <c r="AE291" s="56">
        <f>IFERROR((VLOOKUP($A291,'Dados StatusInvest'!$A:$AZ,COLUMN(AE291)-$A$5,0)),0)</f>
        <v>1010966</v>
      </c>
      <c r="AF291" s="56">
        <f>IFERROR((VLOOKUP($A291,'Dados StatusInvest'!$A:$AZ,COLUMN(AF291)-$A$5,0)),0)</f>
        <v>27.26</v>
      </c>
      <c r="AG291" s="56">
        <f>IFERROR((VLOOKUP($A291,'Dados StatusInvest'!$A:$AZ,COLUMN(AG291)-$A$5,0)),0)</f>
        <v>1.5</v>
      </c>
      <c r="AH291" s="56">
        <f>IFERROR((VLOOKUP($A291,'Dados StatusInvest'!$A:$AZ,COLUMN(AH291)-$A$5,0)),0)</f>
        <v>-0.33</v>
      </c>
      <c r="AI291" s="57">
        <f>IFERROR((VLOOKUP($A291,'Dados StatusInvest'!$A:$AZ,COLUMN(AI291)-$A$5,0)),0)</f>
        <v>40884055167</v>
      </c>
      <c r="AJ291" s="59" t="str">
        <f>IFERROR((VLOOKUP($A291,'Dados StatusInvest'!$A:$AZ,COLUMN(AJ291)-$A$5,0)),0)</f>
        <v/>
      </c>
      <c r="AK291" s="60">
        <f>IFERROR(__xludf.DUMMYFUNCTION("IFERROR(GOOGLEFINANCE($A291,""high""),"""")"),18.46)</f>
        <v>18.46</v>
      </c>
      <c r="AL291" s="60">
        <f>IFERROR(__xludf.DUMMYFUNCTION("IFERROR(GOOGLEFINANCE($A291,""low""),"""")"),18.46)</f>
        <v>18.46</v>
      </c>
      <c r="AM291" s="61">
        <f t="shared" si="2"/>
        <v>0</v>
      </c>
      <c r="AN291" s="62">
        <f>IFERROR(__xludf.DUMMYFUNCTION("IFERROR((GOOGLEFINANCE($A291,""volume"")),0)"),400.0)</f>
        <v>400</v>
      </c>
      <c r="AO291" s="60">
        <f>IFERROR(__xludf.DUMMYFUNCTION("IFERROR((GOOGLEFINANCE($A291,""closeyest"")),"""")"),18.49)</f>
        <v>18.49</v>
      </c>
      <c r="AP291" s="60">
        <f>IFERROR(__xludf.DUMMYFUNCTION("IFERROR((GOOGLEFINANCE($A291,""shares"")),"""")"),7.17782619E8)</f>
        <v>717782619</v>
      </c>
      <c r="AQ291" s="18"/>
    </row>
    <row r="292">
      <c r="A292" s="45" t="str">
        <f>'Dados StatusInvest'!A287:A906</f>
        <v>GGBR4</v>
      </c>
      <c r="B292" s="46" t="str">
        <f>IFERROR(__xludf.DUMMYFUNCTION("IFERROR((GOOGLEFINANCE(A292,""name"")),"""")"),"Gerdau SA Preference Shares")</f>
        <v>Gerdau SA Preference Shares</v>
      </c>
      <c r="C292" s="46" t="str">
        <f>IFERROR((VLOOKUP(LEFT($A292,4),Setor!$A:$E,3,0)),"")</f>
        <v>Materiais Básicos</v>
      </c>
      <c r="D292" s="46" t="str">
        <f>IFERROR((VLOOKUP(LEFT($A292,4),Setor!$A:$E,4,0)),"")</f>
        <v>Siderurgia e Metalurgia</v>
      </c>
      <c r="E292" s="46" t="str">
        <f>IFERROR((VLOOKUP(LEFT($A292,4),Setor!$A:$E,5,0)),"")</f>
        <v>Siderurgia</v>
      </c>
      <c r="F292" s="47">
        <f>IFERROR(__xludf.DUMMYFUNCTION("IFERROR((GOOGLEFINANCE(A292)),"""")"),21.34)</f>
        <v>21.34</v>
      </c>
      <c r="G292" s="48" t="str">
        <f>IFERROR(__xludf.DUMMYFUNCTION("IFERROR((sparkline(GOOGLEFINANCE($A292,""price"",TODAY()-30,TODAY(),""DAILY""),{""charttype"",""line"";""linewidth"",1;""color"",""#5f88cc""})),"""")"),"")</f>
        <v/>
      </c>
      <c r="H292" s="49">
        <f>IFERROR(__xludf.DUMMYFUNCTION("IFERROR((((GOOGLEFINANCE(A292))-(INDEX(GoogleFinance(A292,""PRICE"",$AQ$1),2,2)))/(INDEX(GoogleFinance(A292,""PRICE"",$AQ$1),2,2))),"""")"),-0.054078014184397116)</f>
        <v>-0.05407801418</v>
      </c>
      <c r="I292" s="47">
        <f>IFERROR(__xludf.DUMMYFUNCTION("IFERROR((GOOGLEFINANCE($A292,""high52"")),"""")"),24.08)</f>
        <v>24.08</v>
      </c>
      <c r="J292" s="48" t="str">
        <f>IFERROR(__xludf.DUMMYFUNCTION("IFERROR((sparkline(GOOGLEFINANCE($A292,""price"",TODAY()-365,TODAY(),""DAILY""),{""charttype"",""line"";""linewidth"",1;""color"",""#5f88cc""})),"""")"),"")</f>
        <v/>
      </c>
      <c r="K292" s="50">
        <f>IFERROR(__xludf.DUMMYFUNCTION("IFERROR((((GOOGLEFINANCE(A292))-(INDEX(GoogleFinance(A292,""PRICE"",$AP$1),2,2)))/(INDEX(GoogleFinance(A292,""PRICE"",$AP$1),2,2))),"""")"),0.2988435788192331)</f>
        <v>0.2988435788</v>
      </c>
      <c r="L292" s="51">
        <f t="shared" si="1"/>
        <v>-0.1137873754</v>
      </c>
      <c r="M292" s="52">
        <f>IFERROR((VLOOKUP($A292,'Dados StatusInvest'!$A:$AZ,COLUMN(M292)-$A$5,0)*VLOOKUP($A292,'Dados StatusInvest'!$A:$AZ,2,0)/$F292/100),0)</f>
        <v>0.07986804124</v>
      </c>
      <c r="N292" s="53">
        <f>IFERROR((VLOOKUP($A292,'Dados StatusInvest'!$A:$AZ,COLUMN(N292)-$A$5,0)/VLOOKUP($A292,'Dados StatusInvest'!$A:$AZ,2,0)*$F292),"")</f>
        <v>4.273949814</v>
      </c>
      <c r="O292" s="53">
        <f>IFERROR((VLOOKUP($A292,'Dados StatusInvest'!$A:$AZ,COLUMN(O292)-$A$5,0)/VLOOKUP($A292,'Dados StatusInvest'!$A:$AZ,2,0)*$F292),0)</f>
        <v>7.734758364</v>
      </c>
      <c r="P292" s="54">
        <f>IFERROR((VLOOKUP($A292,'Dados StatusInvest'!$A:$AZ,COLUMN(P292)-$A$5,0)/VLOOKUP($A292,'Dados StatusInvest'!$A:$AZ,2,0)*$F292),0)</f>
        <v>8.914804833</v>
      </c>
      <c r="Q292" s="55">
        <f>IFERROR((VLOOKUP($A292,'Dados StatusInvest'!$A:$AZ,COLUMN(Q292)-$A$5,0)/100),0)</f>
        <v>0.0159</v>
      </c>
      <c r="R292" s="56">
        <f>VLOOKUP($A292,'Dados StatusInvest'!$A:$AZ,COLUMN(R292)-$A$5,0)</f>
        <v>0.16</v>
      </c>
      <c r="S292" s="56">
        <f>IFERROR((VLOOKUP($A292,'Dados StatusInvest'!$A:$AZ,COLUMN(S292)-$A$5,0)),0)</f>
        <v>0.62</v>
      </c>
      <c r="T292" s="53">
        <f>IFERROR((VLOOKUP($A292,'Dados StatusInvest'!$A:$AZ,COLUMN(T292)-$A$5,0)/VLOOKUP($A292,'Dados StatusInvest'!$A:$AZ,2,0)*$F292),0)</f>
        <v>2.03285316</v>
      </c>
      <c r="U292" s="53">
        <f>IFERROR((VLOOKUP($A292,'Dados StatusInvest'!$A:$AZ,COLUMN(U292)-$A$5,0)-VLOOKUP($A292,'Dados StatusInvest'!$A:$AZ,COLUMN(U292)-$A$5-1,0)+T292),0)</f>
        <v>-0.8171468401</v>
      </c>
      <c r="V292" s="56">
        <f>IFERROR((VLOOKUP($A292,'Dados StatusInvest'!$A:$AZ,COLUMN(V292)-$A$5,0)),0)</f>
        <v>2.7</v>
      </c>
      <c r="W292" s="56">
        <f>IFERROR((VLOOKUP($A292,'Dados StatusInvest'!$A:$AZ,COLUMN(W292)-$A$5,0)),0)</f>
        <v>5.5</v>
      </c>
      <c r="X292" s="53">
        <f>IFERROR((VLOOKUP($A292,'Dados StatusInvest'!$A:$AZ,COLUMN(X292)-$A$5,0)/VLOOKUP($A292,'Dados StatusInvest'!$A:$AZ,2,0)*$F292),0)</f>
        <v>3.411226766</v>
      </c>
      <c r="Y292" s="54">
        <f>IFERROR((VLOOKUP($A292,'Dados StatusInvest'!$A:$AZ,COLUMN(Y292)-$A$5,0)/VLOOKUP($A292,'Dados StatusInvest'!$A:$AZ,2,0)*$F292),0)</f>
        <v>5.761403346</v>
      </c>
      <c r="Z292" s="56">
        <f>IFERROR((VLOOKUP($A292,'Dados StatusInvest'!$A:$AZ,COLUMN(Z292)-$A$5,0)),0)</f>
        <v>0.63</v>
      </c>
      <c r="AA292" s="57">
        <f>IFERROR((VLOOKUP($A292,'Dados StatusInvest'!$A:$AZ,COLUMN(AA292)-$A$5,0)),0)</f>
        <v>0.37</v>
      </c>
      <c r="AB292" s="57">
        <f>IFERROR((VLOOKUP($A292,'Dados StatusInvest'!$A:$AZ,COLUMN(AB292)-$A$5,0)),0)</f>
        <v>0.8</v>
      </c>
      <c r="AC292" s="58">
        <f>IFERROR((VLOOKUP($A292,'Dados StatusInvest'!$A:$AZ,COLUMN(AC292)-$A$5,0)),0)</f>
        <v>11.07</v>
      </c>
      <c r="AD292" s="57">
        <f>IFERROR((VLOOKUP($A292,'Dados StatusInvest'!$A:$AZ,COLUMN(AD292)-$A$5,0)),0)</f>
        <v>20.05</v>
      </c>
      <c r="AE292" s="56">
        <f>IFERROR((VLOOKUP($A292,'Dados StatusInvest'!$A:$AZ,COLUMN(AE292)-$A$5,0)),0)</f>
        <v>320000000</v>
      </c>
      <c r="AF292" s="56">
        <f>IFERROR((VLOOKUP($A292,'Dados StatusInvest'!$A:$AZ,COLUMN(AF292)-$A$5,0)),0)</f>
        <v>27.26</v>
      </c>
      <c r="AG292" s="56">
        <f>IFERROR((VLOOKUP($A292,'Dados StatusInvest'!$A:$AZ,COLUMN(AG292)-$A$5,0)),0)</f>
        <v>1.5</v>
      </c>
      <c r="AH292" s="56">
        <f>IFERROR((VLOOKUP($A292,'Dados StatusInvest'!$A:$AZ,COLUMN(AH292)-$A$5,0)),0)</f>
        <v>-0.38</v>
      </c>
      <c r="AI292" s="57">
        <f>IFERROR((VLOOKUP($A292,'Dados StatusInvest'!$A:$AZ,COLUMN(AI292)-$A$5,0)),0)</f>
        <v>40884055167</v>
      </c>
      <c r="AJ292" s="59" t="str">
        <f>IFERROR((VLOOKUP($A292,'Dados StatusInvest'!$A:$AZ,COLUMN(AJ292)-$A$5,0)),0)</f>
        <v/>
      </c>
      <c r="AK292" s="60">
        <f>IFERROR(__xludf.DUMMYFUNCTION("IFERROR(GOOGLEFINANCE($A292,""high""),"""")"),21.47)</f>
        <v>21.47</v>
      </c>
      <c r="AL292" s="60">
        <f>IFERROR(__xludf.DUMMYFUNCTION("IFERROR(GOOGLEFINANCE($A292,""low""),"""")"),21.27)</f>
        <v>21.27</v>
      </c>
      <c r="AM292" s="61">
        <f t="shared" si="2"/>
        <v>0.009402914904</v>
      </c>
      <c r="AN292" s="62">
        <f>IFERROR(__xludf.DUMMYFUNCTION("IFERROR((GOOGLEFINANCE($A292,""volume"")),0)"),246800.0)</f>
        <v>246800</v>
      </c>
      <c r="AO292" s="60">
        <f>IFERROR(__xludf.DUMMYFUNCTION("IFERROR((GOOGLEFINANCE($A292,""closeyest"")),"""")"),21.52)</f>
        <v>21.52</v>
      </c>
      <c r="AP292" s="60">
        <f>IFERROR(__xludf.DUMMYFUNCTION("IFERROR((GOOGLEFINANCE($A292,""shares"")),"""")"),1.28309733E9)</f>
        <v>1283097330</v>
      </c>
      <c r="AQ292" s="18"/>
    </row>
    <row r="293">
      <c r="A293" s="45" t="str">
        <f>'Dados StatusInvest'!A288:A907</f>
        <v>GGPS3</v>
      </c>
      <c r="B293" s="46" t="str">
        <f>IFERROR(__xludf.DUMMYFUNCTION("IFERROR((GOOGLEFINANCE(A293,""name"")),"""")"),"GPS Participacoes e Empreendimentos SA")</f>
        <v>GPS Participacoes e Empreendimentos SA</v>
      </c>
      <c r="C293" s="46" t="str">
        <f>IFERROR((VLOOKUP(LEFT($A293,4),Setor!$A:$E,3,0)),"")</f>
        <v>Outros</v>
      </c>
      <c r="D293" s="46" t="str">
        <f>IFERROR((VLOOKUP(LEFT($A293,4),Setor!$A:$E,4,0)),"")</f>
        <v>Serviços Diversos</v>
      </c>
      <c r="E293" s="46" t="str">
        <f>IFERROR((VLOOKUP(LEFT($A293,4),Setor!$A:$E,5,0)),"")</f>
        <v>Serviços Diversos</v>
      </c>
      <c r="F293" s="47">
        <f>IFERROR(__xludf.DUMMYFUNCTION("IFERROR((GOOGLEFINANCE(A293)),"""")"),19.14)</f>
        <v>19.14</v>
      </c>
      <c r="G293" s="48" t="str">
        <f>IFERROR(__xludf.DUMMYFUNCTION("IFERROR((sparkline(GOOGLEFINANCE($A293,""price"",TODAY()-30,TODAY(),""DAILY""),{""charttype"",""line"";""linewidth"",1;""color"",""#5f88cc""})),"""")"),"")</f>
        <v/>
      </c>
      <c r="H293" s="49">
        <f>IFERROR(__xludf.DUMMYFUNCTION("IFERROR((((GOOGLEFINANCE(A293))-(INDEX(GoogleFinance(A293,""PRICE"",$AQ$1),2,2)))/(INDEX(GoogleFinance(A293,""PRICE"",$AQ$1),2,2))),"""")"),0.1134380453752181)</f>
        <v>0.1134380454</v>
      </c>
      <c r="I293" s="47">
        <f>IFERROR(__xludf.DUMMYFUNCTION("IFERROR((GOOGLEFINANCE($A293,""high52"")),"""")"),19.43)</f>
        <v>19.43</v>
      </c>
      <c r="J293" s="48" t="str">
        <f>IFERROR(__xludf.DUMMYFUNCTION("IFERROR((sparkline(GOOGLEFINANCE($A293,""price"",TODAY()-365,TODAY(),""DAILY""),{""charttype"",""line"";""linewidth"",1;""color"",""#5f88cc""})),"""")"),"")</f>
        <v/>
      </c>
      <c r="K293" s="50">
        <f>IFERROR(__xludf.DUMMYFUNCTION("IFERROR((((GOOGLEFINANCE(A293))-(INDEX(GoogleFinance(A293,""PRICE"",$AP$1),2,2)))/(INDEX(GoogleFinance(A293,""PRICE"",$AP$1),2,2))),"""")"),0.4032258064516129)</f>
        <v>0.4032258065</v>
      </c>
      <c r="L293" s="51">
        <f t="shared" si="1"/>
        <v>-0.01492537313</v>
      </c>
      <c r="M293" s="52">
        <f>IFERROR((VLOOKUP($A293,'Dados StatusInvest'!$A:$AZ,COLUMN(M293)-$A$5,0)*VLOOKUP($A293,'Dados StatusInvest'!$A:$AZ,2,0)/$F293/100),0)</f>
        <v>0.08434430512</v>
      </c>
      <c r="N293" s="53">
        <f>IFERROR((VLOOKUP($A293,'Dados StatusInvest'!$A:$AZ,COLUMN(N293)-$A$5,0)/VLOOKUP($A293,'Dados StatusInvest'!$A:$AZ,2,0)*$F293),"")</f>
        <v>3.818159383</v>
      </c>
      <c r="O293" s="53">
        <f>IFERROR((VLOOKUP($A293,'Dados StatusInvest'!$A:$AZ,COLUMN(O293)-$A$5,0)/VLOOKUP($A293,'Dados StatusInvest'!$A:$AZ,2,0)*$F293),0)</f>
        <v>10.19487918</v>
      </c>
      <c r="P293" s="54">
        <f>IFERROR((VLOOKUP($A293,'Dados StatusInvest'!$A:$AZ,COLUMN(P293)-$A$5,0)/VLOOKUP($A293,'Dados StatusInvest'!$A:$AZ,2,0)*$F293),0)</f>
        <v>11.65129049</v>
      </c>
      <c r="Q293" s="55">
        <f>IFERROR((VLOOKUP($A293,'Dados StatusInvest'!$A:$AZ,COLUMN(Q293)-$A$5,0)/100),0)</f>
        <v>0.0148</v>
      </c>
      <c r="R293" s="56">
        <f>VLOOKUP($A293,'Dados StatusInvest'!$A:$AZ,COLUMN(R293)-$A$5,0)</f>
        <v>0.53</v>
      </c>
      <c r="S293" s="56">
        <f>IFERROR((VLOOKUP($A293,'Dados StatusInvest'!$A:$AZ,COLUMN(S293)-$A$5,0)),0)</f>
        <v>0.86</v>
      </c>
      <c r="T293" s="53">
        <f>IFERROR((VLOOKUP($A293,'Dados StatusInvest'!$A:$AZ,COLUMN(T293)-$A$5,0)/VLOOKUP($A293,'Dados StatusInvest'!$A:$AZ,2,0)*$F293),0)</f>
        <v>3.572143959</v>
      </c>
      <c r="U293" s="53">
        <f>IFERROR((VLOOKUP($A293,'Dados StatusInvest'!$A:$AZ,COLUMN(U293)-$A$5,0)-VLOOKUP($A293,'Dados StatusInvest'!$A:$AZ,COLUMN(U293)-$A$5-1,0)+T293),0)</f>
        <v>-2.207856041</v>
      </c>
      <c r="V293" s="56">
        <f>IFERROR((VLOOKUP($A293,'Dados StatusInvest'!$A:$AZ,COLUMN(V293)-$A$5,0)),0)</f>
        <v>2.13</v>
      </c>
      <c r="W293" s="56">
        <f>IFERROR((VLOOKUP($A293,'Dados StatusInvest'!$A:$AZ,COLUMN(W293)-$A$5,0)),0)</f>
        <v>16.89</v>
      </c>
      <c r="X293" s="53">
        <f>IFERROR((VLOOKUP($A293,'Dados StatusInvest'!$A:$AZ,COLUMN(X293)-$A$5,0)/VLOOKUP($A293,'Dados StatusInvest'!$A:$AZ,2,0)*$F293),0)</f>
        <v>4.507002571</v>
      </c>
      <c r="Y293" s="54">
        <f>IFERROR((VLOOKUP($A293,'Dados StatusInvest'!$A:$AZ,COLUMN(Y293)-$A$5,0)/VLOOKUP($A293,'Dados StatusInvest'!$A:$AZ,2,0)*$F293),0)</f>
        <v>13.53084833</v>
      </c>
      <c r="Z293" s="56">
        <f>IFERROR((VLOOKUP($A293,'Dados StatusInvest'!$A:$AZ,COLUMN(Z293)-$A$5,0)),0)</f>
        <v>0.27</v>
      </c>
      <c r="AA293" s="57">
        <f>IFERROR((VLOOKUP($A293,'Dados StatusInvest'!$A:$AZ,COLUMN(AA293)-$A$5,0)),0)</f>
        <v>0.73</v>
      </c>
      <c r="AB293" s="57">
        <f>IFERROR((VLOOKUP($A293,'Dados StatusInvest'!$A:$AZ,COLUMN(AB293)-$A$5,0)),0)</f>
        <v>1.18</v>
      </c>
      <c r="AC293" s="58">
        <f>IFERROR((VLOOKUP($A293,'Dados StatusInvest'!$A:$AZ,COLUMN(AC293)-$A$5,0)),0)</f>
        <v>27.93</v>
      </c>
      <c r="AD293" s="57">
        <f>IFERROR((VLOOKUP($A293,'Dados StatusInvest'!$A:$AZ,COLUMN(AD293)-$A$5,0)),0)</f>
        <v>25.4</v>
      </c>
      <c r="AE293" s="56">
        <f>IFERROR((VLOOKUP($A293,'Dados StatusInvest'!$A:$AZ,COLUMN(AE293)-$A$5,0)),0)</f>
        <v>56898091</v>
      </c>
      <c r="AF293" s="56">
        <f>IFERROR((VLOOKUP($A293,'Dados StatusInvest'!$A:$AZ,COLUMN(AF293)-$A$5,0)),0)</f>
        <v>5.2</v>
      </c>
      <c r="AG293" s="56">
        <f>IFERROR((VLOOKUP($A293,'Dados StatusInvest'!$A:$AZ,COLUMN(AG293)-$A$5,0)),0)</f>
        <v>0.88</v>
      </c>
      <c r="AH293" s="56">
        <f>IFERROR((VLOOKUP($A293,'Dados StatusInvest'!$A:$AZ,COLUMN(AH293)-$A$5,0)),0)</f>
        <v>-10.23</v>
      </c>
      <c r="AI293" s="57">
        <f>IFERROR((VLOOKUP($A293,'Dados StatusInvest'!$A:$AZ,COLUMN(AI293)-$A$5,0)),0)</f>
        <v>14587694092</v>
      </c>
      <c r="AJ293" s="59" t="str">
        <f>IFERROR((VLOOKUP($A293,'Dados StatusInvest'!$A:$AZ,COLUMN(AJ293)-$A$5,0)),0)</f>
        <v/>
      </c>
      <c r="AK293" s="60">
        <f>IFERROR(__xludf.DUMMYFUNCTION("IFERROR(GOOGLEFINANCE($A293,""high""),"""")"),19.43)</f>
        <v>19.43</v>
      </c>
      <c r="AL293" s="60">
        <f>IFERROR(__xludf.DUMMYFUNCTION("IFERROR(GOOGLEFINANCE($A293,""low""),"""")"),19.14)</f>
        <v>19.14</v>
      </c>
      <c r="AM293" s="61">
        <f t="shared" si="2"/>
        <v>0.01515151515</v>
      </c>
      <c r="AN293" s="62">
        <f>IFERROR(__xludf.DUMMYFUNCTION("IFERROR((GOOGLEFINANCE($A293,""volume"")),0)"),18300.0)</f>
        <v>18300</v>
      </c>
      <c r="AO293" s="60">
        <f>IFERROR(__xludf.DUMMYFUNCTION("IFERROR((GOOGLEFINANCE($A293,""closeyest"")),"""")"),19.45)</f>
        <v>19.45</v>
      </c>
      <c r="AP293" s="60">
        <f>IFERROR(__xludf.DUMMYFUNCTION("IFERROR((GOOGLEFINANCE($A293,""shares"")),"""")"),7.50009979E8)</f>
        <v>750009979</v>
      </c>
      <c r="AQ293" s="18"/>
    </row>
    <row r="294">
      <c r="A294" s="45" t="str">
        <f>'Dados StatusInvest'!A289:A908</f>
        <v>GMAT3</v>
      </c>
      <c r="B294" s="46" t="str">
        <f>IFERROR(__xludf.DUMMYFUNCTION("IFERROR((GOOGLEFINANCE(A294,""name"")),"""")"),"Grupo Mateus SA")</f>
        <v>Grupo Mateus SA</v>
      </c>
      <c r="C294" s="46" t="str">
        <f>IFERROR((VLOOKUP(LEFT($A294,4),Setor!$A:$E,3,0)),"")</f>
        <v>Consumo não Cíclico</v>
      </c>
      <c r="D294" s="46" t="str">
        <f>IFERROR((VLOOKUP(LEFT($A294,4),Setor!$A:$E,4,0)),"")</f>
        <v>Comércio e Distribuição</v>
      </c>
      <c r="E294" s="46" t="str">
        <f>IFERROR((VLOOKUP(LEFT($A294,4),Setor!$A:$E,5,0)),"")</f>
        <v>Alimentos</v>
      </c>
      <c r="F294" s="47">
        <f>IFERROR(__xludf.DUMMYFUNCTION("IFERROR((GOOGLEFINANCE(A294)),"""")"),5.58)</f>
        <v>5.58</v>
      </c>
      <c r="G294" s="48" t="str">
        <f>IFERROR(__xludf.DUMMYFUNCTION("IFERROR((sparkline(GOOGLEFINANCE($A294,""price"",TODAY()-30,TODAY(),""DAILY""),{""charttype"",""line"";""linewidth"",1;""color"",""#5f88cc""})),"""")"),"")</f>
        <v/>
      </c>
      <c r="H294" s="49">
        <f>IFERROR(__xludf.DUMMYFUNCTION("IFERROR((((GOOGLEFINANCE(A294))-(INDEX(GoogleFinance(A294,""PRICE"",$AQ$1),2,2)))/(INDEX(GoogleFinance(A294,""PRICE"",$AQ$1),2,2))),"""")"),0.16250000000000006)</f>
        <v>0.1625</v>
      </c>
      <c r="I294" s="47">
        <f>IFERROR(__xludf.DUMMYFUNCTION("IFERROR((GOOGLEFINANCE($A294,""high52"")),"""")"),8.21)</f>
        <v>8.21</v>
      </c>
      <c r="J294" s="48" t="str">
        <f>IFERROR(__xludf.DUMMYFUNCTION("IFERROR((sparkline(GOOGLEFINANCE($A294,""price"",TODAY()-365,TODAY(),""DAILY""),{""charttype"",""line"";""linewidth"",1;""color"",""#5f88cc""})),"""")"),"")</f>
        <v/>
      </c>
      <c r="K294" s="50">
        <f>IFERROR(__xludf.DUMMYFUNCTION("IFERROR((((GOOGLEFINANCE(A294))-(INDEX(GoogleFinance(A294,""PRICE"",$AP$1),2,2)))/(INDEX(GoogleFinance(A294,""PRICE"",$AP$1),2,2))),"""")"),-0.2062588904694168)</f>
        <v>-0.2062588905</v>
      </c>
      <c r="L294" s="51">
        <f t="shared" si="1"/>
        <v>-0.3203410475</v>
      </c>
      <c r="M294" s="52">
        <f>IFERROR((VLOOKUP($A294,'Dados StatusInvest'!$A:$AZ,COLUMN(M294)-$A$5,0)*VLOOKUP($A294,'Dados StatusInvest'!$A:$AZ,2,0)/$F294/100),0)</f>
        <v>0.0668</v>
      </c>
      <c r="N294" s="53">
        <f>IFERROR((VLOOKUP($A294,'Dados StatusInvest'!$A:$AZ,COLUMN(N294)-$A$5,0)/VLOOKUP($A294,'Dados StatusInvest'!$A:$AZ,2,0)*$F294),"")</f>
        <v>5.14</v>
      </c>
      <c r="O294" s="53">
        <f>IFERROR((VLOOKUP($A294,'Dados StatusInvest'!$A:$AZ,COLUMN(O294)-$A$5,0)/VLOOKUP($A294,'Dados StatusInvest'!$A:$AZ,2,0)*$F294),0)</f>
        <v>5.25</v>
      </c>
      <c r="P294" s="54">
        <f>IFERROR((VLOOKUP($A294,'Dados StatusInvest'!$A:$AZ,COLUMN(P294)-$A$5,0)/VLOOKUP($A294,'Dados StatusInvest'!$A:$AZ,2,0)*$F294),0)</f>
        <v>5.84</v>
      </c>
      <c r="Q294" s="55">
        <f>IFERROR((VLOOKUP($A294,'Dados StatusInvest'!$A:$AZ,COLUMN(Q294)-$A$5,0)/100),0)</f>
        <v>0.0059</v>
      </c>
      <c r="R294" s="56">
        <f>VLOOKUP($A294,'Dados StatusInvest'!$A:$AZ,COLUMN(R294)-$A$5,0)</f>
        <v>0.14</v>
      </c>
      <c r="S294" s="56">
        <f>IFERROR((VLOOKUP($A294,'Dados StatusInvest'!$A:$AZ,COLUMN(S294)-$A$5,0)),0)</f>
        <v>0.35</v>
      </c>
      <c r="T294" s="53">
        <f>IFERROR((VLOOKUP($A294,'Dados StatusInvest'!$A:$AZ,COLUMN(T294)-$A$5,0)/VLOOKUP($A294,'Dados StatusInvest'!$A:$AZ,2,0)*$F294),0)</f>
        <v>2.15</v>
      </c>
      <c r="U294" s="53">
        <f>IFERROR((VLOOKUP($A294,'Dados StatusInvest'!$A:$AZ,COLUMN(U294)-$A$5,0)-VLOOKUP($A294,'Dados StatusInvest'!$A:$AZ,COLUMN(U294)-$A$5-1,0)+T294),0)</f>
        <v>-1.14</v>
      </c>
      <c r="V294" s="56">
        <f>IFERROR((VLOOKUP($A294,'Dados StatusInvest'!$A:$AZ,COLUMN(V294)-$A$5,0)),0)</f>
        <v>1.93</v>
      </c>
      <c r="W294" s="56">
        <f>IFERROR((VLOOKUP($A294,'Dados StatusInvest'!$A:$AZ,COLUMN(W294)-$A$5,0)),0)</f>
        <v>18.46</v>
      </c>
      <c r="X294" s="53">
        <f>IFERROR((VLOOKUP($A294,'Dados StatusInvest'!$A:$AZ,COLUMN(X294)-$A$5,0)/VLOOKUP($A294,'Dados StatusInvest'!$A:$AZ,2,0)*$F294),0)</f>
        <v>7.94</v>
      </c>
      <c r="Y294" s="54">
        <f>IFERROR((VLOOKUP($A294,'Dados StatusInvest'!$A:$AZ,COLUMN(Y294)-$A$5,0)/VLOOKUP($A294,'Dados StatusInvest'!$A:$AZ,2,0)*$F294),0)</f>
        <v>15.37</v>
      </c>
      <c r="Z294" s="56">
        <f>IFERROR((VLOOKUP($A294,'Dados StatusInvest'!$A:$AZ,COLUMN(Z294)-$A$5,0)),0)</f>
        <v>0.43</v>
      </c>
      <c r="AA294" s="57">
        <f>IFERROR((VLOOKUP($A294,'Dados StatusInvest'!$A:$AZ,COLUMN(AA294)-$A$5,0)),0)</f>
        <v>0.53</v>
      </c>
      <c r="AB294" s="57">
        <f>IFERROR((VLOOKUP($A294,'Dados StatusInvest'!$A:$AZ,COLUMN(AB294)-$A$5,0)),0)</f>
        <v>1.54</v>
      </c>
      <c r="AC294" s="58">
        <f>IFERROR((VLOOKUP($A294,'Dados StatusInvest'!$A:$AZ,COLUMN(AC294)-$A$5,0)),0)</f>
        <v>31.9</v>
      </c>
      <c r="AD294" s="57">
        <f>IFERROR((VLOOKUP($A294,'Dados StatusInvest'!$A:$AZ,COLUMN(AD294)-$A$5,0)),0)</f>
        <v>41</v>
      </c>
      <c r="AE294" s="56">
        <f>IFERROR((VLOOKUP($A294,'Dados StatusInvest'!$A:$AZ,COLUMN(AE294)-$A$5,0)),0)</f>
        <v>42505218</v>
      </c>
      <c r="AF294" s="56">
        <f>IFERROR((VLOOKUP($A294,'Dados StatusInvest'!$A:$AZ,COLUMN(AF294)-$A$5,0)),0)</f>
        <v>4.42</v>
      </c>
      <c r="AG294" s="56">
        <f>IFERROR((VLOOKUP($A294,'Dados StatusInvest'!$A:$AZ,COLUMN(AG294)-$A$5,0)),0)</f>
        <v>0.82</v>
      </c>
      <c r="AH294" s="56">
        <f>IFERROR((VLOOKUP($A294,'Dados StatusInvest'!$A:$AZ,COLUMN(AH294)-$A$5,0)),0)</f>
        <v>0.16</v>
      </c>
      <c r="AI294" s="57">
        <f>IFERROR((VLOOKUP($A294,'Dados StatusInvest'!$A:$AZ,COLUMN(AI294)-$A$5,0)),0)</f>
        <v>12854604529</v>
      </c>
      <c r="AJ294" s="59" t="str">
        <f>IFERROR((VLOOKUP($A294,'Dados StatusInvest'!$A:$AZ,COLUMN(AJ294)-$A$5,0)),0)</f>
        <v/>
      </c>
      <c r="AK294" s="60">
        <f>IFERROR(__xludf.DUMMYFUNCTION("IFERROR(GOOGLEFINANCE($A294,""high""),"""")"),5.6)</f>
        <v>5.6</v>
      </c>
      <c r="AL294" s="60">
        <f>IFERROR(__xludf.DUMMYFUNCTION("IFERROR(GOOGLEFINANCE($A294,""low""),"""")"),5.55)</f>
        <v>5.55</v>
      </c>
      <c r="AM294" s="61">
        <f t="shared" si="2"/>
        <v>0.009009009009</v>
      </c>
      <c r="AN294" s="62">
        <f>IFERROR(__xludf.DUMMYFUNCTION("IFERROR((GOOGLEFINANCE($A294,""volume"")),0)"),358000.0)</f>
        <v>358000</v>
      </c>
      <c r="AO294" s="60">
        <f>IFERROR(__xludf.DUMMYFUNCTION("IFERROR((GOOGLEFINANCE($A294,""closeyest"")),"""")"),5.58)</f>
        <v>5.58</v>
      </c>
      <c r="AP294" s="60">
        <f>IFERROR(__xludf.DUMMYFUNCTION("IFERROR((GOOGLEFINANCE($A294,""shares"")),"""")"),2.303692568E9)</f>
        <v>2303692568</v>
      </c>
      <c r="AQ294" s="18"/>
    </row>
    <row r="295">
      <c r="A295" s="45" t="str">
        <f>'Dados StatusInvest'!A290:A909</f>
        <v>GNDI3</v>
      </c>
      <c r="B295" s="46" t="str">
        <f>IFERROR(__xludf.DUMMYFUNCTION("IFERROR((GOOGLEFINANCE(A295,""name"")),"""")"),"")</f>
        <v/>
      </c>
      <c r="C295" s="46" t="str">
        <f>IFERROR((VLOOKUP(LEFT($A295,4),Setor!$A:$E,3,0)),"")</f>
        <v>Saúde</v>
      </c>
      <c r="D295" s="46" t="str">
        <f>IFERROR((VLOOKUP(LEFT($A295,4),Setor!$A:$E,4,0)),"")</f>
        <v>Análises e Diagnósticos</v>
      </c>
      <c r="E295" s="46" t="str">
        <f>IFERROR((VLOOKUP(LEFT($A295,4),Setor!$A:$E,5,0)),"")</f>
        <v>Análises e Diagnósticos</v>
      </c>
      <c r="F295" s="47" t="str">
        <f>IFERROR(__xludf.DUMMYFUNCTION("IFERROR((GOOGLEFINANCE(A295)),"""")"),"")</f>
        <v/>
      </c>
      <c r="G295" s="48" t="str">
        <f>IFERROR(__xludf.DUMMYFUNCTION("IFERROR((sparkline(GOOGLEFINANCE($A295,""price"",TODAY()-30,TODAY(),""DAILY""),{""charttype"",""line"";""linewidth"",1;""color"",""#5f88cc""})),"""")"),"")</f>
        <v/>
      </c>
      <c r="H295" s="49" t="str">
        <f>IFERROR(__xludf.DUMMYFUNCTION("IFERROR((((GOOGLEFINANCE(A295))-(INDEX(GoogleFinance(A295,""PRICE"",$AQ$1),2,2)))/(INDEX(GoogleFinance(A295,""PRICE"",$AQ$1),2,2))),"""")"),"")</f>
        <v/>
      </c>
      <c r="I295" s="47" t="str">
        <f>IFERROR(__xludf.DUMMYFUNCTION("IFERROR((GOOGLEFINANCE($A295,""high52"")),"""")"),"")</f>
        <v/>
      </c>
      <c r="J295" s="48" t="str">
        <f>IFERROR(__xludf.DUMMYFUNCTION("IFERROR((sparkline(GOOGLEFINANCE($A295,""price"",TODAY()-365,TODAY(),""DAILY""),{""charttype"",""line"";""linewidth"",1;""color"",""#5f88cc""})),"""")"),"")</f>
        <v/>
      </c>
      <c r="K295" s="50" t="str">
        <f>IFERROR(__xludf.DUMMYFUNCTION("IFERROR((((GOOGLEFINANCE(A295))-(INDEX(GoogleFinance(A295,""PRICE"",$AP$1),2,2)))/(INDEX(GoogleFinance(A295,""PRICE"",$AP$1),2,2))),"""")"),"")</f>
        <v/>
      </c>
      <c r="L295" s="51">
        <f t="shared" si="1"/>
        <v>0</v>
      </c>
      <c r="M295" s="52">
        <f>IFERROR((VLOOKUP($A295,'Dados StatusInvest'!$A:$AZ,COLUMN(M295)-$A$5,0)*VLOOKUP($A295,'Dados StatusInvest'!$A:$AZ,2,0)/$F295/100),0)</f>
        <v>0</v>
      </c>
      <c r="N295" s="53">
        <f>IFERROR((VLOOKUP($A295,'Dados StatusInvest'!$A:$AZ,COLUMN(N295)-$A$5,0)/VLOOKUP($A295,'Dados StatusInvest'!$A:$AZ,2,0)*$F295),"")</f>
        <v>0</v>
      </c>
      <c r="O295" s="53">
        <f>IFERROR((VLOOKUP($A295,'Dados StatusInvest'!$A:$AZ,COLUMN(O295)-$A$5,0)/VLOOKUP($A295,'Dados StatusInvest'!$A:$AZ,2,0)*$F295),0)</f>
        <v>0</v>
      </c>
      <c r="P295" s="54">
        <f>IFERROR((VLOOKUP($A295,'Dados StatusInvest'!$A:$AZ,COLUMN(P295)-$A$5,0)/VLOOKUP($A295,'Dados StatusInvest'!$A:$AZ,2,0)*$F295),0)</f>
        <v>0</v>
      </c>
      <c r="Q295" s="55">
        <f>IFERROR((VLOOKUP($A295,'Dados StatusInvest'!$A:$AZ,COLUMN(Q295)-$A$5,0)/100),0)</f>
        <v>0.049</v>
      </c>
      <c r="R295" s="56">
        <f>VLOOKUP($A295,'Dados StatusInvest'!$A:$AZ,COLUMN(R295)-$A$5,0)</f>
        <v>0.27</v>
      </c>
      <c r="S295" s="56">
        <f>IFERROR((VLOOKUP($A295,'Dados StatusInvest'!$A:$AZ,COLUMN(S295)-$A$5,0)),0)</f>
        <v>3.42</v>
      </c>
      <c r="T295" s="53">
        <f>IFERROR((VLOOKUP($A295,'Dados StatusInvest'!$A:$AZ,COLUMN(T295)-$A$5,0)/VLOOKUP($A295,'Dados StatusInvest'!$A:$AZ,2,0)*$F295),0)</f>
        <v>0</v>
      </c>
      <c r="U295" s="53">
        <f>IFERROR((VLOOKUP($A295,'Dados StatusInvest'!$A:$AZ,COLUMN(U295)-$A$5,0)-VLOOKUP($A295,'Dados StatusInvest'!$A:$AZ,COLUMN(U295)-$A$5-1,0)+T295),0)</f>
        <v>-82.66</v>
      </c>
      <c r="V295" s="56">
        <f>IFERROR((VLOOKUP($A295,'Dados StatusInvest'!$A:$AZ,COLUMN(V295)-$A$5,0)),0)</f>
        <v>1.17</v>
      </c>
      <c r="W295" s="56">
        <f>IFERROR((VLOOKUP($A295,'Dados StatusInvest'!$A:$AZ,COLUMN(W295)-$A$5,0)),0)</f>
        <v>-0.16</v>
      </c>
      <c r="X295" s="53">
        <f>IFERROR((VLOOKUP($A295,'Dados StatusInvest'!$A:$AZ,COLUMN(X295)-$A$5,0)/VLOOKUP($A295,'Dados StatusInvest'!$A:$AZ,2,0)*$F295),0)</f>
        <v>0</v>
      </c>
      <c r="Y295" s="54">
        <f>IFERROR((VLOOKUP($A295,'Dados StatusInvest'!$A:$AZ,COLUMN(Y295)-$A$5,0)/VLOOKUP($A295,'Dados StatusInvest'!$A:$AZ,2,0)*$F295),0)</f>
        <v>0</v>
      </c>
      <c r="Z295" s="56">
        <f>IFERROR((VLOOKUP($A295,'Dados StatusInvest'!$A:$AZ,COLUMN(Z295)-$A$5,0)),0)</f>
        <v>0.41</v>
      </c>
      <c r="AA295" s="57">
        <f>IFERROR((VLOOKUP($A295,'Dados StatusInvest'!$A:$AZ,COLUMN(AA295)-$A$5,0)),0)</f>
        <v>0.59</v>
      </c>
      <c r="AB295" s="57">
        <f>IFERROR((VLOOKUP($A295,'Dados StatusInvest'!$A:$AZ,COLUMN(AB295)-$A$5,0)),0)</f>
        <v>0.69</v>
      </c>
      <c r="AC295" s="58">
        <f>IFERROR((VLOOKUP($A295,'Dados StatusInvest'!$A:$AZ,COLUMN(AC295)-$A$5,0)),0)</f>
        <v>29.03</v>
      </c>
      <c r="AD295" s="57">
        <f>IFERROR((VLOOKUP($A295,'Dados StatusInvest'!$A:$AZ,COLUMN(AD295)-$A$5,0)),0)</f>
        <v>0</v>
      </c>
      <c r="AE295" s="56">
        <f>IFERROR((VLOOKUP($A295,'Dados StatusInvest'!$A:$AZ,COLUMN(AE295)-$A$5,0)),0)</f>
        <v>0</v>
      </c>
      <c r="AF295" s="56">
        <f>IFERROR((VLOOKUP($A295,'Dados StatusInvest'!$A:$AZ,COLUMN(AF295)-$A$5,0)),0)</f>
        <v>11.47</v>
      </c>
      <c r="AG295" s="56">
        <f>IFERROR((VLOOKUP($A295,'Dados StatusInvest'!$A:$AZ,COLUMN(AG295)-$A$5,0)),0)</f>
        <v>-0.02</v>
      </c>
      <c r="AH295" s="56">
        <f>IFERROR((VLOOKUP($A295,'Dados StatusInvest'!$A:$AZ,COLUMN(AH295)-$A$5,0)),0)</f>
        <v>35.34</v>
      </c>
      <c r="AI295" s="57">
        <f>IFERROR((VLOOKUP($A295,'Dados StatusInvest'!$A:$AZ,COLUMN(AI295)-$A$5,0)),0)</f>
        <v>41526443086</v>
      </c>
      <c r="AJ295" s="59" t="str">
        <f>IFERROR((VLOOKUP($A295,'Dados StatusInvest'!$A:$AZ,COLUMN(AJ295)-$A$5,0)),0)</f>
        <v/>
      </c>
      <c r="AK295" s="60" t="str">
        <f>IFERROR(__xludf.DUMMYFUNCTION("IFERROR(GOOGLEFINANCE($A295,""high""),"""")"),"")</f>
        <v/>
      </c>
      <c r="AL295" s="60" t="str">
        <f>IFERROR(__xludf.DUMMYFUNCTION("IFERROR(GOOGLEFINANCE($A295,""low""),"""")"),"")</f>
        <v/>
      </c>
      <c r="AM295" s="61">
        <f t="shared" si="2"/>
        <v>0</v>
      </c>
      <c r="AN295" s="62">
        <f>IFERROR(__xludf.DUMMYFUNCTION("IFERROR((GOOGLEFINANCE($A295,""volume"")),0)"),0.0)</f>
        <v>0</v>
      </c>
      <c r="AO295" s="60" t="str">
        <f>IFERROR(__xludf.DUMMYFUNCTION("IFERROR((GOOGLEFINANCE($A295,""closeyest"")),"""")"),"")</f>
        <v/>
      </c>
      <c r="AP295" s="60" t="str">
        <f>IFERROR(__xludf.DUMMYFUNCTION("IFERROR((GOOGLEFINANCE($A295,""shares"")),"""")"),"")</f>
        <v/>
      </c>
      <c r="AQ295" s="18"/>
    </row>
    <row r="296">
      <c r="A296" s="45" t="str">
        <f>'Dados StatusInvest'!A291:A910</f>
        <v>GOAU3</v>
      </c>
      <c r="B296" s="46" t="str">
        <f>IFERROR(__xludf.DUMMYFUNCTION("IFERROR((GOOGLEFINANCE(A296,""name"")),"""")"),"Metalurgica Gerdau SA")</f>
        <v>Metalurgica Gerdau SA</v>
      </c>
      <c r="C296" s="46" t="str">
        <f>IFERROR((VLOOKUP(LEFT($A296,4),Setor!$A:$E,3,0)),"")</f>
        <v>Materiais Básicos</v>
      </c>
      <c r="D296" s="46" t="str">
        <f>IFERROR((VLOOKUP(LEFT($A296,4),Setor!$A:$E,4,0)),"")</f>
        <v>Siderurgia e Metalurgia</v>
      </c>
      <c r="E296" s="46" t="str">
        <f>IFERROR((VLOOKUP(LEFT($A296,4),Setor!$A:$E,5,0)),"")</f>
        <v>Siderurgia</v>
      </c>
      <c r="F296" s="47">
        <f>IFERROR(__xludf.DUMMYFUNCTION("IFERROR((GOOGLEFINANCE(A296)),"""")"),9.23)</f>
        <v>9.23</v>
      </c>
      <c r="G296" s="48" t="str">
        <f>IFERROR(__xludf.DUMMYFUNCTION("IFERROR((sparkline(GOOGLEFINANCE($A296,""price"",TODAY()-30,TODAY(),""DAILY""),{""charttype"",""line"";""linewidth"",1;""color"",""#5f88cc""})),"""")"),"")</f>
        <v/>
      </c>
      <c r="H296" s="49">
        <f>IFERROR(__xludf.DUMMYFUNCTION("IFERROR((((GOOGLEFINANCE(A296))-(INDEX(GoogleFinance(A296,""PRICE"",$AQ$1),2,2)))/(INDEX(GoogleFinance(A296,""PRICE"",$AQ$1),2,2))),"""")"),-0.03451882845188285)</f>
        <v>-0.03451882845</v>
      </c>
      <c r="I296" s="47">
        <f>IFERROR(__xludf.DUMMYFUNCTION("IFERROR((GOOGLEFINANCE($A296,""high52"")),"""")"),10.49)</f>
        <v>10.49</v>
      </c>
      <c r="J296" s="48" t="str">
        <f>IFERROR(__xludf.DUMMYFUNCTION("IFERROR((sparkline(GOOGLEFINANCE($A296,""price"",TODAY()-365,TODAY(),""DAILY""),{""charttype"",""line"";""linewidth"",1;""color"",""#5f88cc""})),"""")"),"")</f>
        <v/>
      </c>
      <c r="K296" s="50">
        <f>IFERROR(__xludf.DUMMYFUNCTION("IFERROR((((GOOGLEFINANCE(A296))-(INDEX(GoogleFinance(A296,""PRICE"",$AP$1),2,2)))/(INDEX(GoogleFinance(A296,""PRICE"",$AP$1),2,2))),"""")"),0.32805755395683456)</f>
        <v>0.328057554</v>
      </c>
      <c r="L296" s="51">
        <f t="shared" si="1"/>
        <v>-0.1201143947</v>
      </c>
      <c r="M296" s="52">
        <f>IFERROR((VLOOKUP($A296,'Dados StatusInvest'!$A:$AZ,COLUMN(M296)-$A$5,0)*VLOOKUP($A296,'Dados StatusInvest'!$A:$AZ,2,0)/$F296/100),0)</f>
        <v>0.07952849404</v>
      </c>
      <c r="N296" s="53">
        <f>IFERROR((VLOOKUP($A296,'Dados StatusInvest'!$A:$AZ,COLUMN(N296)-$A$5,0)/VLOOKUP($A296,'Dados StatusInvest'!$A:$AZ,2,0)*$F296),"")</f>
        <v>1.501864224</v>
      </c>
      <c r="O296" s="53">
        <f>IFERROR((VLOOKUP($A296,'Dados StatusInvest'!$A:$AZ,COLUMN(O296)-$A$5,0)/VLOOKUP($A296,'Dados StatusInvest'!$A:$AZ,2,0)*$F296),0)</f>
        <v>2.217984914</v>
      </c>
      <c r="P296" s="54">
        <f>IFERROR((VLOOKUP($A296,'Dados StatusInvest'!$A:$AZ,COLUMN(P296)-$A$5,0)/VLOOKUP($A296,'Dados StatusInvest'!$A:$AZ,2,0)*$F296),0)</f>
        <v>3.859094828</v>
      </c>
      <c r="Q296" s="55">
        <f>IFERROR((VLOOKUP($A296,'Dados StatusInvest'!$A:$AZ,COLUMN(Q296)-$A$5,0)/100),0)</f>
        <v>0.0159</v>
      </c>
      <c r="R296" s="56">
        <f>VLOOKUP($A296,'Dados StatusInvest'!$A:$AZ,COLUMN(R296)-$A$5,0)</f>
        <v>0.45</v>
      </c>
      <c r="S296" s="56">
        <f>IFERROR((VLOOKUP($A296,'Dados StatusInvest'!$A:$AZ,COLUMN(S296)-$A$5,0)),0)</f>
        <v>0.18</v>
      </c>
      <c r="T296" s="53">
        <f>IFERROR((VLOOKUP($A296,'Dados StatusInvest'!$A:$AZ,COLUMN(T296)-$A$5,0)/VLOOKUP($A296,'Dados StatusInvest'!$A:$AZ,2,0)*$F296),0)</f>
        <v>0.576875</v>
      </c>
      <c r="U296" s="53">
        <f>IFERROR((VLOOKUP($A296,'Dados StatusInvest'!$A:$AZ,COLUMN(U296)-$A$5,0)-VLOOKUP($A296,'Dados StatusInvest'!$A:$AZ,COLUMN(U296)-$A$5-1,0)+T296),0)</f>
        <v>-0.233125</v>
      </c>
      <c r="V296" s="56">
        <f>IFERROR((VLOOKUP($A296,'Dados StatusInvest'!$A:$AZ,COLUMN(V296)-$A$5,0)),0)</f>
        <v>2.71</v>
      </c>
      <c r="W296" s="56">
        <f>IFERROR((VLOOKUP($A296,'Dados StatusInvest'!$A:$AZ,COLUMN(W296)-$A$5,0)),0)</f>
        <v>5.42</v>
      </c>
      <c r="X296" s="53">
        <f>IFERROR((VLOOKUP($A296,'Dados StatusInvest'!$A:$AZ,COLUMN(X296)-$A$5,0)/VLOOKUP($A296,'Dados StatusInvest'!$A:$AZ,2,0)*$F296),0)</f>
        <v>1.193534483</v>
      </c>
      <c r="Y296" s="54">
        <f>IFERROR((VLOOKUP($A296,'Dados StatusInvest'!$A:$AZ,COLUMN(Y296)-$A$5,0)/VLOOKUP($A296,'Dados StatusInvest'!$A:$AZ,2,0)*$F296),0)</f>
        <v>6.116864224</v>
      </c>
      <c r="Z296" s="56">
        <f>IFERROR((VLOOKUP($A296,'Dados StatusInvest'!$A:$AZ,COLUMN(Z296)-$A$5,0)),0)</f>
        <v>0.22</v>
      </c>
      <c r="AA296" s="57">
        <f>IFERROR((VLOOKUP($A296,'Dados StatusInvest'!$A:$AZ,COLUMN(AA296)-$A$5,0)),0)</f>
        <v>0.37</v>
      </c>
      <c r="AB296" s="57">
        <f>IFERROR((VLOOKUP($A296,'Dados StatusInvest'!$A:$AZ,COLUMN(AB296)-$A$5,0)),0)</f>
        <v>0.8</v>
      </c>
      <c r="AC296" s="58">
        <f>IFERROR((VLOOKUP($A296,'Dados StatusInvest'!$A:$AZ,COLUMN(AC296)-$A$5,0)),0)</f>
        <v>11.07</v>
      </c>
      <c r="AD296" s="57">
        <f>IFERROR((VLOOKUP($A296,'Dados StatusInvest'!$A:$AZ,COLUMN(AD296)-$A$5,0)),0)</f>
        <v>19.81</v>
      </c>
      <c r="AE296" s="56">
        <f>IFERROR((VLOOKUP($A296,'Dados StatusInvest'!$A:$AZ,COLUMN(AE296)-$A$5,0)),0)</f>
        <v>718490.7</v>
      </c>
      <c r="AF296" s="56">
        <f>IFERROR((VLOOKUP($A296,'Dados StatusInvest'!$A:$AZ,COLUMN(AF296)-$A$5,0)),0)</f>
        <v>14.62</v>
      </c>
      <c r="AG296" s="56">
        <f>IFERROR((VLOOKUP($A296,'Dados StatusInvest'!$A:$AZ,COLUMN(AG296)-$A$5,0)),0)</f>
        <v>0.79</v>
      </c>
      <c r="AH296" s="56">
        <f>IFERROR((VLOOKUP($A296,'Dados StatusInvest'!$A:$AZ,COLUMN(AH296)-$A$5,0)),0)</f>
        <v>-0.32</v>
      </c>
      <c r="AI296" s="57">
        <f>IFERROR((VLOOKUP($A296,'Dados StatusInvest'!$A:$AZ,COLUMN(AI296)-$A$5,0)),0)</f>
        <v>12655530987</v>
      </c>
      <c r="AJ296" s="59" t="str">
        <f>IFERROR((VLOOKUP($A296,'Dados StatusInvest'!$A:$AZ,COLUMN(AJ296)-$A$5,0)),0)</f>
        <v/>
      </c>
      <c r="AK296" s="60">
        <f>IFERROR(__xludf.DUMMYFUNCTION("IFERROR(GOOGLEFINANCE($A296,""high""),"""")"),9.28)</f>
        <v>9.28</v>
      </c>
      <c r="AL296" s="60">
        <f>IFERROR(__xludf.DUMMYFUNCTION("IFERROR(GOOGLEFINANCE($A296,""low""),"""")"),9.2)</f>
        <v>9.2</v>
      </c>
      <c r="AM296" s="61">
        <f t="shared" si="2"/>
        <v>0.008695652174</v>
      </c>
      <c r="AN296" s="62">
        <f>IFERROR(__xludf.DUMMYFUNCTION("IFERROR((GOOGLEFINANCE($A296,""volume"")),0)"),6200.0)</f>
        <v>6200</v>
      </c>
      <c r="AO296" s="60">
        <f>IFERROR(__xludf.DUMMYFUNCTION("IFERROR((GOOGLEFINANCE($A296,""closeyest"")),"""")"),9.28)</f>
        <v>9.28</v>
      </c>
      <c r="AP296" s="60">
        <f>IFERROR(__xludf.DUMMYFUNCTION("IFERROR((GOOGLEFINANCE($A296,""shares"")),"""")"),4.86802764E8)</f>
        <v>486802764</v>
      </c>
      <c r="AQ296" s="18"/>
    </row>
    <row r="297">
      <c r="A297" s="45" t="str">
        <f>'Dados StatusInvest'!A292:A911</f>
        <v>GOAU4</v>
      </c>
      <c r="B297" s="46" t="str">
        <f>IFERROR(__xludf.DUMMYFUNCTION("IFERROR((GOOGLEFINANCE(A297,""name"")),"""")"),"Metalurgica Gerdau SA Preference Shares")</f>
        <v>Metalurgica Gerdau SA Preference Shares</v>
      </c>
      <c r="C297" s="46" t="str">
        <f>IFERROR((VLOOKUP(LEFT($A297,4),Setor!$A:$E,3,0)),"")</f>
        <v>Materiais Básicos</v>
      </c>
      <c r="D297" s="46" t="str">
        <f>IFERROR((VLOOKUP(LEFT($A297,4),Setor!$A:$E,4,0)),"")</f>
        <v>Siderurgia e Metalurgia</v>
      </c>
      <c r="E297" s="46" t="str">
        <f>IFERROR((VLOOKUP(LEFT($A297,4),Setor!$A:$E,5,0)),"")</f>
        <v>Siderurgia</v>
      </c>
      <c r="F297" s="47">
        <f>IFERROR(__xludf.DUMMYFUNCTION("IFERROR((GOOGLEFINANCE(A297)),"""")"),9.59)</f>
        <v>9.59</v>
      </c>
      <c r="G297" s="48" t="str">
        <f>IFERROR(__xludf.DUMMYFUNCTION("IFERROR((sparkline(GOOGLEFINANCE($A297,""price"",TODAY()-30,TODAY(),""DAILY""),{""charttype"",""line"";""linewidth"",1;""color"",""#5f88cc""})),"""")"),"")</f>
        <v/>
      </c>
      <c r="H297" s="49">
        <f>IFERROR(__xludf.DUMMYFUNCTION("IFERROR((((GOOGLEFINANCE(A297))-(INDEX(GoogleFinance(A297,""PRICE"",$AQ$1),2,2)))/(INDEX(GoogleFinance(A297,""PRICE"",$AQ$1),2,2))),"""")"),-0.034239677744209454)</f>
        <v>-0.03423967774</v>
      </c>
      <c r="I297" s="47">
        <f>IFERROR(__xludf.DUMMYFUNCTION("IFERROR((GOOGLEFINANCE($A297,""high52"")),"""")"),10.68)</f>
        <v>10.68</v>
      </c>
      <c r="J297" s="48" t="str">
        <f>IFERROR(__xludf.DUMMYFUNCTION("IFERROR((sparkline(GOOGLEFINANCE($A297,""price"",TODAY()-365,TODAY(),""DAILY""),{""charttype"",""line"";""linewidth"",1;""color"",""#5f88cc""})),"""")"),"")</f>
        <v/>
      </c>
      <c r="K297" s="50">
        <f>IFERROR(__xludf.DUMMYFUNCTION("IFERROR((((GOOGLEFINANCE(A297))-(INDEX(GoogleFinance(A297,""PRICE"",$AP$1),2,2)))/(INDEX(GoogleFinance(A297,""PRICE"",$AP$1),2,2))),"""")"),0.4061583577712609)</f>
        <v>0.4061583578</v>
      </c>
      <c r="L297" s="51">
        <f t="shared" si="1"/>
        <v>-0.1020599251</v>
      </c>
      <c r="M297" s="52">
        <f>IFERROR((VLOOKUP($A297,'Dados StatusInvest'!$A:$AZ,COLUMN(M297)-$A$5,0)*VLOOKUP($A297,'Dados StatusInvest'!$A:$AZ,2,0)/$F297/100),0)</f>
        <v>0.08008978102</v>
      </c>
      <c r="N297" s="53">
        <f>IFERROR((VLOOKUP($A297,'Dados StatusInvest'!$A:$AZ,COLUMN(N297)-$A$5,0)/VLOOKUP($A297,'Dados StatusInvest'!$A:$AZ,2,0)*$F297),"")</f>
        <v>1.491338826</v>
      </c>
      <c r="O297" s="53">
        <f>IFERROR((VLOOKUP($A297,'Dados StatusInvest'!$A:$AZ,COLUMN(O297)-$A$5,0)/VLOOKUP($A297,'Dados StatusInvest'!$A:$AZ,2,0)*$F297),0)</f>
        <v>2.301204943</v>
      </c>
      <c r="P297" s="54">
        <f>IFERROR((VLOOKUP($A297,'Dados StatusInvest'!$A:$AZ,COLUMN(P297)-$A$5,0)/VLOOKUP($A297,'Dados StatusInvest'!$A:$AZ,2,0)*$F297),0)</f>
        <v>3.832049434</v>
      </c>
      <c r="Q297" s="55">
        <f>IFERROR((VLOOKUP($A297,'Dados StatusInvest'!$A:$AZ,COLUMN(Q297)-$A$5,0)/100),0)</f>
        <v>0.0159</v>
      </c>
      <c r="R297" s="56">
        <f>VLOOKUP($A297,'Dados StatusInvest'!$A:$AZ,COLUMN(R297)-$A$5,0)</f>
        <v>0.45</v>
      </c>
      <c r="S297" s="56">
        <f>IFERROR((VLOOKUP($A297,'Dados StatusInvest'!$A:$AZ,COLUMN(S297)-$A$5,0)),0)</f>
        <v>0.18</v>
      </c>
      <c r="T297" s="53">
        <f>IFERROR((VLOOKUP($A297,'Dados StatusInvest'!$A:$AZ,COLUMN(T297)-$A$5,0)/VLOOKUP($A297,'Dados StatusInvest'!$A:$AZ,2,0)*$F297),0)</f>
        <v>0.60246138</v>
      </c>
      <c r="U297" s="53">
        <f>IFERROR((VLOOKUP($A297,'Dados StatusInvest'!$A:$AZ,COLUMN(U297)-$A$5,0)-VLOOKUP($A297,'Dados StatusInvest'!$A:$AZ,COLUMN(U297)-$A$5-1,0)+T297),0)</f>
        <v>-0.24753862</v>
      </c>
      <c r="V297" s="56">
        <f>IFERROR((VLOOKUP($A297,'Dados StatusInvest'!$A:$AZ,COLUMN(V297)-$A$5,0)),0)</f>
        <v>2.71</v>
      </c>
      <c r="W297" s="56">
        <f>IFERROR((VLOOKUP($A297,'Dados StatusInvest'!$A:$AZ,COLUMN(W297)-$A$5,0)),0)</f>
        <v>5.42</v>
      </c>
      <c r="X297" s="53">
        <f>IFERROR((VLOOKUP($A297,'Dados StatusInvest'!$A:$AZ,COLUMN(X297)-$A$5,0)/VLOOKUP($A297,'Dados StatusInvest'!$A:$AZ,2,0)*$F297),0)</f>
        <v>1.185169928</v>
      </c>
      <c r="Y297" s="54">
        <f>IFERROR((VLOOKUP($A297,'Dados StatusInvest'!$A:$AZ,COLUMN(Y297)-$A$5,0)/VLOOKUP($A297,'Dados StatusInvest'!$A:$AZ,2,0)*$F297),0)</f>
        <v>6.073995881</v>
      </c>
      <c r="Z297" s="56">
        <f>IFERROR((VLOOKUP($A297,'Dados StatusInvest'!$A:$AZ,COLUMN(Z297)-$A$5,0)),0)</f>
        <v>0.22</v>
      </c>
      <c r="AA297" s="57">
        <f>IFERROR((VLOOKUP($A297,'Dados StatusInvest'!$A:$AZ,COLUMN(AA297)-$A$5,0)),0)</f>
        <v>0.37</v>
      </c>
      <c r="AB297" s="57">
        <f>IFERROR((VLOOKUP($A297,'Dados StatusInvest'!$A:$AZ,COLUMN(AB297)-$A$5,0)),0)</f>
        <v>0.8</v>
      </c>
      <c r="AC297" s="58">
        <f>IFERROR((VLOOKUP($A297,'Dados StatusInvest'!$A:$AZ,COLUMN(AC297)-$A$5,0)),0)</f>
        <v>11.07</v>
      </c>
      <c r="AD297" s="57">
        <f>IFERROR((VLOOKUP($A297,'Dados StatusInvest'!$A:$AZ,COLUMN(AD297)-$A$5,0)),0)</f>
        <v>19.81</v>
      </c>
      <c r="AE297" s="56">
        <f>IFERROR((VLOOKUP($A297,'Dados StatusInvest'!$A:$AZ,COLUMN(AE297)-$A$5,0)),0)</f>
        <v>125000000</v>
      </c>
      <c r="AF297" s="56">
        <f>IFERROR((VLOOKUP($A297,'Dados StatusInvest'!$A:$AZ,COLUMN(AF297)-$A$5,0)),0)</f>
        <v>14.62</v>
      </c>
      <c r="AG297" s="56">
        <f>IFERROR((VLOOKUP($A297,'Dados StatusInvest'!$A:$AZ,COLUMN(AG297)-$A$5,0)),0)</f>
        <v>0.79</v>
      </c>
      <c r="AH297" s="56">
        <f>IFERROR((VLOOKUP($A297,'Dados StatusInvest'!$A:$AZ,COLUMN(AH297)-$A$5,0)),0)</f>
        <v>-0.34</v>
      </c>
      <c r="AI297" s="57">
        <f>IFERROR((VLOOKUP($A297,'Dados StatusInvest'!$A:$AZ,COLUMN(AI297)-$A$5,0)),0)</f>
        <v>12655530987</v>
      </c>
      <c r="AJ297" s="59" t="str">
        <f>IFERROR((VLOOKUP($A297,'Dados StatusInvest'!$A:$AZ,COLUMN(AJ297)-$A$5,0)),0)</f>
        <v/>
      </c>
      <c r="AK297" s="60">
        <f>IFERROR(__xludf.DUMMYFUNCTION("IFERROR(GOOGLEFINANCE($A297,""high""),"""")"),9.64)</f>
        <v>9.64</v>
      </c>
      <c r="AL297" s="60">
        <f>IFERROR(__xludf.DUMMYFUNCTION("IFERROR(GOOGLEFINANCE($A297,""low""),"""")"),9.58)</f>
        <v>9.58</v>
      </c>
      <c r="AM297" s="61">
        <f t="shared" si="2"/>
        <v>0.006263048017</v>
      </c>
      <c r="AN297" s="62">
        <f>IFERROR(__xludf.DUMMYFUNCTION("IFERROR((GOOGLEFINANCE($A297,""volume"")),0)"),395300.0)</f>
        <v>395300</v>
      </c>
      <c r="AO297" s="60">
        <f>IFERROR(__xludf.DUMMYFUNCTION("IFERROR((GOOGLEFINANCE($A297,""closeyest"")),"""")"),9.71)</f>
        <v>9.71</v>
      </c>
      <c r="AP297" s="60">
        <f>IFERROR(__xludf.DUMMYFUNCTION("IFERROR((GOOGLEFINANCE($A297,""shares"")),"""")"),8.38105184E8)</f>
        <v>838105184</v>
      </c>
      <c r="AQ297" s="18"/>
    </row>
    <row r="298">
      <c r="A298" s="45" t="str">
        <f>'Dados StatusInvest'!A293:A912</f>
        <v>GOLL54</v>
      </c>
      <c r="B298" s="46" t="str">
        <f>IFERROR(__xludf.DUMMYFUNCTION("IFERROR((GOOGLEFINANCE(A298,""name"")),"""")"),"Gol Linhas Aereas Inteligentes SA Preference Shares")</f>
        <v>Gol Linhas Aereas Inteligentes SA Preference Shares</v>
      </c>
      <c r="C298" s="46" t="str">
        <f>IFERROR((VLOOKUP(LEFT($A298,4),Setor!$A:$E,3,0)),"")</f>
        <v>Bens Industriais</v>
      </c>
      <c r="D298" s="46" t="str">
        <f>IFERROR((VLOOKUP(LEFT($A298,4),Setor!$A:$E,4,0)),"")</f>
        <v>Transporte</v>
      </c>
      <c r="E298" s="46" t="str">
        <f>IFERROR((VLOOKUP(LEFT($A298,4),Setor!$A:$E,5,0)),"")</f>
        <v>Transporte Aéreo</v>
      </c>
      <c r="F298" s="47">
        <f>IFERROR(__xludf.DUMMYFUNCTION("IFERROR((GOOGLEFINANCE(A298)),"""")"),11.18)</f>
        <v>11.18</v>
      </c>
      <c r="G298" s="48" t="str">
        <f>IFERROR(__xludf.DUMMYFUNCTION("IFERROR((sparkline(GOOGLEFINANCE($A298,""price"",TODAY()-30,TODAY(),""DAILY""),{""charttype"",""line"";""linewidth"",1;""color"",""#5f88cc""})),"""")"),"")</f>
        <v/>
      </c>
      <c r="H298" s="49">
        <f>IFERROR(__xludf.DUMMYFUNCTION("IFERROR((((GOOGLEFINANCE(A298))-(INDEX(GoogleFinance(A298,""PRICE"",$AQ$1),2,2)))/(INDEX(GoogleFinance(A298,""PRICE"",$AQ$1),2,2))),"""")"),0.09607843137254907)</f>
        <v>0.09607843137</v>
      </c>
      <c r="I298" s="47">
        <f>IFERROR(__xludf.DUMMYFUNCTION("IFERROR((GOOGLEFINANCE($A298,""high52"")),"""")"),701.0)</f>
        <v>701</v>
      </c>
      <c r="J298" s="48" t="str">
        <f>IFERROR(__xludf.DUMMYFUNCTION("IFERROR((sparkline(GOOGLEFINANCE($A298,""price"",TODAY()-365,TODAY(),""DAILY""),{""charttype"",""line"";""linewidth"",1;""color"",""#5f88cc""})),"""")"),"")</f>
        <v/>
      </c>
      <c r="K298" s="50">
        <f>IFERROR(__xludf.DUMMYFUNCTION("IFERROR((((GOOGLEFINANCE(A298))-(INDEX(GoogleFinance(A298,""PRICE"",$AP$1),2,2)))/(INDEX(GoogleFinance(A298,""PRICE"",$AP$1),2,2))),"""")"),558.0)</f>
        <v>558</v>
      </c>
      <c r="L298" s="51">
        <f t="shared" si="1"/>
        <v>-0.9840513552</v>
      </c>
      <c r="M298" s="52">
        <f>IFERROR((VLOOKUP($A298,'Dados StatusInvest'!$A:$AZ,COLUMN(M298)-$A$5,0)*VLOOKUP($A298,'Dados StatusInvest'!$A:$AZ,2,0)/$F298/100),0)</f>
        <v>0.001908497317</v>
      </c>
      <c r="N298" s="53">
        <f>IFERROR((VLOOKUP($A298,'Dados StatusInvest'!$A:$AZ,COLUMN(N298)-$A$5,0)/VLOOKUP($A298,'Dados StatusInvest'!$A:$AZ,2,0)*$F298),"")</f>
        <v>-23.23608192</v>
      </c>
      <c r="O298" s="53">
        <f>IFERROR((VLOOKUP($A298,'Dados StatusInvest'!$A:$AZ,COLUMN(O298)-$A$5,0)/VLOOKUP($A298,'Dados StatusInvest'!$A:$AZ,2,0)*$F298),0)</f>
        <v>2513004.162</v>
      </c>
      <c r="P298" s="54">
        <f>IFERROR((VLOOKUP($A298,'Dados StatusInvest'!$A:$AZ,COLUMN(P298)-$A$5,0)/VLOOKUP($A298,'Dados StatusInvest'!$A:$AZ,2,0)*$F298),0)</f>
        <v>330225.7407</v>
      </c>
      <c r="Q298" s="55">
        <f>IFERROR((VLOOKUP($A298,'Dados StatusInvest'!$A:$AZ,COLUMN(Q298)-$A$5,0)/100),0)</f>
        <v>3.0649</v>
      </c>
      <c r="R298" s="56">
        <f>VLOOKUP($A298,'Dados StatusInvest'!$A:$AZ,COLUMN(R298)-$A$5,0)</f>
        <v>0</v>
      </c>
      <c r="S298" s="56">
        <f>IFERROR((VLOOKUP($A298,'Dados StatusInvest'!$A:$AZ,COLUMN(S298)-$A$5,0)),0)</f>
        <v>4782.87</v>
      </c>
      <c r="T298" s="53">
        <f>IFERROR((VLOOKUP($A298,'Dados StatusInvest'!$A:$AZ,COLUMN(T298)-$A$5,0)/VLOOKUP($A298,'Dados StatusInvest'!$A:$AZ,2,0)*$F298),0)</f>
        <v>-20800.87284</v>
      </c>
      <c r="U298" s="53">
        <f>IFERROR((VLOOKUP($A298,'Dados StatusInvest'!$A:$AZ,COLUMN(U298)-$A$5,0)-VLOOKUP($A298,'Dados StatusInvest'!$A:$AZ,COLUMN(U298)-$A$5-1,0)+T298),0)</f>
        <v>-5517.072841</v>
      </c>
      <c r="V298" s="56">
        <f>IFERROR((VLOOKUP($A298,'Dados StatusInvest'!$A:$AZ,COLUMN(V298)-$A$5,0)),0)</f>
        <v>0.63</v>
      </c>
      <c r="W298" s="56">
        <f>IFERROR((VLOOKUP($A298,'Dados StatusInvest'!$A:$AZ,COLUMN(W298)-$A$5,0)),0)</f>
        <v>-32.16</v>
      </c>
      <c r="X298" s="53">
        <f>IFERROR((VLOOKUP($A298,'Dados StatusInvest'!$A:$AZ,COLUMN(X298)-$A$5,0)/VLOOKUP($A298,'Dados StatusInvest'!$A:$AZ,2,0)*$F298),0)</f>
        <v>-18.71629564</v>
      </c>
      <c r="Y298" s="54">
        <f>IFERROR((VLOOKUP($A298,'Dados StatusInvest'!$A:$AZ,COLUMN(Y298)-$A$5,0)/VLOOKUP($A298,'Dados StatusInvest'!$A:$AZ,2,0)*$F298),0)</f>
        <v>1544.263633</v>
      </c>
      <c r="Z298" s="56">
        <f>IFERROR((VLOOKUP($A298,'Dados StatusInvest'!$A:$AZ,COLUMN(Z298)-$A$5,0)),0)</f>
        <v>-0.58</v>
      </c>
      <c r="AA298" s="57">
        <f>IFERROR((VLOOKUP($A298,'Dados StatusInvest'!$A:$AZ,COLUMN(AA298)-$A$5,0)),0)</f>
        <v>1.58</v>
      </c>
      <c r="AB298" s="57">
        <f>IFERROR((VLOOKUP($A298,'Dados StatusInvest'!$A:$AZ,COLUMN(AB298)-$A$5,0)),0)</f>
        <v>0.81</v>
      </c>
      <c r="AC298" s="58">
        <f>IFERROR((VLOOKUP($A298,'Dados StatusInvest'!$A:$AZ,COLUMN(AC298)-$A$5,0)),0)</f>
        <v>6.65</v>
      </c>
      <c r="AD298" s="57">
        <f>IFERROR((VLOOKUP($A298,'Dados StatusInvest'!$A:$AZ,COLUMN(AD298)-$A$5,0)),0)</f>
        <v>0</v>
      </c>
      <c r="AE298" s="56">
        <f>IFERROR((VLOOKUP($A298,'Dados StatusInvest'!$A:$AZ,COLUMN(AE298)-$A$5,0)),0)</f>
        <v>1546805</v>
      </c>
      <c r="AF298" s="56">
        <f>IFERROR((VLOOKUP($A298,'Dados StatusInvest'!$A:$AZ,COLUMN(AF298)-$A$5,0)),0)</f>
        <v>0</v>
      </c>
      <c r="AG298" s="56">
        <f>IFERROR((VLOOKUP($A298,'Dados StatusInvest'!$A:$AZ,COLUMN(AG298)-$A$5,0)),0)</f>
        <v>0</v>
      </c>
      <c r="AH298" s="56">
        <f>IFERROR((VLOOKUP($A298,'Dados StatusInvest'!$A:$AZ,COLUMN(AH298)-$A$5,0)),0)</f>
        <v>-141.11</v>
      </c>
      <c r="AI298" s="57">
        <f>IFERROR((VLOOKUP($A298,'Dados StatusInvest'!$A:$AZ,COLUMN(AI298)-$A$5,0)),0)</f>
        <v>13513700000000</v>
      </c>
      <c r="AJ298" s="59" t="str">
        <f>IFERROR((VLOOKUP($A298,'Dados StatusInvest'!$A:$AZ,COLUMN(AJ298)-$A$5,0)),0)</f>
        <v/>
      </c>
      <c r="AK298" s="60">
        <f>IFERROR(__xludf.DUMMYFUNCTION("IFERROR(GOOGLEFINANCE($A298,""high""),"""")"),11.3)</f>
        <v>11.3</v>
      </c>
      <c r="AL298" s="60">
        <f>IFERROR(__xludf.DUMMYFUNCTION("IFERROR(GOOGLEFINANCE($A298,""low""),"""")"),11.15)</f>
        <v>11.15</v>
      </c>
      <c r="AM298" s="61">
        <f t="shared" si="2"/>
        <v>0.0134529148</v>
      </c>
      <c r="AN298" s="62">
        <f>IFERROR(__xludf.DUMMYFUNCTION("IFERROR((GOOGLEFINANCE($A298,""volume"")),0)"),644000.0)</f>
        <v>644000</v>
      </c>
      <c r="AO298" s="60">
        <f>IFERROR(__xludf.DUMMYFUNCTION("IFERROR((GOOGLEFINANCE($A298,""closeyest"")),"""")"),11.23)</f>
        <v>11.23</v>
      </c>
      <c r="AP298" s="60">
        <f>IFERROR(__xludf.DUMMYFUNCTION("IFERROR((GOOGLEFINANCE($A298,""shares"")),"""")"),9.691604008E11)</f>
        <v>969160400800</v>
      </c>
      <c r="AQ298" s="18"/>
    </row>
    <row r="299">
      <c r="A299" s="45" t="str">
        <f>'Dados StatusInvest'!A294:A913</f>
        <v>GPAR3</v>
      </c>
      <c r="B299" s="46" t="str">
        <f>IFERROR(__xludf.DUMMYFUNCTION("IFERROR((GOOGLEFINANCE(A299,""name"")),"""")"),"Companhia Celg de Participacoes Celgpar")</f>
        <v>Companhia Celg de Participacoes Celgpar</v>
      </c>
      <c r="C299" s="46" t="str">
        <f>IFERROR((VLOOKUP(LEFT($A299,4),Setor!$A:$E,3,0)),"")</f>
        <v>Utilidade Pública</v>
      </c>
      <c r="D299" s="46" t="str">
        <f>IFERROR((VLOOKUP(LEFT($A299,4),Setor!$A:$E,4,0)),"")</f>
        <v>Energia Elétrica</v>
      </c>
      <c r="E299" s="46" t="str">
        <f>IFERROR((VLOOKUP(LEFT($A299,4),Setor!$A:$E,5,0)),"")</f>
        <v>Energia Elétrica</v>
      </c>
      <c r="F299" s="47">
        <f>IFERROR(__xludf.DUMMYFUNCTION("IFERROR((GOOGLEFINANCE(A299)),"""")"),15.1)</f>
        <v>15.1</v>
      </c>
      <c r="G299" s="48" t="str">
        <f>IFERROR(__xludf.DUMMYFUNCTION("IFERROR((sparkline(GOOGLEFINANCE($A299,""price"",TODAY()-30,TODAY(),""DAILY""),{""charttype"",""line"";""linewidth"",1;""color"",""#5f88cc""})),"""")"),"")</f>
        <v/>
      </c>
      <c r="H299" s="49">
        <f>IFERROR(__xludf.DUMMYFUNCTION("IFERROR((((GOOGLEFINANCE(A299))-(INDEX(GoogleFinance(A299,""PRICE"",$AQ$1),2,2)))/(INDEX(GoogleFinance(A299,""PRICE"",$AQ$1),2,2))),"""")"),-0.46071428571428574)</f>
        <v>-0.4607142857</v>
      </c>
      <c r="I299" s="47">
        <f>IFERROR(__xludf.DUMMYFUNCTION("IFERROR((GOOGLEFINANCE($A299,""high52"")),"""")"),28.0)</f>
        <v>28</v>
      </c>
      <c r="J299" s="48" t="str">
        <f>IFERROR(__xludf.DUMMYFUNCTION("IFERROR((sparkline(GOOGLEFINANCE($A299,""price"",TODAY()-365,TODAY(),""DAILY""),{""charttype"",""line"";""linewidth"",1;""color"",""#5f88cc""})),"""")"),"")</f>
        <v/>
      </c>
      <c r="K299" s="50">
        <f>IFERROR(__xludf.DUMMYFUNCTION("IFERROR((((GOOGLEFINANCE(A299))-(INDEX(GoogleFinance(A299,""PRICE"",$AP$1),2,2)))/(INDEX(GoogleFinance(A299,""PRICE"",$AP$1),2,2))),"""")"),-0.4386617100371747)</f>
        <v>-0.43866171</v>
      </c>
      <c r="L299" s="51">
        <f t="shared" si="1"/>
        <v>-0.4607142857</v>
      </c>
      <c r="M299" s="52">
        <f>IFERROR((VLOOKUP($A299,'Dados StatusInvest'!$A:$AZ,COLUMN(M299)-$A$5,0)*VLOOKUP($A299,'Dados StatusInvest'!$A:$AZ,2,0)/$F299/100),0)</f>
        <v>-3.1484</v>
      </c>
      <c r="N299" s="53">
        <f>IFERROR((VLOOKUP($A299,'Dados StatusInvest'!$A:$AZ,COLUMN(N299)-$A$5,0)/VLOOKUP($A299,'Dados StatusInvest'!$A:$AZ,2,0)*$F299),"")</f>
        <v>-84.31</v>
      </c>
      <c r="O299" s="53">
        <f>IFERROR((VLOOKUP($A299,'Dados StatusInvest'!$A:$AZ,COLUMN(O299)-$A$5,0)/VLOOKUP($A299,'Dados StatusInvest'!$A:$AZ,2,0)*$F299),0)</f>
        <v>-10.91</v>
      </c>
      <c r="P299" s="54">
        <f>IFERROR((VLOOKUP($A299,'Dados StatusInvest'!$A:$AZ,COLUMN(P299)-$A$5,0)/VLOOKUP($A299,'Dados StatusInvest'!$A:$AZ,2,0)*$F299),0)</f>
        <v>-8.67</v>
      </c>
      <c r="Q299" s="55">
        <f>IFERROR((VLOOKUP($A299,'Dados StatusInvest'!$A:$AZ,COLUMN(Q299)-$A$5,0)/100),0)</f>
        <v>0.0224</v>
      </c>
      <c r="R299" s="56">
        <f>VLOOKUP($A299,'Dados StatusInvest'!$A:$AZ,COLUMN(R299)-$A$5,0)</f>
        <v>-0.33</v>
      </c>
      <c r="S299" s="56">
        <f>IFERROR((VLOOKUP($A299,'Dados StatusInvest'!$A:$AZ,COLUMN(S299)-$A$5,0)),0)</f>
        <v>34.34</v>
      </c>
      <c r="T299" s="53">
        <f>IFERROR((VLOOKUP($A299,'Dados StatusInvest'!$A:$AZ,COLUMN(T299)-$A$5,0)/VLOOKUP($A299,'Dados StatusInvest'!$A:$AZ,2,0)*$F299),0)</f>
        <v>3.45</v>
      </c>
      <c r="U299" s="53">
        <f>IFERROR((VLOOKUP($A299,'Dados StatusInvest'!$A:$AZ,COLUMN(U299)-$A$5,0)-VLOOKUP($A299,'Dados StatusInvest'!$A:$AZ,COLUMN(U299)-$A$5-1,0)+T299),0)</f>
        <v>-2.88</v>
      </c>
      <c r="V299" s="56">
        <f>IFERROR((VLOOKUP($A299,'Dados StatusInvest'!$A:$AZ,COLUMN(V299)-$A$5,0)),0)</f>
        <v>30.03</v>
      </c>
      <c r="W299" s="56">
        <f>IFERROR((VLOOKUP($A299,'Dados StatusInvest'!$A:$AZ,COLUMN(W299)-$A$5,0)),0)</f>
        <v>-4</v>
      </c>
      <c r="X299" s="53">
        <f>IFERROR((VLOOKUP($A299,'Dados StatusInvest'!$A:$AZ,COLUMN(X299)-$A$5,0)/VLOOKUP($A299,'Dados StatusInvest'!$A:$AZ,2,0)*$F299),0)</f>
        <v>-3.79</v>
      </c>
      <c r="Y299" s="54">
        <f>IFERROR((VLOOKUP($A299,'Dados StatusInvest'!$A:$AZ,COLUMN(Y299)-$A$5,0)/VLOOKUP($A299,'Dados StatusInvest'!$A:$AZ,2,0)*$F299),0)</f>
        <v>-22.51</v>
      </c>
      <c r="Z299" s="56">
        <f>IFERROR((VLOOKUP($A299,'Dados StatusInvest'!$A:$AZ,COLUMN(Z299)-$A$5,0)),0)</f>
        <v>0.95</v>
      </c>
      <c r="AA299" s="57">
        <f>IFERROR((VLOOKUP($A299,'Dados StatusInvest'!$A:$AZ,COLUMN(AA299)-$A$5,0)),0)</f>
        <v>0.05</v>
      </c>
      <c r="AB299" s="57">
        <f>IFERROR((VLOOKUP($A299,'Dados StatusInvest'!$A:$AZ,COLUMN(AB299)-$A$5,0)),0)</f>
        <v>0.04</v>
      </c>
      <c r="AC299" s="58">
        <f>IFERROR((VLOOKUP($A299,'Dados StatusInvest'!$A:$AZ,COLUMN(AC299)-$A$5,0)),0)</f>
        <v>-31.17</v>
      </c>
      <c r="AD299" s="57">
        <f>IFERROR((VLOOKUP($A299,'Dados StatusInvest'!$A:$AZ,COLUMN(AD299)-$A$5,0)),0)</f>
        <v>0</v>
      </c>
      <c r="AE299" s="56">
        <f>IFERROR((VLOOKUP($A299,'Dados StatusInvest'!$A:$AZ,COLUMN(AE299)-$A$5,0)),0)</f>
        <v>1592.73</v>
      </c>
      <c r="AF299" s="56">
        <f>IFERROR((VLOOKUP($A299,'Dados StatusInvest'!$A:$AZ,COLUMN(AF299)-$A$5,0)),0)</f>
        <v>9.27</v>
      </c>
      <c r="AG299" s="56">
        <f>IFERROR((VLOOKUP($A299,'Dados StatusInvest'!$A:$AZ,COLUMN(AG299)-$A$5,0)),0)</f>
        <v>-0.37</v>
      </c>
      <c r="AH299" s="56">
        <f>IFERROR((VLOOKUP($A299,'Dados StatusInvest'!$A:$AZ,COLUMN(AH299)-$A$5,0)),0)</f>
        <v>0.35</v>
      </c>
      <c r="AI299" s="57">
        <f>IFERROR((VLOOKUP($A299,'Dados StatusInvest'!$A:$AZ,COLUMN(AI299)-$A$5,0)),0)</f>
        <v>1203115180</v>
      </c>
      <c r="AJ299" s="59" t="str">
        <f>IFERROR((VLOOKUP($A299,'Dados StatusInvest'!$A:$AZ,COLUMN(AJ299)-$A$5,0)),0)</f>
        <v/>
      </c>
      <c r="AK299" s="60" t="str">
        <f>IFERROR(__xludf.DUMMYFUNCTION("IFERROR(GOOGLEFINANCE($A299,""high""),"""")"),"")</f>
        <v/>
      </c>
      <c r="AL299" s="60" t="str">
        <f>IFERROR(__xludf.DUMMYFUNCTION("IFERROR(GOOGLEFINANCE($A299,""low""),"""")"),"")</f>
        <v/>
      </c>
      <c r="AM299" s="61">
        <f t="shared" si="2"/>
        <v>0</v>
      </c>
      <c r="AN299" s="62">
        <f>IFERROR(__xludf.DUMMYFUNCTION("IFERROR((GOOGLEFINANCE($A299,""volume"")),0)"),0.0)</f>
        <v>0</v>
      </c>
      <c r="AO299" s="60">
        <f>IFERROR(__xludf.DUMMYFUNCTION("IFERROR((GOOGLEFINANCE($A299,""closeyest"")),"""")"),15.1)</f>
        <v>15.1</v>
      </c>
      <c r="AP299" s="60">
        <f>IFERROR(__xludf.DUMMYFUNCTION("IFERROR((GOOGLEFINANCE($A299,""shares"")),"""")"),7.9676502E7)</f>
        <v>79676502</v>
      </c>
      <c r="AQ299" s="18"/>
    </row>
    <row r="300">
      <c r="A300" s="45" t="str">
        <f>'Dados StatusInvest'!A295:A914</f>
        <v>GPIV33</v>
      </c>
      <c r="B300" s="46" t="str">
        <f>IFERROR(__xludf.DUMMYFUNCTION("IFERROR((GOOGLEFINANCE(A300,""name"")),"""")"),"")</f>
        <v/>
      </c>
      <c r="C300" s="46" t="str">
        <f>IFERROR((VLOOKUP(LEFT($A300,4),Setor!$A:$E,3,0)),"")</f>
        <v>Financeiro</v>
      </c>
      <c r="D300" s="46" t="str">
        <f>IFERROR((VLOOKUP(LEFT($A300,4),Setor!$A:$E,4,0)),"")</f>
        <v>Serviços Financeiros Diversos</v>
      </c>
      <c r="E300" s="46" t="str">
        <f>IFERROR((VLOOKUP(LEFT($A300,4),Setor!$A:$E,5,0)),"")</f>
        <v>Gestão de Recursos e Investimentos</v>
      </c>
      <c r="F300" s="47" t="str">
        <f>IFERROR(__xludf.DUMMYFUNCTION("IFERROR((GOOGLEFINANCE(A300)),"""")"),"")</f>
        <v/>
      </c>
      <c r="G300" s="48" t="str">
        <f>IFERROR(__xludf.DUMMYFUNCTION("IFERROR((sparkline(GOOGLEFINANCE($A300,""price"",TODAY()-30,TODAY(),""DAILY""),{""charttype"",""line"";""linewidth"",1;""color"",""#5f88cc""})),"""")"),"")</f>
        <v/>
      </c>
      <c r="H300" s="49" t="str">
        <f>IFERROR(__xludf.DUMMYFUNCTION("IFERROR((((GOOGLEFINANCE(A300))-(INDEX(GoogleFinance(A300,""PRICE"",$AQ$1),2,2)))/(INDEX(GoogleFinance(A300,""PRICE"",$AQ$1),2,2))),"""")"),"")</f>
        <v/>
      </c>
      <c r="I300" s="47" t="str">
        <f>IFERROR(__xludf.DUMMYFUNCTION("IFERROR((GOOGLEFINANCE($A300,""high52"")),"""")"),"")</f>
        <v/>
      </c>
      <c r="J300" s="48" t="str">
        <f>IFERROR(__xludf.DUMMYFUNCTION("IFERROR((sparkline(GOOGLEFINANCE($A300,""price"",TODAY()-365,TODAY(),""DAILY""),{""charttype"",""line"";""linewidth"",1;""color"",""#5f88cc""})),"""")"),"")</f>
        <v/>
      </c>
      <c r="K300" s="50" t="str">
        <f>IFERROR(__xludf.DUMMYFUNCTION("IFERROR((((GOOGLEFINANCE(A300))-(INDEX(GoogleFinance(A300,""PRICE"",$AP$1),2,2)))/(INDEX(GoogleFinance(A300,""PRICE"",$AP$1),2,2))),"""")"),"")</f>
        <v/>
      </c>
      <c r="L300" s="51">
        <f t="shared" si="1"/>
        <v>0</v>
      </c>
      <c r="M300" s="52">
        <f>IFERROR((VLOOKUP($A300,'Dados StatusInvest'!$A:$AZ,COLUMN(M300)-$A$5,0)*VLOOKUP($A300,'Dados StatusInvest'!$A:$AZ,2,0)/$F300/100),0)</f>
        <v>0</v>
      </c>
      <c r="N300" s="53">
        <f>IFERROR((VLOOKUP($A300,'Dados StatusInvest'!$A:$AZ,COLUMN(N300)-$A$5,0)/VLOOKUP($A300,'Dados StatusInvest'!$A:$AZ,2,0)*$F300),"")</f>
        <v>0</v>
      </c>
      <c r="O300" s="53">
        <f>IFERROR((VLOOKUP($A300,'Dados StatusInvest'!$A:$AZ,COLUMN(O300)-$A$5,0)/VLOOKUP($A300,'Dados StatusInvest'!$A:$AZ,2,0)*$F300),0)</f>
        <v>0</v>
      </c>
      <c r="P300" s="54">
        <f>IFERROR((VLOOKUP($A300,'Dados StatusInvest'!$A:$AZ,COLUMN(P300)-$A$5,0)/VLOOKUP($A300,'Dados StatusInvest'!$A:$AZ,2,0)*$F300),0)</f>
        <v>0</v>
      </c>
      <c r="Q300" s="55">
        <f>IFERROR((VLOOKUP($A300,'Dados StatusInvest'!$A:$AZ,COLUMN(Q300)-$A$5,0)/100),0)</f>
        <v>0.0129</v>
      </c>
      <c r="R300" s="56">
        <f>VLOOKUP($A300,'Dados StatusInvest'!$A:$AZ,COLUMN(R300)-$A$5,0)</f>
        <v>-0.28</v>
      </c>
      <c r="S300" s="56">
        <f>IFERROR((VLOOKUP($A300,'Dados StatusInvest'!$A:$AZ,COLUMN(S300)-$A$5,0)),0)</f>
        <v>0</v>
      </c>
      <c r="T300" s="53">
        <f>IFERROR((VLOOKUP($A300,'Dados StatusInvest'!$A:$AZ,COLUMN(T300)-$A$5,0)/VLOOKUP($A300,'Dados StatusInvest'!$A:$AZ,2,0)*$F300),0)</f>
        <v>0</v>
      </c>
      <c r="U300" s="53">
        <f>IFERROR((VLOOKUP($A300,'Dados StatusInvest'!$A:$AZ,COLUMN(U300)-$A$5,0)-VLOOKUP($A300,'Dados StatusInvest'!$A:$AZ,COLUMN(U300)-$A$5-1,0)+T300),0)</f>
        <v>-1.04</v>
      </c>
      <c r="V300" s="56">
        <f>IFERROR((VLOOKUP($A300,'Dados StatusInvest'!$A:$AZ,COLUMN(V300)-$A$5,0)),0)</f>
        <v>3.34</v>
      </c>
      <c r="W300" s="56">
        <f>IFERROR((VLOOKUP($A300,'Dados StatusInvest'!$A:$AZ,COLUMN(W300)-$A$5,0)),0)</f>
        <v>-9.85</v>
      </c>
      <c r="X300" s="53">
        <f>IFERROR((VLOOKUP($A300,'Dados StatusInvest'!$A:$AZ,COLUMN(X300)-$A$5,0)/VLOOKUP($A300,'Dados StatusInvest'!$A:$AZ,2,0)*$F300),0)</f>
        <v>0</v>
      </c>
      <c r="Y300" s="54">
        <f>IFERROR((VLOOKUP($A300,'Dados StatusInvest'!$A:$AZ,COLUMN(Y300)-$A$5,0)/VLOOKUP($A300,'Dados StatusInvest'!$A:$AZ,2,0)*$F300),0)</f>
        <v>0</v>
      </c>
      <c r="Z300" s="56">
        <f>IFERROR((VLOOKUP($A300,'Dados StatusInvest'!$A:$AZ,COLUMN(Z300)-$A$5,0)),0)</f>
        <v>0.53</v>
      </c>
      <c r="AA300" s="57">
        <f>IFERROR((VLOOKUP($A300,'Dados StatusInvest'!$A:$AZ,COLUMN(AA300)-$A$5,0)),0)</f>
        <v>0.14</v>
      </c>
      <c r="AB300" s="57">
        <f>IFERROR((VLOOKUP($A300,'Dados StatusInvest'!$A:$AZ,COLUMN(AB300)-$A$5,0)),0)</f>
        <v>-0.03</v>
      </c>
      <c r="AC300" s="58">
        <f>IFERROR((VLOOKUP($A300,'Dados StatusInvest'!$A:$AZ,COLUMN(AC300)-$A$5,0)),0)</f>
        <v>0</v>
      </c>
      <c r="AD300" s="57">
        <f>IFERROR((VLOOKUP($A300,'Dados StatusInvest'!$A:$AZ,COLUMN(AD300)-$A$5,0)),0)</f>
        <v>0</v>
      </c>
      <c r="AE300" s="56">
        <f>IFERROR((VLOOKUP($A300,'Dados StatusInvest'!$A:$AZ,COLUMN(AE300)-$A$5,0)),0)</f>
        <v>308564</v>
      </c>
      <c r="AF300" s="56">
        <f>IFERROR((VLOOKUP($A300,'Dados StatusInvest'!$A:$AZ,COLUMN(AF300)-$A$5,0)),0)</f>
        <v>19.47</v>
      </c>
      <c r="AG300" s="56">
        <f>IFERROR((VLOOKUP($A300,'Dados StatusInvest'!$A:$AZ,COLUMN(AG300)-$A$5,0)),0)</f>
        <v>-1.92</v>
      </c>
      <c r="AH300" s="56">
        <f>IFERROR((VLOOKUP($A300,'Dados StatusInvest'!$A:$AZ,COLUMN(AH300)-$A$5,0)),0)</f>
        <v>0.01</v>
      </c>
      <c r="AI300" s="57">
        <f>IFERROR((VLOOKUP($A300,'Dados StatusInvest'!$A:$AZ,COLUMN(AI300)-$A$5,0)),0)</f>
        <v>299388200.5</v>
      </c>
      <c r="AJ300" s="59" t="str">
        <f>IFERROR((VLOOKUP($A300,'Dados StatusInvest'!$A:$AZ,COLUMN(AJ300)-$A$5,0)),0)</f>
        <v/>
      </c>
      <c r="AK300" s="60" t="str">
        <f>IFERROR(__xludf.DUMMYFUNCTION("IFERROR(GOOGLEFINANCE($A300,""high""),"""")"),"")</f>
        <v/>
      </c>
      <c r="AL300" s="60" t="str">
        <f>IFERROR(__xludf.DUMMYFUNCTION("IFERROR(GOOGLEFINANCE($A300,""low""),"""")"),"")</f>
        <v/>
      </c>
      <c r="AM300" s="61">
        <f t="shared" si="2"/>
        <v>0</v>
      </c>
      <c r="AN300" s="62">
        <f>IFERROR(__xludf.DUMMYFUNCTION("IFERROR((GOOGLEFINANCE($A300,""volume"")),0)"),0.0)</f>
        <v>0</v>
      </c>
      <c r="AO300" s="60" t="str">
        <f>IFERROR(__xludf.DUMMYFUNCTION("IFERROR((GOOGLEFINANCE($A300,""closeyest"")),"""")"),"")</f>
        <v/>
      </c>
      <c r="AP300" s="60" t="str">
        <f>IFERROR(__xludf.DUMMYFUNCTION("IFERROR((GOOGLEFINANCE($A300,""shares"")),"""")"),"")</f>
        <v/>
      </c>
      <c r="AQ300" s="18"/>
    </row>
    <row r="301">
      <c r="A301" s="45" t="str">
        <f>'Dados StatusInvest'!A296:A915</f>
        <v>GRAO3</v>
      </c>
      <c r="B301" s="46" t="str">
        <f>IFERROR(__xludf.DUMMYFUNCTION("IFERROR((GOOGLEFINANCE(A301,""name"")),"""")"),"")</f>
        <v/>
      </c>
      <c r="C301" s="46" t="str">
        <f>IFERROR((VLOOKUP(LEFT($A301,4),Setor!$A:$E,3,0)),"")</f>
        <v/>
      </c>
      <c r="D301" s="46" t="str">
        <f>IFERROR((VLOOKUP(LEFT($A301,4),Setor!$A:$E,4,0)),"")</f>
        <v/>
      </c>
      <c r="E301" s="46" t="str">
        <f>IFERROR((VLOOKUP(LEFT($A301,4),Setor!$A:$E,5,0)),"")</f>
        <v/>
      </c>
      <c r="F301" s="47" t="str">
        <f>IFERROR(__xludf.DUMMYFUNCTION("IFERROR((GOOGLEFINANCE(A301)),"""")"),"")</f>
        <v/>
      </c>
      <c r="G301" s="48" t="str">
        <f>IFERROR(__xludf.DUMMYFUNCTION("IFERROR((sparkline(GOOGLEFINANCE($A301,""price"",TODAY()-30,TODAY(),""DAILY""),{""charttype"",""line"";""linewidth"",1;""color"",""#5f88cc""})),"""")"),"")</f>
        <v/>
      </c>
      <c r="H301" s="49" t="str">
        <f>IFERROR(__xludf.DUMMYFUNCTION("IFERROR((((GOOGLEFINANCE(A301))-(INDEX(GoogleFinance(A301,""PRICE"",$AQ$1),2,2)))/(INDEX(GoogleFinance(A301,""PRICE"",$AQ$1),2,2))),"""")"),"")</f>
        <v/>
      </c>
      <c r="I301" s="47" t="str">
        <f>IFERROR(__xludf.DUMMYFUNCTION("IFERROR((GOOGLEFINANCE($A301,""high52"")),"""")"),"")</f>
        <v/>
      </c>
      <c r="J301" s="48" t="str">
        <f>IFERROR(__xludf.DUMMYFUNCTION("IFERROR((sparkline(GOOGLEFINANCE($A301,""price"",TODAY()-365,TODAY(),""DAILY""),{""charttype"",""line"";""linewidth"",1;""color"",""#5f88cc""})),"""")"),"")</f>
        <v/>
      </c>
      <c r="K301" s="50" t="str">
        <f>IFERROR(__xludf.DUMMYFUNCTION("IFERROR((((GOOGLEFINANCE(A301))-(INDEX(GoogleFinance(A301,""PRICE"",$AP$1),2,2)))/(INDEX(GoogleFinance(A301,""PRICE"",$AP$1),2,2))),"""")"),"")</f>
        <v/>
      </c>
      <c r="L301" s="51">
        <f t="shared" si="1"/>
        <v>0</v>
      </c>
      <c r="M301" s="52">
        <f>IFERROR((VLOOKUP($A301,'Dados StatusInvest'!$A:$AZ,COLUMN(M301)-$A$5,0)*VLOOKUP($A301,'Dados StatusInvest'!$A:$AZ,2,0)/$F301/100),0)</f>
        <v>0</v>
      </c>
      <c r="N301" s="53" t="str">
        <f>IFERROR((VLOOKUP($A301,'Dados StatusInvest'!$A:$AZ,COLUMN(N301)-$A$5,0)/VLOOKUP($A301,'Dados StatusInvest'!$A:$AZ,2,0)*$F301),"")</f>
        <v/>
      </c>
      <c r="O301" s="53">
        <f>IFERROR((VLOOKUP($A301,'Dados StatusInvest'!$A:$AZ,COLUMN(O301)-$A$5,0)/VLOOKUP($A301,'Dados StatusInvest'!$A:$AZ,2,0)*$F301),0)</f>
        <v>0</v>
      </c>
      <c r="P301" s="54">
        <f>IFERROR((VLOOKUP($A301,'Dados StatusInvest'!$A:$AZ,COLUMN(P301)-$A$5,0)/VLOOKUP($A301,'Dados StatusInvest'!$A:$AZ,2,0)*$F301),0)</f>
        <v>0</v>
      </c>
      <c r="Q301" s="55">
        <f>IFERROR((VLOOKUP($A301,'Dados StatusInvest'!$A:$AZ,COLUMN(Q301)-$A$5,0)/100),0)</f>
        <v>0.0151</v>
      </c>
      <c r="R301" s="56">
        <f>VLOOKUP($A301,'Dados StatusInvest'!$A:$AZ,COLUMN(R301)-$A$5,0)</f>
        <v>1.18</v>
      </c>
      <c r="S301" s="56">
        <f>IFERROR((VLOOKUP($A301,'Dados StatusInvest'!$A:$AZ,COLUMN(S301)-$A$5,0)),0)</f>
        <v>0</v>
      </c>
      <c r="T301" s="53">
        <f>IFERROR((VLOOKUP($A301,'Dados StatusInvest'!$A:$AZ,COLUMN(T301)-$A$5,0)/VLOOKUP($A301,'Dados StatusInvest'!$A:$AZ,2,0)*$F301),0)</f>
        <v>0</v>
      </c>
      <c r="U301" s="53">
        <f>IFERROR((VLOOKUP($A301,'Dados StatusInvest'!$A:$AZ,COLUMN(U301)-$A$5,0)-VLOOKUP($A301,'Dados StatusInvest'!$A:$AZ,COLUMN(U301)-$A$5-1,0)+T301),0)</f>
        <v>0</v>
      </c>
      <c r="V301" s="56">
        <f>IFERROR((VLOOKUP($A301,'Dados StatusInvest'!$A:$AZ,COLUMN(V301)-$A$5,0)),0)</f>
        <v>0.92</v>
      </c>
      <c r="W301" s="56">
        <f>IFERROR((VLOOKUP($A301,'Dados StatusInvest'!$A:$AZ,COLUMN(W301)-$A$5,0)),0)</f>
        <v>25.93</v>
      </c>
      <c r="X301" s="53">
        <f>IFERROR((VLOOKUP($A301,'Dados StatusInvest'!$A:$AZ,COLUMN(X301)-$A$5,0)/VLOOKUP($A301,'Dados StatusInvest'!$A:$AZ,2,0)*$F301),0)</f>
        <v>0</v>
      </c>
      <c r="Y301" s="54">
        <f>IFERROR((VLOOKUP($A301,'Dados StatusInvest'!$A:$AZ,COLUMN(Y301)-$A$5,0)/VLOOKUP($A301,'Dados StatusInvest'!$A:$AZ,2,0)*$F301),0)</f>
        <v>0</v>
      </c>
      <c r="Z301" s="56">
        <f>IFERROR((VLOOKUP($A301,'Dados StatusInvest'!$A:$AZ,COLUMN(Z301)-$A$5,0)),0)</f>
        <v>0.17</v>
      </c>
      <c r="AA301" s="57">
        <f>IFERROR((VLOOKUP($A301,'Dados StatusInvest'!$A:$AZ,COLUMN(AA301)-$A$5,0)),0)</f>
        <v>0.76</v>
      </c>
      <c r="AB301" s="57">
        <f>IFERROR((VLOOKUP($A301,'Dados StatusInvest'!$A:$AZ,COLUMN(AB301)-$A$5,0)),0)</f>
        <v>3.46</v>
      </c>
      <c r="AC301" s="58">
        <f>IFERROR((VLOOKUP($A301,'Dados StatusInvest'!$A:$AZ,COLUMN(AC301)-$A$5,0)),0)</f>
        <v>41.49</v>
      </c>
      <c r="AD301" s="57">
        <f>IFERROR((VLOOKUP($A301,'Dados StatusInvest'!$A:$AZ,COLUMN(AD301)-$A$5,0)),0)</f>
        <v>84.79</v>
      </c>
      <c r="AE301" s="56">
        <f>IFERROR((VLOOKUP($A301,'Dados StatusInvest'!$A:$AZ,COLUMN(AE301)-$A$5,0)),0)</f>
        <v>0</v>
      </c>
      <c r="AF301" s="56">
        <f>IFERROR((VLOOKUP($A301,'Dados StatusInvest'!$A:$AZ,COLUMN(AF301)-$A$5,0)),0)</f>
        <v>1.82</v>
      </c>
      <c r="AG301" s="56">
        <f>IFERROR((VLOOKUP($A301,'Dados StatusInvest'!$A:$AZ,COLUMN(AG301)-$A$5,0)),0)</f>
        <v>0.47</v>
      </c>
      <c r="AH301" s="56">
        <f>IFERROR((VLOOKUP($A301,'Dados StatusInvest'!$A:$AZ,COLUMN(AH301)-$A$5,0)),0)</f>
        <v>0</v>
      </c>
      <c r="AI301" s="57">
        <f>IFERROR((VLOOKUP($A301,'Dados StatusInvest'!$A:$AZ,COLUMN(AI301)-$A$5,0)),0)</f>
        <v>0</v>
      </c>
      <c r="AJ301" s="59" t="str">
        <f>IFERROR((VLOOKUP($A301,'Dados StatusInvest'!$A:$AZ,COLUMN(AJ301)-$A$5,0)),0)</f>
        <v/>
      </c>
      <c r="AK301" s="60" t="str">
        <f>IFERROR(__xludf.DUMMYFUNCTION("IFERROR(GOOGLEFINANCE($A301,""high""),"""")"),"")</f>
        <v/>
      </c>
      <c r="AL301" s="60" t="str">
        <f>IFERROR(__xludf.DUMMYFUNCTION("IFERROR(GOOGLEFINANCE($A301,""low""),"""")"),"")</f>
        <v/>
      </c>
      <c r="AM301" s="61">
        <f t="shared" si="2"/>
        <v>0</v>
      </c>
      <c r="AN301" s="62">
        <f>IFERROR(__xludf.DUMMYFUNCTION("IFERROR((GOOGLEFINANCE($A301,""volume"")),0)"),0.0)</f>
        <v>0</v>
      </c>
      <c r="AO301" s="60" t="str">
        <f>IFERROR(__xludf.DUMMYFUNCTION("IFERROR((GOOGLEFINANCE($A301,""closeyest"")),"""")"),"")</f>
        <v/>
      </c>
      <c r="AP301" s="60" t="str">
        <f>IFERROR(__xludf.DUMMYFUNCTION("IFERROR((GOOGLEFINANCE($A301,""shares"")),"""")"),"")</f>
        <v/>
      </c>
      <c r="AQ301" s="18"/>
    </row>
    <row r="302">
      <c r="A302" s="45" t="str">
        <f>'Dados StatusInvest'!A297:A916</f>
        <v>GRND3</v>
      </c>
      <c r="B302" s="46" t="str">
        <f>IFERROR(__xludf.DUMMYFUNCTION("IFERROR((GOOGLEFINANCE(A302,""name"")),"""")"),"Grendene SA")</f>
        <v>Grendene SA</v>
      </c>
      <c r="C302" s="46" t="str">
        <f>IFERROR((VLOOKUP(LEFT($A302,4),Setor!$A:$E,3,0)),"")</f>
        <v>Consumo Cíclico</v>
      </c>
      <c r="D302" s="46" t="str">
        <f>IFERROR((VLOOKUP(LEFT($A302,4),Setor!$A:$E,4,0)),"")</f>
        <v>Tecidos, Vestuário e Calçados</v>
      </c>
      <c r="E302" s="46" t="str">
        <f>IFERROR((VLOOKUP(LEFT($A302,4),Setor!$A:$E,5,0)),"")</f>
        <v>Calçados</v>
      </c>
      <c r="F302" s="47">
        <f>IFERROR(__xludf.DUMMYFUNCTION("IFERROR((GOOGLEFINANCE(A302)),"""")"),4.82)</f>
        <v>4.82</v>
      </c>
      <c r="G302" s="48" t="str">
        <f>IFERROR(__xludf.DUMMYFUNCTION("IFERROR((sparkline(GOOGLEFINANCE($A302,""price"",TODAY()-30,TODAY(),""DAILY""),{""charttype"",""line"";""linewidth"",1;""color"",""#5f88cc""})),"""")"),"")</f>
        <v/>
      </c>
      <c r="H302" s="49">
        <f>IFERROR(__xludf.DUMMYFUNCTION("IFERROR((((GOOGLEFINANCE(A302))-(INDEX(GoogleFinance(A302,""PRICE"",$AQ$1),2,2)))/(INDEX(GoogleFinance(A302,""PRICE"",$AQ$1),2,2))),"""")"),0.03655913978494622)</f>
        <v>0.03655913978</v>
      </c>
      <c r="I302" s="47">
        <f>IFERROR(__xludf.DUMMYFUNCTION("IFERROR((GOOGLEFINANCE($A302,""high52"")),"""")"),5.08)</f>
        <v>5.08</v>
      </c>
      <c r="J302" s="48" t="str">
        <f>IFERROR(__xludf.DUMMYFUNCTION("IFERROR((sparkline(GOOGLEFINANCE($A302,""price"",TODAY()-365,TODAY(),""DAILY""),{""charttype"",""line"";""linewidth"",1;""color"",""#5f88cc""})),"""")"),"")</f>
        <v/>
      </c>
      <c r="K302" s="50">
        <f>IFERROR(__xludf.DUMMYFUNCTION("IFERROR((((GOOGLEFINANCE(A302))-(INDEX(GoogleFinance(A302,""PRICE"",$AP$1),2,2)))/(INDEX(GoogleFinance(A302,""PRICE"",$AP$1),2,2))),"""")"),-0.12363636363636359)</f>
        <v>-0.1236363636</v>
      </c>
      <c r="L302" s="51">
        <f t="shared" si="1"/>
        <v>-0.05118110236</v>
      </c>
      <c r="M302" s="52">
        <f>IFERROR((VLOOKUP($A302,'Dados StatusInvest'!$A:$AZ,COLUMN(M302)-$A$5,0)*VLOOKUP($A302,'Dados StatusInvest'!$A:$AZ,2,0)/$F302/100),0)</f>
        <v>0.1713078838</v>
      </c>
      <c r="N302" s="53">
        <f>IFERROR((VLOOKUP($A302,'Dados StatusInvest'!$A:$AZ,COLUMN(N302)-$A$5,0)/VLOOKUP($A302,'Dados StatusInvest'!$A:$AZ,2,0)*$F302),"")</f>
        <v>26.39049587</v>
      </c>
      <c r="O302" s="53">
        <f>IFERROR((VLOOKUP($A302,'Dados StatusInvest'!$A:$AZ,COLUMN(O302)-$A$5,0)/VLOOKUP($A302,'Dados StatusInvest'!$A:$AZ,2,0)*$F302),0)</f>
        <v>9.311363636</v>
      </c>
      <c r="P302" s="54">
        <f>IFERROR((VLOOKUP($A302,'Dados StatusInvest'!$A:$AZ,COLUMN(P302)-$A$5,0)/VLOOKUP($A302,'Dados StatusInvest'!$A:$AZ,2,0)*$F302),0)</f>
        <v>7.140371901</v>
      </c>
      <c r="Q302" s="55">
        <f>IFERROR((VLOOKUP($A302,'Dados StatusInvest'!$A:$AZ,COLUMN(Q302)-$A$5,0)/100),0)</f>
        <v>-0.0218</v>
      </c>
      <c r="R302" s="56">
        <f>VLOOKUP($A302,'Dados StatusInvest'!$A:$AZ,COLUMN(R302)-$A$5,0)</f>
        <v>-0.25</v>
      </c>
      <c r="S302" s="56">
        <f>IFERROR((VLOOKUP($A302,'Dados StatusInvest'!$A:$AZ,COLUMN(S302)-$A$5,0)),0)</f>
        <v>1.59</v>
      </c>
      <c r="T302" s="53">
        <f>IFERROR((VLOOKUP($A302,'Dados StatusInvest'!$A:$AZ,COLUMN(T302)-$A$5,0)/VLOOKUP($A302,'Dados StatusInvest'!$A:$AZ,2,0)*$F302),0)</f>
        <v>1.882190083</v>
      </c>
      <c r="U302" s="53">
        <f>IFERROR((VLOOKUP($A302,'Dados StatusInvest'!$A:$AZ,COLUMN(U302)-$A$5,0)-VLOOKUP($A302,'Dados StatusInvest'!$A:$AZ,COLUMN(U302)-$A$5-1,0)+T302),0)</f>
        <v>-2.487809917</v>
      </c>
      <c r="V302" s="56">
        <f>IFERROR((VLOOKUP($A302,'Dados StatusInvest'!$A:$AZ,COLUMN(V302)-$A$5,0)),0)</f>
        <v>6.07</v>
      </c>
      <c r="W302" s="56">
        <f>IFERROR((VLOOKUP($A302,'Dados StatusInvest'!$A:$AZ,COLUMN(W302)-$A$5,0)),0)</f>
        <v>17.92</v>
      </c>
      <c r="X302" s="53">
        <f>IFERROR((VLOOKUP($A302,'Dados StatusInvest'!$A:$AZ,COLUMN(X302)-$A$5,0)/VLOOKUP($A302,'Dados StatusInvest'!$A:$AZ,2,0)*$F302),0)</f>
        <v>15.97371901</v>
      </c>
      <c r="Y302" s="54">
        <f>IFERROR((VLOOKUP($A302,'Dados StatusInvest'!$A:$AZ,COLUMN(Y302)-$A$5,0)/VLOOKUP($A302,'Dados StatusInvest'!$A:$AZ,2,0)*$F302),0)</f>
        <v>9.062396694</v>
      </c>
      <c r="Z302" s="56">
        <f>IFERROR((VLOOKUP($A302,'Dados StatusInvest'!$A:$AZ,COLUMN(Z302)-$A$5,0)),0)</f>
        <v>0.9</v>
      </c>
      <c r="AA302" s="57">
        <f>IFERROR((VLOOKUP($A302,'Dados StatusInvest'!$A:$AZ,COLUMN(AA302)-$A$5,0)),0)</f>
        <v>0.1</v>
      </c>
      <c r="AB302" s="57">
        <f>IFERROR((VLOOKUP($A302,'Dados StatusInvest'!$A:$AZ,COLUMN(AB302)-$A$5,0)),0)</f>
        <v>0.61</v>
      </c>
      <c r="AC302" s="58">
        <f>IFERROR((VLOOKUP($A302,'Dados StatusInvest'!$A:$AZ,COLUMN(AC302)-$A$5,0)),0)</f>
        <v>4.88</v>
      </c>
      <c r="AD302" s="57">
        <f>IFERROR((VLOOKUP($A302,'Dados StatusInvest'!$A:$AZ,COLUMN(AD302)-$A$5,0)),0)</f>
        <v>7.96</v>
      </c>
      <c r="AE302" s="56">
        <f>IFERROR((VLOOKUP($A302,'Dados StatusInvest'!$A:$AZ,COLUMN(AE302)-$A$5,0)),0)</f>
        <v>19559389</v>
      </c>
      <c r="AF302" s="56">
        <f>IFERROR((VLOOKUP($A302,'Dados StatusInvest'!$A:$AZ,COLUMN(AF302)-$A$5,0)),0)</f>
        <v>4.49</v>
      </c>
      <c r="AG302" s="56">
        <f>IFERROR((VLOOKUP($A302,'Dados StatusInvest'!$A:$AZ,COLUMN(AG302)-$A$5,0)),0)</f>
        <v>0.8</v>
      </c>
      <c r="AH302" s="56">
        <f>IFERROR((VLOOKUP($A302,'Dados StatusInvest'!$A:$AZ,COLUMN(AH302)-$A$5,0)),0)</f>
        <v>0.58</v>
      </c>
      <c r="AI302" s="57">
        <f>IFERROR((VLOOKUP($A302,'Dados StatusInvest'!$A:$AZ,COLUMN(AI302)-$A$5,0)),0)</f>
        <v>4366454400</v>
      </c>
      <c r="AJ302" s="59" t="str">
        <f>IFERROR((VLOOKUP($A302,'Dados StatusInvest'!$A:$AZ,COLUMN(AJ302)-$A$5,0)),0)</f>
        <v/>
      </c>
      <c r="AK302" s="60">
        <f>IFERROR(__xludf.DUMMYFUNCTION("IFERROR(GOOGLEFINANCE($A302,""high""),"""")"),4.82)</f>
        <v>4.82</v>
      </c>
      <c r="AL302" s="60">
        <f>IFERROR(__xludf.DUMMYFUNCTION("IFERROR(GOOGLEFINANCE($A302,""low""),"""")"),4.79)</f>
        <v>4.79</v>
      </c>
      <c r="AM302" s="61">
        <f t="shared" si="2"/>
        <v>0.006263048017</v>
      </c>
      <c r="AN302" s="62">
        <f>IFERROR(__xludf.DUMMYFUNCTION("IFERROR((GOOGLEFINANCE($A302,""volume"")),0)"),121800.0)</f>
        <v>121800</v>
      </c>
      <c r="AO302" s="60">
        <f>IFERROR(__xludf.DUMMYFUNCTION("IFERROR((GOOGLEFINANCE($A302,""closeyest"")),"""")"),4.84)</f>
        <v>4.84</v>
      </c>
      <c r="AP302" s="60">
        <f>IFERROR(__xludf.DUMMYFUNCTION("IFERROR((GOOGLEFINANCE($A302,""shares"")),"""")"),9.0216E8)</f>
        <v>902160000</v>
      </c>
      <c r="AQ302" s="18"/>
    </row>
    <row r="303">
      <c r="A303" s="45" t="str">
        <f>'Dados StatusInvest'!A298:A917</f>
        <v>GSHP3</v>
      </c>
      <c r="B303" s="46" t="str">
        <f>IFERROR(__xludf.DUMMYFUNCTION("IFERROR((GOOGLEFINANCE(A303,""name"")),"""")"),"General Shopping e Outlets do Brasil SA")</f>
        <v>General Shopping e Outlets do Brasil SA</v>
      </c>
      <c r="C303" s="46" t="str">
        <f>IFERROR((VLOOKUP(LEFT($A303,4),Setor!$A:$E,3,0)),"")</f>
        <v>Financeiro</v>
      </c>
      <c r="D303" s="46" t="str">
        <f>IFERROR((VLOOKUP(LEFT($A303,4),Setor!$A:$E,4,0)),"")</f>
        <v>Exploração de Imóveis</v>
      </c>
      <c r="E303" s="46" t="str">
        <f>IFERROR((VLOOKUP(LEFT($A303,4),Setor!$A:$E,5,0)),"")</f>
        <v>Exploração de Imóveis</v>
      </c>
      <c r="F303" s="47">
        <f>IFERROR(__xludf.DUMMYFUNCTION("IFERROR((GOOGLEFINANCE(A303)),"""")"),3.06)</f>
        <v>3.06</v>
      </c>
      <c r="G303" s="48" t="str">
        <f>IFERROR(__xludf.DUMMYFUNCTION("IFERROR((sparkline(GOOGLEFINANCE($A303,""price"",TODAY()-30,TODAY(),""DAILY""),{""charttype"",""line"";""linewidth"",1;""color"",""#5f88cc""})),"""")"),"")</f>
        <v/>
      </c>
      <c r="H303" s="49">
        <f>IFERROR(__xludf.DUMMYFUNCTION("IFERROR((((GOOGLEFINANCE(A303))-(INDEX(GoogleFinance(A303,""PRICE"",$AQ$1),2,2)))/(INDEX(GoogleFinance(A303,""PRICE"",$AQ$1),2,2))),"""")"),-0.012903225806451623)</f>
        <v>-0.01290322581</v>
      </c>
      <c r="I303" s="47">
        <f>IFERROR(__xludf.DUMMYFUNCTION("IFERROR((GOOGLEFINANCE($A303,""high52"")),"""")"),8.01)</f>
        <v>8.01</v>
      </c>
      <c r="J303" s="48" t="str">
        <f>IFERROR(__xludf.DUMMYFUNCTION("IFERROR((sparkline(GOOGLEFINANCE($A303,""price"",TODAY()-365,TODAY(),""DAILY""),{""charttype"",""line"";""linewidth"",1;""color"",""#5f88cc""})),"""")"),"")</f>
        <v/>
      </c>
      <c r="K303" s="50">
        <f>IFERROR(__xludf.DUMMYFUNCTION("IFERROR((((GOOGLEFINANCE(A303))-(INDEX(GoogleFinance(A303,""PRICE"",$AP$1),2,2)))/(INDEX(GoogleFinance(A303,""PRICE"",$AP$1),2,2))),"""")"),-0.48914858096828046)</f>
        <v>-0.489148581</v>
      </c>
      <c r="L303" s="51">
        <f t="shared" si="1"/>
        <v>-0.6179775281</v>
      </c>
      <c r="M303" s="52">
        <f>IFERROR((VLOOKUP($A303,'Dados StatusInvest'!$A:$AZ,COLUMN(M303)-$A$5,0)*VLOOKUP($A303,'Dados StatusInvest'!$A:$AZ,2,0)/$F303/100),0)</f>
        <v>-0.4901</v>
      </c>
      <c r="N303" s="53">
        <f>IFERROR((VLOOKUP($A303,'Dados StatusInvest'!$A:$AZ,COLUMN(N303)-$A$5,0)/VLOOKUP($A303,'Dados StatusInvest'!$A:$AZ,2,0)*$F303),"")</f>
        <v>-135.61</v>
      </c>
      <c r="O303" s="53">
        <f>IFERROR((VLOOKUP($A303,'Dados StatusInvest'!$A:$AZ,COLUMN(O303)-$A$5,0)/VLOOKUP($A303,'Dados StatusInvest'!$A:$AZ,2,0)*$F303),0)</f>
        <v>-0.06</v>
      </c>
      <c r="P303" s="54">
        <f>IFERROR((VLOOKUP($A303,'Dados StatusInvest'!$A:$AZ,COLUMN(P303)-$A$5,0)/VLOOKUP($A303,'Dados StatusInvest'!$A:$AZ,2,0)*$F303),0)</f>
        <v>-22.26</v>
      </c>
      <c r="Q303" s="55">
        <f>IFERROR((VLOOKUP($A303,'Dados StatusInvest'!$A:$AZ,COLUMN(Q303)-$A$5,0)/100),0)</f>
        <v>-0.2219</v>
      </c>
      <c r="R303" s="56">
        <f>VLOOKUP($A303,'Dados StatusInvest'!$A:$AZ,COLUMN(R303)-$A$5,0)</f>
        <v>0</v>
      </c>
      <c r="S303" s="56">
        <f>IFERROR((VLOOKUP($A303,'Dados StatusInvest'!$A:$AZ,COLUMN(S303)-$A$5,0)),0)</f>
        <v>0.03</v>
      </c>
      <c r="T303" s="53">
        <f>IFERROR((VLOOKUP($A303,'Dados StatusInvest'!$A:$AZ,COLUMN(T303)-$A$5,0)/VLOOKUP($A303,'Dados StatusInvest'!$A:$AZ,2,0)*$F303),0)</f>
        <v>-0.05</v>
      </c>
      <c r="U303" s="53">
        <f>IFERROR((VLOOKUP($A303,'Dados StatusInvest'!$A:$AZ,COLUMN(U303)-$A$5,0)-VLOOKUP($A303,'Dados StatusInvest'!$A:$AZ,COLUMN(U303)-$A$5-1,0)+T303),0)</f>
        <v>-0.01</v>
      </c>
      <c r="V303" s="56">
        <f>IFERROR((VLOOKUP($A303,'Dados StatusInvest'!$A:$AZ,COLUMN(V303)-$A$5,0)),0)</f>
        <v>0.57</v>
      </c>
      <c r="W303" s="56">
        <f>IFERROR((VLOOKUP($A303,'Dados StatusInvest'!$A:$AZ,COLUMN(W303)-$A$5,0)),0)</f>
        <v>-19.49</v>
      </c>
      <c r="X303" s="53">
        <f>IFERROR((VLOOKUP($A303,'Dados StatusInvest'!$A:$AZ,COLUMN(X303)-$A$5,0)/VLOOKUP($A303,'Dados StatusInvest'!$A:$AZ,2,0)*$F303),0)</f>
        <v>-22.62</v>
      </c>
      <c r="Y303" s="54">
        <f>IFERROR((VLOOKUP($A303,'Dados StatusInvest'!$A:$AZ,COLUMN(Y303)-$A$5,0)/VLOOKUP($A303,'Dados StatusInvest'!$A:$AZ,2,0)*$F303),0)</f>
        <v>-16.27</v>
      </c>
      <c r="Z303" s="56">
        <f>IFERROR((VLOOKUP($A303,'Dados StatusInvest'!$A:$AZ,COLUMN(Z303)-$A$5,0)),0)</f>
        <v>-1.16</v>
      </c>
      <c r="AA303" s="57">
        <f>IFERROR((VLOOKUP($A303,'Dados StatusInvest'!$A:$AZ,COLUMN(AA303)-$A$5,0)),0)</f>
        <v>2.16</v>
      </c>
      <c r="AB303" s="57">
        <f>IFERROR((VLOOKUP($A303,'Dados StatusInvest'!$A:$AZ,COLUMN(AB303)-$A$5,0)),0)</f>
        <v>0.17</v>
      </c>
      <c r="AC303" s="58">
        <f>IFERROR((VLOOKUP($A303,'Dados StatusInvest'!$A:$AZ,COLUMN(AC303)-$A$5,0)),0)</f>
        <v>5.33</v>
      </c>
      <c r="AD303" s="57">
        <f>IFERROR((VLOOKUP($A303,'Dados StatusInvest'!$A:$AZ,COLUMN(AD303)-$A$5,0)),0)</f>
        <v>0</v>
      </c>
      <c r="AE303" s="56">
        <f>IFERROR((VLOOKUP($A303,'Dados StatusInvest'!$A:$AZ,COLUMN(AE303)-$A$5,0)),0)</f>
        <v>775.75</v>
      </c>
      <c r="AF303" s="56">
        <f>IFERROR((VLOOKUP($A303,'Dados StatusInvest'!$A:$AZ,COLUMN(AF303)-$A$5,0)),0)</f>
        <v>-683.39</v>
      </c>
      <c r="AG303" s="56">
        <f>IFERROR((VLOOKUP($A303,'Dados StatusInvest'!$A:$AZ,COLUMN(AG303)-$A$5,0)),0)</f>
        <v>-133.21</v>
      </c>
      <c r="AH303" s="56">
        <f>IFERROR((VLOOKUP($A303,'Dados StatusInvest'!$A:$AZ,COLUMN(AH303)-$A$5,0)),0)</f>
        <v>0</v>
      </c>
      <c r="AI303" s="57">
        <f>IFERROR((VLOOKUP($A303,'Dados StatusInvest'!$A:$AZ,COLUMN(AI303)-$A$5,0)),0)</f>
        <v>5902033.14</v>
      </c>
      <c r="AJ303" s="59" t="str">
        <f>IFERROR((VLOOKUP($A303,'Dados StatusInvest'!$A:$AZ,COLUMN(AJ303)-$A$5,0)),0)</f>
        <v/>
      </c>
      <c r="AK303" s="60" t="str">
        <f>IFERROR(__xludf.DUMMYFUNCTION("IFERROR(GOOGLEFINANCE($A303,""high""),"""")"),"")</f>
        <v/>
      </c>
      <c r="AL303" s="60" t="str">
        <f>IFERROR(__xludf.DUMMYFUNCTION("IFERROR(GOOGLEFINANCE($A303,""low""),"""")"),"")</f>
        <v/>
      </c>
      <c r="AM303" s="61">
        <f t="shared" si="2"/>
        <v>0</v>
      </c>
      <c r="AN303" s="62">
        <f>IFERROR(__xludf.DUMMYFUNCTION("IFERROR((GOOGLEFINANCE($A303,""volume"")),0)"),0.0)</f>
        <v>0</v>
      </c>
      <c r="AO303" s="60">
        <f>IFERROR(__xludf.DUMMYFUNCTION("IFERROR((GOOGLEFINANCE($A303,""closeyest"")),"""")"),3.06)</f>
        <v>3.06</v>
      </c>
      <c r="AP303" s="60">
        <f>IFERROR(__xludf.DUMMYFUNCTION("IFERROR((GOOGLEFINANCE($A303,""shares"")),"""")"),1928769.0)</f>
        <v>1928769</v>
      </c>
      <c r="AQ303" s="18"/>
    </row>
    <row r="304">
      <c r="A304" s="45" t="str">
        <f>'Dados StatusInvest'!A299:A918</f>
        <v>HAGA3</v>
      </c>
      <c r="B304" s="46" t="str">
        <f>IFERROR(__xludf.DUMMYFUNCTION("IFERROR((GOOGLEFINANCE(A304,""name"")),"""")"),"Haga SA Industria e Comercio")</f>
        <v>Haga SA Industria e Comercio</v>
      </c>
      <c r="C304" s="46" t="str">
        <f>IFERROR((VLOOKUP(LEFT($A304,4),Setor!$A:$E,3,0)),"")</f>
        <v>Bens Industriais</v>
      </c>
      <c r="D304" s="46" t="str">
        <f>IFERROR((VLOOKUP(LEFT($A304,4),Setor!$A:$E,4,0)),"")</f>
        <v>Construção e Engenharia</v>
      </c>
      <c r="E304" s="46" t="str">
        <f>IFERROR((VLOOKUP(LEFT($A304,4),Setor!$A:$E,5,0)),"")</f>
        <v>Produtos para Construção</v>
      </c>
      <c r="F304" s="47">
        <f>IFERROR(__xludf.DUMMYFUNCTION("IFERROR((GOOGLEFINANCE(A304)),"""")"),2.2)</f>
        <v>2.2</v>
      </c>
      <c r="G304" s="48" t="str">
        <f>IFERROR(__xludf.DUMMYFUNCTION("IFERROR((sparkline(GOOGLEFINANCE($A304,""price"",TODAY()-30,TODAY(),""DAILY""),{""charttype"",""line"";""linewidth"",1;""color"",""#5f88cc""})),"""")"),"")</f>
        <v/>
      </c>
      <c r="H304" s="49">
        <f>IFERROR(__xludf.DUMMYFUNCTION("IFERROR((((GOOGLEFINANCE(A304))-(INDEX(GoogleFinance(A304,""PRICE"",$AQ$1),2,2)))/(INDEX(GoogleFinance(A304,""PRICE"",$AQ$1),2,2))),"""")"),0.25714285714285723)</f>
        <v>0.2571428571</v>
      </c>
      <c r="I304" s="47">
        <f>IFERROR(__xludf.DUMMYFUNCTION("IFERROR((GOOGLEFINANCE($A304,""high52"")),"""")"),2.39)</f>
        <v>2.39</v>
      </c>
      <c r="J304" s="48" t="str">
        <f>IFERROR(__xludf.DUMMYFUNCTION("IFERROR((sparkline(GOOGLEFINANCE($A304,""price"",TODAY()-365,TODAY(),""DAILY""),{""charttype"",""line"";""linewidth"",1;""color"",""#5f88cc""})),"""")"),"")</f>
        <v/>
      </c>
      <c r="K304" s="50">
        <f>IFERROR(__xludf.DUMMYFUNCTION("IFERROR((((GOOGLEFINANCE(A304))-(INDEX(GoogleFinance(A304,""PRICE"",$AP$1),2,2)))/(INDEX(GoogleFinance(A304,""PRICE"",$AP$1),2,2))),"""")"),-0.01785714285714287)</f>
        <v>-0.01785714286</v>
      </c>
      <c r="L304" s="51">
        <f t="shared" si="1"/>
        <v>-0.07949790795</v>
      </c>
      <c r="M304" s="52">
        <f>IFERROR((VLOOKUP($A304,'Dados StatusInvest'!$A:$AZ,COLUMN(M304)-$A$5,0)*VLOOKUP($A304,'Dados StatusInvest'!$A:$AZ,2,0)/$F304/100),0)</f>
        <v>-0.06923818182</v>
      </c>
      <c r="N304" s="53">
        <f>IFERROR((VLOOKUP($A304,'Dados StatusInvest'!$A:$AZ,COLUMN(N304)-$A$5,0)/VLOOKUP($A304,'Dados StatusInvest'!$A:$AZ,2,0)*$F304),"")</f>
        <v>3.553097345</v>
      </c>
      <c r="O304" s="53">
        <f>IFERROR((VLOOKUP($A304,'Dados StatusInvest'!$A:$AZ,COLUMN(O304)-$A$5,0)/VLOOKUP($A304,'Dados StatusInvest'!$A:$AZ,2,0)*$F304),0)</f>
        <v>-13.91061947</v>
      </c>
      <c r="P304" s="54">
        <f>IFERROR((VLOOKUP($A304,'Dados StatusInvest'!$A:$AZ,COLUMN(P304)-$A$5,0)/VLOOKUP($A304,'Dados StatusInvest'!$A:$AZ,2,0)*$F304),0)</f>
        <v>4.740707965</v>
      </c>
      <c r="Q304" s="55">
        <f>IFERROR((VLOOKUP($A304,'Dados StatusInvest'!$A:$AZ,COLUMN(Q304)-$A$5,0)/100),0)</f>
        <v>0.1562</v>
      </c>
      <c r="R304" s="56">
        <f>VLOOKUP($A304,'Dados StatusInvest'!$A:$AZ,COLUMN(R304)-$A$5,0)</f>
        <v>0</v>
      </c>
      <c r="S304" s="56">
        <f>IFERROR((VLOOKUP($A304,'Dados StatusInvest'!$A:$AZ,COLUMN(S304)-$A$5,0)),0)</f>
        <v>0.96</v>
      </c>
      <c r="T304" s="53">
        <f>IFERROR((VLOOKUP($A304,'Dados StatusInvest'!$A:$AZ,COLUMN(T304)-$A$5,0)/VLOOKUP($A304,'Dados StatusInvest'!$A:$AZ,2,0)*$F304),0)</f>
        <v>0.710619469</v>
      </c>
      <c r="U304" s="53">
        <f>IFERROR((VLOOKUP($A304,'Dados StatusInvest'!$A:$AZ,COLUMN(U304)-$A$5,0)-VLOOKUP($A304,'Dados StatusInvest'!$A:$AZ,COLUMN(U304)-$A$5-1,0)+T304),0)</f>
        <v>-3.689380531</v>
      </c>
      <c r="V304" s="56">
        <f>IFERROR((VLOOKUP($A304,'Dados StatusInvest'!$A:$AZ,COLUMN(V304)-$A$5,0)),0)</f>
        <v>2.46</v>
      </c>
      <c r="W304" s="56">
        <f>IFERROR((VLOOKUP($A304,'Dados StatusInvest'!$A:$AZ,COLUMN(W304)-$A$5,0)),0)</f>
        <v>-2.03</v>
      </c>
      <c r="X304" s="53">
        <f>IFERROR((VLOOKUP($A304,'Dados StatusInvest'!$A:$AZ,COLUMN(X304)-$A$5,0)/VLOOKUP($A304,'Dados StatusInvest'!$A:$AZ,2,0)*$F304),0)</f>
        <v>1.421238938</v>
      </c>
      <c r="Y304" s="54">
        <f>IFERROR((VLOOKUP($A304,'Dados StatusInvest'!$A:$AZ,COLUMN(Y304)-$A$5,0)/VLOOKUP($A304,'Dados StatusInvest'!$A:$AZ,2,0)*$F304),0)</f>
        <v>7.096460177</v>
      </c>
      <c r="Z304" s="56">
        <f>IFERROR((VLOOKUP($A304,'Dados StatusInvest'!$A:$AZ,COLUMN(Z304)-$A$5,0)),0)</f>
        <v>-0.72</v>
      </c>
      <c r="AA304" s="57">
        <f>IFERROR((VLOOKUP($A304,'Dados StatusInvest'!$A:$AZ,COLUMN(AA304)-$A$5,0)),0)</f>
        <v>1.72</v>
      </c>
      <c r="AB304" s="57">
        <f>IFERROR((VLOOKUP($A304,'Dados StatusInvest'!$A:$AZ,COLUMN(AB304)-$A$5,0)),0)</f>
        <v>0.4</v>
      </c>
      <c r="AC304" s="58">
        <f>IFERROR((VLOOKUP($A304,'Dados StatusInvest'!$A:$AZ,COLUMN(AC304)-$A$5,0)),0)</f>
        <v>4.63</v>
      </c>
      <c r="AD304" s="57">
        <f>IFERROR((VLOOKUP($A304,'Dados StatusInvest'!$A:$AZ,COLUMN(AD304)-$A$5,0)),0)</f>
        <v>-16.45</v>
      </c>
      <c r="AE304" s="56">
        <f>IFERROR((VLOOKUP($A304,'Dados StatusInvest'!$A:$AZ,COLUMN(AE304)-$A$5,0)),0)</f>
        <v>7786.35</v>
      </c>
      <c r="AF304" s="56">
        <f>IFERROR((VLOOKUP($A304,'Dados StatusInvest'!$A:$AZ,COLUMN(AF304)-$A$5,0)),0)</f>
        <v>-4.22</v>
      </c>
      <c r="AG304" s="56">
        <f>IFERROR((VLOOKUP($A304,'Dados StatusInvest'!$A:$AZ,COLUMN(AG304)-$A$5,0)),0)</f>
        <v>0.09</v>
      </c>
      <c r="AH304" s="56">
        <f>IFERROR((VLOOKUP($A304,'Dados StatusInvest'!$A:$AZ,COLUMN(AH304)-$A$5,0)),0)</f>
        <v>-0.35</v>
      </c>
      <c r="AI304" s="57">
        <f>IFERROR((VLOOKUP($A304,'Dados StatusInvest'!$A:$AZ,COLUMN(AI304)-$A$5,0)),0)</f>
        <v>20230000.28</v>
      </c>
      <c r="AJ304" s="59" t="str">
        <f>IFERROR((VLOOKUP($A304,'Dados StatusInvest'!$A:$AZ,COLUMN(AJ304)-$A$5,0)),0)</f>
        <v/>
      </c>
      <c r="AK304" s="60">
        <f>IFERROR(__xludf.DUMMYFUNCTION("IFERROR(GOOGLEFINANCE($A304,""high""),"""")"),2.21)</f>
        <v>2.21</v>
      </c>
      <c r="AL304" s="60">
        <f>IFERROR(__xludf.DUMMYFUNCTION("IFERROR(GOOGLEFINANCE($A304,""low""),"""")"),2.2)</f>
        <v>2.2</v>
      </c>
      <c r="AM304" s="61">
        <f t="shared" si="2"/>
        <v>0.004545454545</v>
      </c>
      <c r="AN304" s="62">
        <f>IFERROR(__xludf.DUMMYFUNCTION("IFERROR((GOOGLEFINANCE($A304,""volume"")),0)"),2600.0)</f>
        <v>2600</v>
      </c>
      <c r="AO304" s="60">
        <f>IFERROR(__xludf.DUMMYFUNCTION("IFERROR((GOOGLEFINANCE($A304,""closeyest"")),"""")"),2.26)</f>
        <v>2.26</v>
      </c>
      <c r="AP304" s="60">
        <f>IFERROR(__xludf.DUMMYFUNCTION("IFERROR((GOOGLEFINANCE($A304,""shares"")),"""")"),3966667.0)</f>
        <v>3966667</v>
      </c>
      <c r="AQ304" s="18"/>
    </row>
    <row r="305">
      <c r="A305" s="45" t="str">
        <f>'Dados StatusInvest'!A300:A919</f>
        <v>HAGA4</v>
      </c>
      <c r="B305" s="46" t="str">
        <f>IFERROR(__xludf.DUMMYFUNCTION("IFERROR((GOOGLEFINANCE(A305,""name"")),"""")"),"Haga SA Industria e Comercio Preference Shares")</f>
        <v>Haga SA Industria e Comercio Preference Shares</v>
      </c>
      <c r="C305" s="46" t="str">
        <f>IFERROR((VLOOKUP(LEFT($A305,4),Setor!$A:$E,3,0)),"")</f>
        <v>Bens Industriais</v>
      </c>
      <c r="D305" s="46" t="str">
        <f>IFERROR((VLOOKUP(LEFT($A305,4),Setor!$A:$E,4,0)),"")</f>
        <v>Construção e Engenharia</v>
      </c>
      <c r="E305" s="46" t="str">
        <f>IFERROR((VLOOKUP(LEFT($A305,4),Setor!$A:$E,5,0)),"")</f>
        <v>Produtos para Construção</v>
      </c>
      <c r="F305" s="47">
        <f>IFERROR(__xludf.DUMMYFUNCTION("IFERROR((GOOGLEFINANCE(A305)),"""")"),1.42)</f>
        <v>1.42</v>
      </c>
      <c r="G305" s="48" t="str">
        <f>IFERROR(__xludf.DUMMYFUNCTION("IFERROR((sparkline(GOOGLEFINANCE($A305,""price"",TODAY()-30,TODAY(),""DAILY""),{""charttype"",""line"";""linewidth"",1;""color"",""#5f88cc""})),"""")"),"")</f>
        <v/>
      </c>
      <c r="H305" s="49">
        <f>IFERROR(__xludf.DUMMYFUNCTION("IFERROR((((GOOGLEFINANCE(A305))-(INDEX(GoogleFinance(A305,""PRICE"",$AQ$1),2,2)))/(INDEX(GoogleFinance(A305,""PRICE"",$AQ$1),2,2))),"""")"),0.256637168141593)</f>
        <v>0.2566371681</v>
      </c>
      <c r="I305" s="47">
        <f>IFERROR(__xludf.DUMMYFUNCTION("IFERROR((GOOGLEFINANCE($A305,""high52"")),"""")"),1.42)</f>
        <v>1.42</v>
      </c>
      <c r="J305" s="48" t="str">
        <f>IFERROR(__xludf.DUMMYFUNCTION("IFERROR((sparkline(GOOGLEFINANCE($A305,""price"",TODAY()-365,TODAY(),""DAILY""),{""charttype"",""line"";""linewidth"",1;""color"",""#5f88cc""})),"""")"),"")</f>
        <v/>
      </c>
      <c r="K305" s="50">
        <f>IFERROR(__xludf.DUMMYFUNCTION("IFERROR((((GOOGLEFINANCE(A305))-(INDEX(GoogleFinance(A305,""PRICE"",$AP$1),2,2)))/(INDEX(GoogleFinance(A305,""PRICE"",$AP$1),2,2))),"""")"),0.2033898305084746)</f>
        <v>0.2033898305</v>
      </c>
      <c r="L305" s="51">
        <f t="shared" si="1"/>
        <v>0</v>
      </c>
      <c r="M305" s="52">
        <f>IFERROR((VLOOKUP($A305,'Dados StatusInvest'!$A:$AZ,COLUMN(M305)-$A$5,0)*VLOOKUP($A305,'Dados StatusInvest'!$A:$AZ,2,0)/$F305/100),0)</f>
        <v>-0.0674</v>
      </c>
      <c r="N305" s="53">
        <f>IFERROR((VLOOKUP($A305,'Dados StatusInvest'!$A:$AZ,COLUMN(N305)-$A$5,0)/VLOOKUP($A305,'Dados StatusInvest'!$A:$AZ,2,0)*$F305),"")</f>
        <v>3.65</v>
      </c>
      <c r="O305" s="53">
        <f>IFERROR((VLOOKUP($A305,'Dados StatusInvest'!$A:$AZ,COLUMN(O305)-$A$5,0)/VLOOKUP($A305,'Dados StatusInvest'!$A:$AZ,2,0)*$F305),0)</f>
        <v>-8.98</v>
      </c>
      <c r="P305" s="54">
        <f>IFERROR((VLOOKUP($A305,'Dados StatusInvest'!$A:$AZ,COLUMN(P305)-$A$5,0)/VLOOKUP($A305,'Dados StatusInvest'!$A:$AZ,2,0)*$F305),0)</f>
        <v>4.87</v>
      </c>
      <c r="Q305" s="55">
        <f>IFERROR((VLOOKUP($A305,'Dados StatusInvest'!$A:$AZ,COLUMN(Q305)-$A$5,0)/100),0)</f>
        <v>0.1562</v>
      </c>
      <c r="R305" s="56">
        <f>VLOOKUP($A305,'Dados StatusInvest'!$A:$AZ,COLUMN(R305)-$A$5,0)</f>
        <v>0</v>
      </c>
      <c r="S305" s="56">
        <f>IFERROR((VLOOKUP($A305,'Dados StatusInvest'!$A:$AZ,COLUMN(S305)-$A$5,0)),0)</f>
        <v>0.6</v>
      </c>
      <c r="T305" s="53">
        <f>IFERROR((VLOOKUP($A305,'Dados StatusInvest'!$A:$AZ,COLUMN(T305)-$A$5,0)/VLOOKUP($A305,'Dados StatusInvest'!$A:$AZ,2,0)*$F305),0)</f>
        <v>0.46</v>
      </c>
      <c r="U305" s="53">
        <f>IFERROR((VLOOKUP($A305,'Dados StatusInvest'!$A:$AZ,COLUMN(U305)-$A$5,0)-VLOOKUP($A305,'Dados StatusInvest'!$A:$AZ,COLUMN(U305)-$A$5-1,0)+T305),0)</f>
        <v>-2.3</v>
      </c>
      <c r="V305" s="56">
        <f>IFERROR((VLOOKUP($A305,'Dados StatusInvest'!$A:$AZ,COLUMN(V305)-$A$5,0)),0)</f>
        <v>2.46</v>
      </c>
      <c r="W305" s="56">
        <f>IFERROR((VLOOKUP($A305,'Dados StatusInvest'!$A:$AZ,COLUMN(W305)-$A$5,0)),0)</f>
        <v>-2.03</v>
      </c>
      <c r="X305" s="53">
        <f>IFERROR((VLOOKUP($A305,'Dados StatusInvest'!$A:$AZ,COLUMN(X305)-$A$5,0)/VLOOKUP($A305,'Dados StatusInvest'!$A:$AZ,2,0)*$F305),0)</f>
        <v>1.46</v>
      </c>
      <c r="Y305" s="54">
        <f>IFERROR((VLOOKUP($A305,'Dados StatusInvest'!$A:$AZ,COLUMN(Y305)-$A$5,0)/VLOOKUP($A305,'Dados StatusInvest'!$A:$AZ,2,0)*$F305),0)</f>
        <v>7.29</v>
      </c>
      <c r="Z305" s="56">
        <f>IFERROR((VLOOKUP($A305,'Dados StatusInvest'!$A:$AZ,COLUMN(Z305)-$A$5,0)),0)</f>
        <v>-0.72</v>
      </c>
      <c r="AA305" s="57">
        <f>IFERROR((VLOOKUP($A305,'Dados StatusInvest'!$A:$AZ,COLUMN(AA305)-$A$5,0)),0)</f>
        <v>1.72</v>
      </c>
      <c r="AB305" s="57">
        <f>IFERROR((VLOOKUP($A305,'Dados StatusInvest'!$A:$AZ,COLUMN(AB305)-$A$5,0)),0)</f>
        <v>0.4</v>
      </c>
      <c r="AC305" s="58">
        <f>IFERROR((VLOOKUP($A305,'Dados StatusInvest'!$A:$AZ,COLUMN(AC305)-$A$5,0)),0)</f>
        <v>4.63</v>
      </c>
      <c r="AD305" s="57">
        <f>IFERROR((VLOOKUP($A305,'Dados StatusInvest'!$A:$AZ,COLUMN(AD305)-$A$5,0)),0)</f>
        <v>-16.45</v>
      </c>
      <c r="AE305" s="56">
        <f>IFERROR((VLOOKUP($A305,'Dados StatusInvest'!$A:$AZ,COLUMN(AE305)-$A$5,0)),0)</f>
        <v>8440.52</v>
      </c>
      <c r="AF305" s="56">
        <f>IFERROR((VLOOKUP($A305,'Dados StatusInvest'!$A:$AZ,COLUMN(AF305)-$A$5,0)),0)</f>
        <v>-4.22</v>
      </c>
      <c r="AG305" s="56">
        <f>IFERROR((VLOOKUP($A305,'Dados StatusInvest'!$A:$AZ,COLUMN(AG305)-$A$5,0)),0)</f>
        <v>0.09</v>
      </c>
      <c r="AH305" s="56">
        <f>IFERROR((VLOOKUP($A305,'Dados StatusInvest'!$A:$AZ,COLUMN(AH305)-$A$5,0)),0)</f>
        <v>-0.22</v>
      </c>
      <c r="AI305" s="57">
        <f>IFERROR((VLOOKUP($A305,'Dados StatusInvest'!$A:$AZ,COLUMN(AI305)-$A$5,0)),0)</f>
        <v>20230000.28</v>
      </c>
      <c r="AJ305" s="59" t="str">
        <f>IFERROR((VLOOKUP($A305,'Dados StatusInvest'!$A:$AZ,COLUMN(AJ305)-$A$5,0)),0)</f>
        <v/>
      </c>
      <c r="AK305" s="60">
        <f>IFERROR(__xludf.DUMMYFUNCTION("IFERROR(GOOGLEFINANCE($A305,""high""),"""")"),1.42)</f>
        <v>1.42</v>
      </c>
      <c r="AL305" s="60">
        <f>IFERROR(__xludf.DUMMYFUNCTION("IFERROR(GOOGLEFINANCE($A305,""low""),"""")"),1.41)</f>
        <v>1.41</v>
      </c>
      <c r="AM305" s="61">
        <f t="shared" si="2"/>
        <v>0.007092198582</v>
      </c>
      <c r="AN305" s="62">
        <f>IFERROR(__xludf.DUMMYFUNCTION("IFERROR((GOOGLEFINANCE($A305,""volume"")),0)"),1100.0)</f>
        <v>1100</v>
      </c>
      <c r="AO305" s="60">
        <f>IFERROR(__xludf.DUMMYFUNCTION("IFERROR((GOOGLEFINANCE($A305,""closeyest"")),"""")"),1.42)</f>
        <v>1.42</v>
      </c>
      <c r="AP305" s="60">
        <f>IFERROR(__xludf.DUMMYFUNCTION("IFERROR((GOOGLEFINANCE($A305,""shares"")),"""")"),7933333.0)</f>
        <v>7933333</v>
      </c>
      <c r="AQ305" s="18"/>
    </row>
    <row r="306">
      <c r="A306" s="45" t="str">
        <f>'Dados StatusInvest'!A301:A920</f>
        <v>HAPV3</v>
      </c>
      <c r="B306" s="46" t="str">
        <f>IFERROR(__xludf.DUMMYFUNCTION("IFERROR((GOOGLEFINANCE(A306,""name"")),"""")"),"Hapvida Par e Invest Cedar")</f>
        <v>Hapvida Par e Invest Cedar</v>
      </c>
      <c r="C306" s="46" t="str">
        <f>IFERROR((VLOOKUP(LEFT($A306,4),Setor!$A:$E,3,0)),"")</f>
        <v>Saúde</v>
      </c>
      <c r="D306" s="46" t="str">
        <f>IFERROR((VLOOKUP(LEFT($A306,4),Setor!$A:$E,4,0)),"")</f>
        <v>Análises e Diagnósticos</v>
      </c>
      <c r="E306" s="46" t="str">
        <f>IFERROR((VLOOKUP(LEFT($A306,4),Setor!$A:$E,5,0)),"")</f>
        <v>Análises e Diagnósticos</v>
      </c>
      <c r="F306" s="47">
        <f>IFERROR(__xludf.DUMMYFUNCTION("IFERROR((GOOGLEFINANCE(A306)),"""")"),3020.0)</f>
        <v>3020</v>
      </c>
      <c r="G306" s="48" t="str">
        <f>IFERROR(__xludf.DUMMYFUNCTION("IFERROR((sparkline(GOOGLEFINANCE($A306,""price"",TODAY()-30,TODAY(),""DAILY""),{""charttype"",""line"";""linewidth"",1;""color"",""#5f88cc""})),"""")"),"")</f>
        <v/>
      </c>
      <c r="H306" s="49">
        <f>IFERROR(__xludf.DUMMYFUNCTION("IFERROR((((GOOGLEFINANCE(A306))-(INDEX(GoogleFinance(A306,""PRICE"",$AQ$1),2,2)))/(INDEX(GoogleFinance(A306,""PRICE"",$AQ$1),2,2))),"""")"),-0.23929471032745592)</f>
        <v>-0.2392947103</v>
      </c>
      <c r="I306" s="47">
        <f>IFERROR(__xludf.DUMMYFUNCTION("IFERROR((GOOGLEFINANCE($A306,""high52"")),"""")"),11800.0)</f>
        <v>11800</v>
      </c>
      <c r="J306" s="48" t="str">
        <f>IFERROR(__xludf.DUMMYFUNCTION("IFERROR((sparkline(GOOGLEFINANCE($A306,""price"",TODAY()-365,TODAY(),""DAILY""),{""charttype"",""line"";""linewidth"",1;""color"",""#5f88cc""})),"""")"),"")</f>
        <v/>
      </c>
      <c r="K306" s="50">
        <f>IFERROR(__xludf.DUMMYFUNCTION("IFERROR((((GOOGLEFINANCE(A306))-(INDEX(GoogleFinance(A306,""PRICE"",$AP$1),2,2)))/(INDEX(GoogleFinance(A306,""PRICE"",$AP$1),2,2))),"""")"),4.763358778625954)</f>
        <v>4.763358779</v>
      </c>
      <c r="L306" s="51">
        <f t="shared" si="1"/>
        <v>-0.7440677966</v>
      </c>
      <c r="M306" s="52">
        <f>IFERROR((VLOOKUP($A306,'Dados StatusInvest'!$A:$AZ,COLUMN(M306)-$A$5,0)*VLOOKUP($A306,'Dados StatusInvest'!$A:$AZ,2,0)/$F306/100),0)</f>
        <v>0.0001768559603</v>
      </c>
      <c r="N306" s="53">
        <f>IFERROR((VLOOKUP($A306,'Dados StatusInvest'!$A:$AZ,COLUMN(N306)-$A$5,0)/VLOOKUP($A306,'Dados StatusInvest'!$A:$AZ,2,0)*$F306),"")</f>
        <v>-293.8832252</v>
      </c>
      <c r="O306" s="53">
        <f>IFERROR((VLOOKUP($A306,'Dados StatusInvest'!$A:$AZ,COLUMN(O306)-$A$5,0)/VLOOKUP($A306,'Dados StatusInvest'!$A:$AZ,2,0)*$F306),0)</f>
        <v>1032.78962</v>
      </c>
      <c r="P306" s="54">
        <f>IFERROR((VLOOKUP($A306,'Dados StatusInvest'!$A:$AZ,COLUMN(P306)-$A$5,0)/VLOOKUP($A306,'Dados StatusInvest'!$A:$AZ,2,0)*$F306),0)</f>
        <v>1766.098239</v>
      </c>
      <c r="Q306" s="55">
        <f>IFERROR((VLOOKUP($A306,'Dados StatusInvest'!$A:$AZ,COLUMN(Q306)-$A$5,0)/100),0)</f>
        <v>0.0262</v>
      </c>
      <c r="R306" s="56">
        <f>VLOOKUP($A306,'Dados StatusInvest'!$A:$AZ,COLUMN(R306)-$A$5,0)</f>
        <v>0.08</v>
      </c>
      <c r="S306" s="56">
        <f>IFERROR((VLOOKUP($A306,'Dados StatusInvest'!$A:$AZ,COLUMN(S306)-$A$5,0)),0)</f>
        <v>0.18</v>
      </c>
      <c r="T306" s="53">
        <f>IFERROR((VLOOKUP($A306,'Dados StatusInvest'!$A:$AZ,COLUMN(T306)-$A$5,0)/VLOOKUP($A306,'Dados StatusInvest'!$A:$AZ,2,0)*$F306),0)</f>
        <v>249.1010195</v>
      </c>
      <c r="U306" s="53">
        <f>IFERROR((VLOOKUP($A306,'Dados StatusInvest'!$A:$AZ,COLUMN(U306)-$A$5,0)-VLOOKUP($A306,'Dados StatusInvest'!$A:$AZ,COLUMN(U306)-$A$5-1,0)+T306),0)</f>
        <v>248.1210195</v>
      </c>
      <c r="V306" s="56">
        <f>IFERROR((VLOOKUP($A306,'Dados StatusInvest'!$A:$AZ,COLUMN(V306)-$A$5,0)),0)</f>
        <v>1.98</v>
      </c>
      <c r="W306" s="56">
        <f>IFERROR((VLOOKUP($A306,'Dados StatusInvest'!$A:$AZ,COLUMN(W306)-$A$5,0)),0)</f>
        <v>-0.64</v>
      </c>
      <c r="X306" s="53">
        <f>IFERROR((VLOOKUP($A306,'Dados StatusInvest'!$A:$AZ,COLUMN(X306)-$A$5,0)/VLOOKUP($A306,'Dados StatusInvest'!$A:$AZ,2,0)*$F306),0)</f>
        <v>-117.5532901</v>
      </c>
      <c r="Y306" s="54">
        <f>IFERROR((VLOOKUP($A306,'Dados StatusInvest'!$A:$AZ,COLUMN(Y306)-$A$5,0)/VLOOKUP($A306,'Dados StatusInvest'!$A:$AZ,2,0)*$F306),0)</f>
        <v>657.7386469</v>
      </c>
      <c r="Z306" s="56">
        <f>IFERROR((VLOOKUP($A306,'Dados StatusInvest'!$A:$AZ,COLUMN(Z306)-$A$5,0)),0)</f>
        <v>0.65</v>
      </c>
      <c r="AA306" s="57">
        <f>IFERROR((VLOOKUP($A306,'Dados StatusInvest'!$A:$AZ,COLUMN(AA306)-$A$5,0)),0)</f>
        <v>0.35</v>
      </c>
      <c r="AB306" s="57">
        <f>IFERROR((VLOOKUP($A306,'Dados StatusInvest'!$A:$AZ,COLUMN(AB306)-$A$5,0)),0)</f>
        <v>0.4</v>
      </c>
      <c r="AC306" s="58">
        <f>IFERROR((VLOOKUP($A306,'Dados StatusInvest'!$A:$AZ,COLUMN(AC306)-$A$5,0)),0)</f>
        <v>38.69</v>
      </c>
      <c r="AD306" s="57">
        <f>IFERROR((VLOOKUP($A306,'Dados StatusInvest'!$A:$AZ,COLUMN(AD306)-$A$5,0)),0)</f>
        <v>0</v>
      </c>
      <c r="AE306" s="56">
        <f>IFERROR((VLOOKUP($A306,'Dados StatusInvest'!$A:$AZ,COLUMN(AE306)-$A$5,0)),0)</f>
        <v>117000000</v>
      </c>
      <c r="AF306" s="56">
        <f>IFERROR((VLOOKUP($A306,'Dados StatusInvest'!$A:$AZ,COLUMN(AF306)-$A$5,0)),0)</f>
        <v>96.79</v>
      </c>
      <c r="AG306" s="56">
        <f>IFERROR((VLOOKUP($A306,'Dados StatusInvest'!$A:$AZ,COLUMN(AG306)-$A$5,0)),0)</f>
        <v>-0.62</v>
      </c>
      <c r="AH306" s="56">
        <f>IFERROR((VLOOKUP($A306,'Dados StatusInvest'!$A:$AZ,COLUMN(AH306)-$A$5,0)),0)</f>
        <v>0.4</v>
      </c>
      <c r="AI306" s="57">
        <f>IFERROR((VLOOKUP($A306,'Dados StatusInvest'!$A:$AZ,COLUMN(AI306)-$A$5,0)),0)</f>
        <v>5423387238</v>
      </c>
      <c r="AJ306" s="59" t="str">
        <f>IFERROR((VLOOKUP($A306,'Dados StatusInvest'!$A:$AZ,COLUMN(AJ306)-$A$5,0)),0)</f>
        <v/>
      </c>
      <c r="AK306" s="60" t="str">
        <f>IFERROR(__xludf.DUMMYFUNCTION("IFERROR(GOOGLEFINANCE($A306,""high""),"""")"),"")</f>
        <v/>
      </c>
      <c r="AL306" s="60" t="str">
        <f>IFERROR(__xludf.DUMMYFUNCTION("IFERROR(GOOGLEFINANCE($A306,""low""),"""")"),"")</f>
        <v/>
      </c>
      <c r="AM306" s="61">
        <f t="shared" si="2"/>
        <v>0</v>
      </c>
      <c r="AN306" s="62">
        <f>IFERROR(__xludf.DUMMYFUNCTION("IFERROR((GOOGLEFINANCE($A306,""volume"")),0)"),0.0)</f>
        <v>0</v>
      </c>
      <c r="AO306" s="60">
        <f>IFERROR(__xludf.DUMMYFUNCTION("IFERROR((GOOGLEFINANCE($A306,""closeyest"")),"""")"),3007.5)</f>
        <v>3007.5</v>
      </c>
      <c r="AP306" s="60">
        <f>IFERROR(__xludf.DUMMYFUNCTION("IFERROR((GOOGLEFINANCE($A306,""shares"")),"""")"),5.02630884E8)</f>
        <v>502630884</v>
      </c>
      <c r="AQ306" s="18"/>
    </row>
    <row r="307">
      <c r="A307" s="45" t="str">
        <f>'Dados StatusInvest'!A302:A921</f>
        <v>HBOR3</v>
      </c>
      <c r="B307" s="46" t="str">
        <f>IFERROR(__xludf.DUMMYFUNCTION("IFERROR((GOOGLEFINANCE(A307,""name"")),"""")"),"Helbor Empreendimentos SA")</f>
        <v>Helbor Empreendimentos SA</v>
      </c>
      <c r="C307" s="46" t="str">
        <f>IFERROR((VLOOKUP(LEFT($A307,4),Setor!$A:$E,3,0)),"")</f>
        <v>Consumo Cíclico</v>
      </c>
      <c r="D307" s="46" t="str">
        <f>IFERROR((VLOOKUP(LEFT($A307,4),Setor!$A:$E,4,0)),"")</f>
        <v>Construção Civil</v>
      </c>
      <c r="E307" s="46" t="str">
        <f>IFERROR((VLOOKUP(LEFT($A307,4),Setor!$A:$E,5,0)),"")</f>
        <v>Incorporações</v>
      </c>
      <c r="F307" s="47">
        <f>IFERROR(__xludf.DUMMYFUNCTION("IFERROR((GOOGLEFINANCE(A307)),"""")"),3.23)</f>
        <v>3.23</v>
      </c>
      <c r="G307" s="48" t="str">
        <f>IFERROR(__xludf.DUMMYFUNCTION("IFERROR((sparkline(GOOGLEFINANCE($A307,""price"",TODAY()-30,TODAY(),""DAILY""),{""charttype"",""line"";""linewidth"",1;""color"",""#5f88cc""})),"""")"),"")</f>
        <v/>
      </c>
      <c r="H307" s="49">
        <f>IFERROR(__xludf.DUMMYFUNCTION("IFERROR((((GOOGLEFINANCE(A307))-(INDEX(GoogleFinance(A307,""PRICE"",$AQ$1),2,2)))/(INDEX(GoogleFinance(A307,""PRICE"",$AQ$1),2,2))),"""")"),0.26171874999999994)</f>
        <v>0.26171875</v>
      </c>
      <c r="I307" s="47">
        <f>IFERROR(__xludf.DUMMYFUNCTION("IFERROR((GOOGLEFINANCE($A307,""high52"")),"""")"),4.06)</f>
        <v>4.06</v>
      </c>
      <c r="J307" s="48" t="str">
        <f>IFERROR(__xludf.DUMMYFUNCTION("IFERROR((sparkline(GOOGLEFINANCE($A307,""price"",TODAY()-365,TODAY(),""DAILY""),{""charttype"",""line"";""linewidth"",1;""color"",""#5f88cc""})),"""")"),"")</f>
        <v/>
      </c>
      <c r="K307" s="50">
        <f>IFERROR(__xludf.DUMMYFUNCTION("IFERROR((((GOOGLEFINANCE(A307))-(INDEX(GoogleFinance(A307,""PRICE"",$AP$1),2,2)))/(INDEX(GoogleFinance(A307,""PRICE"",$AP$1),2,2))),"""")"),0.993827160493827)</f>
        <v>0.9938271605</v>
      </c>
      <c r="L307" s="51">
        <f t="shared" si="1"/>
        <v>-0.2044334975</v>
      </c>
      <c r="M307" s="52">
        <f>IFERROR((VLOOKUP($A307,'Dados StatusInvest'!$A:$AZ,COLUMN(M307)-$A$5,0)*VLOOKUP($A307,'Dados StatusInvest'!$A:$AZ,2,0)/$F307/100),0)</f>
        <v>0.162479257</v>
      </c>
      <c r="N307" s="53">
        <f>IFERROR((VLOOKUP($A307,'Dados StatusInvest'!$A:$AZ,COLUMN(N307)-$A$5,0)/VLOOKUP($A307,'Dados StatusInvest'!$A:$AZ,2,0)*$F307),"")</f>
        <v>3.588888889</v>
      </c>
      <c r="O307" s="53">
        <f>IFERROR((VLOOKUP($A307,'Dados StatusInvest'!$A:$AZ,COLUMN(O307)-$A$5,0)/VLOOKUP($A307,'Dados StatusInvest'!$A:$AZ,2,0)*$F307),0)</f>
        <v>2.444324324</v>
      </c>
      <c r="P307" s="54">
        <f>IFERROR((VLOOKUP($A307,'Dados StatusInvest'!$A:$AZ,COLUMN(P307)-$A$5,0)/VLOOKUP($A307,'Dados StatusInvest'!$A:$AZ,2,0)*$F307),0)</f>
        <v>10.82486486</v>
      </c>
      <c r="Q307" s="55">
        <f>IFERROR((VLOOKUP($A307,'Dados StatusInvest'!$A:$AZ,COLUMN(Q307)-$A$5,0)/100),0)</f>
        <v>0.0864</v>
      </c>
      <c r="R307" s="56">
        <f>VLOOKUP($A307,'Dados StatusInvest'!$A:$AZ,COLUMN(R307)-$A$5,0)</f>
        <v>1.05</v>
      </c>
      <c r="S307" s="56">
        <f>IFERROR((VLOOKUP($A307,'Dados StatusInvest'!$A:$AZ,COLUMN(S307)-$A$5,0)),0)</f>
        <v>0.4</v>
      </c>
      <c r="T307" s="53">
        <f>IFERROR((VLOOKUP($A307,'Dados StatusInvest'!$A:$AZ,COLUMN(T307)-$A$5,0)/VLOOKUP($A307,'Dados StatusInvest'!$A:$AZ,2,0)*$F307),0)</f>
        <v>0.3491891892</v>
      </c>
      <c r="U307" s="53">
        <f>IFERROR((VLOOKUP($A307,'Dados StatusInvest'!$A:$AZ,COLUMN(U307)-$A$5,0)-VLOOKUP($A307,'Dados StatusInvest'!$A:$AZ,COLUMN(U307)-$A$5-1,0)+T307),0)</f>
        <v>-0.1308108108</v>
      </c>
      <c r="V307" s="56">
        <f>IFERROR((VLOOKUP($A307,'Dados StatusInvest'!$A:$AZ,COLUMN(V307)-$A$5,0)),0)</f>
        <v>1.84</v>
      </c>
      <c r="W307" s="56">
        <f>IFERROR((VLOOKUP($A307,'Dados StatusInvest'!$A:$AZ,COLUMN(W307)-$A$5,0)),0)</f>
        <v>2.84</v>
      </c>
      <c r="X307" s="53">
        <f>IFERROR((VLOOKUP($A307,'Dados StatusInvest'!$A:$AZ,COLUMN(X307)-$A$5,0)/VLOOKUP($A307,'Dados StatusInvest'!$A:$AZ,2,0)*$F307),0)</f>
        <v>0.6110810811</v>
      </c>
      <c r="Y307" s="54">
        <f>IFERROR((VLOOKUP($A307,'Dados StatusInvest'!$A:$AZ,COLUMN(Y307)-$A$5,0)/VLOOKUP($A307,'Dados StatusInvest'!$A:$AZ,2,0)*$F307),0)</f>
        <v>3.162102102</v>
      </c>
      <c r="Z307" s="56">
        <f>IFERROR((VLOOKUP($A307,'Dados StatusInvest'!$A:$AZ,COLUMN(Z307)-$A$5,0)),0)</f>
        <v>0.22</v>
      </c>
      <c r="AA307" s="57">
        <f>IFERROR((VLOOKUP($A307,'Dados StatusInvest'!$A:$AZ,COLUMN(AA307)-$A$5,0)),0)</f>
        <v>0.57</v>
      </c>
      <c r="AB307" s="57">
        <f>IFERROR((VLOOKUP($A307,'Dados StatusInvest'!$A:$AZ,COLUMN(AB307)-$A$5,0)),0)</f>
        <v>0.17</v>
      </c>
      <c r="AC307" s="58">
        <f>IFERROR((VLOOKUP($A307,'Dados StatusInvest'!$A:$AZ,COLUMN(AC307)-$A$5,0)),0)</f>
        <v>-0.32</v>
      </c>
      <c r="AD307" s="57">
        <f>IFERROR((VLOOKUP($A307,'Dados StatusInvest'!$A:$AZ,COLUMN(AD307)-$A$5,0)),0)</f>
        <v>0</v>
      </c>
      <c r="AE307" s="56">
        <f>IFERROR((VLOOKUP($A307,'Dados StatusInvest'!$A:$AZ,COLUMN(AE307)-$A$5,0)),0)</f>
        <v>2913298</v>
      </c>
      <c r="AF307" s="56">
        <f>IFERROR((VLOOKUP($A307,'Dados StatusInvest'!$A:$AZ,COLUMN(AF307)-$A$5,0)),0)</f>
        <v>10.92</v>
      </c>
      <c r="AG307" s="56">
        <f>IFERROR((VLOOKUP($A307,'Dados StatusInvest'!$A:$AZ,COLUMN(AG307)-$A$5,0)),0)</f>
        <v>0.31</v>
      </c>
      <c r="AH307" s="56">
        <f>IFERROR((VLOOKUP($A307,'Dados StatusInvest'!$A:$AZ,COLUMN(AH307)-$A$5,0)),0)</f>
        <v>-0.48</v>
      </c>
      <c r="AI307" s="57">
        <f>IFERROR((VLOOKUP($A307,'Dados StatusInvest'!$A:$AZ,COLUMN(AI307)-$A$5,0)),0)</f>
        <v>445724069.8</v>
      </c>
      <c r="AJ307" s="59" t="str">
        <f>IFERROR((VLOOKUP($A307,'Dados StatusInvest'!$A:$AZ,COLUMN(AJ307)-$A$5,0)),0)</f>
        <v/>
      </c>
      <c r="AK307" s="60">
        <f>IFERROR(__xludf.DUMMYFUNCTION("IFERROR(GOOGLEFINANCE($A307,""high""),"""")"),3.41)</f>
        <v>3.41</v>
      </c>
      <c r="AL307" s="60">
        <f>IFERROR(__xludf.DUMMYFUNCTION("IFERROR(GOOGLEFINANCE($A307,""low""),"""")"),3.23)</f>
        <v>3.23</v>
      </c>
      <c r="AM307" s="61">
        <f t="shared" si="2"/>
        <v>0.05572755418</v>
      </c>
      <c r="AN307" s="62">
        <f>IFERROR(__xludf.DUMMYFUNCTION("IFERROR((GOOGLEFINANCE($A307,""volume"")),0)"),231900.0)</f>
        <v>231900</v>
      </c>
      <c r="AO307" s="60">
        <f>IFERROR(__xludf.DUMMYFUNCTION("IFERROR((GOOGLEFINANCE($A307,""closeyest"")),"""")"),3.33)</f>
        <v>3.33</v>
      </c>
      <c r="AP307" s="60">
        <f>IFERROR(__xludf.DUMMYFUNCTION("IFERROR((GOOGLEFINANCE($A307,""shares"")),"""")"),1.33851072E8)</f>
        <v>133851072</v>
      </c>
      <c r="AQ307" s="18"/>
    </row>
    <row r="308">
      <c r="A308" s="45" t="str">
        <f>'Dados StatusInvest'!A303:A922</f>
        <v>HBRE3</v>
      </c>
      <c r="B308" s="46" t="str">
        <f>IFERROR(__xludf.DUMMYFUNCTION("IFERROR((GOOGLEFINANCE(A308,""name"")),"""")"),"HBR Realty Empreendimentos Imobiliars SA")</f>
        <v>HBR Realty Empreendimentos Imobiliars SA</v>
      </c>
      <c r="C308" s="46" t="str">
        <f>IFERROR((VLOOKUP(LEFT($A308,4),Setor!$A:$E,3,0)),"")</f>
        <v/>
      </c>
      <c r="D308" s="46" t="str">
        <f>IFERROR((VLOOKUP(LEFT($A308,4),Setor!$A:$E,4,0)),"")</f>
        <v/>
      </c>
      <c r="E308" s="46" t="str">
        <f>IFERROR((VLOOKUP(LEFT($A308,4),Setor!$A:$E,5,0)),"")</f>
        <v/>
      </c>
      <c r="F308" s="47">
        <f>IFERROR(__xludf.DUMMYFUNCTION("IFERROR((GOOGLEFINANCE(A308)),"""")"),3.49)</f>
        <v>3.49</v>
      </c>
      <c r="G308" s="48" t="str">
        <f>IFERROR(__xludf.DUMMYFUNCTION("IFERROR((sparkline(GOOGLEFINANCE($A308,""price"",TODAY()-30,TODAY(),""DAILY""),{""charttype"",""line"";""linewidth"",1;""color"",""#5f88cc""})),"""")"),"")</f>
        <v/>
      </c>
      <c r="H308" s="49">
        <f>IFERROR(__xludf.DUMMYFUNCTION("IFERROR((((GOOGLEFINANCE(A308))-(INDEX(GoogleFinance(A308,""PRICE"",$AQ$1),2,2)))/(INDEX(GoogleFinance(A308,""PRICE"",$AQ$1),2,2))),"""")"),0.002873563218390871)</f>
        <v>0.002873563218</v>
      </c>
      <c r="I308" s="47">
        <f>IFERROR(__xludf.DUMMYFUNCTION("IFERROR((GOOGLEFINANCE($A308,""high52"")),"""")"),4.17)</f>
        <v>4.17</v>
      </c>
      <c r="J308" s="48" t="str">
        <f>IFERROR(__xludf.DUMMYFUNCTION("IFERROR((sparkline(GOOGLEFINANCE($A308,""price"",TODAY()-365,TODAY(),""DAILY""),{""charttype"",""line"";""linewidth"",1;""color"",""#5f88cc""})),"""")"),"")</f>
        <v/>
      </c>
      <c r="K308" s="50">
        <f>IFERROR(__xludf.DUMMYFUNCTION("IFERROR((((GOOGLEFINANCE(A308))-(INDEX(GoogleFinance(A308,""PRICE"",$AP$1),2,2)))/(INDEX(GoogleFinance(A308,""PRICE"",$AP$1),2,2))),"""")"),0.17905405405405414)</f>
        <v>0.1790540541</v>
      </c>
      <c r="L308" s="51">
        <f t="shared" si="1"/>
        <v>-0.1630695444</v>
      </c>
      <c r="M308" s="52">
        <f>IFERROR((VLOOKUP($A308,'Dados StatusInvest'!$A:$AZ,COLUMN(M308)-$A$5,0)*VLOOKUP($A308,'Dados StatusInvest'!$A:$AZ,2,0)/$F308/100),0)</f>
        <v>1.317306017</v>
      </c>
      <c r="N308" s="53">
        <f>IFERROR((VLOOKUP($A308,'Dados StatusInvest'!$A:$AZ,COLUMN(N308)-$A$5,0)/VLOOKUP($A308,'Dados StatusInvest'!$A:$AZ,2,0)*$F308),"")</f>
        <v>4.120960452</v>
      </c>
      <c r="O308" s="53">
        <f>IFERROR((VLOOKUP($A308,'Dados StatusInvest'!$A:$AZ,COLUMN(O308)-$A$5,0)/VLOOKUP($A308,'Dados StatusInvest'!$A:$AZ,2,0)*$F308),0)</f>
        <v>1.281638418</v>
      </c>
      <c r="P308" s="54">
        <f>IFERROR((VLOOKUP($A308,'Dados StatusInvest'!$A:$AZ,COLUMN(P308)-$A$5,0)/VLOOKUP($A308,'Dados StatusInvest'!$A:$AZ,2,0)*$F308),0)</f>
        <v>6.457485876</v>
      </c>
      <c r="Q308" s="55">
        <f>IFERROR((VLOOKUP($A308,'Dados StatusInvest'!$A:$AZ,COLUMN(Q308)-$A$5,0)/100),0)</f>
        <v>0.0525</v>
      </c>
      <c r="R308" s="56">
        <f>VLOOKUP($A308,'Dados StatusInvest'!$A:$AZ,COLUMN(R308)-$A$5,0)</f>
        <v>0.76</v>
      </c>
      <c r="S308" s="56">
        <f>IFERROR((VLOOKUP($A308,'Dados StatusInvest'!$A:$AZ,COLUMN(S308)-$A$5,0)),0)</f>
        <v>1.69</v>
      </c>
      <c r="T308" s="53">
        <f>IFERROR((VLOOKUP($A308,'Dados StatusInvest'!$A:$AZ,COLUMN(T308)-$A$5,0)/VLOOKUP($A308,'Dados StatusInvest'!$A:$AZ,2,0)*$F308),0)</f>
        <v>1.981610169</v>
      </c>
      <c r="U308" s="53">
        <f>IFERROR((VLOOKUP($A308,'Dados StatusInvest'!$A:$AZ,COLUMN(U308)-$A$5,0)-VLOOKUP($A308,'Dados StatusInvest'!$A:$AZ,COLUMN(U308)-$A$5-1,0)+T308),0)</f>
        <v>-0.1083898305</v>
      </c>
      <c r="V308" s="56">
        <f>IFERROR((VLOOKUP($A308,'Dados StatusInvest'!$A:$AZ,COLUMN(V308)-$A$5,0)),0)</f>
        <v>1.57</v>
      </c>
      <c r="W308" s="56">
        <f>IFERROR((VLOOKUP($A308,'Dados StatusInvest'!$A:$AZ,COLUMN(W308)-$A$5,0)),0)</f>
        <v>0.46</v>
      </c>
      <c r="X308" s="53">
        <f>IFERROR((VLOOKUP($A308,'Dados StatusInvest'!$A:$AZ,COLUMN(X308)-$A$5,0)/VLOOKUP($A308,'Dados StatusInvest'!$A:$AZ,2,0)*$F308),0)</f>
        <v>0.1774576271</v>
      </c>
      <c r="Y308" s="54">
        <f>IFERROR((VLOOKUP($A308,'Dados StatusInvest'!$A:$AZ,COLUMN(Y308)-$A$5,0)/VLOOKUP($A308,'Dados StatusInvest'!$A:$AZ,2,0)*$F308),0)</f>
        <v>5.90539548</v>
      </c>
      <c r="Z308" s="56">
        <f>IFERROR((VLOOKUP($A308,'Dados StatusInvest'!$A:$AZ,COLUMN(Z308)-$A$5,0)),0)</f>
        <v>0.39</v>
      </c>
      <c r="AA308" s="57">
        <f>IFERROR((VLOOKUP($A308,'Dados StatusInvest'!$A:$AZ,COLUMN(AA308)-$A$5,0)),0)</f>
        <v>0.45</v>
      </c>
      <c r="AB308" s="57">
        <f>IFERROR((VLOOKUP($A308,'Dados StatusInvest'!$A:$AZ,COLUMN(AB308)-$A$5,0)),0)</f>
        <v>0.04</v>
      </c>
      <c r="AC308" s="58">
        <f>IFERROR((VLOOKUP($A308,'Dados StatusInvest'!$A:$AZ,COLUMN(AC308)-$A$5,0)),0)</f>
        <v>19.12</v>
      </c>
      <c r="AD308" s="57">
        <f>IFERROR((VLOOKUP($A308,'Dados StatusInvest'!$A:$AZ,COLUMN(AD308)-$A$5,0)),0)</f>
        <v>-45.8</v>
      </c>
      <c r="AE308" s="56">
        <f>IFERROR((VLOOKUP($A308,'Dados StatusInvest'!$A:$AZ,COLUMN(AE308)-$A$5,0)),0)</f>
        <v>2402404</v>
      </c>
      <c r="AF308" s="56">
        <f>IFERROR((VLOOKUP($A308,'Dados StatusInvest'!$A:$AZ,COLUMN(AF308)-$A$5,0)),0)</f>
        <v>18.97</v>
      </c>
      <c r="AG308" s="56">
        <f>IFERROR((VLOOKUP($A308,'Dados StatusInvest'!$A:$AZ,COLUMN(AG308)-$A$5,0)),0)</f>
        <v>0.09</v>
      </c>
      <c r="AH308" s="56">
        <f>IFERROR((VLOOKUP($A308,'Dados StatusInvest'!$A:$AZ,COLUMN(AH308)-$A$5,0)),0)</f>
        <v>-0.44</v>
      </c>
      <c r="AI308" s="57">
        <f>IFERROR((VLOOKUP($A308,'Dados StatusInvest'!$A:$AZ,COLUMN(AI308)-$A$5,0)),0)</f>
        <v>365288992.7</v>
      </c>
      <c r="AJ308" s="59" t="str">
        <f>IFERROR((VLOOKUP($A308,'Dados StatusInvest'!$A:$AZ,COLUMN(AJ308)-$A$5,0)),0)</f>
        <v/>
      </c>
      <c r="AK308" s="60">
        <f>IFERROR(__xludf.DUMMYFUNCTION("IFERROR(GOOGLEFINANCE($A308,""high""),"""")"),3.55)</f>
        <v>3.55</v>
      </c>
      <c r="AL308" s="60">
        <f>IFERROR(__xludf.DUMMYFUNCTION("IFERROR(GOOGLEFINANCE($A308,""low""),"""")"),3.51)</f>
        <v>3.51</v>
      </c>
      <c r="AM308" s="61">
        <f t="shared" si="2"/>
        <v>0.0113960114</v>
      </c>
      <c r="AN308" s="62">
        <f>IFERROR(__xludf.DUMMYFUNCTION("IFERROR((GOOGLEFINANCE($A308,""volume"")),0)"),3700.0)</f>
        <v>3700</v>
      </c>
      <c r="AO308" s="60">
        <f>IFERROR(__xludf.DUMMYFUNCTION("IFERROR((GOOGLEFINANCE($A308,""closeyest"")),"""")"),3.54)</f>
        <v>3.54</v>
      </c>
      <c r="AP308" s="60">
        <f>IFERROR(__xludf.DUMMYFUNCTION("IFERROR((GOOGLEFINANCE($A308,""shares"")),"""")"),1.03188981E8)</f>
        <v>103188981</v>
      </c>
      <c r="AQ308" s="18"/>
    </row>
    <row r="309">
      <c r="A309" s="45" t="str">
        <f>'Dados StatusInvest'!A304:A923</f>
        <v>HBSA3</v>
      </c>
      <c r="B309" s="46" t="str">
        <f>IFERROR(__xludf.DUMMYFUNCTION("IFERROR((GOOGLEFINANCE(A309,""name"")),"""")"),"Hidrovias do Brasil SA")</f>
        <v>Hidrovias do Brasil SA</v>
      </c>
      <c r="C309" s="46" t="str">
        <f>IFERROR((VLOOKUP(LEFT($A309,4),Setor!$A:$E,3,0)),"")</f>
        <v>Bens Industriais</v>
      </c>
      <c r="D309" s="46" t="str">
        <f>IFERROR((VLOOKUP(LEFT($A309,4),Setor!$A:$E,4,0)),"")</f>
        <v>Transporte</v>
      </c>
      <c r="E309" s="46" t="str">
        <f>IFERROR((VLOOKUP(LEFT($A309,4),Setor!$A:$E,5,0)),"")</f>
        <v>Transporte Hidroviário</v>
      </c>
      <c r="F309" s="47">
        <f>IFERROR(__xludf.DUMMYFUNCTION("IFERROR((GOOGLEFINANCE(A309)),"""")"),3.98)</f>
        <v>3.98</v>
      </c>
      <c r="G309" s="48" t="str">
        <f>IFERROR(__xludf.DUMMYFUNCTION("IFERROR((sparkline(GOOGLEFINANCE($A309,""price"",TODAY()-30,TODAY(),""DAILY""),{""charttype"",""line"";""linewidth"",1;""color"",""#5f88cc""})),"""")"),"")</f>
        <v/>
      </c>
      <c r="H309" s="49">
        <f>IFERROR(__xludf.DUMMYFUNCTION("IFERROR((((GOOGLEFINANCE(A309))-(INDEX(GoogleFinance(A309,""PRICE"",$AQ$1),2,2)))/(INDEX(GoogleFinance(A309,""PRICE"",$AQ$1),2,2))),"""")"),-0.026894865525672343)</f>
        <v>-0.02689486553</v>
      </c>
      <c r="I309" s="47">
        <f>IFERROR(__xludf.DUMMYFUNCTION("IFERROR((GOOGLEFINANCE($A309,""high52"")),"""")"),4.24)</f>
        <v>4.24</v>
      </c>
      <c r="J309" s="48" t="str">
        <f>IFERROR(__xludf.DUMMYFUNCTION("IFERROR((sparkline(GOOGLEFINANCE($A309,""price"",TODAY()-365,TODAY(),""DAILY""),{""charttype"",""line"";""linewidth"",1;""color"",""#5f88cc""})),"""")"),"")</f>
        <v/>
      </c>
      <c r="K309" s="50">
        <f>IFERROR(__xludf.DUMMYFUNCTION("IFERROR((((GOOGLEFINANCE(A309))-(INDEX(GoogleFinance(A309,""PRICE"",$AP$1),2,2)))/(INDEX(GoogleFinance(A309,""PRICE"",$AP$1),2,2))),"""")"),0.8685446009389672)</f>
        <v>0.8685446009</v>
      </c>
      <c r="L309" s="51">
        <f t="shared" si="1"/>
        <v>-0.06132075472</v>
      </c>
      <c r="M309" s="52">
        <f>IFERROR((VLOOKUP($A309,'Dados StatusInvest'!$A:$AZ,COLUMN(M309)-$A$5,0)*VLOOKUP($A309,'Dados StatusInvest'!$A:$AZ,2,0)/$F309/100),0)</f>
        <v>0.09658291457</v>
      </c>
      <c r="N309" s="53">
        <f>IFERROR((VLOOKUP($A309,'Dados StatusInvest'!$A:$AZ,COLUMN(N309)-$A$5,0)/VLOOKUP($A309,'Dados StatusInvest'!$A:$AZ,2,0)*$F309),"")</f>
        <v>-12.3579</v>
      </c>
      <c r="O309" s="53">
        <f>IFERROR((VLOOKUP($A309,'Dados StatusInvest'!$A:$AZ,COLUMN(O309)-$A$5,0)/VLOOKUP($A309,'Dados StatusInvest'!$A:$AZ,2,0)*$F309),0)</f>
        <v>31.0241</v>
      </c>
      <c r="P309" s="54">
        <f>IFERROR((VLOOKUP($A309,'Dados StatusInvest'!$A:$AZ,COLUMN(P309)-$A$5,0)/VLOOKUP($A309,'Dados StatusInvest'!$A:$AZ,2,0)*$F309),0)</f>
        <v>45.68045</v>
      </c>
      <c r="Q309" s="55">
        <f>IFERROR((VLOOKUP($A309,'Dados StatusInvest'!$A:$AZ,COLUMN(Q309)-$A$5,0)/100),0)</f>
        <v>0.1473</v>
      </c>
      <c r="R309" s="56">
        <f>VLOOKUP($A309,'Dados StatusInvest'!$A:$AZ,COLUMN(R309)-$A$5,0)</f>
        <v>1.13</v>
      </c>
      <c r="S309" s="56">
        <f>IFERROR((VLOOKUP($A309,'Dados StatusInvest'!$A:$AZ,COLUMN(S309)-$A$5,0)),0)</f>
        <v>3</v>
      </c>
      <c r="T309" s="53">
        <f>IFERROR((VLOOKUP($A309,'Dados StatusInvest'!$A:$AZ,COLUMN(T309)-$A$5,0)/VLOOKUP($A309,'Dados StatusInvest'!$A:$AZ,2,0)*$F309),0)</f>
        <v>3.83075</v>
      </c>
      <c r="U309" s="53">
        <f>IFERROR((VLOOKUP($A309,'Dados StatusInvest'!$A:$AZ,COLUMN(U309)-$A$5,0)-VLOOKUP($A309,'Dados StatusInvest'!$A:$AZ,COLUMN(U309)-$A$5-1,0)+T309),0)</f>
        <v>-1.20925</v>
      </c>
      <c r="V309" s="56">
        <f>IFERROR((VLOOKUP($A309,'Dados StatusInvest'!$A:$AZ,COLUMN(V309)-$A$5,0)),0)</f>
        <v>2.53</v>
      </c>
      <c r="W309" s="56">
        <f>IFERROR((VLOOKUP($A309,'Dados StatusInvest'!$A:$AZ,COLUMN(W309)-$A$5,0)),0)</f>
        <v>-9.92</v>
      </c>
      <c r="X309" s="53">
        <f>IFERROR((VLOOKUP($A309,'Dados StatusInvest'!$A:$AZ,COLUMN(X309)-$A$5,0)/VLOOKUP($A309,'Dados StatusInvest'!$A:$AZ,2,0)*$F309),0)</f>
        <v>-3.25365</v>
      </c>
      <c r="Y309" s="54">
        <f>IFERROR((VLOOKUP($A309,'Dados StatusInvest'!$A:$AZ,COLUMN(Y309)-$A$5,0)/VLOOKUP($A309,'Dados StatusInvest'!$A:$AZ,2,0)*$F309),0)</f>
        <v>2.55715</v>
      </c>
      <c r="Z309" s="56">
        <f>IFERROR((VLOOKUP($A309,'Dados StatusInvest'!$A:$AZ,COLUMN(Z309)-$A$5,0)),0)</f>
        <v>0.33</v>
      </c>
      <c r="AA309" s="57">
        <f>IFERROR((VLOOKUP($A309,'Dados StatusInvest'!$A:$AZ,COLUMN(AA309)-$A$5,0)),0)</f>
        <v>0.67</v>
      </c>
      <c r="AB309" s="57">
        <f>IFERROR((VLOOKUP($A309,'Dados StatusInvest'!$A:$AZ,COLUMN(AB309)-$A$5,0)),0)</f>
        <v>0.26</v>
      </c>
      <c r="AC309" s="58">
        <f>IFERROR((VLOOKUP($A309,'Dados StatusInvest'!$A:$AZ,COLUMN(AC309)-$A$5,0)),0)</f>
        <v>7.59</v>
      </c>
      <c r="AD309" s="57">
        <f>IFERROR((VLOOKUP($A309,'Dados StatusInvest'!$A:$AZ,COLUMN(AD309)-$A$5,0)),0)</f>
        <v>0</v>
      </c>
      <c r="AE309" s="56">
        <f>IFERROR((VLOOKUP($A309,'Dados StatusInvest'!$A:$AZ,COLUMN(AE309)-$A$5,0)),0)</f>
        <v>9425819</v>
      </c>
      <c r="AF309" s="56">
        <f>IFERROR((VLOOKUP($A309,'Dados StatusInvest'!$A:$AZ,COLUMN(AF309)-$A$5,0)),0)</f>
        <v>1.67</v>
      </c>
      <c r="AG309" s="56">
        <f>IFERROR((VLOOKUP($A309,'Dados StatusInvest'!$A:$AZ,COLUMN(AG309)-$A$5,0)),0)</f>
        <v>-0.17</v>
      </c>
      <c r="AH309" s="56">
        <f>IFERROR((VLOOKUP($A309,'Dados StatusInvest'!$A:$AZ,COLUMN(AH309)-$A$5,0)),0)</f>
        <v>0.63</v>
      </c>
      <c r="AI309" s="57">
        <f>IFERROR((VLOOKUP($A309,'Dados StatusInvest'!$A:$AZ,COLUMN(AI309)-$A$5,0)),0)</f>
        <v>5441530572</v>
      </c>
      <c r="AJ309" s="59" t="str">
        <f>IFERROR((VLOOKUP($A309,'Dados StatusInvest'!$A:$AZ,COLUMN(AJ309)-$A$5,0)),0)</f>
        <v/>
      </c>
      <c r="AK309" s="60">
        <f>IFERROR(__xludf.DUMMYFUNCTION("IFERROR(GOOGLEFINANCE($A309,""high""),"""")"),4.02)</f>
        <v>4.02</v>
      </c>
      <c r="AL309" s="60">
        <f>IFERROR(__xludf.DUMMYFUNCTION("IFERROR(GOOGLEFINANCE($A309,""low""),"""")"),3.96)</f>
        <v>3.96</v>
      </c>
      <c r="AM309" s="61">
        <f t="shared" si="2"/>
        <v>0.01515151515</v>
      </c>
      <c r="AN309" s="62">
        <f>IFERROR(__xludf.DUMMYFUNCTION("IFERROR((GOOGLEFINANCE($A309,""volume"")),0)"),5700.0)</f>
        <v>5700</v>
      </c>
      <c r="AO309" s="60">
        <f>IFERROR(__xludf.DUMMYFUNCTION("IFERROR((GOOGLEFINANCE($A309,""closeyest"")),"""")"),4.0)</f>
        <v>4</v>
      </c>
      <c r="AP309" s="60">
        <f>IFERROR(__xludf.DUMMYFUNCTION("IFERROR((GOOGLEFINANCE($A309,""shares"")),"""")"),1.360382643E9)</f>
        <v>1360382643</v>
      </c>
      <c r="AQ309" s="18"/>
    </row>
    <row r="310">
      <c r="A310" s="45" t="str">
        <f>'Dados StatusInvest'!A305:A924</f>
        <v>HBTS3</v>
      </c>
      <c r="B310" s="46" t="str">
        <f>IFERROR(__xludf.DUMMYFUNCTION("IFERROR((GOOGLEFINANCE(A310,""name"")),"""")"),"Companhia Habitasul de Participacoes")</f>
        <v>Companhia Habitasul de Participacoes</v>
      </c>
      <c r="C310" s="46" t="str">
        <f>IFERROR((VLOOKUP(LEFT($A310,4),Setor!$A:$E,3,0)),"")</f>
        <v>Financeiro</v>
      </c>
      <c r="D310" s="46" t="str">
        <f>IFERROR((VLOOKUP(LEFT($A310,4),Setor!$A:$E,4,0)),"")</f>
        <v>Exploração de Imóveis</v>
      </c>
      <c r="E310" s="46" t="str">
        <f>IFERROR((VLOOKUP(LEFT($A310,4),Setor!$A:$E,5,0)),"")</f>
        <v>Exploração de Imóveis</v>
      </c>
      <c r="F310" s="47">
        <f>IFERROR(__xludf.DUMMYFUNCTION("IFERROR((GOOGLEFINANCE(A310)),"""")"),0.0)</f>
        <v>0</v>
      </c>
      <c r="G310" s="48" t="str">
        <f>IFERROR(__xludf.DUMMYFUNCTION("IFERROR((sparkline(GOOGLEFINANCE($A310,""price"",TODAY()-30,TODAY(),""DAILY""),{""charttype"",""line"";""linewidth"",1;""color"",""#5f88cc""})),"""")"),"")</f>
        <v/>
      </c>
      <c r="H310" s="49" t="str">
        <f>IFERROR(__xludf.DUMMYFUNCTION("IFERROR((((GOOGLEFINANCE(A310))-(INDEX(GoogleFinance(A310,""PRICE"",$AQ$1),2,2)))/(INDEX(GoogleFinance(A310,""PRICE"",$AQ$1),2,2))),"""")"),"")</f>
        <v/>
      </c>
      <c r="I310" s="47" t="str">
        <f>IFERROR(__xludf.DUMMYFUNCTION("IFERROR((GOOGLEFINANCE($A310,""high52"")),"""")"),"")</f>
        <v/>
      </c>
      <c r="J310" s="48" t="str">
        <f>IFERROR(__xludf.DUMMYFUNCTION("IFERROR((sparkline(GOOGLEFINANCE($A310,""price"",TODAY()-365,TODAY(),""DAILY""),{""charttype"",""line"";""linewidth"",1;""color"",""#5f88cc""})),"""")"),"")</f>
        <v/>
      </c>
      <c r="K310" s="50" t="str">
        <f>IFERROR(__xludf.DUMMYFUNCTION("IFERROR((((GOOGLEFINANCE(A310))-(INDEX(GoogleFinance(A310,""PRICE"",$AP$1),2,2)))/(INDEX(GoogleFinance(A310,""PRICE"",$AP$1),2,2))),"""")"),"")</f>
        <v/>
      </c>
      <c r="L310" s="51">
        <f t="shared" si="1"/>
        <v>0</v>
      </c>
      <c r="M310" s="52">
        <f>IFERROR((VLOOKUP($A310,'Dados StatusInvest'!$A:$AZ,COLUMN(M310)-$A$5,0)*VLOOKUP($A310,'Dados StatusInvest'!$A:$AZ,2,0)/$F310/100),0)</f>
        <v>0</v>
      </c>
      <c r="N310" s="53" t="str">
        <f>IFERROR((VLOOKUP($A310,'Dados StatusInvest'!$A:$AZ,COLUMN(N310)-$A$5,0)/VLOOKUP($A310,'Dados StatusInvest'!$A:$AZ,2,0)*$F310),"")</f>
        <v/>
      </c>
      <c r="O310" s="53">
        <f>IFERROR((VLOOKUP($A310,'Dados StatusInvest'!$A:$AZ,COLUMN(O310)-$A$5,0)/VLOOKUP($A310,'Dados StatusInvest'!$A:$AZ,2,0)*$F310),0)</f>
        <v>0</v>
      </c>
      <c r="P310" s="54">
        <f>IFERROR((VLOOKUP($A310,'Dados StatusInvest'!$A:$AZ,COLUMN(P310)-$A$5,0)/VLOOKUP($A310,'Dados StatusInvest'!$A:$AZ,2,0)*$F310),0)</f>
        <v>0</v>
      </c>
      <c r="Q310" s="55">
        <f>IFERROR((VLOOKUP($A310,'Dados StatusInvest'!$A:$AZ,COLUMN(Q310)-$A$5,0)/100),0)</f>
        <v>0.1516</v>
      </c>
      <c r="R310" s="56">
        <f>VLOOKUP($A310,'Dados StatusInvest'!$A:$AZ,COLUMN(R310)-$A$5,0)</f>
        <v>0.38</v>
      </c>
      <c r="S310" s="56">
        <f>IFERROR((VLOOKUP($A310,'Dados StatusInvest'!$A:$AZ,COLUMN(S310)-$A$5,0)),0)</f>
        <v>0</v>
      </c>
      <c r="T310" s="53">
        <f>IFERROR((VLOOKUP($A310,'Dados StatusInvest'!$A:$AZ,COLUMN(T310)-$A$5,0)/VLOOKUP($A310,'Dados StatusInvest'!$A:$AZ,2,0)*$F310),0)</f>
        <v>0</v>
      </c>
      <c r="U310" s="53">
        <f>IFERROR((VLOOKUP($A310,'Dados StatusInvest'!$A:$AZ,COLUMN(U310)-$A$5,0)-VLOOKUP($A310,'Dados StatusInvest'!$A:$AZ,COLUMN(U310)-$A$5-1,0)+T310),0)</f>
        <v>0</v>
      </c>
      <c r="V310" s="56">
        <f>IFERROR((VLOOKUP($A310,'Dados StatusInvest'!$A:$AZ,COLUMN(V310)-$A$5,0)),0)</f>
        <v>0.96</v>
      </c>
      <c r="W310" s="56">
        <f>IFERROR((VLOOKUP($A310,'Dados StatusInvest'!$A:$AZ,COLUMN(W310)-$A$5,0)),0)</f>
        <v>6.16</v>
      </c>
      <c r="X310" s="53">
        <f>IFERROR((VLOOKUP($A310,'Dados StatusInvest'!$A:$AZ,COLUMN(X310)-$A$5,0)/VLOOKUP($A310,'Dados StatusInvest'!$A:$AZ,2,0)*$F310),0)</f>
        <v>0</v>
      </c>
      <c r="Y310" s="54">
        <f>IFERROR((VLOOKUP($A310,'Dados StatusInvest'!$A:$AZ,COLUMN(Y310)-$A$5,0)/VLOOKUP($A310,'Dados StatusInvest'!$A:$AZ,2,0)*$F310),0)</f>
        <v>0</v>
      </c>
      <c r="Z310" s="56">
        <f>IFERROR((VLOOKUP($A310,'Dados StatusInvest'!$A:$AZ,COLUMN(Z310)-$A$5,0)),0)</f>
        <v>0.4</v>
      </c>
      <c r="AA310" s="57">
        <f>IFERROR((VLOOKUP($A310,'Dados StatusInvest'!$A:$AZ,COLUMN(AA310)-$A$5,0)),0)</f>
        <v>0.6</v>
      </c>
      <c r="AB310" s="57">
        <f>IFERROR((VLOOKUP($A310,'Dados StatusInvest'!$A:$AZ,COLUMN(AB310)-$A$5,0)),0)</f>
        <v>0.04</v>
      </c>
      <c r="AC310" s="58">
        <f>IFERROR((VLOOKUP($A310,'Dados StatusInvest'!$A:$AZ,COLUMN(AC310)-$A$5,0)),0)</f>
        <v>0</v>
      </c>
      <c r="AD310" s="57">
        <f>IFERROR((VLOOKUP($A310,'Dados StatusInvest'!$A:$AZ,COLUMN(AD310)-$A$5,0)),0)</f>
        <v>0</v>
      </c>
      <c r="AE310" s="56">
        <f>IFERROR((VLOOKUP($A310,'Dados StatusInvest'!$A:$AZ,COLUMN(AE310)-$A$5,0)),0)</f>
        <v>0</v>
      </c>
      <c r="AF310" s="56">
        <f>IFERROR((VLOOKUP($A310,'Dados StatusInvest'!$A:$AZ,COLUMN(AF310)-$A$5,0)),0)</f>
        <v>72.38</v>
      </c>
      <c r="AG310" s="56">
        <f>IFERROR((VLOOKUP($A310,'Dados StatusInvest'!$A:$AZ,COLUMN(AG310)-$A$5,0)),0)</f>
        <v>4.46</v>
      </c>
      <c r="AH310" s="56">
        <f>IFERROR((VLOOKUP($A310,'Dados StatusInvest'!$A:$AZ,COLUMN(AH310)-$A$5,0)),0)</f>
        <v>0</v>
      </c>
      <c r="AI310" s="57">
        <f>IFERROR((VLOOKUP($A310,'Dados StatusInvest'!$A:$AZ,COLUMN(AI310)-$A$5,0)),0)</f>
        <v>0</v>
      </c>
      <c r="AJ310" s="59" t="str">
        <f>IFERROR((VLOOKUP($A310,'Dados StatusInvest'!$A:$AZ,COLUMN(AJ310)-$A$5,0)),0)</f>
        <v/>
      </c>
      <c r="AK310" s="60" t="str">
        <f>IFERROR(__xludf.DUMMYFUNCTION("IFERROR(GOOGLEFINANCE($A310,""high""),"""")"),"")</f>
        <v/>
      </c>
      <c r="AL310" s="60" t="str">
        <f>IFERROR(__xludf.DUMMYFUNCTION("IFERROR(GOOGLEFINANCE($A310,""low""),"""")"),"")</f>
        <v/>
      </c>
      <c r="AM310" s="61">
        <f t="shared" si="2"/>
        <v>0</v>
      </c>
      <c r="AN310" s="62">
        <f>IFERROR(__xludf.DUMMYFUNCTION("IFERROR((GOOGLEFINANCE($A310,""volume"")),0)"),0.0)</f>
        <v>0</v>
      </c>
      <c r="AO310" s="60" t="str">
        <f>IFERROR(__xludf.DUMMYFUNCTION("IFERROR((GOOGLEFINANCE($A310,""closeyest"")),"""")"),"")</f>
        <v/>
      </c>
      <c r="AP310" s="60">
        <f>IFERROR(__xludf.DUMMYFUNCTION("IFERROR((GOOGLEFINANCE($A310,""shares"")),"""")"),3152764.0)</f>
        <v>3152764</v>
      </c>
      <c r="AQ310" s="18"/>
    </row>
    <row r="311">
      <c r="A311" s="45" t="str">
        <f>'Dados StatusInvest'!A306:A925</f>
        <v>HBTS5</v>
      </c>
      <c r="B311" s="46" t="str">
        <f>IFERROR(__xludf.DUMMYFUNCTION("IFERROR((GOOGLEFINANCE(A311,""name"")),"""")"),"Companhia Habitasul de Participacoes Preference Shares Class A")</f>
        <v>Companhia Habitasul de Participacoes Preference Shares Class A</v>
      </c>
      <c r="C311" s="46" t="str">
        <f>IFERROR((VLOOKUP(LEFT($A311,4),Setor!$A:$E,3,0)),"")</f>
        <v>Financeiro</v>
      </c>
      <c r="D311" s="46" t="str">
        <f>IFERROR((VLOOKUP(LEFT($A311,4),Setor!$A:$E,4,0)),"")</f>
        <v>Exploração de Imóveis</v>
      </c>
      <c r="E311" s="46" t="str">
        <f>IFERROR((VLOOKUP(LEFT($A311,4),Setor!$A:$E,5,0)),"")</f>
        <v>Exploração de Imóveis</v>
      </c>
      <c r="F311" s="47">
        <f>IFERROR(__xludf.DUMMYFUNCTION("IFERROR((GOOGLEFINANCE(A311)),"""")"),36.97)</f>
        <v>36.97</v>
      </c>
      <c r="G311" s="48" t="str">
        <f>IFERROR(__xludf.DUMMYFUNCTION("IFERROR((sparkline(GOOGLEFINANCE($A311,""price"",TODAY()-30,TODAY(),""DAILY""),{""charttype"",""line"";""linewidth"",1;""color"",""#5f88cc""})),"""")"),"")</f>
        <v/>
      </c>
      <c r="H311" s="49">
        <f>IFERROR(__xludf.DUMMYFUNCTION("IFERROR((((GOOGLEFINANCE(A311))-(INDEX(GoogleFinance(A311,""PRICE"",$AQ$1),2,2)))/(INDEX(GoogleFinance(A311,""PRICE"",$AQ$1),2,2))),"""")"),0.1736507936507936)</f>
        <v>0.1736507937</v>
      </c>
      <c r="I311" s="47">
        <f>IFERROR(__xludf.DUMMYFUNCTION("IFERROR((GOOGLEFINANCE($A311,""high52"")),"""")"),37.0)</f>
        <v>37</v>
      </c>
      <c r="J311" s="48" t="str">
        <f>IFERROR(__xludf.DUMMYFUNCTION("IFERROR((sparkline(GOOGLEFINANCE($A311,""price"",TODAY()-365,TODAY(),""DAILY""),{""charttype"",""line"";""linewidth"",1;""color"",""#5f88cc""})),"""")"),"")</f>
        <v/>
      </c>
      <c r="K311" s="50">
        <f>IFERROR(__xludf.DUMMYFUNCTION("IFERROR((((GOOGLEFINANCE(A311))-(INDEX(GoogleFinance(A311,""PRICE"",$AP$1),2,2)))/(INDEX(GoogleFinance(A311,""PRICE"",$AP$1),2,2))),"""")"),0.3687523139577933)</f>
        <v>0.368752314</v>
      </c>
      <c r="L311" s="51">
        <f t="shared" si="1"/>
        <v>-0.0008108108108</v>
      </c>
      <c r="M311" s="52">
        <f>IFERROR((VLOOKUP($A311,'Dados StatusInvest'!$A:$AZ,COLUMN(M311)-$A$5,0)*VLOOKUP($A311,'Dados StatusInvest'!$A:$AZ,2,0)/$F311/100),0)</f>
        <v>0.2387</v>
      </c>
      <c r="N311" s="53">
        <f>IFERROR((VLOOKUP($A311,'Dados StatusInvest'!$A:$AZ,COLUMN(N311)-$A$5,0)/VLOOKUP($A311,'Dados StatusInvest'!$A:$AZ,2,0)*$F311),"")</f>
        <v>58.63</v>
      </c>
      <c r="O311" s="53">
        <f>IFERROR((VLOOKUP($A311,'Dados StatusInvest'!$A:$AZ,COLUMN(O311)-$A$5,0)/VLOOKUP($A311,'Dados StatusInvest'!$A:$AZ,2,0)*$F311),0)</f>
        <v>20.35</v>
      </c>
      <c r="P311" s="54">
        <f>IFERROR((VLOOKUP($A311,'Dados StatusInvest'!$A:$AZ,COLUMN(P311)-$A$5,0)/VLOOKUP($A311,'Dados StatusInvest'!$A:$AZ,2,0)*$F311),0)</f>
        <v>0</v>
      </c>
      <c r="Q311" s="55">
        <f>IFERROR((VLOOKUP($A311,'Dados StatusInvest'!$A:$AZ,COLUMN(Q311)-$A$5,0)/100),0)</f>
        <v>0.1516</v>
      </c>
      <c r="R311" s="56">
        <f>VLOOKUP($A311,'Dados StatusInvest'!$A:$AZ,COLUMN(R311)-$A$5,0)</f>
        <v>0.38</v>
      </c>
      <c r="S311" s="56">
        <f>IFERROR((VLOOKUP($A311,'Dados StatusInvest'!$A:$AZ,COLUMN(S311)-$A$5,0)),0)</f>
        <v>4.86</v>
      </c>
      <c r="T311" s="53">
        <f>IFERROR((VLOOKUP($A311,'Dados StatusInvest'!$A:$AZ,COLUMN(T311)-$A$5,0)/VLOOKUP($A311,'Dados StatusInvest'!$A:$AZ,2,0)*$F311),0)</f>
        <v>-75.51</v>
      </c>
      <c r="U311" s="53">
        <f>IFERROR((VLOOKUP($A311,'Dados StatusInvest'!$A:$AZ,COLUMN(U311)-$A$5,0)-VLOOKUP($A311,'Dados StatusInvest'!$A:$AZ,COLUMN(U311)-$A$5-1,0)+T311),0)</f>
        <v>-0.22</v>
      </c>
      <c r="V311" s="56">
        <f>IFERROR((VLOOKUP($A311,'Dados StatusInvest'!$A:$AZ,COLUMN(V311)-$A$5,0)),0)</f>
        <v>0.96</v>
      </c>
      <c r="W311" s="56">
        <f>IFERROR((VLOOKUP($A311,'Dados StatusInvest'!$A:$AZ,COLUMN(W311)-$A$5,0)),0)</f>
        <v>6.16</v>
      </c>
      <c r="X311" s="53">
        <f>IFERROR((VLOOKUP($A311,'Dados StatusInvest'!$A:$AZ,COLUMN(X311)-$A$5,0)/VLOOKUP($A311,'Dados StatusInvest'!$A:$AZ,2,0)*$F311),0)</f>
        <v>2.46</v>
      </c>
      <c r="Y311" s="54">
        <f>IFERROR((VLOOKUP($A311,'Dados StatusInvest'!$A:$AZ,COLUMN(Y311)-$A$5,0)/VLOOKUP($A311,'Dados StatusInvest'!$A:$AZ,2,0)*$F311),0)</f>
        <v>0.17</v>
      </c>
      <c r="Z311" s="56">
        <f>IFERROR((VLOOKUP($A311,'Dados StatusInvest'!$A:$AZ,COLUMN(Z311)-$A$5,0)),0)</f>
        <v>0.4</v>
      </c>
      <c r="AA311" s="57">
        <f>IFERROR((VLOOKUP($A311,'Dados StatusInvest'!$A:$AZ,COLUMN(AA311)-$A$5,0)),0)</f>
        <v>0.6</v>
      </c>
      <c r="AB311" s="57">
        <f>IFERROR((VLOOKUP($A311,'Dados StatusInvest'!$A:$AZ,COLUMN(AB311)-$A$5,0)),0)</f>
        <v>0.04</v>
      </c>
      <c r="AC311" s="58">
        <f>IFERROR((VLOOKUP($A311,'Dados StatusInvest'!$A:$AZ,COLUMN(AC311)-$A$5,0)),0)</f>
        <v>0</v>
      </c>
      <c r="AD311" s="57">
        <f>IFERROR((VLOOKUP($A311,'Dados StatusInvest'!$A:$AZ,COLUMN(AD311)-$A$5,0)),0)</f>
        <v>0</v>
      </c>
      <c r="AE311" s="56">
        <f>IFERROR((VLOOKUP($A311,'Dados StatusInvest'!$A:$AZ,COLUMN(AE311)-$A$5,0)),0)</f>
        <v>4284.21</v>
      </c>
      <c r="AF311" s="56">
        <f>IFERROR((VLOOKUP($A311,'Dados StatusInvest'!$A:$AZ,COLUMN(AF311)-$A$5,0)),0)</f>
        <v>72.38</v>
      </c>
      <c r="AG311" s="56">
        <f>IFERROR((VLOOKUP($A311,'Dados StatusInvest'!$A:$AZ,COLUMN(AG311)-$A$5,0)),0)</f>
        <v>4.46</v>
      </c>
      <c r="AH311" s="56">
        <f>IFERROR((VLOOKUP($A311,'Dados StatusInvest'!$A:$AZ,COLUMN(AH311)-$A$5,0)),0)</f>
        <v>-0.11</v>
      </c>
      <c r="AI311" s="57">
        <f>IFERROR((VLOOKUP($A311,'Dados StatusInvest'!$A:$AZ,COLUMN(AI311)-$A$5,0)),0)</f>
        <v>0</v>
      </c>
      <c r="AJ311" s="59" t="str">
        <f>IFERROR((VLOOKUP($A311,'Dados StatusInvest'!$A:$AZ,COLUMN(AJ311)-$A$5,0)),0)</f>
        <v/>
      </c>
      <c r="AK311" s="60" t="str">
        <f>IFERROR(__xludf.DUMMYFUNCTION("IFERROR(GOOGLEFINANCE($A311,""high""),"""")"),"")</f>
        <v/>
      </c>
      <c r="AL311" s="60" t="str">
        <f>IFERROR(__xludf.DUMMYFUNCTION("IFERROR(GOOGLEFINANCE($A311,""low""),"""")"),"")</f>
        <v/>
      </c>
      <c r="AM311" s="61">
        <f t="shared" si="2"/>
        <v>0</v>
      </c>
      <c r="AN311" s="62">
        <f>IFERROR(__xludf.DUMMYFUNCTION("IFERROR((GOOGLEFINANCE($A311,""volume"")),0)"),0.0)</f>
        <v>0</v>
      </c>
      <c r="AO311" s="60">
        <f>IFERROR(__xludf.DUMMYFUNCTION("IFERROR((GOOGLEFINANCE($A311,""closeyest"")),"""")"),36.97)</f>
        <v>36.97</v>
      </c>
      <c r="AP311" s="60">
        <f>IFERROR(__xludf.DUMMYFUNCTION("IFERROR((GOOGLEFINANCE($A311,""shares"")),"""")"),5950327.0)</f>
        <v>5950327</v>
      </c>
      <c r="AQ311" s="18"/>
    </row>
    <row r="312">
      <c r="A312" s="45" t="str">
        <f>'Dados StatusInvest'!A307:A926</f>
        <v>HBTS6</v>
      </c>
      <c r="B312" s="46" t="str">
        <f>IFERROR(__xludf.DUMMYFUNCTION("IFERROR((GOOGLEFINANCE(A312,""name"")),"""")"),"Companhia Habitasul de Participacoes Preference Shares Class B")</f>
        <v>Companhia Habitasul de Participacoes Preference Shares Class B</v>
      </c>
      <c r="C312" s="46" t="str">
        <f>IFERROR((VLOOKUP(LEFT($A312,4),Setor!$A:$E,3,0)),"")</f>
        <v>Financeiro</v>
      </c>
      <c r="D312" s="46" t="str">
        <f>IFERROR((VLOOKUP(LEFT($A312,4),Setor!$A:$E,4,0)),"")</f>
        <v>Exploração de Imóveis</v>
      </c>
      <c r="E312" s="46" t="str">
        <f>IFERROR((VLOOKUP(LEFT($A312,4),Setor!$A:$E,5,0)),"")</f>
        <v>Exploração de Imóveis</v>
      </c>
      <c r="F312" s="47">
        <f>IFERROR(__xludf.DUMMYFUNCTION("IFERROR((GOOGLEFINANCE(A312)),"""")"),0.0)</f>
        <v>0</v>
      </c>
      <c r="G312" s="48" t="str">
        <f>IFERROR(__xludf.DUMMYFUNCTION("IFERROR((sparkline(GOOGLEFINANCE($A312,""price"",TODAY()-30,TODAY(),""DAILY""),{""charttype"",""line"";""linewidth"",1;""color"",""#5f88cc""})),"""")"),"")</f>
        <v/>
      </c>
      <c r="H312" s="49" t="str">
        <f>IFERROR(__xludf.DUMMYFUNCTION("IFERROR((((GOOGLEFINANCE(A312))-(INDEX(GoogleFinance(A312,""PRICE"",$AQ$1),2,2)))/(INDEX(GoogleFinance(A312,""PRICE"",$AQ$1),2,2))),"""")"),"")</f>
        <v/>
      </c>
      <c r="I312" s="47" t="str">
        <f>IFERROR(__xludf.DUMMYFUNCTION("IFERROR((GOOGLEFINANCE($A312,""high52"")),"""")"),"")</f>
        <v/>
      </c>
      <c r="J312" s="48" t="str">
        <f>IFERROR(__xludf.DUMMYFUNCTION("IFERROR((sparkline(GOOGLEFINANCE($A312,""price"",TODAY()-365,TODAY(),""DAILY""),{""charttype"",""line"";""linewidth"",1;""color"",""#5f88cc""})),"""")"),"")</f>
        <v/>
      </c>
      <c r="K312" s="50" t="str">
        <f>IFERROR(__xludf.DUMMYFUNCTION("IFERROR((((GOOGLEFINANCE(A312))-(INDEX(GoogleFinance(A312,""PRICE"",$AP$1),2,2)))/(INDEX(GoogleFinance(A312,""PRICE"",$AP$1),2,2))),"""")"),"")</f>
        <v/>
      </c>
      <c r="L312" s="51">
        <f t="shared" si="1"/>
        <v>0</v>
      </c>
      <c r="M312" s="52">
        <f>IFERROR((VLOOKUP($A312,'Dados StatusInvest'!$A:$AZ,COLUMN(M312)-$A$5,0)*VLOOKUP($A312,'Dados StatusInvest'!$A:$AZ,2,0)/$F312/100),0)</f>
        <v>0</v>
      </c>
      <c r="N312" s="53" t="str">
        <f>IFERROR((VLOOKUP($A312,'Dados StatusInvest'!$A:$AZ,COLUMN(N312)-$A$5,0)/VLOOKUP($A312,'Dados StatusInvest'!$A:$AZ,2,0)*$F312),"")</f>
        <v/>
      </c>
      <c r="O312" s="53">
        <f>IFERROR((VLOOKUP($A312,'Dados StatusInvest'!$A:$AZ,COLUMN(O312)-$A$5,0)/VLOOKUP($A312,'Dados StatusInvest'!$A:$AZ,2,0)*$F312),0)</f>
        <v>0</v>
      </c>
      <c r="P312" s="54">
        <f>IFERROR((VLOOKUP($A312,'Dados StatusInvest'!$A:$AZ,COLUMN(P312)-$A$5,0)/VLOOKUP($A312,'Dados StatusInvest'!$A:$AZ,2,0)*$F312),0)</f>
        <v>0</v>
      </c>
      <c r="Q312" s="55">
        <f>IFERROR((VLOOKUP($A312,'Dados StatusInvest'!$A:$AZ,COLUMN(Q312)-$A$5,0)/100),0)</f>
        <v>0.1516</v>
      </c>
      <c r="R312" s="56">
        <f>VLOOKUP($A312,'Dados StatusInvest'!$A:$AZ,COLUMN(R312)-$A$5,0)</f>
        <v>0.38</v>
      </c>
      <c r="S312" s="56">
        <f>IFERROR((VLOOKUP($A312,'Dados StatusInvest'!$A:$AZ,COLUMN(S312)-$A$5,0)),0)</f>
        <v>0</v>
      </c>
      <c r="T312" s="53">
        <f>IFERROR((VLOOKUP($A312,'Dados StatusInvest'!$A:$AZ,COLUMN(T312)-$A$5,0)/VLOOKUP($A312,'Dados StatusInvest'!$A:$AZ,2,0)*$F312),0)</f>
        <v>0</v>
      </c>
      <c r="U312" s="53">
        <f>IFERROR((VLOOKUP($A312,'Dados StatusInvest'!$A:$AZ,COLUMN(U312)-$A$5,0)-VLOOKUP($A312,'Dados StatusInvest'!$A:$AZ,COLUMN(U312)-$A$5-1,0)+T312),0)</f>
        <v>0</v>
      </c>
      <c r="V312" s="56">
        <f>IFERROR((VLOOKUP($A312,'Dados StatusInvest'!$A:$AZ,COLUMN(V312)-$A$5,0)),0)</f>
        <v>0.96</v>
      </c>
      <c r="W312" s="56">
        <f>IFERROR((VLOOKUP($A312,'Dados StatusInvest'!$A:$AZ,COLUMN(W312)-$A$5,0)),0)</f>
        <v>6.16</v>
      </c>
      <c r="X312" s="53">
        <f>IFERROR((VLOOKUP($A312,'Dados StatusInvest'!$A:$AZ,COLUMN(X312)-$A$5,0)/VLOOKUP($A312,'Dados StatusInvest'!$A:$AZ,2,0)*$F312),0)</f>
        <v>0</v>
      </c>
      <c r="Y312" s="54">
        <f>IFERROR((VLOOKUP($A312,'Dados StatusInvest'!$A:$AZ,COLUMN(Y312)-$A$5,0)/VLOOKUP($A312,'Dados StatusInvest'!$A:$AZ,2,0)*$F312),0)</f>
        <v>0</v>
      </c>
      <c r="Z312" s="56">
        <f>IFERROR((VLOOKUP($A312,'Dados StatusInvest'!$A:$AZ,COLUMN(Z312)-$A$5,0)),0)</f>
        <v>0.4</v>
      </c>
      <c r="AA312" s="57">
        <f>IFERROR((VLOOKUP($A312,'Dados StatusInvest'!$A:$AZ,COLUMN(AA312)-$A$5,0)),0)</f>
        <v>0.6</v>
      </c>
      <c r="AB312" s="57">
        <f>IFERROR((VLOOKUP($A312,'Dados StatusInvest'!$A:$AZ,COLUMN(AB312)-$A$5,0)),0)</f>
        <v>0.04</v>
      </c>
      <c r="AC312" s="58">
        <f>IFERROR((VLOOKUP($A312,'Dados StatusInvest'!$A:$AZ,COLUMN(AC312)-$A$5,0)),0)</f>
        <v>0</v>
      </c>
      <c r="AD312" s="57">
        <f>IFERROR((VLOOKUP($A312,'Dados StatusInvest'!$A:$AZ,COLUMN(AD312)-$A$5,0)),0)</f>
        <v>0</v>
      </c>
      <c r="AE312" s="56">
        <f>IFERROR((VLOOKUP($A312,'Dados StatusInvest'!$A:$AZ,COLUMN(AE312)-$A$5,0)),0)</f>
        <v>0</v>
      </c>
      <c r="AF312" s="56">
        <f>IFERROR((VLOOKUP($A312,'Dados StatusInvest'!$A:$AZ,COLUMN(AF312)-$A$5,0)),0)</f>
        <v>72.38</v>
      </c>
      <c r="AG312" s="56">
        <f>IFERROR((VLOOKUP($A312,'Dados StatusInvest'!$A:$AZ,COLUMN(AG312)-$A$5,0)),0)</f>
        <v>4.46</v>
      </c>
      <c r="AH312" s="56">
        <f>IFERROR((VLOOKUP($A312,'Dados StatusInvest'!$A:$AZ,COLUMN(AH312)-$A$5,0)),0)</f>
        <v>0</v>
      </c>
      <c r="AI312" s="57">
        <f>IFERROR((VLOOKUP($A312,'Dados StatusInvest'!$A:$AZ,COLUMN(AI312)-$A$5,0)),0)</f>
        <v>0</v>
      </c>
      <c r="AJ312" s="59" t="str">
        <f>IFERROR((VLOOKUP($A312,'Dados StatusInvest'!$A:$AZ,COLUMN(AJ312)-$A$5,0)),0)</f>
        <v/>
      </c>
      <c r="AK312" s="60" t="str">
        <f>IFERROR(__xludf.DUMMYFUNCTION("IFERROR(GOOGLEFINANCE($A312,""high""),"""")"),"")</f>
        <v/>
      </c>
      <c r="AL312" s="60" t="str">
        <f>IFERROR(__xludf.DUMMYFUNCTION("IFERROR(GOOGLEFINANCE($A312,""low""),"""")"),"")</f>
        <v/>
      </c>
      <c r="AM312" s="61">
        <f t="shared" si="2"/>
        <v>0</v>
      </c>
      <c r="AN312" s="62">
        <f>IFERROR(__xludf.DUMMYFUNCTION("IFERROR((GOOGLEFINANCE($A312,""volume"")),0)"),0.0)</f>
        <v>0</v>
      </c>
      <c r="AO312" s="60" t="str">
        <f>IFERROR(__xludf.DUMMYFUNCTION("IFERROR((GOOGLEFINANCE($A312,""closeyest"")),"""")"),"")</f>
        <v/>
      </c>
      <c r="AP312" s="60">
        <f>IFERROR(__xludf.DUMMYFUNCTION("IFERROR((GOOGLEFINANCE($A312,""shares"")),"""")"),30596.0)</f>
        <v>30596</v>
      </c>
      <c r="AQ312" s="18"/>
    </row>
    <row r="313">
      <c r="A313" s="45" t="str">
        <f>'Dados StatusInvest'!A308:A927</f>
        <v>HETA3</v>
      </c>
      <c r="B313" s="46" t="str">
        <f>IFERROR(__xludf.DUMMYFUNCTION("IFERROR((GOOGLEFINANCE(A313,""name"")),"""")"),"Hercules SA Fabrica De Talheres")</f>
        <v>Hercules SA Fabrica De Talheres</v>
      </c>
      <c r="C313" s="46" t="str">
        <f>IFERROR((VLOOKUP(LEFT($A313,4),Setor!$A:$E,3,0)),"")</f>
        <v>Consumo Cíclico</v>
      </c>
      <c r="D313" s="46" t="str">
        <f>IFERROR((VLOOKUP(LEFT($A313,4),Setor!$A:$E,4,0)),"")</f>
        <v>Utilidades Domésticas</v>
      </c>
      <c r="E313" s="46" t="str">
        <f>IFERROR((VLOOKUP(LEFT($A313,4),Setor!$A:$E,5,0)),"")</f>
        <v>Utensílios Domésticos</v>
      </c>
      <c r="F313" s="47">
        <f>IFERROR(__xludf.DUMMYFUNCTION("IFERROR((GOOGLEFINANCE(A313)),"""")"),96.0)</f>
        <v>96</v>
      </c>
      <c r="G313" s="48" t="str">
        <f>IFERROR(__xludf.DUMMYFUNCTION("IFERROR((sparkline(GOOGLEFINANCE($A313,""price"",TODAY()-30,TODAY(),""DAILY""),{""charttype"",""line"";""linewidth"",1;""color"",""#5f88cc""})),"""")"),"")</f>
        <v/>
      </c>
      <c r="H313" s="49" t="str">
        <f>IFERROR(__xludf.DUMMYFUNCTION("IFERROR((((GOOGLEFINANCE(A313))-(INDEX(GoogleFinance(A313,""PRICE"",$AQ$1),2,2)))/(INDEX(GoogleFinance(A313,""PRICE"",$AQ$1),2,2))),"""")"),"")</f>
        <v/>
      </c>
      <c r="I313" s="47">
        <f>IFERROR(__xludf.DUMMYFUNCTION("IFERROR((GOOGLEFINANCE($A313,""high52"")),"""")"),96.0)</f>
        <v>96</v>
      </c>
      <c r="J313" s="48" t="str">
        <f>IFERROR(__xludf.DUMMYFUNCTION("IFERROR((sparkline(GOOGLEFINANCE($A313,""price"",TODAY()-365,TODAY(),""DAILY""),{""charttype"",""line"";""linewidth"",1;""color"",""#5f88cc""})),"""")"),"")</f>
        <v/>
      </c>
      <c r="K313" s="50" t="str">
        <f>IFERROR(__xludf.DUMMYFUNCTION("IFERROR((((GOOGLEFINANCE(A313))-(INDEX(GoogleFinance(A313,""PRICE"",$AP$1),2,2)))/(INDEX(GoogleFinance(A313,""PRICE"",$AP$1),2,2))),"""")"),"")</f>
        <v/>
      </c>
      <c r="L313" s="51">
        <f t="shared" si="1"/>
        <v>0</v>
      </c>
      <c r="M313" s="52">
        <f>IFERROR((VLOOKUP($A313,'Dados StatusInvest'!$A:$AZ,COLUMN(M313)-$A$5,0)*VLOOKUP($A313,'Dados StatusInvest'!$A:$AZ,2,0)/$F313/100),0)</f>
        <v>0.8749</v>
      </c>
      <c r="N313" s="53">
        <f>IFERROR((VLOOKUP($A313,'Dados StatusInvest'!$A:$AZ,COLUMN(N313)-$A$5,0)/VLOOKUP($A313,'Dados StatusInvest'!$A:$AZ,2,0)*$F313),"")</f>
        <v>23.91</v>
      </c>
      <c r="O313" s="53">
        <f>IFERROR((VLOOKUP($A313,'Dados StatusInvest'!$A:$AZ,COLUMN(O313)-$A$5,0)/VLOOKUP($A313,'Dados StatusInvest'!$A:$AZ,2,0)*$F313),0)</f>
        <v>12.13</v>
      </c>
      <c r="P313" s="54">
        <f>IFERROR((VLOOKUP($A313,'Dados StatusInvest'!$A:$AZ,COLUMN(P313)-$A$5,0)/VLOOKUP($A313,'Dados StatusInvest'!$A:$AZ,2,0)*$F313),0)</f>
        <v>84.91</v>
      </c>
      <c r="Q313" s="55">
        <f>IFERROR((VLOOKUP($A313,'Dados StatusInvest'!$A:$AZ,COLUMN(Q313)-$A$5,0)/100),0)</f>
        <v>0.8042</v>
      </c>
      <c r="R313" s="56">
        <f>VLOOKUP($A313,'Dados StatusInvest'!$A:$AZ,COLUMN(R313)-$A$5,0)</f>
        <v>0</v>
      </c>
      <c r="S313" s="56">
        <f>IFERROR((VLOOKUP($A313,'Dados StatusInvest'!$A:$AZ,COLUMN(S313)-$A$5,0)),0)</f>
        <v>10.61</v>
      </c>
      <c r="T313" s="53">
        <f>IFERROR((VLOOKUP($A313,'Dados StatusInvest'!$A:$AZ,COLUMN(T313)-$A$5,0)/VLOOKUP($A313,'Dados StatusInvest'!$A:$AZ,2,0)*$F313),0)</f>
        <v>-22.18</v>
      </c>
      <c r="U313" s="53">
        <f>IFERROR((VLOOKUP($A313,'Dados StatusInvest'!$A:$AZ,COLUMN(U313)-$A$5,0)-VLOOKUP($A313,'Dados StatusInvest'!$A:$AZ,COLUMN(U313)-$A$5-1,0)+T313),0)</f>
        <v>-4.75</v>
      </c>
      <c r="V313" s="56">
        <f>IFERROR((VLOOKUP($A313,'Dados StatusInvest'!$A:$AZ,COLUMN(V313)-$A$5,0)),0)</f>
        <v>0.51</v>
      </c>
      <c r="W313" s="56">
        <f>IFERROR((VLOOKUP($A313,'Dados StatusInvest'!$A:$AZ,COLUMN(W313)-$A$5,0)),0)</f>
        <v>-0.32</v>
      </c>
      <c r="X313" s="53">
        <f>IFERROR((VLOOKUP($A313,'Dados StatusInvest'!$A:$AZ,COLUMN(X313)-$A$5,0)/VLOOKUP($A313,'Dados StatusInvest'!$A:$AZ,2,0)*$F313),0)</f>
        <v>8.78</v>
      </c>
      <c r="Y313" s="54">
        <f>IFERROR((VLOOKUP($A313,'Dados StatusInvest'!$A:$AZ,COLUMN(Y313)-$A$5,0)/VLOOKUP($A313,'Dados StatusInvest'!$A:$AZ,2,0)*$F313),0)</f>
        <v>-14.57</v>
      </c>
      <c r="Z313" s="56">
        <f>IFERROR((VLOOKUP($A313,'Dados StatusInvest'!$A:$AZ,COLUMN(Z313)-$A$5,0)),0)</f>
        <v>-27.86</v>
      </c>
      <c r="AA313" s="57">
        <f>IFERROR((VLOOKUP($A313,'Dados StatusInvest'!$A:$AZ,COLUMN(AA313)-$A$5,0)),0)</f>
        <v>28.86</v>
      </c>
      <c r="AB313" s="57">
        <f>IFERROR((VLOOKUP($A313,'Dados StatusInvest'!$A:$AZ,COLUMN(AB313)-$A$5,0)),0)</f>
        <v>0.37</v>
      </c>
      <c r="AC313" s="58">
        <f>IFERROR((VLOOKUP($A313,'Dados StatusInvest'!$A:$AZ,COLUMN(AC313)-$A$5,0)),0)</f>
        <v>30.24</v>
      </c>
      <c r="AD313" s="57">
        <f>IFERROR((VLOOKUP($A313,'Dados StatusInvest'!$A:$AZ,COLUMN(AD313)-$A$5,0)),0)</f>
        <v>-20.33</v>
      </c>
      <c r="AE313" s="56">
        <f>IFERROR((VLOOKUP($A313,'Dados StatusInvest'!$A:$AZ,COLUMN(AE313)-$A$5,0)),0)</f>
        <v>0</v>
      </c>
      <c r="AF313" s="56">
        <f>IFERROR((VLOOKUP($A313,'Dados StatusInvest'!$A:$AZ,COLUMN(AF313)-$A$5,0)),0)</f>
        <v>-686.42</v>
      </c>
      <c r="AG313" s="56">
        <f>IFERROR((VLOOKUP($A313,'Dados StatusInvest'!$A:$AZ,COLUMN(AG313)-$A$5,0)),0)</f>
        <v>2.16</v>
      </c>
      <c r="AH313" s="56">
        <f>IFERROR((VLOOKUP($A313,'Dados StatusInvest'!$A:$AZ,COLUMN(AH313)-$A$5,0)),0)</f>
        <v>1.19</v>
      </c>
      <c r="AI313" s="57">
        <f>IFERROR((VLOOKUP($A313,'Dados StatusInvest'!$A:$AZ,COLUMN(AI313)-$A$5,0)),0)</f>
        <v>18129013</v>
      </c>
      <c r="AJ313" s="59" t="str">
        <f>IFERROR((VLOOKUP($A313,'Dados StatusInvest'!$A:$AZ,COLUMN(AJ313)-$A$5,0)),0)</f>
        <v/>
      </c>
      <c r="AK313" s="60" t="str">
        <f>IFERROR(__xludf.DUMMYFUNCTION("IFERROR(GOOGLEFINANCE($A313,""high""),"""")"),"")</f>
        <v/>
      </c>
      <c r="AL313" s="60" t="str">
        <f>IFERROR(__xludf.DUMMYFUNCTION("IFERROR(GOOGLEFINANCE($A313,""low""),"""")"),"")</f>
        <v/>
      </c>
      <c r="AM313" s="61">
        <f t="shared" si="2"/>
        <v>0</v>
      </c>
      <c r="AN313" s="62">
        <f>IFERROR(__xludf.DUMMYFUNCTION("IFERROR((GOOGLEFINANCE($A313,""volume"")),0)"),0.0)</f>
        <v>0</v>
      </c>
      <c r="AO313" s="60">
        <f>IFERROR(__xludf.DUMMYFUNCTION("IFERROR((GOOGLEFINANCE($A313,""closeyest"")),"""")"),96.0)</f>
        <v>96</v>
      </c>
      <c r="AP313" s="60">
        <f>IFERROR(__xludf.DUMMYFUNCTION("IFERROR((GOOGLEFINANCE($A313,""shares"")),"""")"),171198.0)</f>
        <v>171198</v>
      </c>
      <c r="AQ313" s="18"/>
    </row>
    <row r="314">
      <c r="A314" s="45" t="str">
        <f>'Dados StatusInvest'!A309:A928</f>
        <v>HETA4</v>
      </c>
      <c r="B314" s="46" t="str">
        <f>IFERROR(__xludf.DUMMYFUNCTION("IFERROR((GOOGLEFINANCE(A314,""name"")),"""")"),"Hercules SA Fabrica De Talheres Preference Shares")</f>
        <v>Hercules SA Fabrica De Talheres Preference Shares</v>
      </c>
      <c r="C314" s="46" t="str">
        <f>IFERROR((VLOOKUP(LEFT($A314,4),Setor!$A:$E,3,0)),"")</f>
        <v>Consumo Cíclico</v>
      </c>
      <c r="D314" s="46" t="str">
        <f>IFERROR((VLOOKUP(LEFT($A314,4),Setor!$A:$E,4,0)),"")</f>
        <v>Utilidades Domésticas</v>
      </c>
      <c r="E314" s="46" t="str">
        <f>IFERROR((VLOOKUP(LEFT($A314,4),Setor!$A:$E,5,0)),"")</f>
        <v>Utensílios Domésticos</v>
      </c>
      <c r="F314" s="47">
        <f>IFERROR(__xludf.DUMMYFUNCTION("IFERROR((GOOGLEFINANCE(A314)),"""")"),5.0)</f>
        <v>5</v>
      </c>
      <c r="G314" s="48" t="str">
        <f>IFERROR(__xludf.DUMMYFUNCTION("IFERROR((sparkline(GOOGLEFINANCE($A314,""price"",TODAY()-30,TODAY(),""DAILY""),{""charttype"",""line"";""linewidth"",1;""color"",""#5f88cc""})),"""")"),"")</f>
        <v/>
      </c>
      <c r="H314" s="49" t="str">
        <f>IFERROR(__xludf.DUMMYFUNCTION("IFERROR((((GOOGLEFINANCE(A314))-(INDEX(GoogleFinance(A314,""PRICE"",$AQ$1),2,2)))/(INDEX(GoogleFinance(A314,""PRICE"",$AQ$1),2,2))),"""")"),"")</f>
        <v/>
      </c>
      <c r="I314" s="47">
        <f>IFERROR(__xludf.DUMMYFUNCTION("IFERROR((GOOGLEFINANCE($A314,""high52"")),"""")"),6.39)</f>
        <v>6.39</v>
      </c>
      <c r="J314" s="48" t="str">
        <f>IFERROR(__xludf.DUMMYFUNCTION("IFERROR((sparkline(GOOGLEFINANCE($A314,""price"",TODAY()-365,TODAY(),""DAILY""),{""charttype"",""line"";""linewidth"",1;""color"",""#5f88cc""})),"""")"),"")</f>
        <v/>
      </c>
      <c r="K314" s="50">
        <f>IFERROR(__xludf.DUMMYFUNCTION("IFERROR((((GOOGLEFINANCE(A314))-(INDEX(GoogleFinance(A314,""PRICE"",$AP$1),2,2)))/(INDEX(GoogleFinance(A314,""PRICE"",$AP$1),2,2))),"""")"),-0.11816578483245149)</f>
        <v>-0.1181657848</v>
      </c>
      <c r="L314" s="51">
        <f t="shared" si="1"/>
        <v>-0.2175273865</v>
      </c>
      <c r="M314" s="52">
        <f>IFERROR((VLOOKUP($A314,'Dados StatusInvest'!$A:$AZ,COLUMN(M314)-$A$5,0)*VLOOKUP($A314,'Dados StatusInvest'!$A:$AZ,2,0)/$F314/100),0)</f>
        <v>0.8749</v>
      </c>
      <c r="N314" s="53">
        <f>IFERROR((VLOOKUP($A314,'Dados StatusInvest'!$A:$AZ,COLUMN(N314)-$A$5,0)/VLOOKUP($A314,'Dados StatusInvest'!$A:$AZ,2,0)*$F314),"")</f>
        <v>23.91</v>
      </c>
      <c r="O314" s="53">
        <f>IFERROR((VLOOKUP($A314,'Dados StatusInvest'!$A:$AZ,COLUMN(O314)-$A$5,0)/VLOOKUP($A314,'Dados StatusInvest'!$A:$AZ,2,0)*$F314),0)</f>
        <v>0.63</v>
      </c>
      <c r="P314" s="54">
        <f>IFERROR((VLOOKUP($A314,'Dados StatusInvest'!$A:$AZ,COLUMN(P314)-$A$5,0)/VLOOKUP($A314,'Dados StatusInvest'!$A:$AZ,2,0)*$F314),0)</f>
        <v>84.91</v>
      </c>
      <c r="Q314" s="55">
        <f>IFERROR((VLOOKUP($A314,'Dados StatusInvest'!$A:$AZ,COLUMN(Q314)-$A$5,0)/100),0)</f>
        <v>0.8042</v>
      </c>
      <c r="R314" s="56">
        <f>VLOOKUP($A314,'Dados StatusInvest'!$A:$AZ,COLUMN(R314)-$A$5,0)</f>
        <v>0</v>
      </c>
      <c r="S314" s="56">
        <f>IFERROR((VLOOKUP($A314,'Dados StatusInvest'!$A:$AZ,COLUMN(S314)-$A$5,0)),0)</f>
        <v>0.55</v>
      </c>
      <c r="T314" s="53">
        <f>IFERROR((VLOOKUP($A314,'Dados StatusInvest'!$A:$AZ,COLUMN(T314)-$A$5,0)/VLOOKUP($A314,'Dados StatusInvest'!$A:$AZ,2,0)*$F314),0)</f>
        <v>-1.16</v>
      </c>
      <c r="U314" s="53">
        <f>IFERROR((VLOOKUP($A314,'Dados StatusInvest'!$A:$AZ,COLUMN(U314)-$A$5,0)-VLOOKUP($A314,'Dados StatusInvest'!$A:$AZ,COLUMN(U314)-$A$5-1,0)+T314),0)</f>
        <v>-0.25</v>
      </c>
      <c r="V314" s="56">
        <f>IFERROR((VLOOKUP($A314,'Dados StatusInvest'!$A:$AZ,COLUMN(V314)-$A$5,0)),0)</f>
        <v>0.51</v>
      </c>
      <c r="W314" s="56">
        <f>IFERROR((VLOOKUP($A314,'Dados StatusInvest'!$A:$AZ,COLUMN(W314)-$A$5,0)),0)</f>
        <v>-0.32</v>
      </c>
      <c r="X314" s="53">
        <f>IFERROR((VLOOKUP($A314,'Dados StatusInvest'!$A:$AZ,COLUMN(X314)-$A$5,0)/VLOOKUP($A314,'Dados StatusInvest'!$A:$AZ,2,0)*$F314),0)</f>
        <v>8.78</v>
      </c>
      <c r="Y314" s="54">
        <f>IFERROR((VLOOKUP($A314,'Dados StatusInvest'!$A:$AZ,COLUMN(Y314)-$A$5,0)/VLOOKUP($A314,'Dados StatusInvest'!$A:$AZ,2,0)*$F314),0)</f>
        <v>-14.57</v>
      </c>
      <c r="Z314" s="56">
        <f>IFERROR((VLOOKUP($A314,'Dados StatusInvest'!$A:$AZ,COLUMN(Z314)-$A$5,0)),0)</f>
        <v>-27.86</v>
      </c>
      <c r="AA314" s="57">
        <f>IFERROR((VLOOKUP($A314,'Dados StatusInvest'!$A:$AZ,COLUMN(AA314)-$A$5,0)),0)</f>
        <v>28.86</v>
      </c>
      <c r="AB314" s="57">
        <f>IFERROR((VLOOKUP($A314,'Dados StatusInvest'!$A:$AZ,COLUMN(AB314)-$A$5,0)),0)</f>
        <v>0.37</v>
      </c>
      <c r="AC314" s="58">
        <f>IFERROR((VLOOKUP($A314,'Dados StatusInvest'!$A:$AZ,COLUMN(AC314)-$A$5,0)),0)</f>
        <v>30.24</v>
      </c>
      <c r="AD314" s="57">
        <f>IFERROR((VLOOKUP($A314,'Dados StatusInvest'!$A:$AZ,COLUMN(AD314)-$A$5,0)),0)</f>
        <v>-20.33</v>
      </c>
      <c r="AE314" s="56">
        <f>IFERROR((VLOOKUP($A314,'Dados StatusInvest'!$A:$AZ,COLUMN(AE314)-$A$5,0)),0)</f>
        <v>1011.6</v>
      </c>
      <c r="AF314" s="56">
        <f>IFERROR((VLOOKUP($A314,'Dados StatusInvest'!$A:$AZ,COLUMN(AF314)-$A$5,0)),0)</f>
        <v>-686.42</v>
      </c>
      <c r="AG314" s="56">
        <f>IFERROR((VLOOKUP($A314,'Dados StatusInvest'!$A:$AZ,COLUMN(AG314)-$A$5,0)),0)</f>
        <v>2.16</v>
      </c>
      <c r="AH314" s="56">
        <f>IFERROR((VLOOKUP($A314,'Dados StatusInvest'!$A:$AZ,COLUMN(AH314)-$A$5,0)),0)</f>
        <v>0.06</v>
      </c>
      <c r="AI314" s="57">
        <f>IFERROR((VLOOKUP($A314,'Dados StatusInvest'!$A:$AZ,COLUMN(AI314)-$A$5,0)),0)</f>
        <v>18129013</v>
      </c>
      <c r="AJ314" s="59" t="str">
        <f>IFERROR((VLOOKUP($A314,'Dados StatusInvest'!$A:$AZ,COLUMN(AJ314)-$A$5,0)),0)</f>
        <v/>
      </c>
      <c r="AK314" s="60" t="str">
        <f>IFERROR(__xludf.DUMMYFUNCTION("IFERROR(GOOGLEFINANCE($A314,""high""),"""")"),"")</f>
        <v/>
      </c>
      <c r="AL314" s="60" t="str">
        <f>IFERROR(__xludf.DUMMYFUNCTION("IFERROR(GOOGLEFINANCE($A314,""low""),"""")"),"")</f>
        <v/>
      </c>
      <c r="AM314" s="61">
        <f t="shared" si="2"/>
        <v>0</v>
      </c>
      <c r="AN314" s="62">
        <f>IFERROR(__xludf.DUMMYFUNCTION("IFERROR((GOOGLEFINANCE($A314,""volume"")),0)"),0.0)</f>
        <v>0</v>
      </c>
      <c r="AO314" s="60">
        <f>IFERROR(__xludf.DUMMYFUNCTION("IFERROR((GOOGLEFINANCE($A314,""closeyest"")),"""")"),5.0)</f>
        <v>5</v>
      </c>
      <c r="AP314" s="60">
        <f>IFERROR(__xludf.DUMMYFUNCTION("IFERROR((GOOGLEFINANCE($A314,""shares"")),"""")"),338801.0)</f>
        <v>338801</v>
      </c>
      <c r="AQ314" s="18"/>
    </row>
    <row r="315">
      <c r="A315" s="45" t="str">
        <f>'Dados StatusInvest'!A310:A929</f>
        <v>HGTX3</v>
      </c>
      <c r="B315" s="46" t="str">
        <f>IFERROR(__xludf.DUMMYFUNCTION("IFERROR((GOOGLEFINANCE(A315,""name"")),"""")"),"")</f>
        <v/>
      </c>
      <c r="C315" s="46" t="str">
        <f>IFERROR((VLOOKUP(LEFT($A315,4),Setor!$A:$E,3,0)),"")</f>
        <v>Consumo Cíclico</v>
      </c>
      <c r="D315" s="46" t="str">
        <f>IFERROR((VLOOKUP(LEFT($A315,4),Setor!$A:$E,4,0)),"")</f>
        <v>Tecidos, Vestuário e Calçados</v>
      </c>
      <c r="E315" s="46" t="str">
        <f>IFERROR((VLOOKUP(LEFT($A315,4),Setor!$A:$E,5,0)),"")</f>
        <v>Vestuário</v>
      </c>
      <c r="F315" s="47" t="str">
        <f>IFERROR(__xludf.DUMMYFUNCTION("IFERROR((GOOGLEFINANCE(A315)),"""")"),"")</f>
        <v/>
      </c>
      <c r="G315" s="48" t="str">
        <f>IFERROR(__xludf.DUMMYFUNCTION("IFERROR((sparkline(GOOGLEFINANCE($A315,""price"",TODAY()-30,TODAY(),""DAILY""),{""charttype"",""line"";""linewidth"",1;""color"",""#5f88cc""})),"""")"),"")</f>
        <v/>
      </c>
      <c r="H315" s="49" t="str">
        <f>IFERROR(__xludf.DUMMYFUNCTION("IFERROR((((GOOGLEFINANCE(A315))-(INDEX(GoogleFinance(A315,""PRICE"",$AQ$1),2,2)))/(INDEX(GoogleFinance(A315,""PRICE"",$AQ$1),2,2))),"""")"),"")</f>
        <v/>
      </c>
      <c r="I315" s="47" t="str">
        <f>IFERROR(__xludf.DUMMYFUNCTION("IFERROR((GOOGLEFINANCE($A315,""high52"")),"""")"),"")</f>
        <v/>
      </c>
      <c r="J315" s="48" t="str">
        <f>IFERROR(__xludf.DUMMYFUNCTION("IFERROR((sparkline(GOOGLEFINANCE($A315,""price"",TODAY()-365,TODAY(),""DAILY""),{""charttype"",""line"";""linewidth"",1;""color"",""#5f88cc""})),"""")"),"")</f>
        <v/>
      </c>
      <c r="K315" s="50" t="str">
        <f>IFERROR(__xludf.DUMMYFUNCTION("IFERROR((((GOOGLEFINANCE(A315))-(INDEX(GoogleFinance(A315,""PRICE"",$AP$1),2,2)))/(INDEX(GoogleFinance(A315,""PRICE"",$AP$1),2,2))),"""")"),"")</f>
        <v/>
      </c>
      <c r="L315" s="51">
        <f t="shared" si="1"/>
        <v>0</v>
      </c>
      <c r="M315" s="52">
        <f>IFERROR((VLOOKUP($A315,'Dados StatusInvest'!$A:$AZ,COLUMN(M315)-$A$5,0)*VLOOKUP($A315,'Dados StatusInvest'!$A:$AZ,2,0)/$F315/100),0)</f>
        <v>0</v>
      </c>
      <c r="N315" s="53">
        <f>IFERROR((VLOOKUP($A315,'Dados StatusInvest'!$A:$AZ,COLUMN(N315)-$A$5,0)/VLOOKUP($A315,'Dados StatusInvest'!$A:$AZ,2,0)*$F315),"")</f>
        <v>0</v>
      </c>
      <c r="O315" s="53">
        <f>IFERROR((VLOOKUP($A315,'Dados StatusInvest'!$A:$AZ,COLUMN(O315)-$A$5,0)/VLOOKUP($A315,'Dados StatusInvest'!$A:$AZ,2,0)*$F315),0)</f>
        <v>0</v>
      </c>
      <c r="P315" s="54">
        <f>IFERROR((VLOOKUP($A315,'Dados StatusInvest'!$A:$AZ,COLUMN(P315)-$A$5,0)/VLOOKUP($A315,'Dados StatusInvest'!$A:$AZ,2,0)*$F315),0)</f>
        <v>0</v>
      </c>
      <c r="Q315" s="55">
        <f>IFERROR((VLOOKUP($A315,'Dados StatusInvest'!$A:$AZ,COLUMN(Q315)-$A$5,0)/100),0)</f>
        <v>-0.0599</v>
      </c>
      <c r="R315" s="56">
        <f>VLOOKUP($A315,'Dados StatusInvest'!$A:$AZ,COLUMN(R315)-$A$5,0)</f>
        <v>0.03</v>
      </c>
      <c r="S315" s="56">
        <f>IFERROR((VLOOKUP($A315,'Dados StatusInvest'!$A:$AZ,COLUMN(S315)-$A$5,0)),0)</f>
        <v>4.18</v>
      </c>
      <c r="T315" s="53">
        <f>IFERROR((VLOOKUP($A315,'Dados StatusInvest'!$A:$AZ,COLUMN(T315)-$A$5,0)/VLOOKUP($A315,'Dados StatusInvest'!$A:$AZ,2,0)*$F315),0)</f>
        <v>0</v>
      </c>
      <c r="U315" s="53">
        <f>IFERROR((VLOOKUP($A315,'Dados StatusInvest'!$A:$AZ,COLUMN(U315)-$A$5,0)-VLOOKUP($A315,'Dados StatusInvest'!$A:$AZ,COLUMN(U315)-$A$5-1,0)+T315),0)</f>
        <v>-13.09</v>
      </c>
      <c r="V315" s="56">
        <f>IFERROR((VLOOKUP($A315,'Dados StatusInvest'!$A:$AZ,COLUMN(V315)-$A$5,0)),0)</f>
        <v>2.47</v>
      </c>
      <c r="W315" s="56">
        <f>IFERROR((VLOOKUP($A315,'Dados StatusInvest'!$A:$AZ,COLUMN(W315)-$A$5,0)),0)</f>
        <v>3.51</v>
      </c>
      <c r="X315" s="53">
        <f>IFERROR((VLOOKUP($A315,'Dados StatusInvest'!$A:$AZ,COLUMN(X315)-$A$5,0)/VLOOKUP($A315,'Dados StatusInvest'!$A:$AZ,2,0)*$F315),0)</f>
        <v>0</v>
      </c>
      <c r="Y315" s="54">
        <f>IFERROR((VLOOKUP($A315,'Dados StatusInvest'!$A:$AZ,COLUMN(Y315)-$A$5,0)/VLOOKUP($A315,'Dados StatusInvest'!$A:$AZ,2,0)*$F315),0)</f>
        <v>0</v>
      </c>
      <c r="Z315" s="56">
        <f>IFERROR((VLOOKUP($A315,'Dados StatusInvest'!$A:$AZ,COLUMN(Z315)-$A$5,0)),0)</f>
        <v>0.69</v>
      </c>
      <c r="AA315" s="57">
        <f>IFERROR((VLOOKUP($A315,'Dados StatusInvest'!$A:$AZ,COLUMN(AA315)-$A$5,0)),0)</f>
        <v>0.31</v>
      </c>
      <c r="AB315" s="57">
        <f>IFERROR((VLOOKUP($A315,'Dados StatusInvest'!$A:$AZ,COLUMN(AB315)-$A$5,0)),0)</f>
        <v>0.59</v>
      </c>
      <c r="AC315" s="58">
        <f>IFERROR((VLOOKUP($A315,'Dados StatusInvest'!$A:$AZ,COLUMN(AC315)-$A$5,0)),0)</f>
        <v>-7.54</v>
      </c>
      <c r="AD315" s="57">
        <f>IFERROR((VLOOKUP($A315,'Dados StatusInvest'!$A:$AZ,COLUMN(AD315)-$A$5,0)),0)</f>
        <v>-26.63</v>
      </c>
      <c r="AE315" s="56">
        <f>IFERROR((VLOOKUP($A315,'Dados StatusInvest'!$A:$AZ,COLUMN(AE315)-$A$5,0)),0)</f>
        <v>0</v>
      </c>
      <c r="AF315" s="56">
        <f>IFERROR((VLOOKUP($A315,'Dados StatusInvest'!$A:$AZ,COLUMN(AF315)-$A$5,0)),0)</f>
        <v>10.49</v>
      </c>
      <c r="AG315" s="56">
        <f>IFERROR((VLOOKUP($A315,'Dados StatusInvest'!$A:$AZ,COLUMN(AG315)-$A$5,0)),0)</f>
        <v>0.37</v>
      </c>
      <c r="AH315" s="56">
        <f>IFERROR((VLOOKUP($A315,'Dados StatusInvest'!$A:$AZ,COLUMN(AH315)-$A$5,0)),0)</f>
        <v>-1.23</v>
      </c>
      <c r="AI315" s="57">
        <f>IFERROR((VLOOKUP($A315,'Dados StatusInvest'!$A:$AZ,COLUMN(AI315)-$A$5,0)),0)</f>
        <v>6095022638</v>
      </c>
      <c r="AJ315" s="59" t="str">
        <f>IFERROR((VLOOKUP($A315,'Dados StatusInvest'!$A:$AZ,COLUMN(AJ315)-$A$5,0)),0)</f>
        <v/>
      </c>
      <c r="AK315" s="60" t="str">
        <f>IFERROR(__xludf.DUMMYFUNCTION("IFERROR(GOOGLEFINANCE($A315,""high""),"""")"),"")</f>
        <v/>
      </c>
      <c r="AL315" s="60" t="str">
        <f>IFERROR(__xludf.DUMMYFUNCTION("IFERROR(GOOGLEFINANCE($A315,""low""),"""")"),"")</f>
        <v/>
      </c>
      <c r="AM315" s="61">
        <f t="shared" si="2"/>
        <v>0</v>
      </c>
      <c r="AN315" s="62">
        <f>IFERROR(__xludf.DUMMYFUNCTION("IFERROR((GOOGLEFINANCE($A315,""volume"")),0)"),0.0)</f>
        <v>0</v>
      </c>
      <c r="AO315" s="60" t="str">
        <f>IFERROR(__xludf.DUMMYFUNCTION("IFERROR((GOOGLEFINANCE($A315,""closeyest"")),"""")"),"")</f>
        <v/>
      </c>
      <c r="AP315" s="60" t="str">
        <f>IFERROR(__xludf.DUMMYFUNCTION("IFERROR((GOOGLEFINANCE($A315,""shares"")),"""")"),"")</f>
        <v/>
      </c>
      <c r="AQ315" s="18"/>
    </row>
    <row r="316">
      <c r="A316" s="45" t="str">
        <f>'Dados StatusInvest'!A311:A930</f>
        <v>HOOT3</v>
      </c>
      <c r="B316" s="46" t="str">
        <f>IFERROR(__xludf.DUMMYFUNCTION("IFERROR((GOOGLEFINANCE(A316,""name"")),"""")"),"Hoteis Othon SA -em Recuperacao Judicial")</f>
        <v>Hoteis Othon SA -em Recuperacao Judicial</v>
      </c>
      <c r="C316" s="46" t="str">
        <f>IFERROR((VLOOKUP(LEFT($A316,4),Setor!$A:$E,3,0)),"")</f>
        <v>Consumo Cíclico</v>
      </c>
      <c r="D316" s="46" t="str">
        <f>IFERROR((VLOOKUP(LEFT($A316,4),Setor!$A:$E,4,0)),"")</f>
        <v>Hoteis e Restaurantes</v>
      </c>
      <c r="E316" s="46" t="str">
        <f>IFERROR((VLOOKUP(LEFT($A316,4),Setor!$A:$E,5,0)),"")</f>
        <v>Hotelaria</v>
      </c>
      <c r="F316" s="47">
        <f>IFERROR(__xludf.DUMMYFUNCTION("IFERROR((GOOGLEFINANCE(A316)),"""")"),0.0)</f>
        <v>0</v>
      </c>
      <c r="G316" s="48" t="str">
        <f>IFERROR(__xludf.DUMMYFUNCTION("IFERROR((sparkline(GOOGLEFINANCE($A316,""price"",TODAY()-30,TODAY(),""DAILY""),{""charttype"",""line"";""linewidth"",1;""color"",""#5f88cc""})),"""")"),"")</f>
        <v/>
      </c>
      <c r="H316" s="49" t="str">
        <f>IFERROR(__xludf.DUMMYFUNCTION("IFERROR((((GOOGLEFINANCE(A316))-(INDEX(GoogleFinance(A316,""PRICE"",$AQ$1),2,2)))/(INDEX(GoogleFinance(A316,""PRICE"",$AQ$1),2,2))),"""")"),"")</f>
        <v/>
      </c>
      <c r="I316" s="47" t="str">
        <f>IFERROR(__xludf.DUMMYFUNCTION("IFERROR((GOOGLEFINANCE($A316,""high52"")),"""")"),"")</f>
        <v/>
      </c>
      <c r="J316" s="48" t="str">
        <f>IFERROR(__xludf.DUMMYFUNCTION("IFERROR((sparkline(GOOGLEFINANCE($A316,""price"",TODAY()-365,TODAY(),""DAILY""),{""charttype"",""line"";""linewidth"",1;""color"",""#5f88cc""})),"""")"),"")</f>
        <v/>
      </c>
      <c r="K316" s="50" t="str">
        <f>IFERROR(__xludf.DUMMYFUNCTION("IFERROR((((GOOGLEFINANCE(A316))-(INDEX(GoogleFinance(A316,""PRICE"",$AP$1),2,2)))/(INDEX(GoogleFinance(A316,""PRICE"",$AP$1),2,2))),"""")"),"")</f>
        <v/>
      </c>
      <c r="L316" s="51">
        <f t="shared" si="1"/>
        <v>0</v>
      </c>
      <c r="M316" s="52">
        <f>IFERROR((VLOOKUP($A316,'Dados StatusInvest'!$A:$AZ,COLUMN(M316)-$A$5,0)*VLOOKUP($A316,'Dados StatusInvest'!$A:$AZ,2,0)/$F316/100),0)</f>
        <v>0</v>
      </c>
      <c r="N316" s="53" t="str">
        <f>IFERROR((VLOOKUP($A316,'Dados StatusInvest'!$A:$AZ,COLUMN(N316)-$A$5,0)/VLOOKUP($A316,'Dados StatusInvest'!$A:$AZ,2,0)*$F316),"")</f>
        <v/>
      </c>
      <c r="O316" s="53">
        <f>IFERROR((VLOOKUP($A316,'Dados StatusInvest'!$A:$AZ,COLUMN(O316)-$A$5,0)/VLOOKUP($A316,'Dados StatusInvest'!$A:$AZ,2,0)*$F316),0)</f>
        <v>0</v>
      </c>
      <c r="P316" s="54">
        <f>IFERROR((VLOOKUP($A316,'Dados StatusInvest'!$A:$AZ,COLUMN(P316)-$A$5,0)/VLOOKUP($A316,'Dados StatusInvest'!$A:$AZ,2,0)*$F316),0)</f>
        <v>0</v>
      </c>
      <c r="Q316" s="55">
        <f>IFERROR((VLOOKUP($A316,'Dados StatusInvest'!$A:$AZ,COLUMN(Q316)-$A$5,0)/100),0)</f>
        <v>-0.0035</v>
      </c>
      <c r="R316" s="56">
        <f>VLOOKUP($A316,'Dados StatusInvest'!$A:$AZ,COLUMN(R316)-$A$5,0)</f>
        <v>0</v>
      </c>
      <c r="S316" s="56">
        <f>IFERROR((VLOOKUP($A316,'Dados StatusInvest'!$A:$AZ,COLUMN(S316)-$A$5,0)),0)</f>
        <v>0</v>
      </c>
      <c r="T316" s="53">
        <f>IFERROR((VLOOKUP($A316,'Dados StatusInvest'!$A:$AZ,COLUMN(T316)-$A$5,0)/VLOOKUP($A316,'Dados StatusInvest'!$A:$AZ,2,0)*$F316),0)</f>
        <v>0</v>
      </c>
      <c r="U316" s="53">
        <f>IFERROR((VLOOKUP($A316,'Dados StatusInvest'!$A:$AZ,COLUMN(U316)-$A$5,0)-VLOOKUP($A316,'Dados StatusInvest'!$A:$AZ,COLUMN(U316)-$A$5-1,0)+T316),0)</f>
        <v>0</v>
      </c>
      <c r="V316" s="56">
        <f>IFERROR((VLOOKUP($A316,'Dados StatusInvest'!$A:$AZ,COLUMN(V316)-$A$5,0)),0)</f>
        <v>0.75</v>
      </c>
      <c r="W316" s="56">
        <f>IFERROR((VLOOKUP($A316,'Dados StatusInvest'!$A:$AZ,COLUMN(W316)-$A$5,0)),0)</f>
        <v>-216.14</v>
      </c>
      <c r="X316" s="53">
        <f>IFERROR((VLOOKUP($A316,'Dados StatusInvest'!$A:$AZ,COLUMN(X316)-$A$5,0)/VLOOKUP($A316,'Dados StatusInvest'!$A:$AZ,2,0)*$F316),0)</f>
        <v>0</v>
      </c>
      <c r="Y316" s="54">
        <f>IFERROR((VLOOKUP($A316,'Dados StatusInvest'!$A:$AZ,COLUMN(Y316)-$A$5,0)/VLOOKUP($A316,'Dados StatusInvest'!$A:$AZ,2,0)*$F316),0)</f>
        <v>0</v>
      </c>
      <c r="Z316" s="56">
        <f>IFERROR((VLOOKUP($A316,'Dados StatusInvest'!$A:$AZ,COLUMN(Z316)-$A$5,0)),0)</f>
        <v>-0.06</v>
      </c>
      <c r="AA316" s="57">
        <f>IFERROR((VLOOKUP($A316,'Dados StatusInvest'!$A:$AZ,COLUMN(AA316)-$A$5,0)),0)</f>
        <v>1.12</v>
      </c>
      <c r="AB316" s="57">
        <f>IFERROR((VLOOKUP($A316,'Dados StatusInvest'!$A:$AZ,COLUMN(AB316)-$A$5,0)),0)</f>
        <v>0.37</v>
      </c>
      <c r="AC316" s="58">
        <f>IFERROR((VLOOKUP($A316,'Dados StatusInvest'!$A:$AZ,COLUMN(AC316)-$A$5,0)),0)</f>
        <v>12.34</v>
      </c>
      <c r="AD316" s="57">
        <f>IFERROR((VLOOKUP($A316,'Dados StatusInvest'!$A:$AZ,COLUMN(AD316)-$A$5,0)),0)</f>
        <v>0</v>
      </c>
      <c r="AE316" s="56">
        <f>IFERROR((VLOOKUP($A316,'Dados StatusInvest'!$A:$AZ,COLUMN(AE316)-$A$5,0)),0)</f>
        <v>0</v>
      </c>
      <c r="AF316" s="56">
        <f>IFERROR((VLOOKUP($A316,'Dados StatusInvest'!$A:$AZ,COLUMN(AF316)-$A$5,0)),0)</f>
        <v>-1.69</v>
      </c>
      <c r="AG316" s="56">
        <f>IFERROR((VLOOKUP($A316,'Dados StatusInvest'!$A:$AZ,COLUMN(AG316)-$A$5,0)),0)</f>
        <v>3.66</v>
      </c>
      <c r="AH316" s="56">
        <f>IFERROR((VLOOKUP($A316,'Dados StatusInvest'!$A:$AZ,COLUMN(AH316)-$A$5,0)),0)</f>
        <v>0</v>
      </c>
      <c r="AI316" s="57">
        <f>IFERROR((VLOOKUP($A316,'Dados StatusInvest'!$A:$AZ,COLUMN(AI316)-$A$5,0)),0)</f>
        <v>55498292.82</v>
      </c>
      <c r="AJ316" s="59" t="str">
        <f>IFERROR((VLOOKUP($A316,'Dados StatusInvest'!$A:$AZ,COLUMN(AJ316)-$A$5,0)),0)</f>
        <v/>
      </c>
      <c r="AK316" s="60" t="str">
        <f>IFERROR(__xludf.DUMMYFUNCTION("IFERROR(GOOGLEFINANCE($A316,""high""),"""")"),"")</f>
        <v/>
      </c>
      <c r="AL316" s="60" t="str">
        <f>IFERROR(__xludf.DUMMYFUNCTION("IFERROR(GOOGLEFINANCE($A316,""low""),"""")"),"")</f>
        <v/>
      </c>
      <c r="AM316" s="61">
        <f t="shared" si="2"/>
        <v>0</v>
      </c>
      <c r="AN316" s="62">
        <f>IFERROR(__xludf.DUMMYFUNCTION("IFERROR((GOOGLEFINANCE($A316,""volume"")),0)"),0.0)</f>
        <v>0</v>
      </c>
      <c r="AO316" s="60" t="str">
        <f>IFERROR(__xludf.DUMMYFUNCTION("IFERROR((GOOGLEFINANCE($A316,""closeyest"")),"""")"),"")</f>
        <v/>
      </c>
      <c r="AP316" s="60">
        <f>IFERROR(__xludf.DUMMYFUNCTION("IFERROR((GOOGLEFINANCE($A316,""shares"")),"""")"),1.0477917E7)</f>
        <v>10477917</v>
      </c>
      <c r="AQ316" s="18"/>
    </row>
    <row r="317">
      <c r="A317" s="45" t="str">
        <f>'Dados StatusInvest'!A312:A931</f>
        <v>HOOT4</v>
      </c>
      <c r="B317" s="46" t="str">
        <f>IFERROR(__xludf.DUMMYFUNCTION("IFERROR((GOOGLEFINANCE(A317,""name"")),"""")"),"Hoteis Othon SA -em Recuperacao Judicial Preference Shares")</f>
        <v>Hoteis Othon SA -em Recuperacao Judicial Preference Shares</v>
      </c>
      <c r="C317" s="46" t="str">
        <f>IFERROR((VLOOKUP(LEFT($A317,4),Setor!$A:$E,3,0)),"")</f>
        <v>Consumo Cíclico</v>
      </c>
      <c r="D317" s="46" t="str">
        <f>IFERROR((VLOOKUP(LEFT($A317,4),Setor!$A:$E,4,0)),"")</f>
        <v>Hoteis e Restaurantes</v>
      </c>
      <c r="E317" s="46" t="str">
        <f>IFERROR((VLOOKUP(LEFT($A317,4),Setor!$A:$E,5,0)),"")</f>
        <v>Hotelaria</v>
      </c>
      <c r="F317" s="47">
        <f>IFERROR(__xludf.DUMMYFUNCTION("IFERROR((GOOGLEFINANCE(A317)),"""")"),7.03)</f>
        <v>7.03</v>
      </c>
      <c r="G317" s="48" t="str">
        <f>IFERROR(__xludf.DUMMYFUNCTION("IFERROR((sparkline(GOOGLEFINANCE($A317,""price"",TODAY()-30,TODAY(),""DAILY""),{""charttype"",""line"";""linewidth"",1;""color"",""#5f88cc""})),"""")"),"")</f>
        <v/>
      </c>
      <c r="H317" s="49">
        <f>IFERROR(__xludf.DUMMYFUNCTION("IFERROR((((GOOGLEFINANCE(A317))-(INDEX(GoogleFinance(A317,""PRICE"",$AQ$1),2,2)))/(INDEX(GoogleFinance(A317,""PRICE"",$AQ$1),2,2))),"""")"),0.08153846153846157)</f>
        <v>0.08153846154</v>
      </c>
      <c r="I317" s="47">
        <f>IFERROR(__xludf.DUMMYFUNCTION("IFERROR((GOOGLEFINANCE($A317,""high52"")),"""")"),8.25)</f>
        <v>8.25</v>
      </c>
      <c r="J317" s="48" t="str">
        <f>IFERROR(__xludf.DUMMYFUNCTION("IFERROR((sparkline(GOOGLEFINANCE($A317,""price"",TODAY()-365,TODAY(),""DAILY""),{""charttype"",""line"";""linewidth"",1;""color"",""#5f88cc""})),"""")"),"")</f>
        <v/>
      </c>
      <c r="K317" s="50">
        <f>IFERROR(__xludf.DUMMYFUNCTION("IFERROR((((GOOGLEFINANCE(A317))-(INDEX(GoogleFinance(A317,""PRICE"",$AP$1),2,2)))/(INDEX(GoogleFinance(A317,""PRICE"",$AP$1),2,2))),"""")"),2.1244444444444444)</f>
        <v>2.124444444</v>
      </c>
      <c r="L317" s="51">
        <f t="shared" si="1"/>
        <v>-0.1478787879</v>
      </c>
      <c r="M317" s="52">
        <f>IFERROR((VLOOKUP($A317,'Dados StatusInvest'!$A:$AZ,COLUMN(M317)-$A$5,0)*VLOOKUP($A317,'Dados StatusInvest'!$A:$AZ,2,0)/$F317/100),0)</f>
        <v>0.5375</v>
      </c>
      <c r="N317" s="53">
        <f>IFERROR((VLOOKUP($A317,'Dados StatusInvest'!$A:$AZ,COLUMN(N317)-$A$5,0)/VLOOKUP($A317,'Dados StatusInvest'!$A:$AZ,2,0)*$F317),"")</f>
        <v>34.1</v>
      </c>
      <c r="O317" s="53">
        <f>IFERROR((VLOOKUP($A317,'Dados StatusInvest'!$A:$AZ,COLUMN(O317)-$A$5,0)/VLOOKUP($A317,'Dados StatusInvest'!$A:$AZ,2,0)*$F317),0)</f>
        <v>1.22</v>
      </c>
      <c r="P317" s="54">
        <f>IFERROR((VLOOKUP($A317,'Dados StatusInvest'!$A:$AZ,COLUMN(P317)-$A$5,0)/VLOOKUP($A317,'Dados StatusInvest'!$A:$AZ,2,0)*$F317),0)</f>
        <v>0.17</v>
      </c>
      <c r="Q317" s="55">
        <f>IFERROR((VLOOKUP($A317,'Dados StatusInvest'!$A:$AZ,COLUMN(Q317)-$A$5,0)/100),0)</f>
        <v>-0.0035</v>
      </c>
      <c r="R317" s="56">
        <f>VLOOKUP($A317,'Dados StatusInvest'!$A:$AZ,COLUMN(R317)-$A$5,0)</f>
        <v>0</v>
      </c>
      <c r="S317" s="56">
        <f>IFERROR((VLOOKUP($A317,'Dados StatusInvest'!$A:$AZ,COLUMN(S317)-$A$5,0)),0)</f>
        <v>0.66</v>
      </c>
      <c r="T317" s="53">
        <f>IFERROR((VLOOKUP($A317,'Dados StatusInvest'!$A:$AZ,COLUMN(T317)-$A$5,0)/VLOOKUP($A317,'Dados StatusInvest'!$A:$AZ,2,0)*$F317),0)</f>
        <v>-3.58</v>
      </c>
      <c r="U317" s="53">
        <f>IFERROR((VLOOKUP($A317,'Dados StatusInvest'!$A:$AZ,COLUMN(U317)-$A$5,0)-VLOOKUP($A317,'Dados StatusInvest'!$A:$AZ,COLUMN(U317)-$A$5-1,0)+T317),0)</f>
        <v>-0.31</v>
      </c>
      <c r="V317" s="56">
        <f>IFERROR((VLOOKUP($A317,'Dados StatusInvest'!$A:$AZ,COLUMN(V317)-$A$5,0)),0)</f>
        <v>0.75</v>
      </c>
      <c r="W317" s="56">
        <f>IFERROR((VLOOKUP($A317,'Dados StatusInvest'!$A:$AZ,COLUMN(W317)-$A$5,0)),0)</f>
        <v>-216.14</v>
      </c>
      <c r="X317" s="53">
        <f>IFERROR((VLOOKUP($A317,'Dados StatusInvest'!$A:$AZ,COLUMN(X317)-$A$5,0)/VLOOKUP($A317,'Dados StatusInvest'!$A:$AZ,2,0)*$F317),0)</f>
        <v>12.73</v>
      </c>
      <c r="Y317" s="54">
        <f>IFERROR((VLOOKUP($A317,'Dados StatusInvest'!$A:$AZ,COLUMN(Y317)-$A$5,0)/VLOOKUP($A317,'Dados StatusInvest'!$A:$AZ,2,0)*$F317),0)</f>
        <v>-134.33</v>
      </c>
      <c r="Z317" s="56">
        <f>IFERROR((VLOOKUP($A317,'Dados StatusInvest'!$A:$AZ,COLUMN(Z317)-$A$5,0)),0)</f>
        <v>-0.06</v>
      </c>
      <c r="AA317" s="57">
        <f>IFERROR((VLOOKUP($A317,'Dados StatusInvest'!$A:$AZ,COLUMN(AA317)-$A$5,0)),0)</f>
        <v>1.12</v>
      </c>
      <c r="AB317" s="57">
        <f>IFERROR((VLOOKUP($A317,'Dados StatusInvest'!$A:$AZ,COLUMN(AB317)-$A$5,0)),0)</f>
        <v>0.37</v>
      </c>
      <c r="AC317" s="58">
        <f>IFERROR((VLOOKUP($A317,'Dados StatusInvest'!$A:$AZ,COLUMN(AC317)-$A$5,0)),0)</f>
        <v>12.34</v>
      </c>
      <c r="AD317" s="57">
        <f>IFERROR((VLOOKUP($A317,'Dados StatusInvest'!$A:$AZ,COLUMN(AD317)-$A$5,0)),0)</f>
        <v>0</v>
      </c>
      <c r="AE317" s="56">
        <f>IFERROR((VLOOKUP($A317,'Dados StatusInvest'!$A:$AZ,COLUMN(AE317)-$A$5,0)),0)</f>
        <v>22505.45</v>
      </c>
      <c r="AF317" s="56">
        <f>IFERROR((VLOOKUP($A317,'Dados StatusInvest'!$A:$AZ,COLUMN(AF317)-$A$5,0)),0)</f>
        <v>-1.69</v>
      </c>
      <c r="AG317" s="56">
        <f>IFERROR((VLOOKUP($A317,'Dados StatusInvest'!$A:$AZ,COLUMN(AG317)-$A$5,0)),0)</f>
        <v>3.66</v>
      </c>
      <c r="AH317" s="56">
        <f>IFERROR((VLOOKUP($A317,'Dados StatusInvest'!$A:$AZ,COLUMN(AH317)-$A$5,0)),0)</f>
        <v>-0.07</v>
      </c>
      <c r="AI317" s="57">
        <f>IFERROR((VLOOKUP($A317,'Dados StatusInvest'!$A:$AZ,COLUMN(AI317)-$A$5,0)),0)</f>
        <v>55498292.82</v>
      </c>
      <c r="AJ317" s="59" t="str">
        <f>IFERROR((VLOOKUP($A317,'Dados StatusInvest'!$A:$AZ,COLUMN(AJ317)-$A$5,0)),0)</f>
        <v/>
      </c>
      <c r="AK317" s="60" t="str">
        <f>IFERROR(__xludf.DUMMYFUNCTION("IFERROR(GOOGLEFINANCE($A317,""high""),"""")"),"")</f>
        <v/>
      </c>
      <c r="AL317" s="60" t="str">
        <f>IFERROR(__xludf.DUMMYFUNCTION("IFERROR(GOOGLEFINANCE($A317,""low""),"""")"),"")</f>
        <v/>
      </c>
      <c r="AM317" s="61">
        <f t="shared" si="2"/>
        <v>0</v>
      </c>
      <c r="AN317" s="62">
        <f>IFERROR(__xludf.DUMMYFUNCTION("IFERROR((GOOGLEFINANCE($A317,""volume"")),0)"),0.0)</f>
        <v>0</v>
      </c>
      <c r="AO317" s="60">
        <f>IFERROR(__xludf.DUMMYFUNCTION("IFERROR((GOOGLEFINANCE($A317,""closeyest"")),"""")"),7.03)</f>
        <v>7.03</v>
      </c>
      <c r="AP317" s="60">
        <f>IFERROR(__xludf.DUMMYFUNCTION("IFERROR((GOOGLEFINANCE($A317,""shares"")),"""")"),7894494.0)</f>
        <v>7894494</v>
      </c>
      <c r="AQ317" s="18"/>
    </row>
    <row r="318">
      <c r="A318" s="45" t="str">
        <f>'Dados StatusInvest'!A313:A932</f>
        <v>HYPE3</v>
      </c>
      <c r="B318" s="46" t="str">
        <f>IFERROR(__xludf.DUMMYFUNCTION("IFERROR((GOOGLEFINANCE(A318,""name"")),"""")"),"Hypera SA")</f>
        <v>Hypera SA</v>
      </c>
      <c r="C318" s="46" t="str">
        <f>IFERROR((VLOOKUP(LEFT($A318,4),Setor!$A:$E,3,0)),"")</f>
        <v>Saúde</v>
      </c>
      <c r="D318" s="46" t="str">
        <f>IFERROR((VLOOKUP(LEFT($A318,4),Setor!$A:$E,4,0)),"")</f>
        <v>Comércio e Distribuição</v>
      </c>
      <c r="E318" s="46" t="str">
        <f>IFERROR((VLOOKUP(LEFT($A318,4),Setor!$A:$E,5,0)),"")</f>
        <v>Medicamentos e Outros Produtos</v>
      </c>
      <c r="F318" s="47">
        <f>IFERROR(__xludf.DUMMYFUNCTION("IFERROR((GOOGLEFINANCE(A318)),"""")"),23.56)</f>
        <v>23.56</v>
      </c>
      <c r="G318" s="48" t="str">
        <f>IFERROR(__xludf.DUMMYFUNCTION("IFERROR((sparkline(GOOGLEFINANCE($A318,""price"",TODAY()-30,TODAY(),""DAILY""),{""charttype"",""line"";""linewidth"",1;""color"",""#5f88cc""})),"""")"),"")</f>
        <v/>
      </c>
      <c r="H318" s="49">
        <f>IFERROR(__xludf.DUMMYFUNCTION("IFERROR((((GOOGLEFINANCE(A318))-(INDEX(GoogleFinance(A318,""PRICE"",$AQ$1),2,2)))/(INDEX(GoogleFinance(A318,""PRICE"",$AQ$1),2,2))),"""")"),-0.03482179434657933)</f>
        <v>-0.03482179435</v>
      </c>
      <c r="I318" s="47">
        <f>IFERROR(__xludf.DUMMYFUNCTION("IFERROR((GOOGLEFINANCE($A318,""high52"")),"""")"),27.56)</f>
        <v>27.56</v>
      </c>
      <c r="J318" s="48" t="str">
        <f>IFERROR(__xludf.DUMMYFUNCTION("IFERROR((sparkline(GOOGLEFINANCE($A318,""price"",TODAY()-365,TODAY(),""DAILY""),{""charttype"",""line"";""linewidth"",1;""color"",""#5f88cc""})),"""")"),"")</f>
        <v/>
      </c>
      <c r="K318" s="50">
        <f>IFERROR(__xludf.DUMMYFUNCTION("IFERROR((((GOOGLEFINANCE(A318))-(INDEX(GoogleFinance(A318,""PRICE"",$AP$1),2,2)))/(INDEX(GoogleFinance(A318,""PRICE"",$AP$1),2,2))),"""")"),0.18929833417465927)</f>
        <v>0.1892983342</v>
      </c>
      <c r="L318" s="51">
        <f t="shared" si="1"/>
        <v>-0.145137881</v>
      </c>
      <c r="M318" s="52">
        <f>IFERROR((VLOOKUP($A318,'Dados StatusInvest'!$A:$AZ,COLUMN(M318)-$A$5,0)*VLOOKUP($A318,'Dados StatusInvest'!$A:$AZ,2,0)/$F318/100),0)</f>
        <v>0.1675705433</v>
      </c>
      <c r="N318" s="53">
        <f>IFERROR((VLOOKUP($A318,'Dados StatusInvest'!$A:$AZ,COLUMN(N318)-$A$5,0)/VLOOKUP($A318,'Dados StatusInvest'!$A:$AZ,2,0)*$F318),"")</f>
        <v>11.73037911</v>
      </c>
      <c r="O318" s="53">
        <f>IFERROR((VLOOKUP($A318,'Dados StatusInvest'!$A:$AZ,COLUMN(O318)-$A$5,0)/VLOOKUP($A318,'Dados StatusInvest'!$A:$AZ,2,0)*$F318),0)</f>
        <v>12.86173547</v>
      </c>
      <c r="P318" s="54">
        <f>IFERROR((VLOOKUP($A318,'Dados StatusInvest'!$A:$AZ,COLUMN(P318)-$A$5,0)/VLOOKUP($A318,'Dados StatusInvest'!$A:$AZ,2,0)*$F318),0)</f>
        <v>19.09411963</v>
      </c>
      <c r="Q318" s="55">
        <f>IFERROR((VLOOKUP($A318,'Dados StatusInvest'!$A:$AZ,COLUMN(Q318)-$A$5,0)/100),0)</f>
        <v>0.0627</v>
      </c>
      <c r="R318" s="56">
        <f>VLOOKUP($A318,'Dados StatusInvest'!$A:$AZ,COLUMN(R318)-$A$5,0)</f>
        <v>0.59</v>
      </c>
      <c r="S318" s="56">
        <f>IFERROR((VLOOKUP($A318,'Dados StatusInvest'!$A:$AZ,COLUMN(S318)-$A$5,0)),0)</f>
        <v>2.16</v>
      </c>
      <c r="T318" s="53">
        <f>IFERROR((VLOOKUP($A318,'Dados StatusInvest'!$A:$AZ,COLUMN(T318)-$A$5,0)/VLOOKUP($A318,'Dados StatusInvest'!$A:$AZ,2,0)*$F318),0)</f>
        <v>11.25401853</v>
      </c>
      <c r="U318" s="53">
        <f>IFERROR((VLOOKUP($A318,'Dados StatusInvest'!$A:$AZ,COLUMN(U318)-$A$5,0)-VLOOKUP($A318,'Dados StatusInvest'!$A:$AZ,COLUMN(U318)-$A$5-1,0)+T318),0)</f>
        <v>-0.8859814659</v>
      </c>
      <c r="V318" s="56">
        <f>IFERROR((VLOOKUP($A318,'Dados StatusInvest'!$A:$AZ,COLUMN(V318)-$A$5,0)),0)</f>
        <v>1.27</v>
      </c>
      <c r="W318" s="56">
        <f>IFERROR((VLOOKUP($A318,'Dados StatusInvest'!$A:$AZ,COLUMN(W318)-$A$5,0)),0)</f>
        <v>6.72</v>
      </c>
      <c r="X318" s="53">
        <f>IFERROR((VLOOKUP($A318,'Dados StatusInvest'!$A:$AZ,COLUMN(X318)-$A$5,0)/VLOOKUP($A318,'Dados StatusInvest'!$A:$AZ,2,0)*$F318),0)</f>
        <v>3.255130581</v>
      </c>
      <c r="Y318" s="54">
        <f>IFERROR((VLOOKUP($A318,'Dados StatusInvest'!$A:$AZ,COLUMN(Y318)-$A$5,0)/VLOOKUP($A318,'Dados StatusInvest'!$A:$AZ,2,0)*$F318),0)</f>
        <v>1.210749789</v>
      </c>
      <c r="Z318" s="56">
        <f>IFERROR((VLOOKUP($A318,'Dados StatusInvest'!$A:$AZ,COLUMN(Z318)-$A$5,0)),0)</f>
        <v>0.49</v>
      </c>
      <c r="AA318" s="57">
        <f>IFERROR((VLOOKUP($A318,'Dados StatusInvest'!$A:$AZ,COLUMN(AA318)-$A$5,0)),0)</f>
        <v>0.51</v>
      </c>
      <c r="AB318" s="57">
        <f>IFERROR((VLOOKUP($A318,'Dados StatusInvest'!$A:$AZ,COLUMN(AB318)-$A$5,0)),0)</f>
        <v>0.28</v>
      </c>
      <c r="AC318" s="58">
        <f>IFERROR((VLOOKUP($A318,'Dados StatusInvest'!$A:$AZ,COLUMN(AC318)-$A$5,0)),0)</f>
        <v>17.7</v>
      </c>
      <c r="AD318" s="57">
        <f>IFERROR((VLOOKUP($A318,'Dados StatusInvest'!$A:$AZ,COLUMN(AD318)-$A$5,0)),0)</f>
        <v>-6.68</v>
      </c>
      <c r="AE318" s="56">
        <f>IFERROR((VLOOKUP($A318,'Dados StatusInvest'!$A:$AZ,COLUMN(AE318)-$A$5,0)),0)</f>
        <v>69618341</v>
      </c>
      <c r="AF318" s="56">
        <f>IFERROR((VLOOKUP($A318,'Dados StatusInvest'!$A:$AZ,COLUMN(AF318)-$A$5,0)),0)</f>
        <v>19.35</v>
      </c>
      <c r="AG318" s="56">
        <f>IFERROR((VLOOKUP($A318,'Dados StatusInvest'!$A:$AZ,COLUMN(AG318)-$A$5,0)),0)</f>
        <v>1.3</v>
      </c>
      <c r="AH318" s="56">
        <f>IFERROR((VLOOKUP($A318,'Dados StatusInvest'!$A:$AZ,COLUMN(AH318)-$A$5,0)),0)</f>
        <v>-0.38</v>
      </c>
      <c r="AI318" s="57">
        <f>IFERROR((VLOOKUP($A318,'Dados StatusInvest'!$A:$AZ,COLUMN(AI318)-$A$5,0)),0)</f>
        <v>15037410338</v>
      </c>
      <c r="AJ318" s="59" t="str">
        <f>IFERROR((VLOOKUP($A318,'Dados StatusInvest'!$A:$AZ,COLUMN(AJ318)-$A$5,0)),0)</f>
        <v/>
      </c>
      <c r="AK318" s="60">
        <f>IFERROR(__xludf.DUMMYFUNCTION("IFERROR(GOOGLEFINANCE($A318,""high""),"""")"),23.53)</f>
        <v>23.53</v>
      </c>
      <c r="AL318" s="60">
        <f>IFERROR(__xludf.DUMMYFUNCTION("IFERROR(GOOGLEFINANCE($A318,""low""),"""")"),23.3)</f>
        <v>23.3</v>
      </c>
      <c r="AM318" s="61">
        <f t="shared" si="2"/>
        <v>0.009871244635</v>
      </c>
      <c r="AN318" s="62">
        <f>IFERROR(__xludf.DUMMYFUNCTION("IFERROR((GOOGLEFINANCE($A318,""volume"")),0)"),37300.0)</f>
        <v>37300</v>
      </c>
      <c r="AO318" s="60">
        <f>IFERROR(__xludf.DUMMYFUNCTION("IFERROR((GOOGLEFINANCE($A318,""closeyest"")),"""")"),23.74)</f>
        <v>23.74</v>
      </c>
      <c r="AP318" s="60">
        <f>IFERROR(__xludf.DUMMYFUNCTION("IFERROR((GOOGLEFINANCE($A318,""shares"")),"""")"),6.33420823E8)</f>
        <v>633420823</v>
      </c>
      <c r="AQ318" s="18"/>
    </row>
    <row r="319">
      <c r="A319" s="45" t="str">
        <f>'Dados StatusInvest'!A314:A933</f>
        <v>IDVL3</v>
      </c>
      <c r="B319" s="46" t="str">
        <f>IFERROR(__xludf.DUMMYFUNCTION("IFERROR((GOOGLEFINANCE(A319,""name"")),"""")"),"")</f>
        <v/>
      </c>
      <c r="C319" s="46" t="str">
        <f>IFERROR((VLOOKUP(LEFT($A319,4),Setor!$A:$E,3,0)),"")</f>
        <v>Financeiro</v>
      </c>
      <c r="D319" s="46" t="str">
        <f>IFERROR((VLOOKUP(LEFT($A319,4),Setor!$A:$E,4,0)),"")</f>
        <v>Intermediários Financeiros</v>
      </c>
      <c r="E319" s="46" t="str">
        <f>IFERROR((VLOOKUP(LEFT($A319,4),Setor!$A:$E,5,0)),"")</f>
        <v>Bancos</v>
      </c>
      <c r="F319" s="47" t="str">
        <f>IFERROR(__xludf.DUMMYFUNCTION("IFERROR((GOOGLEFINANCE(A319)),"""")"),"")</f>
        <v/>
      </c>
      <c r="G319" s="48" t="str">
        <f>IFERROR(__xludf.DUMMYFUNCTION("IFERROR((sparkline(GOOGLEFINANCE($A319,""price"",TODAY()-30,TODAY(),""DAILY""),{""charttype"",""line"";""linewidth"",1;""color"",""#5f88cc""})),"""")"),"")</f>
        <v/>
      </c>
      <c r="H319" s="49" t="str">
        <f>IFERROR(__xludf.DUMMYFUNCTION("IFERROR((((GOOGLEFINANCE(A319))-(INDEX(GoogleFinance(A319,""PRICE"",$AQ$1),2,2)))/(INDEX(GoogleFinance(A319,""PRICE"",$AQ$1),2,2))),"""")"),"")</f>
        <v/>
      </c>
      <c r="I319" s="47" t="str">
        <f>IFERROR(__xludf.DUMMYFUNCTION("IFERROR((GOOGLEFINANCE($A319,""high52"")),"""")"),"")</f>
        <v/>
      </c>
      <c r="J319" s="48" t="str">
        <f>IFERROR(__xludf.DUMMYFUNCTION("IFERROR((sparkline(GOOGLEFINANCE($A319,""price"",TODAY()-365,TODAY(),""DAILY""),{""charttype"",""line"";""linewidth"",1;""color"",""#5f88cc""})),"""")"),"")</f>
        <v/>
      </c>
      <c r="K319" s="50" t="str">
        <f>IFERROR(__xludf.DUMMYFUNCTION("IFERROR((((GOOGLEFINANCE(A319))-(INDEX(GoogleFinance(A319,""PRICE"",$AP$1),2,2)))/(INDEX(GoogleFinance(A319,""PRICE"",$AP$1),2,2))),"""")"),"")</f>
        <v/>
      </c>
      <c r="L319" s="51">
        <f t="shared" si="1"/>
        <v>0</v>
      </c>
      <c r="M319" s="52">
        <f>IFERROR((VLOOKUP($A319,'Dados StatusInvest'!$A:$AZ,COLUMN(M319)-$A$5,0)*VLOOKUP($A319,'Dados StatusInvest'!$A:$AZ,2,0)/$F319/100),0)</f>
        <v>0</v>
      </c>
      <c r="N319" s="53">
        <f>IFERROR((VLOOKUP($A319,'Dados StatusInvest'!$A:$AZ,COLUMN(N319)-$A$5,0)/VLOOKUP($A319,'Dados StatusInvest'!$A:$AZ,2,0)*$F319),"")</f>
        <v>0</v>
      </c>
      <c r="O319" s="53">
        <f>IFERROR((VLOOKUP($A319,'Dados StatusInvest'!$A:$AZ,COLUMN(O319)-$A$5,0)/VLOOKUP($A319,'Dados StatusInvest'!$A:$AZ,2,0)*$F319),0)</f>
        <v>0</v>
      </c>
      <c r="P319" s="54">
        <f>IFERROR((VLOOKUP($A319,'Dados StatusInvest'!$A:$AZ,COLUMN(P319)-$A$5,0)/VLOOKUP($A319,'Dados StatusInvest'!$A:$AZ,2,0)*$F319),0)</f>
        <v>0</v>
      </c>
      <c r="Q319" s="55">
        <f>IFERROR((VLOOKUP($A319,'Dados StatusInvest'!$A:$AZ,COLUMN(Q319)-$A$5,0)/100),0)</f>
        <v>0</v>
      </c>
      <c r="R319" s="56">
        <f>VLOOKUP($A319,'Dados StatusInvest'!$A:$AZ,COLUMN(R319)-$A$5,0)</f>
        <v>0</v>
      </c>
      <c r="S319" s="56">
        <f>IFERROR((VLOOKUP($A319,'Dados StatusInvest'!$A:$AZ,COLUMN(S319)-$A$5,0)),0)</f>
        <v>1.53</v>
      </c>
      <c r="T319" s="53">
        <f>IFERROR((VLOOKUP($A319,'Dados StatusInvest'!$A:$AZ,COLUMN(T319)-$A$5,0)/VLOOKUP($A319,'Dados StatusInvest'!$A:$AZ,2,0)*$F319),0)</f>
        <v>0</v>
      </c>
      <c r="U319" s="53">
        <f>IFERROR((VLOOKUP($A319,'Dados StatusInvest'!$A:$AZ,COLUMN(U319)-$A$5,0)-VLOOKUP($A319,'Dados StatusInvest'!$A:$AZ,COLUMN(U319)-$A$5-1,0)+T319),0)</f>
        <v>-0.61</v>
      </c>
      <c r="V319" s="56">
        <f>IFERROR((VLOOKUP($A319,'Dados StatusInvest'!$A:$AZ,COLUMN(V319)-$A$5,0)),0)</f>
        <v>1.26</v>
      </c>
      <c r="W319" s="56">
        <f>IFERROR((VLOOKUP($A319,'Dados StatusInvest'!$A:$AZ,COLUMN(W319)-$A$5,0)),0)</f>
        <v>-94.38</v>
      </c>
      <c r="X319" s="53">
        <f>IFERROR((VLOOKUP($A319,'Dados StatusInvest'!$A:$AZ,COLUMN(X319)-$A$5,0)/VLOOKUP($A319,'Dados StatusInvest'!$A:$AZ,2,0)*$F319),0)</f>
        <v>0</v>
      </c>
      <c r="Y319" s="54">
        <f>IFERROR((VLOOKUP($A319,'Dados StatusInvest'!$A:$AZ,COLUMN(Y319)-$A$5,0)/VLOOKUP($A319,'Dados StatusInvest'!$A:$AZ,2,0)*$F319),0)</f>
        <v>0</v>
      </c>
      <c r="Z319" s="56">
        <f>IFERROR((VLOOKUP($A319,'Dados StatusInvest'!$A:$AZ,COLUMN(Z319)-$A$5,0)),0)</f>
        <v>0.06</v>
      </c>
      <c r="AA319" s="57">
        <f>IFERROR((VLOOKUP($A319,'Dados StatusInvest'!$A:$AZ,COLUMN(AA319)-$A$5,0)),0)</f>
        <v>0.94</v>
      </c>
      <c r="AB319" s="57">
        <f>IFERROR((VLOOKUP($A319,'Dados StatusInvest'!$A:$AZ,COLUMN(AB319)-$A$5,0)),0)</f>
        <v>0.04</v>
      </c>
      <c r="AC319" s="58">
        <f>IFERROR((VLOOKUP($A319,'Dados StatusInvest'!$A:$AZ,COLUMN(AC319)-$A$5,0)),0)</f>
        <v>-32.17</v>
      </c>
      <c r="AD319" s="57">
        <f>IFERROR((VLOOKUP($A319,'Dados StatusInvest'!$A:$AZ,COLUMN(AD319)-$A$5,0)),0)</f>
        <v>0</v>
      </c>
      <c r="AE319" s="56">
        <f>IFERROR((VLOOKUP($A319,'Dados StatusInvest'!$A:$AZ,COLUMN(AE319)-$A$5,0)),0)</f>
        <v>0</v>
      </c>
      <c r="AF319" s="56">
        <f>IFERROR((VLOOKUP($A319,'Dados StatusInvest'!$A:$AZ,COLUMN(AF319)-$A$5,0)),0)</f>
        <v>2.31</v>
      </c>
      <c r="AG319" s="56">
        <f>IFERROR((VLOOKUP($A319,'Dados StatusInvest'!$A:$AZ,COLUMN(AG319)-$A$5,0)),0)</f>
        <v>-2.18</v>
      </c>
      <c r="AH319" s="56">
        <f>IFERROR((VLOOKUP($A319,'Dados StatusInvest'!$A:$AZ,COLUMN(AH319)-$A$5,0)),0)</f>
        <v>0</v>
      </c>
      <c r="AI319" s="57">
        <f>IFERROR((VLOOKUP($A319,'Dados StatusInvest'!$A:$AZ,COLUMN(AI319)-$A$5,0)),0)</f>
        <v>224007574.4</v>
      </c>
      <c r="AJ319" s="59" t="str">
        <f>IFERROR((VLOOKUP($A319,'Dados StatusInvest'!$A:$AZ,COLUMN(AJ319)-$A$5,0)),0)</f>
        <v/>
      </c>
      <c r="AK319" s="60" t="str">
        <f>IFERROR(__xludf.DUMMYFUNCTION("IFERROR(GOOGLEFINANCE($A319,""high""),"""")"),"")</f>
        <v/>
      </c>
      <c r="AL319" s="60" t="str">
        <f>IFERROR(__xludf.DUMMYFUNCTION("IFERROR(GOOGLEFINANCE($A319,""low""),"""")"),"")</f>
        <v/>
      </c>
      <c r="AM319" s="61">
        <f t="shared" si="2"/>
        <v>0</v>
      </c>
      <c r="AN319" s="62">
        <f>IFERROR(__xludf.DUMMYFUNCTION("IFERROR((GOOGLEFINANCE($A319,""volume"")),0)"),0.0)</f>
        <v>0</v>
      </c>
      <c r="AO319" s="60" t="str">
        <f>IFERROR(__xludf.DUMMYFUNCTION("IFERROR((GOOGLEFINANCE($A319,""closeyest"")),"""")"),"")</f>
        <v/>
      </c>
      <c r="AP319" s="60" t="str">
        <f>IFERROR(__xludf.DUMMYFUNCTION("IFERROR((GOOGLEFINANCE($A319,""shares"")),"""")"),"")</f>
        <v/>
      </c>
      <c r="AQ319" s="18"/>
    </row>
    <row r="320">
      <c r="A320" s="45" t="str">
        <f>'Dados StatusInvest'!A315:A934</f>
        <v>IDVL4</v>
      </c>
      <c r="B320" s="46" t="str">
        <f>IFERROR(__xludf.DUMMYFUNCTION("IFERROR((GOOGLEFINANCE(A320,""name"")),"""")"),"")</f>
        <v/>
      </c>
      <c r="C320" s="46" t="str">
        <f>IFERROR((VLOOKUP(LEFT($A320,4),Setor!$A:$E,3,0)),"")</f>
        <v>Financeiro</v>
      </c>
      <c r="D320" s="46" t="str">
        <f>IFERROR((VLOOKUP(LEFT($A320,4),Setor!$A:$E,4,0)),"")</f>
        <v>Intermediários Financeiros</v>
      </c>
      <c r="E320" s="46" t="str">
        <f>IFERROR((VLOOKUP(LEFT($A320,4),Setor!$A:$E,5,0)),"")</f>
        <v>Bancos</v>
      </c>
      <c r="F320" s="47" t="str">
        <f>IFERROR(__xludf.DUMMYFUNCTION("IFERROR((GOOGLEFINANCE(A320)),"""")"),"")</f>
        <v/>
      </c>
      <c r="G320" s="48" t="str">
        <f>IFERROR(__xludf.DUMMYFUNCTION("IFERROR((sparkline(GOOGLEFINANCE($A320,""price"",TODAY()-30,TODAY(),""DAILY""),{""charttype"",""line"";""linewidth"",1;""color"",""#5f88cc""})),"""")"),"")</f>
        <v/>
      </c>
      <c r="H320" s="49" t="str">
        <f>IFERROR(__xludf.DUMMYFUNCTION("IFERROR((((GOOGLEFINANCE(A320))-(INDEX(GoogleFinance(A320,""PRICE"",$AQ$1),2,2)))/(INDEX(GoogleFinance(A320,""PRICE"",$AQ$1),2,2))),"""")"),"")</f>
        <v/>
      </c>
      <c r="I320" s="47" t="str">
        <f>IFERROR(__xludf.DUMMYFUNCTION("IFERROR((GOOGLEFINANCE($A320,""high52"")),"""")"),"")</f>
        <v/>
      </c>
      <c r="J320" s="48" t="str">
        <f>IFERROR(__xludf.DUMMYFUNCTION("IFERROR((sparkline(GOOGLEFINANCE($A320,""price"",TODAY()-365,TODAY(),""DAILY""),{""charttype"",""line"";""linewidth"",1;""color"",""#5f88cc""})),"""")"),"")</f>
        <v/>
      </c>
      <c r="K320" s="50" t="str">
        <f>IFERROR(__xludf.DUMMYFUNCTION("IFERROR((((GOOGLEFINANCE(A320))-(INDEX(GoogleFinance(A320,""PRICE"",$AP$1),2,2)))/(INDEX(GoogleFinance(A320,""PRICE"",$AP$1),2,2))),"""")"),"")</f>
        <v/>
      </c>
      <c r="L320" s="51">
        <f t="shared" si="1"/>
        <v>0</v>
      </c>
      <c r="M320" s="52">
        <f>IFERROR((VLOOKUP($A320,'Dados StatusInvest'!$A:$AZ,COLUMN(M320)-$A$5,0)*VLOOKUP($A320,'Dados StatusInvest'!$A:$AZ,2,0)/$F320/100),0)</f>
        <v>0</v>
      </c>
      <c r="N320" s="53">
        <f>IFERROR((VLOOKUP($A320,'Dados StatusInvest'!$A:$AZ,COLUMN(N320)-$A$5,0)/VLOOKUP($A320,'Dados StatusInvest'!$A:$AZ,2,0)*$F320),"")</f>
        <v>0</v>
      </c>
      <c r="O320" s="53">
        <f>IFERROR((VLOOKUP($A320,'Dados StatusInvest'!$A:$AZ,COLUMN(O320)-$A$5,0)/VLOOKUP($A320,'Dados StatusInvest'!$A:$AZ,2,0)*$F320),0)</f>
        <v>0</v>
      </c>
      <c r="P320" s="54">
        <f>IFERROR((VLOOKUP($A320,'Dados StatusInvest'!$A:$AZ,COLUMN(P320)-$A$5,0)/VLOOKUP($A320,'Dados StatusInvest'!$A:$AZ,2,0)*$F320),0)</f>
        <v>0</v>
      </c>
      <c r="Q320" s="55">
        <f>IFERROR((VLOOKUP($A320,'Dados StatusInvest'!$A:$AZ,COLUMN(Q320)-$A$5,0)/100),0)</f>
        <v>0</v>
      </c>
      <c r="R320" s="56">
        <f>VLOOKUP($A320,'Dados StatusInvest'!$A:$AZ,COLUMN(R320)-$A$5,0)</f>
        <v>0</v>
      </c>
      <c r="S320" s="56">
        <f>IFERROR((VLOOKUP($A320,'Dados StatusInvest'!$A:$AZ,COLUMN(S320)-$A$5,0)),0)</f>
        <v>1.89</v>
      </c>
      <c r="T320" s="53">
        <f>IFERROR((VLOOKUP($A320,'Dados StatusInvest'!$A:$AZ,COLUMN(T320)-$A$5,0)/VLOOKUP($A320,'Dados StatusInvest'!$A:$AZ,2,0)*$F320),0)</f>
        <v>0</v>
      </c>
      <c r="U320" s="53">
        <f>IFERROR((VLOOKUP($A320,'Dados StatusInvest'!$A:$AZ,COLUMN(U320)-$A$5,0)-VLOOKUP($A320,'Dados StatusInvest'!$A:$AZ,COLUMN(U320)-$A$5-1,0)+T320),0)</f>
        <v>-0.75</v>
      </c>
      <c r="V320" s="56">
        <f>IFERROR((VLOOKUP($A320,'Dados StatusInvest'!$A:$AZ,COLUMN(V320)-$A$5,0)),0)</f>
        <v>1.26</v>
      </c>
      <c r="W320" s="56">
        <f>IFERROR((VLOOKUP($A320,'Dados StatusInvest'!$A:$AZ,COLUMN(W320)-$A$5,0)),0)</f>
        <v>-94.38</v>
      </c>
      <c r="X320" s="53">
        <f>IFERROR((VLOOKUP($A320,'Dados StatusInvest'!$A:$AZ,COLUMN(X320)-$A$5,0)/VLOOKUP($A320,'Dados StatusInvest'!$A:$AZ,2,0)*$F320),0)</f>
        <v>0</v>
      </c>
      <c r="Y320" s="54">
        <f>IFERROR((VLOOKUP($A320,'Dados StatusInvest'!$A:$AZ,COLUMN(Y320)-$A$5,0)/VLOOKUP($A320,'Dados StatusInvest'!$A:$AZ,2,0)*$F320),0)</f>
        <v>0</v>
      </c>
      <c r="Z320" s="56">
        <f>IFERROR((VLOOKUP($A320,'Dados StatusInvest'!$A:$AZ,COLUMN(Z320)-$A$5,0)),0)</f>
        <v>0.06</v>
      </c>
      <c r="AA320" s="57">
        <f>IFERROR((VLOOKUP($A320,'Dados StatusInvest'!$A:$AZ,COLUMN(AA320)-$A$5,0)),0)</f>
        <v>0.94</v>
      </c>
      <c r="AB320" s="57">
        <f>IFERROR((VLOOKUP($A320,'Dados StatusInvest'!$A:$AZ,COLUMN(AB320)-$A$5,0)),0)</f>
        <v>0.04</v>
      </c>
      <c r="AC320" s="58">
        <f>IFERROR((VLOOKUP($A320,'Dados StatusInvest'!$A:$AZ,COLUMN(AC320)-$A$5,0)),0)</f>
        <v>-32.17</v>
      </c>
      <c r="AD320" s="57">
        <f>IFERROR((VLOOKUP($A320,'Dados StatusInvest'!$A:$AZ,COLUMN(AD320)-$A$5,0)),0)</f>
        <v>0</v>
      </c>
      <c r="AE320" s="56">
        <f>IFERROR((VLOOKUP($A320,'Dados StatusInvest'!$A:$AZ,COLUMN(AE320)-$A$5,0)),0)</f>
        <v>0</v>
      </c>
      <c r="AF320" s="56">
        <f>IFERROR((VLOOKUP($A320,'Dados StatusInvest'!$A:$AZ,COLUMN(AF320)-$A$5,0)),0)</f>
        <v>2.31</v>
      </c>
      <c r="AG320" s="56">
        <f>IFERROR((VLOOKUP($A320,'Dados StatusInvest'!$A:$AZ,COLUMN(AG320)-$A$5,0)),0)</f>
        <v>-2.18</v>
      </c>
      <c r="AH320" s="56">
        <f>IFERROR((VLOOKUP($A320,'Dados StatusInvest'!$A:$AZ,COLUMN(AH320)-$A$5,0)),0)</f>
        <v>0</v>
      </c>
      <c r="AI320" s="57">
        <f>IFERROR((VLOOKUP($A320,'Dados StatusInvest'!$A:$AZ,COLUMN(AI320)-$A$5,0)),0)</f>
        <v>224007574.4</v>
      </c>
      <c r="AJ320" s="59" t="str">
        <f>IFERROR((VLOOKUP($A320,'Dados StatusInvest'!$A:$AZ,COLUMN(AJ320)-$A$5,0)),0)</f>
        <v/>
      </c>
      <c r="AK320" s="60" t="str">
        <f>IFERROR(__xludf.DUMMYFUNCTION("IFERROR(GOOGLEFINANCE($A320,""high""),"""")"),"")</f>
        <v/>
      </c>
      <c r="AL320" s="60" t="str">
        <f>IFERROR(__xludf.DUMMYFUNCTION("IFERROR(GOOGLEFINANCE($A320,""low""),"""")"),"")</f>
        <v/>
      </c>
      <c r="AM320" s="61">
        <f t="shared" si="2"/>
        <v>0</v>
      </c>
      <c r="AN320" s="62">
        <f>IFERROR(__xludf.DUMMYFUNCTION("IFERROR((GOOGLEFINANCE($A320,""volume"")),0)"),0.0)</f>
        <v>0</v>
      </c>
      <c r="AO320" s="60" t="str">
        <f>IFERROR(__xludf.DUMMYFUNCTION("IFERROR((GOOGLEFINANCE($A320,""closeyest"")),"""")"),"")</f>
        <v/>
      </c>
      <c r="AP320" s="60" t="str">
        <f>IFERROR(__xludf.DUMMYFUNCTION("IFERROR((GOOGLEFINANCE($A320,""shares"")),"""")"),"")</f>
        <v/>
      </c>
      <c r="AQ320" s="18"/>
    </row>
    <row r="321">
      <c r="A321" s="45" t="str">
        <f>'Dados StatusInvest'!A316:A935</f>
        <v>IFCM3</v>
      </c>
      <c r="B321" s="46" t="str">
        <f>IFERROR(__xludf.DUMMYFUNCTION("IFERROR((GOOGLEFINANCE(A321,""name"")),"""")"),"Infracommerce CXaaS SA")</f>
        <v>Infracommerce CXaaS SA</v>
      </c>
      <c r="C321" s="46" t="str">
        <f>IFERROR((VLOOKUP(LEFT($A321,4),Setor!$A:$E,3,0)),"")</f>
        <v/>
      </c>
      <c r="D321" s="46" t="str">
        <f>IFERROR((VLOOKUP(LEFT($A321,4),Setor!$A:$E,4,0)),"")</f>
        <v/>
      </c>
      <c r="E321" s="46" t="str">
        <f>IFERROR((VLOOKUP(LEFT($A321,4),Setor!$A:$E,5,0)),"")</f>
        <v/>
      </c>
      <c r="F321" s="47">
        <f>IFERROR(__xludf.DUMMYFUNCTION("IFERROR((GOOGLEFINANCE(A321)),"""")"),0.57)</f>
        <v>0.57</v>
      </c>
      <c r="G321" s="48" t="str">
        <f>IFERROR(__xludf.DUMMYFUNCTION("IFERROR((sparkline(GOOGLEFINANCE($A321,""price"",TODAY()-30,TODAY(),""DAILY""),{""charttype"",""line"";""linewidth"",1;""color"",""#5f88cc""})),"""")"),"")</f>
        <v/>
      </c>
      <c r="H321" s="49">
        <f>IFERROR(__xludf.DUMMYFUNCTION("IFERROR((((GOOGLEFINANCE(A321))-(INDEX(GoogleFinance(A321,""PRICE"",$AQ$1),2,2)))/(INDEX(GoogleFinance(A321,""PRICE"",$AQ$1),2,2))),"""")"),-0.32142857142857145)</f>
        <v>-0.3214285714</v>
      </c>
      <c r="I321" s="47">
        <f>IFERROR(__xludf.DUMMYFUNCTION("IFERROR((GOOGLEFINANCE($A321,""high52"")),"""")"),68.0)</f>
        <v>68</v>
      </c>
      <c r="J321" s="48" t="str">
        <f>IFERROR(__xludf.DUMMYFUNCTION("IFERROR((sparkline(GOOGLEFINANCE($A321,""price"",TODAY()-365,TODAY(),""DAILY""),{""charttype"",""line"";""linewidth"",1;""color"",""#5f88cc""})),"""")"),"")</f>
        <v/>
      </c>
      <c r="K321" s="50">
        <f>IFERROR(__xludf.DUMMYFUNCTION("IFERROR((((GOOGLEFINANCE(A321))-(INDEX(GoogleFinance(A321,""PRICE"",$AP$1),2,2)))/(INDEX(GoogleFinance(A321,""PRICE"",$AP$1),2,2))),"""")"),-0.9956627606148227)</f>
        <v>-0.9956627606</v>
      </c>
      <c r="L321" s="51">
        <f t="shared" si="1"/>
        <v>-0.9916176471</v>
      </c>
      <c r="M321" s="52">
        <f>IFERROR((VLOOKUP($A321,'Dados StatusInvest'!$A:$AZ,COLUMN(M321)-$A$5,0)*VLOOKUP($A321,'Dados StatusInvest'!$A:$AZ,2,0)/$F321/100),0)</f>
        <v>-0.02535964912</v>
      </c>
      <c r="N321" s="53">
        <f>IFERROR((VLOOKUP($A321,'Dados StatusInvest'!$A:$AZ,COLUMN(N321)-$A$5,0)/VLOOKUP($A321,'Dados StatusInvest'!$A:$AZ,2,0)*$F321),"")</f>
        <v>-25.41813559</v>
      </c>
      <c r="O321" s="53">
        <f>IFERROR((VLOOKUP($A321,'Dados StatusInvest'!$A:$AZ,COLUMN(O321)-$A$5,0)/VLOOKUP($A321,'Dados StatusInvest'!$A:$AZ,2,0)*$F321),0)</f>
        <v>-3.333050847</v>
      </c>
      <c r="P321" s="54">
        <f>IFERROR((VLOOKUP($A321,'Dados StatusInvest'!$A:$AZ,COLUMN(P321)-$A$5,0)/VLOOKUP($A321,'Dados StatusInvest'!$A:$AZ,2,0)*$F321),0)</f>
        <v>-19.19644068</v>
      </c>
      <c r="Q321" s="55">
        <f>IFERROR((VLOOKUP($A321,'Dados StatusInvest'!$A:$AZ,COLUMN(Q321)-$A$5,0)/100),0)</f>
        <v>-0.1642</v>
      </c>
      <c r="R321" s="56">
        <f>VLOOKUP($A321,'Dados StatusInvest'!$A:$AZ,COLUMN(R321)-$A$5,0)</f>
        <v>1.01</v>
      </c>
      <c r="S321" s="56">
        <f>IFERROR((VLOOKUP($A321,'Dados StatusInvest'!$A:$AZ,COLUMN(S321)-$A$5,0)),0)</f>
        <v>0.08</v>
      </c>
      <c r="T321" s="53">
        <f>IFERROR((VLOOKUP($A321,'Dados StatusInvest'!$A:$AZ,COLUMN(T321)-$A$5,0)/VLOOKUP($A321,'Dados StatusInvest'!$A:$AZ,2,0)*$F321),0)</f>
        <v>0.2318644068</v>
      </c>
      <c r="U321" s="53">
        <f>IFERROR((VLOOKUP($A321,'Dados StatusInvest'!$A:$AZ,COLUMN(U321)-$A$5,0)-VLOOKUP($A321,'Dados StatusInvest'!$A:$AZ,COLUMN(U321)-$A$5-1,0)+T321),0)</f>
        <v>-0.1081355932</v>
      </c>
      <c r="V321" s="56">
        <f>IFERROR((VLOOKUP($A321,'Dados StatusInvest'!$A:$AZ,COLUMN(V321)-$A$5,0)),0)</f>
        <v>1.91</v>
      </c>
      <c r="W321" s="56">
        <f>IFERROR((VLOOKUP($A321,'Dados StatusInvest'!$A:$AZ,COLUMN(W321)-$A$5,0)),0)</f>
        <v>-65.71</v>
      </c>
      <c r="X321" s="53">
        <f>IFERROR((VLOOKUP($A321,'Dados StatusInvest'!$A:$AZ,COLUMN(X321)-$A$5,0)/VLOOKUP($A321,'Dados StatusInvest'!$A:$AZ,2,0)*$F321),0)</f>
        <v>-16.06627119</v>
      </c>
      <c r="Y321" s="54">
        <f>IFERROR((VLOOKUP($A321,'Dados StatusInvest'!$A:$AZ,COLUMN(Y321)-$A$5,0)/VLOOKUP($A321,'Dados StatusInvest'!$A:$AZ,2,0)*$F321),0)</f>
        <v>-4.791864407</v>
      </c>
      <c r="Z321" s="56">
        <f>IFERROR((VLOOKUP($A321,'Dados StatusInvest'!$A:$AZ,COLUMN(Z321)-$A$5,0)),0)</f>
        <v>0.25</v>
      </c>
      <c r="AA321" s="57">
        <f>IFERROR((VLOOKUP($A321,'Dados StatusInvest'!$A:$AZ,COLUMN(AA321)-$A$5,0)),0)</f>
        <v>0.75</v>
      </c>
      <c r="AB321" s="57">
        <f>IFERROR((VLOOKUP($A321,'Dados StatusInvest'!$A:$AZ,COLUMN(AB321)-$A$5,0)),0)</f>
        <v>0.63</v>
      </c>
      <c r="AC321" s="58">
        <f>IFERROR((VLOOKUP($A321,'Dados StatusInvest'!$A:$AZ,COLUMN(AC321)-$A$5,0)),0)</f>
        <v>50.42</v>
      </c>
      <c r="AD321" s="57">
        <f>IFERROR((VLOOKUP($A321,'Dados StatusInvest'!$A:$AZ,COLUMN(AD321)-$A$5,0)),0)</f>
        <v>0</v>
      </c>
      <c r="AE321" s="56">
        <f>IFERROR((VLOOKUP($A321,'Dados StatusInvest'!$A:$AZ,COLUMN(AE321)-$A$5,0)),0)</f>
        <v>634200.1</v>
      </c>
      <c r="AF321" s="56">
        <f>IFERROR((VLOOKUP($A321,'Dados StatusInvest'!$A:$AZ,COLUMN(AF321)-$A$5,0)),0)</f>
        <v>2.79</v>
      </c>
      <c r="AG321" s="56">
        <f>IFERROR((VLOOKUP($A321,'Dados StatusInvest'!$A:$AZ,COLUMN(AG321)-$A$5,0)),0)</f>
        <v>-1.83</v>
      </c>
      <c r="AH321" s="56">
        <f>IFERROR((VLOOKUP($A321,'Dados StatusInvest'!$A:$AZ,COLUMN(AH321)-$A$5,0)),0)</f>
        <v>0</v>
      </c>
      <c r="AI321" s="57">
        <f>IFERROR((VLOOKUP($A321,'Dados StatusInvest'!$A:$AZ,COLUMN(AI321)-$A$5,0)),0)</f>
        <v>71542789.35</v>
      </c>
      <c r="AJ321" s="59" t="str">
        <f>IFERROR((VLOOKUP($A321,'Dados StatusInvest'!$A:$AZ,COLUMN(AJ321)-$A$5,0)),0)</f>
        <v/>
      </c>
      <c r="AK321" s="60">
        <f>IFERROR(__xludf.DUMMYFUNCTION("IFERROR(GOOGLEFINANCE($A321,""high""),"""")"),0.62)</f>
        <v>0.62</v>
      </c>
      <c r="AL321" s="60">
        <f>IFERROR(__xludf.DUMMYFUNCTION("IFERROR(GOOGLEFINANCE($A321,""low""),"""")"),0.55)</f>
        <v>0.55</v>
      </c>
      <c r="AM321" s="61">
        <f t="shared" si="2"/>
        <v>0.1272727273</v>
      </c>
      <c r="AN321" s="62">
        <f>IFERROR(__xludf.DUMMYFUNCTION("IFERROR((GOOGLEFINANCE($A321,""volume"")),0)"),152900.0)</f>
        <v>152900</v>
      </c>
      <c r="AO321" s="60">
        <f>IFERROR(__xludf.DUMMYFUNCTION("IFERROR((GOOGLEFINANCE($A321,""closeyest"")),"""")"),0.59)</f>
        <v>0.59</v>
      </c>
      <c r="AP321" s="60">
        <f>IFERROR(__xludf.DUMMYFUNCTION("IFERROR((GOOGLEFINANCE($A321,""shares"")),"""")"),1.21258965E8)</f>
        <v>121258965</v>
      </c>
      <c r="AQ321" s="18"/>
    </row>
    <row r="322">
      <c r="A322" s="45" t="str">
        <f>'Dados StatusInvest'!A317:A936</f>
        <v>IGBR3</v>
      </c>
      <c r="B322" s="46" t="str">
        <f>IFERROR(__xludf.DUMMYFUNCTION("IFERROR((GOOGLEFINANCE(A322,""name"")),"""")"),"")</f>
        <v/>
      </c>
      <c r="C322" s="46" t="str">
        <f>IFERROR((VLOOKUP(LEFT($A322,4),Setor!$A:$E,3,0)),"")</f>
        <v>Financeiro</v>
      </c>
      <c r="D322" s="46" t="str">
        <f>IFERROR((VLOOKUP(LEFT($A322,4),Setor!$A:$E,4,0)),"")</f>
        <v>Exploração de Imóveis</v>
      </c>
      <c r="E322" s="46" t="str">
        <f>IFERROR((VLOOKUP(LEFT($A322,4),Setor!$A:$E,5,0)),"")</f>
        <v>Exploração de Imóveis</v>
      </c>
      <c r="F322" s="47" t="str">
        <f>IFERROR(__xludf.DUMMYFUNCTION("IFERROR((GOOGLEFINANCE(A322)),"""")"),"")</f>
        <v/>
      </c>
      <c r="G322" s="48" t="str">
        <f>IFERROR(__xludf.DUMMYFUNCTION("IFERROR((sparkline(GOOGLEFINANCE($A322,""price"",TODAY()-30,TODAY(),""DAILY""),{""charttype"",""line"";""linewidth"",1;""color"",""#5f88cc""})),"""")"),"")</f>
        <v/>
      </c>
      <c r="H322" s="49" t="str">
        <f>IFERROR(__xludf.DUMMYFUNCTION("IFERROR((((GOOGLEFINANCE(A322))-(INDEX(GoogleFinance(A322,""PRICE"",$AQ$1),2,2)))/(INDEX(GoogleFinance(A322,""PRICE"",$AQ$1),2,2))),"""")"),"")</f>
        <v/>
      </c>
      <c r="I322" s="47" t="str">
        <f>IFERROR(__xludf.DUMMYFUNCTION("IFERROR((GOOGLEFINANCE($A322,""high52"")),"""")"),"")</f>
        <v/>
      </c>
      <c r="J322" s="48" t="str">
        <f>IFERROR(__xludf.DUMMYFUNCTION("IFERROR((sparkline(GOOGLEFINANCE($A322,""price"",TODAY()-365,TODAY(),""DAILY""),{""charttype"",""line"";""linewidth"",1;""color"",""#5f88cc""})),"""")"),"")</f>
        <v/>
      </c>
      <c r="K322" s="50" t="str">
        <f>IFERROR(__xludf.DUMMYFUNCTION("IFERROR((((GOOGLEFINANCE(A322))-(INDEX(GoogleFinance(A322,""PRICE"",$AP$1),2,2)))/(INDEX(GoogleFinance(A322,""PRICE"",$AP$1),2,2))),"""")"),"")</f>
        <v/>
      </c>
      <c r="L322" s="51">
        <f t="shared" si="1"/>
        <v>0</v>
      </c>
      <c r="M322" s="52">
        <f>IFERROR((VLOOKUP($A322,'Dados StatusInvest'!$A:$AZ,COLUMN(M322)-$A$5,0)*VLOOKUP($A322,'Dados StatusInvest'!$A:$AZ,2,0)/$F322/100),0)</f>
        <v>0</v>
      </c>
      <c r="N322" s="53">
        <f>IFERROR((VLOOKUP($A322,'Dados StatusInvest'!$A:$AZ,COLUMN(N322)-$A$5,0)/VLOOKUP($A322,'Dados StatusInvest'!$A:$AZ,2,0)*$F322),"")</f>
        <v>0</v>
      </c>
      <c r="O322" s="53">
        <f>IFERROR((VLOOKUP($A322,'Dados StatusInvest'!$A:$AZ,COLUMN(O322)-$A$5,0)/VLOOKUP($A322,'Dados StatusInvest'!$A:$AZ,2,0)*$F322),0)</f>
        <v>0</v>
      </c>
      <c r="P322" s="54">
        <f>IFERROR((VLOOKUP($A322,'Dados StatusInvest'!$A:$AZ,COLUMN(P322)-$A$5,0)/VLOOKUP($A322,'Dados StatusInvest'!$A:$AZ,2,0)*$F322),0)</f>
        <v>0</v>
      </c>
      <c r="Q322" s="55">
        <f>IFERROR((VLOOKUP($A322,'Dados StatusInvest'!$A:$AZ,COLUMN(Q322)-$A$5,0)/100),0)</f>
        <v>0.0056</v>
      </c>
      <c r="R322" s="56">
        <f>VLOOKUP($A322,'Dados StatusInvest'!$A:$AZ,COLUMN(R322)-$A$5,0)</f>
        <v>0</v>
      </c>
      <c r="S322" s="56">
        <f>IFERROR((VLOOKUP($A322,'Dados StatusInvest'!$A:$AZ,COLUMN(S322)-$A$5,0)),0)</f>
        <v>30.26</v>
      </c>
      <c r="T322" s="53">
        <f>IFERROR((VLOOKUP($A322,'Dados StatusInvest'!$A:$AZ,COLUMN(T322)-$A$5,0)/VLOOKUP($A322,'Dados StatusInvest'!$A:$AZ,2,0)*$F322),0)</f>
        <v>0</v>
      </c>
      <c r="U322" s="53">
        <f>IFERROR((VLOOKUP($A322,'Dados StatusInvest'!$A:$AZ,COLUMN(U322)-$A$5,0)-VLOOKUP($A322,'Dados StatusInvest'!$A:$AZ,COLUMN(U322)-$A$5-1,0)+T322),0)</f>
        <v>-1.16</v>
      </c>
      <c r="V322" s="56">
        <f>IFERROR((VLOOKUP($A322,'Dados StatusInvest'!$A:$AZ,COLUMN(V322)-$A$5,0)),0)</f>
        <v>0.33</v>
      </c>
      <c r="W322" s="56">
        <f>IFERROR((VLOOKUP($A322,'Dados StatusInvest'!$A:$AZ,COLUMN(W322)-$A$5,0)),0)</f>
        <v>-60.1</v>
      </c>
      <c r="X322" s="53">
        <f>IFERROR((VLOOKUP($A322,'Dados StatusInvest'!$A:$AZ,COLUMN(X322)-$A$5,0)/VLOOKUP($A322,'Dados StatusInvest'!$A:$AZ,2,0)*$F322),0)</f>
        <v>0</v>
      </c>
      <c r="Y322" s="54">
        <f>IFERROR((VLOOKUP($A322,'Dados StatusInvest'!$A:$AZ,COLUMN(Y322)-$A$5,0)/VLOOKUP($A322,'Dados StatusInvest'!$A:$AZ,2,0)*$F322),0)</f>
        <v>0</v>
      </c>
      <c r="Z322" s="56">
        <f>IFERROR((VLOOKUP($A322,'Dados StatusInvest'!$A:$AZ,COLUMN(Z322)-$A$5,0)),0)</f>
        <v>-3.06</v>
      </c>
      <c r="AA322" s="57">
        <f>IFERROR((VLOOKUP($A322,'Dados StatusInvest'!$A:$AZ,COLUMN(AA322)-$A$5,0)),0)</f>
        <v>4.06</v>
      </c>
      <c r="AB322" s="57">
        <f>IFERROR((VLOOKUP($A322,'Dados StatusInvest'!$A:$AZ,COLUMN(AB322)-$A$5,0)),0)</f>
        <v>0.03</v>
      </c>
      <c r="AC322" s="58">
        <f>IFERROR((VLOOKUP($A322,'Dados StatusInvest'!$A:$AZ,COLUMN(AC322)-$A$5,0)),0)</f>
        <v>-7.98</v>
      </c>
      <c r="AD322" s="57">
        <f>IFERROR((VLOOKUP($A322,'Dados StatusInvest'!$A:$AZ,COLUMN(AD322)-$A$5,0)),0)</f>
        <v>0</v>
      </c>
      <c r="AE322" s="56">
        <f>IFERROR((VLOOKUP($A322,'Dados StatusInvest'!$A:$AZ,COLUMN(AE322)-$A$5,0)),0)</f>
        <v>0</v>
      </c>
      <c r="AF322" s="56">
        <f>IFERROR((VLOOKUP($A322,'Dados StatusInvest'!$A:$AZ,COLUMN(AF322)-$A$5,0)),0)</f>
        <v>-520.56</v>
      </c>
      <c r="AG322" s="56">
        <f>IFERROR((VLOOKUP($A322,'Dados StatusInvest'!$A:$AZ,COLUMN(AG322)-$A$5,0)),0)</f>
        <v>312.87</v>
      </c>
      <c r="AH322" s="56">
        <f>IFERROR((VLOOKUP($A322,'Dados StatusInvest'!$A:$AZ,COLUMN(AH322)-$A$5,0)),0)</f>
        <v>0</v>
      </c>
      <c r="AI322" s="57">
        <f>IFERROR((VLOOKUP($A322,'Dados StatusInvest'!$A:$AZ,COLUMN(AI322)-$A$5,0)),0)</f>
        <v>220074791</v>
      </c>
      <c r="AJ322" s="59" t="str">
        <f>IFERROR((VLOOKUP($A322,'Dados StatusInvest'!$A:$AZ,COLUMN(AJ322)-$A$5,0)),0)</f>
        <v/>
      </c>
      <c r="AK322" s="60" t="str">
        <f>IFERROR(__xludf.DUMMYFUNCTION("IFERROR(GOOGLEFINANCE($A322,""high""),"""")"),"")</f>
        <v/>
      </c>
      <c r="AL322" s="60" t="str">
        <f>IFERROR(__xludf.DUMMYFUNCTION("IFERROR(GOOGLEFINANCE($A322,""low""),"""")"),"")</f>
        <v/>
      </c>
      <c r="AM322" s="61">
        <f t="shared" si="2"/>
        <v>0</v>
      </c>
      <c r="AN322" s="62">
        <f>IFERROR(__xludf.DUMMYFUNCTION("IFERROR((GOOGLEFINANCE($A322,""volume"")),0)"),0.0)</f>
        <v>0</v>
      </c>
      <c r="AO322" s="60" t="str">
        <f>IFERROR(__xludf.DUMMYFUNCTION("IFERROR((GOOGLEFINANCE($A322,""closeyest"")),"""")"),"")</f>
        <v/>
      </c>
      <c r="AP322" s="60" t="str">
        <f>IFERROR(__xludf.DUMMYFUNCTION("IFERROR((GOOGLEFINANCE($A322,""shares"")),"""")"),"")</f>
        <v/>
      </c>
      <c r="AQ322" s="18"/>
    </row>
    <row r="323">
      <c r="A323" s="45" t="str">
        <f>'Dados StatusInvest'!A318:A937</f>
        <v>IGSN3</v>
      </c>
      <c r="B323" s="46" t="str">
        <f>IFERROR(__xludf.DUMMYFUNCTION("IFERROR((GOOGLEFINANCE(A323,""name"")),"""")"),"Igua Saneamento SA")</f>
        <v>Igua Saneamento SA</v>
      </c>
      <c r="C323" s="46" t="str">
        <f>IFERROR((VLOOKUP(LEFT($A323,4),Setor!$A:$E,3,0)),"")</f>
        <v>Utilidade Pública</v>
      </c>
      <c r="D323" s="46" t="str">
        <f>IFERROR((VLOOKUP(LEFT($A323,4),Setor!$A:$E,4,0)),"")</f>
        <v>Água e Saneamento</v>
      </c>
      <c r="E323" s="46" t="str">
        <f>IFERROR((VLOOKUP(LEFT($A323,4),Setor!$A:$E,5,0)),"")</f>
        <v>Água e Saneamento</v>
      </c>
      <c r="F323" s="47">
        <f>IFERROR(__xludf.DUMMYFUNCTION("IFERROR((GOOGLEFINANCE(A323)),"""")"),0.0)</f>
        <v>0</v>
      </c>
      <c r="G323" s="48" t="str">
        <f>IFERROR(__xludf.DUMMYFUNCTION("IFERROR((sparkline(GOOGLEFINANCE($A323,""price"",TODAY()-30,TODAY(),""DAILY""),{""charttype"",""line"";""linewidth"",1;""color"",""#5f88cc""})),"""")"),"")</f>
        <v/>
      </c>
      <c r="H323" s="49" t="str">
        <f>IFERROR(__xludf.DUMMYFUNCTION("IFERROR((((GOOGLEFINANCE(A323))-(INDEX(GoogleFinance(A323,""PRICE"",$AQ$1),2,2)))/(INDEX(GoogleFinance(A323,""PRICE"",$AQ$1),2,2))),"""")"),"")</f>
        <v/>
      </c>
      <c r="I323" s="47" t="str">
        <f>IFERROR(__xludf.DUMMYFUNCTION("IFERROR((GOOGLEFINANCE($A323,""high52"")),"""")"),"")</f>
        <v/>
      </c>
      <c r="J323" s="48" t="str">
        <f>IFERROR(__xludf.DUMMYFUNCTION("IFERROR((sparkline(GOOGLEFINANCE($A323,""price"",TODAY()-365,TODAY(),""DAILY""),{""charttype"",""line"";""linewidth"",1;""color"",""#5f88cc""})),"""")"),"")</f>
        <v/>
      </c>
      <c r="K323" s="50" t="str">
        <f>IFERROR(__xludf.DUMMYFUNCTION("IFERROR((((GOOGLEFINANCE(A323))-(INDEX(GoogleFinance(A323,""PRICE"",$AP$1),2,2)))/(INDEX(GoogleFinance(A323,""PRICE"",$AP$1),2,2))),"""")"),"")</f>
        <v/>
      </c>
      <c r="L323" s="51">
        <f t="shared" si="1"/>
        <v>0</v>
      </c>
      <c r="M323" s="52">
        <f>IFERROR((VLOOKUP($A323,'Dados StatusInvest'!$A:$AZ,COLUMN(M323)-$A$5,0)*VLOOKUP($A323,'Dados StatusInvest'!$A:$AZ,2,0)/$F323/100),0)</f>
        <v>0</v>
      </c>
      <c r="N323" s="53" t="str">
        <f>IFERROR((VLOOKUP($A323,'Dados StatusInvest'!$A:$AZ,COLUMN(N323)-$A$5,0)/VLOOKUP($A323,'Dados StatusInvest'!$A:$AZ,2,0)*$F323),"")</f>
        <v/>
      </c>
      <c r="O323" s="53">
        <f>IFERROR((VLOOKUP($A323,'Dados StatusInvest'!$A:$AZ,COLUMN(O323)-$A$5,0)/VLOOKUP($A323,'Dados StatusInvest'!$A:$AZ,2,0)*$F323),0)</f>
        <v>0</v>
      </c>
      <c r="P323" s="54">
        <f>IFERROR((VLOOKUP($A323,'Dados StatusInvest'!$A:$AZ,COLUMN(P323)-$A$5,0)/VLOOKUP($A323,'Dados StatusInvest'!$A:$AZ,2,0)*$F323),0)</f>
        <v>0</v>
      </c>
      <c r="Q323" s="55">
        <f>IFERROR((VLOOKUP($A323,'Dados StatusInvest'!$A:$AZ,COLUMN(Q323)-$A$5,0)/100),0)</f>
        <v>0.1608</v>
      </c>
      <c r="R323" s="56">
        <f>VLOOKUP($A323,'Dados StatusInvest'!$A:$AZ,COLUMN(R323)-$A$5,0)</f>
        <v>3.31</v>
      </c>
      <c r="S323" s="56">
        <f>IFERROR((VLOOKUP($A323,'Dados StatusInvest'!$A:$AZ,COLUMN(S323)-$A$5,0)),0)</f>
        <v>0</v>
      </c>
      <c r="T323" s="53">
        <f>IFERROR((VLOOKUP($A323,'Dados StatusInvest'!$A:$AZ,COLUMN(T323)-$A$5,0)/VLOOKUP($A323,'Dados StatusInvest'!$A:$AZ,2,0)*$F323),0)</f>
        <v>0</v>
      </c>
      <c r="U323" s="53">
        <f>IFERROR((VLOOKUP($A323,'Dados StatusInvest'!$A:$AZ,COLUMN(U323)-$A$5,0)-VLOOKUP($A323,'Dados StatusInvest'!$A:$AZ,COLUMN(U323)-$A$5-1,0)+T323),0)</f>
        <v>0</v>
      </c>
      <c r="V323" s="56">
        <f>IFERROR((VLOOKUP($A323,'Dados StatusInvest'!$A:$AZ,COLUMN(V323)-$A$5,0)),0)</f>
        <v>1.13</v>
      </c>
      <c r="W323" s="56">
        <f>IFERROR((VLOOKUP($A323,'Dados StatusInvest'!$A:$AZ,COLUMN(W323)-$A$5,0)),0)</f>
        <v>-14.28</v>
      </c>
      <c r="X323" s="53">
        <f>IFERROR((VLOOKUP($A323,'Dados StatusInvest'!$A:$AZ,COLUMN(X323)-$A$5,0)/VLOOKUP($A323,'Dados StatusInvest'!$A:$AZ,2,0)*$F323),0)</f>
        <v>0</v>
      </c>
      <c r="Y323" s="54">
        <f>IFERROR((VLOOKUP($A323,'Dados StatusInvest'!$A:$AZ,COLUMN(Y323)-$A$5,0)/VLOOKUP($A323,'Dados StatusInvest'!$A:$AZ,2,0)*$F323),0)</f>
        <v>0</v>
      </c>
      <c r="Z323" s="56">
        <f>IFERROR((VLOOKUP($A323,'Dados StatusInvest'!$A:$AZ,COLUMN(Z323)-$A$5,0)),0)</f>
        <v>0.2</v>
      </c>
      <c r="AA323" s="57">
        <f>IFERROR((VLOOKUP($A323,'Dados StatusInvest'!$A:$AZ,COLUMN(AA323)-$A$5,0)),0)</f>
        <v>0.8</v>
      </c>
      <c r="AB323" s="57">
        <f>IFERROR((VLOOKUP($A323,'Dados StatusInvest'!$A:$AZ,COLUMN(AB323)-$A$5,0)),0)</f>
        <v>0.18</v>
      </c>
      <c r="AC323" s="58">
        <f>IFERROR((VLOOKUP($A323,'Dados StatusInvest'!$A:$AZ,COLUMN(AC323)-$A$5,0)),0)</f>
        <v>23.9</v>
      </c>
      <c r="AD323" s="57">
        <f>IFERROR((VLOOKUP($A323,'Dados StatusInvest'!$A:$AZ,COLUMN(AD323)-$A$5,0)),0)</f>
        <v>0</v>
      </c>
      <c r="AE323" s="56">
        <f>IFERROR((VLOOKUP($A323,'Dados StatusInvest'!$A:$AZ,COLUMN(AE323)-$A$5,0)),0)</f>
        <v>0</v>
      </c>
      <c r="AF323" s="56">
        <f>IFERROR((VLOOKUP($A323,'Dados StatusInvest'!$A:$AZ,COLUMN(AF323)-$A$5,0)),0)</f>
        <v>6.32</v>
      </c>
      <c r="AG323" s="56">
        <f>IFERROR((VLOOKUP($A323,'Dados StatusInvest'!$A:$AZ,COLUMN(AG323)-$A$5,0)),0)</f>
        <v>-0.9</v>
      </c>
      <c r="AH323" s="56">
        <f>IFERROR((VLOOKUP($A323,'Dados StatusInvest'!$A:$AZ,COLUMN(AH323)-$A$5,0)),0)</f>
        <v>0</v>
      </c>
      <c r="AI323" s="57">
        <f>IFERROR((VLOOKUP($A323,'Dados StatusInvest'!$A:$AZ,COLUMN(AI323)-$A$5,0)),0)</f>
        <v>0</v>
      </c>
      <c r="AJ323" s="59" t="str">
        <f>IFERROR((VLOOKUP($A323,'Dados StatusInvest'!$A:$AZ,COLUMN(AJ323)-$A$5,0)),0)</f>
        <v/>
      </c>
      <c r="AK323" s="60" t="str">
        <f>IFERROR(__xludf.DUMMYFUNCTION("IFERROR(GOOGLEFINANCE($A323,""high""),"""")"),"")</f>
        <v/>
      </c>
      <c r="AL323" s="60" t="str">
        <f>IFERROR(__xludf.DUMMYFUNCTION("IFERROR(GOOGLEFINANCE($A323,""low""),"""")"),"")</f>
        <v/>
      </c>
      <c r="AM323" s="61">
        <f t="shared" si="2"/>
        <v>0</v>
      </c>
      <c r="AN323" s="62">
        <f>IFERROR(__xludf.DUMMYFUNCTION("IFERROR((GOOGLEFINANCE($A323,""volume"")),0)"),0.0)</f>
        <v>0</v>
      </c>
      <c r="AO323" s="60" t="str">
        <f>IFERROR(__xludf.DUMMYFUNCTION("IFERROR((GOOGLEFINANCE($A323,""closeyest"")),"""")"),"")</f>
        <v/>
      </c>
      <c r="AP323" s="60">
        <f>IFERROR(__xludf.DUMMYFUNCTION("IFERROR((GOOGLEFINANCE($A323,""shares"")),"""")"),5.58176805E8)</f>
        <v>558176805</v>
      </c>
      <c r="AQ323" s="18"/>
    </row>
    <row r="324">
      <c r="A324" s="45" t="str">
        <f>'Dados StatusInvest'!A319:A938</f>
        <v>IGTA3</v>
      </c>
      <c r="B324" s="46" t="str">
        <f>IFERROR(__xludf.DUMMYFUNCTION("IFERROR((GOOGLEFINANCE(A324,""name"")),"""")"),"")</f>
        <v/>
      </c>
      <c r="C324" s="46" t="str">
        <f>IFERROR((VLOOKUP(LEFT($A324,4),Setor!$A:$E,3,0)),"")</f>
        <v>Financeiro</v>
      </c>
      <c r="D324" s="46" t="str">
        <f>IFERROR((VLOOKUP(LEFT($A324,4),Setor!$A:$E,4,0)),"")</f>
        <v>Exploração de Imóveis</v>
      </c>
      <c r="E324" s="46" t="str">
        <f>IFERROR((VLOOKUP(LEFT($A324,4),Setor!$A:$E,5,0)),"")</f>
        <v>Exploração de Imóveis</v>
      </c>
      <c r="F324" s="47" t="str">
        <f>IFERROR(__xludf.DUMMYFUNCTION("IFERROR((GOOGLEFINANCE(A324)),"""")"),"")</f>
        <v/>
      </c>
      <c r="G324" s="48" t="str">
        <f>IFERROR(__xludf.DUMMYFUNCTION("IFERROR((sparkline(GOOGLEFINANCE($A324,""price"",TODAY()-30,TODAY(),""DAILY""),{""charttype"",""line"";""linewidth"",1;""color"",""#5f88cc""})),"""")"),"")</f>
        <v/>
      </c>
      <c r="H324" s="49" t="str">
        <f>IFERROR(__xludf.DUMMYFUNCTION("IFERROR((((GOOGLEFINANCE(A324))-(INDEX(GoogleFinance(A324,""PRICE"",$AQ$1),2,2)))/(INDEX(GoogleFinance(A324,""PRICE"",$AQ$1),2,2))),"""")"),"")</f>
        <v/>
      </c>
      <c r="I324" s="47" t="str">
        <f>IFERROR(__xludf.DUMMYFUNCTION("IFERROR((GOOGLEFINANCE($A324,""high52"")),"""")"),"")</f>
        <v/>
      </c>
      <c r="J324" s="48" t="str">
        <f>IFERROR(__xludf.DUMMYFUNCTION("IFERROR((sparkline(GOOGLEFINANCE($A324,""price"",TODAY()-365,TODAY(),""DAILY""),{""charttype"",""line"";""linewidth"",1;""color"",""#5f88cc""})),"""")"),"")</f>
        <v/>
      </c>
      <c r="K324" s="50" t="str">
        <f>IFERROR(__xludf.DUMMYFUNCTION("IFERROR((((GOOGLEFINANCE(A324))-(INDEX(GoogleFinance(A324,""PRICE"",$AP$1),2,2)))/(INDEX(GoogleFinance(A324,""PRICE"",$AP$1),2,2))),"""")"),"")</f>
        <v/>
      </c>
      <c r="L324" s="51">
        <f t="shared" si="1"/>
        <v>0</v>
      </c>
      <c r="M324" s="52">
        <f>IFERROR((VLOOKUP($A324,'Dados StatusInvest'!$A:$AZ,COLUMN(M324)-$A$5,0)*VLOOKUP($A324,'Dados StatusInvest'!$A:$AZ,2,0)/$F324/100),0)</f>
        <v>0</v>
      </c>
      <c r="N324" s="53">
        <f>IFERROR((VLOOKUP($A324,'Dados StatusInvest'!$A:$AZ,COLUMN(N324)-$A$5,0)/VLOOKUP($A324,'Dados StatusInvest'!$A:$AZ,2,0)*$F324),"")</f>
        <v>0</v>
      </c>
      <c r="O324" s="53">
        <f>IFERROR((VLOOKUP($A324,'Dados StatusInvest'!$A:$AZ,COLUMN(O324)-$A$5,0)/VLOOKUP($A324,'Dados StatusInvest'!$A:$AZ,2,0)*$F324),0)</f>
        <v>0</v>
      </c>
      <c r="P324" s="54">
        <f>IFERROR((VLOOKUP($A324,'Dados StatusInvest'!$A:$AZ,COLUMN(P324)-$A$5,0)/VLOOKUP($A324,'Dados StatusInvest'!$A:$AZ,2,0)*$F324),0)</f>
        <v>0</v>
      </c>
      <c r="Q324" s="55">
        <f>IFERROR((VLOOKUP($A324,'Dados StatusInvest'!$A:$AZ,COLUMN(Q324)-$A$5,0)/100),0)</f>
        <v>0.0073</v>
      </c>
      <c r="R324" s="56">
        <f>VLOOKUP($A324,'Dados StatusInvest'!$A:$AZ,COLUMN(R324)-$A$5,0)</f>
        <v>0.16</v>
      </c>
      <c r="S324" s="56">
        <f>IFERROR((VLOOKUP($A324,'Dados StatusInvest'!$A:$AZ,COLUMN(S324)-$A$5,0)),0)</f>
        <v>4.75</v>
      </c>
      <c r="T324" s="53">
        <f>IFERROR((VLOOKUP($A324,'Dados StatusInvest'!$A:$AZ,COLUMN(T324)-$A$5,0)/VLOOKUP($A324,'Dados StatusInvest'!$A:$AZ,2,0)*$F324),0)</f>
        <v>0</v>
      </c>
      <c r="U324" s="53">
        <f>IFERROR((VLOOKUP($A324,'Dados StatusInvest'!$A:$AZ,COLUMN(U324)-$A$5,0)-VLOOKUP($A324,'Dados StatusInvest'!$A:$AZ,COLUMN(U324)-$A$5-1,0)+T324),0)</f>
        <v>-4.96</v>
      </c>
      <c r="V324" s="56">
        <f>IFERROR((VLOOKUP($A324,'Dados StatusInvest'!$A:$AZ,COLUMN(V324)-$A$5,0)),0)</f>
        <v>3.96</v>
      </c>
      <c r="W324" s="56">
        <f>IFERROR((VLOOKUP($A324,'Dados StatusInvest'!$A:$AZ,COLUMN(W324)-$A$5,0)),0)</f>
        <v>14.04</v>
      </c>
      <c r="X324" s="53">
        <f>IFERROR((VLOOKUP($A324,'Dados StatusInvest'!$A:$AZ,COLUMN(X324)-$A$5,0)/VLOOKUP($A324,'Dados StatusInvest'!$A:$AZ,2,0)*$F324),0)</f>
        <v>0</v>
      </c>
      <c r="Y324" s="54">
        <f>IFERROR((VLOOKUP($A324,'Dados StatusInvest'!$A:$AZ,COLUMN(Y324)-$A$5,0)/VLOOKUP($A324,'Dados StatusInvest'!$A:$AZ,2,0)*$F324),0)</f>
        <v>0</v>
      </c>
      <c r="Z324" s="56">
        <f>IFERROR((VLOOKUP($A324,'Dados StatusInvest'!$A:$AZ,COLUMN(Z324)-$A$5,0)),0)</f>
        <v>0.6</v>
      </c>
      <c r="AA324" s="57">
        <f>IFERROR((VLOOKUP($A324,'Dados StatusInvest'!$A:$AZ,COLUMN(AA324)-$A$5,0)),0)</f>
        <v>0.4</v>
      </c>
      <c r="AB324" s="57">
        <f>IFERROR((VLOOKUP($A324,'Dados StatusInvest'!$A:$AZ,COLUMN(AB324)-$A$5,0)),0)</f>
        <v>0.17</v>
      </c>
      <c r="AC324" s="58">
        <f>IFERROR((VLOOKUP($A324,'Dados StatusInvest'!$A:$AZ,COLUMN(AC324)-$A$5,0)),0)</f>
        <v>7.14</v>
      </c>
      <c r="AD324" s="57">
        <f>IFERROR((VLOOKUP($A324,'Dados StatusInvest'!$A:$AZ,COLUMN(AD324)-$A$5,0)),0)</f>
        <v>12.51</v>
      </c>
      <c r="AE324" s="56">
        <f>IFERROR((VLOOKUP($A324,'Dados StatusInvest'!$A:$AZ,COLUMN(AE324)-$A$5,0)),0)</f>
        <v>0</v>
      </c>
      <c r="AF324" s="56">
        <f>IFERROR((VLOOKUP($A324,'Dados StatusInvest'!$A:$AZ,COLUMN(AF324)-$A$5,0)),0)</f>
        <v>24.13</v>
      </c>
      <c r="AG324" s="56">
        <f>IFERROR((VLOOKUP($A324,'Dados StatusInvest'!$A:$AZ,COLUMN(AG324)-$A$5,0)),0)</f>
        <v>3.39</v>
      </c>
      <c r="AH324" s="56">
        <f>IFERROR((VLOOKUP($A324,'Dados StatusInvest'!$A:$AZ,COLUMN(AH324)-$A$5,0)),0)</f>
        <v>1.09</v>
      </c>
      <c r="AI324" s="57">
        <f>IFERROR((VLOOKUP($A324,'Dados StatusInvest'!$A:$AZ,COLUMN(AI324)-$A$5,0)),0)</f>
        <v>5444903277</v>
      </c>
      <c r="AJ324" s="59" t="str">
        <f>IFERROR((VLOOKUP($A324,'Dados StatusInvest'!$A:$AZ,COLUMN(AJ324)-$A$5,0)),0)</f>
        <v/>
      </c>
      <c r="AK324" s="60" t="str">
        <f>IFERROR(__xludf.DUMMYFUNCTION("IFERROR(GOOGLEFINANCE($A324,""high""),"""")"),"")</f>
        <v/>
      </c>
      <c r="AL324" s="60" t="str">
        <f>IFERROR(__xludf.DUMMYFUNCTION("IFERROR(GOOGLEFINANCE($A324,""low""),"""")"),"")</f>
        <v/>
      </c>
      <c r="AM324" s="61">
        <f t="shared" si="2"/>
        <v>0</v>
      </c>
      <c r="AN324" s="62">
        <f>IFERROR(__xludf.DUMMYFUNCTION("IFERROR((GOOGLEFINANCE($A324,""volume"")),0)"),0.0)</f>
        <v>0</v>
      </c>
      <c r="AO324" s="60" t="str">
        <f>IFERROR(__xludf.DUMMYFUNCTION("IFERROR((GOOGLEFINANCE($A324,""closeyest"")),"""")"),"")</f>
        <v/>
      </c>
      <c r="AP324" s="60" t="str">
        <f>IFERROR(__xludf.DUMMYFUNCTION("IFERROR((GOOGLEFINANCE($A324,""shares"")),"""")"),"")</f>
        <v/>
      </c>
      <c r="AQ324" s="18"/>
    </row>
    <row r="325">
      <c r="A325" s="45" t="str">
        <f>'Dados StatusInvest'!A320:A939</f>
        <v>IGTI11</v>
      </c>
      <c r="B325" s="46" t="str">
        <f>IFERROR(__xludf.DUMMYFUNCTION("IFERROR((GOOGLEFINANCE(A325,""name"")),"""")"),"Iguatemi SA Unit")</f>
        <v>Iguatemi SA Unit</v>
      </c>
      <c r="C325" s="46" t="str">
        <f>IFERROR((VLOOKUP(LEFT($A325,4),Setor!$A:$E,3,0)),"")</f>
        <v>Outros</v>
      </c>
      <c r="D325" s="46" t="str">
        <f>IFERROR((VLOOKUP(LEFT($A325,4),Setor!$A:$E,4,0)),"")</f>
        <v>Comércio</v>
      </c>
      <c r="E325" s="46" t="str">
        <f>IFERROR((VLOOKUP(LEFT($A325,4),Setor!$A:$E,5,0)),"")</f>
        <v>Comércio</v>
      </c>
      <c r="F325" s="47">
        <f>IFERROR(__xludf.DUMMYFUNCTION("IFERROR((GOOGLEFINANCE(A325)),"""")"),28.74)</f>
        <v>28.74</v>
      </c>
      <c r="G325" s="48" t="str">
        <f>IFERROR(__xludf.DUMMYFUNCTION("IFERROR((sparkline(GOOGLEFINANCE($A325,""price"",TODAY()-30,TODAY(),""DAILY""),{""charttype"",""line"";""linewidth"",1;""color"",""#5f88cc""})),"""")"),"")</f>
        <v/>
      </c>
      <c r="H325" s="49">
        <f>IFERROR(__xludf.DUMMYFUNCTION("IFERROR((((GOOGLEFINANCE(A325))-(INDEX(GoogleFinance(A325,""PRICE"",$AQ$1),2,2)))/(INDEX(GoogleFinance(A325,""PRICE"",$AQ$1),2,2))),"""")"),0.05545354388542042)</f>
        <v>0.05545354389</v>
      </c>
      <c r="I325" s="47">
        <f>IFERROR(__xludf.DUMMYFUNCTION("IFERROR((GOOGLEFINANCE($A325,""high52"")),"""")"),29.47)</f>
        <v>29.47</v>
      </c>
      <c r="J325" s="48" t="str">
        <f>IFERROR(__xludf.DUMMYFUNCTION("IFERROR((sparkline(GOOGLEFINANCE($A325,""price"",TODAY()-365,TODAY(),""DAILY""),{""charttype"",""line"";""linewidth"",1;""color"",""#5f88cc""})),"""")"),"")</f>
        <v/>
      </c>
      <c r="K325" s="50">
        <f>IFERROR(__xludf.DUMMYFUNCTION("IFERROR((((GOOGLEFINANCE(A325))-(INDEX(GoogleFinance(A325,""PRICE"",$AP$1),2,2)))/(INDEX(GoogleFinance(A325,""PRICE"",$AP$1),2,2))),"""")"),0.4814432989690722)</f>
        <v>0.481443299</v>
      </c>
      <c r="L325" s="51">
        <f t="shared" si="1"/>
        <v>-0.02477095351</v>
      </c>
      <c r="M325" s="52">
        <f>IFERROR((VLOOKUP($A325,'Dados StatusInvest'!$A:$AZ,COLUMN(M325)-$A$5,0)*VLOOKUP($A325,'Dados StatusInvest'!$A:$AZ,2,0)/$F325/100),0)</f>
        <v>0.7778950592</v>
      </c>
      <c r="N325" s="53">
        <f>IFERROR((VLOOKUP($A325,'Dados StatusInvest'!$A:$AZ,COLUMN(N325)-$A$5,0)/VLOOKUP($A325,'Dados StatusInvest'!$A:$AZ,2,0)*$F325),"")</f>
        <v>40.09566025</v>
      </c>
      <c r="O325" s="53">
        <f>IFERROR((VLOOKUP($A325,'Dados StatusInvest'!$A:$AZ,COLUMN(O325)-$A$5,0)/VLOOKUP($A325,'Dados StatusInvest'!$A:$AZ,2,0)*$F325),0)</f>
        <v>10.53536451</v>
      </c>
      <c r="P325" s="54">
        <f>IFERROR((VLOOKUP($A325,'Dados StatusInvest'!$A:$AZ,COLUMN(P325)-$A$5,0)/VLOOKUP($A325,'Dados StatusInvest'!$A:$AZ,2,0)*$F325),0)</f>
        <v>8.855240715</v>
      </c>
      <c r="Q325" s="55">
        <f>IFERROR((VLOOKUP($A325,'Dados StatusInvest'!$A:$AZ,COLUMN(Q325)-$A$5,0)/100),0)</f>
        <v>0.0196</v>
      </c>
      <c r="R325" s="56">
        <f>VLOOKUP($A325,'Dados StatusInvest'!$A:$AZ,COLUMN(R325)-$A$5,0)</f>
        <v>0.46</v>
      </c>
      <c r="S325" s="56">
        <f>IFERROR((VLOOKUP($A325,'Dados StatusInvest'!$A:$AZ,COLUMN(S325)-$A$5,0)),0)</f>
        <v>8.2</v>
      </c>
      <c r="T325" s="53">
        <f>IFERROR((VLOOKUP($A325,'Dados StatusInvest'!$A:$AZ,COLUMN(T325)-$A$5,0)/VLOOKUP($A325,'Dados StatusInvest'!$A:$AZ,2,0)*$F325),0)</f>
        <v>7.886698762</v>
      </c>
      <c r="U325" s="53">
        <f>IFERROR((VLOOKUP($A325,'Dados StatusInvest'!$A:$AZ,COLUMN(U325)-$A$5,0)-VLOOKUP($A325,'Dados StatusInvest'!$A:$AZ,COLUMN(U325)-$A$5-1,0)+T325),0)</f>
        <v>-1.743301238</v>
      </c>
      <c r="V325" s="56">
        <f>IFERROR((VLOOKUP($A325,'Dados StatusInvest'!$A:$AZ,COLUMN(V325)-$A$5,0)),0)</f>
        <v>2.67</v>
      </c>
      <c r="W325" s="56">
        <f>IFERROR((VLOOKUP($A325,'Dados StatusInvest'!$A:$AZ,COLUMN(W325)-$A$5,0)),0)</f>
        <v>12.47</v>
      </c>
      <c r="X325" s="53">
        <f>IFERROR((VLOOKUP($A325,'Dados StatusInvest'!$A:$AZ,COLUMN(X325)-$A$5,0)/VLOOKUP($A325,'Dados StatusInvest'!$A:$AZ,2,0)*$F325),0)</f>
        <v>6.068211829</v>
      </c>
      <c r="Y325" s="54">
        <f>IFERROR((VLOOKUP($A325,'Dados StatusInvest'!$A:$AZ,COLUMN(Y325)-$A$5,0)/VLOOKUP($A325,'Dados StatusInvest'!$A:$AZ,2,0)*$F325),0)</f>
        <v>11.47425722</v>
      </c>
      <c r="Z325" s="56">
        <f>IFERROR((VLOOKUP($A325,'Dados StatusInvest'!$A:$AZ,COLUMN(Z325)-$A$5,0)),0)</f>
        <v>0.49</v>
      </c>
      <c r="AA325" s="57">
        <f>IFERROR((VLOOKUP($A325,'Dados StatusInvest'!$A:$AZ,COLUMN(AA325)-$A$5,0)),0)</f>
        <v>0.51</v>
      </c>
      <c r="AB325" s="57">
        <f>IFERROR((VLOOKUP($A325,'Dados StatusInvest'!$A:$AZ,COLUMN(AB325)-$A$5,0)),0)</f>
        <v>0.15</v>
      </c>
      <c r="AC325" s="58">
        <f>IFERROR((VLOOKUP($A325,'Dados StatusInvest'!$A:$AZ,COLUMN(AC325)-$A$5,0)),0)</f>
        <v>10.36</v>
      </c>
      <c r="AD325" s="57">
        <f>IFERROR((VLOOKUP($A325,'Dados StatusInvest'!$A:$AZ,COLUMN(AD325)-$A$5,0)),0)</f>
        <v>35.08</v>
      </c>
      <c r="AE325" s="56">
        <f>IFERROR((VLOOKUP($A325,'Dados StatusInvest'!$A:$AZ,COLUMN(AE325)-$A$5,0)),0)</f>
        <v>73477396</v>
      </c>
      <c r="AF325" s="56">
        <f>IFERROR((VLOOKUP($A325,'Dados StatusInvest'!$A:$AZ,COLUMN(AF325)-$A$5,0)),0)</f>
        <v>11.54</v>
      </c>
      <c r="AG325" s="56">
        <f>IFERROR((VLOOKUP($A325,'Dados StatusInvest'!$A:$AZ,COLUMN(AG325)-$A$5,0)),0)</f>
        <v>1.44</v>
      </c>
      <c r="AH325" s="56">
        <f>IFERROR((VLOOKUP($A325,'Dados StatusInvest'!$A:$AZ,COLUMN(AH325)-$A$5,0)),0)</f>
        <v>0.38</v>
      </c>
      <c r="AI325" s="57">
        <f>IFERROR((VLOOKUP($A325,'Dados StatusInvest'!$A:$AZ,COLUMN(AI325)-$A$5,0)),0)</f>
        <v>7680290592</v>
      </c>
      <c r="AJ325" s="59" t="str">
        <f>IFERROR((VLOOKUP($A325,'Dados StatusInvest'!$A:$AZ,COLUMN(AJ325)-$A$5,0)),0)</f>
        <v/>
      </c>
      <c r="AK325" s="60">
        <f>IFERROR(__xludf.DUMMYFUNCTION("IFERROR(GOOGLEFINANCE($A325,""high""),"""")"),28.89)</f>
        <v>28.89</v>
      </c>
      <c r="AL325" s="60">
        <f>IFERROR(__xludf.DUMMYFUNCTION("IFERROR(GOOGLEFINANCE($A325,""low""),"""")"),28.7)</f>
        <v>28.7</v>
      </c>
      <c r="AM325" s="61">
        <f t="shared" si="2"/>
        <v>0.006620209059</v>
      </c>
      <c r="AN325" s="62">
        <f>IFERROR(__xludf.DUMMYFUNCTION("IFERROR((GOOGLEFINANCE($A325,""volume"")),0)"),90100.0)</f>
        <v>90100</v>
      </c>
      <c r="AO325" s="60">
        <f>IFERROR(__xludf.DUMMYFUNCTION("IFERROR((GOOGLEFINANCE($A325,""closeyest"")),"""")"),28.91)</f>
        <v>28.91</v>
      </c>
      <c r="AP325" s="60" t="str">
        <f>IFERROR(__xludf.DUMMYFUNCTION("IFERROR((GOOGLEFINANCE($A325,""shares"")),"""")"),"")</f>
        <v/>
      </c>
      <c r="AQ325" s="18"/>
    </row>
    <row r="326">
      <c r="A326" s="45" t="str">
        <f>'Dados StatusInvest'!A321:A940</f>
        <v>IGTI3</v>
      </c>
      <c r="B326" s="46" t="str">
        <f>IFERROR(__xludf.DUMMYFUNCTION("IFERROR((GOOGLEFINANCE(A326,""name"")),"""")"),"Iguatemi SA")</f>
        <v>Iguatemi SA</v>
      </c>
      <c r="C326" s="46" t="str">
        <f>IFERROR((VLOOKUP(LEFT($A326,4),Setor!$A:$E,3,0)),"")</f>
        <v>Outros</v>
      </c>
      <c r="D326" s="46" t="str">
        <f>IFERROR((VLOOKUP(LEFT($A326,4),Setor!$A:$E,4,0)),"")</f>
        <v>Comércio</v>
      </c>
      <c r="E326" s="46" t="str">
        <f>IFERROR((VLOOKUP(LEFT($A326,4),Setor!$A:$E,5,0)),"")</f>
        <v>Comércio</v>
      </c>
      <c r="F326" s="47">
        <f>IFERROR(__xludf.DUMMYFUNCTION("IFERROR((GOOGLEFINANCE(A326)),"""")"),3.32)</f>
        <v>3.32</v>
      </c>
      <c r="G326" s="48" t="str">
        <f>IFERROR(__xludf.DUMMYFUNCTION("IFERROR((sparkline(GOOGLEFINANCE($A326,""price"",TODAY()-30,TODAY(),""DAILY""),{""charttype"",""line"";""linewidth"",1;""color"",""#5f88cc""})),"""")"),"")</f>
        <v/>
      </c>
      <c r="H326" s="49">
        <f>IFERROR(__xludf.DUMMYFUNCTION("IFERROR((((GOOGLEFINANCE(A326))-(INDEX(GoogleFinance(A326,""PRICE"",$AQ$1),2,2)))/(INDEX(GoogleFinance(A326,""PRICE"",$AQ$1),2,2))),"""")"),0.012195121951219523)</f>
        <v>0.01219512195</v>
      </c>
      <c r="I326" s="47">
        <f>IFERROR(__xludf.DUMMYFUNCTION("IFERROR((GOOGLEFINANCE($A326,""high52"")),"""")"),3.43)</f>
        <v>3.43</v>
      </c>
      <c r="J326" s="48" t="str">
        <f>IFERROR(__xludf.DUMMYFUNCTION("IFERROR((sparkline(GOOGLEFINANCE($A326,""price"",TODAY()-365,TODAY(),""DAILY""),{""charttype"",""line"";""linewidth"",1;""color"",""#5f88cc""})),"""")"),"")</f>
        <v/>
      </c>
      <c r="K326" s="50">
        <f>IFERROR(__xludf.DUMMYFUNCTION("IFERROR((((GOOGLEFINANCE(A326))-(INDEX(GoogleFinance(A326,""PRICE"",$AP$1),2,2)))/(INDEX(GoogleFinance(A326,""PRICE"",$AP$1),2,2))),"""")"),0.4310344827586207)</f>
        <v>0.4310344828</v>
      </c>
      <c r="L326" s="51">
        <f t="shared" si="1"/>
        <v>-0.03206997085</v>
      </c>
      <c r="M326" s="52">
        <f>IFERROR((VLOOKUP($A326,'Dados StatusInvest'!$A:$AZ,COLUMN(M326)-$A$5,0)*VLOOKUP($A326,'Dados StatusInvest'!$A:$AZ,2,0)/$F326/100),0)</f>
        <v>0.775746988</v>
      </c>
      <c r="N326" s="53">
        <f>IFERROR((VLOOKUP($A326,'Dados StatusInvest'!$A:$AZ,COLUMN(N326)-$A$5,0)/VLOOKUP($A326,'Dados StatusInvest'!$A:$AZ,2,0)*$F326),"")</f>
        <v>40.20668657</v>
      </c>
      <c r="O326" s="53">
        <f>IFERROR((VLOOKUP($A326,'Dados StatusInvest'!$A:$AZ,COLUMN(O326)-$A$5,0)/VLOOKUP($A326,'Dados StatusInvest'!$A:$AZ,2,0)*$F326),0)</f>
        <v>3.656955224</v>
      </c>
      <c r="P326" s="54">
        <f>IFERROR((VLOOKUP($A326,'Dados StatusInvest'!$A:$AZ,COLUMN(P326)-$A$5,0)/VLOOKUP($A326,'Dados StatusInvest'!$A:$AZ,2,0)*$F326),0)</f>
        <v>8.879761194</v>
      </c>
      <c r="Q326" s="55">
        <f>IFERROR((VLOOKUP($A326,'Dados StatusInvest'!$A:$AZ,COLUMN(Q326)-$A$5,0)/100),0)</f>
        <v>0.0196</v>
      </c>
      <c r="R326" s="56">
        <f>VLOOKUP($A326,'Dados StatusInvest'!$A:$AZ,COLUMN(R326)-$A$5,0)</f>
        <v>0.46</v>
      </c>
      <c r="S326" s="56">
        <f>IFERROR((VLOOKUP($A326,'Dados StatusInvest'!$A:$AZ,COLUMN(S326)-$A$5,0)),0)</f>
        <v>2.83</v>
      </c>
      <c r="T326" s="53">
        <f>IFERROR((VLOOKUP($A326,'Dados StatusInvest'!$A:$AZ,COLUMN(T326)-$A$5,0)/VLOOKUP($A326,'Dados StatusInvest'!$A:$AZ,2,0)*$F326),0)</f>
        <v>2.735283582</v>
      </c>
      <c r="U326" s="53">
        <f>IFERROR((VLOOKUP($A326,'Dados StatusInvest'!$A:$AZ,COLUMN(U326)-$A$5,0)-VLOOKUP($A326,'Dados StatusInvest'!$A:$AZ,COLUMN(U326)-$A$5-1,0)+T326),0)</f>
        <v>-0.5947164179</v>
      </c>
      <c r="V326" s="56">
        <f>IFERROR((VLOOKUP($A326,'Dados StatusInvest'!$A:$AZ,COLUMN(V326)-$A$5,0)),0)</f>
        <v>2.67</v>
      </c>
      <c r="W326" s="56">
        <f>IFERROR((VLOOKUP($A326,'Dados StatusInvest'!$A:$AZ,COLUMN(W326)-$A$5,0)),0)</f>
        <v>12.47</v>
      </c>
      <c r="X326" s="53">
        <f>IFERROR((VLOOKUP($A326,'Dados StatusInvest'!$A:$AZ,COLUMN(X326)-$A$5,0)/VLOOKUP($A326,'Dados StatusInvest'!$A:$AZ,2,0)*$F326),0)</f>
        <v>6.085014925</v>
      </c>
      <c r="Y326" s="54">
        <f>IFERROR((VLOOKUP($A326,'Dados StatusInvest'!$A:$AZ,COLUMN(Y326)-$A$5,0)/VLOOKUP($A326,'Dados StatusInvest'!$A:$AZ,2,0)*$F326),0)</f>
        <v>11.50602985</v>
      </c>
      <c r="Z326" s="56">
        <f>IFERROR((VLOOKUP($A326,'Dados StatusInvest'!$A:$AZ,COLUMN(Z326)-$A$5,0)),0)</f>
        <v>0.49</v>
      </c>
      <c r="AA326" s="57">
        <f>IFERROR((VLOOKUP($A326,'Dados StatusInvest'!$A:$AZ,COLUMN(AA326)-$A$5,0)),0)</f>
        <v>0.51</v>
      </c>
      <c r="AB326" s="57">
        <f>IFERROR((VLOOKUP($A326,'Dados StatusInvest'!$A:$AZ,COLUMN(AB326)-$A$5,0)),0)</f>
        <v>0.15</v>
      </c>
      <c r="AC326" s="58">
        <f>IFERROR((VLOOKUP($A326,'Dados StatusInvest'!$A:$AZ,COLUMN(AC326)-$A$5,0)),0)</f>
        <v>10.36</v>
      </c>
      <c r="AD326" s="57">
        <f>IFERROR((VLOOKUP($A326,'Dados StatusInvest'!$A:$AZ,COLUMN(AD326)-$A$5,0)),0)</f>
        <v>35.08</v>
      </c>
      <c r="AE326" s="56">
        <f>IFERROR((VLOOKUP($A326,'Dados StatusInvest'!$A:$AZ,COLUMN(AE326)-$A$5,0)),0)</f>
        <v>142736.5</v>
      </c>
      <c r="AF326" s="56">
        <f>IFERROR((VLOOKUP($A326,'Dados StatusInvest'!$A:$AZ,COLUMN(AF326)-$A$5,0)),0)</f>
        <v>3.85</v>
      </c>
      <c r="AG326" s="56">
        <f>IFERROR((VLOOKUP($A326,'Dados StatusInvest'!$A:$AZ,COLUMN(AG326)-$A$5,0)),0)</f>
        <v>0.48</v>
      </c>
      <c r="AH326" s="56">
        <f>IFERROR((VLOOKUP($A326,'Dados StatusInvest'!$A:$AZ,COLUMN(AH326)-$A$5,0)),0)</f>
        <v>0.13</v>
      </c>
      <c r="AI326" s="57">
        <f>IFERROR((VLOOKUP($A326,'Dados StatusInvest'!$A:$AZ,COLUMN(AI326)-$A$5,0)),0)</f>
        <v>7680290592</v>
      </c>
      <c r="AJ326" s="59" t="str">
        <f>IFERROR((VLOOKUP($A326,'Dados StatusInvest'!$A:$AZ,COLUMN(AJ326)-$A$5,0)),0)</f>
        <v/>
      </c>
      <c r="AK326" s="60">
        <f>IFERROR(__xludf.DUMMYFUNCTION("IFERROR(GOOGLEFINANCE($A326,""high""),"""")"),3.32)</f>
        <v>3.32</v>
      </c>
      <c r="AL326" s="60">
        <f>IFERROR(__xludf.DUMMYFUNCTION("IFERROR(GOOGLEFINANCE($A326,""low""),"""")"),3.28)</f>
        <v>3.28</v>
      </c>
      <c r="AM326" s="61">
        <f t="shared" si="2"/>
        <v>0.01219512195</v>
      </c>
      <c r="AN326" s="62">
        <f>IFERROR(__xludf.DUMMYFUNCTION("IFERROR((GOOGLEFINANCE($A326,""volume"")),0)"),4700.0)</f>
        <v>4700</v>
      </c>
      <c r="AO326" s="60">
        <f>IFERROR(__xludf.DUMMYFUNCTION("IFERROR((GOOGLEFINANCE($A326,""closeyest"")),"""")"),3.33)</f>
        <v>3.33</v>
      </c>
      <c r="AP326" s="60" t="str">
        <f>IFERROR(__xludf.DUMMYFUNCTION("IFERROR((GOOGLEFINANCE($A326,""shares"")),"""")"),"")</f>
        <v/>
      </c>
      <c r="AQ326" s="18"/>
    </row>
    <row r="327">
      <c r="A327" s="45" t="str">
        <f>'Dados StatusInvest'!A322:A941</f>
        <v>IGTI4</v>
      </c>
      <c r="B327" s="46" t="str">
        <f>IFERROR(__xludf.DUMMYFUNCTION("IFERROR((GOOGLEFINANCE(A327,""name"")),"""")"),"Iguatemi SA Preference Shares")</f>
        <v>Iguatemi SA Preference Shares</v>
      </c>
      <c r="C327" s="46" t="str">
        <f>IFERROR((VLOOKUP(LEFT($A327,4),Setor!$A:$E,3,0)),"")</f>
        <v>Outros</v>
      </c>
      <c r="D327" s="46" t="str">
        <f>IFERROR((VLOOKUP(LEFT($A327,4),Setor!$A:$E,4,0)),"")</f>
        <v>Comércio</v>
      </c>
      <c r="E327" s="46" t="str">
        <f>IFERROR((VLOOKUP(LEFT($A327,4),Setor!$A:$E,5,0)),"")</f>
        <v>Comércio</v>
      </c>
      <c r="F327" s="47">
        <f>IFERROR(__xludf.DUMMYFUNCTION("IFERROR((GOOGLEFINANCE(A327)),"""")"),12.71)</f>
        <v>12.71</v>
      </c>
      <c r="G327" s="48" t="str">
        <f>IFERROR(__xludf.DUMMYFUNCTION("IFERROR((sparkline(GOOGLEFINANCE($A327,""price"",TODAY()-30,TODAY(),""DAILY""),{""charttype"",""line"";""linewidth"",1;""color"",""#5f88cc""})),"""")"),"")</f>
        <v/>
      </c>
      <c r="H327" s="49">
        <f>IFERROR(__xludf.DUMMYFUNCTION("IFERROR((((GOOGLEFINANCE(A327))-(INDEX(GoogleFinance(A327,""PRICE"",$AQ$1),2,2)))/(INDEX(GoogleFinance(A327,""PRICE"",$AQ$1),2,2))),"""")"),0.08170212765957455)</f>
        <v>0.08170212766</v>
      </c>
      <c r="I327" s="47">
        <f>IFERROR(__xludf.DUMMYFUNCTION("IFERROR((GOOGLEFINANCE($A327,""high52"")),"""")"),13.09)</f>
        <v>13.09</v>
      </c>
      <c r="J327" s="48" t="str">
        <f>IFERROR(__xludf.DUMMYFUNCTION("IFERROR((sparkline(GOOGLEFINANCE($A327,""price"",TODAY()-365,TODAY(),""DAILY""),{""charttype"",""line"";""linewidth"",1;""color"",""#5f88cc""})),"""")"),"")</f>
        <v/>
      </c>
      <c r="K327" s="50">
        <f>IFERROR(__xludf.DUMMYFUNCTION("IFERROR((((GOOGLEFINANCE(A327))-(INDEX(GoogleFinance(A327,""PRICE"",$AP$1),2,2)))/(INDEX(GoogleFinance(A327,""PRICE"",$AP$1),2,2))),"""")"),0.49705535924617206)</f>
        <v>0.4970553592</v>
      </c>
      <c r="L327" s="51">
        <f t="shared" si="1"/>
        <v>-0.02902979374</v>
      </c>
      <c r="M327" s="52">
        <f>IFERROR((VLOOKUP($A327,'Dados StatusInvest'!$A:$AZ,COLUMN(M327)-$A$5,0)*VLOOKUP($A327,'Dados StatusInvest'!$A:$AZ,2,0)/$F327/100),0)</f>
        <v>0.7688</v>
      </c>
      <c r="N327" s="53">
        <f>IFERROR((VLOOKUP($A327,'Dados StatusInvest'!$A:$AZ,COLUMN(N327)-$A$5,0)/VLOOKUP($A327,'Dados StatusInvest'!$A:$AZ,2,0)*$F327),"")</f>
        <v>40.57</v>
      </c>
      <c r="O327" s="53">
        <f>IFERROR((VLOOKUP($A327,'Dados StatusInvest'!$A:$AZ,COLUMN(O327)-$A$5,0)/VLOOKUP($A327,'Dados StatusInvest'!$A:$AZ,2,0)*$F327),0)</f>
        <v>13.98</v>
      </c>
      <c r="P327" s="54">
        <f>IFERROR((VLOOKUP($A327,'Dados StatusInvest'!$A:$AZ,COLUMN(P327)-$A$5,0)/VLOOKUP($A327,'Dados StatusInvest'!$A:$AZ,2,0)*$F327),0)</f>
        <v>8.96</v>
      </c>
      <c r="Q327" s="55">
        <f>IFERROR((VLOOKUP($A327,'Dados StatusInvest'!$A:$AZ,COLUMN(Q327)-$A$5,0)/100),0)</f>
        <v>0.0196</v>
      </c>
      <c r="R327" s="56">
        <f>VLOOKUP($A327,'Dados StatusInvest'!$A:$AZ,COLUMN(R327)-$A$5,0)</f>
        <v>0.46</v>
      </c>
      <c r="S327" s="56">
        <f>IFERROR((VLOOKUP($A327,'Dados StatusInvest'!$A:$AZ,COLUMN(S327)-$A$5,0)),0)</f>
        <v>10.75</v>
      </c>
      <c r="T327" s="53">
        <f>IFERROR((VLOOKUP($A327,'Dados StatusInvest'!$A:$AZ,COLUMN(T327)-$A$5,0)/VLOOKUP($A327,'Dados StatusInvest'!$A:$AZ,2,0)*$F327),0)</f>
        <v>10.46</v>
      </c>
      <c r="U327" s="53">
        <f>IFERROR((VLOOKUP($A327,'Dados StatusInvest'!$A:$AZ,COLUMN(U327)-$A$5,0)-VLOOKUP($A327,'Dados StatusInvest'!$A:$AZ,COLUMN(U327)-$A$5-1,0)+T327),0)</f>
        <v>-2.17</v>
      </c>
      <c r="V327" s="56">
        <f>IFERROR((VLOOKUP($A327,'Dados StatusInvest'!$A:$AZ,COLUMN(V327)-$A$5,0)),0)</f>
        <v>2.67</v>
      </c>
      <c r="W327" s="56">
        <f>IFERROR((VLOOKUP($A327,'Dados StatusInvest'!$A:$AZ,COLUMN(W327)-$A$5,0)),0)</f>
        <v>12.47</v>
      </c>
      <c r="X327" s="53">
        <f>IFERROR((VLOOKUP($A327,'Dados StatusInvest'!$A:$AZ,COLUMN(X327)-$A$5,0)/VLOOKUP($A327,'Dados StatusInvest'!$A:$AZ,2,0)*$F327),0)</f>
        <v>6.14</v>
      </c>
      <c r="Y327" s="54">
        <f>IFERROR((VLOOKUP($A327,'Dados StatusInvest'!$A:$AZ,COLUMN(Y327)-$A$5,0)/VLOOKUP($A327,'Dados StatusInvest'!$A:$AZ,2,0)*$F327),0)</f>
        <v>11.61</v>
      </c>
      <c r="Z327" s="56">
        <f>IFERROR((VLOOKUP($A327,'Dados StatusInvest'!$A:$AZ,COLUMN(Z327)-$A$5,0)),0)</f>
        <v>0.49</v>
      </c>
      <c r="AA327" s="57">
        <f>IFERROR((VLOOKUP($A327,'Dados StatusInvest'!$A:$AZ,COLUMN(AA327)-$A$5,0)),0)</f>
        <v>0.51</v>
      </c>
      <c r="AB327" s="57">
        <f>IFERROR((VLOOKUP($A327,'Dados StatusInvest'!$A:$AZ,COLUMN(AB327)-$A$5,0)),0)</f>
        <v>0.15</v>
      </c>
      <c r="AC327" s="58">
        <f>IFERROR((VLOOKUP($A327,'Dados StatusInvest'!$A:$AZ,COLUMN(AC327)-$A$5,0)),0)</f>
        <v>10.36</v>
      </c>
      <c r="AD327" s="57">
        <f>IFERROR((VLOOKUP($A327,'Dados StatusInvest'!$A:$AZ,COLUMN(AD327)-$A$5,0)),0)</f>
        <v>35.08</v>
      </c>
      <c r="AE327" s="56">
        <f>IFERROR((VLOOKUP($A327,'Dados StatusInvest'!$A:$AZ,COLUMN(AE327)-$A$5,0)),0)</f>
        <v>3489.29</v>
      </c>
      <c r="AF327" s="56">
        <f>IFERROR((VLOOKUP($A327,'Dados StatusInvest'!$A:$AZ,COLUMN(AF327)-$A$5,0)),0)</f>
        <v>3.85</v>
      </c>
      <c r="AG327" s="56">
        <f>IFERROR((VLOOKUP($A327,'Dados StatusInvest'!$A:$AZ,COLUMN(AG327)-$A$5,0)),0)</f>
        <v>0.48</v>
      </c>
      <c r="AH327" s="56">
        <f>IFERROR((VLOOKUP($A327,'Dados StatusInvest'!$A:$AZ,COLUMN(AH327)-$A$5,0)),0)</f>
        <v>0.5</v>
      </c>
      <c r="AI327" s="57">
        <f>IFERROR((VLOOKUP($A327,'Dados StatusInvest'!$A:$AZ,COLUMN(AI327)-$A$5,0)),0)</f>
        <v>7680290592</v>
      </c>
      <c r="AJ327" s="59" t="str">
        <f>IFERROR((VLOOKUP($A327,'Dados StatusInvest'!$A:$AZ,COLUMN(AJ327)-$A$5,0)),0)</f>
        <v/>
      </c>
      <c r="AK327" s="60" t="str">
        <f>IFERROR(__xludf.DUMMYFUNCTION("IFERROR(GOOGLEFINANCE($A327,""high""),"""")"),"")</f>
        <v/>
      </c>
      <c r="AL327" s="60" t="str">
        <f>IFERROR(__xludf.DUMMYFUNCTION("IFERROR(GOOGLEFINANCE($A327,""low""),"""")"),"")</f>
        <v/>
      </c>
      <c r="AM327" s="61">
        <f t="shared" si="2"/>
        <v>0</v>
      </c>
      <c r="AN327" s="62">
        <f>IFERROR(__xludf.DUMMYFUNCTION("IFERROR((GOOGLEFINANCE($A327,""volume"")),0)"),0.0)</f>
        <v>0</v>
      </c>
      <c r="AO327" s="60">
        <f>IFERROR(__xludf.DUMMYFUNCTION("IFERROR((GOOGLEFINANCE($A327,""closeyest"")),"""")"),12.64)</f>
        <v>12.64</v>
      </c>
      <c r="AP327" s="60">
        <f>IFERROR(__xludf.DUMMYFUNCTION("IFERROR((GOOGLEFINANCE($A327,""shares"")),"""")"),4.35368756E8)</f>
        <v>435368756</v>
      </c>
      <c r="AQ327" s="18"/>
    </row>
    <row r="328">
      <c r="A328" s="45" t="str">
        <f>'Dados StatusInvest'!A323:A942</f>
        <v>INEP3</v>
      </c>
      <c r="B328" s="46" t="str">
        <f>IFERROR(__xludf.DUMMYFUNCTION("IFERROR((GOOGLEFINANCE(A328,""name"")),"""")"),"Inepr SA Indstr e Constrs em Rcprco Jdcl")</f>
        <v>Inepr SA Indstr e Constrs em Rcprco Jdcl</v>
      </c>
      <c r="C328" s="46" t="str">
        <f>IFERROR((VLOOKUP(LEFT($A328,4),Setor!$A:$E,3,0)),"")</f>
        <v>Bens Industriais</v>
      </c>
      <c r="D328" s="46" t="str">
        <f>IFERROR((VLOOKUP(LEFT($A328,4),Setor!$A:$E,4,0)),"")</f>
        <v>Máquinas e Equipamentos</v>
      </c>
      <c r="E328" s="46" t="str">
        <f>IFERROR((VLOOKUP(LEFT($A328,4),Setor!$A:$E,5,0)),"")</f>
        <v>Máq. e Equip. Industriais</v>
      </c>
      <c r="F328" s="47">
        <f>IFERROR(__xludf.DUMMYFUNCTION("IFERROR((GOOGLEFINANCE(A328)),"""")"),1.34)</f>
        <v>1.34</v>
      </c>
      <c r="G328" s="48" t="str">
        <f>IFERROR(__xludf.DUMMYFUNCTION("IFERROR((sparkline(GOOGLEFINANCE($A328,""price"",TODAY()-30,TODAY(),""DAILY""),{""charttype"",""line"";""linewidth"",1;""color"",""#5f88cc""})),"""")"),"")</f>
        <v/>
      </c>
      <c r="H328" s="49">
        <f>IFERROR(__xludf.DUMMYFUNCTION("IFERROR((((GOOGLEFINANCE(A328))-(INDEX(GoogleFinance(A328,""PRICE"",$AQ$1),2,2)))/(INDEX(GoogleFinance(A328,""PRICE"",$AQ$1),2,2))),"""")"),0.0075187969924812095)</f>
        <v>0.007518796992</v>
      </c>
      <c r="I328" s="47">
        <f>IFERROR(__xludf.DUMMYFUNCTION("IFERROR((GOOGLEFINANCE($A328,""high52"")),"""")"),3.1)</f>
        <v>3.1</v>
      </c>
      <c r="J328" s="48" t="str">
        <f>IFERROR(__xludf.DUMMYFUNCTION("IFERROR((sparkline(GOOGLEFINANCE($A328,""price"",TODAY()-365,TODAY(),""DAILY""),{""charttype"",""line"";""linewidth"",1;""color"",""#5f88cc""})),"""")"),"")</f>
        <v/>
      </c>
      <c r="K328" s="50">
        <f>IFERROR(__xludf.DUMMYFUNCTION("IFERROR((((GOOGLEFINANCE(A328))-(INDEX(GoogleFinance(A328,""PRICE"",$AP$1),2,2)))/(INDEX(GoogleFinance(A328,""PRICE"",$AP$1),2,2))),"""")"),-0.10666666666666662)</f>
        <v>-0.1066666667</v>
      </c>
      <c r="L328" s="51">
        <f t="shared" si="1"/>
        <v>-0.5677419355</v>
      </c>
      <c r="M328" s="52">
        <f>IFERROR((VLOOKUP($A328,'Dados StatusInvest'!$A:$AZ,COLUMN(M328)-$A$5,0)*VLOOKUP($A328,'Dados StatusInvest'!$A:$AZ,2,0)/$F328/100),0)</f>
        <v>-65.51721493</v>
      </c>
      <c r="N328" s="53">
        <f>IFERROR((VLOOKUP($A328,'Dados StatusInvest'!$A:$AZ,COLUMN(N328)-$A$5,0)/VLOOKUP($A328,'Dados StatusInvest'!$A:$AZ,2,0)*$F328),"")</f>
        <v>-10738.67879</v>
      </c>
      <c r="O328" s="53">
        <f>IFERROR((VLOOKUP($A328,'Dados StatusInvest'!$A:$AZ,COLUMN(O328)-$A$5,0)/VLOOKUP($A328,'Dados StatusInvest'!$A:$AZ,2,0)*$F328),0)</f>
        <v>-0.2436363636</v>
      </c>
      <c r="P328" s="54">
        <f>IFERROR((VLOOKUP($A328,'Dados StatusInvest'!$A:$AZ,COLUMN(P328)-$A$5,0)/VLOOKUP($A328,'Dados StatusInvest'!$A:$AZ,2,0)*$F328),0)</f>
        <v>-3.685</v>
      </c>
      <c r="Q328" s="55">
        <f>IFERROR((VLOOKUP($A328,'Dados StatusInvest'!$A:$AZ,COLUMN(Q328)-$A$5,0)/100),0)</f>
        <v>-0.034</v>
      </c>
      <c r="R328" s="56">
        <f>VLOOKUP($A328,'Dados StatusInvest'!$A:$AZ,COLUMN(R328)-$A$5,0)</f>
        <v>0</v>
      </c>
      <c r="S328" s="56">
        <f>IFERROR((VLOOKUP($A328,'Dados StatusInvest'!$A:$AZ,COLUMN(S328)-$A$5,0)),0)</f>
        <v>16.01</v>
      </c>
      <c r="T328" s="53">
        <f>IFERROR((VLOOKUP($A328,'Dados StatusInvest'!$A:$AZ,COLUMN(T328)-$A$5,0)/VLOOKUP($A328,'Dados StatusInvest'!$A:$AZ,2,0)*$F328),0)</f>
        <v>-0.06090909091</v>
      </c>
      <c r="U328" s="53">
        <f>IFERROR((VLOOKUP($A328,'Dados StatusInvest'!$A:$AZ,COLUMN(U328)-$A$5,0)-VLOOKUP($A328,'Dados StatusInvest'!$A:$AZ,COLUMN(U328)-$A$5-1,0)+T328),0)</f>
        <v>-0.2309090909</v>
      </c>
      <c r="V328" s="56">
        <f>IFERROR((VLOOKUP($A328,'Dados StatusInvest'!$A:$AZ,COLUMN(V328)-$A$5,0)),0)</f>
        <v>0.13</v>
      </c>
      <c r="W328" s="56">
        <f>IFERROR((VLOOKUP($A328,'Dados StatusInvest'!$A:$AZ,COLUMN(W328)-$A$5,0)),0)</f>
        <v>-23.84</v>
      </c>
      <c r="X328" s="53">
        <f>IFERROR((VLOOKUP($A328,'Dados StatusInvest'!$A:$AZ,COLUMN(X328)-$A$5,0)/VLOOKUP($A328,'Dados StatusInvest'!$A:$AZ,2,0)*$F328),0)</f>
        <v>-98.43924242</v>
      </c>
      <c r="Y328" s="54">
        <f>IFERROR((VLOOKUP($A328,'Dados StatusInvest'!$A:$AZ,COLUMN(Y328)-$A$5,0)/VLOOKUP($A328,'Dados StatusInvest'!$A:$AZ,2,0)*$F328),0)</f>
        <v>32.00772727</v>
      </c>
      <c r="Z328" s="56">
        <f>IFERROR((VLOOKUP($A328,'Dados StatusInvest'!$A:$AZ,COLUMN(Z328)-$A$5,0)),0)</f>
        <v>-4.07</v>
      </c>
      <c r="AA328" s="57">
        <f>IFERROR((VLOOKUP($A328,'Dados StatusInvest'!$A:$AZ,COLUMN(AA328)-$A$5,0)),0)</f>
        <v>5.07</v>
      </c>
      <c r="AB328" s="57">
        <f>IFERROR((VLOOKUP($A328,'Dados StatusInvest'!$A:$AZ,COLUMN(AB328)-$A$5,0)),0)</f>
        <v>0.01</v>
      </c>
      <c r="AC328" s="58">
        <f>IFERROR((VLOOKUP($A328,'Dados StatusInvest'!$A:$AZ,COLUMN(AC328)-$A$5,0)),0)</f>
        <v>-19.65</v>
      </c>
      <c r="AD328" s="57">
        <f>IFERROR((VLOOKUP($A328,'Dados StatusInvest'!$A:$AZ,COLUMN(AD328)-$A$5,0)),0)</f>
        <v>0</v>
      </c>
      <c r="AE328" s="56">
        <f>IFERROR((VLOOKUP($A328,'Dados StatusInvest'!$A:$AZ,COLUMN(AE328)-$A$5,0)),0)</f>
        <v>180392.2</v>
      </c>
      <c r="AF328" s="56">
        <f>IFERROR((VLOOKUP($A328,'Dados StatusInvest'!$A:$AZ,COLUMN(AF328)-$A$5,0)),0)</f>
        <v>-36.59</v>
      </c>
      <c r="AG328" s="56">
        <f>IFERROR((VLOOKUP($A328,'Dados StatusInvest'!$A:$AZ,COLUMN(AG328)-$A$5,0)),0)</f>
        <v>-8.72</v>
      </c>
      <c r="AH328" s="56">
        <f>IFERROR((VLOOKUP($A328,'Dados StatusInvest'!$A:$AZ,COLUMN(AH328)-$A$5,0)),0)</f>
        <v>0</v>
      </c>
      <c r="AI328" s="57">
        <f>IFERROR((VLOOKUP($A328,'Dados StatusInvest'!$A:$AZ,COLUMN(AI328)-$A$5,0)),0)</f>
        <v>62469396.76</v>
      </c>
      <c r="AJ328" s="59" t="str">
        <f>IFERROR((VLOOKUP($A328,'Dados StatusInvest'!$A:$AZ,COLUMN(AJ328)-$A$5,0)),0)</f>
        <v/>
      </c>
      <c r="AK328" s="60">
        <f>IFERROR(__xludf.DUMMYFUNCTION("IFERROR(GOOGLEFINANCE($A328,""high""),"""")"),1.34)</f>
        <v>1.34</v>
      </c>
      <c r="AL328" s="60">
        <f>IFERROR(__xludf.DUMMYFUNCTION("IFERROR(GOOGLEFINANCE($A328,""low""),"""")"),1.3)</f>
        <v>1.3</v>
      </c>
      <c r="AM328" s="61">
        <f t="shared" si="2"/>
        <v>0.03076923077</v>
      </c>
      <c r="AN328" s="62">
        <f>IFERROR(__xludf.DUMMYFUNCTION("IFERROR((GOOGLEFINANCE($A328,""volume"")),0)"),6400.0)</f>
        <v>6400</v>
      </c>
      <c r="AO328" s="60">
        <f>IFERROR(__xludf.DUMMYFUNCTION("IFERROR((GOOGLEFINANCE($A328,""closeyest"")),"""")"),1.32)</f>
        <v>1.32</v>
      </c>
      <c r="AP328" s="60">
        <f>IFERROR(__xludf.DUMMYFUNCTION("IFERROR((GOOGLEFINANCE($A328,""shares"")),"""")"),3.6324303E7)</f>
        <v>36324303</v>
      </c>
      <c r="AQ328" s="18"/>
    </row>
    <row r="329">
      <c r="A329" s="45" t="str">
        <f>'Dados StatusInvest'!A324:A943</f>
        <v>INEP4</v>
      </c>
      <c r="B329" s="46" t="str">
        <f>IFERROR(__xludf.DUMMYFUNCTION("IFERROR((GOOGLEFINANCE(A329,""name"")),"""")"),"Inepr SA Indstr e Constrs em Rcprco Jdcl Preference Shares")</f>
        <v>Inepr SA Indstr e Constrs em Rcprco Jdcl Preference Shares</v>
      </c>
      <c r="C329" s="46" t="str">
        <f>IFERROR((VLOOKUP(LEFT($A329,4),Setor!$A:$E,3,0)),"")</f>
        <v>Bens Industriais</v>
      </c>
      <c r="D329" s="46" t="str">
        <f>IFERROR((VLOOKUP(LEFT($A329,4),Setor!$A:$E,4,0)),"")</f>
        <v>Máquinas e Equipamentos</v>
      </c>
      <c r="E329" s="46" t="str">
        <f>IFERROR((VLOOKUP(LEFT($A329,4),Setor!$A:$E,5,0)),"")</f>
        <v>Máq. e Equip. Industriais</v>
      </c>
      <c r="F329" s="47">
        <f>IFERROR(__xludf.DUMMYFUNCTION("IFERROR((GOOGLEFINANCE(A329)),"""")"),1.15)</f>
        <v>1.15</v>
      </c>
      <c r="G329" s="48" t="str">
        <f>IFERROR(__xludf.DUMMYFUNCTION("IFERROR((sparkline(GOOGLEFINANCE($A329,""price"",TODAY()-30,TODAY(),""DAILY""),{""charttype"",""line"";""linewidth"",1;""color"",""#5f88cc""})),"""")"),"")</f>
        <v/>
      </c>
      <c r="H329" s="49">
        <f>IFERROR(__xludf.DUMMYFUNCTION("IFERROR((((GOOGLEFINANCE(A329))-(INDEX(GoogleFinance(A329,""PRICE"",$AQ$1),2,2)))/(INDEX(GoogleFinance(A329,""PRICE"",$AQ$1),2,2))),"""")"),-0.06504065040650413)</f>
        <v>-0.06504065041</v>
      </c>
      <c r="I329" s="47">
        <f>IFERROR(__xludf.DUMMYFUNCTION("IFERROR((GOOGLEFINANCE($A329,""high52"")),"""")"),2.23)</f>
        <v>2.23</v>
      </c>
      <c r="J329" s="48" t="str">
        <f>IFERROR(__xludf.DUMMYFUNCTION("IFERROR((sparkline(GOOGLEFINANCE($A329,""price"",TODAY()-365,TODAY(),""DAILY""),{""charttype"",""line"";""linewidth"",1;""color"",""#5f88cc""})),"""")"),"")</f>
        <v/>
      </c>
      <c r="K329" s="50">
        <f>IFERROR(__xludf.DUMMYFUNCTION("IFERROR((((GOOGLEFINANCE(A329))-(INDEX(GoogleFinance(A329,""PRICE"",$AP$1),2,2)))/(INDEX(GoogleFinance(A329,""PRICE"",$AP$1),2,2))),"""")"),-0.2333333333333334)</f>
        <v>-0.2333333333</v>
      </c>
      <c r="L329" s="51">
        <f t="shared" si="1"/>
        <v>-0.4843049327</v>
      </c>
      <c r="M329" s="52">
        <f>IFERROR((VLOOKUP($A329,'Dados StatusInvest'!$A:$AZ,COLUMN(M329)-$A$5,0)*VLOOKUP($A329,'Dados StatusInvest'!$A:$AZ,2,0)/$F329/100),0)</f>
        <v>-66.5099</v>
      </c>
      <c r="N329" s="53">
        <f>IFERROR((VLOOKUP($A329,'Dados StatusInvest'!$A:$AZ,COLUMN(N329)-$A$5,0)/VLOOKUP($A329,'Dados StatusInvest'!$A:$AZ,2,0)*$F329),"")</f>
        <v>-10578.4</v>
      </c>
      <c r="O329" s="53">
        <f>IFERROR((VLOOKUP($A329,'Dados StatusInvest'!$A:$AZ,COLUMN(O329)-$A$5,0)/VLOOKUP($A329,'Dados StatusInvest'!$A:$AZ,2,0)*$F329),0)</f>
        <v>-0.21</v>
      </c>
      <c r="P329" s="54">
        <f>IFERROR((VLOOKUP($A329,'Dados StatusInvest'!$A:$AZ,COLUMN(P329)-$A$5,0)/VLOOKUP($A329,'Dados StatusInvest'!$A:$AZ,2,0)*$F329),0)</f>
        <v>-3.63</v>
      </c>
      <c r="Q329" s="55">
        <f>IFERROR((VLOOKUP($A329,'Dados StatusInvest'!$A:$AZ,COLUMN(Q329)-$A$5,0)/100),0)</f>
        <v>-0.034</v>
      </c>
      <c r="R329" s="56">
        <f>VLOOKUP($A329,'Dados StatusInvest'!$A:$AZ,COLUMN(R329)-$A$5,0)</f>
        <v>0</v>
      </c>
      <c r="S329" s="56">
        <f>IFERROR((VLOOKUP($A329,'Dados StatusInvest'!$A:$AZ,COLUMN(S329)-$A$5,0)),0)</f>
        <v>13.95</v>
      </c>
      <c r="T329" s="53">
        <f>IFERROR((VLOOKUP($A329,'Dados StatusInvest'!$A:$AZ,COLUMN(T329)-$A$5,0)/VLOOKUP($A329,'Dados StatusInvest'!$A:$AZ,2,0)*$F329),0)</f>
        <v>-0.05</v>
      </c>
      <c r="U329" s="53">
        <f>IFERROR((VLOOKUP($A329,'Dados StatusInvest'!$A:$AZ,COLUMN(U329)-$A$5,0)-VLOOKUP($A329,'Dados StatusInvest'!$A:$AZ,COLUMN(U329)-$A$5-1,0)+T329),0)</f>
        <v>-0.2</v>
      </c>
      <c r="V329" s="56">
        <f>IFERROR((VLOOKUP($A329,'Dados StatusInvest'!$A:$AZ,COLUMN(V329)-$A$5,0)),0)</f>
        <v>0.13</v>
      </c>
      <c r="W329" s="56">
        <f>IFERROR((VLOOKUP($A329,'Dados StatusInvest'!$A:$AZ,COLUMN(W329)-$A$5,0)),0)</f>
        <v>-23.84</v>
      </c>
      <c r="X329" s="53">
        <f>IFERROR((VLOOKUP($A329,'Dados StatusInvest'!$A:$AZ,COLUMN(X329)-$A$5,0)/VLOOKUP($A329,'Dados StatusInvest'!$A:$AZ,2,0)*$F329),0)</f>
        <v>-96.97</v>
      </c>
      <c r="Y329" s="54">
        <f>IFERROR((VLOOKUP($A329,'Dados StatusInvest'!$A:$AZ,COLUMN(Y329)-$A$5,0)/VLOOKUP($A329,'Dados StatusInvest'!$A:$AZ,2,0)*$F329),0)</f>
        <v>31.53</v>
      </c>
      <c r="Z329" s="56">
        <f>IFERROR((VLOOKUP($A329,'Dados StatusInvest'!$A:$AZ,COLUMN(Z329)-$A$5,0)),0)</f>
        <v>-4.07</v>
      </c>
      <c r="AA329" s="57">
        <f>IFERROR((VLOOKUP($A329,'Dados StatusInvest'!$A:$AZ,COLUMN(AA329)-$A$5,0)),0)</f>
        <v>5.07</v>
      </c>
      <c r="AB329" s="57">
        <f>IFERROR((VLOOKUP($A329,'Dados StatusInvest'!$A:$AZ,COLUMN(AB329)-$A$5,0)),0)</f>
        <v>0.01</v>
      </c>
      <c r="AC329" s="58">
        <f>IFERROR((VLOOKUP($A329,'Dados StatusInvest'!$A:$AZ,COLUMN(AC329)-$A$5,0)),0)</f>
        <v>-19.65</v>
      </c>
      <c r="AD329" s="57">
        <f>IFERROR((VLOOKUP($A329,'Dados StatusInvest'!$A:$AZ,COLUMN(AD329)-$A$5,0)),0)</f>
        <v>0</v>
      </c>
      <c r="AE329" s="56">
        <f>IFERROR((VLOOKUP($A329,'Dados StatusInvest'!$A:$AZ,COLUMN(AE329)-$A$5,0)),0)</f>
        <v>62412.29</v>
      </c>
      <c r="AF329" s="56">
        <f>IFERROR((VLOOKUP($A329,'Dados StatusInvest'!$A:$AZ,COLUMN(AF329)-$A$5,0)),0)</f>
        <v>-36.59</v>
      </c>
      <c r="AG329" s="56">
        <f>IFERROR((VLOOKUP($A329,'Dados StatusInvest'!$A:$AZ,COLUMN(AG329)-$A$5,0)),0)</f>
        <v>-8.72</v>
      </c>
      <c r="AH329" s="56">
        <f>IFERROR((VLOOKUP($A329,'Dados StatusInvest'!$A:$AZ,COLUMN(AH329)-$A$5,0)),0)</f>
        <v>0</v>
      </c>
      <c r="AI329" s="57">
        <f>IFERROR((VLOOKUP($A329,'Dados StatusInvest'!$A:$AZ,COLUMN(AI329)-$A$5,0)),0)</f>
        <v>62469396.76</v>
      </c>
      <c r="AJ329" s="59" t="str">
        <f>IFERROR((VLOOKUP($A329,'Dados StatusInvest'!$A:$AZ,COLUMN(AJ329)-$A$5,0)),0)</f>
        <v/>
      </c>
      <c r="AK329" s="60" t="str">
        <f>IFERROR(__xludf.DUMMYFUNCTION("IFERROR(GOOGLEFINANCE($A329,""high""),"""")"),"")</f>
        <v/>
      </c>
      <c r="AL329" s="60" t="str">
        <f>IFERROR(__xludf.DUMMYFUNCTION("IFERROR(GOOGLEFINANCE($A329,""low""),"""")"),"")</f>
        <v/>
      </c>
      <c r="AM329" s="61">
        <f t="shared" si="2"/>
        <v>0</v>
      </c>
      <c r="AN329" s="62">
        <f>IFERROR(__xludf.DUMMYFUNCTION("IFERROR((GOOGLEFINANCE($A329,""volume"")),0)"),0.0)</f>
        <v>0</v>
      </c>
      <c r="AO329" s="60">
        <f>IFERROR(__xludf.DUMMYFUNCTION("IFERROR((GOOGLEFINANCE($A329,""closeyest"")),"""")"),1.15)</f>
        <v>1.15</v>
      </c>
      <c r="AP329" s="60">
        <f>IFERROR(__xludf.DUMMYFUNCTION("IFERROR((GOOGLEFINANCE($A329,""shares"")),"""")"),1.2627232E7)</f>
        <v>12627232</v>
      </c>
      <c r="AQ329" s="18"/>
    </row>
    <row r="330">
      <c r="A330" s="45" t="str">
        <f>'Dados StatusInvest'!A325:A944</f>
        <v>INNT3</v>
      </c>
      <c r="B330" s="46" t="str">
        <f>IFERROR(__xludf.DUMMYFUNCTION("IFERROR((GOOGLEFINANCE(A330,""name"")),"""")"),"")</f>
        <v/>
      </c>
      <c r="C330" s="46" t="str">
        <f>IFERROR((VLOOKUP(LEFT($A330,4),Setor!$A:$E,3,0)),"")</f>
        <v>Consumo Cíclico</v>
      </c>
      <c r="D330" s="46" t="str">
        <f>IFERROR((VLOOKUP(LEFT($A330,4),Setor!$A:$E,4,0)),"")</f>
        <v>Construção Civil</v>
      </c>
      <c r="E330" s="46" t="str">
        <f>IFERROR((VLOOKUP(LEFT($A330,4),Setor!$A:$E,5,0)),"")</f>
        <v>Incorporações</v>
      </c>
      <c r="F330" s="47" t="str">
        <f>IFERROR(__xludf.DUMMYFUNCTION("IFERROR((GOOGLEFINANCE(A330)),"""")"),"")</f>
        <v/>
      </c>
      <c r="G330" s="48" t="str">
        <f>IFERROR(__xludf.DUMMYFUNCTION("IFERROR((sparkline(GOOGLEFINANCE($A330,""price"",TODAY()-30,TODAY(),""DAILY""),{""charttype"",""line"";""linewidth"",1;""color"",""#5f88cc""})),"""")"),"")</f>
        <v/>
      </c>
      <c r="H330" s="49" t="str">
        <f>IFERROR(__xludf.DUMMYFUNCTION("IFERROR((((GOOGLEFINANCE(A330))-(INDEX(GoogleFinance(A330,""PRICE"",$AQ$1),2,2)))/(INDEX(GoogleFinance(A330,""PRICE"",$AQ$1),2,2))),"""")"),"")</f>
        <v/>
      </c>
      <c r="I330" s="47" t="str">
        <f>IFERROR(__xludf.DUMMYFUNCTION("IFERROR((GOOGLEFINANCE($A330,""high52"")),"""")"),"")</f>
        <v/>
      </c>
      <c r="J330" s="48" t="str">
        <f>IFERROR(__xludf.DUMMYFUNCTION("IFERROR((sparkline(GOOGLEFINANCE($A330,""price"",TODAY()-365,TODAY(),""DAILY""),{""charttype"",""line"";""linewidth"",1;""color"",""#5f88cc""})),"""")"),"")</f>
        <v/>
      </c>
      <c r="K330" s="50" t="str">
        <f>IFERROR(__xludf.DUMMYFUNCTION("IFERROR((((GOOGLEFINANCE(A330))-(INDEX(GoogleFinance(A330,""PRICE"",$AP$1),2,2)))/(INDEX(GoogleFinance(A330,""PRICE"",$AP$1),2,2))),"""")"),"")</f>
        <v/>
      </c>
      <c r="L330" s="51">
        <f t="shared" si="1"/>
        <v>0</v>
      </c>
      <c r="M330" s="52">
        <f>IFERROR((VLOOKUP($A330,'Dados StatusInvest'!$A:$AZ,COLUMN(M330)-$A$5,0)*VLOOKUP($A330,'Dados StatusInvest'!$A:$AZ,2,0)/$F330/100),0)</f>
        <v>0</v>
      </c>
      <c r="N330" s="53" t="str">
        <f>IFERROR((VLOOKUP($A330,'Dados StatusInvest'!$A:$AZ,COLUMN(N330)-$A$5,0)/VLOOKUP($A330,'Dados StatusInvest'!$A:$AZ,2,0)*$F330),"")</f>
        <v/>
      </c>
      <c r="O330" s="53">
        <f>IFERROR((VLOOKUP($A330,'Dados StatusInvest'!$A:$AZ,COLUMN(O330)-$A$5,0)/VLOOKUP($A330,'Dados StatusInvest'!$A:$AZ,2,0)*$F330),0)</f>
        <v>0</v>
      </c>
      <c r="P330" s="54">
        <f>IFERROR((VLOOKUP($A330,'Dados StatusInvest'!$A:$AZ,COLUMN(P330)-$A$5,0)/VLOOKUP($A330,'Dados StatusInvest'!$A:$AZ,2,0)*$F330),0)</f>
        <v>0</v>
      </c>
      <c r="Q330" s="55">
        <f>IFERROR((VLOOKUP($A330,'Dados StatusInvest'!$A:$AZ,COLUMN(Q330)-$A$5,0)/100),0)</f>
        <v>0.0478</v>
      </c>
      <c r="R330" s="56">
        <f>VLOOKUP($A330,'Dados StatusInvest'!$A:$AZ,COLUMN(R330)-$A$5,0)</f>
        <v>1.5</v>
      </c>
      <c r="S330" s="56">
        <f>IFERROR((VLOOKUP($A330,'Dados StatusInvest'!$A:$AZ,COLUMN(S330)-$A$5,0)),0)</f>
        <v>0</v>
      </c>
      <c r="T330" s="53">
        <f>IFERROR((VLOOKUP($A330,'Dados StatusInvest'!$A:$AZ,COLUMN(T330)-$A$5,0)/VLOOKUP($A330,'Dados StatusInvest'!$A:$AZ,2,0)*$F330),0)</f>
        <v>0</v>
      </c>
      <c r="U330" s="53">
        <f>IFERROR((VLOOKUP($A330,'Dados StatusInvest'!$A:$AZ,COLUMN(U330)-$A$5,0)-VLOOKUP($A330,'Dados StatusInvest'!$A:$AZ,COLUMN(U330)-$A$5-1,0)+T330),0)</f>
        <v>0</v>
      </c>
      <c r="V330" s="56">
        <f>IFERROR((VLOOKUP($A330,'Dados StatusInvest'!$A:$AZ,COLUMN(V330)-$A$5,0)),0)</f>
        <v>2.06</v>
      </c>
      <c r="W330" s="56">
        <f>IFERROR((VLOOKUP($A330,'Dados StatusInvest'!$A:$AZ,COLUMN(W330)-$A$5,0)),0)</f>
        <v>30.96</v>
      </c>
      <c r="X330" s="53">
        <f>IFERROR((VLOOKUP($A330,'Dados StatusInvest'!$A:$AZ,COLUMN(X330)-$A$5,0)/VLOOKUP($A330,'Dados StatusInvest'!$A:$AZ,2,0)*$F330),0)</f>
        <v>0</v>
      </c>
      <c r="Y330" s="54">
        <f>IFERROR((VLOOKUP($A330,'Dados StatusInvest'!$A:$AZ,COLUMN(Y330)-$A$5,0)/VLOOKUP($A330,'Dados StatusInvest'!$A:$AZ,2,0)*$F330),0)</f>
        <v>0</v>
      </c>
      <c r="Z330" s="56">
        <f>IFERROR((VLOOKUP($A330,'Dados StatusInvest'!$A:$AZ,COLUMN(Z330)-$A$5,0)),0)</f>
        <v>0.15</v>
      </c>
      <c r="AA330" s="57">
        <f>IFERROR((VLOOKUP($A330,'Dados StatusInvest'!$A:$AZ,COLUMN(AA330)-$A$5,0)),0)</f>
        <v>0.85</v>
      </c>
      <c r="AB330" s="57">
        <f>IFERROR((VLOOKUP($A330,'Dados StatusInvest'!$A:$AZ,COLUMN(AB330)-$A$5,0)),0)</f>
        <v>0.35</v>
      </c>
      <c r="AC330" s="58">
        <f>IFERROR((VLOOKUP($A330,'Dados StatusInvest'!$A:$AZ,COLUMN(AC330)-$A$5,0)),0)</f>
        <v>20.14</v>
      </c>
      <c r="AD330" s="57">
        <f>IFERROR((VLOOKUP($A330,'Dados StatusInvest'!$A:$AZ,COLUMN(AD330)-$A$5,0)),0)</f>
        <v>0</v>
      </c>
      <c r="AE330" s="56">
        <f>IFERROR((VLOOKUP($A330,'Dados StatusInvest'!$A:$AZ,COLUMN(AE330)-$A$5,0)),0)</f>
        <v>0</v>
      </c>
      <c r="AF330" s="56">
        <f>IFERROR((VLOOKUP($A330,'Dados StatusInvest'!$A:$AZ,COLUMN(AF330)-$A$5,0)),0)</f>
        <v>2.82</v>
      </c>
      <c r="AG330" s="56">
        <f>IFERROR((VLOOKUP($A330,'Dados StatusInvest'!$A:$AZ,COLUMN(AG330)-$A$5,0)),0)</f>
        <v>0.87</v>
      </c>
      <c r="AH330" s="56">
        <f>IFERROR((VLOOKUP($A330,'Dados StatusInvest'!$A:$AZ,COLUMN(AH330)-$A$5,0)),0)</f>
        <v>0</v>
      </c>
      <c r="AI330" s="57">
        <f>IFERROR((VLOOKUP($A330,'Dados StatusInvest'!$A:$AZ,COLUMN(AI330)-$A$5,0)),0)</f>
        <v>0</v>
      </c>
      <c r="AJ330" s="59" t="str">
        <f>IFERROR((VLOOKUP($A330,'Dados StatusInvest'!$A:$AZ,COLUMN(AJ330)-$A$5,0)),0)</f>
        <v/>
      </c>
      <c r="AK330" s="60" t="str">
        <f>IFERROR(__xludf.DUMMYFUNCTION("IFERROR(GOOGLEFINANCE($A330,""high""),"""")"),"")</f>
        <v/>
      </c>
      <c r="AL330" s="60" t="str">
        <f>IFERROR(__xludf.DUMMYFUNCTION("IFERROR(GOOGLEFINANCE($A330,""low""),"""")"),"")</f>
        <v/>
      </c>
      <c r="AM330" s="61">
        <f t="shared" si="2"/>
        <v>0</v>
      </c>
      <c r="AN330" s="62">
        <f>IFERROR(__xludf.DUMMYFUNCTION("IFERROR((GOOGLEFINANCE($A330,""volume"")),0)"),0.0)</f>
        <v>0</v>
      </c>
      <c r="AO330" s="60" t="str">
        <f>IFERROR(__xludf.DUMMYFUNCTION("IFERROR((GOOGLEFINANCE($A330,""closeyest"")),"""")"),"")</f>
        <v/>
      </c>
      <c r="AP330" s="60" t="str">
        <f>IFERROR(__xludf.DUMMYFUNCTION("IFERROR((GOOGLEFINANCE($A330,""shares"")),"""")"),"")</f>
        <v/>
      </c>
      <c r="AQ330" s="18"/>
    </row>
    <row r="331">
      <c r="A331" s="45" t="str">
        <f>'Dados StatusInvest'!A326:A945</f>
        <v>INTB3</v>
      </c>
      <c r="B331" s="46" t="str">
        <f>IFERROR(__xludf.DUMMYFUNCTION("IFERROR((GOOGLEFINANCE(A331,""name"")),"""")"),"Intelbras SA IndustrdTlcmnccEltrncBrslr")</f>
        <v>Intelbras SA IndustrdTlcmnccEltrncBrslr</v>
      </c>
      <c r="C331" s="46" t="str">
        <f>IFERROR((VLOOKUP(LEFT($A331,4),Setor!$A:$E,3,0)),"")</f>
        <v>Tecnologia da Informação</v>
      </c>
      <c r="D331" s="46" t="str">
        <f>IFERROR((VLOOKUP(LEFT($A331,4),Setor!$A:$E,4,0)),"")</f>
        <v>Telecomunicações</v>
      </c>
      <c r="E331" s="46" t="str">
        <f>IFERROR((VLOOKUP(LEFT($A331,4),Setor!$A:$E,5,0)),"")</f>
        <v>Telecomunicações</v>
      </c>
      <c r="F331" s="47">
        <f>IFERROR(__xludf.DUMMYFUNCTION("IFERROR((GOOGLEFINANCE(A331)),"""")"),12.7)</f>
        <v>12.7</v>
      </c>
      <c r="G331" s="48" t="str">
        <f>IFERROR(__xludf.DUMMYFUNCTION("IFERROR((sparkline(GOOGLEFINANCE($A331,""price"",TODAY()-30,TODAY(),""DAILY""),{""charttype"",""line"";""linewidth"",1;""color"",""#5f88cc""})),"""")"),"")</f>
        <v/>
      </c>
      <c r="H331" s="49">
        <f>IFERROR(__xludf.DUMMYFUNCTION("IFERROR((((GOOGLEFINANCE(A331))-(INDEX(GoogleFinance(A331,""PRICE"",$AQ$1),2,2)))/(INDEX(GoogleFinance(A331,""PRICE"",$AQ$1),2,2))),"""")"),0.15454545454545449)</f>
        <v>0.1545454545</v>
      </c>
      <c r="I331" s="47">
        <f>IFERROR(__xludf.DUMMYFUNCTION("IFERROR((GOOGLEFINANCE($A331,""high52"")),"""")"),15.42)</f>
        <v>15.42</v>
      </c>
      <c r="J331" s="48" t="str">
        <f>IFERROR(__xludf.DUMMYFUNCTION("IFERROR((sparkline(GOOGLEFINANCE($A331,""price"",TODAY()-365,TODAY(),""DAILY""),{""charttype"",""line"";""linewidth"",1;""color"",""#5f88cc""})),"""")"),"")</f>
        <v/>
      </c>
      <c r="K331" s="50">
        <f>IFERROR(__xludf.DUMMYFUNCTION("IFERROR((((GOOGLEFINANCE(A331))-(INDEX(GoogleFinance(A331,""PRICE"",$AP$1),2,2)))/(INDEX(GoogleFinance(A331,""PRICE"",$AP$1),2,2))),"""")"),-0.1589403973509934)</f>
        <v>-0.1589403974</v>
      </c>
      <c r="L331" s="51">
        <f t="shared" si="1"/>
        <v>-0.1763942931</v>
      </c>
      <c r="M331" s="52">
        <f>IFERROR((VLOOKUP($A331,'Dados StatusInvest'!$A:$AZ,COLUMN(M331)-$A$5,0)*VLOOKUP($A331,'Dados StatusInvest'!$A:$AZ,2,0)/$F331/100),0)</f>
        <v>0.09432228346</v>
      </c>
      <c r="N331" s="53">
        <f>IFERROR((VLOOKUP($A331,'Dados StatusInvest'!$A:$AZ,COLUMN(N331)-$A$5,0)/VLOOKUP($A331,'Dados StatusInvest'!$A:$AZ,2,0)*$F331),"")</f>
        <v>10.2956795</v>
      </c>
      <c r="O331" s="53">
        <f>IFERROR((VLOOKUP($A331,'Dados StatusInvest'!$A:$AZ,COLUMN(O331)-$A$5,0)/VLOOKUP($A331,'Dados StatusInvest'!$A:$AZ,2,0)*$F331),0)</f>
        <v>9.657187745</v>
      </c>
      <c r="P331" s="54">
        <f>IFERROR((VLOOKUP($A331,'Dados StatusInvest'!$A:$AZ,COLUMN(P331)-$A$5,0)/VLOOKUP($A331,'Dados StatusInvest'!$A:$AZ,2,0)*$F331),0)</f>
        <v>9.178318932</v>
      </c>
      <c r="Q331" s="55">
        <f>IFERROR((VLOOKUP($A331,'Dados StatusInvest'!$A:$AZ,COLUMN(Q331)-$A$5,0)/100),0)</f>
        <v>-0.0048</v>
      </c>
      <c r="R331" s="56">
        <f>VLOOKUP($A331,'Dados StatusInvest'!$A:$AZ,COLUMN(R331)-$A$5,0)</f>
        <v>-0.07</v>
      </c>
      <c r="S331" s="56">
        <f>IFERROR((VLOOKUP($A331,'Dados StatusInvest'!$A:$AZ,COLUMN(S331)-$A$5,0)),0)</f>
        <v>0.91</v>
      </c>
      <c r="T331" s="53">
        <f>IFERROR((VLOOKUP($A331,'Dados StatusInvest'!$A:$AZ,COLUMN(T331)-$A$5,0)/VLOOKUP($A331,'Dados StatusInvest'!$A:$AZ,2,0)*$F331),0)</f>
        <v>1.676040848</v>
      </c>
      <c r="U331" s="53">
        <f>IFERROR((VLOOKUP($A331,'Dados StatusInvest'!$A:$AZ,COLUMN(U331)-$A$5,0)-VLOOKUP($A331,'Dados StatusInvest'!$A:$AZ,COLUMN(U331)-$A$5-1,0)+T331),0)</f>
        <v>-2.823959152</v>
      </c>
      <c r="V331" s="56">
        <f>IFERROR((VLOOKUP($A331,'Dados StatusInvest'!$A:$AZ,COLUMN(V331)-$A$5,0)),0)</f>
        <v>2.54</v>
      </c>
      <c r="W331" s="56">
        <f>IFERROR((VLOOKUP($A331,'Dados StatusInvest'!$A:$AZ,COLUMN(W331)-$A$5,0)),0)</f>
        <v>14.99</v>
      </c>
      <c r="X331" s="53">
        <f>IFERROR((VLOOKUP($A331,'Dados StatusInvest'!$A:$AZ,COLUMN(X331)-$A$5,0)/VLOOKUP($A331,'Dados StatusInvest'!$A:$AZ,2,0)*$F331),0)</f>
        <v>8.43008641</v>
      </c>
      <c r="Y331" s="54">
        <f>IFERROR((VLOOKUP($A331,'Dados StatusInvest'!$A:$AZ,COLUMN(Y331)-$A$5,0)/VLOOKUP($A331,'Dados StatusInvest'!$A:$AZ,2,0)*$F331),0)</f>
        <v>8.849096622</v>
      </c>
      <c r="Z331" s="56">
        <f>IFERROR((VLOOKUP($A331,'Dados StatusInvest'!$A:$AZ,COLUMN(Z331)-$A$5,0)),0)</f>
        <v>0.56</v>
      </c>
      <c r="AA331" s="57">
        <f>IFERROR((VLOOKUP($A331,'Dados StatusInvest'!$A:$AZ,COLUMN(AA331)-$A$5,0)),0)</f>
        <v>0.43</v>
      </c>
      <c r="AB331" s="57">
        <f>IFERROR((VLOOKUP($A331,'Dados StatusInvest'!$A:$AZ,COLUMN(AB331)-$A$5,0)),0)</f>
        <v>0.82</v>
      </c>
      <c r="AC331" s="58">
        <f>IFERROR((VLOOKUP($A331,'Dados StatusInvest'!$A:$AZ,COLUMN(AC331)-$A$5,0)),0)</f>
        <v>22.88</v>
      </c>
      <c r="AD331" s="57">
        <f>IFERROR((VLOOKUP($A331,'Dados StatusInvest'!$A:$AZ,COLUMN(AD331)-$A$5,0)),0)</f>
        <v>20.07</v>
      </c>
      <c r="AE331" s="56">
        <f>IFERROR((VLOOKUP($A331,'Dados StatusInvest'!$A:$AZ,COLUMN(AE331)-$A$5,0)),0)</f>
        <v>21330843</v>
      </c>
      <c r="AF331" s="56">
        <f>IFERROR((VLOOKUP($A331,'Dados StatusInvest'!$A:$AZ,COLUMN(AF331)-$A$5,0)),0)</f>
        <v>9.63</v>
      </c>
      <c r="AG331" s="56">
        <f>IFERROR((VLOOKUP($A331,'Dados StatusInvest'!$A:$AZ,COLUMN(AG331)-$A$5,0)),0)</f>
        <v>1.44</v>
      </c>
      <c r="AH331" s="56">
        <f>IFERROR((VLOOKUP($A331,'Dados StatusInvest'!$A:$AZ,COLUMN(AH331)-$A$5,0)),0)</f>
        <v>-0.45</v>
      </c>
      <c r="AI331" s="57">
        <f>IFERROR((VLOOKUP($A331,'Dados StatusInvest'!$A:$AZ,COLUMN(AI331)-$A$5,0)),0)</f>
        <v>4170489430</v>
      </c>
      <c r="AJ331" s="59" t="str">
        <f>IFERROR((VLOOKUP($A331,'Dados StatusInvest'!$A:$AZ,COLUMN(AJ331)-$A$5,0)),0)</f>
        <v/>
      </c>
      <c r="AK331" s="60">
        <f>IFERROR(__xludf.DUMMYFUNCTION("IFERROR(GOOGLEFINANCE($A331,""high""),"""")"),12.8)</f>
        <v>12.8</v>
      </c>
      <c r="AL331" s="60">
        <f>IFERROR(__xludf.DUMMYFUNCTION("IFERROR(GOOGLEFINANCE($A331,""low""),"""")"),12.63)</f>
        <v>12.63</v>
      </c>
      <c r="AM331" s="61">
        <f t="shared" si="2"/>
        <v>0.01346001584</v>
      </c>
      <c r="AN331" s="62">
        <f>IFERROR(__xludf.DUMMYFUNCTION("IFERROR((GOOGLEFINANCE($A331,""volume"")),0)"),37300.0)</f>
        <v>37300</v>
      </c>
      <c r="AO331" s="60">
        <f>IFERROR(__xludf.DUMMYFUNCTION("IFERROR((GOOGLEFINANCE($A331,""closeyest"")),"""")"),12.73)</f>
        <v>12.73</v>
      </c>
      <c r="AP331" s="60">
        <f>IFERROR(__xludf.DUMMYFUNCTION("IFERROR((GOOGLEFINANCE($A331,""shares"")),"""")"),3.2761111E8)</f>
        <v>327611110</v>
      </c>
      <c r="AQ331" s="18"/>
    </row>
    <row r="332">
      <c r="A332" s="45" t="str">
        <f>'Dados StatusInvest'!A327:A946</f>
        <v>IRBR3</v>
      </c>
      <c r="B332" s="46" t="str">
        <f>IFERROR(__xludf.DUMMYFUNCTION("IFERROR((GOOGLEFINANCE(A332,""name"")),"""")"),"IRB-Brasil Resseguros SA")</f>
        <v>IRB-Brasil Resseguros SA</v>
      </c>
      <c r="C332" s="46" t="str">
        <f>IFERROR((VLOOKUP(LEFT($A332,4),Setor!$A:$E,3,0)),"")</f>
        <v>Financeiro</v>
      </c>
      <c r="D332" s="46" t="str">
        <f>IFERROR((VLOOKUP(LEFT($A332,4),Setor!$A:$E,4,0)),"")</f>
        <v>Previdência e Seguros</v>
      </c>
      <c r="E332" s="46" t="str">
        <f>IFERROR((VLOOKUP(LEFT($A332,4),Setor!$A:$E,5,0)),"")</f>
        <v>Seguradoras</v>
      </c>
      <c r="F332" s="47">
        <f>IFERROR(__xludf.DUMMYFUNCTION("IFERROR((GOOGLEFINANCE(A332)),"""")"),58.65)</f>
        <v>58.65</v>
      </c>
      <c r="G332" s="48" t="str">
        <f>IFERROR(__xludf.DUMMYFUNCTION("IFERROR((sparkline(GOOGLEFINANCE($A332,""price"",TODAY()-30,TODAY(),""DAILY""),{""charttype"",""line"";""linewidth"",1;""color"",""#5f88cc""})),"""")"),"")</f>
        <v/>
      </c>
      <c r="H332" s="49">
        <f>IFERROR(__xludf.DUMMYFUNCTION("IFERROR((((GOOGLEFINANCE(A332))-(INDEX(GoogleFinance(A332,""PRICE"",$AQ$1),2,2)))/(INDEX(GoogleFinance(A332,""PRICE"",$AQ$1),2,2))),"""")"),0.07358594179022507)</f>
        <v>0.07358594179</v>
      </c>
      <c r="I332" s="47">
        <f>IFERROR(__xludf.DUMMYFUNCTION("IFERROR((GOOGLEFINANCE($A332,""high52"")),"""")"),61.45)</f>
        <v>61.45</v>
      </c>
      <c r="J332" s="48" t="str">
        <f>IFERROR(__xludf.DUMMYFUNCTION("IFERROR((sparkline(GOOGLEFINANCE($A332,""price"",TODAY()-365,TODAY(),""DAILY""),{""charttype"",""line"";""linewidth"",1;""color"",""#5f88cc""})),"""")"),"")</f>
        <v/>
      </c>
      <c r="K332" s="50">
        <f>IFERROR(__xludf.DUMMYFUNCTION("IFERROR((((GOOGLEFINANCE(A332))-(INDEX(GoogleFinance(A332,""PRICE"",$AP$1),2,2)))/(INDEX(GoogleFinance(A332,""PRICE"",$AP$1),2,2))),"""")"),0.07911683532658688)</f>
        <v>0.07911683533</v>
      </c>
      <c r="L332" s="51">
        <f t="shared" si="1"/>
        <v>-0.04556550041</v>
      </c>
      <c r="M332" s="52">
        <f>IFERROR((VLOOKUP($A332,'Dados StatusInvest'!$A:$AZ,COLUMN(M332)-$A$5,0)*VLOOKUP($A332,'Dados StatusInvest'!$A:$AZ,2,0)/$F332/100),0)</f>
        <v>0.1166666326</v>
      </c>
      <c r="N332" s="53">
        <f>IFERROR((VLOOKUP($A332,'Dados StatusInvest'!$A:$AZ,COLUMN(N332)-$A$5,0)/VLOOKUP($A332,'Dados StatusInvest'!$A:$AZ,2,0)*$F332),"")</f>
        <v>9.520459926</v>
      </c>
      <c r="O332" s="53">
        <f>IFERROR((VLOOKUP($A332,'Dados StatusInvest'!$A:$AZ,COLUMN(O332)-$A$5,0)/VLOOKUP($A332,'Dados StatusInvest'!$A:$AZ,2,0)*$F332),0)</f>
        <v>7.437859317</v>
      </c>
      <c r="P332" s="54">
        <f>IFERROR((VLOOKUP($A332,'Dados StatusInvest'!$A:$AZ,COLUMN(P332)-$A$5,0)/VLOOKUP($A332,'Dados StatusInvest'!$A:$AZ,2,0)*$F332),0)</f>
        <v>7.437859317</v>
      </c>
      <c r="Q332" s="55">
        <f>IFERROR((VLOOKUP($A332,'Dados StatusInvest'!$A:$AZ,COLUMN(Q332)-$A$5,0)/100),0)</f>
        <v>0</v>
      </c>
      <c r="R332" s="56">
        <f>VLOOKUP($A332,'Dados StatusInvest'!$A:$AZ,COLUMN(R332)-$A$5,0)</f>
        <v>0</v>
      </c>
      <c r="S332" s="56">
        <f>IFERROR((VLOOKUP($A332,'Dados StatusInvest'!$A:$AZ,COLUMN(S332)-$A$5,0)),0)</f>
        <v>0.87</v>
      </c>
      <c r="T332" s="53">
        <f>IFERROR((VLOOKUP($A332,'Dados StatusInvest'!$A:$AZ,COLUMN(T332)-$A$5,0)/VLOOKUP($A332,'Dados StatusInvest'!$A:$AZ,2,0)*$F332),0)</f>
        <v>2.1024349</v>
      </c>
      <c r="U332" s="53">
        <f>IFERROR((VLOOKUP($A332,'Dados StatusInvest'!$A:$AZ,COLUMN(U332)-$A$5,0)-VLOOKUP($A332,'Dados StatusInvest'!$A:$AZ,COLUMN(U332)-$A$5-1,0)+T332),0)</f>
        <v>-0.5375650998</v>
      </c>
      <c r="V332" s="56">
        <f>IFERROR((VLOOKUP($A332,'Dados StatusInvest'!$A:$AZ,COLUMN(V332)-$A$5,0)),0)</f>
        <v>1.56</v>
      </c>
      <c r="W332" s="56">
        <f>IFERROR((VLOOKUP($A332,'Dados StatusInvest'!$A:$AZ,COLUMN(W332)-$A$5,0)),0)</f>
        <v>10.05</v>
      </c>
      <c r="X332" s="53">
        <f>IFERROR((VLOOKUP($A332,'Dados StatusInvest'!$A:$AZ,COLUMN(X332)-$A$5,0)/VLOOKUP($A332,'Dados StatusInvest'!$A:$AZ,2,0)*$F332),0)</f>
        <v>3.391663848</v>
      </c>
      <c r="Y332" s="54">
        <f>IFERROR((VLOOKUP($A332,'Dados StatusInvest'!$A:$AZ,COLUMN(Y332)-$A$5,0)/VLOOKUP($A332,'Dados StatusInvest'!$A:$AZ,2,0)*$F332),0)</f>
        <v>0</v>
      </c>
      <c r="Z332" s="56">
        <f>IFERROR((VLOOKUP($A332,'Dados StatusInvest'!$A:$AZ,COLUMN(Z332)-$A$5,0)),0)</f>
        <v>0.34</v>
      </c>
      <c r="AA332" s="57">
        <f>IFERROR((VLOOKUP($A332,'Dados StatusInvest'!$A:$AZ,COLUMN(AA332)-$A$5,0)),0)</f>
        <v>0.66</v>
      </c>
      <c r="AB332" s="57">
        <f>IFERROR((VLOOKUP($A332,'Dados StatusInvest'!$A:$AZ,COLUMN(AB332)-$A$5,0)),0)</f>
        <v>0.36</v>
      </c>
      <c r="AC332" s="58">
        <f>IFERROR((VLOOKUP($A332,'Dados StatusInvest'!$A:$AZ,COLUMN(AC332)-$A$5,0)),0)</f>
        <v>-1.73</v>
      </c>
      <c r="AD332" s="57">
        <f>IFERROR((VLOOKUP($A332,'Dados StatusInvest'!$A:$AZ,COLUMN(AD332)-$A$5,0)),0)</f>
        <v>-15.05</v>
      </c>
      <c r="AE332" s="56">
        <f>IFERROR((VLOOKUP($A332,'Dados StatusInvest'!$A:$AZ,COLUMN(AE332)-$A$5,0)),0)</f>
        <v>51395002</v>
      </c>
      <c r="AF332" s="56">
        <f>IFERROR((VLOOKUP($A332,'Dados StatusInvest'!$A:$AZ,COLUMN(AF332)-$A$5,0)),0)</f>
        <v>65.09</v>
      </c>
      <c r="AG332" s="56">
        <f>IFERROR((VLOOKUP($A332,'Dados StatusInvest'!$A:$AZ,COLUMN(AG332)-$A$5,0)),0)</f>
        <v>6.54</v>
      </c>
      <c r="AH332" s="56">
        <f>IFERROR((VLOOKUP($A332,'Dados StatusInvest'!$A:$AZ,COLUMN(AH332)-$A$5,0)),0)</f>
        <v>2.66</v>
      </c>
      <c r="AI332" s="57">
        <f>IFERROR((VLOOKUP($A332,'Dados StatusInvest'!$A:$AZ,COLUMN(AI332)-$A$5,0)),0)</f>
        <v>4840188278</v>
      </c>
      <c r="AJ332" s="59" t="str">
        <f>IFERROR((VLOOKUP($A332,'Dados StatusInvest'!$A:$AZ,COLUMN(AJ332)-$A$5,0)),0)</f>
        <v/>
      </c>
      <c r="AK332" s="60">
        <f>IFERROR(__xludf.DUMMYFUNCTION("IFERROR(GOOGLEFINANCE($A332,""high""),"""")"),59.04)</f>
        <v>59.04</v>
      </c>
      <c r="AL332" s="60">
        <f>IFERROR(__xludf.DUMMYFUNCTION("IFERROR(GOOGLEFINANCE($A332,""low""),"""")"),58.2)</f>
        <v>58.2</v>
      </c>
      <c r="AM332" s="61">
        <f t="shared" si="2"/>
        <v>0.01443298969</v>
      </c>
      <c r="AN332" s="62">
        <f>IFERROR(__xludf.DUMMYFUNCTION("IFERROR((GOOGLEFINANCE($A332,""volume"")),0)"),28300.0)</f>
        <v>28300</v>
      </c>
      <c r="AO332" s="60">
        <f>IFERROR(__xludf.DUMMYFUNCTION("IFERROR((GOOGLEFINANCE($A332,""closeyest"")),"""")"),59.14)</f>
        <v>59.14</v>
      </c>
      <c r="AP332" s="60">
        <f>IFERROR(__xludf.DUMMYFUNCTION("IFERROR((GOOGLEFINANCE($A332,""shares"")),"""")"),8.1422761E7)</f>
        <v>81422761</v>
      </c>
      <c r="AQ332" s="18"/>
    </row>
    <row r="333">
      <c r="A333" s="45" t="str">
        <f>'Dados StatusInvest'!A328:A947</f>
        <v>ISAE3</v>
      </c>
      <c r="B333" s="46" t="str">
        <f>IFERROR(__xludf.DUMMYFUNCTION("IFERROR((GOOGLEFINANCE(A333,""name"")),"""")"),"ISA Energia Brasil SA")</f>
        <v>ISA Energia Brasil SA</v>
      </c>
      <c r="C333" s="46" t="str">
        <f>IFERROR((VLOOKUP(LEFT($A333,4),Setor!$A:$E,3,0)),"")</f>
        <v/>
      </c>
      <c r="D333" s="46" t="str">
        <f>IFERROR((VLOOKUP(LEFT($A333,4),Setor!$A:$E,4,0)),"")</f>
        <v/>
      </c>
      <c r="E333" s="46" t="str">
        <f>IFERROR((VLOOKUP(LEFT($A333,4),Setor!$A:$E,5,0)),"")</f>
        <v/>
      </c>
      <c r="F333" s="47">
        <f>IFERROR(__xludf.DUMMYFUNCTION("IFERROR((GOOGLEFINANCE(A333)),"""")"),35.27)</f>
        <v>35.27</v>
      </c>
      <c r="G333" s="48" t="str">
        <f>IFERROR(__xludf.DUMMYFUNCTION("IFERROR((sparkline(GOOGLEFINANCE($A333,""price"",TODAY()-30,TODAY(),""DAILY""),{""charttype"",""line"";""linewidth"",1;""color"",""#5f88cc""})),"""")"),"")</f>
        <v/>
      </c>
      <c r="H333" s="49">
        <f>IFERROR(__xludf.DUMMYFUNCTION("IFERROR((((GOOGLEFINANCE(A333))-(INDEX(GoogleFinance(A333,""PRICE"",$AQ$1),2,2)))/(INDEX(GoogleFinance(A333,""PRICE"",$AQ$1),2,2))),"""")"),0.028279883381924376)</f>
        <v>0.02827988338</v>
      </c>
      <c r="I333" s="47">
        <f>IFERROR(__xludf.DUMMYFUNCTION("IFERROR((GOOGLEFINANCE($A333,""high52"")),"""")"),35.29)</f>
        <v>35.29</v>
      </c>
      <c r="J333" s="48" t="str">
        <f>IFERROR(__xludf.DUMMYFUNCTION("IFERROR((sparkline(GOOGLEFINANCE($A333,""price"",TODAY()-365,TODAY(),""DAILY""),{""charttype"",""line"";""linewidth"",1;""color"",""#5f88cc""})),"""")"),"")</f>
        <v/>
      </c>
      <c r="K333" s="50">
        <f>IFERROR(__xludf.DUMMYFUNCTION("IFERROR((((GOOGLEFINANCE(A333))-(INDEX(GoogleFinance(A333,""PRICE"",$AP$1),2,2)))/(INDEX(GoogleFinance(A333,""PRICE"",$AP$1),2,2))),"""")"),0.11332070707070718)</f>
        <v>0.1133207071</v>
      </c>
      <c r="L333" s="51">
        <f t="shared" si="1"/>
        <v>-0.0005667327855</v>
      </c>
      <c r="M333" s="52">
        <f>IFERROR((VLOOKUP($A333,'Dados StatusInvest'!$A:$AZ,COLUMN(M333)-$A$5,0)*VLOOKUP($A333,'Dados StatusInvest'!$A:$AZ,2,0)/$F333/100),0)</f>
        <v>0.456492203</v>
      </c>
      <c r="N333" s="53">
        <f>IFERROR((VLOOKUP($A333,'Dados StatusInvest'!$A:$AZ,COLUMN(N333)-$A$5,0)/VLOOKUP($A333,'Dados StatusInvest'!$A:$AZ,2,0)*$F333),"")</f>
        <v>32.8451875</v>
      </c>
      <c r="O333" s="53">
        <f>IFERROR((VLOOKUP($A333,'Dados StatusInvest'!$A:$AZ,COLUMN(O333)-$A$5,0)/VLOOKUP($A333,'Dados StatusInvest'!$A:$AZ,2,0)*$F333),0)</f>
        <v>5.691295455</v>
      </c>
      <c r="P333" s="54">
        <f>IFERROR((VLOOKUP($A333,'Dados StatusInvest'!$A:$AZ,COLUMN(P333)-$A$5,0)/VLOOKUP($A333,'Dados StatusInvest'!$A:$AZ,2,0)*$F333),0)</f>
        <v>8.196267045</v>
      </c>
      <c r="Q333" s="55">
        <f>IFERROR((VLOOKUP($A333,'Dados StatusInvest'!$A:$AZ,COLUMN(Q333)-$A$5,0)/100),0)</f>
        <v>0.0304</v>
      </c>
      <c r="R333" s="56">
        <f>VLOOKUP($A333,'Dados StatusInvest'!$A:$AZ,COLUMN(R333)-$A$5,0)</f>
        <v>0.59</v>
      </c>
      <c r="S333" s="56">
        <f>IFERROR((VLOOKUP($A333,'Dados StatusInvest'!$A:$AZ,COLUMN(S333)-$A$5,0)),0)</f>
        <v>2.6</v>
      </c>
      <c r="T333" s="53">
        <f>IFERROR((VLOOKUP($A333,'Dados StatusInvest'!$A:$AZ,COLUMN(T333)-$A$5,0)/VLOOKUP($A333,'Dados StatusInvest'!$A:$AZ,2,0)*$F333),0)</f>
        <v>4.238411932</v>
      </c>
      <c r="U333" s="53">
        <f>IFERROR((VLOOKUP($A333,'Dados StatusInvest'!$A:$AZ,COLUMN(U333)-$A$5,0)-VLOOKUP($A333,'Dados StatusInvest'!$A:$AZ,COLUMN(U333)-$A$5-1,0)+T333),0)</f>
        <v>-0.5915880682</v>
      </c>
      <c r="V333" s="56">
        <f>IFERROR((VLOOKUP($A333,'Dados StatusInvest'!$A:$AZ,COLUMN(V333)-$A$5,0)),0)</f>
        <v>4.46</v>
      </c>
      <c r="W333" s="56">
        <f>IFERROR((VLOOKUP($A333,'Dados StatusInvest'!$A:$AZ,COLUMN(W333)-$A$5,0)),0)</f>
        <v>13.99</v>
      </c>
      <c r="X333" s="53">
        <f>IFERROR((VLOOKUP($A333,'Dados StatusInvest'!$A:$AZ,COLUMN(X333)-$A$5,0)/VLOOKUP($A333,'Dados StatusInvest'!$A:$AZ,2,0)*$F333),0)</f>
        <v>6.422747159</v>
      </c>
      <c r="Y333" s="54">
        <f>IFERROR((VLOOKUP($A333,'Dados StatusInvest'!$A:$AZ,COLUMN(Y333)-$A$5,0)/VLOOKUP($A333,'Dados StatusInvest'!$A:$AZ,2,0)*$F333),0)</f>
        <v>11.20223295</v>
      </c>
      <c r="Z333" s="56">
        <f>IFERROR((VLOOKUP($A333,'Dados StatusInvest'!$A:$AZ,COLUMN(Z333)-$A$5,0)),0)</f>
        <v>0.46</v>
      </c>
      <c r="AA333" s="57">
        <f>IFERROR((VLOOKUP($A333,'Dados StatusInvest'!$A:$AZ,COLUMN(AA333)-$A$5,0)),0)</f>
        <v>0.53</v>
      </c>
      <c r="AB333" s="57">
        <f>IFERROR((VLOOKUP($A333,'Dados StatusInvest'!$A:$AZ,COLUMN(AB333)-$A$5,0)),0)</f>
        <v>0.2</v>
      </c>
      <c r="AC333" s="58">
        <f>IFERROR((VLOOKUP($A333,'Dados StatusInvest'!$A:$AZ,COLUMN(AC333)-$A$5,0)),0)</f>
        <v>19.24</v>
      </c>
      <c r="AD333" s="57">
        <f>IFERROR((VLOOKUP($A333,'Dados StatusInvest'!$A:$AZ,COLUMN(AD333)-$A$5,0)),0)</f>
        <v>10.66</v>
      </c>
      <c r="AE333" s="56">
        <f>IFERROR((VLOOKUP($A333,'Dados StatusInvest'!$A:$AZ,COLUMN(AE333)-$A$5,0)),0)</f>
        <v>148320.7</v>
      </c>
      <c r="AF333" s="56">
        <f>IFERROR((VLOOKUP($A333,'Dados StatusInvest'!$A:$AZ,COLUMN(AF333)-$A$5,0)),0)</f>
        <v>31.73</v>
      </c>
      <c r="AG333" s="56">
        <f>IFERROR((VLOOKUP($A333,'Dados StatusInvest'!$A:$AZ,COLUMN(AG333)-$A$5,0)),0)</f>
        <v>4.44</v>
      </c>
      <c r="AH333" s="56">
        <f>IFERROR((VLOOKUP($A333,'Dados StatusInvest'!$A:$AZ,COLUMN(AH333)-$A$5,0)),0)</f>
        <v>-0.68</v>
      </c>
      <c r="AI333" s="57">
        <f>IFERROR((VLOOKUP($A333,'Dados StatusInvest'!$A:$AZ,COLUMN(AI333)-$A$5,0)),0)</f>
        <v>20991501111</v>
      </c>
      <c r="AJ333" s="59" t="str">
        <f>IFERROR((VLOOKUP($A333,'Dados StatusInvest'!$A:$AZ,COLUMN(AJ333)-$A$5,0)),0)</f>
        <v/>
      </c>
      <c r="AK333" s="60">
        <f>IFERROR(__xludf.DUMMYFUNCTION("IFERROR(GOOGLEFINANCE($A333,""high""),"""")"),35.28)</f>
        <v>35.28</v>
      </c>
      <c r="AL333" s="60">
        <f>IFERROR(__xludf.DUMMYFUNCTION("IFERROR(GOOGLEFINANCE($A333,""low""),"""")"),34.43)</f>
        <v>34.43</v>
      </c>
      <c r="AM333" s="61">
        <f t="shared" si="2"/>
        <v>0.02468777229</v>
      </c>
      <c r="AN333" s="62">
        <f>IFERROR(__xludf.DUMMYFUNCTION("IFERROR((GOOGLEFINANCE($A333,""volume"")),0)"),300.0)</f>
        <v>300</v>
      </c>
      <c r="AO333" s="60">
        <f>IFERROR(__xludf.DUMMYFUNCTION("IFERROR((GOOGLEFINANCE($A333,""closeyest"")),"""")"),35.2)</f>
        <v>35.2</v>
      </c>
      <c r="AP333" s="60">
        <f>IFERROR(__xludf.DUMMYFUNCTION("IFERROR((GOOGLEFINANCE($A333,""shares"")),"""")"),2.57937732E8)</f>
        <v>257937732</v>
      </c>
      <c r="AQ333" s="18"/>
    </row>
    <row r="334">
      <c r="A334" s="45" t="str">
        <f>'Dados StatusInvest'!A329:A948</f>
        <v>ISAE4</v>
      </c>
      <c r="B334" s="46" t="str">
        <f>IFERROR(__xludf.DUMMYFUNCTION("IFERROR((GOOGLEFINANCE(A334,""name"")),"""")"),"ISA Energia Brasil SA Preference Shares")</f>
        <v>ISA Energia Brasil SA Preference Shares</v>
      </c>
      <c r="C334" s="46" t="str">
        <f>IFERROR((VLOOKUP(LEFT($A334,4),Setor!$A:$E,3,0)),"")</f>
        <v/>
      </c>
      <c r="D334" s="46" t="str">
        <f>IFERROR((VLOOKUP(LEFT($A334,4),Setor!$A:$E,4,0)),"")</f>
        <v/>
      </c>
      <c r="E334" s="46" t="str">
        <f>IFERROR((VLOOKUP(LEFT($A334,4),Setor!$A:$E,5,0)),"")</f>
        <v/>
      </c>
      <c r="F334" s="47">
        <f>IFERROR(__xludf.DUMMYFUNCTION("IFERROR((GOOGLEFINANCE(A334)),"""")"),29.54)</f>
        <v>29.54</v>
      </c>
      <c r="G334" s="48" t="str">
        <f>IFERROR(__xludf.DUMMYFUNCTION("IFERROR((sparkline(GOOGLEFINANCE($A334,""price"",TODAY()-30,TODAY(),""DAILY""),{""charttype"",""line"";""linewidth"",1;""color"",""#5f88cc""})),"""")"),"")</f>
        <v/>
      </c>
      <c r="H334" s="49">
        <f>IFERROR(__xludf.DUMMYFUNCTION("IFERROR((((GOOGLEFINANCE(A334))-(INDEX(GoogleFinance(A334,""PRICE"",$AQ$1),2,2)))/(INDEX(GoogleFinance(A334,""PRICE"",$AQ$1),2,2))),"""")"),0.10927525347352611)</f>
        <v>0.1092752535</v>
      </c>
      <c r="I334" s="47">
        <f>IFERROR(__xludf.DUMMYFUNCTION("IFERROR((GOOGLEFINANCE($A334,""high52"")),"""")"),30.46)</f>
        <v>30.46</v>
      </c>
      <c r="J334" s="48" t="str">
        <f>IFERROR(__xludf.DUMMYFUNCTION("IFERROR((sparkline(GOOGLEFINANCE($A334,""price"",TODAY()-365,TODAY(),""DAILY""),{""charttype"",""line"";""linewidth"",1;""color"",""#5f88cc""})),"""")"),"")</f>
        <v/>
      </c>
      <c r="K334" s="50">
        <f>IFERROR(__xludf.DUMMYFUNCTION("IFERROR((((GOOGLEFINANCE(A334))-(INDEX(GoogleFinance(A334,""PRICE"",$AP$1),2,2)))/(INDEX(GoogleFinance(A334,""PRICE"",$AP$1),2,2))),"""")"),0.25970149253731345)</f>
        <v>0.2597014925</v>
      </c>
      <c r="L334" s="51">
        <f t="shared" si="1"/>
        <v>-0.03020354563</v>
      </c>
      <c r="M334" s="52">
        <f>IFERROR((VLOOKUP($A334,'Dados StatusInvest'!$A:$AZ,COLUMN(M334)-$A$5,0)*VLOOKUP($A334,'Dados StatusInvest'!$A:$AZ,2,0)/$F334/100),0)</f>
        <v>0.4600322952</v>
      </c>
      <c r="N334" s="53">
        <f>IFERROR((VLOOKUP($A334,'Dados StatusInvest'!$A:$AZ,COLUMN(N334)-$A$5,0)/VLOOKUP($A334,'Dados StatusInvest'!$A:$AZ,2,0)*$F334),"")</f>
        <v>32.59243352</v>
      </c>
      <c r="O334" s="53">
        <f>IFERROR((VLOOKUP($A334,'Dados StatusInvest'!$A:$AZ,COLUMN(O334)-$A$5,0)/VLOOKUP($A334,'Dados StatusInvest'!$A:$AZ,2,0)*$F334),0)</f>
        <v>4.7725345</v>
      </c>
      <c r="P334" s="54">
        <f>IFERROR((VLOOKUP($A334,'Dados StatusInvest'!$A:$AZ,COLUMN(P334)-$A$5,0)/VLOOKUP($A334,'Dados StatusInvest'!$A:$AZ,2,0)*$F334),0)</f>
        <v>8.133194211</v>
      </c>
      <c r="Q334" s="55">
        <f>IFERROR((VLOOKUP($A334,'Dados StatusInvest'!$A:$AZ,COLUMN(Q334)-$A$5,0)/100),0)</f>
        <v>0.0304</v>
      </c>
      <c r="R334" s="56">
        <f>VLOOKUP($A334,'Dados StatusInvest'!$A:$AZ,COLUMN(R334)-$A$5,0)</f>
        <v>0.59</v>
      </c>
      <c r="S334" s="56">
        <f>IFERROR((VLOOKUP($A334,'Dados StatusInvest'!$A:$AZ,COLUMN(S334)-$A$5,0)),0)</f>
        <v>2.19</v>
      </c>
      <c r="T334" s="53">
        <f>IFERROR((VLOOKUP($A334,'Dados StatusInvest'!$A:$AZ,COLUMN(T334)-$A$5,0)/VLOOKUP($A334,'Dados StatusInvest'!$A:$AZ,2,0)*$F334),0)</f>
        <v>3.549572535</v>
      </c>
      <c r="U334" s="53">
        <f>IFERROR((VLOOKUP($A334,'Dados StatusInvest'!$A:$AZ,COLUMN(U334)-$A$5,0)-VLOOKUP($A334,'Dados StatusInvest'!$A:$AZ,COLUMN(U334)-$A$5-1,0)+T334),0)</f>
        <v>-0.5304274655</v>
      </c>
      <c r="V334" s="56">
        <f>IFERROR((VLOOKUP($A334,'Dados StatusInvest'!$A:$AZ,COLUMN(V334)-$A$5,0)),0)</f>
        <v>4.46</v>
      </c>
      <c r="W334" s="56">
        <f>IFERROR((VLOOKUP($A334,'Dados StatusInvest'!$A:$AZ,COLUMN(W334)-$A$5,0)),0)</f>
        <v>13.99</v>
      </c>
      <c r="X334" s="53">
        <f>IFERROR((VLOOKUP($A334,'Dados StatusInvest'!$A:$AZ,COLUMN(X334)-$A$5,0)/VLOOKUP($A334,'Dados StatusInvest'!$A:$AZ,2,0)*$F334),0)</f>
        <v>6.373322114</v>
      </c>
      <c r="Y334" s="54">
        <f>IFERROR((VLOOKUP($A334,'Dados StatusInvest'!$A:$AZ,COLUMN(Y334)-$A$5,0)/VLOOKUP($A334,'Dados StatusInvest'!$A:$AZ,2,0)*$F334),0)</f>
        <v>11.11602827</v>
      </c>
      <c r="Z334" s="56">
        <f>IFERROR((VLOOKUP($A334,'Dados StatusInvest'!$A:$AZ,COLUMN(Z334)-$A$5,0)),0)</f>
        <v>0.46</v>
      </c>
      <c r="AA334" s="57">
        <f>IFERROR((VLOOKUP($A334,'Dados StatusInvest'!$A:$AZ,COLUMN(AA334)-$A$5,0)),0)</f>
        <v>0.53</v>
      </c>
      <c r="AB334" s="57">
        <f>IFERROR((VLOOKUP($A334,'Dados StatusInvest'!$A:$AZ,COLUMN(AB334)-$A$5,0)),0)</f>
        <v>0.2</v>
      </c>
      <c r="AC334" s="58">
        <f>IFERROR((VLOOKUP($A334,'Dados StatusInvest'!$A:$AZ,COLUMN(AC334)-$A$5,0)),0)</f>
        <v>19.24</v>
      </c>
      <c r="AD334" s="57">
        <f>IFERROR((VLOOKUP($A334,'Dados StatusInvest'!$A:$AZ,COLUMN(AD334)-$A$5,0)),0)</f>
        <v>10.66</v>
      </c>
      <c r="AE334" s="56">
        <f>IFERROR((VLOOKUP($A334,'Dados StatusInvest'!$A:$AZ,COLUMN(AE334)-$A$5,0)),0)</f>
        <v>60660955</v>
      </c>
      <c r="AF334" s="56">
        <f>IFERROR((VLOOKUP($A334,'Dados StatusInvest'!$A:$AZ,COLUMN(AF334)-$A$5,0)),0)</f>
        <v>31.73</v>
      </c>
      <c r="AG334" s="56">
        <f>IFERROR((VLOOKUP($A334,'Dados StatusInvest'!$A:$AZ,COLUMN(AG334)-$A$5,0)),0)</f>
        <v>4.44</v>
      </c>
      <c r="AH334" s="56">
        <f>IFERROR((VLOOKUP($A334,'Dados StatusInvest'!$A:$AZ,COLUMN(AH334)-$A$5,0)),0)</f>
        <v>-0.58</v>
      </c>
      <c r="AI334" s="57">
        <f>IFERROR((VLOOKUP($A334,'Dados StatusInvest'!$A:$AZ,COLUMN(AI334)-$A$5,0)),0)</f>
        <v>20991501111</v>
      </c>
      <c r="AJ334" s="59" t="str">
        <f>IFERROR((VLOOKUP($A334,'Dados StatusInvest'!$A:$AZ,COLUMN(AJ334)-$A$5,0)),0)</f>
        <v/>
      </c>
      <c r="AK334" s="60">
        <f>IFERROR(__xludf.DUMMYFUNCTION("IFERROR(GOOGLEFINANCE($A334,""high""),"""")"),29.7)</f>
        <v>29.7</v>
      </c>
      <c r="AL334" s="60">
        <f>IFERROR(__xludf.DUMMYFUNCTION("IFERROR(GOOGLEFINANCE($A334,""low""),"""")"),29.5)</f>
        <v>29.5</v>
      </c>
      <c r="AM334" s="61">
        <f t="shared" si="2"/>
        <v>0.006779661017</v>
      </c>
      <c r="AN334" s="62">
        <f>IFERROR(__xludf.DUMMYFUNCTION("IFERROR((GOOGLEFINANCE($A334,""volume"")),0)"),51700.0)</f>
        <v>51700</v>
      </c>
      <c r="AO334" s="60">
        <f>IFERROR(__xludf.DUMMYFUNCTION("IFERROR((GOOGLEFINANCE($A334,""closeyest"")),"""")"),29.71)</f>
        <v>29.71</v>
      </c>
      <c r="AP334" s="60">
        <f>IFERROR(__xludf.DUMMYFUNCTION("IFERROR((GOOGLEFINANCE($A334,""shares"")),"""")"),4.00945572E8)</f>
        <v>400945572</v>
      </c>
      <c r="AQ334" s="18"/>
    </row>
    <row r="335">
      <c r="A335" s="45" t="str">
        <f>'Dados StatusInvest'!A330:A949</f>
        <v>ITEC3</v>
      </c>
      <c r="B335" s="46" t="str">
        <f>IFERROR(__xludf.DUMMYFUNCTION("IFERROR((GOOGLEFINANCE(A335,""name"")),"""")"),"")</f>
        <v/>
      </c>
      <c r="C335" s="46" t="str">
        <f>IFERROR((VLOOKUP(LEFT($A335,4),Setor!$A:$E,3,0)),"")</f>
        <v/>
      </c>
      <c r="D335" s="46" t="str">
        <f>IFERROR((VLOOKUP(LEFT($A335,4),Setor!$A:$E,4,0)),"")</f>
        <v/>
      </c>
      <c r="E335" s="46" t="str">
        <f>IFERROR((VLOOKUP(LEFT($A335,4),Setor!$A:$E,5,0)),"")</f>
        <v/>
      </c>
      <c r="F335" s="47" t="str">
        <f>IFERROR(__xludf.DUMMYFUNCTION("IFERROR((GOOGLEFINANCE(A335)),"""")"),"")</f>
        <v/>
      </c>
      <c r="G335" s="48" t="str">
        <f>IFERROR(__xludf.DUMMYFUNCTION("IFERROR((sparkline(GOOGLEFINANCE($A335,""price"",TODAY()-30,TODAY(),""DAILY""),{""charttype"",""line"";""linewidth"",1;""color"",""#5f88cc""})),"""")"),"")</f>
        <v/>
      </c>
      <c r="H335" s="49" t="str">
        <f>IFERROR(__xludf.DUMMYFUNCTION("IFERROR((((GOOGLEFINANCE(A335))-(INDEX(GoogleFinance(A335,""PRICE"",$AQ$1),2,2)))/(INDEX(GoogleFinance(A335,""PRICE"",$AQ$1),2,2))),"""")"),"")</f>
        <v/>
      </c>
      <c r="I335" s="47" t="str">
        <f>IFERROR(__xludf.DUMMYFUNCTION("IFERROR((GOOGLEFINANCE($A335,""high52"")),"""")"),"")</f>
        <v/>
      </c>
      <c r="J335" s="48" t="str">
        <f>IFERROR(__xludf.DUMMYFUNCTION("IFERROR((sparkline(GOOGLEFINANCE($A335,""price"",TODAY()-365,TODAY(),""DAILY""),{""charttype"",""line"";""linewidth"",1;""color"",""#5f88cc""})),"""")"),"")</f>
        <v/>
      </c>
      <c r="K335" s="50" t="str">
        <f>IFERROR(__xludf.DUMMYFUNCTION("IFERROR((((GOOGLEFINANCE(A335))-(INDEX(GoogleFinance(A335,""PRICE"",$AP$1),2,2)))/(INDEX(GoogleFinance(A335,""PRICE"",$AP$1),2,2))),"""")"),"")</f>
        <v/>
      </c>
      <c r="L335" s="51">
        <f t="shared" si="1"/>
        <v>0</v>
      </c>
      <c r="M335" s="52">
        <f>IFERROR((VLOOKUP($A335,'Dados StatusInvest'!$A:$AZ,COLUMN(M335)-$A$5,0)*VLOOKUP($A335,'Dados StatusInvest'!$A:$AZ,2,0)/$F335/100),0)</f>
        <v>0</v>
      </c>
      <c r="N335" s="53">
        <f>IFERROR((VLOOKUP($A335,'Dados StatusInvest'!$A:$AZ,COLUMN(N335)-$A$5,0)/VLOOKUP($A335,'Dados StatusInvest'!$A:$AZ,2,0)*$F335),"")</f>
        <v>0</v>
      </c>
      <c r="O335" s="53">
        <f>IFERROR((VLOOKUP($A335,'Dados StatusInvest'!$A:$AZ,COLUMN(O335)-$A$5,0)/VLOOKUP($A335,'Dados StatusInvest'!$A:$AZ,2,0)*$F335),0)</f>
        <v>0</v>
      </c>
      <c r="P335" s="54">
        <f>IFERROR((VLOOKUP($A335,'Dados StatusInvest'!$A:$AZ,COLUMN(P335)-$A$5,0)/VLOOKUP($A335,'Dados StatusInvest'!$A:$AZ,2,0)*$F335),0)</f>
        <v>0</v>
      </c>
      <c r="Q335" s="55">
        <f>IFERROR((VLOOKUP($A335,'Dados StatusInvest'!$A:$AZ,COLUMN(Q335)-$A$5,0)/100),0)</f>
        <v>0.0064</v>
      </c>
      <c r="R335" s="56">
        <f>VLOOKUP($A335,'Dados StatusInvest'!$A:$AZ,COLUMN(R335)-$A$5,0)</f>
        <v>-1.02</v>
      </c>
      <c r="S335" s="56">
        <f>IFERROR((VLOOKUP($A335,'Dados StatusInvest'!$A:$AZ,COLUMN(S335)-$A$5,0)),0)</f>
        <v>2611.73</v>
      </c>
      <c r="T335" s="53">
        <f>IFERROR((VLOOKUP($A335,'Dados StatusInvest'!$A:$AZ,COLUMN(T335)-$A$5,0)/VLOOKUP($A335,'Dados StatusInvest'!$A:$AZ,2,0)*$F335),0)</f>
        <v>0</v>
      </c>
      <c r="U335" s="53">
        <f>IFERROR((VLOOKUP($A335,'Dados StatusInvest'!$A:$AZ,COLUMN(U335)-$A$5,0)-VLOOKUP($A335,'Dados StatusInvest'!$A:$AZ,COLUMN(U335)-$A$5-1,0)+T335),0)</f>
        <v>-42.12</v>
      </c>
      <c r="V335" s="56">
        <f>IFERROR((VLOOKUP($A335,'Dados StatusInvest'!$A:$AZ,COLUMN(V335)-$A$5,0)),0)</f>
        <v>5.23</v>
      </c>
      <c r="W335" s="56">
        <f>IFERROR((VLOOKUP($A335,'Dados StatusInvest'!$A:$AZ,COLUMN(W335)-$A$5,0)),0)</f>
        <v>-62.76</v>
      </c>
      <c r="X335" s="53">
        <f>IFERROR((VLOOKUP($A335,'Dados StatusInvest'!$A:$AZ,COLUMN(X335)-$A$5,0)/VLOOKUP($A335,'Dados StatusInvest'!$A:$AZ,2,0)*$F335),0)</f>
        <v>0</v>
      </c>
      <c r="Y335" s="54">
        <f>IFERROR((VLOOKUP($A335,'Dados StatusInvest'!$A:$AZ,COLUMN(Y335)-$A$5,0)/VLOOKUP($A335,'Dados StatusInvest'!$A:$AZ,2,0)*$F335),0)</f>
        <v>0</v>
      </c>
      <c r="Z335" s="56">
        <f>IFERROR((VLOOKUP($A335,'Dados StatusInvest'!$A:$AZ,COLUMN(Z335)-$A$5,0)),0)</f>
        <v>0.42</v>
      </c>
      <c r="AA335" s="57">
        <f>IFERROR((VLOOKUP($A335,'Dados StatusInvest'!$A:$AZ,COLUMN(AA335)-$A$5,0)),0)</f>
        <v>0.58</v>
      </c>
      <c r="AB335" s="57">
        <f>IFERROR((VLOOKUP($A335,'Dados StatusInvest'!$A:$AZ,COLUMN(AB335)-$A$5,0)),0)</f>
        <v>0</v>
      </c>
      <c r="AC335" s="58">
        <f>IFERROR((VLOOKUP($A335,'Dados StatusInvest'!$A:$AZ,COLUMN(AC335)-$A$5,0)),0)</f>
        <v>-75.29</v>
      </c>
      <c r="AD335" s="57">
        <f>IFERROR((VLOOKUP($A335,'Dados StatusInvest'!$A:$AZ,COLUMN(AD335)-$A$5,0)),0)</f>
        <v>0</v>
      </c>
      <c r="AE335" s="56">
        <f>IFERROR((VLOOKUP($A335,'Dados StatusInvest'!$A:$AZ,COLUMN(AE335)-$A$5,0)),0)</f>
        <v>0</v>
      </c>
      <c r="AF335" s="56">
        <f>IFERROR((VLOOKUP($A335,'Dados StatusInvest'!$A:$AZ,COLUMN(AF335)-$A$5,0)),0)</f>
        <v>1.82</v>
      </c>
      <c r="AG335" s="56">
        <f>IFERROR((VLOOKUP($A335,'Dados StatusInvest'!$A:$AZ,COLUMN(AG335)-$A$5,0)),0)</f>
        <v>-1.14</v>
      </c>
      <c r="AH335" s="56">
        <f>IFERROR((VLOOKUP($A335,'Dados StatusInvest'!$A:$AZ,COLUMN(AH335)-$A$5,0)),0)</f>
        <v>1.36</v>
      </c>
      <c r="AI335" s="57">
        <f>IFERROR((VLOOKUP($A335,'Dados StatusInvest'!$A:$AZ,COLUMN(AI335)-$A$5,0)),0)</f>
        <v>443994658.6</v>
      </c>
      <c r="AJ335" s="59" t="str">
        <f>IFERROR((VLOOKUP($A335,'Dados StatusInvest'!$A:$AZ,COLUMN(AJ335)-$A$5,0)),0)</f>
        <v/>
      </c>
      <c r="AK335" s="60" t="str">
        <f>IFERROR(__xludf.DUMMYFUNCTION("IFERROR(GOOGLEFINANCE($A335,""high""),"""")"),"")</f>
        <v/>
      </c>
      <c r="AL335" s="60" t="str">
        <f>IFERROR(__xludf.DUMMYFUNCTION("IFERROR(GOOGLEFINANCE($A335,""low""),"""")"),"")</f>
        <v/>
      </c>
      <c r="AM335" s="61">
        <f t="shared" si="2"/>
        <v>0</v>
      </c>
      <c r="AN335" s="62">
        <f>IFERROR(__xludf.DUMMYFUNCTION("IFERROR((GOOGLEFINANCE($A335,""volume"")),0)"),0.0)</f>
        <v>0</v>
      </c>
      <c r="AO335" s="60" t="str">
        <f>IFERROR(__xludf.DUMMYFUNCTION("IFERROR((GOOGLEFINANCE($A335,""closeyest"")),"""")"),"")</f>
        <v/>
      </c>
      <c r="AP335" s="60" t="str">
        <f>IFERROR(__xludf.DUMMYFUNCTION("IFERROR((GOOGLEFINANCE($A335,""shares"")),"""")"),"")</f>
        <v/>
      </c>
      <c r="AQ335" s="18"/>
    </row>
    <row r="336">
      <c r="A336" s="45" t="str">
        <f>'Dados StatusInvest'!A331:A950</f>
        <v>ITSA3</v>
      </c>
      <c r="B336" s="46" t="str">
        <f>IFERROR(__xludf.DUMMYFUNCTION("IFERROR((GOOGLEFINANCE(A336,""name"")),"""")"),"Itausa SA")</f>
        <v>Itausa SA</v>
      </c>
      <c r="C336" s="46" t="str">
        <f>IFERROR((VLOOKUP(LEFT($A336,4),Setor!$A:$E,3,0)),"")</f>
        <v>Financeiro</v>
      </c>
      <c r="D336" s="46" t="str">
        <f>IFERROR((VLOOKUP(LEFT($A336,4),Setor!$A:$E,4,0)),"")</f>
        <v>Intermediários Financeiros</v>
      </c>
      <c r="E336" s="46" t="str">
        <f>IFERROR((VLOOKUP(LEFT($A336,4),Setor!$A:$E,5,0)),"")</f>
        <v>Bancos</v>
      </c>
      <c r="F336" s="47">
        <f>IFERROR(__xludf.DUMMYFUNCTION("IFERROR((GOOGLEFINANCE(A336)),"""")"),14.57)</f>
        <v>14.57</v>
      </c>
      <c r="G336" s="48" t="str">
        <f>IFERROR(__xludf.DUMMYFUNCTION("IFERROR((sparkline(GOOGLEFINANCE($A336,""price"",TODAY()-30,TODAY(),""DAILY""),{""charttype"",""line"";""linewidth"",1;""color"",""#5f88cc""})),"""")"),"")</f>
        <v/>
      </c>
      <c r="H336" s="49">
        <f>IFERROR(__xludf.DUMMYFUNCTION("IFERROR((((GOOGLEFINANCE(A336))-(INDEX(GoogleFinance(A336,""PRICE"",$AQ$1),2,2)))/(INDEX(GoogleFinance(A336,""PRICE"",$AQ$1),2,2))),"""")"),0.145440251572327)</f>
        <v>0.1454402516</v>
      </c>
      <c r="I336" s="47">
        <f>IFERROR(__xludf.DUMMYFUNCTION("IFERROR((GOOGLEFINANCE($A336,""high52"")),"""")"),15.03)</f>
        <v>15.03</v>
      </c>
      <c r="J336" s="48" t="str">
        <f>IFERROR(__xludf.DUMMYFUNCTION("IFERROR((sparkline(GOOGLEFINANCE($A336,""price"",TODAY()-365,TODAY(),""DAILY""),{""charttype"",""line"";""linewidth"",1;""color"",""#5f88cc""})),"""")"),"")</f>
        <v/>
      </c>
      <c r="K336" s="50">
        <f>IFERROR(__xludf.DUMMYFUNCTION("IFERROR((((GOOGLEFINANCE(A336))-(INDEX(GoogleFinance(A336,""PRICE"",$AP$1),2,2)))/(INDEX(GoogleFinance(A336,""PRICE"",$AP$1),2,2))),"""")"),0.5975877192982458)</f>
        <v>0.5975877193</v>
      </c>
      <c r="L336" s="51">
        <f t="shared" si="1"/>
        <v>-0.03060545576</v>
      </c>
      <c r="M336" s="52">
        <f>IFERROR((VLOOKUP($A336,'Dados StatusInvest'!$A:$AZ,COLUMN(M336)-$A$5,0)*VLOOKUP($A336,'Dados StatusInvest'!$A:$AZ,2,0)/$F336/100),0)</f>
        <v>2.137866301</v>
      </c>
      <c r="N336" s="53">
        <f>IFERROR((VLOOKUP($A336,'Dados StatusInvest'!$A:$AZ,COLUMN(N336)-$A$5,0)/VLOOKUP($A336,'Dados StatusInvest'!$A:$AZ,2,0)*$F336),"")</f>
        <v>193.4971948</v>
      </c>
      <c r="O336" s="53">
        <f>IFERROR((VLOOKUP($A336,'Dados StatusInvest'!$A:$AZ,COLUMN(O336)-$A$5,0)/VLOOKUP($A336,'Dados StatusInvest'!$A:$AZ,2,0)*$F336),0)</f>
        <v>9.30361454</v>
      </c>
      <c r="P336" s="54">
        <f>IFERROR((VLOOKUP($A336,'Dados StatusInvest'!$A:$AZ,COLUMN(P336)-$A$5,0)/VLOOKUP($A336,'Dados StatusInvest'!$A:$AZ,2,0)*$F336),0)</f>
        <v>9.643381344</v>
      </c>
      <c r="Q336" s="55">
        <f>IFERROR((VLOOKUP($A336,'Dados StatusInvest'!$A:$AZ,COLUMN(Q336)-$A$5,0)/100),0)</f>
        <v>0.0025</v>
      </c>
      <c r="R336" s="56">
        <f>VLOOKUP($A336,'Dados StatusInvest'!$A:$AZ,COLUMN(R336)-$A$5,0)</f>
        <v>0.05</v>
      </c>
      <c r="S336" s="56">
        <f>IFERROR((VLOOKUP($A336,'Dados StatusInvest'!$A:$AZ,COLUMN(S336)-$A$5,0)),0)</f>
        <v>19.9</v>
      </c>
      <c r="T336" s="53">
        <f>IFERROR((VLOOKUP($A336,'Dados StatusInvest'!$A:$AZ,COLUMN(T336)-$A$5,0)/VLOOKUP($A336,'Dados StatusInvest'!$A:$AZ,2,0)*$F336),0)</f>
        <v>31.0287037</v>
      </c>
      <c r="U336" s="53">
        <f>IFERROR((VLOOKUP($A336,'Dados StatusInvest'!$A:$AZ,COLUMN(U336)-$A$5,0)-VLOOKUP($A336,'Dados StatusInvest'!$A:$AZ,COLUMN(U336)-$A$5-1,0)+T336),0)</f>
        <v>-1.601296296</v>
      </c>
      <c r="V336" s="56">
        <f>IFERROR((VLOOKUP($A336,'Dados StatusInvest'!$A:$AZ,COLUMN(V336)-$A$5,0)),0)</f>
        <v>2.18</v>
      </c>
      <c r="W336" s="56">
        <f>IFERROR((VLOOKUP($A336,'Dados StatusInvest'!$A:$AZ,COLUMN(W336)-$A$5,0)),0)</f>
        <v>17.22</v>
      </c>
      <c r="X336" s="53">
        <f>IFERROR((VLOOKUP($A336,'Dados StatusInvest'!$A:$AZ,COLUMN(X336)-$A$5,0)/VLOOKUP($A336,'Dados StatusInvest'!$A:$AZ,2,0)*$F336),0)</f>
        <v>14.02037723</v>
      </c>
      <c r="Y336" s="54">
        <f>IFERROR((VLOOKUP($A336,'Dados StatusInvest'!$A:$AZ,COLUMN(Y336)-$A$5,0)/VLOOKUP($A336,'Dados StatusInvest'!$A:$AZ,2,0)*$F336),0)</f>
        <v>16.2888203</v>
      </c>
      <c r="Z336" s="56">
        <f>IFERROR((VLOOKUP($A336,'Dados StatusInvest'!$A:$AZ,COLUMN(Z336)-$A$5,0)),0)</f>
        <v>0.81</v>
      </c>
      <c r="AA336" s="57">
        <f>IFERROR((VLOOKUP($A336,'Dados StatusInvest'!$A:$AZ,COLUMN(AA336)-$A$5,0)),0)</f>
        <v>0.15</v>
      </c>
      <c r="AB336" s="57">
        <f>IFERROR((VLOOKUP($A336,'Dados StatusInvest'!$A:$AZ,COLUMN(AB336)-$A$5,0)),0)</f>
        <v>0.07</v>
      </c>
      <c r="AC336" s="58">
        <f>IFERROR((VLOOKUP($A336,'Dados StatusInvest'!$A:$AZ,COLUMN(AC336)-$A$5,0)),0)</f>
        <v>10.46</v>
      </c>
      <c r="AD336" s="57">
        <f>IFERROR((VLOOKUP($A336,'Dados StatusInvest'!$A:$AZ,COLUMN(AD336)-$A$5,0)),0)</f>
        <v>9.06</v>
      </c>
      <c r="AE336" s="56">
        <f>IFERROR((VLOOKUP($A336,'Dados StatusInvest'!$A:$AZ,COLUMN(AE336)-$A$5,0)),0)</f>
        <v>2495359</v>
      </c>
      <c r="AF336" s="56">
        <f>IFERROR((VLOOKUP($A336,'Dados StatusInvest'!$A:$AZ,COLUMN(AF336)-$A$5,0)),0)</f>
        <v>8.24</v>
      </c>
      <c r="AG336" s="56">
        <f>IFERROR((VLOOKUP($A336,'Dados StatusInvest'!$A:$AZ,COLUMN(AG336)-$A$5,0)),0)</f>
        <v>1.42</v>
      </c>
      <c r="AH336" s="56">
        <f>IFERROR((VLOOKUP($A336,'Dados StatusInvest'!$A:$AZ,COLUMN(AH336)-$A$5,0)),0)</f>
        <v>0.77</v>
      </c>
      <c r="AI336" s="57">
        <f>IFERROR((VLOOKUP($A336,'Dados StatusInvest'!$A:$AZ,COLUMN(AI336)-$A$5,0)),0)</f>
        <v>165115000000</v>
      </c>
      <c r="AJ336" s="59" t="str">
        <f>IFERROR((VLOOKUP($A336,'Dados StatusInvest'!$A:$AZ,COLUMN(AJ336)-$A$5,0)),0)</f>
        <v/>
      </c>
      <c r="AK336" s="60">
        <f>IFERROR(__xludf.DUMMYFUNCTION("IFERROR(GOOGLEFINANCE($A336,""high""),"""")"),14.65)</f>
        <v>14.65</v>
      </c>
      <c r="AL336" s="60">
        <f>IFERROR(__xludf.DUMMYFUNCTION("IFERROR(GOOGLEFINANCE($A336,""low""),"""")"),14.56)</f>
        <v>14.56</v>
      </c>
      <c r="AM336" s="61">
        <f t="shared" si="2"/>
        <v>0.006181318681</v>
      </c>
      <c r="AN336" s="62">
        <f>IFERROR(__xludf.DUMMYFUNCTION("IFERROR((GOOGLEFINANCE($A336,""volume"")),0)"),19000.0)</f>
        <v>19000</v>
      </c>
      <c r="AO336" s="60">
        <f>IFERROR(__xludf.DUMMYFUNCTION("IFERROR((GOOGLEFINANCE($A336,""closeyest"")),"""")"),14.58)</f>
        <v>14.58</v>
      </c>
      <c r="AP336" s="60">
        <f>IFERROR(__xludf.DUMMYFUNCTION("IFERROR((GOOGLEFINANCE($A336,""shares"")),"""")"),3.853634012E9)</f>
        <v>3853634012</v>
      </c>
      <c r="AQ336" s="18"/>
    </row>
    <row r="337">
      <c r="A337" s="45" t="str">
        <f>'Dados StatusInvest'!A332:A951</f>
        <v>ITSA4</v>
      </c>
      <c r="B337" s="46" t="str">
        <f>IFERROR(__xludf.DUMMYFUNCTION("IFERROR((GOOGLEFINANCE(A337,""name"")),"""")"),"Itausa SA Preference Shares")</f>
        <v>Itausa SA Preference Shares</v>
      </c>
      <c r="C337" s="46" t="str">
        <f>IFERROR((VLOOKUP(LEFT($A337,4),Setor!$A:$E,3,0)),"")</f>
        <v>Financeiro</v>
      </c>
      <c r="D337" s="46" t="str">
        <f>IFERROR((VLOOKUP(LEFT($A337,4),Setor!$A:$E,4,0)),"")</f>
        <v>Intermediários Financeiros</v>
      </c>
      <c r="E337" s="46" t="str">
        <f>IFERROR((VLOOKUP(LEFT($A337,4),Setor!$A:$E,5,0)),"")</f>
        <v>Bancos</v>
      </c>
      <c r="F337" s="47">
        <f>IFERROR(__xludf.DUMMYFUNCTION("IFERROR((GOOGLEFINANCE(A337)),"""")"),14.72)</f>
        <v>14.72</v>
      </c>
      <c r="G337" s="48" t="str">
        <f>IFERROR(__xludf.DUMMYFUNCTION("IFERROR((sparkline(GOOGLEFINANCE($A337,""price"",TODAY()-30,TODAY(),""DAILY""),{""charttype"",""line"";""linewidth"",1;""color"",""#5f88cc""})),"""")"),"")</f>
        <v/>
      </c>
      <c r="H337" s="49">
        <f>IFERROR(__xludf.DUMMYFUNCTION("IFERROR((((GOOGLEFINANCE(A337))-(INDEX(GoogleFinance(A337,""PRICE"",$AQ$1),2,2)))/(INDEX(GoogleFinance(A337,""PRICE"",$AQ$1),2,2))),"""")"),0.15723270440251572)</f>
        <v>0.1572327044</v>
      </c>
      <c r="I337" s="47">
        <f>IFERROR(__xludf.DUMMYFUNCTION("IFERROR((GOOGLEFINANCE($A337,""high52"")),"""")"),15.04)</f>
        <v>15.04</v>
      </c>
      <c r="J337" s="48" t="str">
        <f>IFERROR(__xludf.DUMMYFUNCTION("IFERROR((sparkline(GOOGLEFINANCE($A337,""price"",TODAY()-365,TODAY(),""DAILY""),{""charttype"",""line"";""linewidth"",1;""color"",""#5f88cc""})),"""")"),"")</f>
        <v/>
      </c>
      <c r="K337" s="50">
        <f>IFERROR(__xludf.DUMMYFUNCTION("IFERROR((((GOOGLEFINANCE(A337))-(INDEX(GoogleFinance(A337,""PRICE"",$AP$1),2,2)))/(INDEX(GoogleFinance(A337,""PRICE"",$AP$1),2,2))),"""")"),0.6520763187429854)</f>
        <v>0.6520763187</v>
      </c>
      <c r="L337" s="51">
        <f t="shared" si="1"/>
        <v>-0.02127659574</v>
      </c>
      <c r="M337" s="52">
        <f>IFERROR((VLOOKUP($A337,'Dados StatusInvest'!$A:$AZ,COLUMN(M337)-$A$5,0)*VLOOKUP($A337,'Dados StatusInvest'!$A:$AZ,2,0)/$F337/100),0)</f>
        <v>2.14801087</v>
      </c>
      <c r="N337" s="53">
        <f>IFERROR((VLOOKUP($A337,'Dados StatusInvest'!$A:$AZ,COLUMN(N337)-$A$5,0)/VLOOKUP($A337,'Dados StatusInvest'!$A:$AZ,2,0)*$F337),"")</f>
        <v>192.5833514</v>
      </c>
      <c r="O337" s="53">
        <f>IFERROR((VLOOKUP($A337,'Dados StatusInvest'!$A:$AZ,COLUMN(O337)-$A$5,0)/VLOOKUP($A337,'Dados StatusInvest'!$A:$AZ,2,0)*$F337),0)</f>
        <v>9.398918919</v>
      </c>
      <c r="P337" s="54">
        <f>IFERROR((VLOOKUP($A337,'Dados StatusInvest'!$A:$AZ,COLUMN(P337)-$A$5,0)/VLOOKUP($A337,'Dados StatusInvest'!$A:$AZ,2,0)*$F337),0)</f>
        <v>9.597837838</v>
      </c>
      <c r="Q337" s="55">
        <f>IFERROR((VLOOKUP($A337,'Dados StatusInvest'!$A:$AZ,COLUMN(Q337)-$A$5,0)/100),0)</f>
        <v>0.0025</v>
      </c>
      <c r="R337" s="56">
        <f>VLOOKUP($A337,'Dados StatusInvest'!$A:$AZ,COLUMN(R337)-$A$5,0)</f>
        <v>0.05</v>
      </c>
      <c r="S337" s="56">
        <f>IFERROR((VLOOKUP($A337,'Dados StatusInvest'!$A:$AZ,COLUMN(S337)-$A$5,0)),0)</f>
        <v>20.2</v>
      </c>
      <c r="T337" s="53">
        <f>IFERROR((VLOOKUP($A337,'Dados StatusInvest'!$A:$AZ,COLUMN(T337)-$A$5,0)/VLOOKUP($A337,'Dados StatusInvest'!$A:$AZ,2,0)*$F337),0)</f>
        <v>31.34962162</v>
      </c>
      <c r="U337" s="53">
        <f>IFERROR((VLOOKUP($A337,'Dados StatusInvest'!$A:$AZ,COLUMN(U337)-$A$5,0)-VLOOKUP($A337,'Dados StatusInvest'!$A:$AZ,COLUMN(U337)-$A$5-1,0)+T337),0)</f>
        <v>-1.770378378</v>
      </c>
      <c r="V337" s="56">
        <f>IFERROR((VLOOKUP($A337,'Dados StatusInvest'!$A:$AZ,COLUMN(V337)-$A$5,0)),0)</f>
        <v>2.18</v>
      </c>
      <c r="W337" s="56">
        <f>IFERROR((VLOOKUP($A337,'Dados StatusInvest'!$A:$AZ,COLUMN(W337)-$A$5,0)),0)</f>
        <v>17.22</v>
      </c>
      <c r="X337" s="53">
        <f>IFERROR((VLOOKUP($A337,'Dados StatusInvest'!$A:$AZ,COLUMN(X337)-$A$5,0)/VLOOKUP($A337,'Dados StatusInvest'!$A:$AZ,2,0)*$F337),0)</f>
        <v>13.95416216</v>
      </c>
      <c r="Y337" s="54">
        <f>IFERROR((VLOOKUP($A337,'Dados StatusInvest'!$A:$AZ,COLUMN(Y337)-$A$5,0)/VLOOKUP($A337,'Dados StatusInvest'!$A:$AZ,2,0)*$F337),0)</f>
        <v>16.21189189</v>
      </c>
      <c r="Z337" s="56">
        <f>IFERROR((VLOOKUP($A337,'Dados StatusInvest'!$A:$AZ,COLUMN(Z337)-$A$5,0)),0)</f>
        <v>0.81</v>
      </c>
      <c r="AA337" s="57">
        <f>IFERROR((VLOOKUP($A337,'Dados StatusInvest'!$A:$AZ,COLUMN(AA337)-$A$5,0)),0)</f>
        <v>0.15</v>
      </c>
      <c r="AB337" s="57">
        <f>IFERROR((VLOOKUP($A337,'Dados StatusInvest'!$A:$AZ,COLUMN(AB337)-$A$5,0)),0)</f>
        <v>0.07</v>
      </c>
      <c r="AC337" s="58">
        <f>IFERROR((VLOOKUP($A337,'Dados StatusInvest'!$A:$AZ,COLUMN(AC337)-$A$5,0)),0)</f>
        <v>10.46</v>
      </c>
      <c r="AD337" s="57">
        <f>IFERROR((VLOOKUP($A337,'Dados StatusInvest'!$A:$AZ,COLUMN(AD337)-$A$5,0)),0)</f>
        <v>9.06</v>
      </c>
      <c r="AE337" s="56">
        <f>IFERROR((VLOOKUP($A337,'Dados StatusInvest'!$A:$AZ,COLUMN(AE337)-$A$5,0)),0)</f>
        <v>515000000</v>
      </c>
      <c r="AF337" s="56">
        <f>IFERROR((VLOOKUP($A337,'Dados StatusInvest'!$A:$AZ,COLUMN(AF337)-$A$5,0)),0)</f>
        <v>8.24</v>
      </c>
      <c r="AG337" s="56">
        <f>IFERROR((VLOOKUP($A337,'Dados StatusInvest'!$A:$AZ,COLUMN(AG337)-$A$5,0)),0)</f>
        <v>1.42</v>
      </c>
      <c r="AH337" s="56">
        <f>IFERROR((VLOOKUP($A337,'Dados StatusInvest'!$A:$AZ,COLUMN(AH337)-$A$5,0)),0)</f>
        <v>0.78</v>
      </c>
      <c r="AI337" s="57">
        <f>IFERROR((VLOOKUP($A337,'Dados StatusInvest'!$A:$AZ,COLUMN(AI337)-$A$5,0)),0)</f>
        <v>165115000000</v>
      </c>
      <c r="AJ337" s="59" t="str">
        <f>IFERROR((VLOOKUP($A337,'Dados StatusInvest'!$A:$AZ,COLUMN(AJ337)-$A$5,0)),0)</f>
        <v/>
      </c>
      <c r="AK337" s="60">
        <f>IFERROR(__xludf.DUMMYFUNCTION("IFERROR(GOOGLEFINANCE($A337,""high""),"""")"),14.77)</f>
        <v>14.77</v>
      </c>
      <c r="AL337" s="60">
        <f>IFERROR(__xludf.DUMMYFUNCTION("IFERROR(GOOGLEFINANCE($A337,""low""),"""")"),14.68)</f>
        <v>14.68</v>
      </c>
      <c r="AM337" s="61">
        <f t="shared" si="2"/>
        <v>0.006130790191</v>
      </c>
      <c r="AN337" s="62">
        <f>IFERROR(__xludf.DUMMYFUNCTION("IFERROR((GOOGLEFINANCE($A337,""volume"")),0)"),651600.0)</f>
        <v>651600</v>
      </c>
      <c r="AO337" s="60">
        <f>IFERROR(__xludf.DUMMYFUNCTION("IFERROR((GOOGLEFINANCE($A337,""closeyest"")),"""")"),14.8)</f>
        <v>14.8</v>
      </c>
      <c r="AP337" s="60">
        <f>IFERROR(__xludf.DUMMYFUNCTION("IFERROR((GOOGLEFINANCE($A337,""shares"")),"""")"),7.360052833E9)</f>
        <v>7360052833</v>
      </c>
      <c r="AQ337" s="18"/>
    </row>
    <row r="338">
      <c r="A338" s="45" t="str">
        <f>'Dados StatusInvest'!A333:A952</f>
        <v>ITUB3</v>
      </c>
      <c r="B338" s="46" t="str">
        <f>IFERROR(__xludf.DUMMYFUNCTION("IFERROR((GOOGLEFINANCE(A338,""name"")),"""")"),"Itau Unibanco Holding Cedear")</f>
        <v>Itau Unibanco Holding Cedear</v>
      </c>
      <c r="C338" s="46" t="str">
        <f>IFERROR((VLOOKUP(LEFT($A338,4),Setor!$A:$E,3,0)),"")</f>
        <v>Financeiro</v>
      </c>
      <c r="D338" s="46" t="str">
        <f>IFERROR((VLOOKUP(LEFT($A338,4),Setor!$A:$E,4,0)),"")</f>
        <v>Intermediários Financeiros</v>
      </c>
      <c r="E338" s="46" t="str">
        <f>IFERROR((VLOOKUP(LEFT($A338,4),Setor!$A:$E,5,0)),"")</f>
        <v>Bancos</v>
      </c>
      <c r="F338" s="47">
        <f>IFERROR(__xludf.DUMMYFUNCTION("IFERROR((GOOGLEFINANCE(A338)),"""")"),12570.0)</f>
        <v>12570</v>
      </c>
      <c r="G338" s="48" t="str">
        <f>IFERROR(__xludf.DUMMYFUNCTION("IFERROR((sparkline(GOOGLEFINANCE($A338,""price"",TODAY()-30,TODAY(),""DAILY""),{""charttype"",""line"";""linewidth"",1;""color"",""#5f88cc""})),"""")"),"")</f>
        <v/>
      </c>
      <c r="H338" s="49">
        <f>IFERROR(__xludf.DUMMYFUNCTION("IFERROR((((GOOGLEFINANCE(A338))-(INDEX(GoogleFinance(A338,""PRICE"",$AQ$1),2,2)))/(INDEX(GoogleFinance(A338,""PRICE"",$AQ$1),2,2))),"""")"),0.1574585635359116)</f>
        <v>0.1574585635</v>
      </c>
      <c r="I338" s="47">
        <f>IFERROR(__xludf.DUMMYFUNCTION("IFERROR((GOOGLEFINANCE($A338,""high52"")),"""")"),13090.0)</f>
        <v>13090</v>
      </c>
      <c r="J338" s="48" t="str">
        <f>IFERROR(__xludf.DUMMYFUNCTION("IFERROR((sparkline(GOOGLEFINANCE($A338,""price"",TODAY()-365,TODAY(),""DAILY""),{""charttype"",""line"";""linewidth"",1;""color"",""#5f88cc""})),"""")"),"")</f>
        <v/>
      </c>
      <c r="K338" s="50">
        <f>IFERROR(__xludf.DUMMYFUNCTION("IFERROR((((GOOGLEFINANCE(A338))-(INDEX(GoogleFinance(A338,""PRICE"",$AP$1),2,2)))/(INDEX(GoogleFinance(A338,""PRICE"",$AP$1),2,2))),"""")"),1.0274193548387096)</f>
        <v>1.027419355</v>
      </c>
      <c r="L338" s="51">
        <f t="shared" si="1"/>
        <v>-0.0397249809</v>
      </c>
      <c r="M338" s="52">
        <f>IFERROR((VLOOKUP($A338,'Dados StatusInvest'!$A:$AZ,COLUMN(M338)-$A$5,0)*VLOOKUP($A338,'Dados StatusInvest'!$A:$AZ,2,0)/$F338/100),0)</f>
        <v>0.0004681887033</v>
      </c>
      <c r="N338" s="53">
        <f>IFERROR((VLOOKUP($A338,'Dados StatusInvest'!$A:$AZ,COLUMN(N338)-$A$5,0)/VLOOKUP($A338,'Dados StatusInvest'!$A:$AZ,2,0)*$F338),"")</f>
        <v>3213.195854</v>
      </c>
      <c r="O338" s="53">
        <f>IFERROR((VLOOKUP($A338,'Dados StatusInvest'!$A:$AZ,COLUMN(O338)-$A$5,0)/VLOOKUP($A338,'Dados StatusInvest'!$A:$AZ,2,0)*$F338),0)</f>
        <v>2758.524482</v>
      </c>
      <c r="P338" s="54">
        <f>IFERROR((VLOOKUP($A338,'Dados StatusInvest'!$A:$AZ,COLUMN(P338)-$A$5,0)/VLOOKUP($A338,'Dados StatusInvest'!$A:$AZ,2,0)*$F338),0)</f>
        <v>2855.558006</v>
      </c>
      <c r="Q338" s="55">
        <f>IFERROR((VLOOKUP($A338,'Dados StatusInvest'!$A:$AZ,COLUMN(Q338)-$A$5,0)/100),0)</f>
        <v>0</v>
      </c>
      <c r="R338" s="56">
        <f>VLOOKUP($A338,'Dados StatusInvest'!$A:$AZ,COLUMN(R338)-$A$5,0)</f>
        <v>0</v>
      </c>
      <c r="S338" s="56">
        <f>IFERROR((VLOOKUP($A338,'Dados StatusInvest'!$A:$AZ,COLUMN(S338)-$A$5,0)),0)</f>
        <v>1.29</v>
      </c>
      <c r="T338" s="53">
        <f>IFERROR((VLOOKUP($A338,'Dados StatusInvest'!$A:$AZ,COLUMN(T338)-$A$5,0)/VLOOKUP($A338,'Dados StatusInvest'!$A:$AZ,2,0)*$F338),0)</f>
        <v>-582.2011469</v>
      </c>
      <c r="U338" s="53">
        <f>IFERROR((VLOOKUP($A338,'Dados StatusInvest'!$A:$AZ,COLUMN(U338)-$A$5,0)-VLOOKUP($A338,'Dados StatusInvest'!$A:$AZ,COLUMN(U338)-$A$5-1,0)+T338),0)</f>
        <v>-580.2711469</v>
      </c>
      <c r="V338" s="56">
        <f>IFERROR((VLOOKUP($A338,'Dados StatusInvest'!$A:$AZ,COLUMN(V338)-$A$5,0)),0)</f>
        <v>0.14</v>
      </c>
      <c r="W338" s="56">
        <f>IFERROR((VLOOKUP($A338,'Dados StatusInvest'!$A:$AZ,COLUMN(W338)-$A$5,0)),0)</f>
        <v>20.86</v>
      </c>
      <c r="X338" s="53">
        <f>IFERROR((VLOOKUP($A338,'Dados StatusInvest'!$A:$AZ,COLUMN(X338)-$A$5,0)/VLOOKUP($A338,'Dados StatusInvest'!$A:$AZ,2,0)*$F338),0)</f>
        <v>404.7684164</v>
      </c>
      <c r="Y338" s="54">
        <f>IFERROR((VLOOKUP($A338,'Dados StatusInvest'!$A:$AZ,COLUMN(Y338)-$A$5,0)/VLOOKUP($A338,'Dados StatusInvest'!$A:$AZ,2,0)*$F338),0)</f>
        <v>0</v>
      </c>
      <c r="Z338" s="56">
        <f>IFERROR((VLOOKUP($A338,'Dados StatusInvest'!$A:$AZ,COLUMN(Z338)-$A$5,0)),0)</f>
        <v>0.07</v>
      </c>
      <c r="AA338" s="57">
        <f>IFERROR((VLOOKUP($A338,'Dados StatusInvest'!$A:$AZ,COLUMN(AA338)-$A$5,0)),0)</f>
        <v>0.93</v>
      </c>
      <c r="AB338" s="57">
        <f>IFERROR((VLOOKUP($A338,'Dados StatusInvest'!$A:$AZ,COLUMN(AB338)-$A$5,0)),0)</f>
        <v>0.13</v>
      </c>
      <c r="AC338" s="58">
        <f>IFERROR((VLOOKUP($A338,'Dados StatusInvest'!$A:$AZ,COLUMN(AC338)-$A$5,0)),0)</f>
        <v>17.38</v>
      </c>
      <c r="AD338" s="57">
        <f>IFERROR((VLOOKUP($A338,'Dados StatusInvest'!$A:$AZ,COLUMN(AD338)-$A$5,0)),0)</f>
        <v>18.88</v>
      </c>
      <c r="AE338" s="56">
        <f>IFERROR((VLOOKUP($A338,'Dados StatusInvest'!$A:$AZ,COLUMN(AE338)-$A$5,0)),0)</f>
        <v>48665897</v>
      </c>
      <c r="AF338" s="56">
        <f>IFERROR((VLOOKUP($A338,'Dados StatusInvest'!$A:$AZ,COLUMN(AF338)-$A$5,0)),0)</f>
        <v>19.5</v>
      </c>
      <c r="AG338" s="56">
        <f>IFERROR((VLOOKUP($A338,'Dados StatusInvest'!$A:$AZ,COLUMN(AG338)-$A$5,0)),0)</f>
        <v>4.07</v>
      </c>
      <c r="AH338" s="56">
        <f>IFERROR((VLOOKUP($A338,'Dados StatusInvest'!$A:$AZ,COLUMN(AH338)-$A$5,0)),0)</f>
        <v>1.21</v>
      </c>
      <c r="AI338" s="57">
        <f>IFERROR((VLOOKUP($A338,'Dados StatusInvest'!$A:$AZ,COLUMN(AI338)-$A$5,0)),0)</f>
        <v>517322000000</v>
      </c>
      <c r="AJ338" s="59" t="str">
        <f>IFERROR((VLOOKUP($A338,'Dados StatusInvest'!$A:$AZ,COLUMN(AJ338)-$A$5,0)),0)</f>
        <v/>
      </c>
      <c r="AK338" s="60">
        <f>IFERROR(__xludf.DUMMYFUNCTION("IFERROR(GOOGLEFINANCE($A338,""high""),"""")"),12570.0)</f>
        <v>12570</v>
      </c>
      <c r="AL338" s="60">
        <f>IFERROR(__xludf.DUMMYFUNCTION("IFERROR(GOOGLEFINANCE($A338,""low""),"""")"),12570.0)</f>
        <v>12570</v>
      </c>
      <c r="AM338" s="61">
        <f t="shared" si="2"/>
        <v>0</v>
      </c>
      <c r="AN338" s="62">
        <f>IFERROR(__xludf.DUMMYFUNCTION("IFERROR((GOOGLEFINANCE($A338,""volume"")),0)"),0.0)</f>
        <v>0</v>
      </c>
      <c r="AO338" s="60">
        <f>IFERROR(__xludf.DUMMYFUNCTION("IFERROR((GOOGLEFINANCE($A338,""closeyest"")),"""")"),12610.0)</f>
        <v>12610</v>
      </c>
      <c r="AP338" s="60" t="str">
        <f>IFERROR(__xludf.DUMMYFUNCTION("IFERROR((GOOGLEFINANCE($A338,""shares"")),"""")"),"")</f>
        <v/>
      </c>
      <c r="AQ338" s="18"/>
    </row>
    <row r="339">
      <c r="A339" s="45" t="str">
        <f>'Dados StatusInvest'!A334:A953</f>
        <v>ITUB4</v>
      </c>
      <c r="B339" s="46" t="str">
        <f>IFERROR(__xludf.DUMMYFUNCTION("IFERROR((GOOGLEFINANCE(A339,""name"")),"""")"),"Itau Unibanco Holding SA Preference Shares")</f>
        <v>Itau Unibanco Holding SA Preference Shares</v>
      </c>
      <c r="C339" s="46" t="str">
        <f>IFERROR((VLOOKUP(LEFT($A339,4),Setor!$A:$E,3,0)),"")</f>
        <v>Financeiro</v>
      </c>
      <c r="D339" s="46" t="str">
        <f>IFERROR((VLOOKUP(LEFT($A339,4),Setor!$A:$E,4,0)),"")</f>
        <v>Intermediários Financeiros</v>
      </c>
      <c r="E339" s="46" t="str">
        <f>IFERROR((VLOOKUP(LEFT($A339,4),Setor!$A:$E,5,0)),"")</f>
        <v>Bancos</v>
      </c>
      <c r="F339" s="47">
        <f>IFERROR(__xludf.DUMMYFUNCTION("IFERROR((GOOGLEFINANCE(A339)),"""")"),48.22)</f>
        <v>48.22</v>
      </c>
      <c r="G339" s="48" t="str">
        <f>IFERROR(__xludf.DUMMYFUNCTION("IFERROR((sparkline(GOOGLEFINANCE($A339,""price"",TODAY()-30,TODAY(),""DAILY""),{""charttype"",""line"";""linewidth"",1;""color"",""#5f88cc""})),"""")"),"")</f>
        <v/>
      </c>
      <c r="H339" s="49">
        <f>IFERROR(__xludf.DUMMYFUNCTION("IFERROR((((GOOGLEFINANCE(A339))-(INDEX(GoogleFinance(A339,""PRICE"",$AQ$1),2,2)))/(INDEX(GoogleFinance(A339,""PRICE"",$AQ$1),2,2))),"""")"),0.15718742500599944)</f>
        <v>0.157187425</v>
      </c>
      <c r="I339" s="47">
        <f>IFERROR(__xludf.DUMMYFUNCTION("IFERROR((GOOGLEFINANCE($A339,""high52"")),"""")"),49.67)</f>
        <v>49.67</v>
      </c>
      <c r="J339" s="48" t="str">
        <f>IFERROR(__xludf.DUMMYFUNCTION("IFERROR((sparkline(GOOGLEFINANCE($A339,""price"",TODAY()-365,TODAY(),""DAILY""),{""charttype"",""line"";""linewidth"",1;""color"",""#5f88cc""})),"""")"),"")</f>
        <v/>
      </c>
      <c r="K339" s="50">
        <f>IFERROR(__xludf.DUMMYFUNCTION("IFERROR((((GOOGLEFINANCE(A339))-(INDEX(GoogleFinance(A339,""PRICE"",$AP$1),2,2)))/(INDEX(GoogleFinance(A339,""PRICE"",$AP$1),2,2))),"""")"),0.6656303972366149)</f>
        <v>0.6656303972</v>
      </c>
      <c r="L339" s="51">
        <f t="shared" si="1"/>
        <v>-0.02919267163</v>
      </c>
      <c r="M339" s="52">
        <f>IFERROR((VLOOKUP($A339,'Dados StatusInvest'!$A:$AZ,COLUMN(M339)-$A$5,0)*VLOOKUP($A339,'Dados StatusInvest'!$A:$AZ,2,0)/$F339/100),0)</f>
        <v>0.1306883036</v>
      </c>
      <c r="N339" s="53">
        <f>IFERROR((VLOOKUP($A339,'Dados StatusInvest'!$A:$AZ,COLUMN(N339)-$A$5,0)/VLOOKUP($A339,'Dados StatusInvest'!$A:$AZ,2,0)*$F339),"")</f>
        <v>11.51122142</v>
      </c>
      <c r="O339" s="53">
        <f>IFERROR((VLOOKUP($A339,'Dados StatusInvest'!$A:$AZ,COLUMN(O339)-$A$5,0)/VLOOKUP($A339,'Dados StatusInvest'!$A:$AZ,2,0)*$F339),0)</f>
        <v>10.57761071</v>
      </c>
      <c r="P339" s="54">
        <f>IFERROR((VLOOKUP($A339,'Dados StatusInvest'!$A:$AZ,COLUMN(P339)-$A$5,0)/VLOOKUP($A339,'Dados StatusInvest'!$A:$AZ,2,0)*$F339),0)</f>
        <v>10.2299897</v>
      </c>
      <c r="Q339" s="55">
        <f>IFERROR((VLOOKUP($A339,'Dados StatusInvest'!$A:$AZ,COLUMN(Q339)-$A$5,0)/100),0)</f>
        <v>0</v>
      </c>
      <c r="R339" s="56">
        <f>VLOOKUP($A339,'Dados StatusInvest'!$A:$AZ,COLUMN(R339)-$A$5,0)</f>
        <v>0</v>
      </c>
      <c r="S339" s="56">
        <f>IFERROR((VLOOKUP($A339,'Dados StatusInvest'!$A:$AZ,COLUMN(S339)-$A$5,0)),0)</f>
        <v>1.38</v>
      </c>
      <c r="T339" s="53">
        <f>IFERROR((VLOOKUP($A339,'Dados StatusInvest'!$A:$AZ,COLUMN(T339)-$A$5,0)/VLOOKUP($A339,'Dados StatusInvest'!$A:$AZ,2,0)*$F339),0)</f>
        <v>-2.234706488</v>
      </c>
      <c r="U339" s="53">
        <f>IFERROR((VLOOKUP($A339,'Dados StatusInvest'!$A:$AZ,COLUMN(U339)-$A$5,0)-VLOOKUP($A339,'Dados StatusInvest'!$A:$AZ,COLUMN(U339)-$A$5-1,0)+T339),0)</f>
        <v>-0.1647064882</v>
      </c>
      <c r="V339" s="56">
        <f>IFERROR((VLOOKUP($A339,'Dados StatusInvest'!$A:$AZ,COLUMN(V339)-$A$5,0)),0)</f>
        <v>0.14</v>
      </c>
      <c r="W339" s="56">
        <f>IFERROR((VLOOKUP($A339,'Dados StatusInvest'!$A:$AZ,COLUMN(W339)-$A$5,0)),0)</f>
        <v>20.86</v>
      </c>
      <c r="X339" s="53">
        <f>IFERROR((VLOOKUP($A339,'Dados StatusInvest'!$A:$AZ,COLUMN(X339)-$A$5,0)/VLOOKUP($A339,'Dados StatusInvest'!$A:$AZ,2,0)*$F339),0)</f>
        <v>1.45007621</v>
      </c>
      <c r="Y339" s="54">
        <f>IFERROR((VLOOKUP($A339,'Dados StatusInvest'!$A:$AZ,COLUMN(Y339)-$A$5,0)/VLOOKUP($A339,'Dados StatusInvest'!$A:$AZ,2,0)*$F339),0)</f>
        <v>0</v>
      </c>
      <c r="Z339" s="56">
        <f>IFERROR((VLOOKUP($A339,'Dados StatusInvest'!$A:$AZ,COLUMN(Z339)-$A$5,0)),0)</f>
        <v>0.07</v>
      </c>
      <c r="AA339" s="57">
        <f>IFERROR((VLOOKUP($A339,'Dados StatusInvest'!$A:$AZ,COLUMN(AA339)-$A$5,0)),0)</f>
        <v>0.93</v>
      </c>
      <c r="AB339" s="57">
        <f>IFERROR((VLOOKUP($A339,'Dados StatusInvest'!$A:$AZ,COLUMN(AB339)-$A$5,0)),0)</f>
        <v>0.13</v>
      </c>
      <c r="AC339" s="58">
        <f>IFERROR((VLOOKUP($A339,'Dados StatusInvest'!$A:$AZ,COLUMN(AC339)-$A$5,0)),0)</f>
        <v>17.38</v>
      </c>
      <c r="AD339" s="57">
        <f>IFERROR((VLOOKUP($A339,'Dados StatusInvest'!$A:$AZ,COLUMN(AD339)-$A$5,0)),0)</f>
        <v>18.88</v>
      </c>
      <c r="AE339" s="56">
        <f>IFERROR((VLOOKUP($A339,'Dados StatusInvest'!$A:$AZ,COLUMN(AE339)-$A$5,0)),0)</f>
        <v>1650000000</v>
      </c>
      <c r="AF339" s="56">
        <f>IFERROR((VLOOKUP($A339,'Dados StatusInvest'!$A:$AZ,COLUMN(AF339)-$A$5,0)),0)</f>
        <v>19.5</v>
      </c>
      <c r="AG339" s="56">
        <f>IFERROR((VLOOKUP($A339,'Dados StatusInvest'!$A:$AZ,COLUMN(AG339)-$A$5,0)),0)</f>
        <v>4.07</v>
      </c>
      <c r="AH339" s="56">
        <f>IFERROR((VLOOKUP($A339,'Dados StatusInvest'!$A:$AZ,COLUMN(AH339)-$A$5,0)),0)</f>
        <v>1.3</v>
      </c>
      <c r="AI339" s="57">
        <f>IFERROR((VLOOKUP($A339,'Dados StatusInvest'!$A:$AZ,COLUMN(AI339)-$A$5,0)),0)</f>
        <v>517322000000</v>
      </c>
      <c r="AJ339" s="59" t="str">
        <f>IFERROR((VLOOKUP($A339,'Dados StatusInvest'!$A:$AZ,COLUMN(AJ339)-$A$5,0)),0)</f>
        <v/>
      </c>
      <c r="AK339" s="60">
        <f>IFERROR(__xludf.DUMMYFUNCTION("IFERROR(GOOGLEFINANCE($A339,""high""),"""")"),48.41)</f>
        <v>48.41</v>
      </c>
      <c r="AL339" s="60">
        <f>IFERROR(__xludf.DUMMYFUNCTION("IFERROR(GOOGLEFINANCE($A339,""low""),"""")"),48.02)</f>
        <v>48.02</v>
      </c>
      <c r="AM339" s="61">
        <f t="shared" si="2"/>
        <v>0.008121615993</v>
      </c>
      <c r="AN339" s="62">
        <f>IFERROR(__xludf.DUMMYFUNCTION("IFERROR((GOOGLEFINANCE($A339,""volume"")),0)"),1174000.0)</f>
        <v>1174000</v>
      </c>
      <c r="AO339" s="60">
        <f>IFERROR(__xludf.DUMMYFUNCTION("IFERROR((GOOGLEFINANCE($A339,""closeyest"")),"""")"),48.55)</f>
        <v>48.55</v>
      </c>
      <c r="AP339" s="60">
        <f>IFERROR(__xludf.DUMMYFUNCTION("IFERROR((GOOGLEFINANCE($A339,""shares"")),"""")"),5.409126215E9)</f>
        <v>5409126215</v>
      </c>
      <c r="AQ339" s="18"/>
    </row>
    <row r="340">
      <c r="A340" s="45" t="str">
        <f>'Dados StatusInvest'!A335:A954</f>
        <v>JALL3</v>
      </c>
      <c r="B340" s="46" t="str">
        <f>IFERROR(__xludf.DUMMYFUNCTION("IFERROR((GOOGLEFINANCE(A340,""name"")),"""")"),"Jalles Machado SA")</f>
        <v>Jalles Machado SA</v>
      </c>
      <c r="C340" s="46" t="str">
        <f>IFERROR((VLOOKUP(LEFT($A340,4),Setor!$A:$E,3,0)),"")</f>
        <v/>
      </c>
      <c r="D340" s="46" t="str">
        <f>IFERROR((VLOOKUP(LEFT($A340,4),Setor!$A:$E,4,0)),"")</f>
        <v/>
      </c>
      <c r="E340" s="46" t="str">
        <f>IFERROR((VLOOKUP(LEFT($A340,4),Setor!$A:$E,5,0)),"")</f>
        <v/>
      </c>
      <c r="F340" s="47">
        <f>IFERROR(__xludf.DUMMYFUNCTION("IFERROR((GOOGLEFINANCE(A340)),"""")"),3.0)</f>
        <v>3</v>
      </c>
      <c r="G340" s="48" t="str">
        <f>IFERROR(__xludf.DUMMYFUNCTION("IFERROR((sparkline(GOOGLEFINANCE($A340,""price"",TODAY()-30,TODAY(),""DAILY""),{""charttype"",""line"";""linewidth"",1;""color"",""#5f88cc""})),"""")"),"")</f>
        <v/>
      </c>
      <c r="H340" s="49">
        <f>IFERROR(__xludf.DUMMYFUNCTION("IFERROR((((GOOGLEFINANCE(A340))-(INDEX(GoogleFinance(A340,""PRICE"",$AQ$1),2,2)))/(INDEX(GoogleFinance(A340,""PRICE"",$AQ$1),2,2))),"""")"),0.02739726027397263)</f>
        <v>0.02739726027</v>
      </c>
      <c r="I340" s="47">
        <f>IFERROR(__xludf.DUMMYFUNCTION("IFERROR((GOOGLEFINANCE($A340,""high52"")),"""")"),4.78)</f>
        <v>4.78</v>
      </c>
      <c r="J340" s="48" t="str">
        <f>IFERROR(__xludf.DUMMYFUNCTION("IFERROR((sparkline(GOOGLEFINANCE($A340,""price"",TODAY()-365,TODAY(),""DAILY""),{""charttype"",""line"";""linewidth"",1;""color"",""#5f88cc""})),"""")"),"")</f>
        <v/>
      </c>
      <c r="K340" s="50">
        <f>IFERROR(__xludf.DUMMYFUNCTION("IFERROR((((GOOGLEFINANCE(A340))-(INDEX(GoogleFinance(A340,""PRICE"",$AP$1),2,2)))/(INDEX(GoogleFinance(A340,""PRICE"",$AP$1),2,2))),"""")"),-0.337748344370861)</f>
        <v>-0.3377483444</v>
      </c>
      <c r="L340" s="51">
        <f t="shared" si="1"/>
        <v>-0.3723849372</v>
      </c>
      <c r="M340" s="52">
        <f>IFERROR((VLOOKUP($A340,'Dados StatusInvest'!$A:$AZ,COLUMN(M340)-$A$5,0)*VLOOKUP($A340,'Dados StatusInvest'!$A:$AZ,2,0)/$F340/100),0)</f>
        <v>0.027937</v>
      </c>
      <c r="N340" s="53">
        <f>IFERROR((VLOOKUP($A340,'Dados StatusInvest'!$A:$AZ,COLUMN(N340)-$A$5,0)/VLOOKUP($A340,'Dados StatusInvest'!$A:$AZ,2,0)*$F340),"")</f>
        <v>-3.166123779</v>
      </c>
      <c r="O340" s="53">
        <f>IFERROR((VLOOKUP($A340,'Dados StatusInvest'!$A:$AZ,COLUMN(O340)-$A$5,0)/VLOOKUP($A340,'Dados StatusInvest'!$A:$AZ,2,0)*$F340),0)</f>
        <v>13.1237785</v>
      </c>
      <c r="P340" s="54">
        <f>IFERROR((VLOOKUP($A340,'Dados StatusInvest'!$A:$AZ,COLUMN(P340)-$A$5,0)/VLOOKUP($A340,'Dados StatusInvest'!$A:$AZ,2,0)*$F340),0)</f>
        <v>59.70684039</v>
      </c>
      <c r="Q340" s="55">
        <f>IFERROR((VLOOKUP($A340,'Dados StatusInvest'!$A:$AZ,COLUMN(Q340)-$A$5,0)/100),0)</f>
        <v>0.4766</v>
      </c>
      <c r="R340" s="56">
        <f>VLOOKUP($A340,'Dados StatusInvest'!$A:$AZ,COLUMN(R340)-$A$5,0)</f>
        <v>1.65</v>
      </c>
      <c r="S340" s="56">
        <f>IFERROR((VLOOKUP($A340,'Dados StatusInvest'!$A:$AZ,COLUMN(S340)-$A$5,0)),0)</f>
        <v>0.37</v>
      </c>
      <c r="T340" s="53">
        <f>IFERROR((VLOOKUP($A340,'Dados StatusInvest'!$A:$AZ,COLUMN(T340)-$A$5,0)/VLOOKUP($A340,'Dados StatusInvest'!$A:$AZ,2,0)*$F340),0)</f>
        <v>0.7328990228</v>
      </c>
      <c r="U340" s="53">
        <f>IFERROR((VLOOKUP($A340,'Dados StatusInvest'!$A:$AZ,COLUMN(U340)-$A$5,0)-VLOOKUP($A340,'Dados StatusInvest'!$A:$AZ,COLUMN(U340)-$A$5-1,0)+T340),0)</f>
        <v>-0.2071009772</v>
      </c>
      <c r="V340" s="56">
        <f>IFERROR((VLOOKUP($A340,'Dados StatusInvest'!$A:$AZ,COLUMN(V340)-$A$5,0)),0)</f>
        <v>2.19</v>
      </c>
      <c r="W340" s="56">
        <f>IFERROR((VLOOKUP($A340,'Dados StatusInvest'!$A:$AZ,COLUMN(W340)-$A$5,0)),0)</f>
        <v>-4.11</v>
      </c>
      <c r="X340" s="53">
        <f>IFERROR((VLOOKUP($A340,'Dados StatusInvest'!$A:$AZ,COLUMN(X340)-$A$5,0)/VLOOKUP($A340,'Dados StatusInvest'!$A:$AZ,2,0)*$F340),0)</f>
        <v>-1.123778502</v>
      </c>
      <c r="Y340" s="54">
        <f>IFERROR((VLOOKUP($A340,'Dados StatusInvest'!$A:$AZ,COLUMN(Y340)-$A$5,0)/VLOOKUP($A340,'Dados StatusInvest'!$A:$AZ,2,0)*$F340),0)</f>
        <v>-1.348534202</v>
      </c>
      <c r="Z340" s="56">
        <f>IFERROR((VLOOKUP($A340,'Dados StatusInvest'!$A:$AZ,COLUMN(Z340)-$A$5,0)),0)</f>
        <v>0.28</v>
      </c>
      <c r="AA340" s="57">
        <f>IFERROR((VLOOKUP($A340,'Dados StatusInvest'!$A:$AZ,COLUMN(AA340)-$A$5,0)),0)</f>
        <v>0.72</v>
      </c>
      <c r="AB340" s="57">
        <f>IFERROR((VLOOKUP($A340,'Dados StatusInvest'!$A:$AZ,COLUMN(AB340)-$A$5,0)),0)</f>
        <v>0.36</v>
      </c>
      <c r="AC340" s="58">
        <f>IFERROR((VLOOKUP($A340,'Dados StatusInvest'!$A:$AZ,COLUMN(AC340)-$A$5,0)),0)</f>
        <v>21.27</v>
      </c>
      <c r="AD340" s="57">
        <f>IFERROR((VLOOKUP($A340,'Dados StatusInvest'!$A:$AZ,COLUMN(AD340)-$A$5,0)),0)</f>
        <v>0</v>
      </c>
      <c r="AE340" s="56">
        <f>IFERROR((VLOOKUP($A340,'Dados StatusInvest'!$A:$AZ,COLUMN(AE340)-$A$5,0)),0)</f>
        <v>4181944</v>
      </c>
      <c r="AF340" s="56">
        <f>IFERROR((VLOOKUP($A340,'Dados StatusInvest'!$A:$AZ,COLUMN(AF340)-$A$5,0)),0)</f>
        <v>6.6</v>
      </c>
      <c r="AG340" s="56">
        <f>IFERROR((VLOOKUP($A340,'Dados StatusInvest'!$A:$AZ,COLUMN(AG340)-$A$5,0)),0)</f>
        <v>-0.27</v>
      </c>
      <c r="AH340" s="56">
        <f>IFERROR((VLOOKUP($A340,'Dados StatusInvest'!$A:$AZ,COLUMN(AH340)-$A$5,0)),0)</f>
        <v>0.07</v>
      </c>
      <c r="AI340" s="57">
        <f>IFERROR((VLOOKUP($A340,'Dados StatusInvest'!$A:$AZ,COLUMN(AI340)-$A$5,0)),0)</f>
        <v>931873522.5</v>
      </c>
      <c r="AJ340" s="59" t="str">
        <f>IFERROR((VLOOKUP($A340,'Dados StatusInvest'!$A:$AZ,COLUMN(AJ340)-$A$5,0)),0)</f>
        <v/>
      </c>
      <c r="AK340" s="60">
        <f>IFERROR(__xludf.DUMMYFUNCTION("IFERROR(GOOGLEFINANCE($A340,""high""),"""")"),3.08)</f>
        <v>3.08</v>
      </c>
      <c r="AL340" s="60">
        <f>IFERROR(__xludf.DUMMYFUNCTION("IFERROR(GOOGLEFINANCE($A340,""low""),"""")"),2.99)</f>
        <v>2.99</v>
      </c>
      <c r="AM340" s="61">
        <f t="shared" si="2"/>
        <v>0.03010033445</v>
      </c>
      <c r="AN340" s="62">
        <f>IFERROR(__xludf.DUMMYFUNCTION("IFERROR((GOOGLEFINANCE($A340,""volume"")),0)"),208900.0)</f>
        <v>208900</v>
      </c>
      <c r="AO340" s="60">
        <f>IFERROR(__xludf.DUMMYFUNCTION("IFERROR((GOOGLEFINANCE($A340,""closeyest"")),"""")"),3.07)</f>
        <v>3.07</v>
      </c>
      <c r="AP340" s="60">
        <f>IFERROR(__xludf.DUMMYFUNCTION("IFERROR((GOOGLEFINANCE($A340,""shares"")),"""")"),3.03541864E8)</f>
        <v>303541864</v>
      </c>
      <c r="AQ340" s="18"/>
    </row>
    <row r="341">
      <c r="A341" s="45" t="str">
        <f>'Dados StatusInvest'!A336:A955</f>
        <v>JBSS3</v>
      </c>
      <c r="B341" s="46" t="str">
        <f>IFERROR(__xludf.DUMMYFUNCTION("IFERROR((GOOGLEFINANCE(A341,""name"")),"""")"),"")</f>
        <v/>
      </c>
      <c r="C341" s="46" t="str">
        <f>IFERROR((VLOOKUP(LEFT($A341,4),Setor!$A:$E,3,0)),"")</f>
        <v>Consumo não Cíclico</v>
      </c>
      <c r="D341" s="46" t="str">
        <f>IFERROR((VLOOKUP(LEFT($A341,4),Setor!$A:$E,4,0)),"")</f>
        <v>Alimentos Processados</v>
      </c>
      <c r="E341" s="46" t="str">
        <f>IFERROR((VLOOKUP(LEFT($A341,4),Setor!$A:$E,5,0)),"")</f>
        <v>Carnes e Derivados</v>
      </c>
      <c r="F341" s="47" t="str">
        <f>IFERROR(__xludf.DUMMYFUNCTION("IFERROR((GOOGLEFINANCE(A341)),"""")"),"")</f>
        <v/>
      </c>
      <c r="G341" s="48" t="str">
        <f>IFERROR(__xludf.DUMMYFUNCTION("IFERROR((sparkline(GOOGLEFINANCE($A341,""price"",TODAY()-30,TODAY(),""DAILY""),{""charttype"",""line"";""linewidth"",1;""color"",""#5f88cc""})),"""")"),"")</f>
        <v/>
      </c>
      <c r="H341" s="49" t="str">
        <f>IFERROR(__xludf.DUMMYFUNCTION("IFERROR((((GOOGLEFINANCE(A341))-(INDEX(GoogleFinance(A341,""PRICE"",$AQ$1),2,2)))/(INDEX(GoogleFinance(A341,""PRICE"",$AQ$1),2,2))),"""")"),"")</f>
        <v/>
      </c>
      <c r="I341" s="47" t="str">
        <f>IFERROR(__xludf.DUMMYFUNCTION("IFERROR((GOOGLEFINANCE($A341,""high52"")),"""")"),"")</f>
        <v/>
      </c>
      <c r="J341" s="48" t="str">
        <f>IFERROR(__xludf.DUMMYFUNCTION("IFERROR((sparkline(GOOGLEFINANCE($A341,""price"",TODAY()-365,TODAY(),""DAILY""),{""charttype"",""line"";""linewidth"",1;""color"",""#5f88cc""})),"""")"),"")</f>
        <v/>
      </c>
      <c r="K341" s="50" t="str">
        <f>IFERROR(__xludf.DUMMYFUNCTION("IFERROR((((GOOGLEFINANCE(A341))-(INDEX(GoogleFinance(A341,""PRICE"",$AP$1),2,2)))/(INDEX(GoogleFinance(A341,""PRICE"",$AP$1),2,2))),"""")"),"")</f>
        <v/>
      </c>
      <c r="L341" s="51">
        <f t="shared" si="1"/>
        <v>0</v>
      </c>
      <c r="M341" s="52">
        <f>IFERROR((VLOOKUP($A341,'Dados StatusInvest'!$A:$AZ,COLUMN(M341)-$A$5,0)*VLOOKUP($A341,'Dados StatusInvest'!$A:$AZ,2,0)/$F341/100),0)</f>
        <v>0</v>
      </c>
      <c r="N341" s="53">
        <f>IFERROR((VLOOKUP($A341,'Dados StatusInvest'!$A:$AZ,COLUMN(N341)-$A$5,0)/VLOOKUP($A341,'Dados StatusInvest'!$A:$AZ,2,0)*$F341),"")</f>
        <v>0</v>
      </c>
      <c r="O341" s="53">
        <f>IFERROR((VLOOKUP($A341,'Dados StatusInvest'!$A:$AZ,COLUMN(O341)-$A$5,0)/VLOOKUP($A341,'Dados StatusInvest'!$A:$AZ,2,0)*$F341),0)</f>
        <v>0</v>
      </c>
      <c r="P341" s="54">
        <f>IFERROR((VLOOKUP($A341,'Dados StatusInvest'!$A:$AZ,COLUMN(P341)-$A$5,0)/VLOOKUP($A341,'Dados StatusInvest'!$A:$AZ,2,0)*$F341),0)</f>
        <v>0</v>
      </c>
      <c r="Q341" s="55">
        <f>IFERROR((VLOOKUP($A341,'Dados StatusInvest'!$A:$AZ,COLUMN(Q341)-$A$5,0)/100),0)</f>
        <v>0.0373</v>
      </c>
      <c r="R341" s="56">
        <f>VLOOKUP($A341,'Dados StatusInvest'!$A:$AZ,COLUMN(R341)-$A$5,0)</f>
        <v>1.93</v>
      </c>
      <c r="S341" s="56">
        <f>IFERROR((VLOOKUP($A341,'Dados StatusInvest'!$A:$AZ,COLUMN(S341)-$A$5,0)),0)</f>
        <v>0.13</v>
      </c>
      <c r="T341" s="53">
        <f>IFERROR((VLOOKUP($A341,'Dados StatusInvest'!$A:$AZ,COLUMN(T341)-$A$5,0)/VLOOKUP($A341,'Dados StatusInvest'!$A:$AZ,2,0)*$F341),0)</f>
        <v>0</v>
      </c>
      <c r="U341" s="53">
        <f>IFERROR((VLOOKUP($A341,'Dados StatusInvest'!$A:$AZ,COLUMN(U341)-$A$5,0)-VLOOKUP($A341,'Dados StatusInvest'!$A:$AZ,COLUMN(U341)-$A$5-1,0)+T341),0)</f>
        <v>-2.22</v>
      </c>
      <c r="V341" s="56">
        <f>IFERROR((VLOOKUP($A341,'Dados StatusInvest'!$A:$AZ,COLUMN(V341)-$A$5,0)),0)</f>
        <v>1.6</v>
      </c>
      <c r="W341" s="56">
        <f>IFERROR((VLOOKUP($A341,'Dados StatusInvest'!$A:$AZ,COLUMN(W341)-$A$5,0)),0)</f>
        <v>25.03</v>
      </c>
      <c r="X341" s="53">
        <f>IFERROR((VLOOKUP($A341,'Dados StatusInvest'!$A:$AZ,COLUMN(X341)-$A$5,0)/VLOOKUP($A341,'Dados StatusInvest'!$A:$AZ,2,0)*$F341),0)</f>
        <v>0</v>
      </c>
      <c r="Y341" s="54">
        <f>IFERROR((VLOOKUP($A341,'Dados StatusInvest'!$A:$AZ,COLUMN(Y341)-$A$5,0)/VLOOKUP($A341,'Dados StatusInvest'!$A:$AZ,2,0)*$F341),0)</f>
        <v>0</v>
      </c>
      <c r="Z341" s="56">
        <f>IFERROR((VLOOKUP($A341,'Dados StatusInvest'!$A:$AZ,COLUMN(Z341)-$A$5,0)),0)</f>
        <v>0.2</v>
      </c>
      <c r="AA341" s="57">
        <f>IFERROR((VLOOKUP($A341,'Dados StatusInvest'!$A:$AZ,COLUMN(AA341)-$A$5,0)),0)</f>
        <v>0.79</v>
      </c>
      <c r="AB341" s="57">
        <f>IFERROR((VLOOKUP($A341,'Dados StatusInvest'!$A:$AZ,COLUMN(AB341)-$A$5,0)),0)</f>
        <v>2.01</v>
      </c>
      <c r="AC341" s="58">
        <f>IFERROR((VLOOKUP($A341,'Dados StatusInvest'!$A:$AZ,COLUMN(AC341)-$A$5,0)),0)</f>
        <v>15.31</v>
      </c>
      <c r="AD341" s="57">
        <f>IFERROR((VLOOKUP($A341,'Dados StatusInvest'!$A:$AZ,COLUMN(AD341)-$A$5,0)),0)</f>
        <v>13.7</v>
      </c>
      <c r="AE341" s="56">
        <f>IFERROR((VLOOKUP($A341,'Dados StatusInvest'!$A:$AZ,COLUMN(AE341)-$A$5,0)),0)</f>
        <v>80878878</v>
      </c>
      <c r="AF341" s="56">
        <f>IFERROR((VLOOKUP($A341,'Dados StatusInvest'!$A:$AZ,COLUMN(AF341)-$A$5,0)),0)</f>
        <v>53.06</v>
      </c>
      <c r="AG341" s="56">
        <f>IFERROR((VLOOKUP($A341,'Dados StatusInvest'!$A:$AZ,COLUMN(AG341)-$A$5,0)),0)</f>
        <v>13.28</v>
      </c>
      <c r="AH341" s="56">
        <f>IFERROR((VLOOKUP($A341,'Dados StatusInvest'!$A:$AZ,COLUMN(AH341)-$A$5,0)),0)</f>
        <v>0.09</v>
      </c>
      <c r="AI341" s="57">
        <f>IFERROR((VLOOKUP($A341,'Dados StatusInvest'!$A:$AZ,COLUMN(AI341)-$A$5,0)),0)</f>
        <v>62380473710</v>
      </c>
      <c r="AJ341" s="59" t="str">
        <f>IFERROR((VLOOKUP($A341,'Dados StatusInvest'!$A:$AZ,COLUMN(AJ341)-$A$5,0)),0)</f>
        <v/>
      </c>
      <c r="AK341" s="60" t="str">
        <f>IFERROR(__xludf.DUMMYFUNCTION("IFERROR(GOOGLEFINANCE($A341,""high""),"""")"),"")</f>
        <v/>
      </c>
      <c r="AL341" s="60" t="str">
        <f>IFERROR(__xludf.DUMMYFUNCTION("IFERROR(GOOGLEFINANCE($A341,""low""),"""")"),"")</f>
        <v/>
      </c>
      <c r="AM341" s="61">
        <f t="shared" si="2"/>
        <v>0</v>
      </c>
      <c r="AN341" s="62">
        <f>IFERROR(__xludf.DUMMYFUNCTION("IFERROR((GOOGLEFINANCE($A341,""volume"")),0)"),0.0)</f>
        <v>0</v>
      </c>
      <c r="AO341" s="60" t="str">
        <f>IFERROR(__xludf.DUMMYFUNCTION("IFERROR((GOOGLEFINANCE($A341,""closeyest"")),"""")"),"")</f>
        <v/>
      </c>
      <c r="AP341" s="60" t="str">
        <f>IFERROR(__xludf.DUMMYFUNCTION("IFERROR((GOOGLEFINANCE($A341,""shares"")),"""")"),"")</f>
        <v/>
      </c>
      <c r="AQ341" s="18"/>
    </row>
    <row r="342">
      <c r="A342" s="45" t="str">
        <f>'Dados StatusInvest'!A337:A956</f>
        <v>JFEN3</v>
      </c>
      <c r="B342" s="46" t="str">
        <f>IFERROR(__xludf.DUMMYFUNCTION("IFERROR((GOOGLEFINANCE(A342,""name"")),"""")"),"Joao Fortes Engenharia SA")</f>
        <v>Joao Fortes Engenharia SA</v>
      </c>
      <c r="C342" s="46" t="str">
        <f>IFERROR((VLOOKUP(LEFT($A342,4),Setor!$A:$E,3,0)),"")</f>
        <v>Consumo Cíclico</v>
      </c>
      <c r="D342" s="46" t="str">
        <f>IFERROR((VLOOKUP(LEFT($A342,4),Setor!$A:$E,4,0)),"")</f>
        <v>Construção Civil</v>
      </c>
      <c r="E342" s="46" t="str">
        <f>IFERROR((VLOOKUP(LEFT($A342,4),Setor!$A:$E,5,0)),"")</f>
        <v>Incorporações</v>
      </c>
      <c r="F342" s="47">
        <f>IFERROR(__xludf.DUMMYFUNCTION("IFERROR((GOOGLEFINANCE(A342)),"""")"),0.98)</f>
        <v>0.98</v>
      </c>
      <c r="G342" s="48" t="str">
        <f>IFERROR(__xludf.DUMMYFUNCTION("IFERROR((sparkline(GOOGLEFINANCE($A342,""price"",TODAY()-30,TODAY(),""DAILY""),{""charttype"",""line"";""linewidth"",1;""color"",""#5f88cc""})),"""")"),"")</f>
        <v/>
      </c>
      <c r="H342" s="49">
        <f>IFERROR(__xludf.DUMMYFUNCTION("IFERROR((((GOOGLEFINANCE(A342))-(INDEX(GoogleFinance(A342,""PRICE"",$AQ$1),2,2)))/(INDEX(GoogleFinance(A342,""PRICE"",$AQ$1),2,2))),"""")"),-0.03921568627450984)</f>
        <v>-0.03921568627</v>
      </c>
      <c r="I342" s="47">
        <f>IFERROR(__xludf.DUMMYFUNCTION("IFERROR((GOOGLEFINANCE($A342,""high52"")),"""")"),3.19)</f>
        <v>3.19</v>
      </c>
      <c r="J342" s="48" t="str">
        <f>IFERROR(__xludf.DUMMYFUNCTION("IFERROR((sparkline(GOOGLEFINANCE($A342,""price"",TODAY()-365,TODAY(),""DAILY""),{""charttype"",""line"";""linewidth"",1;""color"",""#5f88cc""})),"""")"),"")</f>
        <v/>
      </c>
      <c r="K342" s="50">
        <f>IFERROR(__xludf.DUMMYFUNCTION("IFERROR((((GOOGLEFINANCE(A342))-(INDEX(GoogleFinance(A342,""PRICE"",$AP$1),2,2)))/(INDEX(GoogleFinance(A342,""PRICE"",$AP$1),2,2))),"""")"),-0.5916666666666667)</f>
        <v>-0.5916666667</v>
      </c>
      <c r="L342" s="51">
        <f t="shared" si="1"/>
        <v>-0.6927899687</v>
      </c>
      <c r="M342" s="52">
        <f>IFERROR((VLOOKUP($A342,'Dados StatusInvest'!$A:$AZ,COLUMN(M342)-$A$5,0)*VLOOKUP($A342,'Dados StatusInvest'!$A:$AZ,2,0)/$F342/100),0)</f>
        <v>-1.008969388</v>
      </c>
      <c r="N342" s="53">
        <f>IFERROR((VLOOKUP($A342,'Dados StatusInvest'!$A:$AZ,COLUMN(N342)-$A$5,0)/VLOOKUP($A342,'Dados StatusInvest'!$A:$AZ,2,0)*$F342),"")</f>
        <v>-112.7582178</v>
      </c>
      <c r="O342" s="53">
        <f>IFERROR((VLOOKUP($A342,'Dados StatusInvest'!$A:$AZ,COLUMN(O342)-$A$5,0)/VLOOKUP($A342,'Dados StatusInvest'!$A:$AZ,2,0)*$F342),0)</f>
        <v>-0.05821782178</v>
      </c>
      <c r="P342" s="54">
        <f>IFERROR((VLOOKUP($A342,'Dados StatusInvest'!$A:$AZ,COLUMN(P342)-$A$5,0)/VLOOKUP($A342,'Dados StatusInvest'!$A:$AZ,2,0)*$F342),0)</f>
        <v>-1.348712871</v>
      </c>
      <c r="Q342" s="55">
        <f>IFERROR((VLOOKUP($A342,'Dados StatusInvest'!$A:$AZ,COLUMN(Q342)-$A$5,0)/100),0)</f>
        <v>-0.0133</v>
      </c>
      <c r="R342" s="56">
        <f>VLOOKUP($A342,'Dados StatusInvest'!$A:$AZ,COLUMN(R342)-$A$5,0)</f>
        <v>0</v>
      </c>
      <c r="S342" s="56">
        <f>IFERROR((VLOOKUP($A342,'Dados StatusInvest'!$A:$AZ,COLUMN(S342)-$A$5,0)),0)</f>
        <v>0.06</v>
      </c>
      <c r="T342" s="53">
        <f>IFERROR((VLOOKUP($A342,'Dados StatusInvest'!$A:$AZ,COLUMN(T342)-$A$5,0)/VLOOKUP($A342,'Dados StatusInvest'!$A:$AZ,2,0)*$F342),0)</f>
        <v>0.04851485149</v>
      </c>
      <c r="U342" s="53">
        <f>IFERROR((VLOOKUP($A342,'Dados StatusInvest'!$A:$AZ,COLUMN(U342)-$A$5,0)-VLOOKUP($A342,'Dados StatusInvest'!$A:$AZ,COLUMN(U342)-$A$5-1,0)+T342),0)</f>
        <v>-0.1714851485</v>
      </c>
      <c r="V342" s="56">
        <f>IFERROR((VLOOKUP($A342,'Dados StatusInvest'!$A:$AZ,COLUMN(V342)-$A$5,0)),0)</f>
        <v>1.66</v>
      </c>
      <c r="W342" s="56">
        <f>IFERROR((VLOOKUP($A342,'Dados StatusInvest'!$A:$AZ,COLUMN(W342)-$A$5,0)),0)</f>
        <v>-288.39</v>
      </c>
      <c r="X342" s="53">
        <f>IFERROR((VLOOKUP($A342,'Dados StatusInvest'!$A:$AZ,COLUMN(X342)-$A$5,0)/VLOOKUP($A342,'Dados StatusInvest'!$A:$AZ,2,0)*$F342),0)</f>
        <v>-33.2229703</v>
      </c>
      <c r="Y342" s="54">
        <f>IFERROR((VLOOKUP($A342,'Dados StatusInvest'!$A:$AZ,COLUMN(Y342)-$A$5,0)/VLOOKUP($A342,'Dados StatusInvest'!$A:$AZ,2,0)*$F342),0)</f>
        <v>-228.660198</v>
      </c>
      <c r="Z342" s="56">
        <f>IFERROR((VLOOKUP($A342,'Dados StatusInvest'!$A:$AZ,COLUMN(Z342)-$A$5,0)),0)</f>
        <v>-0.12</v>
      </c>
      <c r="AA342" s="57">
        <f>IFERROR((VLOOKUP($A342,'Dados StatusInvest'!$A:$AZ,COLUMN(AA342)-$A$5,0)),0)</f>
        <v>1.25</v>
      </c>
      <c r="AB342" s="57">
        <f>IFERROR((VLOOKUP($A342,'Dados StatusInvest'!$A:$AZ,COLUMN(AB342)-$A$5,0)),0)</f>
        <v>0.29</v>
      </c>
      <c r="AC342" s="58">
        <f>IFERROR((VLOOKUP($A342,'Dados StatusInvest'!$A:$AZ,COLUMN(AC342)-$A$5,0)),0)</f>
        <v>-0.91</v>
      </c>
      <c r="AD342" s="57">
        <f>IFERROR((VLOOKUP($A342,'Dados StatusInvest'!$A:$AZ,COLUMN(AD342)-$A$5,0)),0)</f>
        <v>0</v>
      </c>
      <c r="AE342" s="56">
        <f>IFERROR((VLOOKUP($A342,'Dados StatusInvest'!$A:$AZ,COLUMN(AE342)-$A$5,0)),0)</f>
        <v>54805.43</v>
      </c>
      <c r="AF342" s="56">
        <f>IFERROR((VLOOKUP($A342,'Dados StatusInvest'!$A:$AZ,COLUMN(AF342)-$A$5,0)),0)</f>
        <v>-6.94</v>
      </c>
      <c r="AG342" s="56">
        <f>IFERROR((VLOOKUP($A342,'Dados StatusInvest'!$A:$AZ,COLUMN(AG342)-$A$5,0)),0)</f>
        <v>-20.03</v>
      </c>
      <c r="AH342" s="56">
        <f>IFERROR((VLOOKUP($A342,'Dados StatusInvest'!$A:$AZ,COLUMN(AH342)-$A$5,0)),0)</f>
        <v>0</v>
      </c>
      <c r="AI342" s="57">
        <f>IFERROR((VLOOKUP($A342,'Dados StatusInvest'!$A:$AZ,COLUMN(AI342)-$A$5,0)),0)</f>
        <v>12930772.45</v>
      </c>
      <c r="AJ342" s="59" t="str">
        <f>IFERROR((VLOOKUP($A342,'Dados StatusInvest'!$A:$AZ,COLUMN(AJ342)-$A$5,0)),0)</f>
        <v/>
      </c>
      <c r="AK342" s="60">
        <f>IFERROR(__xludf.DUMMYFUNCTION("IFERROR(GOOGLEFINANCE($A342,""high""),"""")"),1.03)</f>
        <v>1.03</v>
      </c>
      <c r="AL342" s="60">
        <f>IFERROR(__xludf.DUMMYFUNCTION("IFERROR(GOOGLEFINANCE($A342,""low""),"""")"),0.98)</f>
        <v>0.98</v>
      </c>
      <c r="AM342" s="61">
        <f t="shared" si="2"/>
        <v>0.05102040816</v>
      </c>
      <c r="AN342" s="62">
        <f>IFERROR(__xludf.DUMMYFUNCTION("IFERROR((GOOGLEFINANCE($A342,""volume"")),0)"),500.0)</f>
        <v>500</v>
      </c>
      <c r="AO342" s="60">
        <f>IFERROR(__xludf.DUMMYFUNCTION("IFERROR((GOOGLEFINANCE($A342,""closeyest"")),"""")"),1.01)</f>
        <v>1.01</v>
      </c>
      <c r="AP342" s="60">
        <f>IFERROR(__xludf.DUMMYFUNCTION("IFERROR((GOOGLEFINANCE($A342,""shares"")),"""")"),1.2802745E7)</f>
        <v>12802745</v>
      </c>
      <c r="AQ342" s="18"/>
    </row>
    <row r="343">
      <c r="A343" s="45" t="str">
        <f>'Dados StatusInvest'!A338:A957</f>
        <v>JHSF3</v>
      </c>
      <c r="B343" s="46" t="str">
        <f>IFERROR(__xludf.DUMMYFUNCTION("IFERROR((GOOGLEFINANCE(A343,""name"")),"""")"),"JHSF Participacoes SA")</f>
        <v>JHSF Participacoes SA</v>
      </c>
      <c r="C343" s="46" t="str">
        <f>IFERROR((VLOOKUP(LEFT($A343,4),Setor!$A:$E,3,0)),"")</f>
        <v>Consumo Cíclico</v>
      </c>
      <c r="D343" s="46" t="str">
        <f>IFERROR((VLOOKUP(LEFT($A343,4),Setor!$A:$E,4,0)),"")</f>
        <v>Construção Civil</v>
      </c>
      <c r="E343" s="46" t="str">
        <f>IFERROR((VLOOKUP(LEFT($A343,4),Setor!$A:$E,5,0)),"")</f>
        <v>Incorporações</v>
      </c>
      <c r="F343" s="47">
        <f>IFERROR(__xludf.DUMMYFUNCTION("IFERROR((GOOGLEFINANCE(A343)),"""")"),9.83)</f>
        <v>9.83</v>
      </c>
      <c r="G343" s="48" t="str">
        <f>IFERROR(__xludf.DUMMYFUNCTION("IFERROR((sparkline(GOOGLEFINANCE($A343,""price"",TODAY()-30,TODAY(),""DAILY""),{""charttype"",""line"";""linewidth"",1;""color"",""#5f88cc""})),"""")"),"")</f>
        <v/>
      </c>
      <c r="H343" s="49">
        <f>IFERROR(__xludf.DUMMYFUNCTION("IFERROR((((GOOGLEFINANCE(A343))-(INDEX(GoogleFinance(A343,""PRICE"",$AQ$1),2,2)))/(INDEX(GoogleFinance(A343,""PRICE"",$AQ$1),2,2))),"""")"),0.08618784530386732)</f>
        <v>0.0861878453</v>
      </c>
      <c r="I343" s="47">
        <f>IFERROR(__xludf.DUMMYFUNCTION("IFERROR((GOOGLEFINANCE($A343,""high52"")),"""")"),10.09)</f>
        <v>10.09</v>
      </c>
      <c r="J343" s="48" t="str">
        <f>IFERROR(__xludf.DUMMYFUNCTION("IFERROR((sparkline(GOOGLEFINANCE($A343,""price"",TODAY()-365,TODAY(),""DAILY""),{""charttype"",""line"";""linewidth"",1;""color"",""#5f88cc""})),"""")"),"")</f>
        <v/>
      </c>
      <c r="K343" s="50">
        <f>IFERROR(__xludf.DUMMYFUNCTION("IFERROR((((GOOGLEFINANCE(A343))-(INDEX(GoogleFinance(A343,""PRICE"",$AP$1),2,2)))/(INDEX(GoogleFinance(A343,""PRICE"",$AP$1),2,2))),"""")"),1.5335051546391754)</f>
        <v>1.533505155</v>
      </c>
      <c r="L343" s="51">
        <f t="shared" si="1"/>
        <v>-0.02576808722</v>
      </c>
      <c r="M343" s="52">
        <f>IFERROR((VLOOKUP($A343,'Dados StatusInvest'!$A:$AZ,COLUMN(M343)-$A$5,0)*VLOOKUP($A343,'Dados StatusInvest'!$A:$AZ,2,0)/$F343/100),0)</f>
        <v>0.9388901322</v>
      </c>
      <c r="N343" s="53">
        <f>IFERROR((VLOOKUP($A343,'Dados StatusInvest'!$A:$AZ,COLUMN(N343)-$A$5,0)/VLOOKUP($A343,'Dados StatusInvest'!$A:$AZ,2,0)*$F343),"")</f>
        <v>65.23006036</v>
      </c>
      <c r="O343" s="53">
        <f>IFERROR((VLOOKUP($A343,'Dados StatusInvest'!$A:$AZ,COLUMN(O343)-$A$5,0)/VLOOKUP($A343,'Dados StatusInvest'!$A:$AZ,2,0)*$F343),0)</f>
        <v>3.688722334</v>
      </c>
      <c r="P343" s="54">
        <f>IFERROR((VLOOKUP($A343,'Dados StatusInvest'!$A:$AZ,COLUMN(P343)-$A$5,0)/VLOOKUP($A343,'Dados StatusInvest'!$A:$AZ,2,0)*$F343),0)</f>
        <v>5.617142857</v>
      </c>
      <c r="Q343" s="55">
        <f>IFERROR((VLOOKUP($A343,'Dados StatusInvest'!$A:$AZ,COLUMN(Q343)-$A$5,0)/100),0)</f>
        <v>0.0194</v>
      </c>
      <c r="R343" s="56">
        <f>VLOOKUP($A343,'Dados StatusInvest'!$A:$AZ,COLUMN(R343)-$A$5,0)</f>
        <v>0.56</v>
      </c>
      <c r="S343" s="56">
        <f>IFERROR((VLOOKUP($A343,'Dados StatusInvest'!$A:$AZ,COLUMN(S343)-$A$5,0)),0)</f>
        <v>3.47</v>
      </c>
      <c r="T343" s="53">
        <f>IFERROR((VLOOKUP($A343,'Dados StatusInvest'!$A:$AZ,COLUMN(T343)-$A$5,0)/VLOOKUP($A343,'Dados StatusInvest'!$A:$AZ,2,0)*$F343),0)</f>
        <v>1.967977867</v>
      </c>
      <c r="U343" s="53">
        <f>IFERROR((VLOOKUP($A343,'Dados StatusInvest'!$A:$AZ,COLUMN(U343)-$A$5,0)-VLOOKUP($A343,'Dados StatusInvest'!$A:$AZ,COLUMN(U343)-$A$5-1,0)+T343),0)</f>
        <v>-0.6820221328</v>
      </c>
      <c r="V343" s="56">
        <f>IFERROR((VLOOKUP($A343,'Dados StatusInvest'!$A:$AZ,COLUMN(V343)-$A$5,0)),0)</f>
        <v>2.8</v>
      </c>
      <c r="W343" s="56">
        <f>IFERROR((VLOOKUP($A343,'Dados StatusInvest'!$A:$AZ,COLUMN(W343)-$A$5,0)),0)</f>
        <v>20.57</v>
      </c>
      <c r="X343" s="53">
        <f>IFERROR((VLOOKUP($A343,'Dados StatusInvest'!$A:$AZ,COLUMN(X343)-$A$5,0)/VLOOKUP($A343,'Dados StatusInvest'!$A:$AZ,2,0)*$F343),0)</f>
        <v>8.168591549</v>
      </c>
      <c r="Y343" s="54">
        <f>IFERROR((VLOOKUP($A343,'Dados StatusInvest'!$A:$AZ,COLUMN(Y343)-$A$5,0)/VLOOKUP($A343,'Dados StatusInvest'!$A:$AZ,2,0)*$F343),0)</f>
        <v>12.57923541</v>
      </c>
      <c r="Z343" s="56">
        <f>IFERROR((VLOOKUP($A343,'Dados StatusInvest'!$A:$AZ,COLUMN(Z343)-$A$5,0)),0)</f>
        <v>0.4</v>
      </c>
      <c r="AA343" s="57">
        <f>IFERROR((VLOOKUP($A343,'Dados StatusInvest'!$A:$AZ,COLUMN(AA343)-$A$5,0)),0)</f>
        <v>0.57</v>
      </c>
      <c r="AB343" s="57">
        <f>IFERROR((VLOOKUP($A343,'Dados StatusInvest'!$A:$AZ,COLUMN(AB343)-$A$5,0)),0)</f>
        <v>0.13</v>
      </c>
      <c r="AC343" s="58">
        <f>IFERROR((VLOOKUP($A343,'Dados StatusInvest'!$A:$AZ,COLUMN(AC343)-$A$5,0)),0)</f>
        <v>20.35</v>
      </c>
      <c r="AD343" s="57">
        <f>IFERROR((VLOOKUP($A343,'Dados StatusInvest'!$A:$AZ,COLUMN(AD343)-$A$5,0)),0)</f>
        <v>32.04</v>
      </c>
      <c r="AE343" s="56">
        <f>IFERROR((VLOOKUP($A343,'Dados StatusInvest'!$A:$AZ,COLUMN(AE343)-$A$5,0)),0)</f>
        <v>42543084</v>
      </c>
      <c r="AF343" s="56">
        <f>IFERROR((VLOOKUP($A343,'Dados StatusInvest'!$A:$AZ,COLUMN(AF343)-$A$5,0)),0)</f>
        <v>9.2</v>
      </c>
      <c r="AG343" s="56">
        <f>IFERROR((VLOOKUP($A343,'Dados StatusInvest'!$A:$AZ,COLUMN(AG343)-$A$5,0)),0)</f>
        <v>1.89</v>
      </c>
      <c r="AH343" s="56">
        <f>IFERROR((VLOOKUP($A343,'Dados StatusInvest'!$A:$AZ,COLUMN(AH343)-$A$5,0)),0)</f>
        <v>0.05</v>
      </c>
      <c r="AI343" s="57">
        <f>IFERROR((VLOOKUP($A343,'Dados StatusInvest'!$A:$AZ,COLUMN(AI343)-$A$5,0)),0)</f>
        <v>6796535714</v>
      </c>
      <c r="AJ343" s="59" t="str">
        <f>IFERROR((VLOOKUP($A343,'Dados StatusInvest'!$A:$AZ,COLUMN(AJ343)-$A$5,0)),0)</f>
        <v/>
      </c>
      <c r="AK343" s="60">
        <f>IFERROR(__xludf.DUMMYFUNCTION("IFERROR(GOOGLEFINANCE($A343,""high""),"""")"),9.89)</f>
        <v>9.89</v>
      </c>
      <c r="AL343" s="60">
        <f>IFERROR(__xludf.DUMMYFUNCTION("IFERROR(GOOGLEFINANCE($A343,""low""),"""")"),9.83)</f>
        <v>9.83</v>
      </c>
      <c r="AM343" s="61">
        <f t="shared" si="2"/>
        <v>0.006103763988</v>
      </c>
      <c r="AN343" s="62">
        <f>IFERROR(__xludf.DUMMYFUNCTION("IFERROR((GOOGLEFINANCE($A343,""volume"")),0)"),157000.0)</f>
        <v>157000</v>
      </c>
      <c r="AO343" s="60">
        <f>IFERROR(__xludf.DUMMYFUNCTION("IFERROR((GOOGLEFINANCE($A343,""closeyest"")),"""")"),9.94)</f>
        <v>9.94</v>
      </c>
      <c r="AP343" s="60">
        <f>IFERROR(__xludf.DUMMYFUNCTION("IFERROR((GOOGLEFINANCE($A343,""shares"")),"""")"),6.83756108E8)</f>
        <v>683756108</v>
      </c>
      <c r="AQ343" s="18"/>
    </row>
    <row r="344">
      <c r="A344" s="45" t="str">
        <f>'Dados StatusInvest'!A339:A958</f>
        <v>JOPA3</v>
      </c>
      <c r="B344" s="46" t="str">
        <f>IFERROR(__xludf.DUMMYFUNCTION("IFERROR((GOOGLEFINANCE(A344,""name"")),"""")"),"Josapar Joaquim Oliveira SA Prtcpcs")</f>
        <v>Josapar Joaquim Oliveira SA Prtcpcs</v>
      </c>
      <c r="C344" s="46" t="str">
        <f>IFERROR((VLOOKUP(LEFT($A344,4),Setor!$A:$E,3,0)),"")</f>
        <v>Consumo não Cíclico</v>
      </c>
      <c r="D344" s="46" t="str">
        <f>IFERROR((VLOOKUP(LEFT($A344,4),Setor!$A:$E,4,0)),"")</f>
        <v>Alimentos Processados</v>
      </c>
      <c r="E344" s="46" t="str">
        <f>IFERROR((VLOOKUP(LEFT($A344,4),Setor!$A:$E,5,0)),"")</f>
        <v>Alimentos Diversos</v>
      </c>
      <c r="F344" s="47">
        <f>IFERROR(__xludf.DUMMYFUNCTION("IFERROR((GOOGLEFINANCE(A344)),"""")"),22.0)</f>
        <v>22</v>
      </c>
      <c r="G344" s="48" t="str">
        <f>IFERROR(__xludf.DUMMYFUNCTION("IFERROR((sparkline(GOOGLEFINANCE($A344,""price"",TODAY()-30,TODAY(),""DAILY""),{""charttype"",""line"";""linewidth"",1;""color"",""#5f88cc""})),"""")"),"")</f>
        <v/>
      </c>
      <c r="H344" s="49" t="str">
        <f>IFERROR(__xludf.DUMMYFUNCTION("IFERROR((((GOOGLEFINANCE(A344))-(INDEX(GoogleFinance(A344,""PRICE"",$AQ$1),2,2)))/(INDEX(GoogleFinance(A344,""PRICE"",$AQ$1),2,2))),"""")"),"")</f>
        <v/>
      </c>
      <c r="I344" s="47">
        <f>IFERROR(__xludf.DUMMYFUNCTION("IFERROR((GOOGLEFINANCE($A344,""high52"")),"""")"),22.36)</f>
        <v>22.36</v>
      </c>
      <c r="J344" s="48" t="str">
        <f>IFERROR(__xludf.DUMMYFUNCTION("IFERROR((sparkline(GOOGLEFINANCE($A344,""price"",TODAY()-365,TODAY(),""DAILY""),{""charttype"",""line"";""linewidth"",1;""color"",""#5f88cc""})),"""")"),"")</f>
        <v/>
      </c>
      <c r="K344" s="50" t="str">
        <f>IFERROR(__xludf.DUMMYFUNCTION("IFERROR((((GOOGLEFINANCE(A344))-(INDEX(GoogleFinance(A344,""PRICE"",$AP$1),2,2)))/(INDEX(GoogleFinance(A344,""PRICE"",$AP$1),2,2))),"""")"),"")</f>
        <v/>
      </c>
      <c r="L344" s="51">
        <f t="shared" si="1"/>
        <v>-0.01610017889</v>
      </c>
      <c r="M344" s="52">
        <f>IFERROR((VLOOKUP($A344,'Dados StatusInvest'!$A:$AZ,COLUMN(M344)-$A$5,0)*VLOOKUP($A344,'Dados StatusInvest'!$A:$AZ,2,0)/$F344/100),0)</f>
        <v>0.0441</v>
      </c>
      <c r="N344" s="53">
        <f>IFERROR((VLOOKUP($A344,'Dados StatusInvest'!$A:$AZ,COLUMN(N344)-$A$5,0)/VLOOKUP($A344,'Dados StatusInvest'!$A:$AZ,2,0)*$F344),"")</f>
        <v>0.43</v>
      </c>
      <c r="O344" s="53">
        <f>IFERROR((VLOOKUP($A344,'Dados StatusInvest'!$A:$AZ,COLUMN(O344)-$A$5,0)/VLOOKUP($A344,'Dados StatusInvest'!$A:$AZ,2,0)*$F344),0)</f>
        <v>2.66</v>
      </c>
      <c r="P344" s="54">
        <f>IFERROR((VLOOKUP($A344,'Dados StatusInvest'!$A:$AZ,COLUMN(P344)-$A$5,0)/VLOOKUP($A344,'Dados StatusInvest'!$A:$AZ,2,0)*$F344),0)</f>
        <v>7.87</v>
      </c>
      <c r="Q344" s="55">
        <f>IFERROR((VLOOKUP($A344,'Dados StatusInvest'!$A:$AZ,COLUMN(Q344)-$A$5,0)/100),0)</f>
        <v>0.0521</v>
      </c>
      <c r="R344" s="56">
        <f>VLOOKUP($A344,'Dados StatusInvest'!$A:$AZ,COLUMN(R344)-$A$5,0)</f>
        <v>0.75</v>
      </c>
      <c r="S344" s="56">
        <f>IFERROR((VLOOKUP($A344,'Dados StatusInvest'!$A:$AZ,COLUMN(S344)-$A$5,0)),0)</f>
        <v>0.12</v>
      </c>
      <c r="T344" s="53">
        <f>IFERROR((VLOOKUP($A344,'Dados StatusInvest'!$A:$AZ,COLUMN(T344)-$A$5,0)/VLOOKUP($A344,'Dados StatusInvest'!$A:$AZ,2,0)*$F344),0)</f>
        <v>0.25</v>
      </c>
      <c r="U344" s="53">
        <f>IFERROR((VLOOKUP($A344,'Dados StatusInvest'!$A:$AZ,COLUMN(U344)-$A$5,0)-VLOOKUP($A344,'Dados StatusInvest'!$A:$AZ,COLUMN(U344)-$A$5-1,0)+T344),0)</f>
        <v>-0.37</v>
      </c>
      <c r="V344" s="56">
        <f>IFERROR((VLOOKUP($A344,'Dados StatusInvest'!$A:$AZ,COLUMN(V344)-$A$5,0)),0)</f>
        <v>2.31</v>
      </c>
      <c r="W344" s="56">
        <f>IFERROR((VLOOKUP($A344,'Dados StatusInvest'!$A:$AZ,COLUMN(W344)-$A$5,0)),0)</f>
        <v>1.39</v>
      </c>
      <c r="X344" s="53">
        <f>IFERROR((VLOOKUP($A344,'Dados StatusInvest'!$A:$AZ,COLUMN(X344)-$A$5,0)/VLOOKUP($A344,'Dados StatusInvest'!$A:$AZ,2,0)*$F344),0)</f>
        <v>0.38</v>
      </c>
      <c r="Y344" s="54">
        <f>IFERROR((VLOOKUP($A344,'Dados StatusInvest'!$A:$AZ,COLUMN(Y344)-$A$5,0)/VLOOKUP($A344,'Dados StatusInvest'!$A:$AZ,2,0)*$F344),0)</f>
        <v>3.73</v>
      </c>
      <c r="Z344" s="56">
        <f>IFERROR((VLOOKUP($A344,'Dados StatusInvest'!$A:$AZ,COLUMN(Z344)-$A$5,0)),0)</f>
        <v>0.27</v>
      </c>
      <c r="AA344" s="57">
        <f>IFERROR((VLOOKUP($A344,'Dados StatusInvest'!$A:$AZ,COLUMN(AA344)-$A$5,0)),0)</f>
        <v>0.66</v>
      </c>
      <c r="AB344" s="57">
        <f>IFERROR((VLOOKUP($A344,'Dados StatusInvest'!$A:$AZ,COLUMN(AB344)-$A$5,0)),0)</f>
        <v>0.88</v>
      </c>
      <c r="AC344" s="58">
        <f>IFERROR((VLOOKUP($A344,'Dados StatusInvest'!$A:$AZ,COLUMN(AC344)-$A$5,0)),0)</f>
        <v>12.67</v>
      </c>
      <c r="AD344" s="57">
        <f>IFERROR((VLOOKUP($A344,'Dados StatusInvest'!$A:$AZ,COLUMN(AD344)-$A$5,0)),0)</f>
        <v>-4.49</v>
      </c>
      <c r="AE344" s="56">
        <f>IFERROR((VLOOKUP($A344,'Dados StatusInvest'!$A:$AZ,COLUMN(AE344)-$A$5,0)),0)</f>
        <v>1662.4</v>
      </c>
      <c r="AF344" s="56">
        <f>IFERROR((VLOOKUP($A344,'Dados StatusInvest'!$A:$AZ,COLUMN(AF344)-$A$5,0)),0)</f>
        <v>57.65</v>
      </c>
      <c r="AG344" s="56">
        <f>IFERROR((VLOOKUP($A344,'Dados StatusInvest'!$A:$AZ,COLUMN(AG344)-$A$5,0)),0)</f>
        <v>0.8</v>
      </c>
      <c r="AH344" s="56">
        <f>IFERROR((VLOOKUP($A344,'Dados StatusInvest'!$A:$AZ,COLUMN(AH344)-$A$5,0)),0)</f>
        <v>-0.36</v>
      </c>
      <c r="AI344" s="57">
        <f>IFERROR((VLOOKUP($A344,'Dados StatusInvest'!$A:$AZ,COLUMN(AI344)-$A$5,0)),0)</f>
        <v>233074678</v>
      </c>
      <c r="AJ344" s="59" t="str">
        <f>IFERROR((VLOOKUP($A344,'Dados StatusInvest'!$A:$AZ,COLUMN(AJ344)-$A$5,0)),0)</f>
        <v/>
      </c>
      <c r="AK344" s="60" t="str">
        <f>IFERROR(__xludf.DUMMYFUNCTION("IFERROR(GOOGLEFINANCE($A344,""high""),"""")"),"")</f>
        <v/>
      </c>
      <c r="AL344" s="60" t="str">
        <f>IFERROR(__xludf.DUMMYFUNCTION("IFERROR(GOOGLEFINANCE($A344,""low""),"""")"),"")</f>
        <v/>
      </c>
      <c r="AM344" s="61">
        <f t="shared" si="2"/>
        <v>0</v>
      </c>
      <c r="AN344" s="62">
        <f>IFERROR(__xludf.DUMMYFUNCTION("IFERROR((GOOGLEFINANCE($A344,""volume"")),0)"),0.0)</f>
        <v>0</v>
      </c>
      <c r="AO344" s="60">
        <f>IFERROR(__xludf.DUMMYFUNCTION("IFERROR((GOOGLEFINANCE($A344,""closeyest"")),"""")"),22.0)</f>
        <v>22</v>
      </c>
      <c r="AP344" s="60">
        <f>IFERROR(__xludf.DUMMYFUNCTION("IFERROR((GOOGLEFINANCE($A344,""shares"")),"""")"),1.0450993E7)</f>
        <v>10450993</v>
      </c>
      <c r="AQ344" s="18"/>
    </row>
    <row r="345">
      <c r="A345" s="45" t="str">
        <f>'Dados StatusInvest'!A340:A959</f>
        <v>JOPA4</v>
      </c>
      <c r="B345" s="46" t="str">
        <f>IFERROR(__xludf.DUMMYFUNCTION("IFERROR((GOOGLEFINANCE(A345,""name"")),"""")"),"Josapar Joaquim Oliveira SA Prtcpcs Preference Shares")</f>
        <v>Josapar Joaquim Oliveira SA Prtcpcs Preference Shares</v>
      </c>
      <c r="C345" s="46" t="str">
        <f>IFERROR((VLOOKUP(LEFT($A345,4),Setor!$A:$E,3,0)),"")</f>
        <v>Consumo não Cíclico</v>
      </c>
      <c r="D345" s="46" t="str">
        <f>IFERROR((VLOOKUP(LEFT($A345,4),Setor!$A:$E,4,0)),"")</f>
        <v>Alimentos Processados</v>
      </c>
      <c r="E345" s="46" t="str">
        <f>IFERROR((VLOOKUP(LEFT($A345,4),Setor!$A:$E,5,0)),"")</f>
        <v>Alimentos Diversos</v>
      </c>
      <c r="F345" s="47">
        <f>IFERROR(__xludf.DUMMYFUNCTION("IFERROR((GOOGLEFINANCE(A345)),"""")"),24.0)</f>
        <v>24</v>
      </c>
      <c r="G345" s="48" t="str">
        <f>IFERROR(__xludf.DUMMYFUNCTION("IFERROR((sparkline(GOOGLEFINANCE($A345,""price"",TODAY()-30,TODAY(),""DAILY""),{""charttype"",""line"";""linewidth"",1;""color"",""#5f88cc""})),"""")"),"")</f>
        <v/>
      </c>
      <c r="H345" s="49" t="str">
        <f>IFERROR(__xludf.DUMMYFUNCTION("IFERROR((((GOOGLEFINANCE(A345))-(INDEX(GoogleFinance(A345,""PRICE"",$AQ$1),2,2)))/(INDEX(GoogleFinance(A345,""PRICE"",$AQ$1),2,2))),"""")"),"")</f>
        <v/>
      </c>
      <c r="I345" s="47">
        <f>IFERROR(__xludf.DUMMYFUNCTION("IFERROR((GOOGLEFINANCE($A345,""high52"")),"""")"),24.0)</f>
        <v>24</v>
      </c>
      <c r="J345" s="48" t="str">
        <f>IFERROR(__xludf.DUMMYFUNCTION("IFERROR((sparkline(GOOGLEFINANCE($A345,""price"",TODAY()-365,TODAY(),""DAILY""),{""charttype"",""line"";""linewidth"",1;""color"",""#5f88cc""})),"""")"),"")</f>
        <v/>
      </c>
      <c r="K345" s="50" t="str">
        <f>IFERROR(__xludf.DUMMYFUNCTION("IFERROR((((GOOGLEFINANCE(A345))-(INDEX(GoogleFinance(A345,""PRICE"",$AP$1),2,2)))/(INDEX(GoogleFinance(A345,""PRICE"",$AP$1),2,2))),"""")"),"")</f>
        <v/>
      </c>
      <c r="L345" s="51">
        <f t="shared" si="1"/>
        <v>0</v>
      </c>
      <c r="M345" s="52">
        <f>IFERROR((VLOOKUP($A345,'Dados StatusInvest'!$A:$AZ,COLUMN(M345)-$A$5,0)*VLOOKUP($A345,'Dados StatusInvest'!$A:$AZ,2,0)/$F345/100),0)</f>
        <v>0.0441</v>
      </c>
      <c r="N345" s="53">
        <f>IFERROR((VLOOKUP($A345,'Dados StatusInvest'!$A:$AZ,COLUMN(N345)-$A$5,0)/VLOOKUP($A345,'Dados StatusInvest'!$A:$AZ,2,0)*$F345),"")</f>
        <v>0.43</v>
      </c>
      <c r="O345" s="53">
        <f>IFERROR((VLOOKUP($A345,'Dados StatusInvest'!$A:$AZ,COLUMN(O345)-$A$5,0)/VLOOKUP($A345,'Dados StatusInvest'!$A:$AZ,2,0)*$F345),0)</f>
        <v>2.9</v>
      </c>
      <c r="P345" s="54">
        <f>IFERROR((VLOOKUP($A345,'Dados StatusInvest'!$A:$AZ,COLUMN(P345)-$A$5,0)/VLOOKUP($A345,'Dados StatusInvest'!$A:$AZ,2,0)*$F345),0)</f>
        <v>7.87</v>
      </c>
      <c r="Q345" s="55">
        <f>IFERROR((VLOOKUP($A345,'Dados StatusInvest'!$A:$AZ,COLUMN(Q345)-$A$5,0)/100),0)</f>
        <v>0.0521</v>
      </c>
      <c r="R345" s="56">
        <f>VLOOKUP($A345,'Dados StatusInvest'!$A:$AZ,COLUMN(R345)-$A$5,0)</f>
        <v>0.75</v>
      </c>
      <c r="S345" s="56">
        <f>IFERROR((VLOOKUP($A345,'Dados StatusInvest'!$A:$AZ,COLUMN(S345)-$A$5,0)),0)</f>
        <v>0.13</v>
      </c>
      <c r="T345" s="53">
        <f>IFERROR((VLOOKUP($A345,'Dados StatusInvest'!$A:$AZ,COLUMN(T345)-$A$5,0)/VLOOKUP($A345,'Dados StatusInvest'!$A:$AZ,2,0)*$F345),0)</f>
        <v>0.28</v>
      </c>
      <c r="U345" s="53">
        <f>IFERROR((VLOOKUP($A345,'Dados StatusInvest'!$A:$AZ,COLUMN(U345)-$A$5,0)-VLOOKUP($A345,'Dados StatusInvest'!$A:$AZ,COLUMN(U345)-$A$5-1,0)+T345),0)</f>
        <v>-0.41</v>
      </c>
      <c r="V345" s="56">
        <f>IFERROR((VLOOKUP($A345,'Dados StatusInvest'!$A:$AZ,COLUMN(V345)-$A$5,0)),0)</f>
        <v>2.31</v>
      </c>
      <c r="W345" s="56">
        <f>IFERROR((VLOOKUP($A345,'Dados StatusInvest'!$A:$AZ,COLUMN(W345)-$A$5,0)),0)</f>
        <v>1.39</v>
      </c>
      <c r="X345" s="53">
        <f>IFERROR((VLOOKUP($A345,'Dados StatusInvest'!$A:$AZ,COLUMN(X345)-$A$5,0)/VLOOKUP($A345,'Dados StatusInvest'!$A:$AZ,2,0)*$F345),0)</f>
        <v>0.38</v>
      </c>
      <c r="Y345" s="54">
        <f>IFERROR((VLOOKUP($A345,'Dados StatusInvest'!$A:$AZ,COLUMN(Y345)-$A$5,0)/VLOOKUP($A345,'Dados StatusInvest'!$A:$AZ,2,0)*$F345),0)</f>
        <v>3.73</v>
      </c>
      <c r="Z345" s="56">
        <f>IFERROR((VLOOKUP($A345,'Dados StatusInvest'!$A:$AZ,COLUMN(Z345)-$A$5,0)),0)</f>
        <v>0.27</v>
      </c>
      <c r="AA345" s="57">
        <f>IFERROR((VLOOKUP($A345,'Dados StatusInvest'!$A:$AZ,COLUMN(AA345)-$A$5,0)),0)</f>
        <v>0.66</v>
      </c>
      <c r="AB345" s="57">
        <f>IFERROR((VLOOKUP($A345,'Dados StatusInvest'!$A:$AZ,COLUMN(AB345)-$A$5,0)),0)</f>
        <v>0.88</v>
      </c>
      <c r="AC345" s="58">
        <f>IFERROR((VLOOKUP($A345,'Dados StatusInvest'!$A:$AZ,COLUMN(AC345)-$A$5,0)),0)</f>
        <v>12.67</v>
      </c>
      <c r="AD345" s="57">
        <f>IFERROR((VLOOKUP($A345,'Dados StatusInvest'!$A:$AZ,COLUMN(AD345)-$A$5,0)),0)</f>
        <v>-4.49</v>
      </c>
      <c r="AE345" s="56">
        <f>IFERROR((VLOOKUP($A345,'Dados StatusInvest'!$A:$AZ,COLUMN(AE345)-$A$5,0)),0)</f>
        <v>0</v>
      </c>
      <c r="AF345" s="56">
        <f>IFERROR((VLOOKUP($A345,'Dados StatusInvest'!$A:$AZ,COLUMN(AF345)-$A$5,0)),0)</f>
        <v>57.65</v>
      </c>
      <c r="AG345" s="56">
        <f>IFERROR((VLOOKUP($A345,'Dados StatusInvest'!$A:$AZ,COLUMN(AG345)-$A$5,0)),0)</f>
        <v>0.8</v>
      </c>
      <c r="AH345" s="56">
        <f>IFERROR((VLOOKUP($A345,'Dados StatusInvest'!$A:$AZ,COLUMN(AH345)-$A$5,0)),0)</f>
        <v>-0.4</v>
      </c>
      <c r="AI345" s="57">
        <f>IFERROR((VLOOKUP($A345,'Dados StatusInvest'!$A:$AZ,COLUMN(AI345)-$A$5,0)),0)</f>
        <v>233074678</v>
      </c>
      <c r="AJ345" s="59" t="str">
        <f>IFERROR((VLOOKUP($A345,'Dados StatusInvest'!$A:$AZ,COLUMN(AJ345)-$A$5,0)),0)</f>
        <v/>
      </c>
      <c r="AK345" s="60" t="str">
        <f>IFERROR(__xludf.DUMMYFUNCTION("IFERROR(GOOGLEFINANCE($A345,""high""),"""")"),"")</f>
        <v/>
      </c>
      <c r="AL345" s="60" t="str">
        <f>IFERROR(__xludf.DUMMYFUNCTION("IFERROR(GOOGLEFINANCE($A345,""low""),"""")"),"")</f>
        <v/>
      </c>
      <c r="AM345" s="61">
        <f t="shared" si="2"/>
        <v>0</v>
      </c>
      <c r="AN345" s="62">
        <f>IFERROR(__xludf.DUMMYFUNCTION("IFERROR((GOOGLEFINANCE($A345,""volume"")),0)"),0.0)</f>
        <v>0</v>
      </c>
      <c r="AO345" s="60">
        <f>IFERROR(__xludf.DUMMYFUNCTION("IFERROR((GOOGLEFINANCE($A345,""closeyest"")),"""")"),23.3)</f>
        <v>23.3</v>
      </c>
      <c r="AP345" s="60">
        <f>IFERROR(__xludf.DUMMYFUNCTION("IFERROR((GOOGLEFINANCE($A345,""shares"")),"""")"),131368.0)</f>
        <v>131368</v>
      </c>
      <c r="AQ345" s="18"/>
    </row>
    <row r="346">
      <c r="A346" s="45" t="str">
        <f>'Dados StatusInvest'!A341:A960</f>
        <v>JSLG3</v>
      </c>
      <c r="B346" s="46" t="str">
        <f>IFERROR(__xludf.DUMMYFUNCTION("IFERROR((GOOGLEFINANCE(A346,""name"")),"""")"),"JSL SA")</f>
        <v>JSL SA</v>
      </c>
      <c r="C346" s="46" t="str">
        <f>IFERROR((VLOOKUP(LEFT($A346,4),Setor!$A:$E,3,0)),"")</f>
        <v/>
      </c>
      <c r="D346" s="46" t="str">
        <f>IFERROR((VLOOKUP(LEFT($A346,4),Setor!$A:$E,4,0)),"")</f>
        <v/>
      </c>
      <c r="E346" s="46" t="str">
        <f>IFERROR((VLOOKUP(LEFT($A346,4),Setor!$A:$E,5,0)),"")</f>
        <v/>
      </c>
      <c r="F346" s="47">
        <f>IFERROR(__xludf.DUMMYFUNCTION("IFERROR((GOOGLEFINANCE(A346)),"""")"),8.1)</f>
        <v>8.1</v>
      </c>
      <c r="G346" s="48" t="str">
        <f>IFERROR(__xludf.DUMMYFUNCTION("IFERROR((sparkline(GOOGLEFINANCE($A346,""price"",TODAY()-30,TODAY(),""DAILY""),{""charttype"",""line"";""linewidth"",1;""color"",""#5f88cc""})),"""")"),"")</f>
        <v/>
      </c>
      <c r="H346" s="49">
        <f>IFERROR(__xludf.DUMMYFUNCTION("IFERROR((((GOOGLEFINANCE(A346))-(INDEX(GoogleFinance(A346,""PRICE"",$AQ$1),2,2)))/(INDEX(GoogleFinance(A346,""PRICE"",$AQ$1),2,2))),"""")"),0.291866028708134)</f>
        <v>0.2918660287</v>
      </c>
      <c r="I346" s="47">
        <f>IFERROR(__xludf.DUMMYFUNCTION("IFERROR((GOOGLEFINANCE($A346,""high52"")),"""")"),8.72)</f>
        <v>8.72</v>
      </c>
      <c r="J346" s="48" t="str">
        <f>IFERROR(__xludf.DUMMYFUNCTION("IFERROR((sparkline(GOOGLEFINANCE($A346,""price"",TODAY()-365,TODAY(),""DAILY""),{""charttype"",""line"";""linewidth"",1;""color"",""#5f88cc""})),"""")"),"")</f>
        <v/>
      </c>
      <c r="K346" s="50">
        <f>IFERROR(__xludf.DUMMYFUNCTION("IFERROR((((GOOGLEFINANCE(A346))-(INDEX(GoogleFinance(A346,""PRICE"",$AP$1),2,2)))/(INDEX(GoogleFinance(A346,""PRICE"",$AP$1),2,2))),"""")"),0.3499999999999999)</f>
        <v>0.35</v>
      </c>
      <c r="L346" s="51">
        <f t="shared" si="1"/>
        <v>-0.07110091743</v>
      </c>
      <c r="M346" s="52">
        <f>IFERROR((VLOOKUP($A346,'Dados StatusInvest'!$A:$AZ,COLUMN(M346)-$A$5,0)*VLOOKUP($A346,'Dados StatusInvest'!$A:$AZ,2,0)/$F346/100),0)</f>
        <v>0.118545679</v>
      </c>
      <c r="N346" s="53">
        <f>IFERROR((VLOOKUP($A346,'Dados StatusInvest'!$A:$AZ,COLUMN(N346)-$A$5,0)/VLOOKUP($A346,'Dados StatusInvest'!$A:$AZ,2,0)*$F346),"")</f>
        <v>0.9581707317</v>
      </c>
      <c r="O346" s="53">
        <f>IFERROR((VLOOKUP($A346,'Dados StatusInvest'!$A:$AZ,COLUMN(O346)-$A$5,0)/VLOOKUP($A346,'Dados StatusInvest'!$A:$AZ,2,0)*$F346),0)</f>
        <v>2.044756098</v>
      </c>
      <c r="P346" s="54">
        <f>IFERROR((VLOOKUP($A346,'Dados StatusInvest'!$A:$AZ,COLUMN(P346)-$A$5,0)/VLOOKUP($A346,'Dados StatusInvest'!$A:$AZ,2,0)*$F346),0)</f>
        <v>7.734512195</v>
      </c>
      <c r="Q346" s="55">
        <f>IFERROR((VLOOKUP($A346,'Dados StatusInvest'!$A:$AZ,COLUMN(Q346)-$A$5,0)/100),0)</f>
        <v>0.0576</v>
      </c>
      <c r="R346" s="56">
        <f>VLOOKUP($A346,'Dados StatusInvest'!$A:$AZ,COLUMN(R346)-$A$5,0)</f>
        <v>3.56</v>
      </c>
      <c r="S346" s="56">
        <f>IFERROR((VLOOKUP($A346,'Dados StatusInvest'!$A:$AZ,COLUMN(S346)-$A$5,0)),0)</f>
        <v>0.24</v>
      </c>
      <c r="T346" s="53">
        <f>IFERROR((VLOOKUP($A346,'Dados StatusInvest'!$A:$AZ,COLUMN(T346)-$A$5,0)/VLOOKUP($A346,'Dados StatusInvest'!$A:$AZ,2,0)*$F346),0)</f>
        <v>1.066829268</v>
      </c>
      <c r="U346" s="53">
        <f>IFERROR((VLOOKUP($A346,'Dados StatusInvest'!$A:$AZ,COLUMN(U346)-$A$5,0)-VLOOKUP($A346,'Dados StatusInvest'!$A:$AZ,COLUMN(U346)-$A$5-1,0)+T346),0)</f>
        <v>-0.3131707317</v>
      </c>
      <c r="V346" s="56">
        <f>IFERROR((VLOOKUP($A346,'Dados StatusInvest'!$A:$AZ,COLUMN(V346)-$A$5,0)),0)</f>
        <v>1.88</v>
      </c>
      <c r="W346" s="56">
        <f>IFERROR((VLOOKUP($A346,'Dados StatusInvest'!$A:$AZ,COLUMN(W346)-$A$5,0)),0)</f>
        <v>5.13</v>
      </c>
      <c r="X346" s="53">
        <f>IFERROR((VLOOKUP($A346,'Dados StatusInvest'!$A:$AZ,COLUMN(X346)-$A$5,0)/VLOOKUP($A346,'Dados StatusInvest'!$A:$AZ,2,0)*$F346),0)</f>
        <v>0.7507317073</v>
      </c>
      <c r="Y346" s="54">
        <f>IFERROR((VLOOKUP($A346,'Dados StatusInvest'!$A:$AZ,COLUMN(Y346)-$A$5,0)/VLOOKUP($A346,'Dados StatusInvest'!$A:$AZ,2,0)*$F346),0)</f>
        <v>9.907682927</v>
      </c>
      <c r="Z346" s="56">
        <f>IFERROR((VLOOKUP($A346,'Dados StatusInvest'!$A:$AZ,COLUMN(Z346)-$A$5,0)),0)</f>
        <v>0.15</v>
      </c>
      <c r="AA346" s="57">
        <f>IFERROR((VLOOKUP($A346,'Dados StatusInvest'!$A:$AZ,COLUMN(AA346)-$A$5,0)),0)</f>
        <v>0.85</v>
      </c>
      <c r="AB346" s="57">
        <f>IFERROR((VLOOKUP($A346,'Dados StatusInvest'!$A:$AZ,COLUMN(AB346)-$A$5,0)),0)</f>
        <v>0.78</v>
      </c>
      <c r="AC346" s="58">
        <f>IFERROR((VLOOKUP($A346,'Dados StatusInvest'!$A:$AZ,COLUMN(AC346)-$A$5,0)),0)</f>
        <v>23.9</v>
      </c>
      <c r="AD346" s="57">
        <f>IFERROR((VLOOKUP($A346,'Dados StatusInvest'!$A:$AZ,COLUMN(AD346)-$A$5,0)),0)</f>
        <v>-16.07</v>
      </c>
      <c r="AE346" s="56">
        <f>IFERROR((VLOOKUP($A346,'Dados StatusInvest'!$A:$AZ,COLUMN(AE346)-$A$5,0)),0)</f>
        <v>10378939</v>
      </c>
      <c r="AF346" s="56">
        <f>IFERROR((VLOOKUP($A346,'Dados StatusInvest'!$A:$AZ,COLUMN(AF346)-$A$5,0)),0)</f>
        <v>6.41</v>
      </c>
      <c r="AG346" s="56">
        <f>IFERROR((VLOOKUP($A346,'Dados StatusInvest'!$A:$AZ,COLUMN(AG346)-$A$5,0)),0)</f>
        <v>0.33</v>
      </c>
      <c r="AH346" s="56">
        <f>IFERROR((VLOOKUP($A346,'Dados StatusInvest'!$A:$AZ,COLUMN(AH346)-$A$5,0)),0)</f>
        <v>-0.39</v>
      </c>
      <c r="AI346" s="57">
        <f>IFERROR((VLOOKUP($A346,'Dados StatusInvest'!$A:$AZ,COLUMN(AI346)-$A$5,0)),0)</f>
        <v>2348734840</v>
      </c>
      <c r="AJ346" s="59" t="str">
        <f>IFERROR((VLOOKUP($A346,'Dados StatusInvest'!$A:$AZ,COLUMN(AJ346)-$A$5,0)),0)</f>
        <v/>
      </c>
      <c r="AK346" s="60">
        <f>IFERROR(__xludf.DUMMYFUNCTION("IFERROR(GOOGLEFINANCE($A346,""high""),"""")"),8.2)</f>
        <v>8.2</v>
      </c>
      <c r="AL346" s="60">
        <f>IFERROR(__xludf.DUMMYFUNCTION("IFERROR(GOOGLEFINANCE($A346,""low""),"""")"),8.1)</f>
        <v>8.1</v>
      </c>
      <c r="AM346" s="61">
        <f t="shared" si="2"/>
        <v>0.01234567901</v>
      </c>
      <c r="AN346" s="62">
        <f>IFERROR(__xludf.DUMMYFUNCTION("IFERROR((GOOGLEFINANCE($A346,""volume"")),0)"),17400.0)</f>
        <v>17400</v>
      </c>
      <c r="AO346" s="60">
        <f>IFERROR(__xludf.DUMMYFUNCTION("IFERROR((GOOGLEFINANCE($A346,""closeyest"")),"""")"),8.2)</f>
        <v>8.2</v>
      </c>
      <c r="AP346" s="60">
        <f>IFERROR(__xludf.DUMMYFUNCTION("IFERROR((GOOGLEFINANCE($A346,""shares"")),"""")"),2.79991078E8)</f>
        <v>279991078</v>
      </c>
      <c r="AQ346" s="18"/>
    </row>
    <row r="347">
      <c r="A347" s="45" t="str">
        <f>'Dados StatusInvest'!A342:A961</f>
        <v>KEPL3</v>
      </c>
      <c r="B347" s="46" t="str">
        <f>IFERROR(__xludf.DUMMYFUNCTION("IFERROR((GOOGLEFINANCE(A347,""name"")),"""")"),"Kepler Weber SA")</f>
        <v>Kepler Weber SA</v>
      </c>
      <c r="C347" s="46" t="str">
        <f>IFERROR((VLOOKUP(LEFT($A347,4),Setor!$A:$E,3,0)),"")</f>
        <v>Bens Industriais</v>
      </c>
      <c r="D347" s="46" t="str">
        <f>IFERROR((VLOOKUP(LEFT($A347,4),Setor!$A:$E,4,0)),"")</f>
        <v>Máquinas e Equipamentos</v>
      </c>
      <c r="E347" s="46" t="str">
        <f>IFERROR((VLOOKUP(LEFT($A347,4),Setor!$A:$E,5,0)),"")</f>
        <v>Máq. e Equip. Industriais</v>
      </c>
      <c r="F347" s="47">
        <f>IFERROR(__xludf.DUMMYFUNCTION("IFERROR((GOOGLEFINANCE(A347)),"""")"),9.72)</f>
        <v>9.72</v>
      </c>
      <c r="G347" s="48" t="str">
        <f>IFERROR(__xludf.DUMMYFUNCTION("IFERROR((sparkline(GOOGLEFINANCE($A347,""price"",TODAY()-30,TODAY(),""DAILY""),{""charttype"",""line"";""linewidth"",1;""color"",""#5f88cc""})),"""")"),"")</f>
        <v/>
      </c>
      <c r="H347" s="49">
        <f>IFERROR(__xludf.DUMMYFUNCTION("IFERROR((((GOOGLEFINANCE(A347))-(INDEX(GoogleFinance(A347,""PRICE"",$AQ$1),2,2)))/(INDEX(GoogleFinance(A347,""PRICE"",$AQ$1),2,2))),"""")"),-0.0231155778894471)</f>
        <v>-0.02311557789</v>
      </c>
      <c r="I347" s="47">
        <f>IFERROR(__xludf.DUMMYFUNCTION("IFERROR((GOOGLEFINANCE($A347,""high52"")),"""")"),10.5)</f>
        <v>10.5</v>
      </c>
      <c r="J347" s="48" t="str">
        <f>IFERROR(__xludf.DUMMYFUNCTION("IFERROR((sparkline(GOOGLEFINANCE($A347,""price"",TODAY()-365,TODAY(),""DAILY""),{""charttype"",""line"";""linewidth"",1;""color"",""#5f88cc""})),"""")"),"")</f>
        <v/>
      </c>
      <c r="K347" s="50">
        <f>IFERROR(__xludf.DUMMYFUNCTION("IFERROR((((GOOGLEFINANCE(A347))-(INDEX(GoogleFinance(A347,""PRICE"",$AP$1),2,2)))/(INDEX(GoogleFinance(A347,""PRICE"",$AP$1),2,2))),"""")"),-0.011190233977619474)</f>
        <v>-0.01119023398</v>
      </c>
      <c r="L347" s="51">
        <f t="shared" si="1"/>
        <v>-0.07428571429</v>
      </c>
      <c r="M347" s="52">
        <f>IFERROR((VLOOKUP($A347,'Dados StatusInvest'!$A:$AZ,COLUMN(M347)-$A$5,0)*VLOOKUP($A347,'Dados StatusInvest'!$A:$AZ,2,0)/$F347/100),0)</f>
        <v>0.1352296296</v>
      </c>
      <c r="N347" s="53">
        <f>IFERROR((VLOOKUP($A347,'Dados StatusInvest'!$A:$AZ,COLUMN(N347)-$A$5,0)/VLOOKUP($A347,'Dados StatusInvest'!$A:$AZ,2,0)*$F347),"")</f>
        <v>9.08392638</v>
      </c>
      <c r="O347" s="53">
        <f>IFERROR((VLOOKUP($A347,'Dados StatusInvest'!$A:$AZ,COLUMN(O347)-$A$5,0)/VLOOKUP($A347,'Dados StatusInvest'!$A:$AZ,2,0)*$F347),0)</f>
        <v>8.378282209</v>
      </c>
      <c r="P347" s="54">
        <f>IFERROR((VLOOKUP($A347,'Dados StatusInvest'!$A:$AZ,COLUMN(P347)-$A$5,0)/VLOOKUP($A347,'Dados StatusInvest'!$A:$AZ,2,0)*$F347),0)</f>
        <v>8.318650307</v>
      </c>
      <c r="Q347" s="55">
        <f>IFERROR((VLOOKUP($A347,'Dados StatusInvest'!$A:$AZ,COLUMN(Q347)-$A$5,0)/100),0)</f>
        <v>-0.0006</v>
      </c>
      <c r="R347" s="56">
        <f>VLOOKUP($A347,'Dados StatusInvest'!$A:$AZ,COLUMN(R347)-$A$5,0)</f>
        <v>-0.02</v>
      </c>
      <c r="S347" s="56">
        <f>IFERROR((VLOOKUP($A347,'Dados StatusInvest'!$A:$AZ,COLUMN(S347)-$A$5,0)),0)</f>
        <v>1.13</v>
      </c>
      <c r="T347" s="53">
        <f>IFERROR((VLOOKUP($A347,'Dados StatusInvest'!$A:$AZ,COLUMN(T347)-$A$5,0)/VLOOKUP($A347,'Dados StatusInvest'!$A:$AZ,2,0)*$F347),0)</f>
        <v>3.54809816</v>
      </c>
      <c r="U347" s="53">
        <f>IFERROR((VLOOKUP($A347,'Dados StatusInvest'!$A:$AZ,COLUMN(U347)-$A$5,0)-VLOOKUP($A347,'Dados StatusInvest'!$A:$AZ,COLUMN(U347)-$A$5-1,0)+T347),0)</f>
        <v>-3.30190184</v>
      </c>
      <c r="V347" s="56">
        <f>IFERROR((VLOOKUP($A347,'Dados StatusInvest'!$A:$AZ,COLUMN(V347)-$A$5,0)),0)</f>
        <v>1.94</v>
      </c>
      <c r="W347" s="56">
        <f>IFERROR((VLOOKUP($A347,'Dados StatusInvest'!$A:$AZ,COLUMN(W347)-$A$5,0)),0)</f>
        <v>18.77</v>
      </c>
      <c r="X347" s="53">
        <f>IFERROR((VLOOKUP($A347,'Dados StatusInvest'!$A:$AZ,COLUMN(X347)-$A$5,0)/VLOOKUP($A347,'Dados StatusInvest'!$A:$AZ,2,0)*$F347),0)</f>
        <v>9.08392638</v>
      </c>
      <c r="Y347" s="54">
        <f>IFERROR((VLOOKUP($A347,'Dados StatusInvest'!$A:$AZ,COLUMN(Y347)-$A$5,0)/VLOOKUP($A347,'Dados StatusInvest'!$A:$AZ,2,0)*$F347),0)</f>
        <v>13.0196319</v>
      </c>
      <c r="Z347" s="56">
        <f>IFERROR((VLOOKUP($A347,'Dados StatusInvest'!$A:$AZ,COLUMN(Z347)-$A$5,0)),0)</f>
        <v>0.49</v>
      </c>
      <c r="AA347" s="57">
        <f>IFERROR((VLOOKUP($A347,'Dados StatusInvest'!$A:$AZ,COLUMN(AA347)-$A$5,0)),0)</f>
        <v>0.51</v>
      </c>
      <c r="AB347" s="57">
        <f>IFERROR((VLOOKUP($A347,'Dados StatusInvest'!$A:$AZ,COLUMN(AB347)-$A$5,0)),0)</f>
        <v>1</v>
      </c>
      <c r="AC347" s="58">
        <f>IFERROR((VLOOKUP($A347,'Dados StatusInvest'!$A:$AZ,COLUMN(AC347)-$A$5,0)),0)</f>
        <v>22.47</v>
      </c>
      <c r="AD347" s="57">
        <f>IFERROR((VLOOKUP($A347,'Dados StatusInvest'!$A:$AZ,COLUMN(AD347)-$A$5,0)),0)</f>
        <v>30.44</v>
      </c>
      <c r="AE347" s="56">
        <f>IFERROR((VLOOKUP($A347,'Dados StatusInvest'!$A:$AZ,COLUMN(AE347)-$A$5,0)),0)</f>
        <v>30740276</v>
      </c>
      <c r="AF347" s="56">
        <f>IFERROR((VLOOKUP($A347,'Dados StatusInvest'!$A:$AZ,COLUMN(AF347)-$A$5,0)),0)</f>
        <v>4.21</v>
      </c>
      <c r="AG347" s="56">
        <f>IFERROR((VLOOKUP($A347,'Dados StatusInvest'!$A:$AZ,COLUMN(AG347)-$A$5,0)),0)</f>
        <v>0.79</v>
      </c>
      <c r="AH347" s="56">
        <f>IFERROR((VLOOKUP($A347,'Dados StatusInvest'!$A:$AZ,COLUMN(AH347)-$A$5,0)),0)</f>
        <v>-0.28</v>
      </c>
      <c r="AI347" s="57">
        <f>IFERROR((VLOOKUP($A347,'Dados StatusInvest'!$A:$AZ,COLUMN(AI347)-$A$5,0)),0)</f>
        <v>1757662871</v>
      </c>
      <c r="AJ347" s="59" t="str">
        <f>IFERROR((VLOOKUP($A347,'Dados StatusInvest'!$A:$AZ,COLUMN(AJ347)-$A$5,0)),0)</f>
        <v/>
      </c>
      <c r="AK347" s="60">
        <f>IFERROR(__xludf.DUMMYFUNCTION("IFERROR(GOOGLEFINANCE($A347,""high""),"""")"),9.86)</f>
        <v>9.86</v>
      </c>
      <c r="AL347" s="60">
        <f>IFERROR(__xludf.DUMMYFUNCTION("IFERROR(GOOGLEFINANCE($A347,""low""),"""")"),9.65)</f>
        <v>9.65</v>
      </c>
      <c r="AM347" s="61">
        <f t="shared" si="2"/>
        <v>0.02176165803</v>
      </c>
      <c r="AN347" s="62">
        <f>IFERROR(__xludf.DUMMYFUNCTION("IFERROR((GOOGLEFINANCE($A347,""volume"")),0)"),229700.0)</f>
        <v>229700</v>
      </c>
      <c r="AO347" s="60">
        <f>IFERROR(__xludf.DUMMYFUNCTION("IFERROR((GOOGLEFINANCE($A347,""closeyest"")),"""")"),9.78)</f>
        <v>9.78</v>
      </c>
      <c r="AP347" s="60">
        <f>IFERROR(__xludf.DUMMYFUNCTION("IFERROR((GOOGLEFINANCE($A347,""shares"")),"""")"),1.7972013E8)</f>
        <v>179720130</v>
      </c>
      <c r="AQ347" s="18"/>
    </row>
    <row r="348">
      <c r="A348" s="45" t="str">
        <f>'Dados StatusInvest'!A343:A962</f>
        <v>KLBN11</v>
      </c>
      <c r="B348" s="46" t="str">
        <f>IFERROR(__xludf.DUMMYFUNCTION("IFERROR((GOOGLEFINANCE(A348,""name"")),"""")"),"Klabin SA Unit")</f>
        <v>Klabin SA Unit</v>
      </c>
      <c r="C348" s="46" t="str">
        <f>IFERROR((VLOOKUP(LEFT($A348,4),Setor!$A:$E,3,0)),"")</f>
        <v>Materiais Básicos</v>
      </c>
      <c r="D348" s="46" t="str">
        <f>IFERROR((VLOOKUP(LEFT($A348,4),Setor!$A:$E,4,0)),"")</f>
        <v>Madeira e Papel</v>
      </c>
      <c r="E348" s="46" t="str">
        <f>IFERROR((VLOOKUP(LEFT($A348,4),Setor!$A:$E,5,0)),"")</f>
        <v>Papel e Celulose</v>
      </c>
      <c r="F348" s="47">
        <f>IFERROR(__xludf.DUMMYFUNCTION("IFERROR((GOOGLEFINANCE(A348)),"""")"),19.82)</f>
        <v>19.82</v>
      </c>
      <c r="G348" s="48" t="str">
        <f>IFERROR(__xludf.DUMMYFUNCTION("IFERROR((sparkline(GOOGLEFINANCE($A348,""price"",TODAY()-30,TODAY(),""DAILY""),{""charttype"",""line"";""linewidth"",1;""color"",""#5f88cc""})),"""")"),"")</f>
        <v/>
      </c>
      <c r="H348" s="49">
        <f>IFERROR(__xludf.DUMMYFUNCTION("IFERROR((((GOOGLEFINANCE(A348))-(INDEX(GoogleFinance(A348,""PRICE"",$AQ$1),2,2)))/(INDEX(GoogleFinance(A348,""PRICE"",$AQ$1),2,2))),"""")"),0.04480759093305227)</f>
        <v>0.04480759093</v>
      </c>
      <c r="I348" s="47">
        <f>IFERROR(__xludf.DUMMYFUNCTION("IFERROR((GOOGLEFINANCE($A348,""high52"")),"""")"),21.25)</f>
        <v>21.25</v>
      </c>
      <c r="J348" s="48" t="str">
        <f>IFERROR(__xludf.DUMMYFUNCTION("IFERROR((sparkline(GOOGLEFINANCE($A348,""price"",TODAY()-365,TODAY(),""DAILY""),{""charttype"",""line"";""linewidth"",1;""color"",""#5f88cc""})),"""")"),"")</f>
        <v/>
      </c>
      <c r="K348" s="50">
        <f>IFERROR(__xludf.DUMMYFUNCTION("IFERROR((((GOOGLEFINANCE(A348))-(INDEX(GoogleFinance(A348,""PRICE"",$AP$1),2,2)))/(INDEX(GoogleFinance(A348,""PRICE"",$AP$1),2,2))),"""")"),-0.04343629343629337)</f>
        <v>-0.04343629344</v>
      </c>
      <c r="L348" s="51">
        <f t="shared" si="1"/>
        <v>-0.06729411765</v>
      </c>
      <c r="M348" s="52">
        <f>IFERROR((VLOOKUP($A348,'Dados StatusInvest'!$A:$AZ,COLUMN(M348)-$A$5,0)*VLOOKUP($A348,'Dados StatusInvest'!$A:$AZ,2,0)/$F348/100),0)</f>
        <v>0.2372162967</v>
      </c>
      <c r="N348" s="53">
        <f>IFERROR((VLOOKUP($A348,'Dados StatusInvest'!$A:$AZ,COLUMN(N348)-$A$5,0)/VLOOKUP($A348,'Dados StatusInvest'!$A:$AZ,2,0)*$F348),"")</f>
        <v>8.735736242</v>
      </c>
      <c r="O348" s="53">
        <f>IFERROR((VLOOKUP($A348,'Dados StatusInvest'!$A:$AZ,COLUMN(O348)-$A$5,0)/VLOOKUP($A348,'Dados StatusInvest'!$A:$AZ,2,0)*$F348),0)</f>
        <v>5.099940506</v>
      </c>
      <c r="P348" s="54">
        <f>IFERROR((VLOOKUP($A348,'Dados StatusInvest'!$A:$AZ,COLUMN(P348)-$A$5,0)/VLOOKUP($A348,'Dados StatusInvest'!$A:$AZ,2,0)*$F348),0)</f>
        <v>10.39641051</v>
      </c>
      <c r="Q348" s="55">
        <f>IFERROR((VLOOKUP($A348,'Dados StatusInvest'!$A:$AZ,COLUMN(Q348)-$A$5,0)/100),0)</f>
        <v>0.0538</v>
      </c>
      <c r="R348" s="56">
        <f>VLOOKUP($A348,'Dados StatusInvest'!$A:$AZ,COLUMN(R348)-$A$5,0)</f>
        <v>2.55</v>
      </c>
      <c r="S348" s="56">
        <f>IFERROR((VLOOKUP($A348,'Dados StatusInvest'!$A:$AZ,COLUMN(S348)-$A$5,0)),0)</f>
        <v>1.21</v>
      </c>
      <c r="T348" s="53">
        <f>IFERROR((VLOOKUP($A348,'Dados StatusInvest'!$A:$AZ,COLUMN(T348)-$A$5,0)/VLOOKUP($A348,'Dados StatusInvest'!$A:$AZ,2,0)*$F348),0)</f>
        <v>2.830024789</v>
      </c>
      <c r="U348" s="53">
        <f>IFERROR((VLOOKUP($A348,'Dados StatusInvest'!$A:$AZ,COLUMN(U348)-$A$5,0)-VLOOKUP($A348,'Dados StatusInvest'!$A:$AZ,COLUMN(U348)-$A$5-1,0)+T348),0)</f>
        <v>-0.5999752107</v>
      </c>
      <c r="V348" s="56">
        <f>IFERROR((VLOOKUP($A348,'Dados StatusInvest'!$A:$AZ,COLUMN(V348)-$A$5,0)),0)</f>
        <v>2.12</v>
      </c>
      <c r="W348" s="56">
        <f>IFERROR((VLOOKUP($A348,'Dados StatusInvest'!$A:$AZ,COLUMN(W348)-$A$5,0)),0)</f>
        <v>18.06</v>
      </c>
      <c r="X348" s="53">
        <f>IFERROR((VLOOKUP($A348,'Dados StatusInvest'!$A:$AZ,COLUMN(X348)-$A$5,0)/VLOOKUP($A348,'Dados StatusInvest'!$A:$AZ,2,0)*$F348),0)</f>
        <v>2.918463064</v>
      </c>
      <c r="Y348" s="54">
        <f>IFERROR((VLOOKUP($A348,'Dados StatusInvest'!$A:$AZ,COLUMN(Y348)-$A$5,0)/VLOOKUP($A348,'Dados StatusInvest'!$A:$AZ,2,0)*$F348),0)</f>
        <v>7.792394646</v>
      </c>
      <c r="Z348" s="56">
        <f>IFERROR((VLOOKUP($A348,'Dados StatusInvest'!$A:$AZ,COLUMN(Z348)-$A$5,0)),0)</f>
        <v>0.16</v>
      </c>
      <c r="AA348" s="57">
        <f>IFERROR((VLOOKUP($A348,'Dados StatusInvest'!$A:$AZ,COLUMN(AA348)-$A$5,0)),0)</f>
        <v>0.76</v>
      </c>
      <c r="AB348" s="57">
        <f>IFERROR((VLOOKUP($A348,'Dados StatusInvest'!$A:$AZ,COLUMN(AB348)-$A$5,0)),0)</f>
        <v>0.33</v>
      </c>
      <c r="AC348" s="58">
        <f>IFERROR((VLOOKUP($A348,'Dados StatusInvest'!$A:$AZ,COLUMN(AC348)-$A$5,0)),0)</f>
        <v>13.85</v>
      </c>
      <c r="AD348" s="57">
        <f>IFERROR((VLOOKUP($A348,'Dados StatusInvest'!$A:$AZ,COLUMN(AD348)-$A$5,0)),0)</f>
        <v>22.3</v>
      </c>
      <c r="AE348" s="56">
        <f>IFERROR((VLOOKUP($A348,'Dados StatusInvest'!$A:$AZ,COLUMN(AE348)-$A$5,0)),0)</f>
        <v>139000000</v>
      </c>
      <c r="AF348" s="56">
        <f>IFERROR((VLOOKUP($A348,'Dados StatusInvest'!$A:$AZ,COLUMN(AF348)-$A$5,0)),0)</f>
        <v>8.2</v>
      </c>
      <c r="AG348" s="56">
        <f>IFERROR((VLOOKUP($A348,'Dados StatusInvest'!$A:$AZ,COLUMN(AG348)-$A$5,0)),0)</f>
        <v>1.48</v>
      </c>
      <c r="AH348" s="56">
        <f>IFERROR((VLOOKUP($A348,'Dados StatusInvest'!$A:$AZ,COLUMN(AH348)-$A$5,0)),0)</f>
        <v>-1.31</v>
      </c>
      <c r="AI348" s="57">
        <f>IFERROR((VLOOKUP($A348,'Dados StatusInvest'!$A:$AZ,COLUMN(AI348)-$A$5,0)),0)</f>
        <v>25178125681</v>
      </c>
      <c r="AJ348" s="59" t="str">
        <f>IFERROR((VLOOKUP($A348,'Dados StatusInvest'!$A:$AZ,COLUMN(AJ348)-$A$5,0)),0)</f>
        <v/>
      </c>
      <c r="AK348" s="60">
        <f>IFERROR(__xludf.DUMMYFUNCTION("IFERROR(GOOGLEFINANCE($A348,""high""),"""")"),20.11)</f>
        <v>20.11</v>
      </c>
      <c r="AL348" s="60">
        <f>IFERROR(__xludf.DUMMYFUNCTION("IFERROR(GOOGLEFINANCE($A348,""low""),"""")"),19.83)</f>
        <v>19.83</v>
      </c>
      <c r="AM348" s="61">
        <f t="shared" si="2"/>
        <v>0.01412002017</v>
      </c>
      <c r="AN348" s="62">
        <f>IFERROR(__xludf.DUMMYFUNCTION("IFERROR((GOOGLEFINANCE($A348,""volume"")),0)"),459500.0)</f>
        <v>459500</v>
      </c>
      <c r="AO348" s="60">
        <f>IFERROR(__xludf.DUMMYFUNCTION("IFERROR((GOOGLEFINANCE($A348,""closeyest"")),"""")"),20.17)</f>
        <v>20.17</v>
      </c>
      <c r="AP348" s="60">
        <f>IFERROR(__xludf.DUMMYFUNCTION("IFERROR((GOOGLEFINANCE($A348,""shares"")),"""")"),0.0)</f>
        <v>0</v>
      </c>
      <c r="AQ348" s="18"/>
    </row>
    <row r="349">
      <c r="A349" s="45" t="str">
        <f>'Dados StatusInvest'!A344:A963</f>
        <v>KLBN3</v>
      </c>
      <c r="B349" s="46" t="str">
        <f>IFERROR(__xludf.DUMMYFUNCTION("IFERROR((GOOGLEFINANCE(A349,""name"")),"""")"),"Klabin SA")</f>
        <v>Klabin SA</v>
      </c>
      <c r="C349" s="46" t="str">
        <f>IFERROR((VLOOKUP(LEFT($A349,4),Setor!$A:$E,3,0)),"")</f>
        <v>Materiais Básicos</v>
      </c>
      <c r="D349" s="46" t="str">
        <f>IFERROR((VLOOKUP(LEFT($A349,4),Setor!$A:$E,4,0)),"")</f>
        <v>Madeira e Papel</v>
      </c>
      <c r="E349" s="46" t="str">
        <f>IFERROR((VLOOKUP(LEFT($A349,4),Setor!$A:$E,5,0)),"")</f>
        <v>Papel e Celulose</v>
      </c>
      <c r="F349" s="47">
        <f>IFERROR(__xludf.DUMMYFUNCTION("IFERROR((GOOGLEFINANCE(A349)),"""")"),3.99)</f>
        <v>3.99</v>
      </c>
      <c r="G349" s="48" t="str">
        <f>IFERROR(__xludf.DUMMYFUNCTION("IFERROR((sparkline(GOOGLEFINANCE($A349,""price"",TODAY()-30,TODAY(),""DAILY""),{""charttype"",""line"";""linewidth"",1;""color"",""#5f88cc""})),"""")"),"")</f>
        <v/>
      </c>
      <c r="H349" s="49">
        <f>IFERROR(__xludf.DUMMYFUNCTION("IFERROR((((GOOGLEFINANCE(A349))-(INDEX(GoogleFinance(A349,""PRICE"",$AQ$1),2,2)))/(INDEX(GoogleFinance(A349,""PRICE"",$AQ$1),2,2))),"""")"),0.04450261780104722)</f>
        <v>0.0445026178</v>
      </c>
      <c r="I349" s="47">
        <f>IFERROR(__xludf.DUMMYFUNCTION("IFERROR((GOOGLEFINANCE($A349,""high52"")),"""")"),4.24)</f>
        <v>4.24</v>
      </c>
      <c r="J349" s="48" t="str">
        <f>IFERROR(__xludf.DUMMYFUNCTION("IFERROR((sparkline(GOOGLEFINANCE($A349,""price"",TODAY()-365,TODAY(),""DAILY""),{""charttype"",""line"";""linewidth"",1;""color"",""#5f88cc""})),"""")"),"")</f>
        <v/>
      </c>
      <c r="K349" s="50">
        <f>IFERROR(__xludf.DUMMYFUNCTION("IFERROR((((GOOGLEFINANCE(A349))-(INDEX(GoogleFinance(A349,""PRICE"",$AP$1),2,2)))/(INDEX(GoogleFinance(A349,""PRICE"",$AP$1),2,2))),"""")"),-0.07852193995381059)</f>
        <v>-0.07852193995</v>
      </c>
      <c r="L349" s="51">
        <f t="shared" si="1"/>
        <v>-0.05896226415</v>
      </c>
      <c r="M349" s="52">
        <f>IFERROR((VLOOKUP($A349,'Dados StatusInvest'!$A:$AZ,COLUMN(M349)-$A$5,0)*VLOOKUP($A349,'Dados StatusInvest'!$A:$AZ,2,0)/$F349/100),0)</f>
        <v>0.2354368421</v>
      </c>
      <c r="N349" s="53">
        <f>IFERROR((VLOOKUP($A349,'Dados StatusInvest'!$A:$AZ,COLUMN(N349)-$A$5,0)/VLOOKUP($A349,'Dados StatusInvest'!$A:$AZ,2,0)*$F349),"")</f>
        <v>8.801761787</v>
      </c>
      <c r="O349" s="53">
        <f>IFERROR((VLOOKUP($A349,'Dados StatusInvest'!$A:$AZ,COLUMN(O349)-$A$5,0)/VLOOKUP($A349,'Dados StatusInvest'!$A:$AZ,2,0)*$F349),0)</f>
        <v>5.138486352</v>
      </c>
      <c r="P349" s="54">
        <f>IFERROR((VLOOKUP($A349,'Dados StatusInvest'!$A:$AZ,COLUMN(P349)-$A$5,0)/VLOOKUP($A349,'Dados StatusInvest'!$A:$AZ,2,0)*$F349),0)</f>
        <v>10.47498759</v>
      </c>
      <c r="Q349" s="55">
        <f>IFERROR((VLOOKUP($A349,'Dados StatusInvest'!$A:$AZ,COLUMN(Q349)-$A$5,0)/100),0)</f>
        <v>0.0538</v>
      </c>
      <c r="R349" s="56">
        <f>VLOOKUP($A349,'Dados StatusInvest'!$A:$AZ,COLUMN(R349)-$A$5,0)</f>
        <v>2.55</v>
      </c>
      <c r="S349" s="56">
        <f>IFERROR((VLOOKUP($A349,'Dados StatusInvest'!$A:$AZ,COLUMN(S349)-$A$5,0)),0)</f>
        <v>1.21</v>
      </c>
      <c r="T349" s="53">
        <f>IFERROR((VLOOKUP($A349,'Dados StatusInvest'!$A:$AZ,COLUMN(T349)-$A$5,0)/VLOOKUP($A349,'Dados StatusInvest'!$A:$AZ,2,0)*$F349),0)</f>
        <v>2.841513648</v>
      </c>
      <c r="U349" s="53">
        <f>IFERROR((VLOOKUP($A349,'Dados StatusInvest'!$A:$AZ,COLUMN(U349)-$A$5,0)-VLOOKUP($A349,'Dados StatusInvest'!$A:$AZ,COLUMN(U349)-$A$5-1,0)+T349),0)</f>
        <v>-0.5784863524</v>
      </c>
      <c r="V349" s="56">
        <f>IFERROR((VLOOKUP($A349,'Dados StatusInvest'!$A:$AZ,COLUMN(V349)-$A$5,0)),0)</f>
        <v>2.12</v>
      </c>
      <c r="W349" s="56">
        <f>IFERROR((VLOOKUP($A349,'Dados StatusInvest'!$A:$AZ,COLUMN(W349)-$A$5,0)),0)</f>
        <v>18.06</v>
      </c>
      <c r="X349" s="53">
        <f>IFERROR((VLOOKUP($A349,'Dados StatusInvest'!$A:$AZ,COLUMN(X349)-$A$5,0)/VLOOKUP($A349,'Dados StatusInvest'!$A:$AZ,2,0)*$F349),0)</f>
        <v>2.940521092</v>
      </c>
      <c r="Y349" s="54">
        <f>IFERROR((VLOOKUP($A349,'Dados StatusInvest'!$A:$AZ,COLUMN(Y349)-$A$5,0)/VLOOKUP($A349,'Dados StatusInvest'!$A:$AZ,2,0)*$F349),0)</f>
        <v>7.851290323</v>
      </c>
      <c r="Z349" s="56">
        <f>IFERROR((VLOOKUP($A349,'Dados StatusInvest'!$A:$AZ,COLUMN(Z349)-$A$5,0)),0)</f>
        <v>0.16</v>
      </c>
      <c r="AA349" s="57">
        <f>IFERROR((VLOOKUP($A349,'Dados StatusInvest'!$A:$AZ,COLUMN(AA349)-$A$5,0)),0)</f>
        <v>0.76</v>
      </c>
      <c r="AB349" s="57">
        <f>IFERROR((VLOOKUP($A349,'Dados StatusInvest'!$A:$AZ,COLUMN(AB349)-$A$5,0)),0)</f>
        <v>0.33</v>
      </c>
      <c r="AC349" s="58">
        <f>IFERROR((VLOOKUP($A349,'Dados StatusInvest'!$A:$AZ,COLUMN(AC349)-$A$5,0)),0)</f>
        <v>13.85</v>
      </c>
      <c r="AD349" s="57">
        <f>IFERROR((VLOOKUP($A349,'Dados StatusInvest'!$A:$AZ,COLUMN(AD349)-$A$5,0)),0)</f>
        <v>22.3</v>
      </c>
      <c r="AE349" s="56">
        <f>IFERROR((VLOOKUP($A349,'Dados StatusInvest'!$A:$AZ,COLUMN(AE349)-$A$5,0)),0)</f>
        <v>3168023</v>
      </c>
      <c r="AF349" s="56">
        <f>IFERROR((VLOOKUP($A349,'Dados StatusInvest'!$A:$AZ,COLUMN(AF349)-$A$5,0)),0)</f>
        <v>1.64</v>
      </c>
      <c r="AG349" s="56">
        <f>IFERROR((VLOOKUP($A349,'Dados StatusInvest'!$A:$AZ,COLUMN(AG349)-$A$5,0)),0)</f>
        <v>0.3</v>
      </c>
      <c r="AH349" s="56">
        <f>IFERROR((VLOOKUP($A349,'Dados StatusInvest'!$A:$AZ,COLUMN(AH349)-$A$5,0)),0)</f>
        <v>-1.31</v>
      </c>
      <c r="AI349" s="57">
        <f>IFERROR((VLOOKUP($A349,'Dados StatusInvest'!$A:$AZ,COLUMN(AI349)-$A$5,0)),0)</f>
        <v>25178125681</v>
      </c>
      <c r="AJ349" s="59" t="str">
        <f>IFERROR((VLOOKUP($A349,'Dados StatusInvest'!$A:$AZ,COLUMN(AJ349)-$A$5,0)),0)</f>
        <v/>
      </c>
      <c r="AK349" s="60">
        <f>IFERROR(__xludf.DUMMYFUNCTION("IFERROR(GOOGLEFINANCE($A349,""high""),"""")"),4.02)</f>
        <v>4.02</v>
      </c>
      <c r="AL349" s="60">
        <f>IFERROR(__xludf.DUMMYFUNCTION("IFERROR(GOOGLEFINANCE($A349,""low""),"""")"),3.99)</f>
        <v>3.99</v>
      </c>
      <c r="AM349" s="61">
        <f t="shared" si="2"/>
        <v>0.007518796992</v>
      </c>
      <c r="AN349" s="62">
        <f>IFERROR(__xludf.DUMMYFUNCTION("IFERROR((GOOGLEFINANCE($A349,""volume"")),0)"),62000.0)</f>
        <v>62000</v>
      </c>
      <c r="AO349" s="60">
        <f>IFERROR(__xludf.DUMMYFUNCTION("IFERROR((GOOGLEFINANCE($A349,""closeyest"")),"""")"),4.03)</f>
        <v>4.03</v>
      </c>
      <c r="AP349" s="60">
        <f>IFERROR(__xludf.DUMMYFUNCTION("IFERROR((GOOGLEFINANCE($A349,""shares"")),"""")"),2.312800469E9)</f>
        <v>2312800469</v>
      </c>
      <c r="AQ349" s="18"/>
    </row>
    <row r="350">
      <c r="A350" s="45" t="str">
        <f>'Dados StatusInvest'!A345:A964</f>
        <v>KLBN4</v>
      </c>
      <c r="B350" s="46" t="str">
        <f>IFERROR(__xludf.DUMMYFUNCTION("IFERROR((GOOGLEFINANCE(A350,""name"")),"""")"),"Klabin SA Preference Shares")</f>
        <v>Klabin SA Preference Shares</v>
      </c>
      <c r="C350" s="46" t="str">
        <f>IFERROR((VLOOKUP(LEFT($A350,4),Setor!$A:$E,3,0)),"")</f>
        <v>Materiais Básicos</v>
      </c>
      <c r="D350" s="46" t="str">
        <f>IFERROR((VLOOKUP(LEFT($A350,4),Setor!$A:$E,4,0)),"")</f>
        <v>Madeira e Papel</v>
      </c>
      <c r="E350" s="46" t="str">
        <f>IFERROR((VLOOKUP(LEFT($A350,4),Setor!$A:$E,5,0)),"")</f>
        <v>Papel e Celulose</v>
      </c>
      <c r="F350" s="47">
        <f>IFERROR(__xludf.DUMMYFUNCTION("IFERROR((GOOGLEFINANCE(A350)),"""")"),3.97)</f>
        <v>3.97</v>
      </c>
      <c r="G350" s="48" t="str">
        <f>IFERROR(__xludf.DUMMYFUNCTION("IFERROR((sparkline(GOOGLEFINANCE($A350,""price"",TODAY()-30,TODAY(),""DAILY""),{""charttype"",""line"";""linewidth"",1;""color"",""#5f88cc""})),"""")"),"")</f>
        <v/>
      </c>
      <c r="H350" s="49">
        <f>IFERROR(__xludf.DUMMYFUNCTION("IFERROR((((GOOGLEFINANCE(A350))-(INDEX(GoogleFinance(A350,""PRICE"",$AQ$1),2,2)))/(INDEX(GoogleFinance(A350,""PRICE"",$AQ$1),2,2))),"""")"),0.047493403693931444)</f>
        <v>0.04749340369</v>
      </c>
      <c r="I350" s="47">
        <f>IFERROR(__xludf.DUMMYFUNCTION("IFERROR((GOOGLEFINANCE($A350,""high52"")),"""")"),4.21)</f>
        <v>4.21</v>
      </c>
      <c r="J350" s="48" t="str">
        <f>IFERROR(__xludf.DUMMYFUNCTION("IFERROR((sparkline(GOOGLEFINANCE($A350,""price"",TODAY()-365,TODAY(),""DAILY""),{""charttype"",""line"";""linewidth"",1;""color"",""#5f88cc""})),"""")"),"")</f>
        <v/>
      </c>
      <c r="K350" s="50">
        <f>IFERROR(__xludf.DUMMYFUNCTION("IFERROR((((GOOGLEFINANCE(A350))-(INDEX(GoogleFinance(A350,""PRICE"",$AP$1),2,2)))/(INDEX(GoogleFinance(A350,""PRICE"",$AP$1),2,2))),"""")"),-0.03406326034063263)</f>
        <v>-0.03406326034</v>
      </c>
      <c r="L350" s="51">
        <f t="shared" si="1"/>
        <v>-0.05700712589</v>
      </c>
      <c r="M350" s="52">
        <f>IFERROR((VLOOKUP($A350,'Dados StatusInvest'!$A:$AZ,COLUMN(M350)-$A$5,0)*VLOOKUP($A350,'Dados StatusInvest'!$A:$AZ,2,0)/$F350/100),0)</f>
        <v>0.2366229219</v>
      </c>
      <c r="N350" s="53">
        <f>IFERROR((VLOOKUP($A350,'Dados StatusInvest'!$A:$AZ,COLUMN(N350)-$A$5,0)/VLOOKUP($A350,'Dados StatusInvest'!$A:$AZ,2,0)*$F350),"")</f>
        <v>8.75764268</v>
      </c>
      <c r="O350" s="53">
        <f>IFERROR((VLOOKUP($A350,'Dados StatusInvest'!$A:$AZ,COLUMN(O350)-$A$5,0)/VLOOKUP($A350,'Dados StatusInvest'!$A:$AZ,2,0)*$F350),0)</f>
        <v>5.112729529</v>
      </c>
      <c r="P350" s="54">
        <f>IFERROR((VLOOKUP($A350,'Dados StatusInvest'!$A:$AZ,COLUMN(P350)-$A$5,0)/VLOOKUP($A350,'Dados StatusInvest'!$A:$AZ,2,0)*$F350),0)</f>
        <v>10.42248139</v>
      </c>
      <c r="Q350" s="55">
        <f>IFERROR((VLOOKUP($A350,'Dados StatusInvest'!$A:$AZ,COLUMN(Q350)-$A$5,0)/100),0)</f>
        <v>0.0538</v>
      </c>
      <c r="R350" s="56">
        <f>VLOOKUP($A350,'Dados StatusInvest'!$A:$AZ,COLUMN(R350)-$A$5,0)</f>
        <v>2.55</v>
      </c>
      <c r="S350" s="56">
        <f>IFERROR((VLOOKUP($A350,'Dados StatusInvest'!$A:$AZ,COLUMN(S350)-$A$5,0)),0)</f>
        <v>1.21</v>
      </c>
      <c r="T350" s="53">
        <f>IFERROR((VLOOKUP($A350,'Dados StatusInvest'!$A:$AZ,COLUMN(T350)-$A$5,0)/VLOOKUP($A350,'Dados StatusInvest'!$A:$AZ,2,0)*$F350),0)</f>
        <v>2.827270471</v>
      </c>
      <c r="U350" s="53">
        <f>IFERROR((VLOOKUP($A350,'Dados StatusInvest'!$A:$AZ,COLUMN(U350)-$A$5,0)-VLOOKUP($A350,'Dados StatusInvest'!$A:$AZ,COLUMN(U350)-$A$5-1,0)+T350),0)</f>
        <v>-0.5927295285</v>
      </c>
      <c r="V350" s="56">
        <f>IFERROR((VLOOKUP($A350,'Dados StatusInvest'!$A:$AZ,COLUMN(V350)-$A$5,0)),0)</f>
        <v>2.12</v>
      </c>
      <c r="W350" s="56">
        <f>IFERROR((VLOOKUP($A350,'Dados StatusInvest'!$A:$AZ,COLUMN(W350)-$A$5,0)),0)</f>
        <v>18.06</v>
      </c>
      <c r="X350" s="53">
        <f>IFERROR((VLOOKUP($A350,'Dados StatusInvest'!$A:$AZ,COLUMN(X350)-$A$5,0)/VLOOKUP($A350,'Dados StatusInvest'!$A:$AZ,2,0)*$F350),0)</f>
        <v>2.925781638</v>
      </c>
      <c r="Y350" s="54">
        <f>IFERROR((VLOOKUP($A350,'Dados StatusInvest'!$A:$AZ,COLUMN(Y350)-$A$5,0)/VLOOKUP($A350,'Dados StatusInvest'!$A:$AZ,2,0)*$F350),0)</f>
        <v>7.811935484</v>
      </c>
      <c r="Z350" s="56">
        <f>IFERROR((VLOOKUP($A350,'Dados StatusInvest'!$A:$AZ,COLUMN(Z350)-$A$5,0)),0)</f>
        <v>0.16</v>
      </c>
      <c r="AA350" s="57">
        <f>IFERROR((VLOOKUP($A350,'Dados StatusInvest'!$A:$AZ,COLUMN(AA350)-$A$5,0)),0)</f>
        <v>0.76</v>
      </c>
      <c r="AB350" s="57">
        <f>IFERROR((VLOOKUP($A350,'Dados StatusInvest'!$A:$AZ,COLUMN(AB350)-$A$5,0)),0)</f>
        <v>0.33</v>
      </c>
      <c r="AC350" s="58">
        <f>IFERROR((VLOOKUP($A350,'Dados StatusInvest'!$A:$AZ,COLUMN(AC350)-$A$5,0)),0)</f>
        <v>13.85</v>
      </c>
      <c r="AD350" s="57">
        <f>IFERROR((VLOOKUP($A350,'Dados StatusInvest'!$A:$AZ,COLUMN(AD350)-$A$5,0)),0)</f>
        <v>22.3</v>
      </c>
      <c r="AE350" s="56">
        <f>IFERROR((VLOOKUP($A350,'Dados StatusInvest'!$A:$AZ,COLUMN(AE350)-$A$5,0)),0)</f>
        <v>13400157</v>
      </c>
      <c r="AF350" s="56">
        <f>IFERROR((VLOOKUP($A350,'Dados StatusInvest'!$A:$AZ,COLUMN(AF350)-$A$5,0)),0)</f>
        <v>1.64</v>
      </c>
      <c r="AG350" s="56">
        <f>IFERROR((VLOOKUP($A350,'Dados StatusInvest'!$A:$AZ,COLUMN(AG350)-$A$5,0)),0)</f>
        <v>0.3</v>
      </c>
      <c r="AH350" s="56">
        <f>IFERROR((VLOOKUP($A350,'Dados StatusInvest'!$A:$AZ,COLUMN(AH350)-$A$5,0)),0)</f>
        <v>-1.31</v>
      </c>
      <c r="AI350" s="57">
        <f>IFERROR((VLOOKUP($A350,'Dados StatusInvest'!$A:$AZ,COLUMN(AI350)-$A$5,0)),0)</f>
        <v>25178125681</v>
      </c>
      <c r="AJ350" s="59" t="str">
        <f>IFERROR((VLOOKUP($A350,'Dados StatusInvest'!$A:$AZ,COLUMN(AJ350)-$A$5,0)),0)</f>
        <v/>
      </c>
      <c r="AK350" s="60">
        <f>IFERROR(__xludf.DUMMYFUNCTION("IFERROR(GOOGLEFINANCE($A350,""high""),"""")"),4.03)</f>
        <v>4.03</v>
      </c>
      <c r="AL350" s="60">
        <f>IFERROR(__xludf.DUMMYFUNCTION("IFERROR(GOOGLEFINANCE($A350,""low""),"""")"),3.98)</f>
        <v>3.98</v>
      </c>
      <c r="AM350" s="61">
        <f t="shared" si="2"/>
        <v>0.01256281407</v>
      </c>
      <c r="AN350" s="62">
        <f>IFERROR(__xludf.DUMMYFUNCTION("IFERROR((GOOGLEFINANCE($A350,""volume"")),0)"),267000.0)</f>
        <v>267000</v>
      </c>
      <c r="AO350" s="60">
        <f>IFERROR(__xludf.DUMMYFUNCTION("IFERROR((GOOGLEFINANCE($A350,""closeyest"")),"""")"),4.03)</f>
        <v>4.03</v>
      </c>
      <c r="AP350" s="60">
        <f>IFERROR(__xludf.DUMMYFUNCTION("IFERROR((GOOGLEFINANCE($A350,""shares"")),"""")"),3.928678381E9)</f>
        <v>3928678381</v>
      </c>
      <c r="AQ350" s="18"/>
    </row>
    <row r="351">
      <c r="A351" s="45" t="str">
        <f>'Dados StatusInvest'!A346:A965</f>
        <v>KRSA3</v>
      </c>
      <c r="B351" s="46" t="str">
        <f>IFERROR(__xludf.DUMMYFUNCTION("IFERROR((GOOGLEFINANCE(A351,""name"")),"""")"),"")</f>
        <v/>
      </c>
      <c r="C351" s="46" t="str">
        <f>IFERROR((VLOOKUP(LEFT($A351,4),Setor!$A:$E,3,0)),"")</f>
        <v/>
      </c>
      <c r="D351" s="46" t="str">
        <f>IFERROR((VLOOKUP(LEFT($A351,4),Setor!$A:$E,4,0)),"")</f>
        <v/>
      </c>
      <c r="E351" s="46" t="str">
        <f>IFERROR((VLOOKUP(LEFT($A351,4),Setor!$A:$E,5,0)),"")</f>
        <v/>
      </c>
      <c r="F351" s="47" t="str">
        <f>IFERROR(__xludf.DUMMYFUNCTION("IFERROR((GOOGLEFINANCE(A351)),"""")"),"")</f>
        <v/>
      </c>
      <c r="G351" s="48" t="str">
        <f>IFERROR(__xludf.DUMMYFUNCTION("IFERROR((sparkline(GOOGLEFINANCE($A351,""price"",TODAY()-30,TODAY(),""DAILY""),{""charttype"",""line"";""linewidth"",1;""color"",""#5f88cc""})),"""")"),"")</f>
        <v/>
      </c>
      <c r="H351" s="49" t="str">
        <f>IFERROR(__xludf.DUMMYFUNCTION("IFERROR((((GOOGLEFINANCE(A351))-(INDEX(GoogleFinance(A351,""PRICE"",$AQ$1),2,2)))/(INDEX(GoogleFinance(A351,""PRICE"",$AQ$1),2,2))),"""")"),"")</f>
        <v/>
      </c>
      <c r="I351" s="47" t="str">
        <f>IFERROR(__xludf.DUMMYFUNCTION("IFERROR((GOOGLEFINANCE($A351,""high52"")),"""")"),"")</f>
        <v/>
      </c>
      <c r="J351" s="48" t="str">
        <f>IFERROR(__xludf.DUMMYFUNCTION("IFERROR((sparkline(GOOGLEFINANCE($A351,""price"",TODAY()-365,TODAY(),""DAILY""),{""charttype"",""line"";""linewidth"",1;""color"",""#5f88cc""})),"""")"),"")</f>
        <v/>
      </c>
      <c r="K351" s="50" t="str">
        <f>IFERROR(__xludf.DUMMYFUNCTION("IFERROR((((GOOGLEFINANCE(A351))-(INDEX(GoogleFinance(A351,""PRICE"",$AP$1),2,2)))/(INDEX(GoogleFinance(A351,""PRICE"",$AP$1),2,2))),"""")"),"")</f>
        <v/>
      </c>
      <c r="L351" s="51">
        <f t="shared" si="1"/>
        <v>0</v>
      </c>
      <c r="M351" s="52">
        <f>IFERROR((VLOOKUP($A351,'Dados StatusInvest'!$A:$AZ,COLUMN(M351)-$A$5,0)*VLOOKUP($A351,'Dados StatusInvest'!$A:$AZ,2,0)/$F351/100),0)</f>
        <v>0</v>
      </c>
      <c r="N351" s="53">
        <f>IFERROR((VLOOKUP($A351,'Dados StatusInvest'!$A:$AZ,COLUMN(N351)-$A$5,0)/VLOOKUP($A351,'Dados StatusInvest'!$A:$AZ,2,0)*$F351),"")</f>
        <v>0</v>
      </c>
      <c r="O351" s="53">
        <f>IFERROR((VLOOKUP($A351,'Dados StatusInvest'!$A:$AZ,COLUMN(O351)-$A$5,0)/VLOOKUP($A351,'Dados StatusInvest'!$A:$AZ,2,0)*$F351),0)</f>
        <v>0</v>
      </c>
      <c r="P351" s="54">
        <f>IFERROR((VLOOKUP($A351,'Dados StatusInvest'!$A:$AZ,COLUMN(P351)-$A$5,0)/VLOOKUP($A351,'Dados StatusInvest'!$A:$AZ,2,0)*$F351),0)</f>
        <v>0</v>
      </c>
      <c r="Q351" s="55">
        <f>IFERROR((VLOOKUP($A351,'Dados StatusInvest'!$A:$AZ,COLUMN(Q351)-$A$5,0)/100),0)</f>
        <v>0.1023</v>
      </c>
      <c r="R351" s="56">
        <f>VLOOKUP($A351,'Dados StatusInvest'!$A:$AZ,COLUMN(R351)-$A$5,0)</f>
        <v>5.2</v>
      </c>
      <c r="S351" s="56">
        <f>IFERROR((VLOOKUP($A351,'Dados StatusInvest'!$A:$AZ,COLUMN(S351)-$A$5,0)),0)</f>
        <v>0.29</v>
      </c>
      <c r="T351" s="53">
        <f>IFERROR((VLOOKUP($A351,'Dados StatusInvest'!$A:$AZ,COLUMN(T351)-$A$5,0)/VLOOKUP($A351,'Dados StatusInvest'!$A:$AZ,2,0)*$F351),0)</f>
        <v>0</v>
      </c>
      <c r="U351" s="53">
        <f>IFERROR((VLOOKUP($A351,'Dados StatusInvest'!$A:$AZ,COLUMN(U351)-$A$5,0)-VLOOKUP($A351,'Dados StatusInvest'!$A:$AZ,COLUMN(U351)-$A$5-1,0)+T351),0)</f>
        <v>-1.53</v>
      </c>
      <c r="V351" s="56">
        <f>IFERROR((VLOOKUP($A351,'Dados StatusInvest'!$A:$AZ,COLUMN(V351)-$A$5,0)),0)</f>
        <v>1.48</v>
      </c>
      <c r="W351" s="56">
        <f>IFERROR((VLOOKUP($A351,'Dados StatusInvest'!$A:$AZ,COLUMN(W351)-$A$5,0)),0)</f>
        <v>-58.89</v>
      </c>
      <c r="X351" s="53">
        <f>IFERROR((VLOOKUP($A351,'Dados StatusInvest'!$A:$AZ,COLUMN(X351)-$A$5,0)/VLOOKUP($A351,'Dados StatusInvest'!$A:$AZ,2,0)*$F351),0)</f>
        <v>0</v>
      </c>
      <c r="Y351" s="54">
        <f>IFERROR((VLOOKUP($A351,'Dados StatusInvest'!$A:$AZ,COLUMN(Y351)-$A$5,0)/VLOOKUP($A351,'Dados StatusInvest'!$A:$AZ,2,0)*$F351),0)</f>
        <v>0</v>
      </c>
      <c r="Z351" s="56">
        <f>IFERROR((VLOOKUP($A351,'Dados StatusInvest'!$A:$AZ,COLUMN(Z351)-$A$5,0)),0)</f>
        <v>0.12</v>
      </c>
      <c r="AA351" s="57">
        <f>IFERROR((VLOOKUP($A351,'Dados StatusInvest'!$A:$AZ,COLUMN(AA351)-$A$5,0)),0)</f>
        <v>0.87</v>
      </c>
      <c r="AB351" s="57">
        <f>IFERROR((VLOOKUP($A351,'Dados StatusInvest'!$A:$AZ,COLUMN(AB351)-$A$5,0)),0)</f>
        <v>0.47</v>
      </c>
      <c r="AC351" s="58">
        <f>IFERROR((VLOOKUP($A351,'Dados StatusInvest'!$A:$AZ,COLUMN(AC351)-$A$5,0)),0)</f>
        <v>38.69</v>
      </c>
      <c r="AD351" s="57">
        <f>IFERROR((VLOOKUP($A351,'Dados StatusInvest'!$A:$AZ,COLUMN(AD351)-$A$5,0)),0)</f>
        <v>0</v>
      </c>
      <c r="AE351" s="56">
        <f>IFERROR((VLOOKUP($A351,'Dados StatusInvest'!$A:$AZ,COLUMN(AE351)-$A$5,0)),0)</f>
        <v>0</v>
      </c>
      <c r="AF351" s="56">
        <f>IFERROR((VLOOKUP($A351,'Dados StatusInvest'!$A:$AZ,COLUMN(AF351)-$A$5,0)),0)</f>
        <v>7.41</v>
      </c>
      <c r="AG351" s="56">
        <f>IFERROR((VLOOKUP($A351,'Dados StatusInvest'!$A:$AZ,COLUMN(AG351)-$A$5,0)),0)</f>
        <v>-4.36</v>
      </c>
      <c r="AH351" s="56">
        <f>IFERROR((VLOOKUP($A351,'Dados StatusInvest'!$A:$AZ,COLUMN(AH351)-$A$5,0)),0)</f>
        <v>-0.01</v>
      </c>
      <c r="AI351" s="57">
        <f>IFERROR((VLOOKUP($A351,'Dados StatusInvest'!$A:$AZ,COLUMN(AI351)-$A$5,0)),0)</f>
        <v>685959729.2</v>
      </c>
      <c r="AJ351" s="59" t="str">
        <f>IFERROR((VLOOKUP($A351,'Dados StatusInvest'!$A:$AZ,COLUMN(AJ351)-$A$5,0)),0)</f>
        <v/>
      </c>
      <c r="AK351" s="60" t="str">
        <f>IFERROR(__xludf.DUMMYFUNCTION("IFERROR(GOOGLEFINANCE($A351,""high""),"""")"),"")</f>
        <v/>
      </c>
      <c r="AL351" s="60" t="str">
        <f>IFERROR(__xludf.DUMMYFUNCTION("IFERROR(GOOGLEFINANCE($A351,""low""),"""")"),"")</f>
        <v/>
      </c>
      <c r="AM351" s="61">
        <f t="shared" si="2"/>
        <v>0</v>
      </c>
      <c r="AN351" s="62">
        <f>IFERROR(__xludf.DUMMYFUNCTION("IFERROR((GOOGLEFINANCE($A351,""volume"")),0)"),0.0)</f>
        <v>0</v>
      </c>
      <c r="AO351" s="60" t="str">
        <f>IFERROR(__xludf.DUMMYFUNCTION("IFERROR((GOOGLEFINANCE($A351,""closeyest"")),"""")"),"")</f>
        <v/>
      </c>
      <c r="AP351" s="60" t="str">
        <f>IFERROR(__xludf.DUMMYFUNCTION("IFERROR((GOOGLEFINANCE($A351,""shares"")),"""")"),"")</f>
        <v/>
      </c>
      <c r="AQ351" s="18"/>
    </row>
    <row r="352">
      <c r="A352" s="45" t="str">
        <f>'Dados StatusInvest'!A347:A966</f>
        <v>LAME3</v>
      </c>
      <c r="B352" s="46" t="str">
        <f>IFERROR(__xludf.DUMMYFUNCTION("IFERROR((GOOGLEFINANCE(A352,""name"")),"""")"),"")</f>
        <v/>
      </c>
      <c r="C352" s="46" t="str">
        <f>IFERROR((VLOOKUP(LEFT($A352,4),Setor!$A:$E,3,0)),"")</f>
        <v>Consumo Cíclico</v>
      </c>
      <c r="D352" s="46" t="str">
        <f>IFERROR((VLOOKUP(LEFT($A352,4),Setor!$A:$E,4,0)),"")</f>
        <v>Comércio</v>
      </c>
      <c r="E352" s="46" t="str">
        <f>IFERROR((VLOOKUP(LEFT($A352,4),Setor!$A:$E,5,0)),"")</f>
        <v>Produtos Diversos</v>
      </c>
      <c r="F352" s="47" t="str">
        <f>IFERROR(__xludf.DUMMYFUNCTION("IFERROR((GOOGLEFINANCE(A352)),"""")"),"")</f>
        <v/>
      </c>
      <c r="G352" s="48" t="str">
        <f>IFERROR(__xludf.DUMMYFUNCTION("IFERROR((sparkline(GOOGLEFINANCE($A352,""price"",TODAY()-30,TODAY(),""DAILY""),{""charttype"",""line"";""linewidth"",1;""color"",""#5f88cc""})),"""")"),"")</f>
        <v/>
      </c>
      <c r="H352" s="49" t="str">
        <f>IFERROR(__xludf.DUMMYFUNCTION("IFERROR((((GOOGLEFINANCE(A352))-(INDEX(GoogleFinance(A352,""PRICE"",$AQ$1),2,2)))/(INDEX(GoogleFinance(A352,""PRICE"",$AQ$1),2,2))),"""")"),"")</f>
        <v/>
      </c>
      <c r="I352" s="47" t="str">
        <f>IFERROR(__xludf.DUMMYFUNCTION("IFERROR((GOOGLEFINANCE($A352,""high52"")),"""")"),"")</f>
        <v/>
      </c>
      <c r="J352" s="48" t="str">
        <f>IFERROR(__xludf.DUMMYFUNCTION("IFERROR((sparkline(GOOGLEFINANCE($A352,""price"",TODAY()-365,TODAY(),""DAILY""),{""charttype"",""line"";""linewidth"",1;""color"",""#5f88cc""})),"""")"),"")</f>
        <v/>
      </c>
      <c r="K352" s="50" t="str">
        <f>IFERROR(__xludf.DUMMYFUNCTION("IFERROR((((GOOGLEFINANCE(A352))-(INDEX(GoogleFinance(A352,""PRICE"",$AP$1),2,2)))/(INDEX(GoogleFinance(A352,""PRICE"",$AP$1),2,2))),"""")"),"")</f>
        <v/>
      </c>
      <c r="L352" s="51">
        <f t="shared" si="1"/>
        <v>0</v>
      </c>
      <c r="M352" s="52">
        <f>IFERROR((VLOOKUP($A352,'Dados StatusInvest'!$A:$AZ,COLUMN(M352)-$A$5,0)*VLOOKUP($A352,'Dados StatusInvest'!$A:$AZ,2,0)/$F352/100),0)</f>
        <v>0</v>
      </c>
      <c r="N352" s="53">
        <f>IFERROR((VLOOKUP($A352,'Dados StatusInvest'!$A:$AZ,COLUMN(N352)-$A$5,0)/VLOOKUP($A352,'Dados StatusInvest'!$A:$AZ,2,0)*$F352),"")</f>
        <v>0</v>
      </c>
      <c r="O352" s="53">
        <f>IFERROR((VLOOKUP($A352,'Dados StatusInvest'!$A:$AZ,COLUMN(O352)-$A$5,0)/VLOOKUP($A352,'Dados StatusInvest'!$A:$AZ,2,0)*$F352),0)</f>
        <v>0</v>
      </c>
      <c r="P352" s="54">
        <f>IFERROR((VLOOKUP($A352,'Dados StatusInvest'!$A:$AZ,COLUMN(P352)-$A$5,0)/VLOOKUP($A352,'Dados StatusInvest'!$A:$AZ,2,0)*$F352),0)</f>
        <v>0</v>
      </c>
      <c r="Q352" s="55">
        <f>IFERROR((VLOOKUP($A352,'Dados StatusInvest'!$A:$AZ,COLUMN(Q352)-$A$5,0)/100),0)</f>
        <v>0.0587</v>
      </c>
      <c r="R352" s="56">
        <f>VLOOKUP($A352,'Dados StatusInvest'!$A:$AZ,COLUMN(R352)-$A$5,0)</f>
        <v>1.01</v>
      </c>
      <c r="S352" s="56">
        <f>IFERROR((VLOOKUP($A352,'Dados StatusInvest'!$A:$AZ,COLUMN(S352)-$A$5,0)),0)</f>
        <v>0.48</v>
      </c>
      <c r="T352" s="53">
        <f>IFERROR((VLOOKUP($A352,'Dados StatusInvest'!$A:$AZ,COLUMN(T352)-$A$5,0)/VLOOKUP($A352,'Dados StatusInvest'!$A:$AZ,2,0)*$F352),0)</f>
        <v>0</v>
      </c>
      <c r="U352" s="53">
        <f>IFERROR((VLOOKUP($A352,'Dados StatusInvest'!$A:$AZ,COLUMN(U352)-$A$5,0)-VLOOKUP($A352,'Dados StatusInvest'!$A:$AZ,COLUMN(U352)-$A$5-1,0)+T352),0)</f>
        <v>-1.86</v>
      </c>
      <c r="V352" s="56">
        <f>IFERROR((VLOOKUP($A352,'Dados StatusInvest'!$A:$AZ,COLUMN(V352)-$A$5,0)),0)</f>
        <v>1.72</v>
      </c>
      <c r="W352" s="56">
        <f>IFERROR((VLOOKUP($A352,'Dados StatusInvest'!$A:$AZ,COLUMN(W352)-$A$5,0)),0)</f>
        <v>9.02</v>
      </c>
      <c r="X352" s="53">
        <f>IFERROR((VLOOKUP($A352,'Dados StatusInvest'!$A:$AZ,COLUMN(X352)-$A$5,0)/VLOOKUP($A352,'Dados StatusInvest'!$A:$AZ,2,0)*$F352),0)</f>
        <v>0</v>
      </c>
      <c r="Y352" s="54">
        <f>IFERROR((VLOOKUP($A352,'Dados StatusInvest'!$A:$AZ,COLUMN(Y352)-$A$5,0)/VLOOKUP($A352,'Dados StatusInvest'!$A:$AZ,2,0)*$F352),0)</f>
        <v>0</v>
      </c>
      <c r="Z352" s="56">
        <f>IFERROR((VLOOKUP($A352,'Dados StatusInvest'!$A:$AZ,COLUMN(Z352)-$A$5,0)),0)</f>
        <v>0.15</v>
      </c>
      <c r="AA352" s="57">
        <f>IFERROR((VLOOKUP($A352,'Dados StatusInvest'!$A:$AZ,COLUMN(AA352)-$A$5,0)),0)</f>
        <v>0.63</v>
      </c>
      <c r="AB352" s="57">
        <f>IFERROR((VLOOKUP($A352,'Dados StatusInvest'!$A:$AZ,COLUMN(AB352)-$A$5,0)),0)</f>
        <v>0.59</v>
      </c>
      <c r="AC352" s="58">
        <f>IFERROR((VLOOKUP($A352,'Dados StatusInvest'!$A:$AZ,COLUMN(AC352)-$A$5,0)),0)</f>
        <v>3.5</v>
      </c>
      <c r="AD352" s="57">
        <f>IFERROR((VLOOKUP($A352,'Dados StatusInvest'!$A:$AZ,COLUMN(AD352)-$A$5,0)),0)</f>
        <v>18.61</v>
      </c>
      <c r="AE352" s="56">
        <f>IFERROR((VLOOKUP($A352,'Dados StatusInvest'!$A:$AZ,COLUMN(AE352)-$A$5,0)),0)</f>
        <v>0</v>
      </c>
      <c r="AF352" s="56">
        <f>IFERROR((VLOOKUP($A352,'Dados StatusInvest'!$A:$AZ,COLUMN(AF352)-$A$5,0)),0)</f>
        <v>3.46</v>
      </c>
      <c r="AG352" s="56">
        <f>IFERROR((VLOOKUP($A352,'Dados StatusInvest'!$A:$AZ,COLUMN(AG352)-$A$5,0)),0)</f>
        <v>0.31</v>
      </c>
      <c r="AH352" s="56">
        <f>IFERROR((VLOOKUP($A352,'Dados StatusInvest'!$A:$AZ,COLUMN(AH352)-$A$5,0)),0)</f>
        <v>-46.97</v>
      </c>
      <c r="AI352" s="57">
        <f>IFERROR((VLOOKUP($A352,'Dados StatusInvest'!$A:$AZ,COLUMN(AI352)-$A$5,0)),0)</f>
        <v>12391135397</v>
      </c>
      <c r="AJ352" s="59" t="str">
        <f>IFERROR((VLOOKUP($A352,'Dados StatusInvest'!$A:$AZ,COLUMN(AJ352)-$A$5,0)),0)</f>
        <v/>
      </c>
      <c r="AK352" s="60" t="str">
        <f>IFERROR(__xludf.DUMMYFUNCTION("IFERROR(GOOGLEFINANCE($A352,""high""),"""")"),"")</f>
        <v/>
      </c>
      <c r="AL352" s="60" t="str">
        <f>IFERROR(__xludf.DUMMYFUNCTION("IFERROR(GOOGLEFINANCE($A352,""low""),"""")"),"")</f>
        <v/>
      </c>
      <c r="AM352" s="61">
        <f t="shared" si="2"/>
        <v>0</v>
      </c>
      <c r="AN352" s="62">
        <f>IFERROR(__xludf.DUMMYFUNCTION("IFERROR((GOOGLEFINANCE($A352,""volume"")),0)"),0.0)</f>
        <v>0</v>
      </c>
      <c r="AO352" s="60" t="str">
        <f>IFERROR(__xludf.DUMMYFUNCTION("IFERROR((GOOGLEFINANCE($A352,""closeyest"")),"""")"),"")</f>
        <v/>
      </c>
      <c r="AP352" s="60" t="str">
        <f>IFERROR(__xludf.DUMMYFUNCTION("IFERROR((GOOGLEFINANCE($A352,""shares"")),"""")"),"")</f>
        <v/>
      </c>
      <c r="AQ352" s="18"/>
    </row>
    <row r="353">
      <c r="A353" s="45" t="str">
        <f>'Dados StatusInvest'!A348:A967</f>
        <v>LAME4</v>
      </c>
      <c r="B353" s="46" t="str">
        <f>IFERROR(__xludf.DUMMYFUNCTION("IFERROR((GOOGLEFINANCE(A353,""name"")),"""")"),"")</f>
        <v/>
      </c>
      <c r="C353" s="46" t="str">
        <f>IFERROR((VLOOKUP(LEFT($A353,4),Setor!$A:$E,3,0)),"")</f>
        <v>Consumo Cíclico</v>
      </c>
      <c r="D353" s="46" t="str">
        <f>IFERROR((VLOOKUP(LEFT($A353,4),Setor!$A:$E,4,0)),"")</f>
        <v>Comércio</v>
      </c>
      <c r="E353" s="46" t="str">
        <f>IFERROR((VLOOKUP(LEFT($A353,4),Setor!$A:$E,5,0)),"")</f>
        <v>Produtos Diversos</v>
      </c>
      <c r="F353" s="47" t="str">
        <f>IFERROR(__xludf.DUMMYFUNCTION("IFERROR((GOOGLEFINANCE(A353)),"""")"),"")</f>
        <v/>
      </c>
      <c r="G353" s="48" t="str">
        <f>IFERROR(__xludf.DUMMYFUNCTION("IFERROR((sparkline(GOOGLEFINANCE($A353,""price"",TODAY()-30,TODAY(),""DAILY""),{""charttype"",""line"";""linewidth"",1;""color"",""#5f88cc""})),"""")"),"")</f>
        <v/>
      </c>
      <c r="H353" s="49" t="str">
        <f>IFERROR(__xludf.DUMMYFUNCTION("IFERROR((((GOOGLEFINANCE(A353))-(INDEX(GoogleFinance(A353,""PRICE"",$AQ$1),2,2)))/(INDEX(GoogleFinance(A353,""PRICE"",$AQ$1),2,2))),"""")"),"")</f>
        <v/>
      </c>
      <c r="I353" s="47" t="str">
        <f>IFERROR(__xludf.DUMMYFUNCTION("IFERROR((GOOGLEFINANCE($A353,""high52"")),"""")"),"")</f>
        <v/>
      </c>
      <c r="J353" s="48" t="str">
        <f>IFERROR(__xludf.DUMMYFUNCTION("IFERROR((sparkline(GOOGLEFINANCE($A353,""price"",TODAY()-365,TODAY(),""DAILY""),{""charttype"",""line"";""linewidth"",1;""color"",""#5f88cc""})),"""")"),"")</f>
        <v/>
      </c>
      <c r="K353" s="50" t="str">
        <f>IFERROR(__xludf.DUMMYFUNCTION("IFERROR((((GOOGLEFINANCE(A353))-(INDEX(GoogleFinance(A353,""PRICE"",$AP$1),2,2)))/(INDEX(GoogleFinance(A353,""PRICE"",$AP$1),2,2))),"""")"),"")</f>
        <v/>
      </c>
      <c r="L353" s="51">
        <f t="shared" si="1"/>
        <v>0</v>
      </c>
      <c r="M353" s="52">
        <f>IFERROR((VLOOKUP($A353,'Dados StatusInvest'!$A:$AZ,COLUMN(M353)-$A$5,0)*VLOOKUP($A353,'Dados StatusInvest'!$A:$AZ,2,0)/$F353/100),0)</f>
        <v>0</v>
      </c>
      <c r="N353" s="53">
        <f>IFERROR((VLOOKUP($A353,'Dados StatusInvest'!$A:$AZ,COLUMN(N353)-$A$5,0)/VLOOKUP($A353,'Dados StatusInvest'!$A:$AZ,2,0)*$F353),"")</f>
        <v>0</v>
      </c>
      <c r="O353" s="53">
        <f>IFERROR((VLOOKUP($A353,'Dados StatusInvest'!$A:$AZ,COLUMN(O353)-$A$5,0)/VLOOKUP($A353,'Dados StatusInvest'!$A:$AZ,2,0)*$F353),0)</f>
        <v>0</v>
      </c>
      <c r="P353" s="54">
        <f>IFERROR((VLOOKUP($A353,'Dados StatusInvest'!$A:$AZ,COLUMN(P353)-$A$5,0)/VLOOKUP($A353,'Dados StatusInvest'!$A:$AZ,2,0)*$F353),0)</f>
        <v>0</v>
      </c>
      <c r="Q353" s="55">
        <f>IFERROR((VLOOKUP($A353,'Dados StatusInvest'!$A:$AZ,COLUMN(Q353)-$A$5,0)/100),0)</f>
        <v>0.0587</v>
      </c>
      <c r="R353" s="56">
        <f>VLOOKUP($A353,'Dados StatusInvest'!$A:$AZ,COLUMN(R353)-$A$5,0)</f>
        <v>1.01</v>
      </c>
      <c r="S353" s="56">
        <f>IFERROR((VLOOKUP($A353,'Dados StatusInvest'!$A:$AZ,COLUMN(S353)-$A$5,0)),0)</f>
        <v>0.48</v>
      </c>
      <c r="T353" s="53">
        <f>IFERROR((VLOOKUP($A353,'Dados StatusInvest'!$A:$AZ,COLUMN(T353)-$A$5,0)/VLOOKUP($A353,'Dados StatusInvest'!$A:$AZ,2,0)*$F353),0)</f>
        <v>0</v>
      </c>
      <c r="U353" s="53">
        <f>IFERROR((VLOOKUP($A353,'Dados StatusInvest'!$A:$AZ,COLUMN(U353)-$A$5,0)-VLOOKUP($A353,'Dados StatusInvest'!$A:$AZ,COLUMN(U353)-$A$5-1,0)+T353),0)</f>
        <v>-1.84</v>
      </c>
      <c r="V353" s="56">
        <f>IFERROR((VLOOKUP($A353,'Dados StatusInvest'!$A:$AZ,COLUMN(V353)-$A$5,0)),0)</f>
        <v>1.72</v>
      </c>
      <c r="W353" s="56">
        <f>IFERROR((VLOOKUP($A353,'Dados StatusInvest'!$A:$AZ,COLUMN(W353)-$A$5,0)),0)</f>
        <v>9.02</v>
      </c>
      <c r="X353" s="53">
        <f>IFERROR((VLOOKUP($A353,'Dados StatusInvest'!$A:$AZ,COLUMN(X353)-$A$5,0)/VLOOKUP($A353,'Dados StatusInvest'!$A:$AZ,2,0)*$F353),0)</f>
        <v>0</v>
      </c>
      <c r="Y353" s="54">
        <f>IFERROR((VLOOKUP($A353,'Dados StatusInvest'!$A:$AZ,COLUMN(Y353)-$A$5,0)/VLOOKUP($A353,'Dados StatusInvest'!$A:$AZ,2,0)*$F353),0)</f>
        <v>0</v>
      </c>
      <c r="Z353" s="56">
        <f>IFERROR((VLOOKUP($A353,'Dados StatusInvest'!$A:$AZ,COLUMN(Z353)-$A$5,0)),0)</f>
        <v>0.15</v>
      </c>
      <c r="AA353" s="57">
        <f>IFERROR((VLOOKUP($A353,'Dados StatusInvest'!$A:$AZ,COLUMN(AA353)-$A$5,0)),0)</f>
        <v>0.63</v>
      </c>
      <c r="AB353" s="57">
        <f>IFERROR((VLOOKUP($A353,'Dados StatusInvest'!$A:$AZ,COLUMN(AB353)-$A$5,0)),0)</f>
        <v>0.59</v>
      </c>
      <c r="AC353" s="58">
        <f>IFERROR((VLOOKUP($A353,'Dados StatusInvest'!$A:$AZ,COLUMN(AC353)-$A$5,0)),0)</f>
        <v>3.5</v>
      </c>
      <c r="AD353" s="57">
        <f>IFERROR((VLOOKUP($A353,'Dados StatusInvest'!$A:$AZ,COLUMN(AD353)-$A$5,0)),0)</f>
        <v>18.61</v>
      </c>
      <c r="AE353" s="56">
        <f>IFERROR((VLOOKUP($A353,'Dados StatusInvest'!$A:$AZ,COLUMN(AE353)-$A$5,0)),0)</f>
        <v>0</v>
      </c>
      <c r="AF353" s="56">
        <f>IFERROR((VLOOKUP($A353,'Dados StatusInvest'!$A:$AZ,COLUMN(AF353)-$A$5,0)),0)</f>
        <v>3.46</v>
      </c>
      <c r="AG353" s="56">
        <f>IFERROR((VLOOKUP($A353,'Dados StatusInvest'!$A:$AZ,COLUMN(AG353)-$A$5,0)),0)</f>
        <v>0.31</v>
      </c>
      <c r="AH353" s="56">
        <f>IFERROR((VLOOKUP($A353,'Dados StatusInvest'!$A:$AZ,COLUMN(AH353)-$A$5,0)),0)</f>
        <v>-46.75</v>
      </c>
      <c r="AI353" s="57">
        <f>IFERROR((VLOOKUP($A353,'Dados StatusInvest'!$A:$AZ,COLUMN(AI353)-$A$5,0)),0)</f>
        <v>12391135397</v>
      </c>
      <c r="AJ353" s="59" t="str">
        <f>IFERROR((VLOOKUP($A353,'Dados StatusInvest'!$A:$AZ,COLUMN(AJ353)-$A$5,0)),0)</f>
        <v/>
      </c>
      <c r="AK353" s="60" t="str">
        <f>IFERROR(__xludf.DUMMYFUNCTION("IFERROR(GOOGLEFINANCE($A353,""high""),"""")"),"")</f>
        <v/>
      </c>
      <c r="AL353" s="60" t="str">
        <f>IFERROR(__xludf.DUMMYFUNCTION("IFERROR(GOOGLEFINANCE($A353,""low""),"""")"),"")</f>
        <v/>
      </c>
      <c r="AM353" s="61">
        <f t="shared" si="2"/>
        <v>0</v>
      </c>
      <c r="AN353" s="62">
        <f>IFERROR(__xludf.DUMMYFUNCTION("IFERROR((GOOGLEFINANCE($A353,""volume"")),0)"),0.0)</f>
        <v>0</v>
      </c>
      <c r="AO353" s="60" t="str">
        <f>IFERROR(__xludf.DUMMYFUNCTION("IFERROR((GOOGLEFINANCE($A353,""closeyest"")),"""")"),"")</f>
        <v/>
      </c>
      <c r="AP353" s="60" t="str">
        <f>IFERROR(__xludf.DUMMYFUNCTION("IFERROR((GOOGLEFINANCE($A353,""shares"")),"""")"),"")</f>
        <v/>
      </c>
      <c r="AQ353" s="18"/>
    </row>
    <row r="354">
      <c r="A354" s="45" t="str">
        <f>'Dados StatusInvest'!A349:A968</f>
        <v>LAND3</v>
      </c>
      <c r="B354" s="46" t="str">
        <f>IFERROR(__xludf.DUMMYFUNCTION("IFERROR((GOOGLEFINANCE(A354,""name"")),"""")"),"Terra Santa Propriedades Agricolas SA")</f>
        <v>Terra Santa Propriedades Agricolas SA</v>
      </c>
      <c r="C354" s="46" t="str">
        <f>IFERROR((VLOOKUP(LEFT($A354,4),Setor!$A:$E,3,0)),"")</f>
        <v/>
      </c>
      <c r="D354" s="46" t="str">
        <f>IFERROR((VLOOKUP(LEFT($A354,4),Setor!$A:$E,4,0)),"")</f>
        <v/>
      </c>
      <c r="E354" s="46" t="str">
        <f>IFERROR((VLOOKUP(LEFT($A354,4),Setor!$A:$E,5,0)),"")</f>
        <v/>
      </c>
      <c r="F354" s="47">
        <f>IFERROR(__xludf.DUMMYFUNCTION("IFERROR((GOOGLEFINANCE(A354)),"""")"),8.45)</f>
        <v>8.45</v>
      </c>
      <c r="G354" s="48" t="str">
        <f>IFERROR(__xludf.DUMMYFUNCTION("IFERROR((sparkline(GOOGLEFINANCE($A354,""price"",TODAY()-30,TODAY(),""DAILY""),{""charttype"",""line"";""linewidth"",1;""color"",""#5f88cc""})),"""")"),"")</f>
        <v/>
      </c>
      <c r="H354" s="49">
        <f>IFERROR(__xludf.DUMMYFUNCTION("IFERROR((((GOOGLEFINANCE(A354))-(INDEX(GoogleFinance(A354,""PRICE"",$AQ$1),2,2)))/(INDEX(GoogleFinance(A354,""PRICE"",$AQ$1),2,2))),"""")"),-0.004711425206124962)</f>
        <v>-0.004711425206</v>
      </c>
      <c r="I354" s="47">
        <f>IFERROR(__xludf.DUMMYFUNCTION("IFERROR((GOOGLEFINANCE($A354,""high52"")),"""")"),15.91)</f>
        <v>15.91</v>
      </c>
      <c r="J354" s="48" t="str">
        <f>IFERROR(__xludf.DUMMYFUNCTION("IFERROR((sparkline(GOOGLEFINANCE($A354,""price"",TODAY()-365,TODAY(),""DAILY""),{""charttype"",""line"";""linewidth"",1;""color"",""#5f88cc""})),"""")"),"")</f>
        <v/>
      </c>
      <c r="K354" s="50">
        <f>IFERROR(__xludf.DUMMYFUNCTION("IFERROR((((GOOGLEFINANCE(A354))-(INDEX(GoogleFinance(A354,""PRICE"",$AP$1),2,2)))/(INDEX(GoogleFinance(A354,""PRICE"",$AP$1),2,2))),"""")"),-0.4437129690585912)</f>
        <v>-0.4437129691</v>
      </c>
      <c r="L354" s="51">
        <f t="shared" si="1"/>
        <v>-0.4688874921</v>
      </c>
      <c r="M354" s="52">
        <f>IFERROR((VLOOKUP($A354,'Dados StatusInvest'!$A:$AZ,COLUMN(M354)-$A$5,0)*VLOOKUP($A354,'Dados StatusInvest'!$A:$AZ,2,0)/$F354/100),0)</f>
        <v>-0.1001</v>
      </c>
      <c r="N354" s="53">
        <f>IFERROR((VLOOKUP($A354,'Dados StatusInvest'!$A:$AZ,COLUMN(N354)-$A$5,0)/VLOOKUP($A354,'Dados StatusInvest'!$A:$AZ,2,0)*$F354),"")</f>
        <v>-10.41</v>
      </c>
      <c r="O354" s="53">
        <f>IFERROR((VLOOKUP($A354,'Dados StatusInvest'!$A:$AZ,COLUMN(O354)-$A$5,0)/VLOOKUP($A354,'Dados StatusInvest'!$A:$AZ,2,0)*$F354),0)</f>
        <v>-90.03</v>
      </c>
      <c r="P354" s="54">
        <f>IFERROR((VLOOKUP($A354,'Dados StatusInvest'!$A:$AZ,COLUMN(P354)-$A$5,0)/VLOOKUP($A354,'Dados StatusInvest'!$A:$AZ,2,0)*$F354),0)</f>
        <v>-94.92</v>
      </c>
      <c r="Q354" s="55">
        <f>IFERROR((VLOOKUP($A354,'Dados StatusInvest'!$A:$AZ,COLUMN(Q354)-$A$5,0)/100),0)</f>
        <v>-0.0489</v>
      </c>
      <c r="R354" s="56">
        <f>VLOOKUP($A354,'Dados StatusInvest'!$A:$AZ,COLUMN(R354)-$A$5,0)</f>
        <v>0.07</v>
      </c>
      <c r="S354" s="56">
        <f>IFERROR((VLOOKUP($A354,'Dados StatusInvest'!$A:$AZ,COLUMN(S354)-$A$5,0)),0)</f>
        <v>9.02</v>
      </c>
      <c r="T354" s="53">
        <f>IFERROR((VLOOKUP($A354,'Dados StatusInvest'!$A:$AZ,COLUMN(T354)-$A$5,0)/VLOOKUP($A354,'Dados StatusInvest'!$A:$AZ,2,0)*$F354),0)</f>
        <v>-75.24</v>
      </c>
      <c r="U354" s="53">
        <f>IFERROR((VLOOKUP($A354,'Dados StatusInvest'!$A:$AZ,COLUMN(U354)-$A$5,0)-VLOOKUP($A354,'Dados StatusInvest'!$A:$AZ,COLUMN(U354)-$A$5-1,0)+T354),0)</f>
        <v>-1.01</v>
      </c>
      <c r="V354" s="56">
        <f>IFERROR((VLOOKUP($A354,'Dados StatusInvest'!$A:$AZ,COLUMN(V354)-$A$5,0)),0)</f>
        <v>0.82</v>
      </c>
      <c r="W354" s="56">
        <f>IFERROR((VLOOKUP($A354,'Dados StatusInvest'!$A:$AZ,COLUMN(W354)-$A$5,0)),0)</f>
        <v>-1.44</v>
      </c>
      <c r="X354" s="53">
        <f>IFERROR((VLOOKUP($A354,'Dados StatusInvest'!$A:$AZ,COLUMN(X354)-$A$5,0)/VLOOKUP($A354,'Dados StatusInvest'!$A:$AZ,2,0)*$F354),0)</f>
        <v>-1.1</v>
      </c>
      <c r="Y354" s="54">
        <f>IFERROR((VLOOKUP($A354,'Dados StatusInvest'!$A:$AZ,COLUMN(Y354)-$A$5,0)/VLOOKUP($A354,'Dados StatusInvest'!$A:$AZ,2,0)*$F354),0)</f>
        <v>-5.1</v>
      </c>
      <c r="Z354" s="56">
        <f>IFERROR((VLOOKUP($A354,'Dados StatusInvest'!$A:$AZ,COLUMN(Z354)-$A$5,0)),0)</f>
        <v>0.76</v>
      </c>
      <c r="AA354" s="57">
        <f>IFERROR((VLOOKUP($A354,'Dados StatusInvest'!$A:$AZ,COLUMN(AA354)-$A$5,0)),0)</f>
        <v>0.24</v>
      </c>
      <c r="AB354" s="57">
        <f>IFERROR((VLOOKUP($A354,'Dados StatusInvest'!$A:$AZ,COLUMN(AB354)-$A$5,0)),0)</f>
        <v>0.11</v>
      </c>
      <c r="AC354" s="58">
        <f>IFERROR((VLOOKUP($A354,'Dados StatusInvest'!$A:$AZ,COLUMN(AC354)-$A$5,0)),0)</f>
        <v>13.88</v>
      </c>
      <c r="AD354" s="57">
        <f>IFERROR((VLOOKUP($A354,'Dados StatusInvest'!$A:$AZ,COLUMN(AD354)-$A$5,0)),0)</f>
        <v>0</v>
      </c>
      <c r="AE354" s="56">
        <f>IFERROR((VLOOKUP($A354,'Dados StatusInvest'!$A:$AZ,COLUMN(AE354)-$A$5,0)),0)</f>
        <v>394016.4</v>
      </c>
      <c r="AF354" s="56">
        <f>IFERROR((VLOOKUP($A354,'Dados StatusInvest'!$A:$AZ,COLUMN(AF354)-$A$5,0)),0)</f>
        <v>6.78</v>
      </c>
      <c r="AG354" s="56">
        <f>IFERROR((VLOOKUP($A354,'Dados StatusInvest'!$A:$AZ,COLUMN(AG354)-$A$5,0)),0)</f>
        <v>-0.1</v>
      </c>
      <c r="AH354" s="56">
        <f>IFERROR((VLOOKUP($A354,'Dados StatusInvest'!$A:$AZ,COLUMN(AH354)-$A$5,0)),0)</f>
        <v>0.64</v>
      </c>
      <c r="AI354" s="57">
        <f>IFERROR((VLOOKUP($A354,'Dados StatusInvest'!$A:$AZ,COLUMN(AI354)-$A$5,0)),0)</f>
        <v>813117828.9</v>
      </c>
      <c r="AJ354" s="59" t="str">
        <f>IFERROR((VLOOKUP($A354,'Dados StatusInvest'!$A:$AZ,COLUMN(AJ354)-$A$5,0)),0)</f>
        <v/>
      </c>
      <c r="AK354" s="60">
        <f>IFERROR(__xludf.DUMMYFUNCTION("IFERROR(GOOGLEFINANCE($A354,""high""),"""")"),8.45)</f>
        <v>8.45</v>
      </c>
      <c r="AL354" s="60">
        <f>IFERROR(__xludf.DUMMYFUNCTION("IFERROR(GOOGLEFINANCE($A354,""low""),"""")"),8.45)</f>
        <v>8.45</v>
      </c>
      <c r="AM354" s="61">
        <f t="shared" si="2"/>
        <v>0</v>
      </c>
      <c r="AN354" s="62">
        <f>IFERROR(__xludf.DUMMYFUNCTION("IFERROR((GOOGLEFINANCE($A354,""volume"")),0)"),100.0)</f>
        <v>100</v>
      </c>
      <c r="AO354" s="60">
        <f>IFERROR(__xludf.DUMMYFUNCTION("IFERROR((GOOGLEFINANCE($A354,""closeyest"")),"""")"),8.45)</f>
        <v>8.45</v>
      </c>
      <c r="AP354" s="60">
        <f>IFERROR(__xludf.DUMMYFUNCTION("IFERROR((GOOGLEFINANCE($A354,""shares"")),"""")"),9.6226962E7)</f>
        <v>96226962</v>
      </c>
      <c r="AQ354" s="18"/>
    </row>
    <row r="355">
      <c r="A355" s="45" t="str">
        <f>'Dados StatusInvest'!A350:A969</f>
        <v>LAVV3</v>
      </c>
      <c r="B355" s="46" t="str">
        <f>IFERROR(__xludf.DUMMYFUNCTION("IFERROR((GOOGLEFINANCE(A355,""name"")),"""")"),"Lavvi Empreendimentos Imobiliarios S/A")</f>
        <v>Lavvi Empreendimentos Imobiliarios S/A</v>
      </c>
      <c r="C355" s="46" t="str">
        <f>IFERROR((VLOOKUP(LEFT($A355,4),Setor!$A:$E,3,0)),"")</f>
        <v>Consumo Cíclico</v>
      </c>
      <c r="D355" s="46" t="str">
        <f>IFERROR((VLOOKUP(LEFT($A355,4),Setor!$A:$E,4,0)),"")</f>
        <v>Construção Civil</v>
      </c>
      <c r="E355" s="46" t="str">
        <f>IFERROR((VLOOKUP(LEFT($A355,4),Setor!$A:$E,5,0)),"")</f>
        <v>Incorporações</v>
      </c>
      <c r="F355" s="47">
        <f>IFERROR(__xludf.DUMMYFUNCTION("IFERROR((GOOGLEFINANCE(A355)),"""")"),18.44)</f>
        <v>18.44</v>
      </c>
      <c r="G355" s="48" t="str">
        <f>IFERROR(__xludf.DUMMYFUNCTION("IFERROR((sparkline(GOOGLEFINANCE($A355,""price"",TODAY()-30,TODAY(),""DAILY""),{""charttype"",""line"";""linewidth"",1;""color"",""#5f88cc""})),"""")"),"")</f>
        <v/>
      </c>
      <c r="H355" s="49">
        <f>IFERROR(__xludf.DUMMYFUNCTION("IFERROR((((GOOGLEFINANCE(A355))-(INDEX(GoogleFinance(A355,""PRICE"",$AQ$1),2,2)))/(INDEX(GoogleFinance(A355,""PRICE"",$AQ$1),2,2))),"""")"),0.121654501216545)</f>
        <v>0.1216545012</v>
      </c>
      <c r="I355" s="47">
        <f>IFERROR(__xludf.DUMMYFUNCTION("IFERROR((GOOGLEFINANCE($A355,""high52"")),"""")"),18.65)</f>
        <v>18.65</v>
      </c>
      <c r="J355" s="48" t="str">
        <f>IFERROR(__xludf.DUMMYFUNCTION("IFERROR((sparkline(GOOGLEFINANCE($A355,""price"",TODAY()-365,TODAY(),""DAILY""),{""charttype"",""line"";""linewidth"",1;""color"",""#5f88cc""})),"""")"),"")</f>
        <v/>
      </c>
      <c r="K355" s="50">
        <f>IFERROR(__xludf.DUMMYFUNCTION("IFERROR((((GOOGLEFINANCE(A355))-(INDEX(GoogleFinance(A355,""PRICE"",$AP$1),2,2)))/(INDEX(GoogleFinance(A355,""PRICE"",$AP$1),2,2))),"""")"),1.0954545454545455)</f>
        <v>1.095454545</v>
      </c>
      <c r="L355" s="51">
        <f t="shared" si="1"/>
        <v>-0.01126005362</v>
      </c>
      <c r="M355" s="52">
        <f>IFERROR((VLOOKUP($A355,'Dados StatusInvest'!$A:$AZ,COLUMN(M355)-$A$5,0)*VLOOKUP($A355,'Dados StatusInvest'!$A:$AZ,2,0)/$F355/100),0)</f>
        <v>0.2841507592</v>
      </c>
      <c r="N355" s="53">
        <f>IFERROR((VLOOKUP($A355,'Dados StatusInvest'!$A:$AZ,COLUMN(N355)-$A$5,0)/VLOOKUP($A355,'Dados StatusInvest'!$A:$AZ,2,0)*$F355),"")</f>
        <v>23.46460385</v>
      </c>
      <c r="O355" s="53">
        <f>IFERROR((VLOOKUP($A355,'Dados StatusInvest'!$A:$AZ,COLUMN(O355)-$A$5,0)/VLOOKUP($A355,'Dados StatusInvest'!$A:$AZ,2,0)*$F355),0)</f>
        <v>7.107494647</v>
      </c>
      <c r="P355" s="54">
        <f>IFERROR((VLOOKUP($A355,'Dados StatusInvest'!$A:$AZ,COLUMN(P355)-$A$5,0)/VLOOKUP($A355,'Dados StatusInvest'!$A:$AZ,2,0)*$F355),0)</f>
        <v>7.275310493</v>
      </c>
      <c r="Q355" s="55">
        <f>IFERROR((VLOOKUP($A355,'Dados StatusInvest'!$A:$AZ,COLUMN(Q355)-$A$5,0)/100),0)</f>
        <v>0.0016</v>
      </c>
      <c r="R355" s="56">
        <f>VLOOKUP($A355,'Dados StatusInvest'!$A:$AZ,COLUMN(R355)-$A$5,0)</f>
        <v>0.05</v>
      </c>
      <c r="S355" s="56">
        <f>IFERROR((VLOOKUP($A355,'Dados StatusInvest'!$A:$AZ,COLUMN(S355)-$A$5,0)),0)</f>
        <v>2.02</v>
      </c>
      <c r="T355" s="53">
        <f>IFERROR((VLOOKUP($A355,'Dados StatusInvest'!$A:$AZ,COLUMN(T355)-$A$5,0)/VLOOKUP($A355,'Dados StatusInvest'!$A:$AZ,2,0)*$F355),0)</f>
        <v>1.609057816</v>
      </c>
      <c r="U355" s="53">
        <f>IFERROR((VLOOKUP($A355,'Dados StatusInvest'!$A:$AZ,COLUMN(U355)-$A$5,0)-VLOOKUP($A355,'Dados StatusInvest'!$A:$AZ,COLUMN(U355)-$A$5-1,0)+T355),0)</f>
        <v>-4.100942184</v>
      </c>
      <c r="V355" s="56">
        <f>IFERROR((VLOOKUP($A355,'Dados StatusInvest'!$A:$AZ,COLUMN(V355)-$A$5,0)),0)</f>
        <v>3.52</v>
      </c>
      <c r="W355" s="56">
        <f>IFERROR((VLOOKUP($A355,'Dados StatusInvest'!$A:$AZ,COLUMN(W355)-$A$5,0)),0)</f>
        <v>27.83</v>
      </c>
      <c r="X355" s="53">
        <f>IFERROR((VLOOKUP($A355,'Dados StatusInvest'!$A:$AZ,COLUMN(X355)-$A$5,0)/VLOOKUP($A355,'Dados StatusInvest'!$A:$AZ,2,0)*$F355),0)</f>
        <v>10.55265525</v>
      </c>
      <c r="Y355" s="54">
        <f>IFERROR((VLOOKUP($A355,'Dados StatusInvest'!$A:$AZ,COLUMN(Y355)-$A$5,0)/VLOOKUP($A355,'Dados StatusInvest'!$A:$AZ,2,0)*$F355),0)</f>
        <v>16.55453961</v>
      </c>
      <c r="Z355" s="56">
        <f>IFERROR((VLOOKUP($A355,'Dados StatusInvest'!$A:$AZ,COLUMN(Z355)-$A$5,0)),0)</f>
        <v>0.38</v>
      </c>
      <c r="AA355" s="57">
        <f>IFERROR((VLOOKUP($A355,'Dados StatusInvest'!$A:$AZ,COLUMN(AA355)-$A$5,0)),0)</f>
        <v>0.55</v>
      </c>
      <c r="AB355" s="57">
        <f>IFERROR((VLOOKUP($A355,'Dados StatusInvest'!$A:$AZ,COLUMN(AB355)-$A$5,0)),0)</f>
        <v>0.45</v>
      </c>
      <c r="AC355" s="58">
        <f>IFERROR((VLOOKUP($A355,'Dados StatusInvest'!$A:$AZ,COLUMN(AC355)-$A$5,0)),0)</f>
        <v>51.55</v>
      </c>
      <c r="AD355" s="57">
        <f>IFERROR((VLOOKUP($A355,'Dados StatusInvest'!$A:$AZ,COLUMN(AD355)-$A$5,0)),0)</f>
        <v>57.55</v>
      </c>
      <c r="AE355" s="56">
        <f>IFERROR((VLOOKUP($A355,'Dados StatusInvest'!$A:$AZ,COLUMN(AE355)-$A$5,0)),0)</f>
        <v>11827239</v>
      </c>
      <c r="AF355" s="56">
        <f>IFERROR((VLOOKUP($A355,'Dados StatusInvest'!$A:$AZ,COLUMN(AF355)-$A$5,0)),0)</f>
        <v>7.89</v>
      </c>
      <c r="AG355" s="56">
        <f>IFERROR((VLOOKUP($A355,'Dados StatusInvest'!$A:$AZ,COLUMN(AG355)-$A$5,0)),0)</f>
        <v>2.2</v>
      </c>
      <c r="AH355" s="56">
        <f>IFERROR((VLOOKUP($A355,'Dados StatusInvest'!$A:$AZ,COLUMN(AH355)-$A$5,0)),0)</f>
        <v>0.22</v>
      </c>
      <c r="AI355" s="57">
        <f>IFERROR((VLOOKUP($A355,'Dados StatusInvest'!$A:$AZ,COLUMN(AI355)-$A$5,0)),0)</f>
        <v>3650713695</v>
      </c>
      <c r="AJ355" s="59" t="str">
        <f>IFERROR((VLOOKUP($A355,'Dados StatusInvest'!$A:$AZ,COLUMN(AJ355)-$A$5,0)),0)</f>
        <v/>
      </c>
      <c r="AK355" s="60">
        <f>IFERROR(__xludf.DUMMYFUNCTION("IFERROR(GOOGLEFINANCE($A355,""high""),"""")"),18.65)</f>
        <v>18.65</v>
      </c>
      <c r="AL355" s="60">
        <f>IFERROR(__xludf.DUMMYFUNCTION("IFERROR(GOOGLEFINANCE($A355,""low""),"""")"),18.43)</f>
        <v>18.43</v>
      </c>
      <c r="AM355" s="61">
        <f t="shared" si="2"/>
        <v>0.01193705914</v>
      </c>
      <c r="AN355" s="62">
        <f>IFERROR(__xludf.DUMMYFUNCTION("IFERROR((GOOGLEFINANCE($A355,""volume"")),0)"),11900.0)</f>
        <v>11900</v>
      </c>
      <c r="AO355" s="60">
        <f>IFERROR(__xludf.DUMMYFUNCTION("IFERROR((GOOGLEFINANCE($A355,""closeyest"")),"""")"),18.68)</f>
        <v>18.68</v>
      </c>
      <c r="AP355" s="60">
        <f>IFERROR(__xludf.DUMMYFUNCTION("IFERROR((GOOGLEFINANCE($A355,""shares"")),"""")"),1.95434352E8)</f>
        <v>195434352</v>
      </c>
      <c r="AQ355" s="18"/>
    </row>
    <row r="356">
      <c r="A356" s="45" t="str">
        <f>'Dados StatusInvest'!A351:A970</f>
        <v>LCAM3</v>
      </c>
      <c r="B356" s="46" t="str">
        <f>IFERROR(__xludf.DUMMYFUNCTION("IFERROR((GOOGLEFINANCE(A356,""name"")),"""")"),"")</f>
        <v/>
      </c>
      <c r="C356" s="46" t="str">
        <f>IFERROR((VLOOKUP(LEFT($A356,4),Setor!$A:$E,3,0)),"")</f>
        <v>Consumo Cíclico</v>
      </c>
      <c r="D356" s="46" t="str">
        <f>IFERROR((VLOOKUP(LEFT($A356,4),Setor!$A:$E,4,0)),"")</f>
        <v>Diversos</v>
      </c>
      <c r="E356" s="46" t="str">
        <f>IFERROR((VLOOKUP(LEFT($A356,4),Setor!$A:$E,5,0)),"")</f>
        <v>Aluguel de carros</v>
      </c>
      <c r="F356" s="47" t="str">
        <f>IFERROR(__xludf.DUMMYFUNCTION("IFERROR((GOOGLEFINANCE(A356)),"""")"),"")</f>
        <v/>
      </c>
      <c r="G356" s="48" t="str">
        <f>IFERROR(__xludf.DUMMYFUNCTION("IFERROR((sparkline(GOOGLEFINANCE($A356,""price"",TODAY()-30,TODAY(),""DAILY""),{""charttype"",""line"";""linewidth"",1;""color"",""#5f88cc""})),"""")"),"")</f>
        <v/>
      </c>
      <c r="H356" s="49" t="str">
        <f>IFERROR(__xludf.DUMMYFUNCTION("IFERROR((((GOOGLEFINANCE(A356))-(INDEX(GoogleFinance(A356,""PRICE"",$AQ$1),2,2)))/(INDEX(GoogleFinance(A356,""PRICE"",$AQ$1),2,2))),"""")"),"")</f>
        <v/>
      </c>
      <c r="I356" s="47" t="str">
        <f>IFERROR(__xludf.DUMMYFUNCTION("IFERROR((GOOGLEFINANCE($A356,""high52"")),"""")"),"")</f>
        <v/>
      </c>
      <c r="J356" s="48" t="str">
        <f>IFERROR(__xludf.DUMMYFUNCTION("IFERROR((sparkline(GOOGLEFINANCE($A356,""price"",TODAY()-365,TODAY(),""DAILY""),{""charttype"",""line"";""linewidth"",1;""color"",""#5f88cc""})),"""")"),"")</f>
        <v/>
      </c>
      <c r="K356" s="50" t="str">
        <f>IFERROR(__xludf.DUMMYFUNCTION("IFERROR((((GOOGLEFINANCE(A356))-(INDEX(GoogleFinance(A356,""PRICE"",$AP$1),2,2)))/(INDEX(GoogleFinance(A356,""PRICE"",$AP$1),2,2))),"""")"),"")</f>
        <v/>
      </c>
      <c r="L356" s="51">
        <f t="shared" si="1"/>
        <v>0</v>
      </c>
      <c r="M356" s="52">
        <f>IFERROR((VLOOKUP($A356,'Dados StatusInvest'!$A:$AZ,COLUMN(M356)-$A$5,0)*VLOOKUP($A356,'Dados StatusInvest'!$A:$AZ,2,0)/$F356/100),0)</f>
        <v>0</v>
      </c>
      <c r="N356" s="53">
        <f>IFERROR((VLOOKUP($A356,'Dados StatusInvest'!$A:$AZ,COLUMN(N356)-$A$5,0)/VLOOKUP($A356,'Dados StatusInvest'!$A:$AZ,2,0)*$F356),"")</f>
        <v>0</v>
      </c>
      <c r="O356" s="53">
        <f>IFERROR((VLOOKUP($A356,'Dados StatusInvest'!$A:$AZ,COLUMN(O356)-$A$5,0)/VLOOKUP($A356,'Dados StatusInvest'!$A:$AZ,2,0)*$F356),0)</f>
        <v>0</v>
      </c>
      <c r="P356" s="54">
        <f>IFERROR((VLOOKUP($A356,'Dados StatusInvest'!$A:$AZ,COLUMN(P356)-$A$5,0)/VLOOKUP($A356,'Dados StatusInvest'!$A:$AZ,2,0)*$F356),0)</f>
        <v>0</v>
      </c>
      <c r="Q356" s="55">
        <f>IFERROR((VLOOKUP($A356,'Dados StatusInvest'!$A:$AZ,COLUMN(Q356)-$A$5,0)/100),0)</f>
        <v>-0.0227</v>
      </c>
      <c r="R356" s="56">
        <f>VLOOKUP($A356,'Dados StatusInvest'!$A:$AZ,COLUMN(R356)-$A$5,0)</f>
        <v>-0.24</v>
      </c>
      <c r="S356" s="56">
        <f>IFERROR((VLOOKUP($A356,'Dados StatusInvest'!$A:$AZ,COLUMN(S356)-$A$5,0)),0)</f>
        <v>1.54</v>
      </c>
      <c r="T356" s="53">
        <f>IFERROR((VLOOKUP($A356,'Dados StatusInvest'!$A:$AZ,COLUMN(T356)-$A$5,0)/VLOOKUP($A356,'Dados StatusInvest'!$A:$AZ,2,0)*$F356),0)</f>
        <v>0</v>
      </c>
      <c r="U356" s="53">
        <f>IFERROR((VLOOKUP($A356,'Dados StatusInvest'!$A:$AZ,COLUMN(U356)-$A$5,0)-VLOOKUP($A356,'Dados StatusInvest'!$A:$AZ,COLUMN(U356)-$A$5-1,0)+T356),0)</f>
        <v>-4.12</v>
      </c>
      <c r="V356" s="56">
        <f>IFERROR((VLOOKUP($A356,'Dados StatusInvest'!$A:$AZ,COLUMN(V356)-$A$5,0)),0)</f>
        <v>6.45</v>
      </c>
      <c r="W356" s="56">
        <f>IFERROR((VLOOKUP($A356,'Dados StatusInvest'!$A:$AZ,COLUMN(W356)-$A$5,0)),0)</f>
        <v>13.49</v>
      </c>
      <c r="X356" s="53">
        <f>IFERROR((VLOOKUP($A356,'Dados StatusInvest'!$A:$AZ,COLUMN(X356)-$A$5,0)/VLOOKUP($A356,'Dados StatusInvest'!$A:$AZ,2,0)*$F356),0)</f>
        <v>0</v>
      </c>
      <c r="Y356" s="54">
        <f>IFERROR((VLOOKUP($A356,'Dados StatusInvest'!$A:$AZ,COLUMN(Y356)-$A$5,0)/VLOOKUP($A356,'Dados StatusInvest'!$A:$AZ,2,0)*$F356),0)</f>
        <v>0</v>
      </c>
      <c r="Z356" s="56">
        <f>IFERROR((VLOOKUP($A356,'Dados StatusInvest'!$A:$AZ,COLUMN(Z356)-$A$5,0)),0)</f>
        <v>0.7</v>
      </c>
      <c r="AA356" s="57">
        <f>IFERROR((VLOOKUP($A356,'Dados StatusInvest'!$A:$AZ,COLUMN(AA356)-$A$5,0)),0)</f>
        <v>0.18</v>
      </c>
      <c r="AB356" s="57">
        <f>IFERROR((VLOOKUP($A356,'Dados StatusInvest'!$A:$AZ,COLUMN(AB356)-$A$5,0)),0)</f>
        <v>0.51</v>
      </c>
      <c r="AC356" s="58">
        <f>IFERROR((VLOOKUP($A356,'Dados StatusInvest'!$A:$AZ,COLUMN(AC356)-$A$5,0)),0)</f>
        <v>12.12</v>
      </c>
      <c r="AD356" s="57">
        <f>IFERROR((VLOOKUP($A356,'Dados StatusInvest'!$A:$AZ,COLUMN(AD356)-$A$5,0)),0)</f>
        <v>34.05</v>
      </c>
      <c r="AE356" s="56">
        <f>IFERROR((VLOOKUP($A356,'Dados StatusInvest'!$A:$AZ,COLUMN(AE356)-$A$5,0)),0)</f>
        <v>0</v>
      </c>
      <c r="AF356" s="56">
        <f>IFERROR((VLOOKUP($A356,'Dados StatusInvest'!$A:$AZ,COLUMN(AF356)-$A$5,0)),0)</f>
        <v>21.32</v>
      </c>
      <c r="AG356" s="56">
        <f>IFERROR((VLOOKUP($A356,'Dados StatusInvest'!$A:$AZ,COLUMN(AG356)-$A$5,0)),0)</f>
        <v>2.88</v>
      </c>
      <c r="AH356" s="56">
        <f>IFERROR((VLOOKUP($A356,'Dados StatusInvest'!$A:$AZ,COLUMN(AH356)-$A$5,0)),0)</f>
        <v>0.11</v>
      </c>
      <c r="AI356" s="57">
        <f>IFERROR((VLOOKUP($A356,'Dados StatusInvest'!$A:$AZ,COLUMN(AI356)-$A$5,0)),0)</f>
        <v>12285815276</v>
      </c>
      <c r="AJ356" s="59" t="str">
        <f>IFERROR((VLOOKUP($A356,'Dados StatusInvest'!$A:$AZ,COLUMN(AJ356)-$A$5,0)),0)</f>
        <v/>
      </c>
      <c r="AK356" s="60" t="str">
        <f>IFERROR(__xludf.DUMMYFUNCTION("IFERROR(GOOGLEFINANCE($A356,""high""),"""")"),"")</f>
        <v/>
      </c>
      <c r="AL356" s="60" t="str">
        <f>IFERROR(__xludf.DUMMYFUNCTION("IFERROR(GOOGLEFINANCE($A356,""low""),"""")"),"")</f>
        <v/>
      </c>
      <c r="AM356" s="61">
        <f t="shared" si="2"/>
        <v>0</v>
      </c>
      <c r="AN356" s="62">
        <f>IFERROR(__xludf.DUMMYFUNCTION("IFERROR((GOOGLEFINANCE($A356,""volume"")),0)"),0.0)</f>
        <v>0</v>
      </c>
      <c r="AO356" s="60" t="str">
        <f>IFERROR(__xludf.DUMMYFUNCTION("IFERROR((GOOGLEFINANCE($A356,""closeyest"")),"""")"),"")</f>
        <v/>
      </c>
      <c r="AP356" s="60" t="str">
        <f>IFERROR(__xludf.DUMMYFUNCTION("IFERROR((GOOGLEFINANCE($A356,""shares"")),"""")"),"")</f>
        <v/>
      </c>
      <c r="AQ356" s="18"/>
    </row>
    <row r="357">
      <c r="A357" s="45" t="str">
        <f>'Dados StatusInvest'!A352:A971</f>
        <v>LEVE3</v>
      </c>
      <c r="B357" s="46" t="str">
        <f>IFERROR(__xludf.DUMMYFUNCTION("IFERROR((GOOGLEFINANCE(A357,""name"")),"""")"),"Mahle Metal Leve SA")</f>
        <v>Mahle Metal Leve SA</v>
      </c>
      <c r="C357" s="46" t="str">
        <f>IFERROR((VLOOKUP(LEFT($A357,4),Setor!$A:$E,3,0)),"")</f>
        <v>Consumo Cíclico</v>
      </c>
      <c r="D357" s="46" t="str">
        <f>IFERROR((VLOOKUP(LEFT($A357,4),Setor!$A:$E,4,0)),"")</f>
        <v>Automóveis e Motocicletas</v>
      </c>
      <c r="E357" s="46" t="str">
        <f>IFERROR((VLOOKUP(LEFT($A357,4),Setor!$A:$E,5,0)),"")</f>
        <v>Automóveis e Motocicletas</v>
      </c>
      <c r="F357" s="47">
        <f>IFERROR(__xludf.DUMMYFUNCTION("IFERROR((GOOGLEFINANCE(A357)),"""")"),35.18)</f>
        <v>35.18</v>
      </c>
      <c r="G357" s="48" t="str">
        <f>IFERROR(__xludf.DUMMYFUNCTION("IFERROR((sparkline(GOOGLEFINANCE($A357,""price"",TODAY()-30,TODAY(),""DAILY""),{""charttype"",""line"";""linewidth"",1;""color"",""#5f88cc""})),"""")"),"")</f>
        <v/>
      </c>
      <c r="H357" s="49">
        <f>IFERROR(__xludf.DUMMYFUNCTION("IFERROR((((GOOGLEFINANCE(A357))-(INDEX(GoogleFinance(A357,""PRICE"",$AQ$1),2,2)))/(INDEX(GoogleFinance(A357,""PRICE"",$AQ$1),2,2))),"""")"),0.03167155425219936)</f>
        <v>0.03167155425</v>
      </c>
      <c r="I357" s="47">
        <f>IFERROR(__xludf.DUMMYFUNCTION("IFERROR((GOOGLEFINANCE($A357,""high52"")),"""")"),36.14)</f>
        <v>36.14</v>
      </c>
      <c r="J357" s="48" t="str">
        <f>IFERROR(__xludf.DUMMYFUNCTION("IFERROR((sparkline(GOOGLEFINANCE($A357,""price"",TODAY()-365,TODAY(),""DAILY""),{""charttype"",""line"";""linewidth"",1;""color"",""#5f88cc""})),"""")"),"")</f>
        <v/>
      </c>
      <c r="K357" s="50">
        <f>IFERROR(__xludf.DUMMYFUNCTION("IFERROR((((GOOGLEFINANCE(A357))-(INDEX(GoogleFinance(A357,""PRICE"",$AP$1),2,2)))/(INDEX(GoogleFinance(A357,""PRICE"",$AP$1),2,2))),"""")"),0.25017768301350385)</f>
        <v>0.250177683</v>
      </c>
      <c r="L357" s="51">
        <f t="shared" si="1"/>
        <v>-0.02656336469</v>
      </c>
      <c r="M357" s="52">
        <f>IFERROR((VLOOKUP($A357,'Dados StatusInvest'!$A:$AZ,COLUMN(M357)-$A$5,0)*VLOOKUP($A357,'Dados StatusInvest'!$A:$AZ,2,0)/$F357/100),0)</f>
        <v>0.1654467595</v>
      </c>
      <c r="N357" s="53">
        <f>IFERROR((VLOOKUP($A357,'Dados StatusInvest'!$A:$AZ,COLUMN(N357)-$A$5,0)/VLOOKUP($A357,'Dados StatusInvest'!$A:$AZ,2,0)*$F357),"")</f>
        <v>10.63375315</v>
      </c>
      <c r="O357" s="53">
        <f>IFERROR((VLOOKUP($A357,'Dados StatusInvest'!$A:$AZ,COLUMN(O357)-$A$5,0)/VLOOKUP($A357,'Dados StatusInvest'!$A:$AZ,2,0)*$F357),0)</f>
        <v>5.425183319</v>
      </c>
      <c r="P357" s="54">
        <f>IFERROR((VLOOKUP($A357,'Dados StatusInvest'!$A:$AZ,COLUMN(P357)-$A$5,0)/VLOOKUP($A357,'Dados StatusInvest'!$A:$AZ,2,0)*$F357),0)</f>
        <v>6.439328296</v>
      </c>
      <c r="Q357" s="55">
        <f>IFERROR((VLOOKUP($A357,'Dados StatusInvest'!$A:$AZ,COLUMN(Q357)-$A$5,0)/100),0)</f>
        <v>0.0104</v>
      </c>
      <c r="R357" s="56">
        <f>VLOOKUP($A357,'Dados StatusInvest'!$A:$AZ,COLUMN(R357)-$A$5,0)</f>
        <v>1.04</v>
      </c>
      <c r="S357" s="56">
        <f>IFERROR((VLOOKUP($A357,'Dados StatusInvest'!$A:$AZ,COLUMN(S357)-$A$5,0)),0)</f>
        <v>0.9</v>
      </c>
      <c r="T357" s="53">
        <f>IFERROR((VLOOKUP($A357,'Dados StatusInvest'!$A:$AZ,COLUMN(T357)-$A$5,0)/VLOOKUP($A357,'Dados StatusInvest'!$A:$AZ,2,0)*$F357),0)</f>
        <v>7.935930591</v>
      </c>
      <c r="U357" s="53">
        <f>IFERROR((VLOOKUP($A357,'Dados StatusInvest'!$A:$AZ,COLUMN(U357)-$A$5,0)-VLOOKUP($A357,'Dados StatusInvest'!$A:$AZ,COLUMN(U357)-$A$5-1,0)+T357),0)</f>
        <v>-3.534069409</v>
      </c>
      <c r="V357" s="56">
        <f>IFERROR((VLOOKUP($A357,'Dados StatusInvest'!$A:$AZ,COLUMN(V357)-$A$5,0)),0)</f>
        <v>1.31</v>
      </c>
      <c r="W357" s="56">
        <f>IFERROR((VLOOKUP($A357,'Dados StatusInvest'!$A:$AZ,COLUMN(W357)-$A$5,0)),0)</f>
        <v>66.51</v>
      </c>
      <c r="X357" s="53">
        <f>IFERROR((VLOOKUP($A357,'Dados StatusInvest'!$A:$AZ,COLUMN(X357)-$A$5,0)/VLOOKUP($A357,'Dados StatusInvest'!$A:$AZ,2,0)*$F357),0)</f>
        <v>14.58202631</v>
      </c>
      <c r="Y357" s="54">
        <f>IFERROR((VLOOKUP($A357,'Dados StatusInvest'!$A:$AZ,COLUMN(Y357)-$A$5,0)/VLOOKUP($A357,'Dados StatusInvest'!$A:$AZ,2,0)*$F357),0)</f>
        <v>22.57703331</v>
      </c>
      <c r="Z357" s="56">
        <f>IFERROR((VLOOKUP($A357,'Dados StatusInvest'!$A:$AZ,COLUMN(Z357)-$A$5,0)),0)</f>
        <v>0.22</v>
      </c>
      <c r="AA357" s="57">
        <f>IFERROR((VLOOKUP($A357,'Dados StatusInvest'!$A:$AZ,COLUMN(AA357)-$A$5,0)),0)</f>
        <v>0.78</v>
      </c>
      <c r="AB357" s="57">
        <f>IFERROR((VLOOKUP($A357,'Dados StatusInvest'!$A:$AZ,COLUMN(AB357)-$A$5,0)),0)</f>
        <v>1.37</v>
      </c>
      <c r="AC357" s="58">
        <f>IFERROR((VLOOKUP($A357,'Dados StatusInvest'!$A:$AZ,COLUMN(AC357)-$A$5,0)),0)</f>
        <v>12.53</v>
      </c>
      <c r="AD357" s="57">
        <f>IFERROR((VLOOKUP($A357,'Dados StatusInvest'!$A:$AZ,COLUMN(AD357)-$A$5,0)),0)</f>
        <v>17.63</v>
      </c>
      <c r="AE357" s="56">
        <f>IFERROR((VLOOKUP($A357,'Dados StatusInvest'!$A:$AZ,COLUMN(AE357)-$A$5,0)),0)</f>
        <v>11818236</v>
      </c>
      <c r="AF357" s="56">
        <f>IFERROR((VLOOKUP($A357,'Dados StatusInvest'!$A:$AZ,COLUMN(AF357)-$A$5,0)),0)</f>
        <v>6.47</v>
      </c>
      <c r="AG357" s="56">
        <f>IFERROR((VLOOKUP($A357,'Dados StatusInvest'!$A:$AZ,COLUMN(AG357)-$A$5,0)),0)</f>
        <v>4.3</v>
      </c>
      <c r="AH357" s="56">
        <f>IFERROR((VLOOKUP($A357,'Dados StatusInvest'!$A:$AZ,COLUMN(AH357)-$A$5,0)),0)</f>
        <v>-30.62</v>
      </c>
      <c r="AI357" s="57">
        <f>IFERROR((VLOOKUP($A357,'Dados StatusInvest'!$A:$AZ,COLUMN(AI357)-$A$5,0)),0)</f>
        <v>4842808470</v>
      </c>
      <c r="AJ357" s="59" t="str">
        <f>IFERROR((VLOOKUP($A357,'Dados StatusInvest'!$A:$AZ,COLUMN(AJ357)-$A$5,0)),0)</f>
        <v/>
      </c>
      <c r="AK357" s="60">
        <f>IFERROR(__xludf.DUMMYFUNCTION("IFERROR(GOOGLEFINANCE($A357,""high""),"""")"),35.69)</f>
        <v>35.69</v>
      </c>
      <c r="AL357" s="60">
        <f>IFERROR(__xludf.DUMMYFUNCTION("IFERROR(GOOGLEFINANCE($A357,""low""),"""")"),35.16)</f>
        <v>35.16</v>
      </c>
      <c r="AM357" s="61">
        <f t="shared" si="2"/>
        <v>0.01507394767</v>
      </c>
      <c r="AN357" s="62">
        <f>IFERROR(__xludf.DUMMYFUNCTION("IFERROR((GOOGLEFINANCE($A357,""volume"")),0)"),12200.0)</f>
        <v>12200</v>
      </c>
      <c r="AO357" s="60">
        <f>IFERROR(__xludf.DUMMYFUNCTION("IFERROR((GOOGLEFINANCE($A357,""closeyest"")),"""")"),35.73)</f>
        <v>35.73</v>
      </c>
      <c r="AP357" s="60">
        <f>IFERROR(__xludf.DUMMYFUNCTION("IFERROR((GOOGLEFINANCE($A357,""shares"")),"""")"),1.35539E8)</f>
        <v>135539000</v>
      </c>
      <c r="AQ357" s="18"/>
    </row>
    <row r="358">
      <c r="A358" s="45" t="str">
        <f>'Dados StatusInvest'!A353:A972</f>
        <v>LHER3</v>
      </c>
      <c r="B358" s="46" t="str">
        <f>IFERROR(__xludf.DUMMYFUNCTION("IFERROR((GOOGLEFINANCE(A358,""name"")),"""")"),"")</f>
        <v/>
      </c>
      <c r="C358" s="46" t="str">
        <f>IFERROR((VLOOKUP(LEFT($A358,4),Setor!$A:$E,3,0)),"")</f>
        <v/>
      </c>
      <c r="D358" s="46" t="str">
        <f>IFERROR((VLOOKUP(LEFT($A358,4),Setor!$A:$E,4,0)),"")</f>
        <v/>
      </c>
      <c r="E358" s="46" t="str">
        <f>IFERROR((VLOOKUP(LEFT($A358,4),Setor!$A:$E,5,0)),"")</f>
        <v/>
      </c>
      <c r="F358" s="47" t="str">
        <f>IFERROR(__xludf.DUMMYFUNCTION("IFERROR((GOOGLEFINANCE(A358)),"""")"),"")</f>
        <v/>
      </c>
      <c r="G358" s="48" t="str">
        <f>IFERROR(__xludf.DUMMYFUNCTION("IFERROR((sparkline(GOOGLEFINANCE($A358,""price"",TODAY()-30,TODAY(),""DAILY""),{""charttype"",""line"";""linewidth"",1;""color"",""#5f88cc""})),"""")"),"")</f>
        <v/>
      </c>
      <c r="H358" s="49" t="str">
        <f>IFERROR(__xludf.DUMMYFUNCTION("IFERROR((((GOOGLEFINANCE(A358))-(INDEX(GoogleFinance(A358,""PRICE"",$AQ$1),2,2)))/(INDEX(GoogleFinance(A358,""PRICE"",$AQ$1),2,2))),"""")"),"")</f>
        <v/>
      </c>
      <c r="I358" s="47" t="str">
        <f>IFERROR(__xludf.DUMMYFUNCTION("IFERROR((GOOGLEFINANCE($A358,""high52"")),"""")"),"")</f>
        <v/>
      </c>
      <c r="J358" s="48" t="str">
        <f>IFERROR(__xludf.DUMMYFUNCTION("IFERROR((sparkline(GOOGLEFINANCE($A358,""price"",TODAY()-365,TODAY(),""DAILY""),{""charttype"",""line"";""linewidth"",1;""color"",""#5f88cc""})),"""")"),"")</f>
        <v/>
      </c>
      <c r="K358" s="50" t="str">
        <f>IFERROR(__xludf.DUMMYFUNCTION("IFERROR((((GOOGLEFINANCE(A358))-(INDEX(GoogleFinance(A358,""PRICE"",$AP$1),2,2)))/(INDEX(GoogleFinance(A358,""PRICE"",$AP$1),2,2))),"""")"),"")</f>
        <v/>
      </c>
      <c r="L358" s="51">
        <f t="shared" si="1"/>
        <v>0</v>
      </c>
      <c r="M358" s="52">
        <f>IFERROR((VLOOKUP($A358,'Dados StatusInvest'!$A:$AZ,COLUMN(M358)-$A$5,0)*VLOOKUP($A358,'Dados StatusInvest'!$A:$AZ,2,0)/$F358/100),0)</f>
        <v>0</v>
      </c>
      <c r="N358" s="53" t="str">
        <f>IFERROR((VLOOKUP($A358,'Dados StatusInvest'!$A:$AZ,COLUMN(N358)-$A$5,0)/VLOOKUP($A358,'Dados StatusInvest'!$A:$AZ,2,0)*$F358),"")</f>
        <v/>
      </c>
      <c r="O358" s="53">
        <f>IFERROR((VLOOKUP($A358,'Dados StatusInvest'!$A:$AZ,COLUMN(O358)-$A$5,0)/VLOOKUP($A358,'Dados StatusInvest'!$A:$AZ,2,0)*$F358),0)</f>
        <v>0</v>
      </c>
      <c r="P358" s="54">
        <f>IFERROR((VLOOKUP($A358,'Dados StatusInvest'!$A:$AZ,COLUMN(P358)-$A$5,0)/VLOOKUP($A358,'Dados StatusInvest'!$A:$AZ,2,0)*$F358),0)</f>
        <v>0</v>
      </c>
      <c r="Q358" s="55">
        <f>IFERROR((VLOOKUP($A358,'Dados StatusInvest'!$A:$AZ,COLUMN(Q358)-$A$5,0)/100),0)</f>
        <v>-0.0377</v>
      </c>
      <c r="R358" s="56">
        <f>VLOOKUP($A358,'Dados StatusInvest'!$A:$AZ,COLUMN(R358)-$A$5,0)</f>
        <v>-0.15</v>
      </c>
      <c r="S358" s="56">
        <f>IFERROR((VLOOKUP($A358,'Dados StatusInvest'!$A:$AZ,COLUMN(S358)-$A$5,0)),0)</f>
        <v>0</v>
      </c>
      <c r="T358" s="53">
        <f>IFERROR((VLOOKUP($A358,'Dados StatusInvest'!$A:$AZ,COLUMN(T358)-$A$5,0)/VLOOKUP($A358,'Dados StatusInvest'!$A:$AZ,2,0)*$F358),0)</f>
        <v>0</v>
      </c>
      <c r="U358" s="53">
        <f>IFERROR((VLOOKUP($A358,'Dados StatusInvest'!$A:$AZ,COLUMN(U358)-$A$5,0)-VLOOKUP($A358,'Dados StatusInvest'!$A:$AZ,COLUMN(U358)-$A$5-1,0)+T358),0)</f>
        <v>0</v>
      </c>
      <c r="V358" s="56">
        <f>IFERROR((VLOOKUP($A358,'Dados StatusInvest'!$A:$AZ,COLUMN(V358)-$A$5,0)),0)</f>
        <v>6.36</v>
      </c>
      <c r="W358" s="56">
        <f>IFERROR((VLOOKUP($A358,'Dados StatusInvest'!$A:$AZ,COLUMN(W358)-$A$5,0)),0)</f>
        <v>1.95</v>
      </c>
      <c r="X358" s="53">
        <f>IFERROR((VLOOKUP($A358,'Dados StatusInvest'!$A:$AZ,COLUMN(X358)-$A$5,0)/VLOOKUP($A358,'Dados StatusInvest'!$A:$AZ,2,0)*$F358),0)</f>
        <v>0</v>
      </c>
      <c r="Y358" s="54">
        <f>IFERROR((VLOOKUP($A358,'Dados StatusInvest'!$A:$AZ,COLUMN(Y358)-$A$5,0)/VLOOKUP($A358,'Dados StatusInvest'!$A:$AZ,2,0)*$F358),0)</f>
        <v>0</v>
      </c>
      <c r="Z358" s="56">
        <f>IFERROR((VLOOKUP($A358,'Dados StatusInvest'!$A:$AZ,COLUMN(Z358)-$A$5,0)),0)</f>
        <v>0.34</v>
      </c>
      <c r="AA358" s="57">
        <f>IFERROR((VLOOKUP($A358,'Dados StatusInvest'!$A:$AZ,COLUMN(AA358)-$A$5,0)),0)</f>
        <v>0.66</v>
      </c>
      <c r="AB358" s="57">
        <f>IFERROR((VLOOKUP($A358,'Dados StatusInvest'!$A:$AZ,COLUMN(AB358)-$A$5,0)),0)</f>
        <v>0.06</v>
      </c>
      <c r="AC358" s="58">
        <f>IFERROR((VLOOKUP($A358,'Dados StatusInvest'!$A:$AZ,COLUMN(AC358)-$A$5,0)),0)</f>
        <v>4.31</v>
      </c>
      <c r="AD358" s="57">
        <f>IFERROR((VLOOKUP($A358,'Dados StatusInvest'!$A:$AZ,COLUMN(AD358)-$A$5,0)),0)</f>
        <v>-51.59</v>
      </c>
      <c r="AE358" s="56">
        <f>IFERROR((VLOOKUP($A358,'Dados StatusInvest'!$A:$AZ,COLUMN(AE358)-$A$5,0)),0)</f>
        <v>0</v>
      </c>
      <c r="AF358" s="56">
        <f>IFERROR((VLOOKUP($A358,'Dados StatusInvest'!$A:$AZ,COLUMN(AF358)-$A$5,0)),0)</f>
        <v>141.54</v>
      </c>
      <c r="AG358" s="56">
        <f>IFERROR((VLOOKUP($A358,'Dados StatusInvest'!$A:$AZ,COLUMN(AG358)-$A$5,0)),0)</f>
        <v>2.76</v>
      </c>
      <c r="AH358" s="56">
        <f>IFERROR((VLOOKUP($A358,'Dados StatusInvest'!$A:$AZ,COLUMN(AH358)-$A$5,0)),0)</f>
        <v>0</v>
      </c>
      <c r="AI358" s="57">
        <f>IFERROR((VLOOKUP($A358,'Dados StatusInvest'!$A:$AZ,COLUMN(AI358)-$A$5,0)),0)</f>
        <v>0</v>
      </c>
      <c r="AJ358" s="59" t="str">
        <f>IFERROR((VLOOKUP($A358,'Dados StatusInvest'!$A:$AZ,COLUMN(AJ358)-$A$5,0)),0)</f>
        <v/>
      </c>
      <c r="AK358" s="60" t="str">
        <f>IFERROR(__xludf.DUMMYFUNCTION("IFERROR(GOOGLEFINANCE($A358,""high""),"""")"),"")</f>
        <v/>
      </c>
      <c r="AL358" s="60" t="str">
        <f>IFERROR(__xludf.DUMMYFUNCTION("IFERROR(GOOGLEFINANCE($A358,""low""),"""")"),"")</f>
        <v/>
      </c>
      <c r="AM358" s="61">
        <f t="shared" si="2"/>
        <v>0</v>
      </c>
      <c r="AN358" s="62">
        <f>IFERROR(__xludf.DUMMYFUNCTION("IFERROR((GOOGLEFINANCE($A358,""volume"")),0)"),0.0)</f>
        <v>0</v>
      </c>
      <c r="AO358" s="60" t="str">
        <f>IFERROR(__xludf.DUMMYFUNCTION("IFERROR((GOOGLEFINANCE($A358,""closeyest"")),"""")"),"")</f>
        <v/>
      </c>
      <c r="AP358" s="60" t="str">
        <f>IFERROR(__xludf.DUMMYFUNCTION("IFERROR((GOOGLEFINANCE($A358,""shares"")),"""")"),"")</f>
        <v/>
      </c>
      <c r="AQ358" s="18"/>
    </row>
    <row r="359">
      <c r="A359" s="45" t="str">
        <f>'Dados StatusInvest'!A354:A973</f>
        <v>LHER4</v>
      </c>
      <c r="B359" s="46" t="str">
        <f>IFERROR(__xludf.DUMMYFUNCTION("IFERROR((GOOGLEFINANCE(A359,""name"")),"""")"),"")</f>
        <v/>
      </c>
      <c r="C359" s="46" t="str">
        <f>IFERROR((VLOOKUP(LEFT($A359,4),Setor!$A:$E,3,0)),"")</f>
        <v/>
      </c>
      <c r="D359" s="46" t="str">
        <f>IFERROR((VLOOKUP(LEFT($A359,4),Setor!$A:$E,4,0)),"")</f>
        <v/>
      </c>
      <c r="E359" s="46" t="str">
        <f>IFERROR((VLOOKUP(LEFT($A359,4),Setor!$A:$E,5,0)),"")</f>
        <v/>
      </c>
      <c r="F359" s="47" t="str">
        <f>IFERROR(__xludf.DUMMYFUNCTION("IFERROR((GOOGLEFINANCE(A359)),"""")"),"")</f>
        <v/>
      </c>
      <c r="G359" s="48" t="str">
        <f>IFERROR(__xludf.DUMMYFUNCTION("IFERROR((sparkline(GOOGLEFINANCE($A359,""price"",TODAY()-30,TODAY(),""DAILY""),{""charttype"",""line"";""linewidth"",1;""color"",""#5f88cc""})),"""")"),"")</f>
        <v/>
      </c>
      <c r="H359" s="49" t="str">
        <f>IFERROR(__xludf.DUMMYFUNCTION("IFERROR((((GOOGLEFINANCE(A359))-(INDEX(GoogleFinance(A359,""PRICE"",$AQ$1),2,2)))/(INDEX(GoogleFinance(A359,""PRICE"",$AQ$1),2,2))),"""")"),"")</f>
        <v/>
      </c>
      <c r="I359" s="47" t="str">
        <f>IFERROR(__xludf.DUMMYFUNCTION("IFERROR((GOOGLEFINANCE($A359,""high52"")),"""")"),"")</f>
        <v/>
      </c>
      <c r="J359" s="48" t="str">
        <f>IFERROR(__xludf.DUMMYFUNCTION("IFERROR((sparkline(GOOGLEFINANCE($A359,""price"",TODAY()-365,TODAY(),""DAILY""),{""charttype"",""line"";""linewidth"",1;""color"",""#5f88cc""})),"""")"),"")</f>
        <v/>
      </c>
      <c r="K359" s="50" t="str">
        <f>IFERROR(__xludf.DUMMYFUNCTION("IFERROR((((GOOGLEFINANCE(A359))-(INDEX(GoogleFinance(A359,""PRICE"",$AP$1),2,2)))/(INDEX(GoogleFinance(A359,""PRICE"",$AP$1),2,2))),"""")"),"")</f>
        <v/>
      </c>
      <c r="L359" s="51">
        <f t="shared" si="1"/>
        <v>0</v>
      </c>
      <c r="M359" s="52">
        <f>IFERROR((VLOOKUP($A359,'Dados StatusInvest'!$A:$AZ,COLUMN(M359)-$A$5,0)*VLOOKUP($A359,'Dados StatusInvest'!$A:$AZ,2,0)/$F359/100),0)</f>
        <v>0</v>
      </c>
      <c r="N359" s="53" t="str">
        <f>IFERROR((VLOOKUP($A359,'Dados StatusInvest'!$A:$AZ,COLUMN(N359)-$A$5,0)/VLOOKUP($A359,'Dados StatusInvest'!$A:$AZ,2,0)*$F359),"")</f>
        <v/>
      </c>
      <c r="O359" s="53">
        <f>IFERROR((VLOOKUP($A359,'Dados StatusInvest'!$A:$AZ,COLUMN(O359)-$A$5,0)/VLOOKUP($A359,'Dados StatusInvest'!$A:$AZ,2,0)*$F359),0)</f>
        <v>0</v>
      </c>
      <c r="P359" s="54">
        <f>IFERROR((VLOOKUP($A359,'Dados StatusInvest'!$A:$AZ,COLUMN(P359)-$A$5,0)/VLOOKUP($A359,'Dados StatusInvest'!$A:$AZ,2,0)*$F359),0)</f>
        <v>0</v>
      </c>
      <c r="Q359" s="55">
        <f>IFERROR((VLOOKUP($A359,'Dados StatusInvest'!$A:$AZ,COLUMN(Q359)-$A$5,0)/100),0)</f>
        <v>-0.0377</v>
      </c>
      <c r="R359" s="56">
        <f>VLOOKUP($A359,'Dados StatusInvest'!$A:$AZ,COLUMN(R359)-$A$5,0)</f>
        <v>-0.15</v>
      </c>
      <c r="S359" s="56">
        <f>IFERROR((VLOOKUP($A359,'Dados StatusInvest'!$A:$AZ,COLUMN(S359)-$A$5,0)),0)</f>
        <v>0</v>
      </c>
      <c r="T359" s="53">
        <f>IFERROR((VLOOKUP($A359,'Dados StatusInvest'!$A:$AZ,COLUMN(T359)-$A$5,0)/VLOOKUP($A359,'Dados StatusInvest'!$A:$AZ,2,0)*$F359),0)</f>
        <v>0</v>
      </c>
      <c r="U359" s="53">
        <f>IFERROR((VLOOKUP($A359,'Dados StatusInvest'!$A:$AZ,COLUMN(U359)-$A$5,0)-VLOOKUP($A359,'Dados StatusInvest'!$A:$AZ,COLUMN(U359)-$A$5-1,0)+T359),0)</f>
        <v>0</v>
      </c>
      <c r="V359" s="56">
        <f>IFERROR((VLOOKUP($A359,'Dados StatusInvest'!$A:$AZ,COLUMN(V359)-$A$5,0)),0)</f>
        <v>6.36</v>
      </c>
      <c r="W359" s="56">
        <f>IFERROR((VLOOKUP($A359,'Dados StatusInvest'!$A:$AZ,COLUMN(W359)-$A$5,0)),0)</f>
        <v>1.95</v>
      </c>
      <c r="X359" s="53">
        <f>IFERROR((VLOOKUP($A359,'Dados StatusInvest'!$A:$AZ,COLUMN(X359)-$A$5,0)/VLOOKUP($A359,'Dados StatusInvest'!$A:$AZ,2,0)*$F359),0)</f>
        <v>0</v>
      </c>
      <c r="Y359" s="54">
        <f>IFERROR((VLOOKUP($A359,'Dados StatusInvest'!$A:$AZ,COLUMN(Y359)-$A$5,0)/VLOOKUP($A359,'Dados StatusInvest'!$A:$AZ,2,0)*$F359),0)</f>
        <v>0</v>
      </c>
      <c r="Z359" s="56">
        <f>IFERROR((VLOOKUP($A359,'Dados StatusInvest'!$A:$AZ,COLUMN(Z359)-$A$5,0)),0)</f>
        <v>0.34</v>
      </c>
      <c r="AA359" s="57">
        <f>IFERROR((VLOOKUP($A359,'Dados StatusInvest'!$A:$AZ,COLUMN(AA359)-$A$5,0)),0)</f>
        <v>0.66</v>
      </c>
      <c r="AB359" s="57">
        <f>IFERROR((VLOOKUP($A359,'Dados StatusInvest'!$A:$AZ,COLUMN(AB359)-$A$5,0)),0)</f>
        <v>0.06</v>
      </c>
      <c r="AC359" s="58">
        <f>IFERROR((VLOOKUP($A359,'Dados StatusInvest'!$A:$AZ,COLUMN(AC359)-$A$5,0)),0)</f>
        <v>4.31</v>
      </c>
      <c r="AD359" s="57">
        <f>IFERROR((VLOOKUP($A359,'Dados StatusInvest'!$A:$AZ,COLUMN(AD359)-$A$5,0)),0)</f>
        <v>-51.59</v>
      </c>
      <c r="AE359" s="56">
        <f>IFERROR((VLOOKUP($A359,'Dados StatusInvest'!$A:$AZ,COLUMN(AE359)-$A$5,0)),0)</f>
        <v>0</v>
      </c>
      <c r="AF359" s="56">
        <f>IFERROR((VLOOKUP($A359,'Dados StatusInvest'!$A:$AZ,COLUMN(AF359)-$A$5,0)),0)</f>
        <v>141.54</v>
      </c>
      <c r="AG359" s="56">
        <f>IFERROR((VLOOKUP($A359,'Dados StatusInvest'!$A:$AZ,COLUMN(AG359)-$A$5,0)),0)</f>
        <v>2.76</v>
      </c>
      <c r="AH359" s="56">
        <f>IFERROR((VLOOKUP($A359,'Dados StatusInvest'!$A:$AZ,COLUMN(AH359)-$A$5,0)),0)</f>
        <v>0</v>
      </c>
      <c r="AI359" s="57">
        <f>IFERROR((VLOOKUP($A359,'Dados StatusInvest'!$A:$AZ,COLUMN(AI359)-$A$5,0)),0)</f>
        <v>0</v>
      </c>
      <c r="AJ359" s="59" t="str">
        <f>IFERROR((VLOOKUP($A359,'Dados StatusInvest'!$A:$AZ,COLUMN(AJ359)-$A$5,0)),0)</f>
        <v/>
      </c>
      <c r="AK359" s="60" t="str">
        <f>IFERROR(__xludf.DUMMYFUNCTION("IFERROR(GOOGLEFINANCE($A359,""high""),"""")"),"")</f>
        <v/>
      </c>
      <c r="AL359" s="60" t="str">
        <f>IFERROR(__xludf.DUMMYFUNCTION("IFERROR(GOOGLEFINANCE($A359,""low""),"""")"),"")</f>
        <v/>
      </c>
      <c r="AM359" s="61">
        <f t="shared" si="2"/>
        <v>0</v>
      </c>
      <c r="AN359" s="62">
        <f>IFERROR(__xludf.DUMMYFUNCTION("IFERROR((GOOGLEFINANCE($A359,""volume"")),0)"),0.0)</f>
        <v>0</v>
      </c>
      <c r="AO359" s="60" t="str">
        <f>IFERROR(__xludf.DUMMYFUNCTION("IFERROR((GOOGLEFINANCE($A359,""closeyest"")),"""")"),"")</f>
        <v/>
      </c>
      <c r="AP359" s="60" t="str">
        <f>IFERROR(__xludf.DUMMYFUNCTION("IFERROR((GOOGLEFINANCE($A359,""shares"")),"""")"),"")</f>
        <v/>
      </c>
      <c r="AQ359" s="18"/>
    </row>
    <row r="360">
      <c r="A360" s="45" t="str">
        <f>'Dados StatusInvest'!A355:A974</f>
        <v>LIGT3</v>
      </c>
      <c r="B360" s="46" t="str">
        <f>IFERROR(__xludf.DUMMYFUNCTION("IFERROR((GOOGLEFINANCE(A360,""name"")),"""")"),"Light SA")</f>
        <v>Light SA</v>
      </c>
      <c r="C360" s="46" t="str">
        <f>IFERROR((VLOOKUP(LEFT($A360,4),Setor!$A:$E,3,0)),"")</f>
        <v>Utilidade Pública</v>
      </c>
      <c r="D360" s="46" t="str">
        <f>IFERROR((VLOOKUP(LEFT($A360,4),Setor!$A:$E,4,0)),"")</f>
        <v>Energia Elétrica</v>
      </c>
      <c r="E360" s="46" t="str">
        <f>IFERROR((VLOOKUP(LEFT($A360,4),Setor!$A:$E,5,0)),"")</f>
        <v>Energia Elétrica</v>
      </c>
      <c r="F360" s="47">
        <f>IFERROR(__xludf.DUMMYFUNCTION("IFERROR((GOOGLEFINANCE(A360)),"""")"),4.78)</f>
        <v>4.78</v>
      </c>
      <c r="G360" s="48" t="str">
        <f>IFERROR(__xludf.DUMMYFUNCTION("IFERROR((sparkline(GOOGLEFINANCE($A360,""price"",TODAY()-30,TODAY(),""DAILY""),{""charttype"",""line"";""linewidth"",1;""color"",""#5f88cc""})),"""")"),"")</f>
        <v/>
      </c>
      <c r="H360" s="49">
        <f>IFERROR(__xludf.DUMMYFUNCTION("IFERROR((((GOOGLEFINANCE(A360))-(INDEX(GoogleFinance(A360,""PRICE"",$AQ$1),2,2)))/(INDEX(GoogleFinance(A360,""PRICE"",$AQ$1),2,2))),"""")"),0.08883826879271084)</f>
        <v>0.08883826879</v>
      </c>
      <c r="I360" s="47">
        <f>IFERROR(__xludf.DUMMYFUNCTION("IFERROR((GOOGLEFINANCE($A360,""high52"")),"""")"),7.6)</f>
        <v>7.6</v>
      </c>
      <c r="J360" s="48" t="str">
        <f>IFERROR(__xludf.DUMMYFUNCTION("IFERROR((sparkline(GOOGLEFINANCE($A360,""price"",TODAY()-365,TODAY(),""DAILY""),{""charttype"",""line"";""linewidth"",1;""color"",""#5f88cc""})),"""")"),"")</f>
        <v/>
      </c>
      <c r="K360" s="50">
        <f>IFERROR(__xludf.DUMMYFUNCTION("IFERROR((((GOOGLEFINANCE(A360))-(INDEX(GoogleFinance(A360,""PRICE"",$AP$1),2,2)))/(INDEX(GoogleFinance(A360,""PRICE"",$AP$1),2,2))),"""")"),0.2953929539295394)</f>
        <v>0.2953929539</v>
      </c>
      <c r="L360" s="51">
        <f t="shared" si="1"/>
        <v>-0.3710526316</v>
      </c>
      <c r="M360" s="52">
        <f>IFERROR((VLOOKUP($A360,'Dados StatusInvest'!$A:$AZ,COLUMN(M360)-$A$5,0)*VLOOKUP($A360,'Dados StatusInvest'!$A:$AZ,2,0)/$F360/100),0)</f>
        <v>0.09124456067</v>
      </c>
      <c r="N360" s="53">
        <f>IFERROR((VLOOKUP($A360,'Dados StatusInvest'!$A:$AZ,COLUMN(N360)-$A$5,0)/VLOOKUP($A360,'Dados StatusInvest'!$A:$AZ,2,0)*$F360),"")</f>
        <v>15.20099379</v>
      </c>
      <c r="O360" s="53">
        <f>IFERROR((VLOOKUP($A360,'Dados StatusInvest'!$A:$AZ,COLUMN(O360)-$A$5,0)/VLOOKUP($A360,'Dados StatusInvest'!$A:$AZ,2,0)*$F360),0)</f>
        <v>1.316231884</v>
      </c>
      <c r="P360" s="54">
        <f>IFERROR((VLOOKUP($A360,'Dados StatusInvest'!$A:$AZ,COLUMN(P360)-$A$5,0)/VLOOKUP($A360,'Dados StatusInvest'!$A:$AZ,2,0)*$F360),0)</f>
        <v>6.373333333</v>
      </c>
      <c r="Q360" s="55">
        <f>IFERROR((VLOOKUP($A360,'Dados StatusInvest'!$A:$AZ,COLUMN(Q360)-$A$5,0)/100),0)</f>
        <v>0.051</v>
      </c>
      <c r="R360" s="56">
        <f>VLOOKUP($A360,'Dados StatusInvest'!$A:$AZ,COLUMN(R360)-$A$5,0)</f>
        <v>1.23</v>
      </c>
      <c r="S360" s="56">
        <f>IFERROR((VLOOKUP($A360,'Dados StatusInvest'!$A:$AZ,COLUMN(S360)-$A$5,0)),0)</f>
        <v>0.12</v>
      </c>
      <c r="T360" s="53">
        <f>IFERROR((VLOOKUP($A360,'Dados StatusInvest'!$A:$AZ,COLUMN(T360)-$A$5,0)/VLOOKUP($A360,'Dados StatusInvest'!$A:$AZ,2,0)*$F360),0)</f>
        <v>-30.79784679</v>
      </c>
      <c r="U360" s="53">
        <f>IFERROR((VLOOKUP($A360,'Dados StatusInvest'!$A:$AZ,COLUMN(U360)-$A$5,0)-VLOOKUP($A360,'Dados StatusInvest'!$A:$AZ,COLUMN(U360)-$A$5-1,0)+T360),0)</f>
        <v>0.2321532091</v>
      </c>
      <c r="V360" s="56">
        <f>IFERROR((VLOOKUP($A360,'Dados StatusInvest'!$A:$AZ,COLUMN(V360)-$A$5,0)),0)</f>
        <v>0.99</v>
      </c>
      <c r="W360" s="56">
        <f>IFERROR((VLOOKUP($A360,'Dados StatusInvest'!$A:$AZ,COLUMN(W360)-$A$5,0)),0)</f>
        <v>40.83</v>
      </c>
      <c r="X360" s="53">
        <f>IFERROR((VLOOKUP($A360,'Dados StatusInvest'!$A:$AZ,COLUMN(X360)-$A$5,0)/VLOOKUP($A360,'Dados StatusInvest'!$A:$AZ,2,0)*$F360),0)</f>
        <v>8.827660455</v>
      </c>
      <c r="Y360" s="54">
        <f>IFERROR((VLOOKUP($A360,'Dados StatusInvest'!$A:$AZ,COLUMN(Y360)-$A$5,0)/VLOOKUP($A360,'Dados StatusInvest'!$A:$AZ,2,0)*$F360),0)</f>
        <v>6.234782609</v>
      </c>
      <c r="Z360" s="56">
        <f>IFERROR((VLOOKUP($A360,'Dados StatusInvest'!$A:$AZ,COLUMN(Z360)-$A$5,0)),0)</f>
        <v>0.22</v>
      </c>
      <c r="AA360" s="57">
        <f>IFERROR((VLOOKUP($A360,'Dados StatusInvest'!$A:$AZ,COLUMN(AA360)-$A$5,0)),0)</f>
        <v>0.78</v>
      </c>
      <c r="AB360" s="57">
        <f>IFERROR((VLOOKUP($A360,'Dados StatusInvest'!$A:$AZ,COLUMN(AB360)-$A$5,0)),0)</f>
        <v>0.58</v>
      </c>
      <c r="AC360" s="58">
        <f>IFERROR((VLOOKUP($A360,'Dados StatusInvest'!$A:$AZ,COLUMN(AC360)-$A$5,0)),0)</f>
        <v>2.13</v>
      </c>
      <c r="AD360" s="57">
        <f>IFERROR((VLOOKUP($A360,'Dados StatusInvest'!$A:$AZ,COLUMN(AD360)-$A$5,0)),0)</f>
        <v>11.57</v>
      </c>
      <c r="AE360" s="56">
        <f>IFERROR((VLOOKUP($A360,'Dados StatusInvest'!$A:$AZ,COLUMN(AE360)-$A$5,0)),0)</f>
        <v>8170431</v>
      </c>
      <c r="AF360" s="56">
        <f>IFERROR((VLOOKUP($A360,'Dados StatusInvest'!$A:$AZ,COLUMN(AF360)-$A$5,0)),0)</f>
        <v>15.09</v>
      </c>
      <c r="AG360" s="56">
        <f>IFERROR((VLOOKUP($A360,'Dados StatusInvest'!$A:$AZ,COLUMN(AG360)-$A$5,0)),0)</f>
        <v>6.16</v>
      </c>
      <c r="AH360" s="56">
        <f>IFERROR((VLOOKUP($A360,'Dados StatusInvest'!$A:$AZ,COLUMN(AH360)-$A$5,0)),0)</f>
        <v>0</v>
      </c>
      <c r="AI360" s="57">
        <f>IFERROR((VLOOKUP($A360,'Dados StatusInvest'!$A:$AZ,COLUMN(AI360)-$A$5,0)),0)</f>
        <v>1799442215</v>
      </c>
      <c r="AJ360" s="59" t="str">
        <f>IFERROR((VLOOKUP($A360,'Dados StatusInvest'!$A:$AZ,COLUMN(AJ360)-$A$5,0)),0)</f>
        <v/>
      </c>
      <c r="AK360" s="60">
        <f>IFERROR(__xludf.DUMMYFUNCTION("IFERROR(GOOGLEFINANCE($A360,""high""),"""")"),4.85)</f>
        <v>4.85</v>
      </c>
      <c r="AL360" s="60">
        <f>IFERROR(__xludf.DUMMYFUNCTION("IFERROR(GOOGLEFINANCE($A360,""low""),"""")"),4.78)</f>
        <v>4.78</v>
      </c>
      <c r="AM360" s="61">
        <f t="shared" si="2"/>
        <v>0.01464435146</v>
      </c>
      <c r="AN360" s="62">
        <f>IFERROR(__xludf.DUMMYFUNCTION("IFERROR((GOOGLEFINANCE($A360,""volume"")),0)"),20200.0)</f>
        <v>20200</v>
      </c>
      <c r="AO360" s="60">
        <f>IFERROR(__xludf.DUMMYFUNCTION("IFERROR((GOOGLEFINANCE($A360,""closeyest"")),"""")"),4.83)</f>
        <v>4.83</v>
      </c>
      <c r="AP360" s="60">
        <f>IFERROR(__xludf.DUMMYFUNCTION("IFERROR((GOOGLEFINANCE($A360,""shares"")),"""")"),3.72555324E8)</f>
        <v>372555324</v>
      </c>
      <c r="AQ360" s="18"/>
    </row>
    <row r="361">
      <c r="A361" s="45" t="str">
        <f>'Dados StatusInvest'!A356:A975</f>
        <v>LINX3</v>
      </c>
      <c r="B361" s="46" t="str">
        <f>IFERROR(__xludf.DUMMYFUNCTION("IFERROR((GOOGLEFINANCE(A361,""name"")),"""")"),"")</f>
        <v/>
      </c>
      <c r="C361" s="46" t="str">
        <f>IFERROR((VLOOKUP(LEFT($A361,4),Setor!$A:$E,3,0)),"")</f>
        <v>Tecnologia da Informação</v>
      </c>
      <c r="D361" s="46" t="str">
        <f>IFERROR((VLOOKUP(LEFT($A361,4),Setor!$A:$E,4,0)),"")</f>
        <v>Programas e Serviços</v>
      </c>
      <c r="E361" s="46" t="str">
        <f>IFERROR((VLOOKUP(LEFT($A361,4),Setor!$A:$E,5,0)),"")</f>
        <v>Programas e Serviços</v>
      </c>
      <c r="F361" s="47" t="str">
        <f>IFERROR(__xludf.DUMMYFUNCTION("IFERROR((GOOGLEFINANCE(A361)),"""")"),"")</f>
        <v/>
      </c>
      <c r="G361" s="48" t="str">
        <f>IFERROR(__xludf.DUMMYFUNCTION("IFERROR((sparkline(GOOGLEFINANCE($A361,""price"",TODAY()-30,TODAY(),""DAILY""),{""charttype"",""line"";""linewidth"",1;""color"",""#5f88cc""})),"""")"),"")</f>
        <v/>
      </c>
      <c r="H361" s="49" t="str">
        <f>IFERROR(__xludf.DUMMYFUNCTION("IFERROR((((GOOGLEFINANCE(A361))-(INDEX(GoogleFinance(A361,""PRICE"",$AQ$1),2,2)))/(INDEX(GoogleFinance(A361,""PRICE"",$AQ$1),2,2))),"""")"),"")</f>
        <v/>
      </c>
      <c r="I361" s="47" t="str">
        <f>IFERROR(__xludf.DUMMYFUNCTION("IFERROR((GOOGLEFINANCE($A361,""high52"")),"""")"),"")</f>
        <v/>
      </c>
      <c r="J361" s="48" t="str">
        <f>IFERROR(__xludf.DUMMYFUNCTION("IFERROR((sparkline(GOOGLEFINANCE($A361,""price"",TODAY()-365,TODAY(),""DAILY""),{""charttype"",""line"";""linewidth"",1;""color"",""#5f88cc""})),"""")"),"")</f>
        <v/>
      </c>
      <c r="K361" s="50" t="str">
        <f>IFERROR(__xludf.DUMMYFUNCTION("IFERROR((((GOOGLEFINANCE(A361))-(INDEX(GoogleFinance(A361,""PRICE"",$AP$1),2,2)))/(INDEX(GoogleFinance(A361,""PRICE"",$AP$1),2,2))),"""")"),"")</f>
        <v/>
      </c>
      <c r="L361" s="51">
        <f t="shared" si="1"/>
        <v>0</v>
      </c>
      <c r="M361" s="52">
        <f>IFERROR((VLOOKUP($A361,'Dados StatusInvest'!$A:$AZ,COLUMN(M361)-$A$5,0)*VLOOKUP($A361,'Dados StatusInvest'!$A:$AZ,2,0)/$F361/100),0)</f>
        <v>0</v>
      </c>
      <c r="N361" s="53">
        <f>IFERROR((VLOOKUP($A361,'Dados StatusInvest'!$A:$AZ,COLUMN(N361)-$A$5,0)/VLOOKUP($A361,'Dados StatusInvest'!$A:$AZ,2,0)*$F361),"")</f>
        <v>0</v>
      </c>
      <c r="O361" s="53">
        <f>IFERROR((VLOOKUP($A361,'Dados StatusInvest'!$A:$AZ,COLUMN(O361)-$A$5,0)/VLOOKUP($A361,'Dados StatusInvest'!$A:$AZ,2,0)*$F361),0)</f>
        <v>0</v>
      </c>
      <c r="P361" s="54">
        <f>IFERROR((VLOOKUP($A361,'Dados StatusInvest'!$A:$AZ,COLUMN(P361)-$A$5,0)/VLOOKUP($A361,'Dados StatusInvest'!$A:$AZ,2,0)*$F361),0)</f>
        <v>0</v>
      </c>
      <c r="Q361" s="55">
        <f>IFERROR((VLOOKUP($A361,'Dados StatusInvest'!$A:$AZ,COLUMN(Q361)-$A$5,0)/100),0)</f>
        <v>0.0518</v>
      </c>
      <c r="R361" s="56">
        <f>VLOOKUP($A361,'Dados StatusInvest'!$A:$AZ,COLUMN(R361)-$A$5,0)</f>
        <v>-0.14</v>
      </c>
      <c r="S361" s="56">
        <f>IFERROR((VLOOKUP($A361,'Dados StatusInvest'!$A:$AZ,COLUMN(S361)-$A$5,0)),0)</f>
        <v>7.88</v>
      </c>
      <c r="T361" s="53">
        <f>IFERROR((VLOOKUP($A361,'Dados StatusInvest'!$A:$AZ,COLUMN(T361)-$A$5,0)/VLOOKUP($A361,'Dados StatusInvest'!$A:$AZ,2,0)*$F361),0)</f>
        <v>0</v>
      </c>
      <c r="U361" s="53">
        <f>IFERROR((VLOOKUP($A361,'Dados StatusInvest'!$A:$AZ,COLUMN(U361)-$A$5,0)-VLOOKUP($A361,'Dados StatusInvest'!$A:$AZ,COLUMN(U361)-$A$5-1,0)+T361),0)</f>
        <v>-16.78</v>
      </c>
      <c r="V361" s="56">
        <f>IFERROR((VLOOKUP($A361,'Dados StatusInvest'!$A:$AZ,COLUMN(V361)-$A$5,0)),0)</f>
        <v>2.14</v>
      </c>
      <c r="W361" s="56">
        <f>IFERROR((VLOOKUP($A361,'Dados StatusInvest'!$A:$AZ,COLUMN(W361)-$A$5,0)),0)</f>
        <v>-4.81</v>
      </c>
      <c r="X361" s="53">
        <f>IFERROR((VLOOKUP($A361,'Dados StatusInvest'!$A:$AZ,COLUMN(X361)-$A$5,0)/VLOOKUP($A361,'Dados StatusInvest'!$A:$AZ,2,0)*$F361),0)</f>
        <v>0</v>
      </c>
      <c r="Y361" s="54">
        <f>IFERROR((VLOOKUP($A361,'Dados StatusInvest'!$A:$AZ,COLUMN(Y361)-$A$5,0)/VLOOKUP($A361,'Dados StatusInvest'!$A:$AZ,2,0)*$F361),0)</f>
        <v>0</v>
      </c>
      <c r="Z361" s="56">
        <f>IFERROR((VLOOKUP($A361,'Dados StatusInvest'!$A:$AZ,COLUMN(Z361)-$A$5,0)),0)</f>
        <v>0.63</v>
      </c>
      <c r="AA361" s="57">
        <f>IFERROR((VLOOKUP($A361,'Dados StatusInvest'!$A:$AZ,COLUMN(AA361)-$A$5,0)),0)</f>
        <v>0.37</v>
      </c>
      <c r="AB361" s="57">
        <f>IFERROR((VLOOKUP($A361,'Dados StatusInvest'!$A:$AZ,COLUMN(AB361)-$A$5,0)),0)</f>
        <v>0.35</v>
      </c>
      <c r="AC361" s="58">
        <f>IFERROR((VLOOKUP($A361,'Dados StatusInvest'!$A:$AZ,COLUMN(AC361)-$A$5,0)),0)</f>
        <v>14.3</v>
      </c>
      <c r="AD361" s="57">
        <f>IFERROR((VLOOKUP($A361,'Dados StatusInvest'!$A:$AZ,COLUMN(AD361)-$A$5,0)),0)</f>
        <v>0</v>
      </c>
      <c r="AE361" s="56">
        <f>IFERROR((VLOOKUP($A361,'Dados StatusInvest'!$A:$AZ,COLUMN(AE361)-$A$5,0)),0)</f>
        <v>0</v>
      </c>
      <c r="AF361" s="56">
        <f>IFERROR((VLOOKUP($A361,'Dados StatusInvest'!$A:$AZ,COLUMN(AF361)-$A$5,0)),0)</f>
        <v>8.55</v>
      </c>
      <c r="AG361" s="56">
        <f>IFERROR((VLOOKUP($A361,'Dados StatusInvest'!$A:$AZ,COLUMN(AG361)-$A$5,0)),0)</f>
        <v>-0.41</v>
      </c>
      <c r="AH361" s="56">
        <f>IFERROR((VLOOKUP($A361,'Dados StatusInvest'!$A:$AZ,COLUMN(AH361)-$A$5,0)),0)</f>
        <v>0.13</v>
      </c>
      <c r="AI361" s="57">
        <f>IFERROR((VLOOKUP($A361,'Dados StatusInvest'!$A:$AZ,COLUMN(AI361)-$A$5,0)),0)</f>
        <v>7083895104</v>
      </c>
      <c r="AJ361" s="59" t="str">
        <f>IFERROR((VLOOKUP($A361,'Dados StatusInvest'!$A:$AZ,COLUMN(AJ361)-$A$5,0)),0)</f>
        <v/>
      </c>
      <c r="AK361" s="60" t="str">
        <f>IFERROR(__xludf.DUMMYFUNCTION("IFERROR(GOOGLEFINANCE($A361,""high""),"""")"),"")</f>
        <v/>
      </c>
      <c r="AL361" s="60" t="str">
        <f>IFERROR(__xludf.DUMMYFUNCTION("IFERROR(GOOGLEFINANCE($A361,""low""),"""")"),"")</f>
        <v/>
      </c>
      <c r="AM361" s="61">
        <f t="shared" si="2"/>
        <v>0</v>
      </c>
      <c r="AN361" s="62">
        <f>IFERROR(__xludf.DUMMYFUNCTION("IFERROR((GOOGLEFINANCE($A361,""volume"")),0)"),0.0)</f>
        <v>0</v>
      </c>
      <c r="AO361" s="60" t="str">
        <f>IFERROR(__xludf.DUMMYFUNCTION("IFERROR((GOOGLEFINANCE($A361,""closeyest"")),"""")"),"")</f>
        <v/>
      </c>
      <c r="AP361" s="60" t="str">
        <f>IFERROR(__xludf.DUMMYFUNCTION("IFERROR((GOOGLEFINANCE($A361,""shares"")),"""")"),"")</f>
        <v/>
      </c>
      <c r="AQ361" s="18"/>
    </row>
    <row r="362">
      <c r="A362" s="45" t="str">
        <f>'Dados StatusInvest'!A357:A976</f>
        <v>LIPR3</v>
      </c>
      <c r="B362" s="46" t="str">
        <f>IFERROR(__xludf.DUMMYFUNCTION("IFERROR((GOOGLEFINANCE(A362,""name"")),"""")"),"")</f>
        <v/>
      </c>
      <c r="C362" s="46" t="str">
        <f>IFERROR((VLOOKUP(LEFT($A362,4),Setor!$A:$E,3,0)),"")</f>
        <v>Utilidade Pública</v>
      </c>
      <c r="D362" s="46" t="str">
        <f>IFERROR((VLOOKUP(LEFT($A362,4),Setor!$A:$E,4,0)),"")</f>
        <v>Energia Elétrica</v>
      </c>
      <c r="E362" s="46" t="str">
        <f>IFERROR((VLOOKUP(LEFT($A362,4),Setor!$A:$E,5,0)),"")</f>
        <v>Energia Elétrica</v>
      </c>
      <c r="F362" s="47" t="str">
        <f>IFERROR(__xludf.DUMMYFUNCTION("IFERROR((GOOGLEFINANCE(A362)),"""")"),"")</f>
        <v/>
      </c>
      <c r="G362" s="48" t="str">
        <f>IFERROR(__xludf.DUMMYFUNCTION("IFERROR((sparkline(GOOGLEFINANCE($A362,""price"",TODAY()-30,TODAY(),""DAILY""),{""charttype"",""line"";""linewidth"",1;""color"",""#5f88cc""})),"""")"),"")</f>
        <v/>
      </c>
      <c r="H362" s="49" t="str">
        <f>IFERROR(__xludf.DUMMYFUNCTION("IFERROR((((GOOGLEFINANCE(A362))-(INDEX(GoogleFinance(A362,""PRICE"",$AQ$1),2,2)))/(INDEX(GoogleFinance(A362,""PRICE"",$AQ$1),2,2))),"""")"),"")</f>
        <v/>
      </c>
      <c r="I362" s="47" t="str">
        <f>IFERROR(__xludf.DUMMYFUNCTION("IFERROR((GOOGLEFINANCE($A362,""high52"")),"""")"),"")</f>
        <v/>
      </c>
      <c r="J362" s="48" t="str">
        <f>IFERROR(__xludf.DUMMYFUNCTION("IFERROR((sparkline(GOOGLEFINANCE($A362,""price"",TODAY()-365,TODAY(),""DAILY""),{""charttype"",""line"";""linewidth"",1;""color"",""#5f88cc""})),"""")"),"")</f>
        <v/>
      </c>
      <c r="K362" s="50" t="str">
        <f>IFERROR(__xludf.DUMMYFUNCTION("IFERROR((((GOOGLEFINANCE(A362))-(INDEX(GoogleFinance(A362,""PRICE"",$AP$1),2,2)))/(INDEX(GoogleFinance(A362,""PRICE"",$AP$1),2,2))),"""")"),"")</f>
        <v/>
      </c>
      <c r="L362" s="51">
        <f t="shared" si="1"/>
        <v>0</v>
      </c>
      <c r="M362" s="52">
        <f>IFERROR((VLOOKUP($A362,'Dados StatusInvest'!$A:$AZ,COLUMN(M362)-$A$5,0)*VLOOKUP($A362,'Dados StatusInvest'!$A:$AZ,2,0)/$F362/100),0)</f>
        <v>0</v>
      </c>
      <c r="N362" s="53">
        <f>IFERROR((VLOOKUP($A362,'Dados StatusInvest'!$A:$AZ,COLUMN(N362)-$A$5,0)/VLOOKUP($A362,'Dados StatusInvest'!$A:$AZ,2,0)*$F362),"")</f>
        <v>0</v>
      </c>
      <c r="O362" s="53">
        <f>IFERROR((VLOOKUP($A362,'Dados StatusInvest'!$A:$AZ,COLUMN(O362)-$A$5,0)/VLOOKUP($A362,'Dados StatusInvest'!$A:$AZ,2,0)*$F362),0)</f>
        <v>0</v>
      </c>
      <c r="P362" s="54">
        <f>IFERROR((VLOOKUP($A362,'Dados StatusInvest'!$A:$AZ,COLUMN(P362)-$A$5,0)/VLOOKUP($A362,'Dados StatusInvest'!$A:$AZ,2,0)*$F362),0)</f>
        <v>0</v>
      </c>
      <c r="Q362" s="55">
        <f>IFERROR((VLOOKUP($A362,'Dados StatusInvest'!$A:$AZ,COLUMN(Q362)-$A$5,0)/100),0)</f>
        <v>-0.0321</v>
      </c>
      <c r="R362" s="56">
        <f>VLOOKUP($A362,'Dados StatusInvest'!$A:$AZ,COLUMN(R362)-$A$5,0)</f>
        <v>-0.3</v>
      </c>
      <c r="S362" s="56">
        <f>IFERROR((VLOOKUP($A362,'Dados StatusInvest'!$A:$AZ,COLUMN(S362)-$A$5,0)),0)</f>
        <v>0</v>
      </c>
      <c r="T362" s="53">
        <f>IFERROR((VLOOKUP($A362,'Dados StatusInvest'!$A:$AZ,COLUMN(T362)-$A$5,0)/VLOOKUP($A362,'Dados StatusInvest'!$A:$AZ,2,0)*$F362),0)</f>
        <v>0</v>
      </c>
      <c r="U362" s="53">
        <f>IFERROR((VLOOKUP($A362,'Dados StatusInvest'!$A:$AZ,COLUMN(U362)-$A$5,0)-VLOOKUP($A362,'Dados StatusInvest'!$A:$AZ,COLUMN(U362)-$A$5-1,0)+T362),0)</f>
        <v>-9.11</v>
      </c>
      <c r="V362" s="56">
        <f>IFERROR((VLOOKUP($A362,'Dados StatusInvest'!$A:$AZ,COLUMN(V362)-$A$5,0)),0)</f>
        <v>6.18</v>
      </c>
      <c r="W362" s="56">
        <f>IFERROR((VLOOKUP($A362,'Dados StatusInvest'!$A:$AZ,COLUMN(W362)-$A$5,0)),0)</f>
        <v>10.96</v>
      </c>
      <c r="X362" s="53">
        <f>IFERROR((VLOOKUP($A362,'Dados StatusInvest'!$A:$AZ,COLUMN(X362)-$A$5,0)/VLOOKUP($A362,'Dados StatusInvest'!$A:$AZ,2,0)*$F362),0)</f>
        <v>0</v>
      </c>
      <c r="Y362" s="54">
        <f>IFERROR((VLOOKUP($A362,'Dados StatusInvest'!$A:$AZ,COLUMN(Y362)-$A$5,0)/VLOOKUP($A362,'Dados StatusInvest'!$A:$AZ,2,0)*$F362),0)</f>
        <v>0</v>
      </c>
      <c r="Z362" s="56">
        <f>IFERROR((VLOOKUP($A362,'Dados StatusInvest'!$A:$AZ,COLUMN(Z362)-$A$5,0)),0)</f>
        <v>0.94</v>
      </c>
      <c r="AA362" s="57">
        <f>IFERROR((VLOOKUP($A362,'Dados StatusInvest'!$A:$AZ,COLUMN(AA362)-$A$5,0)),0)</f>
        <v>0.06</v>
      </c>
      <c r="AB362" s="57">
        <f>IFERROR((VLOOKUP($A362,'Dados StatusInvest'!$A:$AZ,COLUMN(AB362)-$A$5,0)),0)</f>
        <v>0</v>
      </c>
      <c r="AC362" s="58">
        <f>IFERROR((VLOOKUP($A362,'Dados StatusInvest'!$A:$AZ,COLUMN(AC362)-$A$5,0)),0)</f>
        <v>0</v>
      </c>
      <c r="AD362" s="57">
        <f>IFERROR((VLOOKUP($A362,'Dados StatusInvest'!$A:$AZ,COLUMN(AD362)-$A$5,0)),0)</f>
        <v>0</v>
      </c>
      <c r="AE362" s="56">
        <f>IFERROR((VLOOKUP($A362,'Dados StatusInvest'!$A:$AZ,COLUMN(AE362)-$A$5,0)),0)</f>
        <v>3601</v>
      </c>
      <c r="AF362" s="56">
        <f>IFERROR((VLOOKUP($A362,'Dados StatusInvest'!$A:$AZ,COLUMN(AF362)-$A$5,0)),0)</f>
        <v>19.74</v>
      </c>
      <c r="AG362" s="56">
        <f>IFERROR((VLOOKUP($A362,'Dados StatusInvest'!$A:$AZ,COLUMN(AG362)-$A$5,0)),0)</f>
        <v>2.16</v>
      </c>
      <c r="AH362" s="56">
        <f>IFERROR((VLOOKUP($A362,'Dados StatusInvest'!$A:$AZ,COLUMN(AH362)-$A$5,0)),0)</f>
        <v>0.37</v>
      </c>
      <c r="AI362" s="57">
        <f>IFERROR((VLOOKUP($A362,'Dados StatusInvest'!$A:$AZ,COLUMN(AI362)-$A$5,0)),0)</f>
        <v>423653652.9</v>
      </c>
      <c r="AJ362" s="59" t="str">
        <f>IFERROR((VLOOKUP($A362,'Dados StatusInvest'!$A:$AZ,COLUMN(AJ362)-$A$5,0)),0)</f>
        <v/>
      </c>
      <c r="AK362" s="60" t="str">
        <f>IFERROR(__xludf.DUMMYFUNCTION("IFERROR(GOOGLEFINANCE($A362,""high""),"""")"),"")</f>
        <v/>
      </c>
      <c r="AL362" s="60" t="str">
        <f>IFERROR(__xludf.DUMMYFUNCTION("IFERROR(GOOGLEFINANCE($A362,""low""),"""")"),"")</f>
        <v/>
      </c>
      <c r="AM362" s="61">
        <f t="shared" si="2"/>
        <v>0</v>
      </c>
      <c r="AN362" s="62">
        <f>IFERROR(__xludf.DUMMYFUNCTION("IFERROR((GOOGLEFINANCE($A362,""volume"")),0)"),0.0)</f>
        <v>0</v>
      </c>
      <c r="AO362" s="60" t="str">
        <f>IFERROR(__xludf.DUMMYFUNCTION("IFERROR((GOOGLEFINANCE($A362,""closeyest"")),"""")"),"")</f>
        <v/>
      </c>
      <c r="AP362" s="60" t="str">
        <f>IFERROR(__xludf.DUMMYFUNCTION("IFERROR((GOOGLEFINANCE($A362,""shares"")),"""")"),"")</f>
        <v/>
      </c>
      <c r="AQ362" s="18"/>
    </row>
    <row r="363">
      <c r="A363" s="45" t="str">
        <f>'Dados StatusInvest'!A358:A977</f>
        <v>LJQQ3</v>
      </c>
      <c r="B363" s="46" t="str">
        <f>IFERROR(__xludf.DUMMYFUNCTION("IFERROR((GOOGLEFINANCE(A363,""name"")),"""")"),"Lojas Quero-Quero SA")</f>
        <v>Lojas Quero-Quero SA</v>
      </c>
      <c r="C363" s="46" t="str">
        <f>IFERROR((VLOOKUP(LEFT($A363,4),Setor!$A:$E,3,0)),"")</f>
        <v>Consumo Cíclico</v>
      </c>
      <c r="D363" s="46" t="str">
        <f>IFERROR((VLOOKUP(LEFT($A363,4),Setor!$A:$E,4,0)),"")</f>
        <v>Comércio</v>
      </c>
      <c r="E363" s="46" t="str">
        <f>IFERROR((VLOOKUP(LEFT($A363,4),Setor!$A:$E,5,0)),"")</f>
        <v>Produtos Diversos</v>
      </c>
      <c r="F363" s="47">
        <f>IFERROR(__xludf.DUMMYFUNCTION("IFERROR((GOOGLEFINANCE(A363)),"""")"),2.26)</f>
        <v>2.26</v>
      </c>
      <c r="G363" s="48" t="str">
        <f>IFERROR(__xludf.DUMMYFUNCTION("IFERROR((sparkline(GOOGLEFINANCE($A363,""price"",TODAY()-30,TODAY(),""DAILY""),{""charttype"",""line"";""linewidth"",1;""color"",""#5f88cc""})),"""")"),"")</f>
        <v/>
      </c>
      <c r="H363" s="49">
        <f>IFERROR(__xludf.DUMMYFUNCTION("IFERROR((((GOOGLEFINANCE(A363))-(INDEX(GoogleFinance(A363,""PRICE"",$AQ$1),2,2)))/(INDEX(GoogleFinance(A363,""PRICE"",$AQ$1),2,2))),"""")"),-0.062240663900415084)</f>
        <v>-0.0622406639</v>
      </c>
      <c r="I363" s="47">
        <f>IFERROR(__xludf.DUMMYFUNCTION("IFERROR((GOOGLEFINANCE($A363,""high52"")),"""")"),3.42)</f>
        <v>3.42</v>
      </c>
      <c r="J363" s="48" t="str">
        <f>IFERROR(__xludf.DUMMYFUNCTION("IFERROR((sparkline(GOOGLEFINANCE($A363,""price"",TODAY()-365,TODAY(),""DAILY""),{""charttype"",""line"";""linewidth"",1;""color"",""#5f88cc""})),"""")"),"")</f>
        <v/>
      </c>
      <c r="K363" s="50">
        <f>IFERROR(__xludf.DUMMYFUNCTION("IFERROR((((GOOGLEFINANCE(A363))-(INDEX(GoogleFinance(A363,""PRICE"",$AP$1),2,2)))/(INDEX(GoogleFinance(A363,""PRICE"",$AP$1),2,2))),"""")"),-0.004405286343612437)</f>
        <v>-0.004405286344</v>
      </c>
      <c r="L363" s="51">
        <f t="shared" si="1"/>
        <v>-0.3391812865</v>
      </c>
      <c r="M363" s="52">
        <f>IFERROR((VLOOKUP($A363,'Dados StatusInvest'!$A:$AZ,COLUMN(M363)-$A$5,0)*VLOOKUP($A363,'Dados StatusInvest'!$A:$AZ,2,0)/$F363/100),0)</f>
        <v>0.01363716814</v>
      </c>
      <c r="N363" s="53">
        <f>IFERROR((VLOOKUP($A363,'Dados StatusInvest'!$A:$AZ,COLUMN(N363)-$A$5,0)/VLOOKUP($A363,'Dados StatusInvest'!$A:$AZ,2,0)*$F363),"")</f>
        <v>-4.018869565</v>
      </c>
      <c r="O363" s="53">
        <f>IFERROR((VLOOKUP($A363,'Dados StatusInvest'!$A:$AZ,COLUMN(O363)-$A$5,0)/VLOOKUP($A363,'Dados StatusInvest'!$A:$AZ,2,0)*$F363),0)</f>
        <v>12.61669565</v>
      </c>
      <c r="P363" s="54">
        <f>IFERROR((VLOOKUP($A363,'Dados StatusInvest'!$A:$AZ,COLUMN(P363)-$A$5,0)/VLOOKUP($A363,'Dados StatusInvest'!$A:$AZ,2,0)*$F363),0)</f>
        <v>13.37330435</v>
      </c>
      <c r="Q363" s="55">
        <f>IFERROR((VLOOKUP($A363,'Dados StatusInvest'!$A:$AZ,COLUMN(Q363)-$A$5,0)/100),0)</f>
        <v>0.0077</v>
      </c>
      <c r="R363" s="56">
        <f>VLOOKUP($A363,'Dados StatusInvest'!$A:$AZ,COLUMN(R363)-$A$5,0)</f>
        <v>0.06</v>
      </c>
      <c r="S363" s="56">
        <f>IFERROR((VLOOKUP($A363,'Dados StatusInvest'!$A:$AZ,COLUMN(S363)-$A$5,0)),0)</f>
        <v>0.17</v>
      </c>
      <c r="T363" s="53">
        <f>IFERROR((VLOOKUP($A363,'Dados StatusInvest'!$A:$AZ,COLUMN(T363)-$A$5,0)/VLOOKUP($A363,'Dados StatusInvest'!$A:$AZ,2,0)*$F363),0)</f>
        <v>0.452</v>
      </c>
      <c r="U363" s="53">
        <f>IFERROR((VLOOKUP($A363,'Dados StatusInvest'!$A:$AZ,COLUMN(U363)-$A$5,0)-VLOOKUP($A363,'Dados StatusInvest'!$A:$AZ,COLUMN(U363)-$A$5-1,0)+T363),0)</f>
        <v>-0.478</v>
      </c>
      <c r="V363" s="56">
        <f>IFERROR((VLOOKUP($A363,'Dados StatusInvest'!$A:$AZ,COLUMN(V363)-$A$5,0)),0)</f>
        <v>1.64</v>
      </c>
      <c r="W363" s="56">
        <f>IFERROR((VLOOKUP($A363,'Dados StatusInvest'!$A:$AZ,COLUMN(W363)-$A$5,0)),0)</f>
        <v>-25.21</v>
      </c>
      <c r="X363" s="53">
        <f>IFERROR((VLOOKUP($A363,'Dados StatusInvest'!$A:$AZ,COLUMN(X363)-$A$5,0)/VLOOKUP($A363,'Dados StatusInvest'!$A:$AZ,2,0)*$F363),0)</f>
        <v>-3.026434783</v>
      </c>
      <c r="Y363" s="54">
        <f>IFERROR((VLOOKUP($A363,'Dados StatusInvest'!$A:$AZ,COLUMN(Y363)-$A$5,0)/VLOOKUP($A363,'Dados StatusInvest'!$A:$AZ,2,0)*$F363),0)</f>
        <v>3.046086957</v>
      </c>
      <c r="Z363" s="56">
        <f>IFERROR((VLOOKUP($A363,'Dados StatusInvest'!$A:$AZ,COLUMN(Z363)-$A$5,0)),0)</f>
        <v>0.12</v>
      </c>
      <c r="AA363" s="57">
        <f>IFERROR((VLOOKUP($A363,'Dados StatusInvest'!$A:$AZ,COLUMN(AA363)-$A$5,0)),0)</f>
        <v>0.88</v>
      </c>
      <c r="AB363" s="57">
        <f>IFERROR((VLOOKUP($A363,'Dados StatusInvest'!$A:$AZ,COLUMN(AB363)-$A$5,0)),0)</f>
        <v>0.75</v>
      </c>
      <c r="AC363" s="58">
        <f>IFERROR((VLOOKUP($A363,'Dados StatusInvest'!$A:$AZ,COLUMN(AC363)-$A$5,0)),0)</f>
        <v>14.68</v>
      </c>
      <c r="AD363" s="57">
        <f>IFERROR((VLOOKUP($A363,'Dados StatusInvest'!$A:$AZ,COLUMN(AD363)-$A$5,0)),0)</f>
        <v>0</v>
      </c>
      <c r="AE363" s="56">
        <f>IFERROR((VLOOKUP($A363,'Dados StatusInvest'!$A:$AZ,COLUMN(AE363)-$A$5,0)),0)</f>
        <v>7529668</v>
      </c>
      <c r="AF363" s="56">
        <f>IFERROR((VLOOKUP($A363,'Dados StatusInvest'!$A:$AZ,COLUMN(AF363)-$A$5,0)),0)</f>
        <v>2.17</v>
      </c>
      <c r="AG363" s="56">
        <f>IFERROR((VLOOKUP($A363,'Dados StatusInvest'!$A:$AZ,COLUMN(AG363)-$A$5,0)),0)</f>
        <v>-0.55</v>
      </c>
      <c r="AH363" s="56">
        <f>IFERROR((VLOOKUP($A363,'Dados StatusInvest'!$A:$AZ,COLUMN(AH363)-$A$5,0)),0)</f>
        <v>0.01</v>
      </c>
      <c r="AI363" s="57">
        <f>IFERROR((VLOOKUP($A363,'Dados StatusInvest'!$A:$AZ,COLUMN(AI363)-$A$5,0)),0)</f>
        <v>475909704.9</v>
      </c>
      <c r="AJ363" s="59" t="str">
        <f>IFERROR((VLOOKUP($A363,'Dados StatusInvest'!$A:$AZ,COLUMN(AJ363)-$A$5,0)),0)</f>
        <v/>
      </c>
      <c r="AK363" s="60">
        <f>IFERROR(__xludf.DUMMYFUNCTION("IFERROR(GOOGLEFINANCE($A363,""high""),"""")"),2.31)</f>
        <v>2.31</v>
      </c>
      <c r="AL363" s="60">
        <f>IFERROR(__xludf.DUMMYFUNCTION("IFERROR(GOOGLEFINANCE($A363,""low""),"""")"),2.22)</f>
        <v>2.22</v>
      </c>
      <c r="AM363" s="61">
        <f t="shared" si="2"/>
        <v>0.04054054054</v>
      </c>
      <c r="AN363" s="62">
        <f>IFERROR(__xludf.DUMMYFUNCTION("IFERROR((GOOGLEFINANCE($A363,""volume"")),0)"),486700.0)</f>
        <v>486700</v>
      </c>
      <c r="AO363" s="60">
        <f>IFERROR(__xludf.DUMMYFUNCTION("IFERROR((GOOGLEFINANCE($A363,""closeyest"")),"""")"),2.3)</f>
        <v>2.3</v>
      </c>
      <c r="AP363" s="60">
        <f>IFERROR(__xludf.DUMMYFUNCTION("IFERROR((GOOGLEFINANCE($A363,""shares"")),"""")"),2.06917263E8)</f>
        <v>206917263</v>
      </c>
      <c r="AQ363" s="18"/>
    </row>
    <row r="364">
      <c r="A364" s="45" t="str">
        <f>'Dados StatusInvest'!A359:A978</f>
        <v>LOGG3</v>
      </c>
      <c r="B364" s="46" t="str">
        <f>IFERROR(__xludf.DUMMYFUNCTION("IFERROR((GOOGLEFINANCE(A364,""name"")),"""")"),"Log Commercial Prprts  Prtcpcs S")</f>
        <v>Log Commercial Prprts  Prtcpcs S</v>
      </c>
      <c r="C364" s="46" t="str">
        <f>IFERROR((VLOOKUP(LEFT($A364,4),Setor!$A:$E,3,0)),"")</f>
        <v>Financeiro</v>
      </c>
      <c r="D364" s="46" t="str">
        <f>IFERROR((VLOOKUP(LEFT($A364,4),Setor!$A:$E,4,0)),"")</f>
        <v>Exploração de Imóveis</v>
      </c>
      <c r="E364" s="46" t="str">
        <f>IFERROR((VLOOKUP(LEFT($A364,4),Setor!$A:$E,5,0)),"")</f>
        <v>Exploração de Imóveis</v>
      </c>
      <c r="F364" s="47">
        <f>IFERROR(__xludf.DUMMYFUNCTION("IFERROR((GOOGLEFINANCE(A364)),"""")"),27.05)</f>
        <v>27.05</v>
      </c>
      <c r="G364" s="48" t="str">
        <f>IFERROR(__xludf.DUMMYFUNCTION("IFERROR((sparkline(GOOGLEFINANCE($A364,""price"",TODAY()-30,TODAY(),""DAILY""),{""charttype"",""line"";""linewidth"",1;""color"",""#5f88cc""})),"""")"),"")</f>
        <v/>
      </c>
      <c r="H364" s="49">
        <f>IFERROR(__xludf.DUMMYFUNCTION("IFERROR((((GOOGLEFINANCE(A364))-(INDEX(GoogleFinance(A364,""PRICE"",$AQ$1),2,2)))/(INDEX(GoogleFinance(A364,""PRICE"",$AQ$1),2,2))),"""")"),0.03204883632201449)</f>
        <v>0.03204883632</v>
      </c>
      <c r="I364" s="47">
        <f>IFERROR(__xludf.DUMMYFUNCTION("IFERROR((GOOGLEFINANCE($A364,""high52"")),"""")"),28.87)</f>
        <v>28.87</v>
      </c>
      <c r="J364" s="48" t="str">
        <f>IFERROR(__xludf.DUMMYFUNCTION("IFERROR((sparkline(GOOGLEFINANCE($A364,""price"",TODAY()-365,TODAY(),""DAILY""),{""charttype"",""line"";""linewidth"",1;""color"",""#5f88cc""})),"""")"),"")</f>
        <v/>
      </c>
      <c r="K364" s="50">
        <f>IFERROR(__xludf.DUMMYFUNCTION("IFERROR((((GOOGLEFINANCE(A364))-(INDEX(GoogleFinance(A364,""PRICE"",$AP$1),2,2)))/(INDEX(GoogleFinance(A364,""PRICE"",$AP$1),2,2))),"""")"),0.42970401691331916)</f>
        <v>0.4297040169</v>
      </c>
      <c r="L364" s="51">
        <f t="shared" si="1"/>
        <v>-0.06304121926</v>
      </c>
      <c r="M364" s="52">
        <f>IFERROR((VLOOKUP($A364,'Dados StatusInvest'!$A:$AZ,COLUMN(M364)-$A$5,0)*VLOOKUP($A364,'Dados StatusInvest'!$A:$AZ,2,0)/$F364/100),0)</f>
        <v>2.476758595</v>
      </c>
      <c r="N364" s="53">
        <f>IFERROR((VLOOKUP($A364,'Dados StatusInvest'!$A:$AZ,COLUMN(N364)-$A$5,0)/VLOOKUP($A364,'Dados StatusInvest'!$A:$AZ,2,0)*$F364),"")</f>
        <v>159.4458272</v>
      </c>
      <c r="O364" s="53">
        <f>IFERROR((VLOOKUP($A364,'Dados StatusInvest'!$A:$AZ,COLUMN(O364)-$A$5,0)/VLOOKUP($A364,'Dados StatusInvest'!$A:$AZ,2,0)*$F364),0)</f>
        <v>4.027665441</v>
      </c>
      <c r="P364" s="54">
        <f>IFERROR((VLOOKUP($A364,'Dados StatusInvest'!$A:$AZ,COLUMN(P364)-$A$5,0)/VLOOKUP($A364,'Dados StatusInvest'!$A:$AZ,2,0)*$F364),0)</f>
        <v>7.289577206</v>
      </c>
      <c r="Q364" s="55">
        <f>IFERROR((VLOOKUP($A364,'Dados StatusInvest'!$A:$AZ,COLUMN(Q364)-$A$5,0)/100),0)</f>
        <v>0.0328</v>
      </c>
      <c r="R364" s="56">
        <f>VLOOKUP($A364,'Dados StatusInvest'!$A:$AZ,COLUMN(R364)-$A$5,0)</f>
        <v>0.5</v>
      </c>
      <c r="S364" s="56">
        <f>IFERROR((VLOOKUP($A364,'Dados StatusInvest'!$A:$AZ,COLUMN(S364)-$A$5,0)),0)</f>
        <v>9.98</v>
      </c>
      <c r="T364" s="53">
        <f>IFERROR((VLOOKUP($A364,'Dados StatusInvest'!$A:$AZ,COLUMN(T364)-$A$5,0)/VLOOKUP($A364,'Dados StatusInvest'!$A:$AZ,2,0)*$F364),0)</f>
        <v>7.687371324</v>
      </c>
      <c r="U364" s="53">
        <f>IFERROR((VLOOKUP($A364,'Dados StatusInvest'!$A:$AZ,COLUMN(U364)-$A$5,0)-VLOOKUP($A364,'Dados StatusInvest'!$A:$AZ,COLUMN(U364)-$A$5-1,0)+T364),0)</f>
        <v>-0.4526286765</v>
      </c>
      <c r="V364" s="56">
        <f>IFERROR((VLOOKUP($A364,'Dados StatusInvest'!$A:$AZ,COLUMN(V364)-$A$5,0)),0)</f>
        <v>1.32</v>
      </c>
      <c r="W364" s="56">
        <f>IFERROR((VLOOKUP($A364,'Dados StatusInvest'!$A:$AZ,COLUMN(W364)-$A$5,0)),0)</f>
        <v>10.02</v>
      </c>
      <c r="X364" s="53">
        <f>IFERROR((VLOOKUP($A364,'Dados StatusInvest'!$A:$AZ,COLUMN(X364)-$A$5,0)/VLOOKUP($A364,'Dados StatusInvest'!$A:$AZ,2,0)*$F364),0)</f>
        <v>5.330441176</v>
      </c>
      <c r="Y364" s="54">
        <f>IFERROR((VLOOKUP($A364,'Dados StatusInvest'!$A:$AZ,COLUMN(Y364)-$A$5,0)/VLOOKUP($A364,'Dados StatusInvest'!$A:$AZ,2,0)*$F364),0)</f>
        <v>8.274117647</v>
      </c>
      <c r="Z364" s="56">
        <f>IFERROR((VLOOKUP($A364,'Dados StatusInvest'!$A:$AZ,COLUMN(Z364)-$A$5,0)),0)</f>
        <v>0.54</v>
      </c>
      <c r="AA364" s="57">
        <f>IFERROR((VLOOKUP($A364,'Dados StatusInvest'!$A:$AZ,COLUMN(AA364)-$A$5,0)),0)</f>
        <v>0.46</v>
      </c>
      <c r="AB364" s="57">
        <f>IFERROR((VLOOKUP($A364,'Dados StatusInvest'!$A:$AZ,COLUMN(AB364)-$A$5,0)),0)</f>
        <v>0.03</v>
      </c>
      <c r="AC364" s="58">
        <f>IFERROR((VLOOKUP($A364,'Dados StatusInvest'!$A:$AZ,COLUMN(AC364)-$A$5,0)),0)</f>
        <v>11.41</v>
      </c>
      <c r="AD364" s="57">
        <f>IFERROR((VLOOKUP($A364,'Dados StatusInvest'!$A:$AZ,COLUMN(AD364)-$A$5,0)),0)</f>
        <v>33.6</v>
      </c>
      <c r="AE364" s="56">
        <f>IFERROR((VLOOKUP($A364,'Dados StatusInvest'!$A:$AZ,COLUMN(AE364)-$A$5,0)),0)</f>
        <v>11479625</v>
      </c>
      <c r="AF364" s="56">
        <f>IFERROR((VLOOKUP($A364,'Dados StatusInvest'!$A:$AZ,COLUMN(AF364)-$A$5,0)),0)</f>
        <v>43.62</v>
      </c>
      <c r="AG364" s="56">
        <f>IFERROR((VLOOKUP($A364,'Dados StatusInvest'!$A:$AZ,COLUMN(AG364)-$A$5,0)),0)</f>
        <v>4.37</v>
      </c>
      <c r="AH364" s="56">
        <f>IFERROR((VLOOKUP($A364,'Dados StatusInvest'!$A:$AZ,COLUMN(AH364)-$A$5,0)),0)</f>
        <v>0.3</v>
      </c>
      <c r="AI364" s="57">
        <f>IFERROR((VLOOKUP($A364,'Dados StatusInvest'!$A:$AZ,COLUMN(AI364)-$A$5,0)),0)</f>
        <v>2389768989</v>
      </c>
      <c r="AJ364" s="59" t="str">
        <f>IFERROR((VLOOKUP($A364,'Dados StatusInvest'!$A:$AZ,COLUMN(AJ364)-$A$5,0)),0)</f>
        <v/>
      </c>
      <c r="AK364" s="60">
        <f>IFERROR(__xludf.DUMMYFUNCTION("IFERROR(GOOGLEFINANCE($A364,""high""),"""")"),27.14)</f>
        <v>27.14</v>
      </c>
      <c r="AL364" s="60">
        <f>IFERROR(__xludf.DUMMYFUNCTION("IFERROR(GOOGLEFINANCE($A364,""low""),"""")"),26.99)</f>
        <v>26.99</v>
      </c>
      <c r="AM364" s="61">
        <f t="shared" si="2"/>
        <v>0.005557613931</v>
      </c>
      <c r="AN364" s="62">
        <f>IFERROR(__xludf.DUMMYFUNCTION("IFERROR((GOOGLEFINANCE($A364,""volume"")),0)"),7900.0)</f>
        <v>7900</v>
      </c>
      <c r="AO364" s="60">
        <f>IFERROR(__xludf.DUMMYFUNCTION("IFERROR((GOOGLEFINANCE($A364,""closeyest"")),"""")"),27.2)</f>
        <v>27.2</v>
      </c>
      <c r="AP364" s="60">
        <f>IFERROR(__xludf.DUMMYFUNCTION("IFERROR((GOOGLEFINANCE($A364,""shares"")),"""")"),8.7859154E7)</f>
        <v>87859154</v>
      </c>
      <c r="AQ364" s="18"/>
    </row>
    <row r="365">
      <c r="A365" s="45" t="str">
        <f>'Dados StatusInvest'!A360:A979</f>
        <v>LOGN3</v>
      </c>
      <c r="B365" s="46" t="str">
        <f>IFERROR(__xludf.DUMMYFUNCTION("IFERROR((GOOGLEFINANCE(A365,""name"")),"""")"),"Log-in Logistica Intermodal SA")</f>
        <v>Log-in Logistica Intermodal SA</v>
      </c>
      <c r="C365" s="46" t="str">
        <f>IFERROR((VLOOKUP(LEFT($A365,4),Setor!$A:$E,3,0)),"")</f>
        <v>Bens Industriais</v>
      </c>
      <c r="D365" s="46" t="str">
        <f>IFERROR((VLOOKUP(LEFT($A365,4),Setor!$A:$E,4,0)),"")</f>
        <v>Transporte</v>
      </c>
      <c r="E365" s="46" t="str">
        <f>IFERROR((VLOOKUP(LEFT($A365,4),Setor!$A:$E,5,0)),"")</f>
        <v>Transporte Hidroviário</v>
      </c>
      <c r="F365" s="47">
        <f>IFERROR(__xludf.DUMMYFUNCTION("IFERROR((GOOGLEFINANCE(A365)),"""")"),32.26)</f>
        <v>32.26</v>
      </c>
      <c r="G365" s="48" t="str">
        <f>IFERROR(__xludf.DUMMYFUNCTION("IFERROR((sparkline(GOOGLEFINANCE($A365,""price"",TODAY()-30,TODAY(),""DAILY""),{""charttype"",""line"";""linewidth"",1;""color"",""#5f88cc""})),"""")"),"")</f>
        <v/>
      </c>
      <c r="H365" s="49">
        <f>IFERROR(__xludf.DUMMYFUNCTION("IFERROR((((GOOGLEFINANCE(A365))-(INDEX(GoogleFinance(A365,""PRICE"",$AQ$1),2,2)))/(INDEX(GoogleFinance(A365,""PRICE"",$AQ$1),2,2))),"""")"),-0.0012383900928792306)</f>
        <v>-0.001238390093</v>
      </c>
      <c r="I365" s="47">
        <f>IFERROR(__xludf.DUMMYFUNCTION("IFERROR((GOOGLEFINANCE($A365,""high52"")),"""")"),40.15)</f>
        <v>40.15</v>
      </c>
      <c r="J365" s="48" t="str">
        <f>IFERROR(__xludf.DUMMYFUNCTION("IFERROR((sparkline(GOOGLEFINANCE($A365,""price"",TODAY()-365,TODAY(),""DAILY""),{""charttype"",""line"";""linewidth"",1;""color"",""#5f88cc""})),"""")"),"")</f>
        <v/>
      </c>
      <c r="K365" s="50">
        <f>IFERROR(__xludf.DUMMYFUNCTION("IFERROR((((GOOGLEFINANCE(A365))-(INDEX(GoogleFinance(A365,""PRICE"",$AP$1),2,2)))/(INDEX(GoogleFinance(A365,""PRICE"",$AP$1),2,2))),"""")"),0.5289099526066349)</f>
        <v>0.5289099526</v>
      </c>
      <c r="L365" s="51">
        <f t="shared" si="1"/>
        <v>-0.196513076</v>
      </c>
      <c r="M365" s="52">
        <f>IFERROR((VLOOKUP($A365,'Dados StatusInvest'!$A:$AZ,COLUMN(M365)-$A$5,0)*VLOOKUP($A365,'Dados StatusInvest'!$A:$AZ,2,0)/$F365/100),0)</f>
        <v>0.1329</v>
      </c>
      <c r="N365" s="53">
        <f>IFERROR((VLOOKUP($A365,'Dados StatusInvest'!$A:$AZ,COLUMN(N365)-$A$5,0)/VLOOKUP($A365,'Dados StatusInvest'!$A:$AZ,2,0)*$F365),"")</f>
        <v>4.06</v>
      </c>
      <c r="O365" s="53">
        <f>IFERROR((VLOOKUP($A365,'Dados StatusInvest'!$A:$AZ,COLUMN(O365)-$A$5,0)/VLOOKUP($A365,'Dados StatusInvest'!$A:$AZ,2,0)*$F365),0)</f>
        <v>8.67</v>
      </c>
      <c r="P365" s="54">
        <f>IFERROR((VLOOKUP($A365,'Dados StatusInvest'!$A:$AZ,COLUMN(P365)-$A$5,0)/VLOOKUP($A365,'Dados StatusInvest'!$A:$AZ,2,0)*$F365),0)</f>
        <v>12.23</v>
      </c>
      <c r="Q365" s="55">
        <f>IFERROR((VLOOKUP($A365,'Dados StatusInvest'!$A:$AZ,COLUMN(Q365)-$A$5,0)/100),0)</f>
        <v>0.0356</v>
      </c>
      <c r="R365" s="56">
        <f>VLOOKUP($A365,'Dados StatusInvest'!$A:$AZ,COLUMN(R365)-$A$5,0)</f>
        <v>1.33</v>
      </c>
      <c r="S365" s="56">
        <f>IFERROR((VLOOKUP($A365,'Dados StatusInvest'!$A:$AZ,COLUMN(S365)-$A$5,0)),0)</f>
        <v>1.15</v>
      </c>
      <c r="T365" s="53">
        <f>IFERROR((VLOOKUP($A365,'Dados StatusInvest'!$A:$AZ,COLUMN(T365)-$A$5,0)/VLOOKUP($A365,'Dados StatusInvest'!$A:$AZ,2,0)*$F365),0)</f>
        <v>27.09</v>
      </c>
      <c r="U365" s="53">
        <f>IFERROR((VLOOKUP($A365,'Dados StatusInvest'!$A:$AZ,COLUMN(U365)-$A$5,0)-VLOOKUP($A365,'Dados StatusInvest'!$A:$AZ,COLUMN(U365)-$A$5-1,0)+T365),0)</f>
        <v>-1.2</v>
      </c>
      <c r="V365" s="56">
        <f>IFERROR((VLOOKUP($A365,'Dados StatusInvest'!$A:$AZ,COLUMN(V365)-$A$5,0)),0)</f>
        <v>1.13</v>
      </c>
      <c r="W365" s="56">
        <f>IFERROR((VLOOKUP($A365,'Dados StatusInvest'!$A:$AZ,COLUMN(W365)-$A$5,0)),0)</f>
        <v>11.42</v>
      </c>
      <c r="X365" s="53">
        <f>IFERROR((VLOOKUP($A365,'Dados StatusInvest'!$A:$AZ,COLUMN(X365)-$A$5,0)/VLOOKUP($A365,'Dados StatusInvest'!$A:$AZ,2,0)*$F365),0)</f>
        <v>3.05</v>
      </c>
      <c r="Y365" s="54">
        <f>IFERROR((VLOOKUP($A365,'Dados StatusInvest'!$A:$AZ,COLUMN(Y365)-$A$5,0)/VLOOKUP($A365,'Dados StatusInvest'!$A:$AZ,2,0)*$F365),0)</f>
        <v>10.01</v>
      </c>
      <c r="Z365" s="56">
        <f>IFERROR((VLOOKUP($A365,'Dados StatusInvest'!$A:$AZ,COLUMN(Z365)-$A$5,0)),0)</f>
        <v>0.27</v>
      </c>
      <c r="AA365" s="57">
        <f>IFERROR((VLOOKUP($A365,'Dados StatusInvest'!$A:$AZ,COLUMN(AA365)-$A$5,0)),0)</f>
        <v>0.73</v>
      </c>
      <c r="AB365" s="57">
        <f>IFERROR((VLOOKUP($A365,'Dados StatusInvest'!$A:$AZ,COLUMN(AB365)-$A$5,0)),0)</f>
        <v>0.75</v>
      </c>
      <c r="AC365" s="58">
        <f>IFERROR((VLOOKUP($A365,'Dados StatusInvest'!$A:$AZ,COLUMN(AC365)-$A$5,0)),0)</f>
        <v>21.58</v>
      </c>
      <c r="AD365" s="57">
        <f>IFERROR((VLOOKUP($A365,'Dados StatusInvest'!$A:$AZ,COLUMN(AD365)-$A$5,0)),0)</f>
        <v>61.36</v>
      </c>
      <c r="AE365" s="56">
        <f>IFERROR((VLOOKUP($A365,'Dados StatusInvest'!$A:$AZ,COLUMN(AE365)-$A$5,0)),0)</f>
        <v>1222356</v>
      </c>
      <c r="AF365" s="56">
        <f>IFERROR((VLOOKUP($A365,'Dados StatusInvest'!$A:$AZ,COLUMN(AF365)-$A$5,0)),0)</f>
        <v>9.93</v>
      </c>
      <c r="AG365" s="56">
        <f>IFERROR((VLOOKUP($A365,'Dados StatusInvest'!$A:$AZ,COLUMN(AG365)-$A$5,0)),0)</f>
        <v>1.13</v>
      </c>
      <c r="AH365" s="56">
        <f>IFERROR((VLOOKUP($A365,'Dados StatusInvest'!$A:$AZ,COLUMN(AH365)-$A$5,0)),0)</f>
        <v>-0.06</v>
      </c>
      <c r="AI365" s="57">
        <f>IFERROR((VLOOKUP($A365,'Dados StatusInvest'!$A:$AZ,COLUMN(AI365)-$A$5,0)),0)</f>
        <v>3461707238</v>
      </c>
      <c r="AJ365" s="59" t="str">
        <f>IFERROR((VLOOKUP($A365,'Dados StatusInvest'!$A:$AZ,COLUMN(AJ365)-$A$5,0)),0)</f>
        <v/>
      </c>
      <c r="AK365" s="60" t="str">
        <f>IFERROR(__xludf.DUMMYFUNCTION("IFERROR(GOOGLEFINANCE($A365,""high""),"""")"),"")</f>
        <v/>
      </c>
      <c r="AL365" s="60" t="str">
        <f>IFERROR(__xludf.DUMMYFUNCTION("IFERROR(GOOGLEFINANCE($A365,""low""),"""")"),"")</f>
        <v/>
      </c>
      <c r="AM365" s="61">
        <f t="shared" si="2"/>
        <v>0</v>
      </c>
      <c r="AN365" s="62">
        <f>IFERROR(__xludf.DUMMYFUNCTION("IFERROR((GOOGLEFINANCE($A365,""volume"")),0)"),0.0)</f>
        <v>0</v>
      </c>
      <c r="AO365" s="60">
        <f>IFERROR(__xludf.DUMMYFUNCTION("IFERROR((GOOGLEFINANCE($A365,""closeyest"")),"""")"),32.26)</f>
        <v>32.26</v>
      </c>
      <c r="AP365" s="60">
        <f>IFERROR(__xludf.DUMMYFUNCTION("IFERROR((GOOGLEFINANCE($A365,""shares"")),"""")"),1.07306486E8)</f>
        <v>107306486</v>
      </c>
      <c r="AQ365" s="18"/>
    </row>
    <row r="366">
      <c r="A366" s="45" t="str">
        <f>'Dados StatusInvest'!A361:A980</f>
        <v>LPSB3</v>
      </c>
      <c r="B366" s="46" t="str">
        <f>IFERROR(__xludf.DUMMYFUNCTION("IFERROR((GOOGLEFINANCE(A366,""name"")),"""")"),"LPS Brasil Consultoria de Imoveis SA")</f>
        <v>LPS Brasil Consultoria de Imoveis SA</v>
      </c>
      <c r="C366" s="46" t="str">
        <f>IFERROR((VLOOKUP(LEFT($A366,4),Setor!$A:$E,3,0)),"")</f>
        <v>Financeiro</v>
      </c>
      <c r="D366" s="46" t="str">
        <f>IFERROR((VLOOKUP(LEFT($A366,4),Setor!$A:$E,4,0)),"")</f>
        <v>Exploração de Imóveis</v>
      </c>
      <c r="E366" s="46" t="str">
        <f>IFERROR((VLOOKUP(LEFT($A366,4),Setor!$A:$E,5,0)),"")</f>
        <v>Intermediação Imobiliária</v>
      </c>
      <c r="F366" s="47">
        <f>IFERROR(__xludf.DUMMYFUNCTION("IFERROR((GOOGLEFINANCE(A366)),"""")"),1.84)</f>
        <v>1.84</v>
      </c>
      <c r="G366" s="48" t="str">
        <f>IFERROR(__xludf.DUMMYFUNCTION("IFERROR((sparkline(GOOGLEFINANCE($A366,""price"",TODAY()-30,TODAY(),""DAILY""),{""charttype"",""line"";""linewidth"",1;""color"",""#5f88cc""})),"""")"),"")</f>
        <v/>
      </c>
      <c r="H366" s="49">
        <f>IFERROR(__xludf.DUMMYFUNCTION("IFERROR((((GOOGLEFINANCE(A366))-(INDEX(GoogleFinance(A366,""PRICE"",$AQ$1),2,2)))/(INDEX(GoogleFinance(A366,""PRICE"",$AQ$1),2,2))),"""")"),0.15)</f>
        <v>0.15</v>
      </c>
      <c r="I366" s="47">
        <f>IFERROR(__xludf.DUMMYFUNCTION("IFERROR((GOOGLEFINANCE($A366,""high52"")),"""")"),2.14)</f>
        <v>2.14</v>
      </c>
      <c r="J366" s="48" t="str">
        <f>IFERROR(__xludf.DUMMYFUNCTION("IFERROR((sparkline(GOOGLEFINANCE($A366,""price"",TODAY()-365,TODAY(),""DAILY""),{""charttype"",""line"";""linewidth"",1;""color"",""#5f88cc""})),"""")"),"")</f>
        <v/>
      </c>
      <c r="K366" s="50">
        <f>IFERROR(__xludf.DUMMYFUNCTION("IFERROR((((GOOGLEFINANCE(A366))-(INDEX(GoogleFinance(A366,""PRICE"",$AP$1),2,2)))/(INDEX(GoogleFinance(A366,""PRICE"",$AP$1),2,2))),"""")"),0.4488188976377953)</f>
        <v>0.4488188976</v>
      </c>
      <c r="L366" s="51">
        <f t="shared" si="1"/>
        <v>-0.1401869159</v>
      </c>
      <c r="M366" s="52">
        <f>IFERROR((VLOOKUP($A366,'Dados StatusInvest'!$A:$AZ,COLUMN(M366)-$A$5,0)*VLOOKUP($A366,'Dados StatusInvest'!$A:$AZ,2,0)/$F366/100),0)</f>
        <v>0.2364423913</v>
      </c>
      <c r="N366" s="53">
        <f>IFERROR((VLOOKUP($A366,'Dados StatusInvest'!$A:$AZ,COLUMN(N366)-$A$5,0)/VLOOKUP($A366,'Dados StatusInvest'!$A:$AZ,2,0)*$F366),"")</f>
        <v>19.25075269</v>
      </c>
      <c r="O366" s="53">
        <f>IFERROR((VLOOKUP($A366,'Dados StatusInvest'!$A:$AZ,COLUMN(O366)-$A$5,0)/VLOOKUP($A366,'Dados StatusInvest'!$A:$AZ,2,0)*$F366),0)</f>
        <v>5.589247312</v>
      </c>
      <c r="P366" s="54">
        <f>IFERROR((VLOOKUP($A366,'Dados StatusInvest'!$A:$AZ,COLUMN(P366)-$A$5,0)/VLOOKUP($A366,'Dados StatusInvest'!$A:$AZ,2,0)*$F366),0)</f>
        <v>3.798709677</v>
      </c>
      <c r="Q366" s="55">
        <f>IFERROR((VLOOKUP($A366,'Dados StatusInvest'!$A:$AZ,COLUMN(Q366)-$A$5,0)/100),0)</f>
        <v>-0.018</v>
      </c>
      <c r="R366" s="56">
        <f>VLOOKUP($A366,'Dados StatusInvest'!$A:$AZ,COLUMN(R366)-$A$5,0)</f>
        <v>-0.34</v>
      </c>
      <c r="S366" s="56">
        <f>IFERROR((VLOOKUP($A366,'Dados StatusInvest'!$A:$AZ,COLUMN(S366)-$A$5,0)),0)</f>
        <v>1.32</v>
      </c>
      <c r="T366" s="53">
        <f>IFERROR((VLOOKUP($A366,'Dados StatusInvest'!$A:$AZ,COLUMN(T366)-$A$5,0)/VLOOKUP($A366,'Dados StatusInvest'!$A:$AZ,2,0)*$F366),0)</f>
        <v>3.83827957</v>
      </c>
      <c r="U366" s="53">
        <f>IFERROR((VLOOKUP($A366,'Dados StatusInvest'!$A:$AZ,COLUMN(U366)-$A$5,0)-VLOOKUP($A366,'Dados StatusInvest'!$A:$AZ,COLUMN(U366)-$A$5-1,0)+T366),0)</f>
        <v>-1.02172043</v>
      </c>
      <c r="V366" s="56">
        <f>IFERROR((VLOOKUP($A366,'Dados StatusInvest'!$A:$AZ,COLUMN(V366)-$A$5,0)),0)</f>
        <v>2.13</v>
      </c>
      <c r="W366" s="56">
        <f>IFERROR((VLOOKUP($A366,'Dados StatusInvest'!$A:$AZ,COLUMN(W366)-$A$5,0)),0)</f>
        <v>15.55</v>
      </c>
      <c r="X366" s="53">
        <f>IFERROR((VLOOKUP($A366,'Dados StatusInvest'!$A:$AZ,COLUMN(X366)-$A$5,0)/VLOOKUP($A366,'Dados StatusInvest'!$A:$AZ,2,0)*$F366),0)</f>
        <v>9.664946237</v>
      </c>
      <c r="Y366" s="54">
        <f>IFERROR((VLOOKUP($A366,'Dados StatusInvest'!$A:$AZ,COLUMN(Y366)-$A$5,0)/VLOOKUP($A366,'Dados StatusInvest'!$A:$AZ,2,0)*$F366),0)</f>
        <v>11.08946237</v>
      </c>
      <c r="Z366" s="56">
        <f>IFERROR((VLOOKUP($A366,'Dados StatusInvest'!$A:$AZ,COLUMN(Z366)-$A$5,0)),0)</f>
        <v>0.63</v>
      </c>
      <c r="AA366" s="57">
        <f>IFERROR((VLOOKUP($A366,'Dados StatusInvest'!$A:$AZ,COLUMN(AA366)-$A$5,0)),0)</f>
        <v>0.39</v>
      </c>
      <c r="AB366" s="57">
        <f>IFERROR((VLOOKUP($A366,'Dados StatusInvest'!$A:$AZ,COLUMN(AB366)-$A$5,0)),0)</f>
        <v>0.5</v>
      </c>
      <c r="AC366" s="58">
        <f>IFERROR((VLOOKUP($A366,'Dados StatusInvest'!$A:$AZ,COLUMN(AC366)-$A$5,0)),0)</f>
        <v>5.45</v>
      </c>
      <c r="AD366" s="57">
        <f>IFERROR((VLOOKUP($A366,'Dados StatusInvest'!$A:$AZ,COLUMN(AD366)-$A$5,0)),0)</f>
        <v>0</v>
      </c>
      <c r="AE366" s="56">
        <f>IFERROR((VLOOKUP($A366,'Dados StatusInvest'!$A:$AZ,COLUMN(AE366)-$A$5,0)),0)</f>
        <v>430064.2</v>
      </c>
      <c r="AF366" s="56">
        <f>IFERROR((VLOOKUP($A366,'Dados StatusInvest'!$A:$AZ,COLUMN(AF366)-$A$5,0)),0)</f>
        <v>1.76</v>
      </c>
      <c r="AG366" s="56">
        <f>IFERROR((VLOOKUP($A366,'Dados StatusInvest'!$A:$AZ,COLUMN(AG366)-$A$5,0)),0)</f>
        <v>0.27</v>
      </c>
      <c r="AH366" s="56">
        <f>IFERROR((VLOOKUP($A366,'Dados StatusInvest'!$A:$AZ,COLUMN(AH366)-$A$5,0)),0)</f>
        <v>0.03</v>
      </c>
      <c r="AI366" s="57">
        <f>IFERROR((VLOOKUP($A366,'Dados StatusInvest'!$A:$AZ,COLUMN(AI366)-$A$5,0)),0)</f>
        <v>274451613.7</v>
      </c>
      <c r="AJ366" s="59" t="str">
        <f>IFERROR((VLOOKUP($A366,'Dados StatusInvest'!$A:$AZ,COLUMN(AJ366)-$A$5,0)),0)</f>
        <v/>
      </c>
      <c r="AK366" s="60">
        <f>IFERROR(__xludf.DUMMYFUNCTION("IFERROR(GOOGLEFINANCE($A366,""high""),"""")"),1.86)</f>
        <v>1.86</v>
      </c>
      <c r="AL366" s="60">
        <f>IFERROR(__xludf.DUMMYFUNCTION("IFERROR(GOOGLEFINANCE($A366,""low""),"""")"),1.84)</f>
        <v>1.84</v>
      </c>
      <c r="AM366" s="61">
        <f t="shared" si="2"/>
        <v>0.01086956522</v>
      </c>
      <c r="AN366" s="62">
        <f>IFERROR(__xludf.DUMMYFUNCTION("IFERROR((GOOGLEFINANCE($A366,""volume"")),0)"),3000.0)</f>
        <v>3000</v>
      </c>
      <c r="AO366" s="60">
        <f>IFERROR(__xludf.DUMMYFUNCTION("IFERROR((GOOGLEFINANCE($A366,""closeyest"")),"""")"),1.86)</f>
        <v>1.86</v>
      </c>
      <c r="AP366" s="60">
        <f>IFERROR(__xludf.DUMMYFUNCTION("IFERROR((GOOGLEFINANCE($A366,""shares"")),"""")"),1.47554631E8)</f>
        <v>147554631</v>
      </c>
      <c r="AQ366" s="18"/>
    </row>
    <row r="367">
      <c r="A367" s="45" t="str">
        <f>'Dados StatusInvest'!A362:A981</f>
        <v>LREN3</v>
      </c>
      <c r="B367" s="46" t="str">
        <f>IFERROR(__xludf.DUMMYFUNCTION("IFERROR((GOOGLEFINANCE(A367,""name"")),"""")"),"Lojas Renner Cedar")</f>
        <v>Lojas Renner Cedar</v>
      </c>
      <c r="C367" s="46" t="str">
        <f>IFERROR((VLOOKUP(LEFT($A367,4),Setor!$A:$E,3,0)),"")</f>
        <v>Consumo Cíclico</v>
      </c>
      <c r="D367" s="46" t="str">
        <f>IFERROR((VLOOKUP(LEFT($A367,4),Setor!$A:$E,4,0)),"")</f>
        <v>Comércio</v>
      </c>
      <c r="E367" s="46" t="str">
        <f>IFERROR((VLOOKUP(LEFT($A367,4),Setor!$A:$E,5,0)),"")</f>
        <v>Tecidos, Vestuário e Calçados</v>
      </c>
      <c r="F367" s="47">
        <f>IFERROR(__xludf.DUMMYFUNCTION("IFERROR((GOOGLEFINANCE(A367)),"""")"),4347.5)</f>
        <v>4347.5</v>
      </c>
      <c r="G367" s="48" t="str">
        <f>IFERROR(__xludf.DUMMYFUNCTION("IFERROR((sparkline(GOOGLEFINANCE($A367,""price"",TODAY()-30,TODAY(),""DAILY""),{""charttype"",""line"";""linewidth"",1;""color"",""#5f88cc""})),"""")"),"")</f>
        <v/>
      </c>
      <c r="H367" s="49">
        <f>IFERROR(__xludf.DUMMYFUNCTION("IFERROR((((GOOGLEFINANCE(A367))-(INDEX(GoogleFinance(A367,""PRICE"",$AQ$1),2,2)))/(INDEX(GoogleFinance(A367,""PRICE"",$AQ$1),2,2))),"""")"),0.061660561660561664)</f>
        <v>0.06166056166</v>
      </c>
      <c r="I367" s="47">
        <f>IFERROR(__xludf.DUMMYFUNCTION("IFERROR((GOOGLEFINANCE($A367,""high52"")),"""")"),5040.0)</f>
        <v>5040</v>
      </c>
      <c r="J367" s="48" t="str">
        <f>IFERROR(__xludf.DUMMYFUNCTION("IFERROR((sparkline(GOOGLEFINANCE($A367,""price"",TODAY()-365,TODAY(),""DAILY""),{""charttype"",""line"";""linewidth"",1;""color"",""#5f88cc""})),"""")"),"")</f>
        <v/>
      </c>
      <c r="K367" s="50">
        <f>IFERROR(__xludf.DUMMYFUNCTION("IFERROR((((GOOGLEFINANCE(A367))-(INDEX(GoogleFinance(A367,""PRICE"",$AP$1),2,2)))/(INDEX(GoogleFinance(A367,""PRICE"",$AP$1),2,2))),"""")"),0.5281195079086116)</f>
        <v>0.5281195079</v>
      </c>
      <c r="L367" s="51">
        <f t="shared" si="1"/>
        <v>-0.1374007937</v>
      </c>
      <c r="M367" s="52">
        <f>IFERROR((VLOOKUP($A367,'Dados StatusInvest'!$A:$AZ,COLUMN(M367)-$A$5,0)*VLOOKUP($A367,'Dados StatusInvest'!$A:$AZ,2,0)/$F367/100),0)</f>
        <v>0.0003826228867</v>
      </c>
      <c r="N367" s="53">
        <f>IFERROR((VLOOKUP($A367,'Dados StatusInvest'!$A:$AZ,COLUMN(N367)-$A$5,0)/VLOOKUP($A367,'Dados StatusInvest'!$A:$AZ,2,0)*$F367),"")</f>
        <v>2487.472739</v>
      </c>
      <c r="O367" s="53">
        <f>IFERROR((VLOOKUP($A367,'Dados StatusInvest'!$A:$AZ,COLUMN(O367)-$A$5,0)/VLOOKUP($A367,'Dados StatusInvest'!$A:$AZ,2,0)*$F367),0)</f>
        <v>2629.693714</v>
      </c>
      <c r="P367" s="54">
        <f>IFERROR((VLOOKUP($A367,'Dados StatusInvest'!$A:$AZ,COLUMN(P367)-$A$5,0)/VLOOKUP($A367,'Dados StatusInvest'!$A:$AZ,2,0)*$F367),0)</f>
        <v>2417.756575</v>
      </c>
      <c r="Q367" s="55">
        <f>IFERROR((VLOOKUP($A367,'Dados StatusInvest'!$A:$AZ,COLUMN(Q367)-$A$5,0)/100),0)</f>
        <v>-0.0076</v>
      </c>
      <c r="R367" s="56">
        <f>VLOOKUP($A367,'Dados StatusInvest'!$A:$AZ,COLUMN(R367)-$A$5,0)</f>
        <v>-0.12</v>
      </c>
      <c r="S367" s="56">
        <f>IFERROR((VLOOKUP($A367,'Dados StatusInvest'!$A:$AZ,COLUMN(S367)-$A$5,0)),0)</f>
        <v>1.01</v>
      </c>
      <c r="T367" s="53">
        <f>IFERROR((VLOOKUP($A367,'Dados StatusInvest'!$A:$AZ,COLUMN(T367)-$A$5,0)/VLOOKUP($A367,'Dados StatusInvest'!$A:$AZ,2,0)*$F367),0)</f>
        <v>956.5057729</v>
      </c>
      <c r="U367" s="53">
        <f>IFERROR((VLOOKUP($A367,'Dados StatusInvest'!$A:$AZ,COLUMN(U367)-$A$5,0)-VLOOKUP($A367,'Dados StatusInvest'!$A:$AZ,COLUMN(U367)-$A$5-1,0)+T367),0)</f>
        <v>951.0457729</v>
      </c>
      <c r="V367" s="56">
        <f>IFERROR((VLOOKUP($A367,'Dados StatusInvest'!$A:$AZ,COLUMN(V367)-$A$5,0)),0)</f>
        <v>1.76</v>
      </c>
      <c r="W367" s="56">
        <f>IFERROR((VLOOKUP($A367,'Dados StatusInvest'!$A:$AZ,COLUMN(W367)-$A$5,0)),0)</f>
        <v>13.72</v>
      </c>
      <c r="X367" s="53">
        <f>IFERROR((VLOOKUP($A367,'Dados StatusInvest'!$A:$AZ,COLUMN(X367)-$A$5,0)/VLOOKUP($A367,'Dados StatusInvest'!$A:$AZ,2,0)*$F367),0)</f>
        <v>2116.582745</v>
      </c>
      <c r="Y367" s="54">
        <f>IFERROR((VLOOKUP($A367,'Dados StatusInvest'!$A:$AZ,COLUMN(Y367)-$A$5,0)/VLOOKUP($A367,'Dados StatusInvest'!$A:$AZ,2,0)*$F367),0)</f>
        <v>3920.837075</v>
      </c>
      <c r="Z367" s="56">
        <f>IFERROR((VLOOKUP($A367,'Dados StatusInvest'!$A:$AZ,COLUMN(Z367)-$A$5,0)),0)</f>
        <v>0.55</v>
      </c>
      <c r="AA367" s="57">
        <f>IFERROR((VLOOKUP($A367,'Dados StatusInvest'!$A:$AZ,COLUMN(AA367)-$A$5,0)),0)</f>
        <v>0.45</v>
      </c>
      <c r="AB367" s="57">
        <f>IFERROR((VLOOKUP($A367,'Dados StatusInvest'!$A:$AZ,COLUMN(AB367)-$A$5,0)),0)</f>
        <v>0.85</v>
      </c>
      <c r="AC367" s="58">
        <f>IFERROR((VLOOKUP($A367,'Dados StatusInvest'!$A:$AZ,COLUMN(AC367)-$A$5,0)),0)</f>
        <v>8.53</v>
      </c>
      <c r="AD367" s="57">
        <f>IFERROR((VLOOKUP($A367,'Dados StatusInvest'!$A:$AZ,COLUMN(AD367)-$A$5,0)),0)</f>
        <v>4.84</v>
      </c>
      <c r="AE367" s="56">
        <f>IFERROR((VLOOKUP($A367,'Dados StatusInvest'!$A:$AZ,COLUMN(AE367)-$A$5,0)),0)</f>
        <v>207000000</v>
      </c>
      <c r="AF367" s="56">
        <f>IFERROR((VLOOKUP($A367,'Dados StatusInvest'!$A:$AZ,COLUMN(AF367)-$A$5,0)),0)</f>
        <v>10.07</v>
      </c>
      <c r="AG367" s="56">
        <f>IFERROR((VLOOKUP($A367,'Dados StatusInvest'!$A:$AZ,COLUMN(AG367)-$A$5,0)),0)</f>
        <v>1.38</v>
      </c>
      <c r="AH367" s="56">
        <f>IFERROR((VLOOKUP($A367,'Dados StatusInvest'!$A:$AZ,COLUMN(AH367)-$A$5,0)),0)</f>
        <v>0.9</v>
      </c>
      <c r="AI367" s="57">
        <f>IFERROR((VLOOKUP($A367,'Dados StatusInvest'!$A:$AZ,COLUMN(AI367)-$A$5,0)),0)</f>
        <v>15696715031</v>
      </c>
      <c r="AJ367" s="59" t="str">
        <f>IFERROR((VLOOKUP($A367,'Dados StatusInvest'!$A:$AZ,COLUMN(AJ367)-$A$5,0)),0)</f>
        <v/>
      </c>
      <c r="AK367" s="60" t="str">
        <f>IFERROR(__xludf.DUMMYFUNCTION("IFERROR(GOOGLEFINANCE($A367,""high""),"""")"),"")</f>
        <v/>
      </c>
      <c r="AL367" s="60" t="str">
        <f>IFERROR(__xludf.DUMMYFUNCTION("IFERROR(GOOGLEFINANCE($A367,""low""),"""")"),"")</f>
        <v/>
      </c>
      <c r="AM367" s="61">
        <f t="shared" si="2"/>
        <v>0</v>
      </c>
      <c r="AN367" s="62">
        <f>IFERROR(__xludf.DUMMYFUNCTION("IFERROR((GOOGLEFINANCE($A367,""volume"")),0)"),0.0)</f>
        <v>0</v>
      </c>
      <c r="AO367" s="60">
        <f>IFERROR(__xludf.DUMMYFUNCTION("IFERROR((GOOGLEFINANCE($A367,""closeyest"")),"""")"),4347.5)</f>
        <v>4347.5</v>
      </c>
      <c r="AP367" s="60">
        <f>IFERROR(__xludf.DUMMYFUNCTION("IFERROR((GOOGLEFINANCE($A367,""shares"")),"""")"),1.006845095E9)</f>
        <v>1006845095</v>
      </c>
      <c r="AQ367" s="18"/>
    </row>
    <row r="368">
      <c r="A368" s="45" t="str">
        <f>'Dados StatusInvest'!A363:A982</f>
        <v>LTEL3B</v>
      </c>
      <c r="B368" s="46" t="str">
        <f>IFERROR(__xludf.DUMMYFUNCTION("IFERROR((GOOGLEFINANCE(A368,""name"")),"""")"),"Litel Participacoes S/A")</f>
        <v>Litel Participacoes S/A</v>
      </c>
      <c r="C368" s="46" t="str">
        <f>IFERROR((VLOOKUP(LEFT($A368,4),Setor!$A:$E,3,0)),"")</f>
        <v>Materiais Básicos</v>
      </c>
      <c r="D368" s="46" t="str">
        <f>IFERROR((VLOOKUP(LEFT($A368,4),Setor!$A:$E,4,0)),"")</f>
        <v>Mineração</v>
      </c>
      <c r="E368" s="46" t="str">
        <f>IFERROR((VLOOKUP(LEFT($A368,4),Setor!$A:$E,5,0)),"")</f>
        <v>Minerais Metálicos</v>
      </c>
      <c r="F368" s="47">
        <f>IFERROR(__xludf.DUMMYFUNCTION("IFERROR((GOOGLEFINANCE(A368)),"""")"),0.0)</f>
        <v>0</v>
      </c>
      <c r="G368" s="48" t="str">
        <f>IFERROR(__xludf.DUMMYFUNCTION("IFERROR((sparkline(GOOGLEFINANCE($A368,""price"",TODAY()-30,TODAY(),""DAILY""),{""charttype"",""line"";""linewidth"",1;""color"",""#5f88cc""})),"""")"),"")</f>
        <v/>
      </c>
      <c r="H368" s="49" t="str">
        <f>IFERROR(__xludf.DUMMYFUNCTION("IFERROR((((GOOGLEFINANCE(A368))-(INDEX(GoogleFinance(A368,""PRICE"",$AQ$1),2,2)))/(INDEX(GoogleFinance(A368,""PRICE"",$AQ$1),2,2))),"""")"),"")</f>
        <v/>
      </c>
      <c r="I368" s="47" t="str">
        <f>IFERROR(__xludf.DUMMYFUNCTION("IFERROR((GOOGLEFINANCE($A368,""high52"")),"""")"),"")</f>
        <v/>
      </c>
      <c r="J368" s="48" t="str">
        <f>IFERROR(__xludf.DUMMYFUNCTION("IFERROR((sparkline(GOOGLEFINANCE($A368,""price"",TODAY()-365,TODAY(),""DAILY""),{""charttype"",""line"";""linewidth"",1;""color"",""#5f88cc""})),"""")"),"")</f>
        <v/>
      </c>
      <c r="K368" s="50" t="str">
        <f>IFERROR(__xludf.DUMMYFUNCTION("IFERROR((((GOOGLEFINANCE(A368))-(INDEX(GoogleFinance(A368,""PRICE"",$AP$1),2,2)))/(INDEX(GoogleFinance(A368,""PRICE"",$AP$1),2,2))),"""")"),"")</f>
        <v/>
      </c>
      <c r="L368" s="51">
        <f t="shared" si="1"/>
        <v>0</v>
      </c>
      <c r="M368" s="52">
        <f>IFERROR((VLOOKUP($A368,'Dados StatusInvest'!$A:$AZ,COLUMN(M368)-$A$5,0)*VLOOKUP($A368,'Dados StatusInvest'!$A:$AZ,2,0)/$F368/100),0)</f>
        <v>0</v>
      </c>
      <c r="N368" s="53">
        <f>IFERROR((VLOOKUP($A368,'Dados StatusInvest'!$A:$AZ,COLUMN(N368)-$A$5,0)/VLOOKUP($A368,'Dados StatusInvest'!$A:$AZ,2,0)*$F368),"")</f>
        <v>0</v>
      </c>
      <c r="O368" s="53">
        <f>IFERROR((VLOOKUP($A368,'Dados StatusInvest'!$A:$AZ,COLUMN(O368)-$A$5,0)/VLOOKUP($A368,'Dados StatusInvest'!$A:$AZ,2,0)*$F368),0)</f>
        <v>0</v>
      </c>
      <c r="P368" s="54">
        <f>IFERROR((VLOOKUP($A368,'Dados StatusInvest'!$A:$AZ,COLUMN(P368)-$A$5,0)/VLOOKUP($A368,'Dados StatusInvest'!$A:$AZ,2,0)*$F368),0)</f>
        <v>0</v>
      </c>
      <c r="Q368" s="55">
        <f>IFERROR((VLOOKUP($A368,'Dados StatusInvest'!$A:$AZ,COLUMN(Q368)-$A$5,0)/100),0)</f>
        <v>-0.0029</v>
      </c>
      <c r="R368" s="56">
        <f>VLOOKUP($A368,'Dados StatusInvest'!$A:$AZ,COLUMN(R368)-$A$5,0)</f>
        <v>-0.04</v>
      </c>
      <c r="S368" s="56">
        <f>IFERROR((VLOOKUP($A368,'Dados StatusInvest'!$A:$AZ,COLUMN(S368)-$A$5,0)),0)</f>
        <v>0</v>
      </c>
      <c r="T368" s="53">
        <f>IFERROR((VLOOKUP($A368,'Dados StatusInvest'!$A:$AZ,COLUMN(T368)-$A$5,0)/VLOOKUP($A368,'Dados StatusInvest'!$A:$AZ,2,0)*$F368),0)</f>
        <v>0</v>
      </c>
      <c r="U368" s="53">
        <f>IFERROR((VLOOKUP($A368,'Dados StatusInvest'!$A:$AZ,COLUMN(U368)-$A$5,0)-VLOOKUP($A368,'Dados StatusInvest'!$A:$AZ,COLUMN(U368)-$A$5-1,0)+T368),0)</f>
        <v>-434.47</v>
      </c>
      <c r="V368" s="56">
        <f>IFERROR((VLOOKUP($A368,'Dados StatusInvest'!$A:$AZ,COLUMN(V368)-$A$5,0)),0)</f>
        <v>1.32</v>
      </c>
      <c r="W368" s="56">
        <f>IFERROR((VLOOKUP($A368,'Dados StatusInvest'!$A:$AZ,COLUMN(W368)-$A$5,0)),0)</f>
        <v>13.43</v>
      </c>
      <c r="X368" s="53">
        <f>IFERROR((VLOOKUP($A368,'Dados StatusInvest'!$A:$AZ,COLUMN(X368)-$A$5,0)/VLOOKUP($A368,'Dados StatusInvest'!$A:$AZ,2,0)*$F368),0)</f>
        <v>0</v>
      </c>
      <c r="Y368" s="54">
        <f>IFERROR((VLOOKUP($A368,'Dados StatusInvest'!$A:$AZ,COLUMN(Y368)-$A$5,0)/VLOOKUP($A368,'Dados StatusInvest'!$A:$AZ,2,0)*$F368),0)</f>
        <v>0</v>
      </c>
      <c r="Z368" s="56">
        <f>IFERROR((VLOOKUP($A368,'Dados StatusInvest'!$A:$AZ,COLUMN(Z368)-$A$5,0)),0)</f>
        <v>0.97</v>
      </c>
      <c r="AA368" s="57">
        <f>IFERROR((VLOOKUP($A368,'Dados StatusInvest'!$A:$AZ,COLUMN(AA368)-$A$5,0)),0)</f>
        <v>0.03</v>
      </c>
      <c r="AB368" s="57">
        <f>IFERROR((VLOOKUP($A368,'Dados StatusInvest'!$A:$AZ,COLUMN(AB368)-$A$5,0)),0)</f>
        <v>0</v>
      </c>
      <c r="AC368" s="58">
        <f>IFERROR((VLOOKUP($A368,'Dados StatusInvest'!$A:$AZ,COLUMN(AC368)-$A$5,0)),0)</f>
        <v>0</v>
      </c>
      <c r="AD368" s="57">
        <f>IFERROR((VLOOKUP($A368,'Dados StatusInvest'!$A:$AZ,COLUMN(AD368)-$A$5,0)),0)</f>
        <v>11.79</v>
      </c>
      <c r="AE368" s="56">
        <f>IFERROR((VLOOKUP($A368,'Dados StatusInvest'!$A:$AZ,COLUMN(AE368)-$A$5,0)),0)</f>
        <v>0</v>
      </c>
      <c r="AF368" s="56">
        <f>IFERROR((VLOOKUP($A368,'Dados StatusInvest'!$A:$AZ,COLUMN(AF368)-$A$5,0)),0)</f>
        <v>18.2</v>
      </c>
      <c r="AG368" s="56">
        <f>IFERROR((VLOOKUP($A368,'Dados StatusInvest'!$A:$AZ,COLUMN(AG368)-$A$5,0)),0)</f>
        <v>2.44</v>
      </c>
      <c r="AH368" s="56">
        <f>IFERROR((VLOOKUP($A368,'Dados StatusInvest'!$A:$AZ,COLUMN(AH368)-$A$5,0)),0)</f>
        <v>-0.95</v>
      </c>
      <c r="AI368" s="57">
        <f>IFERROR((VLOOKUP($A368,'Dados StatusInvest'!$A:$AZ,COLUMN(AI368)-$A$5,0)),0)</f>
        <v>18664056854</v>
      </c>
      <c r="AJ368" s="59" t="str">
        <f>IFERROR((VLOOKUP($A368,'Dados StatusInvest'!$A:$AZ,COLUMN(AJ368)-$A$5,0)),0)</f>
        <v/>
      </c>
      <c r="AK368" s="60" t="str">
        <f>IFERROR(__xludf.DUMMYFUNCTION("IFERROR(GOOGLEFINANCE($A368,""high""),"""")"),"")</f>
        <v/>
      </c>
      <c r="AL368" s="60" t="str">
        <f>IFERROR(__xludf.DUMMYFUNCTION("IFERROR(GOOGLEFINANCE($A368,""low""),"""")"),"")</f>
        <v/>
      </c>
      <c r="AM368" s="61">
        <f t="shared" si="2"/>
        <v>0</v>
      </c>
      <c r="AN368" s="62">
        <f>IFERROR(__xludf.DUMMYFUNCTION("IFERROR((GOOGLEFINANCE($A368,""volume"")),0)"),0.0)</f>
        <v>0</v>
      </c>
      <c r="AO368" s="60" t="str">
        <f>IFERROR(__xludf.DUMMYFUNCTION("IFERROR((GOOGLEFINANCE($A368,""closeyest"")),"""")"),"")</f>
        <v/>
      </c>
      <c r="AP368" s="60">
        <f>IFERROR(__xludf.DUMMYFUNCTION("IFERROR((GOOGLEFINANCE($A368,""shares"")),"""")"),2.15495403E8)</f>
        <v>215495403</v>
      </c>
      <c r="AQ368" s="18"/>
    </row>
    <row r="369">
      <c r="A369" s="45" t="str">
        <f>'Dados StatusInvest'!A364:A983</f>
        <v>LUPA3</v>
      </c>
      <c r="B369" s="46" t="str">
        <f>IFERROR(__xludf.DUMMYFUNCTION("IFERROR((GOOGLEFINANCE(A369,""name"")),"""")"),"Lupatech SA")</f>
        <v>Lupatech SA</v>
      </c>
      <c r="C369" s="46" t="str">
        <f>IFERROR((VLOOKUP(LEFT($A369,4),Setor!$A:$E,3,0)),"")</f>
        <v>Petróleo, Gás e Biocombustíveis</v>
      </c>
      <c r="D369" s="46" t="str">
        <f>IFERROR((VLOOKUP(LEFT($A369,4),Setor!$A:$E,4,0)),"")</f>
        <v>Petróleo, Gás e Biocombustíveis</v>
      </c>
      <c r="E369" s="46" t="str">
        <f>IFERROR((VLOOKUP(LEFT($A369,4),Setor!$A:$E,5,0)),"")</f>
        <v>Equipamentos e Serviços</v>
      </c>
      <c r="F369" s="47">
        <f>IFERROR(__xludf.DUMMYFUNCTION("IFERROR((GOOGLEFINANCE(A369)),"""")"),1.18)</f>
        <v>1.18</v>
      </c>
      <c r="G369" s="48" t="str">
        <f>IFERROR(__xludf.DUMMYFUNCTION("IFERROR((sparkline(GOOGLEFINANCE($A369,""price"",TODAY()-30,TODAY(),""DAILY""),{""charttype"",""line"";""linewidth"",1;""color"",""#5f88cc""})),"""")"),"")</f>
        <v/>
      </c>
      <c r="H369" s="49">
        <f>IFERROR(__xludf.DUMMYFUNCTION("IFERROR((((GOOGLEFINANCE(A369))-(INDEX(GoogleFinance(A369,""PRICE"",$AQ$1),2,2)))/(INDEX(GoogleFinance(A369,""PRICE"",$AQ$1),2,2))),"""")"),-0.1631205673758865)</f>
        <v>-0.1631205674</v>
      </c>
      <c r="I369" s="47">
        <f>IFERROR(__xludf.DUMMYFUNCTION("IFERROR((GOOGLEFINANCE($A369,""high52"")),"""")"),1.46)</f>
        <v>1.46</v>
      </c>
      <c r="J369" s="48" t="str">
        <f>IFERROR(__xludf.DUMMYFUNCTION("IFERROR((sparkline(GOOGLEFINANCE($A369,""price"",TODAY()-365,TODAY(),""DAILY""),{""charttype"",""line"";""linewidth"",1;""color"",""#5f88cc""})),"""")"),"")</f>
        <v/>
      </c>
      <c r="K369" s="50">
        <f>IFERROR(__xludf.DUMMYFUNCTION("IFERROR((((GOOGLEFINANCE(A369))-(INDEX(GoogleFinance(A369,""PRICE"",$AP$1),2,2)))/(INDEX(GoogleFinance(A369,""PRICE"",$AP$1),2,2))),"""")"),-0.06349206349206354)</f>
        <v>-0.06349206349</v>
      </c>
      <c r="L369" s="51">
        <f t="shared" si="1"/>
        <v>-0.1917808219</v>
      </c>
      <c r="M369" s="52">
        <f>IFERROR((VLOOKUP($A369,'Dados StatusInvest'!$A:$AZ,COLUMN(M369)-$A$5,0)*VLOOKUP($A369,'Dados StatusInvest'!$A:$AZ,2,0)/$F369/100),0)</f>
        <v>0.0791</v>
      </c>
      <c r="N369" s="53">
        <f>IFERROR((VLOOKUP($A369,'Dados StatusInvest'!$A:$AZ,COLUMN(N369)-$A$5,0)/VLOOKUP($A369,'Dados StatusInvest'!$A:$AZ,2,0)*$F369),"")</f>
        <v>-14.8</v>
      </c>
      <c r="O369" s="53">
        <f>IFERROR((VLOOKUP($A369,'Dados StatusInvest'!$A:$AZ,COLUMN(O369)-$A$5,0)/VLOOKUP($A369,'Dados StatusInvest'!$A:$AZ,2,0)*$F369),0)</f>
        <v>10.24</v>
      </c>
      <c r="P369" s="54">
        <f>IFERROR((VLOOKUP($A369,'Dados StatusInvest'!$A:$AZ,COLUMN(P369)-$A$5,0)/VLOOKUP($A369,'Dados StatusInvest'!$A:$AZ,2,0)*$F369),0)</f>
        <v>41.69</v>
      </c>
      <c r="Q369" s="55">
        <f>IFERROR((VLOOKUP($A369,'Dados StatusInvest'!$A:$AZ,COLUMN(Q369)-$A$5,0)/100),0)</f>
        <v>0.3145</v>
      </c>
      <c r="R369" s="56">
        <f>VLOOKUP($A369,'Dados StatusInvest'!$A:$AZ,COLUMN(R369)-$A$5,0)</f>
        <v>1.51</v>
      </c>
      <c r="S369" s="56">
        <f>IFERROR((VLOOKUP($A369,'Dados StatusInvest'!$A:$AZ,COLUMN(S369)-$A$5,0)),0)</f>
        <v>0.81</v>
      </c>
      <c r="T369" s="53">
        <f>IFERROR((VLOOKUP($A369,'Dados StatusInvest'!$A:$AZ,COLUMN(T369)-$A$5,0)/VLOOKUP($A369,'Dados StatusInvest'!$A:$AZ,2,0)*$F369),0)</f>
        <v>-1.95</v>
      </c>
      <c r="U369" s="53">
        <f>IFERROR((VLOOKUP($A369,'Dados StatusInvest'!$A:$AZ,COLUMN(U369)-$A$5,0)-VLOOKUP($A369,'Dados StatusInvest'!$A:$AZ,COLUMN(U369)-$A$5-1,0)+T369),0)</f>
        <v>-0.16</v>
      </c>
      <c r="V369" s="56">
        <f>IFERROR((VLOOKUP($A369,'Dados StatusInvest'!$A:$AZ,COLUMN(V369)-$A$5,0)),0)</f>
        <v>0.82</v>
      </c>
      <c r="W369" s="56">
        <f>IFERROR((VLOOKUP($A369,'Dados StatusInvest'!$A:$AZ,COLUMN(W369)-$A$5,0)),0)</f>
        <v>-9</v>
      </c>
      <c r="X369" s="53">
        <f>IFERROR((VLOOKUP($A369,'Dados StatusInvest'!$A:$AZ,COLUMN(X369)-$A$5,0)/VLOOKUP($A369,'Dados StatusInvest'!$A:$AZ,2,0)*$F369),0)</f>
        <v>-2.09</v>
      </c>
      <c r="Y369" s="54">
        <f>IFERROR((VLOOKUP($A369,'Dados StatusInvest'!$A:$AZ,COLUMN(Y369)-$A$5,0)/VLOOKUP($A369,'Dados StatusInvest'!$A:$AZ,2,0)*$F369),0)</f>
        <v>0.48</v>
      </c>
      <c r="Z369" s="56">
        <f>IFERROR((VLOOKUP($A369,'Dados StatusInvest'!$A:$AZ,COLUMN(Z369)-$A$5,0)),0)</f>
        <v>0.23</v>
      </c>
      <c r="AA369" s="57">
        <f>IFERROR((VLOOKUP($A369,'Dados StatusInvest'!$A:$AZ,COLUMN(AA369)-$A$5,0)),0)</f>
        <v>0.77</v>
      </c>
      <c r="AB369" s="57">
        <f>IFERROR((VLOOKUP($A369,'Dados StatusInvest'!$A:$AZ,COLUMN(AB369)-$A$5,0)),0)</f>
        <v>0.14</v>
      </c>
      <c r="AC369" s="58">
        <f>IFERROR((VLOOKUP($A369,'Dados StatusInvest'!$A:$AZ,COLUMN(AC369)-$A$5,0)),0)</f>
        <v>30.38</v>
      </c>
      <c r="AD369" s="57">
        <f>IFERROR((VLOOKUP($A369,'Dados StatusInvest'!$A:$AZ,COLUMN(AD369)-$A$5,0)),0)</f>
        <v>0</v>
      </c>
      <c r="AE369" s="56">
        <f>IFERROR((VLOOKUP($A369,'Dados StatusInvest'!$A:$AZ,COLUMN(AE369)-$A$5,0)),0)</f>
        <v>261793.6</v>
      </c>
      <c r="AF369" s="56">
        <f>IFERROR((VLOOKUP($A369,'Dados StatusInvest'!$A:$AZ,COLUMN(AF369)-$A$5,0)),0)</f>
        <v>2.39</v>
      </c>
      <c r="AG369" s="56">
        <f>IFERROR((VLOOKUP($A369,'Dados StatusInvest'!$A:$AZ,COLUMN(AG369)-$A$5,0)),0)</f>
        <v>-0.22</v>
      </c>
      <c r="AH369" s="56">
        <f>IFERROR((VLOOKUP($A369,'Dados StatusInvest'!$A:$AZ,COLUMN(AH369)-$A$5,0)),0)</f>
        <v>0.05</v>
      </c>
      <c r="AI369" s="57">
        <f>IFERROR((VLOOKUP($A369,'Dados StatusInvest'!$A:$AZ,COLUMN(AI369)-$A$5,0)),0)</f>
        <v>55835361.54</v>
      </c>
      <c r="AJ369" s="59" t="str">
        <f>IFERROR((VLOOKUP($A369,'Dados StatusInvest'!$A:$AZ,COLUMN(AJ369)-$A$5,0)),0)</f>
        <v/>
      </c>
      <c r="AK369" s="60">
        <f>IFERROR(__xludf.DUMMYFUNCTION("IFERROR(GOOGLEFINANCE($A369,""high""),"""")"),1.18)</f>
        <v>1.18</v>
      </c>
      <c r="AL369" s="60" t="str">
        <f>IFERROR(__xludf.DUMMYFUNCTION("IFERROR(GOOGLEFINANCE($A369,""low""),"""")"),"")</f>
        <v/>
      </c>
      <c r="AM369" s="61">
        <f t="shared" si="2"/>
        <v>0</v>
      </c>
      <c r="AN369" s="62">
        <f>IFERROR(__xludf.DUMMYFUNCTION("IFERROR((GOOGLEFINANCE($A369,""volume"")),0)"),100.0)</f>
        <v>100</v>
      </c>
      <c r="AO369" s="60">
        <f>IFERROR(__xludf.DUMMYFUNCTION("IFERROR((GOOGLEFINANCE($A369,""closeyest"")),"""")"),1.18)</f>
        <v>1.18</v>
      </c>
      <c r="AP369" s="60">
        <f>IFERROR(__xludf.DUMMYFUNCTION("IFERROR((GOOGLEFINANCE($A369,""shares"")),"""")"),4.6687694E7)</f>
        <v>46687694</v>
      </c>
      <c r="AQ369" s="18"/>
    </row>
    <row r="370">
      <c r="A370" s="45" t="str">
        <f>'Dados StatusInvest'!A365:A984</f>
        <v>LUXM3</v>
      </c>
      <c r="B370" s="46" t="str">
        <f>IFERROR(__xludf.DUMMYFUNCTION("IFERROR((GOOGLEFINANCE(A370,""name"")),"""")"),"Trevisa Investimentos SA")</f>
        <v>Trevisa Investimentos SA</v>
      </c>
      <c r="C370" s="46" t="str">
        <f>IFERROR((VLOOKUP(LEFT($A370,4),Setor!$A:$E,3,0)),"")</f>
        <v>Bens Industriais</v>
      </c>
      <c r="D370" s="46" t="str">
        <f>IFERROR((VLOOKUP(LEFT($A370,4),Setor!$A:$E,4,0)),"")</f>
        <v>Transporte</v>
      </c>
      <c r="E370" s="46" t="str">
        <f>IFERROR((VLOOKUP(LEFT($A370,4),Setor!$A:$E,5,0)),"")</f>
        <v>Transporte Hidroviário</v>
      </c>
      <c r="F370" s="47">
        <f>IFERROR(__xludf.DUMMYFUNCTION("IFERROR((GOOGLEFINANCE(A370)),"""")"),0.0)</f>
        <v>0</v>
      </c>
      <c r="G370" s="48" t="str">
        <f>IFERROR(__xludf.DUMMYFUNCTION("IFERROR((sparkline(GOOGLEFINANCE($A370,""price"",TODAY()-30,TODAY(),""DAILY""),{""charttype"",""line"";""linewidth"",1;""color"",""#5f88cc""})),"""")"),"")</f>
        <v/>
      </c>
      <c r="H370" s="49" t="str">
        <f>IFERROR(__xludf.DUMMYFUNCTION("IFERROR((((GOOGLEFINANCE(A370))-(INDEX(GoogleFinance(A370,""PRICE"",$AQ$1),2,2)))/(INDEX(GoogleFinance(A370,""PRICE"",$AQ$1),2,2))),"""")"),"")</f>
        <v/>
      </c>
      <c r="I370" s="47">
        <f>IFERROR(__xludf.DUMMYFUNCTION("IFERROR((GOOGLEFINANCE($A370,""high52"")),"""")"),0.98)</f>
        <v>0.98</v>
      </c>
      <c r="J370" s="48" t="str">
        <f>IFERROR(__xludf.DUMMYFUNCTION("IFERROR((sparkline(GOOGLEFINANCE($A370,""price"",TODAY()-365,TODAY(),""DAILY""),{""charttype"",""line"";""linewidth"",1;""color"",""#5f88cc""})),"""")"),"")</f>
        <v/>
      </c>
      <c r="K370" s="50" t="str">
        <f>IFERROR(__xludf.DUMMYFUNCTION("IFERROR((((GOOGLEFINANCE(A370))-(INDEX(GoogleFinance(A370,""PRICE"",$AP$1),2,2)))/(INDEX(GoogleFinance(A370,""PRICE"",$AP$1),2,2))),"""")"),"")</f>
        <v/>
      </c>
      <c r="L370" s="51">
        <f t="shared" si="1"/>
        <v>-1</v>
      </c>
      <c r="M370" s="52">
        <f>IFERROR((VLOOKUP($A370,'Dados StatusInvest'!$A:$AZ,COLUMN(M370)-$A$5,0)*VLOOKUP($A370,'Dados StatusInvest'!$A:$AZ,2,0)/$F370/100),0)</f>
        <v>0</v>
      </c>
      <c r="N370" s="53" t="str">
        <f>IFERROR((VLOOKUP($A370,'Dados StatusInvest'!$A:$AZ,COLUMN(N370)-$A$5,0)/VLOOKUP($A370,'Dados StatusInvest'!$A:$AZ,2,0)*$F370),"")</f>
        <v/>
      </c>
      <c r="O370" s="53">
        <f>IFERROR((VLOOKUP($A370,'Dados StatusInvest'!$A:$AZ,COLUMN(O370)-$A$5,0)/VLOOKUP($A370,'Dados StatusInvest'!$A:$AZ,2,0)*$F370),0)</f>
        <v>0</v>
      </c>
      <c r="P370" s="54">
        <f>IFERROR((VLOOKUP($A370,'Dados StatusInvest'!$A:$AZ,COLUMN(P370)-$A$5,0)/VLOOKUP($A370,'Dados StatusInvest'!$A:$AZ,2,0)*$F370),0)</f>
        <v>0</v>
      </c>
      <c r="Q370" s="55">
        <f>IFERROR((VLOOKUP($A370,'Dados StatusInvest'!$A:$AZ,COLUMN(Q370)-$A$5,0)/100),0)</f>
        <v>-0.0015</v>
      </c>
      <c r="R370" s="56">
        <f>VLOOKUP($A370,'Dados StatusInvest'!$A:$AZ,COLUMN(R370)-$A$5,0)</f>
        <v>-0.02</v>
      </c>
      <c r="S370" s="56">
        <f>IFERROR((VLOOKUP($A370,'Dados StatusInvest'!$A:$AZ,COLUMN(S370)-$A$5,0)),0)</f>
        <v>0</v>
      </c>
      <c r="T370" s="53">
        <f>IFERROR((VLOOKUP($A370,'Dados StatusInvest'!$A:$AZ,COLUMN(T370)-$A$5,0)/VLOOKUP($A370,'Dados StatusInvest'!$A:$AZ,2,0)*$F370),0)</f>
        <v>0</v>
      </c>
      <c r="U370" s="53">
        <f>IFERROR((VLOOKUP($A370,'Dados StatusInvest'!$A:$AZ,COLUMN(U370)-$A$5,0)-VLOOKUP($A370,'Dados StatusInvest'!$A:$AZ,COLUMN(U370)-$A$5-1,0)+T370),0)</f>
        <v>0</v>
      </c>
      <c r="V370" s="56">
        <f>IFERROR((VLOOKUP($A370,'Dados StatusInvest'!$A:$AZ,COLUMN(V370)-$A$5,0)),0)</f>
        <v>1.99</v>
      </c>
      <c r="W370" s="56">
        <f>IFERROR((VLOOKUP($A370,'Dados StatusInvest'!$A:$AZ,COLUMN(W370)-$A$5,0)),0)</f>
        <v>24.85</v>
      </c>
      <c r="X370" s="53">
        <f>IFERROR((VLOOKUP($A370,'Dados StatusInvest'!$A:$AZ,COLUMN(X370)-$A$5,0)/VLOOKUP($A370,'Dados StatusInvest'!$A:$AZ,2,0)*$F370),0)</f>
        <v>0</v>
      </c>
      <c r="Y370" s="54">
        <f>IFERROR((VLOOKUP($A370,'Dados StatusInvest'!$A:$AZ,COLUMN(Y370)-$A$5,0)/VLOOKUP($A370,'Dados StatusInvest'!$A:$AZ,2,0)*$F370),0)</f>
        <v>0</v>
      </c>
      <c r="Z370" s="56">
        <f>IFERROR((VLOOKUP($A370,'Dados StatusInvest'!$A:$AZ,COLUMN(Z370)-$A$5,0)),0)</f>
        <v>0.72</v>
      </c>
      <c r="AA370" s="57">
        <f>IFERROR((VLOOKUP($A370,'Dados StatusInvest'!$A:$AZ,COLUMN(AA370)-$A$5,0)),0)</f>
        <v>0.28</v>
      </c>
      <c r="AB370" s="57">
        <f>IFERROR((VLOOKUP($A370,'Dados StatusInvest'!$A:$AZ,COLUMN(AB370)-$A$5,0)),0)</f>
        <v>0.66</v>
      </c>
      <c r="AC370" s="58">
        <f>IFERROR((VLOOKUP($A370,'Dados StatusInvest'!$A:$AZ,COLUMN(AC370)-$A$5,0)),0)</f>
        <v>2.77</v>
      </c>
      <c r="AD370" s="57">
        <f>IFERROR((VLOOKUP($A370,'Dados StatusInvest'!$A:$AZ,COLUMN(AD370)-$A$5,0)),0)</f>
        <v>26.26</v>
      </c>
      <c r="AE370" s="56">
        <f>IFERROR((VLOOKUP($A370,'Dados StatusInvest'!$A:$AZ,COLUMN(AE370)-$A$5,0)),0)</f>
        <v>0</v>
      </c>
      <c r="AF370" s="56">
        <f>IFERROR((VLOOKUP($A370,'Dados StatusInvest'!$A:$AZ,COLUMN(AF370)-$A$5,0)),0)</f>
        <v>4.03</v>
      </c>
      <c r="AG370" s="56">
        <f>IFERROR((VLOOKUP($A370,'Dados StatusInvest'!$A:$AZ,COLUMN(AG370)-$A$5,0)),0)</f>
        <v>1</v>
      </c>
      <c r="AH370" s="56">
        <f>IFERROR((VLOOKUP($A370,'Dados StatusInvest'!$A:$AZ,COLUMN(AH370)-$A$5,0)),0)</f>
        <v>0</v>
      </c>
      <c r="AI370" s="57">
        <f>IFERROR((VLOOKUP($A370,'Dados StatusInvest'!$A:$AZ,COLUMN(AI370)-$A$5,0)),0)</f>
        <v>97372800</v>
      </c>
      <c r="AJ370" s="59" t="str">
        <f>IFERROR((VLOOKUP($A370,'Dados StatusInvest'!$A:$AZ,COLUMN(AJ370)-$A$5,0)),0)</f>
        <v/>
      </c>
      <c r="AK370" s="60" t="str">
        <f>IFERROR(__xludf.DUMMYFUNCTION("IFERROR(GOOGLEFINANCE($A370,""high""),"""")"),"")</f>
        <v/>
      </c>
      <c r="AL370" s="60" t="str">
        <f>IFERROR(__xludf.DUMMYFUNCTION("IFERROR(GOOGLEFINANCE($A370,""low""),"""")"),"")</f>
        <v/>
      </c>
      <c r="AM370" s="61">
        <f t="shared" si="2"/>
        <v>0</v>
      </c>
      <c r="AN370" s="62">
        <f>IFERROR(__xludf.DUMMYFUNCTION("IFERROR((GOOGLEFINANCE($A370,""volume"")),0)"),0.0)</f>
        <v>0</v>
      </c>
      <c r="AO370" s="60" t="str">
        <f>IFERROR(__xludf.DUMMYFUNCTION("IFERROR((GOOGLEFINANCE($A370,""closeyest"")),"""")"),"")</f>
        <v/>
      </c>
      <c r="AP370" s="60">
        <f>IFERROR(__xludf.DUMMYFUNCTION("IFERROR((GOOGLEFINANCE($A370,""shares"")),"""")"),1.8384E7)</f>
        <v>18384000</v>
      </c>
      <c r="AQ370" s="18"/>
    </row>
    <row r="371">
      <c r="A371" s="45" t="str">
        <f>'Dados StatusInvest'!A366:A985</f>
        <v>LUXM4</v>
      </c>
      <c r="B371" s="46" t="str">
        <f>IFERROR(__xludf.DUMMYFUNCTION("IFERROR((GOOGLEFINANCE(A371,""name"")),"""")"),"Trevisa Investimentos SA Preference Shares")</f>
        <v>Trevisa Investimentos SA Preference Shares</v>
      </c>
      <c r="C371" s="46" t="str">
        <f>IFERROR((VLOOKUP(LEFT($A371,4),Setor!$A:$E,3,0)),"")</f>
        <v>Bens Industriais</v>
      </c>
      <c r="D371" s="46" t="str">
        <f>IFERROR((VLOOKUP(LEFT($A371,4),Setor!$A:$E,4,0)),"")</f>
        <v>Transporte</v>
      </c>
      <c r="E371" s="46" t="str">
        <f>IFERROR((VLOOKUP(LEFT($A371,4),Setor!$A:$E,5,0)),"")</f>
        <v>Transporte Hidroviário</v>
      </c>
      <c r="F371" s="47">
        <f>IFERROR(__xludf.DUMMYFUNCTION("IFERROR((GOOGLEFINANCE(A371)),"""")"),4.2)</f>
        <v>4.2</v>
      </c>
      <c r="G371" s="48" t="str">
        <f>IFERROR(__xludf.DUMMYFUNCTION("IFERROR((sparkline(GOOGLEFINANCE($A371,""price"",TODAY()-30,TODAY(),""DAILY""),{""charttype"",""line"";""linewidth"",1;""color"",""#5f88cc""})),"""")"),"")</f>
        <v/>
      </c>
      <c r="H371" s="49">
        <f>IFERROR(__xludf.DUMMYFUNCTION("IFERROR((((GOOGLEFINANCE(A371))-(INDEX(GoogleFinance(A371,""PRICE"",$AQ$1),2,2)))/(INDEX(GoogleFinance(A371,""PRICE"",$AQ$1),2,2))),"""")"),-0.0023752969121139636)</f>
        <v>-0.002375296912</v>
      </c>
      <c r="I371" s="47">
        <f>IFERROR(__xludf.DUMMYFUNCTION("IFERROR((GOOGLEFINANCE($A371,""high52"")),"""")"),6.14)</f>
        <v>6.14</v>
      </c>
      <c r="J371" s="48" t="str">
        <f>IFERROR(__xludf.DUMMYFUNCTION("IFERROR((sparkline(GOOGLEFINANCE($A371,""price"",TODAY()-365,TODAY(),""DAILY""),{""charttype"",""line"";""linewidth"",1;""color"",""#5f88cc""})),"""")"),"")</f>
        <v/>
      </c>
      <c r="K371" s="50">
        <f>IFERROR(__xludf.DUMMYFUNCTION("IFERROR((((GOOGLEFINANCE(A371))-(INDEX(GoogleFinance(A371,""PRICE"",$AP$1),2,2)))/(INDEX(GoogleFinance(A371,""PRICE"",$AP$1),2,2))),"""")"),-0.22222222222222224)</f>
        <v>-0.2222222222</v>
      </c>
      <c r="L371" s="51">
        <f t="shared" si="1"/>
        <v>-0.3159609121</v>
      </c>
      <c r="M371" s="52">
        <f>IFERROR((VLOOKUP($A371,'Dados StatusInvest'!$A:$AZ,COLUMN(M371)-$A$5,0)*VLOOKUP($A371,'Dados StatusInvest'!$A:$AZ,2,0)/$F371/100),0)</f>
        <v>0.1643</v>
      </c>
      <c r="N371" s="53">
        <f>IFERROR((VLOOKUP($A371,'Dados StatusInvest'!$A:$AZ,COLUMN(N371)-$A$5,0)/VLOOKUP($A371,'Dados StatusInvest'!$A:$AZ,2,0)*$F371),"")</f>
        <v>27.07</v>
      </c>
      <c r="O371" s="53">
        <f>IFERROR((VLOOKUP($A371,'Dados StatusInvest'!$A:$AZ,COLUMN(O371)-$A$5,0)/VLOOKUP($A371,'Dados StatusInvest'!$A:$AZ,2,0)*$F371),0)</f>
        <v>6.91</v>
      </c>
      <c r="P371" s="54">
        <f>IFERROR((VLOOKUP($A371,'Dados StatusInvest'!$A:$AZ,COLUMN(P371)-$A$5,0)/VLOOKUP($A371,'Dados StatusInvest'!$A:$AZ,2,0)*$F371),0)</f>
        <v>3.7</v>
      </c>
      <c r="Q371" s="55">
        <f>IFERROR((VLOOKUP($A371,'Dados StatusInvest'!$A:$AZ,COLUMN(Q371)-$A$5,0)/100),0)</f>
        <v>-0.0015</v>
      </c>
      <c r="R371" s="56">
        <f>VLOOKUP($A371,'Dados StatusInvest'!$A:$AZ,COLUMN(R371)-$A$5,0)</f>
        <v>-0.02</v>
      </c>
      <c r="S371" s="56">
        <f>IFERROR((VLOOKUP($A371,'Dados StatusInvest'!$A:$AZ,COLUMN(S371)-$A$5,0)),0)</f>
        <v>1.13</v>
      </c>
      <c r="T371" s="53">
        <f>IFERROR((VLOOKUP($A371,'Dados StatusInvest'!$A:$AZ,COLUMN(T371)-$A$5,0)/VLOOKUP($A371,'Dados StatusInvest'!$A:$AZ,2,0)*$F371),0)</f>
        <v>7.48</v>
      </c>
      <c r="U371" s="53">
        <f>IFERROR((VLOOKUP($A371,'Dados StatusInvest'!$A:$AZ,COLUMN(U371)-$A$5,0)-VLOOKUP($A371,'Dados StatusInvest'!$A:$AZ,COLUMN(U371)-$A$5-1,0)+T371),0)</f>
        <v>-0.94</v>
      </c>
      <c r="V371" s="56">
        <f>IFERROR((VLOOKUP($A371,'Dados StatusInvest'!$A:$AZ,COLUMN(V371)-$A$5,0)),0)</f>
        <v>1.99</v>
      </c>
      <c r="W371" s="56">
        <f>IFERROR((VLOOKUP($A371,'Dados StatusInvest'!$A:$AZ,COLUMN(W371)-$A$5,0)),0)</f>
        <v>24.85</v>
      </c>
      <c r="X371" s="53">
        <f>IFERROR((VLOOKUP($A371,'Dados StatusInvest'!$A:$AZ,COLUMN(X371)-$A$5,0)/VLOOKUP($A371,'Dados StatusInvest'!$A:$AZ,2,0)*$F371),0)</f>
        <v>17.88</v>
      </c>
      <c r="Y371" s="54">
        <f>IFERROR((VLOOKUP($A371,'Dados StatusInvest'!$A:$AZ,COLUMN(Y371)-$A$5,0)/VLOOKUP($A371,'Dados StatusInvest'!$A:$AZ,2,0)*$F371),0)</f>
        <v>9.29</v>
      </c>
      <c r="Z371" s="56">
        <f>IFERROR((VLOOKUP($A371,'Dados StatusInvest'!$A:$AZ,COLUMN(Z371)-$A$5,0)),0)</f>
        <v>0.72</v>
      </c>
      <c r="AA371" s="57">
        <f>IFERROR((VLOOKUP($A371,'Dados StatusInvest'!$A:$AZ,COLUMN(AA371)-$A$5,0)),0)</f>
        <v>0.28</v>
      </c>
      <c r="AB371" s="57">
        <f>IFERROR((VLOOKUP($A371,'Dados StatusInvest'!$A:$AZ,COLUMN(AB371)-$A$5,0)),0)</f>
        <v>0.66</v>
      </c>
      <c r="AC371" s="58">
        <f>IFERROR((VLOOKUP($A371,'Dados StatusInvest'!$A:$AZ,COLUMN(AC371)-$A$5,0)),0)</f>
        <v>2.77</v>
      </c>
      <c r="AD371" s="57">
        <f>IFERROR((VLOOKUP($A371,'Dados StatusInvest'!$A:$AZ,COLUMN(AD371)-$A$5,0)),0)</f>
        <v>26.26</v>
      </c>
      <c r="AE371" s="56">
        <f>IFERROR((VLOOKUP($A371,'Dados StatusInvest'!$A:$AZ,COLUMN(AE371)-$A$5,0)),0)</f>
        <v>24108.67</v>
      </c>
      <c r="AF371" s="56">
        <f>IFERROR((VLOOKUP($A371,'Dados StatusInvest'!$A:$AZ,COLUMN(AF371)-$A$5,0)),0)</f>
        <v>4.03</v>
      </c>
      <c r="AG371" s="56">
        <f>IFERROR((VLOOKUP($A371,'Dados StatusInvest'!$A:$AZ,COLUMN(AG371)-$A$5,0)),0)</f>
        <v>1</v>
      </c>
      <c r="AH371" s="56">
        <f>IFERROR((VLOOKUP($A371,'Dados StatusInvest'!$A:$AZ,COLUMN(AH371)-$A$5,0)),0)</f>
        <v>0.02</v>
      </c>
      <c r="AI371" s="57">
        <f>IFERROR((VLOOKUP($A371,'Dados StatusInvest'!$A:$AZ,COLUMN(AI371)-$A$5,0)),0)</f>
        <v>97372800</v>
      </c>
      <c r="AJ371" s="59" t="str">
        <f>IFERROR((VLOOKUP($A371,'Dados StatusInvest'!$A:$AZ,COLUMN(AJ371)-$A$5,0)),0)</f>
        <v/>
      </c>
      <c r="AK371" s="60" t="str">
        <f>IFERROR(__xludf.DUMMYFUNCTION("IFERROR(GOOGLEFINANCE($A371,""high""),"""")"),"")</f>
        <v/>
      </c>
      <c r="AL371" s="60" t="str">
        <f>IFERROR(__xludf.DUMMYFUNCTION("IFERROR(GOOGLEFINANCE($A371,""low""),"""")"),"")</f>
        <v/>
      </c>
      <c r="AM371" s="61">
        <f t="shared" si="2"/>
        <v>0</v>
      </c>
      <c r="AN371" s="62">
        <f>IFERROR(__xludf.DUMMYFUNCTION("IFERROR((GOOGLEFINANCE($A371,""volume"")),0)"),0.0)</f>
        <v>0</v>
      </c>
      <c r="AO371" s="60">
        <f>IFERROR(__xludf.DUMMYFUNCTION("IFERROR((GOOGLEFINANCE($A371,""closeyest"")),"""")"),4.2)</f>
        <v>4.2</v>
      </c>
      <c r="AP371" s="60">
        <f>IFERROR(__xludf.DUMMYFUNCTION("IFERROR((GOOGLEFINANCE($A371,""shares"")),"""")"),2.3184E7)</f>
        <v>23184000</v>
      </c>
      <c r="AQ371" s="18"/>
    </row>
    <row r="372">
      <c r="A372" s="45" t="str">
        <f>'Dados StatusInvest'!A367:A986</f>
        <v>LWSA3</v>
      </c>
      <c r="B372" s="46" t="str">
        <f>IFERROR(__xludf.DUMMYFUNCTION("IFERROR((GOOGLEFINANCE(A372,""name"")),"""")"),"Lwsa SA")</f>
        <v>Lwsa SA</v>
      </c>
      <c r="C372" s="46" t="str">
        <f>IFERROR((VLOOKUP(LEFT($A372,4),Setor!$A:$E,3,0)),"")</f>
        <v>Tecnologia da Informação</v>
      </c>
      <c r="D372" s="46" t="str">
        <f>IFERROR((VLOOKUP(LEFT($A372,4),Setor!$A:$E,4,0)),"")</f>
        <v>Programas e Serviços</v>
      </c>
      <c r="E372" s="46" t="str">
        <f>IFERROR((VLOOKUP(LEFT($A372,4),Setor!$A:$E,5,0)),"")</f>
        <v>Programas e Serviços</v>
      </c>
      <c r="F372" s="47">
        <f>IFERROR(__xludf.DUMMYFUNCTION("IFERROR((GOOGLEFINANCE(A372)),"""")"),3.55)</f>
        <v>3.55</v>
      </c>
      <c r="G372" s="48" t="str">
        <f>IFERROR(__xludf.DUMMYFUNCTION("IFERROR((sparkline(GOOGLEFINANCE($A372,""price"",TODAY()-30,TODAY(),""DAILY""),{""charttype"",""line"";""linewidth"",1;""color"",""#5f88cc""})),"""")"),"")</f>
        <v/>
      </c>
      <c r="H372" s="49">
        <f>IFERROR(__xludf.DUMMYFUNCTION("IFERROR((((GOOGLEFINANCE(A372))-(INDEX(GoogleFinance(A372,""PRICE"",$AQ$1),2,2)))/(INDEX(GoogleFinance(A372,""PRICE"",$AQ$1),2,2))),"""")"),-0.20935412026726066)</f>
        <v>-0.2093541203</v>
      </c>
      <c r="I372" s="47">
        <f>IFERROR(__xludf.DUMMYFUNCTION("IFERROR((GOOGLEFINANCE($A372,""high52"")),"""")"),4.8)</f>
        <v>4.8</v>
      </c>
      <c r="J372" s="48" t="str">
        <f>IFERROR(__xludf.DUMMYFUNCTION("IFERROR((sparkline(GOOGLEFINANCE($A372,""price"",TODAY()-365,TODAY(),""DAILY""),{""charttype"",""line"";""linewidth"",1;""color"",""#5f88cc""})),"""")"),"")</f>
        <v/>
      </c>
      <c r="K372" s="50">
        <f>IFERROR(__xludf.DUMMYFUNCTION("IFERROR((((GOOGLEFINANCE(A372))-(INDEX(GoogleFinance(A372,""PRICE"",$AP$1),2,2)))/(INDEX(GoogleFinance(A372,""PRICE"",$AP$1),2,2))),"""")"),0.1872909698996654)</f>
        <v>0.1872909699</v>
      </c>
      <c r="L372" s="51">
        <f t="shared" si="1"/>
        <v>-0.2604166667</v>
      </c>
      <c r="M372" s="52">
        <f>IFERROR((VLOOKUP($A372,'Dados StatusInvest'!$A:$AZ,COLUMN(M372)-$A$5,0)*VLOOKUP($A372,'Dados StatusInvest'!$A:$AZ,2,0)/$F372/100),0)</f>
        <v>-0.2084647887</v>
      </c>
      <c r="N372" s="53">
        <f>IFERROR((VLOOKUP($A372,'Dados StatusInvest'!$A:$AZ,COLUMN(N372)-$A$5,0)/VLOOKUP($A372,'Dados StatusInvest'!$A:$AZ,2,0)*$F372),"")</f>
        <v>-18.35969529</v>
      </c>
      <c r="O372" s="53">
        <f>IFERROR((VLOOKUP($A372,'Dados StatusInvest'!$A:$AZ,COLUMN(O372)-$A$5,0)/VLOOKUP($A372,'Dados StatusInvest'!$A:$AZ,2,0)*$F372),0)</f>
        <v>-6.696814404</v>
      </c>
      <c r="P372" s="54">
        <f>IFERROR((VLOOKUP($A372,'Dados StatusInvest'!$A:$AZ,COLUMN(P372)-$A$5,0)/VLOOKUP($A372,'Dados StatusInvest'!$A:$AZ,2,0)*$F372),0)</f>
        <v>-5.713434903</v>
      </c>
      <c r="Q372" s="55">
        <f>IFERROR((VLOOKUP($A372,'Dados StatusInvest'!$A:$AZ,COLUMN(Q372)-$A$5,0)/100),0)</f>
        <v>0.01</v>
      </c>
      <c r="R372" s="56">
        <f>VLOOKUP($A372,'Dados StatusInvest'!$A:$AZ,COLUMN(R372)-$A$5,0)</f>
        <v>-0.12</v>
      </c>
      <c r="S372" s="56">
        <f>IFERROR((VLOOKUP($A372,'Dados StatusInvest'!$A:$AZ,COLUMN(S372)-$A$5,0)),0)</f>
        <v>1.4</v>
      </c>
      <c r="T372" s="53">
        <f>IFERROR((VLOOKUP($A372,'Dados StatusInvest'!$A:$AZ,COLUMN(T372)-$A$5,0)/VLOOKUP($A372,'Dados StatusInvest'!$A:$AZ,2,0)*$F372),0)</f>
        <v>8.093213296</v>
      </c>
      <c r="U372" s="53">
        <f>IFERROR((VLOOKUP($A372,'Dados StatusInvest'!$A:$AZ,COLUMN(U372)-$A$5,0)-VLOOKUP($A372,'Dados StatusInvest'!$A:$AZ,COLUMN(U372)-$A$5-1,0)+T372),0)</f>
        <v>-1.026786704</v>
      </c>
      <c r="V372" s="56">
        <f>IFERROR((VLOOKUP($A372,'Dados StatusInvest'!$A:$AZ,COLUMN(V372)-$A$5,0)),0)</f>
        <v>1.24</v>
      </c>
      <c r="W372" s="56">
        <f>IFERROR((VLOOKUP($A372,'Dados StatusInvest'!$A:$AZ,COLUMN(W372)-$A$5,0)),0)</f>
        <v>-11.26</v>
      </c>
      <c r="X372" s="53">
        <f>IFERROR((VLOOKUP($A372,'Dados StatusInvest'!$A:$AZ,COLUMN(X372)-$A$5,0)/VLOOKUP($A372,'Dados StatusInvest'!$A:$AZ,2,0)*$F372),0)</f>
        <v>-7.503185596</v>
      </c>
      <c r="Y372" s="54">
        <f>IFERROR((VLOOKUP($A372,'Dados StatusInvest'!$A:$AZ,COLUMN(Y372)-$A$5,0)/VLOOKUP($A372,'Dados StatusInvest'!$A:$AZ,2,0)*$F372),0)</f>
        <v>-20.14944598</v>
      </c>
      <c r="Z372" s="56">
        <f>IFERROR((VLOOKUP($A372,'Dados StatusInvest'!$A:$AZ,COLUMN(Z372)-$A$5,0)),0)</f>
        <v>0.68</v>
      </c>
      <c r="AA372" s="57">
        <f>IFERROR((VLOOKUP($A372,'Dados StatusInvest'!$A:$AZ,COLUMN(AA372)-$A$5,0)),0)</f>
        <v>0.32</v>
      </c>
      <c r="AB372" s="57">
        <f>IFERROR((VLOOKUP($A372,'Dados StatusInvest'!$A:$AZ,COLUMN(AB372)-$A$5,0)),0)</f>
        <v>0.41</v>
      </c>
      <c r="AC372" s="58">
        <f>IFERROR((VLOOKUP($A372,'Dados StatusInvest'!$A:$AZ,COLUMN(AC372)-$A$5,0)),0)</f>
        <v>28.85</v>
      </c>
      <c r="AD372" s="57">
        <f>IFERROR((VLOOKUP($A372,'Dados StatusInvest'!$A:$AZ,COLUMN(AD372)-$A$5,0)),0)</f>
        <v>0</v>
      </c>
      <c r="AE372" s="56">
        <f>IFERROR((VLOOKUP($A372,'Dados StatusInvest'!$A:$AZ,COLUMN(AE372)-$A$5,0)),0)</f>
        <v>26126598</v>
      </c>
      <c r="AF372" s="56">
        <f>IFERROR((VLOOKUP($A372,'Dados StatusInvest'!$A:$AZ,COLUMN(AF372)-$A$5,0)),0)</f>
        <v>4.29</v>
      </c>
      <c r="AG372" s="56">
        <f>IFERROR((VLOOKUP($A372,'Dados StatusInvest'!$A:$AZ,COLUMN(AG372)-$A$5,0)),0)</f>
        <v>-0.48</v>
      </c>
      <c r="AH372" s="56">
        <f>IFERROR((VLOOKUP($A372,'Dados StatusInvest'!$A:$AZ,COLUMN(AH372)-$A$5,0)),0)</f>
        <v>0</v>
      </c>
      <c r="AI372" s="57">
        <f>IFERROR((VLOOKUP($A372,'Dados StatusInvest'!$A:$AZ,COLUMN(AI372)-$A$5,0)),0)</f>
        <v>2052506474</v>
      </c>
      <c r="AJ372" s="59" t="str">
        <f>IFERROR((VLOOKUP($A372,'Dados StatusInvest'!$A:$AZ,COLUMN(AJ372)-$A$5,0)),0)</f>
        <v/>
      </c>
      <c r="AK372" s="60">
        <f>IFERROR(__xludf.DUMMYFUNCTION("IFERROR(GOOGLEFINANCE($A372,""high""),"""")"),3.62)</f>
        <v>3.62</v>
      </c>
      <c r="AL372" s="60">
        <f>IFERROR(__xludf.DUMMYFUNCTION("IFERROR(GOOGLEFINANCE($A372,""low""),"""")"),3.55)</f>
        <v>3.55</v>
      </c>
      <c r="AM372" s="61">
        <f t="shared" si="2"/>
        <v>0.01971830986</v>
      </c>
      <c r="AN372" s="62">
        <f>IFERROR(__xludf.DUMMYFUNCTION("IFERROR((GOOGLEFINANCE($A372,""volume"")),0)"),350600.0)</f>
        <v>350600</v>
      </c>
      <c r="AO372" s="60">
        <f>IFERROR(__xludf.DUMMYFUNCTION("IFERROR((GOOGLEFINANCE($A372,""closeyest"")),"""")"),3.61)</f>
        <v>3.61</v>
      </c>
      <c r="AP372" s="60">
        <f>IFERROR(__xludf.DUMMYFUNCTION("IFERROR((GOOGLEFINANCE($A372,""shares"")),"""")"),5.6856135E8)</f>
        <v>568561350</v>
      </c>
      <c r="AQ372" s="18"/>
    </row>
    <row r="373">
      <c r="A373" s="45" t="str">
        <f>'Dados StatusInvest'!A368:A987</f>
        <v>MAPT3</v>
      </c>
      <c r="B373" s="46" t="str">
        <f>IFERROR(__xludf.DUMMYFUNCTION("IFERROR((GOOGLEFINANCE(A373,""name"")),"""")"),"Cemepe Investimentos SA")</f>
        <v>Cemepe Investimentos SA</v>
      </c>
      <c r="C373" s="46" t="str">
        <f>IFERROR((VLOOKUP(LEFT($A373,4),Setor!$A:$E,3,0)),"")</f>
        <v>Outros</v>
      </c>
      <c r="D373" s="46" t="str">
        <f>IFERROR((VLOOKUP(LEFT($A373,4),Setor!$A:$E,4,0)),"")</f>
        <v>Outros</v>
      </c>
      <c r="E373" s="46" t="str">
        <f>IFERROR((VLOOKUP(LEFT($A373,4),Setor!$A:$E,5,0)),"")</f>
        <v>Outros</v>
      </c>
      <c r="F373" s="47">
        <f>IFERROR(__xludf.DUMMYFUNCTION("IFERROR((GOOGLEFINANCE(A373)),"""")"),3.0)</f>
        <v>3</v>
      </c>
      <c r="G373" s="48" t="str">
        <f>IFERROR(__xludf.DUMMYFUNCTION("IFERROR((sparkline(GOOGLEFINANCE($A373,""price"",TODAY()-30,TODAY(),""DAILY""),{""charttype"",""line"";""linewidth"",1;""color"",""#5f88cc""})),"""")"),"")</f>
        <v/>
      </c>
      <c r="H373" s="49" t="str">
        <f>IFERROR(__xludf.DUMMYFUNCTION("IFERROR((((GOOGLEFINANCE(A373))-(INDEX(GoogleFinance(A373,""PRICE"",$AQ$1),2,2)))/(INDEX(GoogleFinance(A373,""PRICE"",$AQ$1),2,2))),"""")"),"")</f>
        <v/>
      </c>
      <c r="I373" s="47">
        <f>IFERROR(__xludf.DUMMYFUNCTION("IFERROR((GOOGLEFINANCE($A373,""high52"")),"""")"),3.9)</f>
        <v>3.9</v>
      </c>
      <c r="J373" s="48" t="str">
        <f>IFERROR(__xludf.DUMMYFUNCTION("IFERROR((sparkline(GOOGLEFINANCE($A373,""price"",TODAY()-365,TODAY(),""DAILY""),{""charttype"",""line"";""linewidth"",1;""color"",""#5f88cc""})),"""")"),"")</f>
        <v/>
      </c>
      <c r="K373" s="50" t="str">
        <f>IFERROR(__xludf.DUMMYFUNCTION("IFERROR((((GOOGLEFINANCE(A373))-(INDEX(GoogleFinance(A373,""PRICE"",$AP$1),2,2)))/(INDEX(GoogleFinance(A373,""PRICE"",$AP$1),2,2))),"""")"),"")</f>
        <v/>
      </c>
      <c r="L373" s="51">
        <f t="shared" si="1"/>
        <v>-0.2307692308</v>
      </c>
      <c r="M373" s="52">
        <f>IFERROR((VLOOKUP($A373,'Dados StatusInvest'!$A:$AZ,COLUMN(M373)-$A$5,0)*VLOOKUP($A373,'Dados StatusInvest'!$A:$AZ,2,0)/$F373/100),0)</f>
        <v>0</v>
      </c>
      <c r="N373" s="53">
        <f>IFERROR((VLOOKUP($A373,'Dados StatusInvest'!$A:$AZ,COLUMN(N373)-$A$5,0)/VLOOKUP($A373,'Dados StatusInvest'!$A:$AZ,2,0)*$F373),"")</f>
        <v>0</v>
      </c>
      <c r="O373" s="53">
        <f>IFERROR((VLOOKUP($A373,'Dados StatusInvest'!$A:$AZ,COLUMN(O373)-$A$5,0)/VLOOKUP($A373,'Dados StatusInvest'!$A:$AZ,2,0)*$F373),0)</f>
        <v>-26.01</v>
      </c>
      <c r="P373" s="54">
        <f>IFERROR((VLOOKUP($A373,'Dados StatusInvest'!$A:$AZ,COLUMN(P373)-$A$5,0)/VLOOKUP($A373,'Dados StatusInvest'!$A:$AZ,2,0)*$F373),0)</f>
        <v>-29.82</v>
      </c>
      <c r="Q373" s="55">
        <f>IFERROR((VLOOKUP($A373,'Dados StatusInvest'!$A:$AZ,COLUMN(Q373)-$A$5,0)/100),0)</f>
        <v>0</v>
      </c>
      <c r="R373" s="56">
        <f>VLOOKUP($A373,'Dados StatusInvest'!$A:$AZ,COLUMN(R373)-$A$5,0)</f>
        <v>0</v>
      </c>
      <c r="S373" s="56">
        <f>IFERROR((VLOOKUP($A373,'Dados StatusInvest'!$A:$AZ,COLUMN(S373)-$A$5,0)),0)</f>
        <v>0</v>
      </c>
      <c r="T373" s="53">
        <f>IFERROR((VLOOKUP($A373,'Dados StatusInvest'!$A:$AZ,COLUMN(T373)-$A$5,0)/VLOOKUP($A373,'Dados StatusInvest'!$A:$AZ,2,0)*$F373),0)</f>
        <v>-393.81</v>
      </c>
      <c r="U373" s="53">
        <f>IFERROR((VLOOKUP($A373,'Dados StatusInvest'!$A:$AZ,COLUMN(U373)-$A$5,0)-VLOOKUP($A373,'Dados StatusInvest'!$A:$AZ,COLUMN(U373)-$A$5-1,0)+T373),0)</f>
        <v>-3.57</v>
      </c>
      <c r="V373" s="56">
        <f>IFERROR((VLOOKUP($A373,'Dados StatusInvest'!$A:$AZ,COLUMN(V373)-$A$5,0)),0)</f>
        <v>0</v>
      </c>
      <c r="W373" s="56">
        <f>IFERROR((VLOOKUP($A373,'Dados StatusInvest'!$A:$AZ,COLUMN(W373)-$A$5,0)),0)</f>
        <v>-1.63</v>
      </c>
      <c r="X373" s="53">
        <f>IFERROR((VLOOKUP($A373,'Dados StatusInvest'!$A:$AZ,COLUMN(X373)-$A$5,0)/VLOOKUP($A373,'Dados StatusInvest'!$A:$AZ,2,0)*$F373),0)</f>
        <v>-13.71</v>
      </c>
      <c r="Y373" s="54">
        <f>IFERROR((VLOOKUP($A373,'Dados StatusInvest'!$A:$AZ,COLUMN(Y373)-$A$5,0)/VLOOKUP($A373,'Dados StatusInvest'!$A:$AZ,2,0)*$F373),0)</f>
        <v>1.63</v>
      </c>
      <c r="Z373" s="56">
        <f>IFERROR((VLOOKUP($A373,'Dados StatusInvest'!$A:$AZ,COLUMN(Z373)-$A$5,0)),0)</f>
        <v>-8.41</v>
      </c>
      <c r="AA373" s="57">
        <f>IFERROR((VLOOKUP($A373,'Dados StatusInvest'!$A:$AZ,COLUMN(AA373)-$A$5,0)),0)</f>
        <v>9.41</v>
      </c>
      <c r="AB373" s="57">
        <f>IFERROR((VLOOKUP($A373,'Dados StatusInvest'!$A:$AZ,COLUMN(AB373)-$A$5,0)),0)</f>
        <v>0</v>
      </c>
      <c r="AC373" s="58">
        <f>IFERROR((VLOOKUP($A373,'Dados StatusInvest'!$A:$AZ,COLUMN(AC373)-$A$5,0)),0)</f>
        <v>0</v>
      </c>
      <c r="AD373" s="57">
        <f>IFERROR((VLOOKUP($A373,'Dados StatusInvest'!$A:$AZ,COLUMN(AD373)-$A$5,0)),0)</f>
        <v>0</v>
      </c>
      <c r="AE373" s="56">
        <f>IFERROR((VLOOKUP($A373,'Dados StatusInvest'!$A:$AZ,COLUMN(AE373)-$A$5,0)),0)</f>
        <v>300</v>
      </c>
      <c r="AF373" s="56">
        <f>IFERROR((VLOOKUP($A373,'Dados StatusInvest'!$A:$AZ,COLUMN(AF373)-$A$5,0)),0)</f>
        <v>-7.08</v>
      </c>
      <c r="AG373" s="56">
        <f>IFERROR((VLOOKUP($A373,'Dados StatusInvest'!$A:$AZ,COLUMN(AG373)-$A$5,0)),0)</f>
        <v>-0.12</v>
      </c>
      <c r="AH373" s="56">
        <f>IFERROR((VLOOKUP($A373,'Dados StatusInvest'!$A:$AZ,COLUMN(AH373)-$A$5,0)),0)</f>
        <v>0.65</v>
      </c>
      <c r="AI373" s="57">
        <f>IFERROR((VLOOKUP($A373,'Dados StatusInvest'!$A:$AZ,COLUMN(AI373)-$A$5,0)),0)</f>
        <v>3160747.8</v>
      </c>
      <c r="AJ373" s="59" t="str">
        <f>IFERROR((VLOOKUP($A373,'Dados StatusInvest'!$A:$AZ,COLUMN(AJ373)-$A$5,0)),0)</f>
        <v/>
      </c>
      <c r="AK373" s="60" t="str">
        <f>IFERROR(__xludf.DUMMYFUNCTION("IFERROR(GOOGLEFINANCE($A373,""high""),"""")"),"")</f>
        <v/>
      </c>
      <c r="AL373" s="60" t="str">
        <f>IFERROR(__xludf.DUMMYFUNCTION("IFERROR(GOOGLEFINANCE($A373,""low""),"""")"),"")</f>
        <v/>
      </c>
      <c r="AM373" s="61">
        <f t="shared" si="2"/>
        <v>0</v>
      </c>
      <c r="AN373" s="62">
        <f>IFERROR(__xludf.DUMMYFUNCTION("IFERROR((GOOGLEFINANCE($A373,""volume"")),0)"),0.0)</f>
        <v>0</v>
      </c>
      <c r="AO373" s="60">
        <f>IFERROR(__xludf.DUMMYFUNCTION("IFERROR((GOOGLEFINANCE($A373,""closeyest"")),"""")"),3.0)</f>
        <v>3</v>
      </c>
      <c r="AP373" s="60">
        <f>IFERROR(__xludf.DUMMYFUNCTION("IFERROR((GOOGLEFINANCE($A373,""shares"")),"""")"),454455.0)</f>
        <v>454455</v>
      </c>
      <c r="AQ373" s="18"/>
    </row>
    <row r="374">
      <c r="A374" s="45" t="str">
        <f>'Dados StatusInvest'!A369:A988</f>
        <v>MAPT4</v>
      </c>
      <c r="B374" s="46" t="str">
        <f>IFERROR(__xludf.DUMMYFUNCTION("IFERROR((GOOGLEFINANCE(A374,""name"")),"""")"),"Cemepe Investimentos SA Preference Shares")</f>
        <v>Cemepe Investimentos SA Preference Shares</v>
      </c>
      <c r="C374" s="46" t="str">
        <f>IFERROR((VLOOKUP(LEFT($A374,4),Setor!$A:$E,3,0)),"")</f>
        <v>Outros</v>
      </c>
      <c r="D374" s="46" t="str">
        <f>IFERROR((VLOOKUP(LEFT($A374,4),Setor!$A:$E,4,0)),"")</f>
        <v>Outros</v>
      </c>
      <c r="E374" s="46" t="str">
        <f>IFERROR((VLOOKUP(LEFT($A374,4),Setor!$A:$E,5,0)),"")</f>
        <v>Outros</v>
      </c>
      <c r="F374" s="47">
        <f>IFERROR(__xludf.DUMMYFUNCTION("IFERROR((GOOGLEFINANCE(A374)),"""")"),3.87)</f>
        <v>3.87</v>
      </c>
      <c r="G374" s="48" t="str">
        <f>IFERROR(__xludf.DUMMYFUNCTION("IFERROR((sparkline(GOOGLEFINANCE($A374,""price"",TODAY()-30,TODAY(),""DAILY""),{""charttype"",""line"";""linewidth"",1;""color"",""#5f88cc""})),"""")"),"")</f>
        <v/>
      </c>
      <c r="H374" s="49" t="str">
        <f>IFERROR(__xludf.DUMMYFUNCTION("IFERROR((((GOOGLEFINANCE(A374))-(INDEX(GoogleFinance(A374,""PRICE"",$AQ$1),2,2)))/(INDEX(GoogleFinance(A374,""PRICE"",$AQ$1),2,2))),"""")"),"")</f>
        <v/>
      </c>
      <c r="I374" s="47">
        <f>IFERROR(__xludf.DUMMYFUNCTION("IFERROR((GOOGLEFINANCE($A374,""high52"")),"""")"),7.4)</f>
        <v>7.4</v>
      </c>
      <c r="J374" s="48" t="str">
        <f>IFERROR(__xludf.DUMMYFUNCTION("IFERROR((sparkline(GOOGLEFINANCE($A374,""price"",TODAY()-365,TODAY(),""DAILY""),{""charttype"",""line"";""linewidth"",1;""color"",""#5f88cc""})),"""")"),"")</f>
        <v/>
      </c>
      <c r="K374" s="50">
        <f>IFERROR(__xludf.DUMMYFUNCTION("IFERROR((((GOOGLEFINANCE(A374))-(INDEX(GoogleFinance(A374,""PRICE"",$AP$1),2,2)))/(INDEX(GoogleFinance(A374,""PRICE"",$AP$1),2,2))),"""")"),-0.08941176470588233)</f>
        <v>-0.08941176471</v>
      </c>
      <c r="L374" s="51">
        <f t="shared" si="1"/>
        <v>-0.477027027</v>
      </c>
      <c r="M374" s="52">
        <f>IFERROR((VLOOKUP($A374,'Dados StatusInvest'!$A:$AZ,COLUMN(M374)-$A$5,0)*VLOOKUP($A374,'Dados StatusInvest'!$A:$AZ,2,0)/$F374/100),0)</f>
        <v>0</v>
      </c>
      <c r="N374" s="53">
        <f>IFERROR((VLOOKUP($A374,'Dados StatusInvest'!$A:$AZ,COLUMN(N374)-$A$5,0)/VLOOKUP($A374,'Dados StatusInvest'!$A:$AZ,2,0)*$F374),"")</f>
        <v>0</v>
      </c>
      <c r="O374" s="53">
        <f>IFERROR((VLOOKUP($A374,'Dados StatusInvest'!$A:$AZ,COLUMN(O374)-$A$5,0)/VLOOKUP($A374,'Dados StatusInvest'!$A:$AZ,2,0)*$F374),0)</f>
        <v>-33.55</v>
      </c>
      <c r="P374" s="54">
        <f>IFERROR((VLOOKUP($A374,'Dados StatusInvest'!$A:$AZ,COLUMN(P374)-$A$5,0)/VLOOKUP($A374,'Dados StatusInvest'!$A:$AZ,2,0)*$F374),0)</f>
        <v>-29.82</v>
      </c>
      <c r="Q374" s="55">
        <f>IFERROR((VLOOKUP($A374,'Dados StatusInvest'!$A:$AZ,COLUMN(Q374)-$A$5,0)/100),0)</f>
        <v>0</v>
      </c>
      <c r="R374" s="56">
        <f>VLOOKUP($A374,'Dados StatusInvest'!$A:$AZ,COLUMN(R374)-$A$5,0)</f>
        <v>0</v>
      </c>
      <c r="S374" s="56">
        <f>IFERROR((VLOOKUP($A374,'Dados StatusInvest'!$A:$AZ,COLUMN(S374)-$A$5,0)),0)</f>
        <v>0</v>
      </c>
      <c r="T374" s="53">
        <f>IFERROR((VLOOKUP($A374,'Dados StatusInvest'!$A:$AZ,COLUMN(T374)-$A$5,0)/VLOOKUP($A374,'Dados StatusInvest'!$A:$AZ,2,0)*$F374),0)</f>
        <v>-508.02</v>
      </c>
      <c r="U374" s="53">
        <f>IFERROR((VLOOKUP($A374,'Dados StatusInvest'!$A:$AZ,COLUMN(U374)-$A$5,0)-VLOOKUP($A374,'Dados StatusInvest'!$A:$AZ,COLUMN(U374)-$A$5-1,0)+T374),0)</f>
        <v>-4.6</v>
      </c>
      <c r="V374" s="56">
        <f>IFERROR((VLOOKUP($A374,'Dados StatusInvest'!$A:$AZ,COLUMN(V374)-$A$5,0)),0)</f>
        <v>0</v>
      </c>
      <c r="W374" s="56">
        <f>IFERROR((VLOOKUP($A374,'Dados StatusInvest'!$A:$AZ,COLUMN(W374)-$A$5,0)),0)</f>
        <v>-1.63</v>
      </c>
      <c r="X374" s="53">
        <f>IFERROR((VLOOKUP($A374,'Dados StatusInvest'!$A:$AZ,COLUMN(X374)-$A$5,0)/VLOOKUP($A374,'Dados StatusInvest'!$A:$AZ,2,0)*$F374),0)</f>
        <v>-13.71</v>
      </c>
      <c r="Y374" s="54">
        <f>IFERROR((VLOOKUP($A374,'Dados StatusInvest'!$A:$AZ,COLUMN(Y374)-$A$5,0)/VLOOKUP($A374,'Dados StatusInvest'!$A:$AZ,2,0)*$F374),0)</f>
        <v>1.63</v>
      </c>
      <c r="Z374" s="56">
        <f>IFERROR((VLOOKUP($A374,'Dados StatusInvest'!$A:$AZ,COLUMN(Z374)-$A$5,0)),0)</f>
        <v>-8.41</v>
      </c>
      <c r="AA374" s="57">
        <f>IFERROR((VLOOKUP($A374,'Dados StatusInvest'!$A:$AZ,COLUMN(AA374)-$A$5,0)),0)</f>
        <v>9.41</v>
      </c>
      <c r="AB374" s="57">
        <f>IFERROR((VLOOKUP($A374,'Dados StatusInvest'!$A:$AZ,COLUMN(AB374)-$A$5,0)),0)</f>
        <v>0</v>
      </c>
      <c r="AC374" s="58">
        <f>IFERROR((VLOOKUP($A374,'Dados StatusInvest'!$A:$AZ,COLUMN(AC374)-$A$5,0)),0)</f>
        <v>0</v>
      </c>
      <c r="AD374" s="57">
        <f>IFERROR((VLOOKUP($A374,'Dados StatusInvest'!$A:$AZ,COLUMN(AD374)-$A$5,0)),0)</f>
        <v>0</v>
      </c>
      <c r="AE374" s="56">
        <f>IFERROR((VLOOKUP($A374,'Dados StatusInvest'!$A:$AZ,COLUMN(AE374)-$A$5,0)),0)</f>
        <v>365.83</v>
      </c>
      <c r="AF374" s="56">
        <f>IFERROR((VLOOKUP($A374,'Dados StatusInvest'!$A:$AZ,COLUMN(AF374)-$A$5,0)),0)</f>
        <v>-7.08</v>
      </c>
      <c r="AG374" s="56">
        <f>IFERROR((VLOOKUP($A374,'Dados StatusInvest'!$A:$AZ,COLUMN(AG374)-$A$5,0)),0)</f>
        <v>-0.12</v>
      </c>
      <c r="AH374" s="56">
        <f>IFERROR((VLOOKUP($A374,'Dados StatusInvest'!$A:$AZ,COLUMN(AH374)-$A$5,0)),0)</f>
        <v>0.84</v>
      </c>
      <c r="AI374" s="57">
        <f>IFERROR((VLOOKUP($A374,'Dados StatusInvest'!$A:$AZ,COLUMN(AI374)-$A$5,0)),0)</f>
        <v>3160747.8</v>
      </c>
      <c r="AJ374" s="59" t="str">
        <f>IFERROR((VLOOKUP($A374,'Dados StatusInvest'!$A:$AZ,COLUMN(AJ374)-$A$5,0)),0)</f>
        <v/>
      </c>
      <c r="AK374" s="60" t="str">
        <f>IFERROR(__xludf.DUMMYFUNCTION("IFERROR(GOOGLEFINANCE($A374,""high""),"""")"),"")</f>
        <v/>
      </c>
      <c r="AL374" s="60" t="str">
        <f>IFERROR(__xludf.DUMMYFUNCTION("IFERROR(GOOGLEFINANCE($A374,""low""),"""")"),"")</f>
        <v/>
      </c>
      <c r="AM374" s="61">
        <f t="shared" si="2"/>
        <v>0</v>
      </c>
      <c r="AN374" s="62">
        <f>IFERROR(__xludf.DUMMYFUNCTION("IFERROR((GOOGLEFINANCE($A374,""volume"")),0)"),0.0)</f>
        <v>0</v>
      </c>
      <c r="AO374" s="60">
        <f>IFERROR(__xludf.DUMMYFUNCTION("IFERROR((GOOGLEFINANCE($A374,""closeyest"")),"""")"),3.87)</f>
        <v>3.87</v>
      </c>
      <c r="AP374" s="60">
        <f>IFERROR(__xludf.DUMMYFUNCTION("IFERROR((GOOGLEFINANCE($A374,""shares"")),"""")"),464440.0)</f>
        <v>464440</v>
      </c>
      <c r="AQ374" s="18"/>
    </row>
    <row r="375">
      <c r="A375" s="45" t="str">
        <f>'Dados StatusInvest'!A370:A989</f>
        <v>MATD3</v>
      </c>
      <c r="B375" s="46" t="str">
        <f>IFERROR(__xludf.DUMMYFUNCTION("IFERROR((GOOGLEFINANCE(A375,""name"")),"""")"),"Hospital Mater Dei Sa")</f>
        <v>Hospital Mater Dei Sa</v>
      </c>
      <c r="C375" s="46" t="str">
        <f>IFERROR((VLOOKUP(LEFT($A375,4),Setor!$A:$E,3,0)),"")</f>
        <v/>
      </c>
      <c r="D375" s="46" t="str">
        <f>IFERROR((VLOOKUP(LEFT($A375,4),Setor!$A:$E,4,0)),"")</f>
        <v/>
      </c>
      <c r="E375" s="46" t="str">
        <f>IFERROR((VLOOKUP(LEFT($A375,4),Setor!$A:$E,5,0)),"")</f>
        <v/>
      </c>
      <c r="F375" s="47">
        <f>IFERROR(__xludf.DUMMYFUNCTION("IFERROR((GOOGLEFINANCE(A375)),"""")"),5.72)</f>
        <v>5.72</v>
      </c>
      <c r="G375" s="48" t="str">
        <f>IFERROR(__xludf.DUMMYFUNCTION("IFERROR((sparkline(GOOGLEFINANCE($A375,""price"",TODAY()-30,TODAY(),""DAILY""),{""charttype"",""line"";""linewidth"",1;""color"",""#5f88cc""})),"""")"),"")</f>
        <v/>
      </c>
      <c r="H375" s="49">
        <f>IFERROR(__xludf.DUMMYFUNCTION("IFERROR((((GOOGLEFINANCE(A375))-(INDEX(GoogleFinance(A375,""PRICE"",$AQ$1),2,2)))/(INDEX(GoogleFinance(A375,""PRICE"",$AQ$1),2,2))),"""")"),0.07116104868913856)</f>
        <v>0.07116104869</v>
      </c>
      <c r="I375" s="47">
        <f>IFERROR(__xludf.DUMMYFUNCTION("IFERROR((GOOGLEFINANCE($A375,""high52"")),"""")"),6.1)</f>
        <v>6.1</v>
      </c>
      <c r="J375" s="48" t="str">
        <f>IFERROR(__xludf.DUMMYFUNCTION("IFERROR((sparkline(GOOGLEFINANCE($A375,""price"",TODAY()-365,TODAY(),""DAILY""),{""charttype"",""line"";""linewidth"",1;""color"",""#5f88cc""})),"""")"),"")</f>
        <v/>
      </c>
      <c r="K375" s="50">
        <f>IFERROR(__xludf.DUMMYFUNCTION("IFERROR((((GOOGLEFINANCE(A375))-(INDEX(GoogleFinance(A375,""PRICE"",$AP$1),2,2)))/(INDEX(GoogleFinance(A375,""PRICE"",$AP$1),2,2))),"""")"),0.48186528497409326)</f>
        <v>0.481865285</v>
      </c>
      <c r="L375" s="51">
        <f t="shared" si="1"/>
        <v>-0.06229508197</v>
      </c>
      <c r="M375" s="52">
        <f>IFERROR((VLOOKUP($A375,'Dados StatusInvest'!$A:$AZ,COLUMN(M375)-$A$5,0)*VLOOKUP($A375,'Dados StatusInvest'!$A:$AZ,2,0)/$F375/100),0)</f>
        <v>0.1457</v>
      </c>
      <c r="N375" s="53">
        <f>IFERROR((VLOOKUP($A375,'Dados StatusInvest'!$A:$AZ,COLUMN(N375)-$A$5,0)/VLOOKUP($A375,'Dados StatusInvest'!$A:$AZ,2,0)*$F375),"")</f>
        <v>3.87</v>
      </c>
      <c r="O375" s="53">
        <f>IFERROR((VLOOKUP($A375,'Dados StatusInvest'!$A:$AZ,COLUMN(O375)-$A$5,0)/VLOOKUP($A375,'Dados StatusInvest'!$A:$AZ,2,0)*$F375),0)</f>
        <v>6.23</v>
      </c>
      <c r="P375" s="54">
        <f>IFERROR((VLOOKUP($A375,'Dados StatusInvest'!$A:$AZ,COLUMN(P375)-$A$5,0)/VLOOKUP($A375,'Dados StatusInvest'!$A:$AZ,2,0)*$F375),0)</f>
        <v>8.56</v>
      </c>
      <c r="Q375" s="55">
        <f>IFERROR((VLOOKUP($A375,'Dados StatusInvest'!$A:$AZ,COLUMN(Q375)-$A$5,0)/100),0)</f>
        <v>0.0232</v>
      </c>
      <c r="R375" s="56">
        <f>VLOOKUP($A375,'Dados StatusInvest'!$A:$AZ,COLUMN(R375)-$A$5,0)</f>
        <v>0.49</v>
      </c>
      <c r="S375" s="56">
        <f>IFERROR((VLOOKUP($A375,'Dados StatusInvest'!$A:$AZ,COLUMN(S375)-$A$5,0)),0)</f>
        <v>0.91</v>
      </c>
      <c r="T375" s="53">
        <f>IFERROR((VLOOKUP($A375,'Dados StatusInvest'!$A:$AZ,COLUMN(T375)-$A$5,0)/VLOOKUP($A375,'Dados StatusInvest'!$A:$AZ,2,0)*$F375),0)</f>
        <v>1.86</v>
      </c>
      <c r="U375" s="53">
        <f>IFERROR((VLOOKUP($A375,'Dados StatusInvest'!$A:$AZ,COLUMN(U375)-$A$5,0)-VLOOKUP($A375,'Dados StatusInvest'!$A:$AZ,COLUMN(U375)-$A$5-1,0)+T375),0)</f>
        <v>-0.67</v>
      </c>
      <c r="V375" s="56">
        <f>IFERROR((VLOOKUP($A375,'Dados StatusInvest'!$A:$AZ,COLUMN(V375)-$A$5,0)),0)</f>
        <v>2.92</v>
      </c>
      <c r="W375" s="56">
        <f>IFERROR((VLOOKUP($A375,'Dados StatusInvest'!$A:$AZ,COLUMN(W375)-$A$5,0)),0)</f>
        <v>5.56</v>
      </c>
      <c r="X375" s="53">
        <f>IFERROR((VLOOKUP($A375,'Dados StatusInvest'!$A:$AZ,COLUMN(X375)-$A$5,0)/VLOOKUP($A375,'Dados StatusInvest'!$A:$AZ,2,0)*$F375),0)</f>
        <v>1.85</v>
      </c>
      <c r="Y375" s="54">
        <f>IFERROR((VLOOKUP($A375,'Dados StatusInvest'!$A:$AZ,COLUMN(Y375)-$A$5,0)/VLOOKUP($A375,'Dados StatusInvest'!$A:$AZ,2,0)*$F375),0)</f>
        <v>7.89</v>
      </c>
      <c r="Z375" s="56">
        <f>IFERROR((VLOOKUP($A375,'Dados StatusInvest'!$A:$AZ,COLUMN(Z375)-$A$5,0)),0)</f>
        <v>0.33</v>
      </c>
      <c r="AA375" s="57">
        <f>IFERROR((VLOOKUP($A375,'Dados StatusInvest'!$A:$AZ,COLUMN(AA375)-$A$5,0)),0)</f>
        <v>0.66</v>
      </c>
      <c r="AB375" s="57">
        <f>IFERROR((VLOOKUP($A375,'Dados StatusInvest'!$A:$AZ,COLUMN(AB375)-$A$5,0)),0)</f>
        <v>0.48</v>
      </c>
      <c r="AC375" s="58">
        <f>IFERROR((VLOOKUP($A375,'Dados StatusInvest'!$A:$AZ,COLUMN(AC375)-$A$5,0)),0)</f>
        <v>24.89</v>
      </c>
      <c r="AD375" s="57">
        <f>IFERROR((VLOOKUP($A375,'Dados StatusInvest'!$A:$AZ,COLUMN(AD375)-$A$5,0)),0)</f>
        <v>-10.05</v>
      </c>
      <c r="AE375" s="56">
        <f>IFERROR((VLOOKUP($A375,'Dados StatusInvest'!$A:$AZ,COLUMN(AE375)-$A$5,0)),0)</f>
        <v>1053653</v>
      </c>
      <c r="AF375" s="56">
        <f>IFERROR((VLOOKUP($A375,'Dados StatusInvest'!$A:$AZ,COLUMN(AF375)-$A$5,0)),0)</f>
        <v>4.39</v>
      </c>
      <c r="AG375" s="56">
        <f>IFERROR((VLOOKUP($A375,'Dados StatusInvest'!$A:$AZ,COLUMN(AG375)-$A$5,0)),0)</f>
        <v>0.24</v>
      </c>
      <c r="AH375" s="56">
        <f>IFERROR((VLOOKUP($A375,'Dados StatusInvest'!$A:$AZ,COLUMN(AH375)-$A$5,0)),0)</f>
        <v>-0.19</v>
      </c>
      <c r="AI375" s="57">
        <f>IFERROR((VLOOKUP($A375,'Dados StatusInvest'!$A:$AZ,COLUMN(AI375)-$A$5,0)),0)</f>
        <v>1907899279</v>
      </c>
      <c r="AJ375" s="59" t="str">
        <f>IFERROR((VLOOKUP($A375,'Dados StatusInvest'!$A:$AZ,COLUMN(AJ375)-$A$5,0)),0)</f>
        <v/>
      </c>
      <c r="AK375" s="60">
        <f>IFERROR(__xludf.DUMMYFUNCTION("IFERROR(GOOGLEFINANCE($A375,""high""),"""")"),5.74)</f>
        <v>5.74</v>
      </c>
      <c r="AL375" s="60">
        <f>IFERROR(__xludf.DUMMYFUNCTION("IFERROR(GOOGLEFINANCE($A375,""low""),"""")"),5.72)</f>
        <v>5.72</v>
      </c>
      <c r="AM375" s="61">
        <f t="shared" si="2"/>
        <v>0.003496503497</v>
      </c>
      <c r="AN375" s="62">
        <f>IFERROR(__xludf.DUMMYFUNCTION("IFERROR((GOOGLEFINANCE($A375,""volume"")),0)"),800.0)</f>
        <v>800</v>
      </c>
      <c r="AO375" s="60">
        <f>IFERROR(__xludf.DUMMYFUNCTION("IFERROR((GOOGLEFINANCE($A375,""closeyest"")),"""")"),5.72)</f>
        <v>5.72</v>
      </c>
      <c r="AP375" s="60">
        <f>IFERROR(__xludf.DUMMYFUNCTION("IFERROR((GOOGLEFINANCE($A375,""shares"")),"""")"),3.33548825E8)</f>
        <v>333548825</v>
      </c>
      <c r="AQ375" s="18"/>
    </row>
    <row r="376">
      <c r="A376" s="45" t="str">
        <f>'Dados StatusInvest'!A371:A990</f>
        <v>MBRF3</v>
      </c>
      <c r="B376" s="46" t="str">
        <f>IFERROR(__xludf.DUMMYFUNCTION("IFERROR((GOOGLEFINANCE(A376,""name"")),"""")"),"Marfrig Global Foods SA")</f>
        <v>Marfrig Global Foods SA</v>
      </c>
      <c r="C376" s="46" t="str">
        <f>IFERROR((VLOOKUP(LEFT($A376,4),Setor!$A:$E,3,0)),"")</f>
        <v/>
      </c>
      <c r="D376" s="46" t="str">
        <f>IFERROR((VLOOKUP(LEFT($A376,4),Setor!$A:$E,4,0)),"")</f>
        <v/>
      </c>
      <c r="E376" s="46" t="str">
        <f>IFERROR((VLOOKUP(LEFT($A376,4),Setor!$A:$E,5,0)),"")</f>
        <v/>
      </c>
      <c r="F376" s="47">
        <f>IFERROR(__xludf.DUMMYFUNCTION("IFERROR((GOOGLEFINANCE(A376)),"""")"),18.51)</f>
        <v>18.51</v>
      </c>
      <c r="G376" s="48" t="str">
        <f>IFERROR(__xludf.DUMMYFUNCTION("IFERROR((sparkline(GOOGLEFINANCE($A376,""price"",TODAY()-30,TODAY(),""DAILY""),{""charttype"",""line"";""linewidth"",1;""color"",""#5f88cc""})),"""")"),"")</f>
        <v/>
      </c>
      <c r="H376" s="49">
        <f>IFERROR(__xludf.DUMMYFUNCTION("IFERROR((((GOOGLEFINANCE(A376))-(INDEX(GoogleFinance(A376,""PRICE"",$AQ$1),2,2)))/(INDEX(GoogleFinance(A376,""PRICE"",$AQ$1),2,2))),"""")"),-0.057535641547861456)</f>
        <v>-0.05753564155</v>
      </c>
      <c r="I376" s="47">
        <f>IFERROR(__xludf.DUMMYFUNCTION("IFERROR((GOOGLEFINANCE($A376,""high52"")),"""")"),26.83)</f>
        <v>26.83</v>
      </c>
      <c r="J376" s="48" t="str">
        <f>IFERROR(__xludf.DUMMYFUNCTION("IFERROR((sparkline(GOOGLEFINANCE($A376,""price"",TODAY()-365,TODAY(),""DAILY""),{""charttype"",""line"";""linewidth"",1;""color"",""#5f88cc""})),"""")"),"")</f>
        <v/>
      </c>
      <c r="K376" s="50">
        <f>IFERROR(__xludf.DUMMYFUNCTION("IFERROR((((GOOGLEFINANCE(A376))-(INDEX(GoogleFinance(A376,""PRICE"",$AP$1),2,2)))/(INDEX(GoogleFinance(A376,""PRICE"",$AP$1),2,2))),"""")"),0.3640383198231394)</f>
        <v>0.3640383198</v>
      </c>
      <c r="L376" s="51">
        <f t="shared" si="1"/>
        <v>-0.3101006336</v>
      </c>
      <c r="M376" s="52">
        <f>IFERROR((VLOOKUP($A376,'Dados StatusInvest'!$A:$AZ,COLUMN(M376)-$A$5,0)*VLOOKUP($A376,'Dados StatusInvest'!$A:$AZ,2,0)/$F376/100),0)</f>
        <v>0.03435786062</v>
      </c>
      <c r="N376" s="53">
        <f>IFERROR((VLOOKUP($A376,'Dados StatusInvest'!$A:$AZ,COLUMN(N376)-$A$5,0)/VLOOKUP($A376,'Dados StatusInvest'!$A:$AZ,2,0)*$F376),"")</f>
        <v>1.736545842</v>
      </c>
      <c r="O376" s="53">
        <f>IFERROR((VLOOKUP($A376,'Dados StatusInvest'!$A:$AZ,COLUMN(O376)-$A$5,0)/VLOOKUP($A376,'Dados StatusInvest'!$A:$AZ,2,0)*$F376),0)</f>
        <v>4.84456823</v>
      </c>
      <c r="P376" s="54">
        <f>IFERROR((VLOOKUP($A376,'Dados StatusInvest'!$A:$AZ,COLUMN(P376)-$A$5,0)/VLOOKUP($A376,'Dados StatusInvest'!$A:$AZ,2,0)*$F376),0)</f>
        <v>13.32996269</v>
      </c>
      <c r="Q376" s="55">
        <f>IFERROR((VLOOKUP($A376,'Dados StatusInvest'!$A:$AZ,COLUMN(Q376)-$A$5,0)/100),0)</f>
        <v>0.086</v>
      </c>
      <c r="R376" s="56">
        <f>VLOOKUP($A376,'Dados StatusInvest'!$A:$AZ,COLUMN(R376)-$A$5,0)</f>
        <v>3.88</v>
      </c>
      <c r="S376" s="56">
        <f>IFERROR((VLOOKUP($A376,'Dados StatusInvest'!$A:$AZ,COLUMN(S376)-$A$5,0)),0)</f>
        <v>0.17</v>
      </c>
      <c r="T376" s="53">
        <f>IFERROR((VLOOKUP($A376,'Dados StatusInvest'!$A:$AZ,COLUMN(T376)-$A$5,0)/VLOOKUP($A376,'Dados StatusInvest'!$A:$AZ,2,0)*$F376),0)</f>
        <v>5.910175906</v>
      </c>
      <c r="U376" s="53">
        <f>IFERROR((VLOOKUP($A376,'Dados StatusInvest'!$A:$AZ,COLUMN(U376)-$A$5,0)-VLOOKUP($A376,'Dados StatusInvest'!$A:$AZ,COLUMN(U376)-$A$5-1,0)+T376),0)</f>
        <v>-0.3998240938</v>
      </c>
      <c r="V376" s="56">
        <f>IFERROR((VLOOKUP($A376,'Dados StatusInvest'!$A:$AZ,COLUMN(V376)-$A$5,0)),0)</f>
        <v>1.09</v>
      </c>
      <c r="W376" s="56">
        <f>IFERROR((VLOOKUP($A376,'Dados StatusInvest'!$A:$AZ,COLUMN(W376)-$A$5,0)),0)</f>
        <v>23.42</v>
      </c>
      <c r="X376" s="53">
        <f>IFERROR((VLOOKUP($A376,'Dados StatusInvest'!$A:$AZ,COLUMN(X376)-$A$5,0)/VLOOKUP($A376,'Dados StatusInvest'!$A:$AZ,2,0)*$F376),0)</f>
        <v>2.042414712</v>
      </c>
      <c r="Y376" s="54">
        <f>IFERROR((VLOOKUP($A376,'Dados StatusInvest'!$A:$AZ,COLUMN(Y376)-$A$5,0)/VLOOKUP($A376,'Dados StatusInvest'!$A:$AZ,2,0)*$F376),0)</f>
        <v>2.377883795</v>
      </c>
      <c r="Z376" s="56">
        <f>IFERROR((VLOOKUP($A376,'Dados StatusInvest'!$A:$AZ,COLUMN(Z376)-$A$5,0)),0)</f>
        <v>0.09</v>
      </c>
      <c r="AA376" s="57">
        <f>IFERROR((VLOOKUP($A376,'Dados StatusInvest'!$A:$AZ,COLUMN(AA376)-$A$5,0)),0)</f>
        <v>0.89</v>
      </c>
      <c r="AB376" s="57">
        <f>IFERROR((VLOOKUP($A376,'Dados StatusInvest'!$A:$AZ,COLUMN(AB376)-$A$5,0)),0)</f>
        <v>1.18</v>
      </c>
      <c r="AC376" s="58">
        <f>IFERROR((VLOOKUP($A376,'Dados StatusInvest'!$A:$AZ,COLUMN(AC376)-$A$5,0)),0)</f>
        <v>25.01</v>
      </c>
      <c r="AD376" s="57">
        <f>IFERROR((VLOOKUP($A376,'Dados StatusInvest'!$A:$AZ,COLUMN(AD376)-$A$5,0)),0)</f>
        <v>67.15</v>
      </c>
      <c r="AE376" s="56">
        <f>IFERROR((VLOOKUP($A376,'Dados StatusInvest'!$A:$AZ,COLUMN(AE376)-$A$5,0)),0)</f>
        <v>140000000</v>
      </c>
      <c r="AF376" s="56">
        <f>IFERROR((VLOOKUP($A376,'Dados StatusInvest'!$A:$AZ,COLUMN(AF376)-$A$5,0)),0)</f>
        <v>8.45</v>
      </c>
      <c r="AG376" s="56">
        <f>IFERROR((VLOOKUP($A376,'Dados StatusInvest'!$A:$AZ,COLUMN(AG376)-$A$5,0)),0)</f>
        <v>1.98</v>
      </c>
      <c r="AH376" s="56">
        <f>IFERROR((VLOOKUP($A376,'Dados StatusInvest'!$A:$AZ,COLUMN(AH376)-$A$5,0)),0)</f>
        <v>0.01</v>
      </c>
      <c r="AI376" s="57">
        <f>IFERROR((VLOOKUP($A376,'Dados StatusInvest'!$A:$AZ,COLUMN(AI376)-$A$5,0)),0)</f>
        <v>26970208231</v>
      </c>
      <c r="AJ376" s="59" t="str">
        <f>IFERROR((VLOOKUP($A376,'Dados StatusInvest'!$A:$AZ,COLUMN(AJ376)-$A$5,0)),0)</f>
        <v/>
      </c>
      <c r="AK376" s="60">
        <f>IFERROR(__xludf.DUMMYFUNCTION("IFERROR(GOOGLEFINANCE($A376,""high""),"""")"),18.72)</f>
        <v>18.72</v>
      </c>
      <c r="AL376" s="60">
        <f>IFERROR(__xludf.DUMMYFUNCTION("IFERROR(GOOGLEFINANCE($A376,""low""),"""")"),18.46)</f>
        <v>18.46</v>
      </c>
      <c r="AM376" s="61">
        <f t="shared" si="2"/>
        <v>0.01408450704</v>
      </c>
      <c r="AN376" s="62">
        <f>IFERROR(__xludf.DUMMYFUNCTION("IFERROR((GOOGLEFINANCE($A376,""volume"")),0)"),1.67371E7)</f>
        <v>16737100</v>
      </c>
      <c r="AO376" s="60">
        <f>IFERROR(__xludf.DUMMYFUNCTION("IFERROR((GOOGLEFINANCE($A376,""closeyest"")),"""")"),18.76)</f>
        <v>18.76</v>
      </c>
      <c r="AP376" s="60">
        <f>IFERROR(__xludf.DUMMYFUNCTION("IFERROR((GOOGLEFINANCE($A376,""shares"")),"""")"),1.437644362E9)</f>
        <v>1437644362</v>
      </c>
      <c r="AQ376" s="18"/>
    </row>
    <row r="377">
      <c r="A377" s="45" t="str">
        <f>'Dados StatusInvest'!A372:A991</f>
        <v>MDIA3</v>
      </c>
      <c r="B377" s="46" t="str">
        <f>IFERROR(__xludf.DUMMYFUNCTION("IFERROR((GOOGLEFINANCE(A377,""name"")),"""")"),"M Dias Brnc S ndstr  Cmrc d lmnts")</f>
        <v>M Dias Brnc S ndstr  Cmrc d lmnts</v>
      </c>
      <c r="C377" s="46" t="str">
        <f>IFERROR((VLOOKUP(LEFT($A377,4),Setor!$A:$E,3,0)),"")</f>
        <v>Consumo não Cíclico</v>
      </c>
      <c r="D377" s="46" t="str">
        <f>IFERROR((VLOOKUP(LEFT($A377,4),Setor!$A:$E,4,0)),"")</f>
        <v>Alimentos Processados</v>
      </c>
      <c r="E377" s="46" t="str">
        <f>IFERROR((VLOOKUP(LEFT($A377,4),Setor!$A:$E,5,0)),"")</f>
        <v>Alimentos Diversos</v>
      </c>
      <c r="F377" s="47">
        <f>IFERROR(__xludf.DUMMYFUNCTION("IFERROR((GOOGLEFINANCE(A377)),"""")"),25.11)</f>
        <v>25.11</v>
      </c>
      <c r="G377" s="48" t="str">
        <f>IFERROR(__xludf.DUMMYFUNCTION("IFERROR((sparkline(GOOGLEFINANCE($A377,""price"",TODAY()-30,TODAY(),""DAILY""),{""charttype"",""line"";""linewidth"",1;""color"",""#5f88cc""})),"""")"),"")</f>
        <v/>
      </c>
      <c r="H377" s="49">
        <f>IFERROR(__xludf.DUMMYFUNCTION("IFERROR((((GOOGLEFINANCE(A377))-(INDEX(GoogleFinance(A377,""PRICE"",$AQ$1),2,2)))/(INDEX(GoogleFinance(A377,""PRICE"",$AQ$1),2,2))),"""")"),0.014545454545454523)</f>
        <v>0.01454545455</v>
      </c>
      <c r="I377" s="47">
        <f>IFERROR(__xludf.DUMMYFUNCTION("IFERROR((GOOGLEFINANCE($A377,""high52"")),"""")"),29.22)</f>
        <v>29.22</v>
      </c>
      <c r="J377" s="48" t="str">
        <f>IFERROR(__xludf.DUMMYFUNCTION("IFERROR((sparkline(GOOGLEFINANCE($A377,""price"",TODAY()-365,TODAY(),""DAILY""),{""charttype"",""line"";""linewidth"",1;""color"",""#5f88cc""})),"""")"),"")</f>
        <v/>
      </c>
      <c r="K377" s="50">
        <f>IFERROR(__xludf.DUMMYFUNCTION("IFERROR((((GOOGLEFINANCE(A377))-(INDEX(GoogleFinance(A377,""PRICE"",$AP$1),2,2)))/(INDEX(GoogleFinance(A377,""PRICE"",$AP$1),2,2))),"""")"),0.06218274111675122)</f>
        <v>0.06218274112</v>
      </c>
      <c r="L377" s="51">
        <f t="shared" si="1"/>
        <v>-0.1406570842</v>
      </c>
      <c r="M377" s="52">
        <f>IFERROR((VLOOKUP($A377,'Dados StatusInvest'!$A:$AZ,COLUMN(M377)-$A$5,0)*VLOOKUP($A377,'Dados StatusInvest'!$A:$AZ,2,0)/$F377/100),0)</f>
        <v>0.07706981282</v>
      </c>
      <c r="N377" s="53">
        <f>IFERROR((VLOOKUP($A377,'Dados StatusInvest'!$A:$AZ,COLUMN(N377)-$A$5,0)/VLOOKUP($A377,'Dados StatusInvest'!$A:$AZ,2,0)*$F377),"")</f>
        <v>6.566319308</v>
      </c>
      <c r="O377" s="53">
        <f>IFERROR((VLOOKUP($A377,'Dados StatusInvest'!$A:$AZ,COLUMN(O377)-$A$5,0)/VLOOKUP($A377,'Dados StatusInvest'!$A:$AZ,2,0)*$F377),0)</f>
        <v>10.95044829</v>
      </c>
      <c r="P377" s="54">
        <f>IFERROR((VLOOKUP($A377,'Dados StatusInvest'!$A:$AZ,COLUMN(P377)-$A$5,0)/VLOOKUP($A377,'Dados StatusInvest'!$A:$AZ,2,0)*$F377),0)</f>
        <v>10.11114432</v>
      </c>
      <c r="Q377" s="55">
        <f>IFERROR((VLOOKUP($A377,'Dados StatusInvest'!$A:$AZ,COLUMN(Q377)-$A$5,0)/100),0)</f>
        <v>-0.0086</v>
      </c>
      <c r="R377" s="56">
        <f>VLOOKUP($A377,'Dados StatusInvest'!$A:$AZ,COLUMN(R377)-$A$5,0)</f>
        <v>-0.08</v>
      </c>
      <c r="S377" s="56">
        <f>IFERROR((VLOOKUP($A377,'Dados StatusInvest'!$A:$AZ,COLUMN(S377)-$A$5,0)),0)</f>
        <v>0.84</v>
      </c>
      <c r="T377" s="53">
        <f>IFERROR((VLOOKUP($A377,'Dados StatusInvest'!$A:$AZ,COLUMN(T377)-$A$5,0)/VLOOKUP($A377,'Dados StatusInvest'!$A:$AZ,2,0)*$F377),0)</f>
        <v>2.350051121</v>
      </c>
      <c r="U377" s="53">
        <f>IFERROR((VLOOKUP($A377,'Dados StatusInvest'!$A:$AZ,COLUMN(U377)-$A$5,0)-VLOOKUP($A377,'Dados StatusInvest'!$A:$AZ,COLUMN(U377)-$A$5-1,0)+T377),0)</f>
        <v>-1.309948879</v>
      </c>
      <c r="V377" s="56">
        <f>IFERROR((VLOOKUP($A377,'Dados StatusInvest'!$A:$AZ,COLUMN(V377)-$A$5,0)),0)</f>
        <v>2.33</v>
      </c>
      <c r="W377" s="56">
        <f>IFERROR((VLOOKUP($A377,'Dados StatusInvest'!$A:$AZ,COLUMN(W377)-$A$5,0)),0)</f>
        <v>8.17</v>
      </c>
      <c r="X377" s="53">
        <f>IFERROR((VLOOKUP($A377,'Dados StatusInvest'!$A:$AZ,COLUMN(X377)-$A$5,0)/VLOOKUP($A377,'Dados StatusInvest'!$A:$AZ,2,0)*$F377),0)</f>
        <v>5.124691309</v>
      </c>
      <c r="Y377" s="54">
        <f>IFERROR((VLOOKUP($A377,'Dados StatusInvest'!$A:$AZ,COLUMN(Y377)-$A$5,0)/VLOOKUP($A377,'Dados StatusInvest'!$A:$AZ,2,0)*$F377),0)</f>
        <v>6.418206842</v>
      </c>
      <c r="Z377" s="56">
        <f>IFERROR((VLOOKUP($A377,'Dados StatusInvest'!$A:$AZ,COLUMN(Z377)-$A$5,0)),0)</f>
        <v>0.64</v>
      </c>
      <c r="AA377" s="57">
        <f>IFERROR((VLOOKUP($A377,'Dados StatusInvest'!$A:$AZ,COLUMN(AA377)-$A$5,0)),0)</f>
        <v>0.36</v>
      </c>
      <c r="AB377" s="57">
        <f>IFERROR((VLOOKUP($A377,'Dados StatusInvest'!$A:$AZ,COLUMN(AB377)-$A$5,0)),0)</f>
        <v>0.78</v>
      </c>
      <c r="AC377" s="58">
        <f>IFERROR((VLOOKUP($A377,'Dados StatusInvest'!$A:$AZ,COLUMN(AC377)-$A$5,0)),0)</f>
        <v>9.62</v>
      </c>
      <c r="AD377" s="57">
        <f>IFERROR((VLOOKUP($A377,'Dados StatusInvest'!$A:$AZ,COLUMN(AD377)-$A$5,0)),0)</f>
        <v>4.03</v>
      </c>
      <c r="AE377" s="56">
        <f>IFERROR((VLOOKUP($A377,'Dados StatusInvest'!$A:$AZ,COLUMN(AE377)-$A$5,0)),0)</f>
        <v>11675397</v>
      </c>
      <c r="AF377" s="56">
        <f>IFERROR((VLOOKUP($A377,'Dados StatusInvest'!$A:$AZ,COLUMN(AF377)-$A$5,0)),0)</f>
        <v>24.5</v>
      </c>
      <c r="AG377" s="56">
        <f>IFERROR((VLOOKUP($A377,'Dados StatusInvest'!$A:$AZ,COLUMN(AG377)-$A$5,0)),0)</f>
        <v>2</v>
      </c>
      <c r="AH377" s="56">
        <f>IFERROR((VLOOKUP($A377,'Dados StatusInvest'!$A:$AZ,COLUMN(AH377)-$A$5,0)),0)</f>
        <v>-0.78</v>
      </c>
      <c r="AI377" s="57">
        <f>IFERROR((VLOOKUP($A377,'Dados StatusInvest'!$A:$AZ,COLUMN(AI377)-$A$5,0)),0)</f>
        <v>8620770000</v>
      </c>
      <c r="AJ377" s="59" t="str">
        <f>IFERROR((VLOOKUP($A377,'Dados StatusInvest'!$A:$AZ,COLUMN(AJ377)-$A$5,0)),0)</f>
        <v/>
      </c>
      <c r="AK377" s="60">
        <f>IFERROR(__xludf.DUMMYFUNCTION("IFERROR(GOOGLEFINANCE($A377,""high""),"""")"),25.5)</f>
        <v>25.5</v>
      </c>
      <c r="AL377" s="60">
        <f>IFERROR(__xludf.DUMMYFUNCTION("IFERROR(GOOGLEFINANCE($A377,""low""),"""")"),24.86)</f>
        <v>24.86</v>
      </c>
      <c r="AM377" s="61">
        <f t="shared" si="2"/>
        <v>0.02574416734</v>
      </c>
      <c r="AN377" s="62">
        <f>IFERROR(__xludf.DUMMYFUNCTION("IFERROR((GOOGLEFINANCE($A377,""volume"")),0)"),46200.0)</f>
        <v>46200</v>
      </c>
      <c r="AO377" s="60">
        <f>IFERROR(__xludf.DUMMYFUNCTION("IFERROR((GOOGLEFINANCE($A377,""closeyest"")),"""")"),25.4)</f>
        <v>25.4</v>
      </c>
      <c r="AP377" s="60">
        <f>IFERROR(__xludf.DUMMYFUNCTION("IFERROR((GOOGLEFINANCE($A377,""shares"")),"""")"),3.39E8)</f>
        <v>339000000</v>
      </c>
      <c r="AQ377" s="18"/>
    </row>
    <row r="378">
      <c r="A378" s="45" t="str">
        <f>'Dados StatusInvest'!A373:A992</f>
        <v>MDNE3</v>
      </c>
      <c r="B378" s="46" t="str">
        <f>IFERROR(__xludf.DUMMYFUNCTION("IFERROR((GOOGLEFINANCE(A378,""name"")),"""")"),"Moura Dubeux Engenharia SA")</f>
        <v>Moura Dubeux Engenharia SA</v>
      </c>
      <c r="C378" s="46" t="str">
        <f>IFERROR((VLOOKUP(LEFT($A378,4),Setor!$A:$E,3,0)),"")</f>
        <v>Consumo Cíclico</v>
      </c>
      <c r="D378" s="46" t="str">
        <f>IFERROR((VLOOKUP(LEFT($A378,4),Setor!$A:$E,4,0)),"")</f>
        <v>Construção Civil</v>
      </c>
      <c r="E378" s="46" t="str">
        <f>IFERROR((VLOOKUP(LEFT($A378,4),Setor!$A:$E,5,0)),"")</f>
        <v>Incorporações</v>
      </c>
      <c r="F378" s="47">
        <f>IFERROR(__xludf.DUMMYFUNCTION("IFERROR((GOOGLEFINANCE(A378)),"""")"),33.37)</f>
        <v>33.37</v>
      </c>
      <c r="G378" s="48" t="str">
        <f>IFERROR(__xludf.DUMMYFUNCTION("IFERROR((sparkline(GOOGLEFINANCE($A378,""price"",TODAY()-30,TODAY(),""DAILY""),{""charttype"",""line"";""linewidth"",1;""color"",""#5f88cc""})),"""")"),"")</f>
        <v/>
      </c>
      <c r="H378" s="49">
        <f>IFERROR(__xludf.DUMMYFUNCTION("IFERROR((((GOOGLEFINANCE(A378))-(INDEX(GoogleFinance(A378,""PRICE"",$AQ$1),2,2)))/(INDEX(GoogleFinance(A378,""PRICE"",$AQ$1),2,2))),"""")"),0.3347999999999999)</f>
        <v>0.3348</v>
      </c>
      <c r="I378" s="47">
        <f>IFERROR(__xludf.DUMMYFUNCTION("IFERROR((GOOGLEFINANCE($A378,""high52"")),"""")"),33.99)</f>
        <v>33.99</v>
      </c>
      <c r="J378" s="48" t="str">
        <f>IFERROR(__xludf.DUMMYFUNCTION("IFERROR((sparkline(GOOGLEFINANCE($A378,""price"",TODAY()-365,TODAY(),""DAILY""),{""charttype"",""line"";""linewidth"",1;""color"",""#5f88cc""})),"""")"),"")</f>
        <v/>
      </c>
      <c r="K378" s="50">
        <f>IFERROR(__xludf.DUMMYFUNCTION("IFERROR((((GOOGLEFINANCE(A378))-(INDEX(GoogleFinance(A378,""PRICE"",$AP$1),2,2)))/(INDEX(GoogleFinance(A378,""PRICE"",$AP$1),2,2))),"""")"),1.635860979462875)</f>
        <v>1.635860979</v>
      </c>
      <c r="L378" s="51">
        <f t="shared" si="1"/>
        <v>-0.01824065902</v>
      </c>
      <c r="M378" s="52">
        <f>IFERROR((VLOOKUP($A378,'Dados StatusInvest'!$A:$AZ,COLUMN(M378)-$A$5,0)*VLOOKUP($A378,'Dados StatusInvest'!$A:$AZ,2,0)/$F378/100),0)</f>
        <v>0.1834408151</v>
      </c>
      <c r="N378" s="53">
        <f>IFERROR((VLOOKUP($A378,'Dados StatusInvest'!$A:$AZ,COLUMN(N378)-$A$5,0)/VLOOKUP($A378,'Dados StatusInvest'!$A:$AZ,2,0)*$F378),"")</f>
        <v>17.27701656</v>
      </c>
      <c r="O378" s="53">
        <f>IFERROR((VLOOKUP($A378,'Dados StatusInvest'!$A:$AZ,COLUMN(O378)-$A$5,0)/VLOOKUP($A378,'Dados StatusInvest'!$A:$AZ,2,0)*$F378),0)</f>
        <v>9.511732703</v>
      </c>
      <c r="P378" s="54">
        <f>IFERROR((VLOOKUP($A378,'Dados StatusInvest'!$A:$AZ,COLUMN(P378)-$A$5,0)/VLOOKUP($A378,'Dados StatusInvest'!$A:$AZ,2,0)*$F378),0)</f>
        <v>10.1826848</v>
      </c>
      <c r="Q378" s="55">
        <f>IFERROR((VLOOKUP($A378,'Dados StatusInvest'!$A:$AZ,COLUMN(Q378)-$A$5,0)/100),0)</f>
        <v>0.0067</v>
      </c>
      <c r="R378" s="56">
        <f>VLOOKUP($A378,'Dados StatusInvest'!$A:$AZ,COLUMN(R378)-$A$5,0)</f>
        <v>0.14</v>
      </c>
      <c r="S378" s="56">
        <f>IFERROR((VLOOKUP($A378,'Dados StatusInvest'!$A:$AZ,COLUMN(S378)-$A$5,0)),0)</f>
        <v>1.74</v>
      </c>
      <c r="T378" s="53">
        <f>IFERROR((VLOOKUP($A378,'Dados StatusInvest'!$A:$AZ,COLUMN(T378)-$A$5,0)/VLOOKUP($A378,'Dados StatusInvest'!$A:$AZ,2,0)*$F378),0)</f>
        <v>1.953654642</v>
      </c>
      <c r="U378" s="53">
        <f>IFERROR((VLOOKUP($A378,'Dados StatusInvest'!$A:$AZ,COLUMN(U378)-$A$5,0)-VLOOKUP($A378,'Dados StatusInvest'!$A:$AZ,COLUMN(U378)-$A$5-1,0)+T378),0)</f>
        <v>-1.296345358</v>
      </c>
      <c r="V378" s="56">
        <f>IFERROR((VLOOKUP($A378,'Dados StatusInvest'!$A:$AZ,COLUMN(V378)-$A$5,0)),0)</f>
        <v>2.91</v>
      </c>
      <c r="W378" s="56">
        <f>IFERROR((VLOOKUP($A378,'Dados StatusInvest'!$A:$AZ,COLUMN(W378)-$A$5,0)),0)</f>
        <v>19.53</v>
      </c>
      <c r="X378" s="53">
        <f>IFERROR((VLOOKUP($A378,'Dados StatusInvest'!$A:$AZ,COLUMN(X378)-$A$5,0)/VLOOKUP($A378,'Dados StatusInvest'!$A:$AZ,2,0)*$F378),0)</f>
        <v>6.354311059</v>
      </c>
      <c r="Y378" s="54">
        <f>IFERROR((VLOOKUP($A378,'Dados StatusInvest'!$A:$AZ,COLUMN(Y378)-$A$5,0)/VLOOKUP($A378,'Dados StatusInvest'!$A:$AZ,2,0)*$F378),0)</f>
        <v>11.83046422</v>
      </c>
      <c r="Z378" s="56">
        <f>IFERROR((VLOOKUP($A378,'Dados StatusInvest'!$A:$AZ,COLUMN(Z378)-$A$5,0)),0)</f>
        <v>0.33</v>
      </c>
      <c r="AA378" s="57">
        <f>IFERROR((VLOOKUP($A378,'Dados StatusInvest'!$A:$AZ,COLUMN(AA378)-$A$5,0)),0)</f>
        <v>0.67</v>
      </c>
      <c r="AB378" s="57">
        <f>IFERROR((VLOOKUP($A378,'Dados StatusInvest'!$A:$AZ,COLUMN(AB378)-$A$5,0)),0)</f>
        <v>0.37</v>
      </c>
      <c r="AC378" s="58">
        <f>IFERROR((VLOOKUP($A378,'Dados StatusInvest'!$A:$AZ,COLUMN(AC378)-$A$5,0)),0)</f>
        <v>30.95</v>
      </c>
      <c r="AD378" s="57">
        <f>IFERROR((VLOOKUP($A378,'Dados StatusInvest'!$A:$AZ,COLUMN(AD378)-$A$5,0)),0)</f>
        <v>0</v>
      </c>
      <c r="AE378" s="56">
        <f>IFERROR((VLOOKUP($A378,'Dados StatusInvest'!$A:$AZ,COLUMN(AE378)-$A$5,0)),0)</f>
        <v>50474553</v>
      </c>
      <c r="AF378" s="56">
        <f>IFERROR((VLOOKUP($A378,'Dados StatusInvest'!$A:$AZ,COLUMN(AF378)-$A$5,0)),0)</f>
        <v>17.38</v>
      </c>
      <c r="AG378" s="56">
        <f>IFERROR((VLOOKUP($A378,'Dados StatusInvest'!$A:$AZ,COLUMN(AG378)-$A$5,0)),0)</f>
        <v>3.39</v>
      </c>
      <c r="AH378" s="56">
        <f>IFERROR((VLOOKUP($A378,'Dados StatusInvest'!$A:$AZ,COLUMN(AH378)-$A$5,0)),0)</f>
        <v>0.21</v>
      </c>
      <c r="AI378" s="57">
        <f>IFERROR((VLOOKUP($A378,'Dados StatusInvest'!$A:$AZ,COLUMN(AI378)-$A$5,0)),0)</f>
        <v>3524530805</v>
      </c>
      <c r="AJ378" s="59" t="str">
        <f>IFERROR((VLOOKUP($A378,'Dados StatusInvest'!$A:$AZ,COLUMN(AJ378)-$A$5,0)),0)</f>
        <v/>
      </c>
      <c r="AK378" s="60">
        <f>IFERROR(__xludf.DUMMYFUNCTION("IFERROR(GOOGLEFINANCE($A378,""high""),"""")"),33.99)</f>
        <v>33.99</v>
      </c>
      <c r="AL378" s="60">
        <f>IFERROR(__xludf.DUMMYFUNCTION("IFERROR(GOOGLEFINANCE($A378,""low""),"""")"),33.3)</f>
        <v>33.3</v>
      </c>
      <c r="AM378" s="61">
        <f t="shared" si="2"/>
        <v>0.02072072072</v>
      </c>
      <c r="AN378" s="62">
        <f>IFERROR(__xludf.DUMMYFUNCTION("IFERROR((GOOGLEFINANCE($A378,""volume"")),0)"),26800.0)</f>
        <v>26800</v>
      </c>
      <c r="AO378" s="60">
        <f>IFERROR(__xludf.DUMMYFUNCTION("IFERROR((GOOGLEFINANCE($A378,""closeyest"")),"""")"),33.82)</f>
        <v>33.82</v>
      </c>
      <c r="AP378" s="60">
        <f>IFERROR(__xludf.DUMMYFUNCTION("IFERROR((GOOGLEFINANCE($A378,""shares"")),"""")"),1.04214394E8)</f>
        <v>104214394</v>
      </c>
      <c r="AQ378" s="18"/>
    </row>
    <row r="379">
      <c r="A379" s="45" t="str">
        <f>'Dados StatusInvest'!A374:A993</f>
        <v>MEAL3</v>
      </c>
      <c r="B379" s="46" t="str">
        <f>IFERROR(__xludf.DUMMYFUNCTION("IFERROR((GOOGLEFINANCE(A379,""name"")),"""")"),"International Meal Company Alimentcao SA")</f>
        <v>International Meal Company Alimentcao SA</v>
      </c>
      <c r="C379" s="46" t="str">
        <f>IFERROR((VLOOKUP(LEFT($A379,4),Setor!$A:$E,3,0)),"")</f>
        <v>Consumo Cíclico</v>
      </c>
      <c r="D379" s="46" t="str">
        <f>IFERROR((VLOOKUP(LEFT($A379,4),Setor!$A:$E,4,0)),"")</f>
        <v>Hoteis e Restaurantes</v>
      </c>
      <c r="E379" s="46" t="str">
        <f>IFERROR((VLOOKUP(LEFT($A379,4),Setor!$A:$E,5,0)),"")</f>
        <v>Restaurante e Similares</v>
      </c>
      <c r="F379" s="47">
        <f>IFERROR(__xludf.DUMMYFUNCTION("IFERROR((GOOGLEFINANCE(A379)),"""")"),1.21)</f>
        <v>1.21</v>
      </c>
      <c r="G379" s="48" t="str">
        <f>IFERROR(__xludf.DUMMYFUNCTION("IFERROR((sparkline(GOOGLEFINANCE($A379,""price"",TODAY()-30,TODAY(),""DAILY""),{""charttype"",""line"";""linewidth"",1;""color"",""#5f88cc""})),"""")"),"")</f>
        <v/>
      </c>
      <c r="H379" s="49">
        <f>IFERROR(__xludf.DUMMYFUNCTION("IFERROR((((GOOGLEFINANCE(A379))-(INDEX(GoogleFinance(A379,""PRICE"",$AQ$1),2,2)))/(INDEX(GoogleFinance(A379,""PRICE"",$AQ$1),2,2))),"""")"),-0.016260162601626032)</f>
        <v>-0.0162601626</v>
      </c>
      <c r="I379" s="47">
        <f>IFERROR(__xludf.DUMMYFUNCTION("IFERROR((GOOGLEFINANCE($A379,""high52"")),"""")"),1.47)</f>
        <v>1.47</v>
      </c>
      <c r="J379" s="48" t="str">
        <f>IFERROR(__xludf.DUMMYFUNCTION("IFERROR((sparkline(GOOGLEFINANCE($A379,""price"",TODAY()-365,TODAY(),""DAILY""),{""charttype"",""line"";""linewidth"",1;""color"",""#5f88cc""})),"""")"),"")</f>
        <v/>
      </c>
      <c r="K379" s="50">
        <f>IFERROR(__xludf.DUMMYFUNCTION("IFERROR((((GOOGLEFINANCE(A379))-(INDEX(GoogleFinance(A379,""PRICE"",$AP$1),2,2)))/(INDEX(GoogleFinance(A379,""PRICE"",$AP$1),2,2))),"""")"),0.20999999999999996)</f>
        <v>0.21</v>
      </c>
      <c r="L379" s="51">
        <f t="shared" si="1"/>
        <v>-0.1768707483</v>
      </c>
      <c r="M379" s="52">
        <f>IFERROR((VLOOKUP($A379,'Dados StatusInvest'!$A:$AZ,COLUMN(M379)-$A$5,0)*VLOOKUP($A379,'Dados StatusInvest'!$A:$AZ,2,0)/$F379/100),0)</f>
        <v>0.01392644628</v>
      </c>
      <c r="N379" s="53">
        <f>IFERROR((VLOOKUP($A379,'Dados StatusInvest'!$A:$AZ,COLUMN(N379)-$A$5,0)/VLOOKUP($A379,'Dados StatusInvest'!$A:$AZ,2,0)*$F379),"")</f>
        <v>-7.191138211</v>
      </c>
      <c r="O379" s="53">
        <f>IFERROR((VLOOKUP($A379,'Dados StatusInvest'!$A:$AZ,COLUMN(O379)-$A$5,0)/VLOOKUP($A379,'Dados StatusInvest'!$A:$AZ,2,0)*$F379),0)</f>
        <v>12.6804065</v>
      </c>
      <c r="P379" s="54">
        <f>IFERROR((VLOOKUP($A379,'Dados StatusInvest'!$A:$AZ,COLUMN(P379)-$A$5,0)/VLOOKUP($A379,'Dados StatusInvest'!$A:$AZ,2,0)*$F379),0)</f>
        <v>22.21284553</v>
      </c>
      <c r="Q379" s="55">
        <f>IFERROR((VLOOKUP($A379,'Dados StatusInvest'!$A:$AZ,COLUMN(Q379)-$A$5,0)/100),0)</f>
        <v>0.0969</v>
      </c>
      <c r="R379" s="56">
        <f>VLOOKUP($A379,'Dados StatusInvest'!$A:$AZ,COLUMN(R379)-$A$5,0)</f>
        <v>0.29</v>
      </c>
      <c r="S379" s="56">
        <f>IFERROR((VLOOKUP($A379,'Dados StatusInvest'!$A:$AZ,COLUMN(S379)-$A$5,0)),0)</f>
        <v>0.18</v>
      </c>
      <c r="T379" s="53">
        <f>IFERROR((VLOOKUP($A379,'Dados StatusInvest'!$A:$AZ,COLUMN(T379)-$A$5,0)/VLOOKUP($A379,'Dados StatusInvest'!$A:$AZ,2,0)*$F379),0)</f>
        <v>-2.970894309</v>
      </c>
      <c r="U379" s="53">
        <f>IFERROR((VLOOKUP($A379,'Dados StatusInvest'!$A:$AZ,COLUMN(U379)-$A$5,0)-VLOOKUP($A379,'Dados StatusInvest'!$A:$AZ,COLUMN(U379)-$A$5-1,0)+T379),0)</f>
        <v>-0.1408943089</v>
      </c>
      <c r="V379" s="56">
        <f>IFERROR((VLOOKUP($A379,'Dados StatusInvest'!$A:$AZ,COLUMN(V379)-$A$5,0)),0)</f>
        <v>0.77</v>
      </c>
      <c r="W379" s="56">
        <f>IFERROR((VLOOKUP($A379,'Dados StatusInvest'!$A:$AZ,COLUMN(W379)-$A$5,0)),0)</f>
        <v>-16.18</v>
      </c>
      <c r="X379" s="53">
        <f>IFERROR((VLOOKUP($A379,'Dados StatusInvest'!$A:$AZ,COLUMN(X379)-$A$5,0)/VLOOKUP($A379,'Dados StatusInvest'!$A:$AZ,2,0)*$F379),0)</f>
        <v>-6.276260163</v>
      </c>
      <c r="Y379" s="54">
        <f>IFERROR((VLOOKUP($A379,'Dados StatusInvest'!$A:$AZ,COLUMN(Y379)-$A$5,0)/VLOOKUP($A379,'Dados StatusInvest'!$A:$AZ,2,0)*$F379),0)</f>
        <v>-0.5410569106</v>
      </c>
      <c r="Z379" s="56">
        <f>IFERROR((VLOOKUP($A379,'Dados StatusInvest'!$A:$AZ,COLUMN(Z379)-$A$5,0)),0)</f>
        <v>0.39</v>
      </c>
      <c r="AA379" s="57">
        <f>IFERROR((VLOOKUP($A379,'Dados StatusInvest'!$A:$AZ,COLUMN(AA379)-$A$5,0)),0)</f>
        <v>0.61</v>
      </c>
      <c r="AB379" s="57">
        <f>IFERROR((VLOOKUP($A379,'Dados StatusInvest'!$A:$AZ,COLUMN(AB379)-$A$5,0)),0)</f>
        <v>0.87</v>
      </c>
      <c r="AC379" s="58">
        <f>IFERROR((VLOOKUP($A379,'Dados StatusInvest'!$A:$AZ,COLUMN(AC379)-$A$5,0)),0)</f>
        <v>6.77</v>
      </c>
      <c r="AD379" s="57">
        <f>IFERROR((VLOOKUP($A379,'Dados StatusInvest'!$A:$AZ,COLUMN(AD379)-$A$5,0)),0)</f>
        <v>0</v>
      </c>
      <c r="AE379" s="56">
        <f>IFERROR((VLOOKUP($A379,'Dados StatusInvest'!$A:$AZ,COLUMN(AE379)-$A$5,0)),0)</f>
        <v>235340.3</v>
      </c>
      <c r="AF379" s="56">
        <f>IFERROR((VLOOKUP($A379,'Dados StatusInvest'!$A:$AZ,COLUMN(AF379)-$A$5,0)),0)</f>
        <v>3.15</v>
      </c>
      <c r="AG379" s="56">
        <f>IFERROR((VLOOKUP($A379,'Dados StatusInvest'!$A:$AZ,COLUMN(AG379)-$A$5,0)),0)</f>
        <v>-0.51</v>
      </c>
      <c r="AH379" s="56">
        <f>IFERROR((VLOOKUP($A379,'Dados StatusInvest'!$A:$AZ,COLUMN(AH379)-$A$5,0)),0)</f>
        <v>-0.06</v>
      </c>
      <c r="AI379" s="57">
        <f>IFERROR((VLOOKUP($A379,'Dados StatusInvest'!$A:$AZ,COLUMN(AI379)-$A$5,0)),0)</f>
        <v>352612144.2</v>
      </c>
      <c r="AJ379" s="59" t="str">
        <f>IFERROR((VLOOKUP($A379,'Dados StatusInvest'!$A:$AZ,COLUMN(AJ379)-$A$5,0)),0)</f>
        <v/>
      </c>
      <c r="AK379" s="60">
        <f>IFERROR(__xludf.DUMMYFUNCTION("IFERROR(GOOGLEFINANCE($A379,""high""),"""")"),1.22)</f>
        <v>1.22</v>
      </c>
      <c r="AL379" s="60">
        <f>IFERROR(__xludf.DUMMYFUNCTION("IFERROR(GOOGLEFINANCE($A379,""low""),"""")"),1.21)</f>
        <v>1.21</v>
      </c>
      <c r="AM379" s="61">
        <f t="shared" si="2"/>
        <v>0.00826446281</v>
      </c>
      <c r="AN379" s="62">
        <f>IFERROR(__xludf.DUMMYFUNCTION("IFERROR((GOOGLEFINANCE($A379,""volume"")),0)"),88700.0)</f>
        <v>88700</v>
      </c>
      <c r="AO379" s="60">
        <f>IFERROR(__xludf.DUMMYFUNCTION("IFERROR((GOOGLEFINANCE($A379,""closeyest"")),"""")"),1.23)</f>
        <v>1.23</v>
      </c>
      <c r="AP379" s="60">
        <f>IFERROR(__xludf.DUMMYFUNCTION("IFERROR((GOOGLEFINANCE($A379,""shares"")),"""")"),2.8667654E8)</f>
        <v>286676540</v>
      </c>
      <c r="AQ379" s="18"/>
    </row>
    <row r="380">
      <c r="A380" s="45" t="str">
        <f>'Dados StatusInvest'!A375:A994</f>
        <v>MELK3</v>
      </c>
      <c r="B380" s="46" t="str">
        <f>IFERROR(__xludf.DUMMYFUNCTION("IFERROR((GOOGLEFINANCE(A380,""name"")),"""")"),"Melnick Desenvolvimento Imobiliario SA")</f>
        <v>Melnick Desenvolvimento Imobiliario SA</v>
      </c>
      <c r="C380" s="46" t="str">
        <f>IFERROR((VLOOKUP(LEFT($A380,4),Setor!$A:$E,3,0)),"")</f>
        <v>Consumo Cíclico</v>
      </c>
      <c r="D380" s="46" t="str">
        <f>IFERROR((VLOOKUP(LEFT($A380,4),Setor!$A:$E,4,0)),"")</f>
        <v>Construção Civil</v>
      </c>
      <c r="E380" s="46" t="str">
        <f>IFERROR((VLOOKUP(LEFT($A380,4),Setor!$A:$E,5,0)),"")</f>
        <v>Incorporações</v>
      </c>
      <c r="F380" s="47">
        <f>IFERROR(__xludf.DUMMYFUNCTION("IFERROR((GOOGLEFINANCE(A380)),"""")"),3.95)</f>
        <v>3.95</v>
      </c>
      <c r="G380" s="48" t="str">
        <f>IFERROR(__xludf.DUMMYFUNCTION("IFERROR((sparkline(GOOGLEFINANCE($A380,""price"",TODAY()-30,TODAY(),""DAILY""),{""charttype"",""line"";""linewidth"",1;""color"",""#5f88cc""})),"""")"),"")</f>
        <v/>
      </c>
      <c r="H380" s="49">
        <f>IFERROR(__xludf.DUMMYFUNCTION("IFERROR((((GOOGLEFINANCE(A380))-(INDEX(GoogleFinance(A380,""PRICE"",$AQ$1),2,2)))/(INDEX(GoogleFinance(A380,""PRICE"",$AQ$1),2,2))),"""")"),0.08516483516483518)</f>
        <v>0.08516483516</v>
      </c>
      <c r="I380" s="47">
        <f>IFERROR(__xludf.DUMMYFUNCTION("IFERROR((GOOGLEFINANCE($A380,""high52"")),"""")"),4.08)</f>
        <v>4.08</v>
      </c>
      <c r="J380" s="48" t="str">
        <f>IFERROR(__xludf.DUMMYFUNCTION("IFERROR((sparkline(GOOGLEFINANCE($A380,""price"",TODAY()-365,TODAY(),""DAILY""),{""charttype"",""line"";""linewidth"",1;""color"",""#5f88cc""})),"""")"),"")</f>
        <v/>
      </c>
      <c r="K380" s="50">
        <f>IFERROR(__xludf.DUMMYFUNCTION("IFERROR((((GOOGLEFINANCE(A380))-(INDEX(GoogleFinance(A380,""PRICE"",$AP$1),2,2)))/(INDEX(GoogleFinance(A380,""PRICE"",$AP$1),2,2))),"""")"),0.04774535809018572)</f>
        <v>0.04774535809</v>
      </c>
      <c r="L380" s="51">
        <f t="shared" si="1"/>
        <v>-0.0318627451</v>
      </c>
      <c r="M380" s="52">
        <f>IFERROR((VLOOKUP($A380,'Dados StatusInvest'!$A:$AZ,COLUMN(M380)-$A$5,0)*VLOOKUP($A380,'Dados StatusInvest'!$A:$AZ,2,0)/$F380/100),0)</f>
        <v>0.09772151899</v>
      </c>
      <c r="N380" s="53">
        <f>IFERROR((VLOOKUP($A380,'Dados StatusInvest'!$A:$AZ,COLUMN(N380)-$A$5,0)/VLOOKUP($A380,'Dados StatusInvest'!$A:$AZ,2,0)*$F380),"")</f>
        <v>9.6775</v>
      </c>
      <c r="O380" s="53">
        <f>IFERROR((VLOOKUP($A380,'Dados StatusInvest'!$A:$AZ,COLUMN(O380)-$A$5,0)/VLOOKUP($A380,'Dados StatusInvest'!$A:$AZ,2,0)*$F380),0)</f>
        <v>7.01125</v>
      </c>
      <c r="P380" s="54">
        <f>IFERROR((VLOOKUP($A380,'Dados StatusInvest'!$A:$AZ,COLUMN(P380)-$A$5,0)/VLOOKUP($A380,'Dados StatusInvest'!$A:$AZ,2,0)*$F380),0)</f>
        <v>8.285125</v>
      </c>
      <c r="Q380" s="55">
        <f>IFERROR((VLOOKUP($A380,'Dados StatusInvest'!$A:$AZ,COLUMN(Q380)-$A$5,0)/100),0)</f>
        <v>0.0129</v>
      </c>
      <c r="R380" s="56">
        <f>VLOOKUP($A380,'Dados StatusInvest'!$A:$AZ,COLUMN(R380)-$A$5,0)</f>
        <v>0.14</v>
      </c>
      <c r="S380" s="56">
        <f>IFERROR((VLOOKUP($A380,'Dados StatusInvest'!$A:$AZ,COLUMN(S380)-$A$5,0)),0)</f>
        <v>0.69</v>
      </c>
      <c r="T380" s="53">
        <f>IFERROR((VLOOKUP($A380,'Dados StatusInvest'!$A:$AZ,COLUMN(T380)-$A$5,0)/VLOOKUP($A380,'Dados StatusInvest'!$A:$AZ,2,0)*$F380),0)</f>
        <v>0.6715</v>
      </c>
      <c r="U380" s="53">
        <f>IFERROR((VLOOKUP($A380,'Dados StatusInvest'!$A:$AZ,COLUMN(U380)-$A$5,0)-VLOOKUP($A380,'Dados StatusInvest'!$A:$AZ,COLUMN(U380)-$A$5-1,0)+T380),0)</f>
        <v>-1.1585</v>
      </c>
      <c r="V380" s="56">
        <f>IFERROR((VLOOKUP($A380,'Dados StatusInvest'!$A:$AZ,COLUMN(V380)-$A$5,0)),0)</f>
        <v>2.6</v>
      </c>
      <c r="W380" s="56">
        <f>IFERROR((VLOOKUP($A380,'Dados StatusInvest'!$A:$AZ,COLUMN(W380)-$A$5,0)),0)</f>
        <v>10.75</v>
      </c>
      <c r="X380" s="53">
        <f>IFERROR((VLOOKUP($A380,'Dados StatusInvest'!$A:$AZ,COLUMN(X380)-$A$5,0)/VLOOKUP($A380,'Dados StatusInvest'!$A:$AZ,2,0)*$F380),0)</f>
        <v>4.32525</v>
      </c>
      <c r="Y380" s="54">
        <f>IFERROR((VLOOKUP($A380,'Dados StatusInvest'!$A:$AZ,COLUMN(Y380)-$A$5,0)/VLOOKUP($A380,'Dados StatusInvest'!$A:$AZ,2,0)*$F380),0)</f>
        <v>4.611625</v>
      </c>
      <c r="Z380" s="56">
        <f>IFERROR((VLOOKUP($A380,'Dados StatusInvest'!$A:$AZ,COLUMN(Z380)-$A$5,0)),0)</f>
        <v>0.41</v>
      </c>
      <c r="AA380" s="57">
        <f>IFERROR((VLOOKUP($A380,'Dados StatusInvest'!$A:$AZ,COLUMN(AA380)-$A$5,0)),0)</f>
        <v>0.54</v>
      </c>
      <c r="AB380" s="57">
        <f>IFERROR((VLOOKUP($A380,'Dados StatusInvest'!$A:$AZ,COLUMN(AB380)-$A$5,0)),0)</f>
        <v>0.45</v>
      </c>
      <c r="AC380" s="58">
        <f>IFERROR((VLOOKUP($A380,'Dados StatusInvest'!$A:$AZ,COLUMN(AC380)-$A$5,0)),0)</f>
        <v>12.82</v>
      </c>
      <c r="AD380" s="57">
        <f>IFERROR((VLOOKUP($A380,'Dados StatusInvest'!$A:$AZ,COLUMN(AD380)-$A$5,0)),0)</f>
        <v>21.01</v>
      </c>
      <c r="AE380" s="56">
        <f>IFERROR((VLOOKUP($A380,'Dados StatusInvest'!$A:$AZ,COLUMN(AE380)-$A$5,0)),0)</f>
        <v>2087970</v>
      </c>
      <c r="AF380" s="56">
        <f>IFERROR((VLOOKUP($A380,'Dados StatusInvest'!$A:$AZ,COLUMN(AF380)-$A$5,0)),0)</f>
        <v>5.32</v>
      </c>
      <c r="AG380" s="56">
        <f>IFERROR((VLOOKUP($A380,'Dados StatusInvest'!$A:$AZ,COLUMN(AG380)-$A$5,0)),0)</f>
        <v>0.57</v>
      </c>
      <c r="AH380" s="56">
        <f>IFERROR((VLOOKUP($A380,'Dados StatusInvest'!$A:$AZ,COLUMN(AH380)-$A$5,0)),0)</f>
        <v>0.17</v>
      </c>
      <c r="AI380" s="57">
        <f>IFERROR((VLOOKUP($A380,'Dados StatusInvest'!$A:$AZ,COLUMN(AI380)-$A$5,0)),0)</f>
        <v>825077364</v>
      </c>
      <c r="AJ380" s="59" t="str">
        <f>IFERROR((VLOOKUP($A380,'Dados StatusInvest'!$A:$AZ,COLUMN(AJ380)-$A$5,0)),0)</f>
        <v/>
      </c>
      <c r="AK380" s="60">
        <f>IFERROR(__xludf.DUMMYFUNCTION("IFERROR(GOOGLEFINANCE($A380,""high""),"""")"),4.0)</f>
        <v>4</v>
      </c>
      <c r="AL380" s="60">
        <f>IFERROR(__xludf.DUMMYFUNCTION("IFERROR(GOOGLEFINANCE($A380,""low""),"""")"),3.93)</f>
        <v>3.93</v>
      </c>
      <c r="AM380" s="61">
        <f t="shared" si="2"/>
        <v>0.01781170483</v>
      </c>
      <c r="AN380" s="62">
        <f>IFERROR(__xludf.DUMMYFUNCTION("IFERROR((GOOGLEFINANCE($A380,""volume"")),0)"),45000.0)</f>
        <v>45000</v>
      </c>
      <c r="AO380" s="60">
        <f>IFERROR(__xludf.DUMMYFUNCTION("IFERROR((GOOGLEFINANCE($A380,""closeyest"")),"""")"),4.0)</f>
        <v>4</v>
      </c>
      <c r="AP380" s="60">
        <f>IFERROR(__xludf.DUMMYFUNCTION("IFERROR((GOOGLEFINANCE($A380,""shares"")),"""")"),2.06269341E8)</f>
        <v>206269341</v>
      </c>
      <c r="AQ380" s="18"/>
    </row>
    <row r="381">
      <c r="A381" s="45" t="str">
        <f>'Dados StatusInvest'!A376:A995</f>
        <v>MERC3</v>
      </c>
      <c r="B381" s="46" t="str">
        <f>IFERROR(__xludf.DUMMYFUNCTION("IFERROR((GOOGLEFINANCE(A381,""name"")),"""")"),"Mercantil Fincr SA Crdto Finmto e Invsto")</f>
        <v>Mercantil Fincr SA Crdto Finmto e Invsto</v>
      </c>
      <c r="C381" s="46" t="str">
        <f>IFERROR((VLOOKUP(LEFT($A381,4),Setor!$A:$E,3,0)),"")</f>
        <v>Financeiro</v>
      </c>
      <c r="D381" s="46" t="str">
        <f>IFERROR((VLOOKUP(LEFT($A381,4),Setor!$A:$E,4,0)),"")</f>
        <v>Intermediários Financeiros</v>
      </c>
      <c r="E381" s="46" t="str">
        <f>IFERROR((VLOOKUP(LEFT($A381,4),Setor!$A:$E,5,0)),"")</f>
        <v>Soc. Crédito e Financiamento</v>
      </c>
      <c r="F381" s="47">
        <f>IFERROR(__xludf.DUMMYFUNCTION("IFERROR((GOOGLEFINANCE(A381)),"""")"),15.28)</f>
        <v>15.28</v>
      </c>
      <c r="G381" s="48" t="str">
        <f>IFERROR(__xludf.DUMMYFUNCTION("IFERROR((sparkline(GOOGLEFINANCE($A381,""price"",TODAY()-30,TODAY(),""DAILY""),{""charttype"",""line"";""linewidth"",1;""color"",""#5f88cc""})),"""")"),"")</f>
        <v/>
      </c>
      <c r="H381" s="49" t="str">
        <f>IFERROR(__xludf.DUMMYFUNCTION("IFERROR((((GOOGLEFINANCE(A381))-(INDEX(GoogleFinance(A381,""PRICE"",$AQ$1),2,2)))/(INDEX(GoogleFinance(A381,""PRICE"",$AQ$1),2,2))),"""")"),"")</f>
        <v/>
      </c>
      <c r="I381" s="47">
        <f>IFERROR(__xludf.DUMMYFUNCTION("IFERROR((GOOGLEFINANCE($A381,""high52"")),"""")"),15.28)</f>
        <v>15.28</v>
      </c>
      <c r="J381" s="48" t="str">
        <f>IFERROR(__xludf.DUMMYFUNCTION("IFERROR((sparkline(GOOGLEFINANCE($A381,""price"",TODAY()-365,TODAY(),""DAILY""),{""charttype"",""line"";""linewidth"",1;""color"",""#5f88cc""})),"""")"),"")</f>
        <v/>
      </c>
      <c r="K381" s="50" t="str">
        <f>IFERROR(__xludf.DUMMYFUNCTION("IFERROR((((GOOGLEFINANCE(A381))-(INDEX(GoogleFinance(A381,""PRICE"",$AP$1),2,2)))/(INDEX(GoogleFinance(A381,""PRICE"",$AP$1),2,2))),"""")"),"")</f>
        <v/>
      </c>
      <c r="L381" s="51">
        <f t="shared" si="1"/>
        <v>0</v>
      </c>
      <c r="M381" s="52">
        <f>IFERROR((VLOOKUP($A381,'Dados StatusInvest'!$A:$AZ,COLUMN(M381)-$A$5,0)*VLOOKUP($A381,'Dados StatusInvest'!$A:$AZ,2,0)/$F381/100),0)</f>
        <v>0.5429</v>
      </c>
      <c r="N381" s="53">
        <f>IFERROR((VLOOKUP($A381,'Dados StatusInvest'!$A:$AZ,COLUMN(N381)-$A$5,0)/VLOOKUP($A381,'Dados StatusInvest'!$A:$AZ,2,0)*$F381),"")</f>
        <v>32.04</v>
      </c>
      <c r="O381" s="53">
        <f>IFERROR((VLOOKUP($A381,'Dados StatusInvest'!$A:$AZ,COLUMN(O381)-$A$5,0)/VLOOKUP($A381,'Dados StatusInvest'!$A:$AZ,2,0)*$F381),0)</f>
        <v>10.11</v>
      </c>
      <c r="P381" s="54">
        <f>IFERROR((VLOOKUP($A381,'Dados StatusInvest'!$A:$AZ,COLUMN(P381)-$A$5,0)/VLOOKUP($A381,'Dados StatusInvest'!$A:$AZ,2,0)*$F381),0)</f>
        <v>10.03</v>
      </c>
      <c r="Q381" s="55">
        <f>IFERROR((VLOOKUP($A381,'Dados StatusInvest'!$A:$AZ,COLUMN(Q381)-$A$5,0)/100),0)</f>
        <v>0</v>
      </c>
      <c r="R381" s="56">
        <f>VLOOKUP($A381,'Dados StatusInvest'!$A:$AZ,COLUMN(R381)-$A$5,0)</f>
        <v>0</v>
      </c>
      <c r="S381" s="56">
        <f>IFERROR((VLOOKUP($A381,'Dados StatusInvest'!$A:$AZ,COLUMN(S381)-$A$5,0)),0)</f>
        <v>5.49</v>
      </c>
      <c r="T381" s="53">
        <f>IFERROR((VLOOKUP($A381,'Dados StatusInvest'!$A:$AZ,COLUMN(T381)-$A$5,0)/VLOOKUP($A381,'Dados StatusInvest'!$A:$AZ,2,0)*$F381),0)</f>
        <v>21.07</v>
      </c>
      <c r="U381" s="53">
        <f>IFERROR((VLOOKUP($A381,'Dados StatusInvest'!$A:$AZ,COLUMN(U381)-$A$5,0)-VLOOKUP($A381,'Dados StatusInvest'!$A:$AZ,COLUMN(U381)-$A$5-1,0)+T381),0)</f>
        <v>-1.03</v>
      </c>
      <c r="V381" s="56">
        <f>IFERROR((VLOOKUP($A381,'Dados StatusInvest'!$A:$AZ,COLUMN(V381)-$A$5,0)),0)</f>
        <v>0</v>
      </c>
      <c r="W381" s="56">
        <f>IFERROR((VLOOKUP($A381,'Dados StatusInvest'!$A:$AZ,COLUMN(W381)-$A$5,0)),0)</f>
        <v>6.09</v>
      </c>
      <c r="X381" s="53">
        <f>IFERROR((VLOOKUP($A381,'Dados StatusInvest'!$A:$AZ,COLUMN(X381)-$A$5,0)/VLOOKUP($A381,'Dados StatusInvest'!$A:$AZ,2,0)*$F381),0)</f>
        <v>5.72</v>
      </c>
      <c r="Y381" s="54">
        <f>IFERROR((VLOOKUP($A381,'Dados StatusInvest'!$A:$AZ,COLUMN(Y381)-$A$5,0)/VLOOKUP($A381,'Dados StatusInvest'!$A:$AZ,2,0)*$F381),0)</f>
        <v>0</v>
      </c>
      <c r="Z381" s="56">
        <f>IFERROR((VLOOKUP($A381,'Dados StatusInvest'!$A:$AZ,COLUMN(Z381)-$A$5,0)),0)</f>
        <v>0.94</v>
      </c>
      <c r="AA381" s="57">
        <f>IFERROR((VLOOKUP($A381,'Dados StatusInvest'!$A:$AZ,COLUMN(AA381)-$A$5,0)),0)</f>
        <v>0.06</v>
      </c>
      <c r="AB381" s="57">
        <f>IFERROR((VLOOKUP($A381,'Dados StatusInvest'!$A:$AZ,COLUMN(AB381)-$A$5,0)),0)</f>
        <v>0.18</v>
      </c>
      <c r="AC381" s="58">
        <f>IFERROR((VLOOKUP($A381,'Dados StatusInvest'!$A:$AZ,COLUMN(AC381)-$A$5,0)),0)</f>
        <v>-2.99</v>
      </c>
      <c r="AD381" s="57">
        <f>IFERROR((VLOOKUP($A381,'Dados StatusInvest'!$A:$AZ,COLUMN(AD381)-$A$5,0)),0)</f>
        <v>15.25</v>
      </c>
      <c r="AE381" s="56">
        <f>IFERROR((VLOOKUP($A381,'Dados StatusInvest'!$A:$AZ,COLUMN(AE381)-$A$5,0)),0)</f>
        <v>1528</v>
      </c>
      <c r="AF381" s="56">
        <f>IFERROR((VLOOKUP($A381,'Dados StatusInvest'!$A:$AZ,COLUMN(AF381)-$A$5,0)),0)</f>
        <v>14.66</v>
      </c>
      <c r="AG381" s="56">
        <f>IFERROR((VLOOKUP($A381,'Dados StatusInvest'!$A:$AZ,COLUMN(AG381)-$A$5,0)),0)</f>
        <v>0.89</v>
      </c>
      <c r="AH381" s="56">
        <f>IFERROR((VLOOKUP($A381,'Dados StatusInvest'!$A:$AZ,COLUMN(AH381)-$A$5,0)),0)</f>
        <v>0.2</v>
      </c>
      <c r="AI381" s="57">
        <f>IFERROR((VLOOKUP($A381,'Dados StatusInvest'!$A:$AZ,COLUMN(AI381)-$A$5,0)),0)</f>
        <v>621670180</v>
      </c>
      <c r="AJ381" s="59" t="str">
        <f>IFERROR((VLOOKUP($A381,'Dados StatusInvest'!$A:$AZ,COLUMN(AJ381)-$A$5,0)),0)</f>
        <v/>
      </c>
      <c r="AK381" s="60" t="str">
        <f>IFERROR(__xludf.DUMMYFUNCTION("IFERROR(GOOGLEFINANCE($A381,""high""),"""")"),"")</f>
        <v/>
      </c>
      <c r="AL381" s="60" t="str">
        <f>IFERROR(__xludf.DUMMYFUNCTION("IFERROR(GOOGLEFINANCE($A381,""low""),"""")"),"")</f>
        <v/>
      </c>
      <c r="AM381" s="61">
        <f t="shared" si="2"/>
        <v>0</v>
      </c>
      <c r="AN381" s="62">
        <f>IFERROR(__xludf.DUMMYFUNCTION("IFERROR((GOOGLEFINANCE($A381,""volume"")),0)"),0.0)</f>
        <v>0</v>
      </c>
      <c r="AO381" s="60">
        <f>IFERROR(__xludf.DUMMYFUNCTION("IFERROR((GOOGLEFINANCE($A381,""closeyest"")),"""")"),15.28)</f>
        <v>15.28</v>
      </c>
      <c r="AP381" s="60">
        <f>IFERROR(__xludf.DUMMYFUNCTION("IFERROR((GOOGLEFINANCE($A381,""shares"")),"""")"),2.4080768E7)</f>
        <v>24080768</v>
      </c>
      <c r="AQ381" s="18"/>
    </row>
    <row r="382">
      <c r="A382" s="45" t="str">
        <f>'Dados StatusInvest'!A377:A996</f>
        <v>MERC4</v>
      </c>
      <c r="B382" s="46" t="str">
        <f>IFERROR(__xludf.DUMMYFUNCTION("IFERROR((GOOGLEFINANCE(A382,""name"")),"""")"),"Mercantil Fincr SA Crdto Finmto e Invsto Preference Shares")</f>
        <v>Mercantil Fincr SA Crdto Finmto e Invsto Preference Shares</v>
      </c>
      <c r="C382" s="46" t="str">
        <f>IFERROR((VLOOKUP(LEFT($A382,4),Setor!$A:$E,3,0)),"")</f>
        <v>Financeiro</v>
      </c>
      <c r="D382" s="46" t="str">
        <f>IFERROR((VLOOKUP(LEFT($A382,4),Setor!$A:$E,4,0)),"")</f>
        <v>Intermediários Financeiros</v>
      </c>
      <c r="E382" s="46" t="str">
        <f>IFERROR((VLOOKUP(LEFT($A382,4),Setor!$A:$E,5,0)),"")</f>
        <v>Soc. Crédito e Financiamento</v>
      </c>
      <c r="F382" s="47">
        <f>IFERROR(__xludf.DUMMYFUNCTION("IFERROR((GOOGLEFINANCE(A382)),"""")"),15.0)</f>
        <v>15</v>
      </c>
      <c r="G382" s="48" t="str">
        <f>IFERROR(__xludf.DUMMYFUNCTION("IFERROR((sparkline(GOOGLEFINANCE($A382,""price"",TODAY()-30,TODAY(),""DAILY""),{""charttype"",""line"";""linewidth"",1;""color"",""#5f88cc""})),"""")"),"")</f>
        <v/>
      </c>
      <c r="H382" s="49">
        <f>IFERROR(__xludf.DUMMYFUNCTION("IFERROR((((GOOGLEFINANCE(A382))-(INDEX(GoogleFinance(A382,""PRICE"",$AQ$1),2,2)))/(INDEX(GoogleFinance(A382,""PRICE"",$AQ$1),2,2))),"""")"),0.07142857142857142)</f>
        <v>0.07142857143</v>
      </c>
      <c r="I382" s="47">
        <f>IFERROR(__xludf.DUMMYFUNCTION("IFERROR((GOOGLEFINANCE($A382,""high52"")),"""")"),14.8)</f>
        <v>14.8</v>
      </c>
      <c r="J382" s="48" t="str">
        <f>IFERROR(__xludf.DUMMYFUNCTION("IFERROR((sparkline(GOOGLEFINANCE($A382,""price"",TODAY()-365,TODAY(),""DAILY""),{""charttype"",""line"";""linewidth"",1;""color"",""#5f88cc""})),"""")"),"")</f>
        <v/>
      </c>
      <c r="K382" s="50">
        <f>IFERROR(__xludf.DUMMYFUNCTION("IFERROR((((GOOGLEFINANCE(A382))-(INDEX(GoogleFinance(A382,""PRICE"",$AP$1),2,2)))/(INDEX(GoogleFinance(A382,""PRICE"",$AP$1),2,2))),"""")"),0.6447368421052633)</f>
        <v>0.6447368421</v>
      </c>
      <c r="L382" s="51">
        <f t="shared" si="1"/>
        <v>0.01351351351</v>
      </c>
      <c r="M382" s="52">
        <f>IFERROR((VLOOKUP($A382,'Dados StatusInvest'!$A:$AZ,COLUMN(M382)-$A$5,0)*VLOOKUP($A382,'Dados StatusInvest'!$A:$AZ,2,0)/$F382/100),0)</f>
        <v>0.5429</v>
      </c>
      <c r="N382" s="53">
        <f>IFERROR((VLOOKUP($A382,'Dados StatusInvest'!$A:$AZ,COLUMN(N382)-$A$5,0)/VLOOKUP($A382,'Dados StatusInvest'!$A:$AZ,2,0)*$F382),"")</f>
        <v>32.04</v>
      </c>
      <c r="O382" s="53">
        <f>IFERROR((VLOOKUP($A382,'Dados StatusInvest'!$A:$AZ,COLUMN(O382)-$A$5,0)/VLOOKUP($A382,'Dados StatusInvest'!$A:$AZ,2,0)*$F382),0)</f>
        <v>9.92</v>
      </c>
      <c r="P382" s="54">
        <f>IFERROR((VLOOKUP($A382,'Dados StatusInvest'!$A:$AZ,COLUMN(P382)-$A$5,0)/VLOOKUP($A382,'Dados StatusInvest'!$A:$AZ,2,0)*$F382),0)</f>
        <v>10.03</v>
      </c>
      <c r="Q382" s="55">
        <f>IFERROR((VLOOKUP($A382,'Dados StatusInvest'!$A:$AZ,COLUMN(Q382)-$A$5,0)/100),0)</f>
        <v>0</v>
      </c>
      <c r="R382" s="56">
        <f>VLOOKUP($A382,'Dados StatusInvest'!$A:$AZ,COLUMN(R382)-$A$5,0)</f>
        <v>0</v>
      </c>
      <c r="S382" s="56">
        <f>IFERROR((VLOOKUP($A382,'Dados StatusInvest'!$A:$AZ,COLUMN(S382)-$A$5,0)),0)</f>
        <v>5.39</v>
      </c>
      <c r="T382" s="53">
        <f>IFERROR((VLOOKUP($A382,'Dados StatusInvest'!$A:$AZ,COLUMN(T382)-$A$5,0)/VLOOKUP($A382,'Dados StatusInvest'!$A:$AZ,2,0)*$F382),0)</f>
        <v>20.69</v>
      </c>
      <c r="U382" s="53">
        <f>IFERROR((VLOOKUP($A382,'Dados StatusInvest'!$A:$AZ,COLUMN(U382)-$A$5,0)-VLOOKUP($A382,'Dados StatusInvest'!$A:$AZ,COLUMN(U382)-$A$5-1,0)+T382),0)</f>
        <v>-1.01</v>
      </c>
      <c r="V382" s="56">
        <f>IFERROR((VLOOKUP($A382,'Dados StatusInvest'!$A:$AZ,COLUMN(V382)-$A$5,0)),0)</f>
        <v>0</v>
      </c>
      <c r="W382" s="56">
        <f>IFERROR((VLOOKUP($A382,'Dados StatusInvest'!$A:$AZ,COLUMN(W382)-$A$5,0)),0)</f>
        <v>6.09</v>
      </c>
      <c r="X382" s="53">
        <f>IFERROR((VLOOKUP($A382,'Dados StatusInvest'!$A:$AZ,COLUMN(X382)-$A$5,0)/VLOOKUP($A382,'Dados StatusInvest'!$A:$AZ,2,0)*$F382),0)</f>
        <v>5.72</v>
      </c>
      <c r="Y382" s="54">
        <f>IFERROR((VLOOKUP($A382,'Dados StatusInvest'!$A:$AZ,COLUMN(Y382)-$A$5,0)/VLOOKUP($A382,'Dados StatusInvest'!$A:$AZ,2,0)*$F382),0)</f>
        <v>0</v>
      </c>
      <c r="Z382" s="56">
        <f>IFERROR((VLOOKUP($A382,'Dados StatusInvest'!$A:$AZ,COLUMN(Z382)-$A$5,0)),0)</f>
        <v>0.94</v>
      </c>
      <c r="AA382" s="57">
        <f>IFERROR((VLOOKUP($A382,'Dados StatusInvest'!$A:$AZ,COLUMN(AA382)-$A$5,0)),0)</f>
        <v>0.06</v>
      </c>
      <c r="AB382" s="57">
        <f>IFERROR((VLOOKUP($A382,'Dados StatusInvest'!$A:$AZ,COLUMN(AB382)-$A$5,0)),0)</f>
        <v>0.18</v>
      </c>
      <c r="AC382" s="58">
        <f>IFERROR((VLOOKUP($A382,'Dados StatusInvest'!$A:$AZ,COLUMN(AC382)-$A$5,0)),0)</f>
        <v>-2.99</v>
      </c>
      <c r="AD382" s="57">
        <f>IFERROR((VLOOKUP($A382,'Dados StatusInvest'!$A:$AZ,COLUMN(AD382)-$A$5,0)),0)</f>
        <v>15.25</v>
      </c>
      <c r="AE382" s="56">
        <f>IFERROR((VLOOKUP($A382,'Dados StatusInvest'!$A:$AZ,COLUMN(AE382)-$A$5,0)),0)</f>
        <v>14288.75</v>
      </c>
      <c r="AF382" s="56">
        <f>IFERROR((VLOOKUP($A382,'Dados StatusInvest'!$A:$AZ,COLUMN(AF382)-$A$5,0)),0)</f>
        <v>14.66</v>
      </c>
      <c r="AG382" s="56">
        <f>IFERROR((VLOOKUP($A382,'Dados StatusInvest'!$A:$AZ,COLUMN(AG382)-$A$5,0)),0)</f>
        <v>0.89</v>
      </c>
      <c r="AH382" s="56">
        <f>IFERROR((VLOOKUP($A382,'Dados StatusInvest'!$A:$AZ,COLUMN(AH382)-$A$5,0)),0)</f>
        <v>0.19</v>
      </c>
      <c r="AI382" s="57">
        <f>IFERROR((VLOOKUP($A382,'Dados StatusInvest'!$A:$AZ,COLUMN(AI382)-$A$5,0)),0)</f>
        <v>621670180</v>
      </c>
      <c r="AJ382" s="59" t="str">
        <f>IFERROR((VLOOKUP($A382,'Dados StatusInvest'!$A:$AZ,COLUMN(AJ382)-$A$5,0)),0)</f>
        <v/>
      </c>
      <c r="AK382" s="60" t="str">
        <f>IFERROR(__xludf.DUMMYFUNCTION("IFERROR(GOOGLEFINANCE($A382,""high""),"""")"),"")</f>
        <v/>
      </c>
      <c r="AL382" s="60" t="str">
        <f>IFERROR(__xludf.DUMMYFUNCTION("IFERROR(GOOGLEFINANCE($A382,""low""),"""")"),"")</f>
        <v/>
      </c>
      <c r="AM382" s="61">
        <f t="shared" si="2"/>
        <v>0</v>
      </c>
      <c r="AN382" s="62">
        <f>IFERROR(__xludf.DUMMYFUNCTION("IFERROR((GOOGLEFINANCE($A382,""volume"")),0)"),0.0)</f>
        <v>0</v>
      </c>
      <c r="AO382" s="60">
        <f>IFERROR(__xludf.DUMMYFUNCTION("IFERROR((GOOGLEFINANCE($A382,""closeyest"")),"""")"),15.0)</f>
        <v>15</v>
      </c>
      <c r="AP382" s="60">
        <f>IFERROR(__xludf.DUMMYFUNCTION("IFERROR((GOOGLEFINANCE($A382,""shares"")),"""")"),1.6914403E7)</f>
        <v>16914403</v>
      </c>
      <c r="AQ382" s="18"/>
    </row>
    <row r="383">
      <c r="A383" s="45" t="str">
        <f>'Dados StatusInvest'!A378:A997</f>
        <v>MGEL3</v>
      </c>
      <c r="B383" s="46" t="str">
        <f>IFERROR(__xludf.DUMMYFUNCTION("IFERROR((GOOGLEFINANCE(A383,""name"")),"""")"),"Mangels Industrial SA")</f>
        <v>Mangels Industrial SA</v>
      </c>
      <c r="C383" s="46" t="str">
        <f>IFERROR((VLOOKUP(LEFT($A383,4),Setor!$A:$E,3,0)),"")</f>
        <v>Materiais Básicos</v>
      </c>
      <c r="D383" s="46" t="str">
        <f>IFERROR((VLOOKUP(LEFT($A383,4),Setor!$A:$E,4,0)),"")</f>
        <v>Siderurgia e Metalurgia</v>
      </c>
      <c r="E383" s="46" t="str">
        <f>IFERROR((VLOOKUP(LEFT($A383,4),Setor!$A:$E,5,0)),"")</f>
        <v>Artefatos de Ferro e Aço</v>
      </c>
      <c r="F383" s="47">
        <f>IFERROR(__xludf.DUMMYFUNCTION("IFERROR((GOOGLEFINANCE(A383)),"""")"),0.0)</f>
        <v>0</v>
      </c>
      <c r="G383" s="48" t="str">
        <f>IFERROR(__xludf.DUMMYFUNCTION("IFERROR((sparkline(GOOGLEFINANCE($A383,""price"",TODAY()-30,TODAY(),""DAILY""),{""charttype"",""line"";""linewidth"",1;""color"",""#5f88cc""})),"""")"),"")</f>
        <v/>
      </c>
      <c r="H383" s="49" t="str">
        <f>IFERROR(__xludf.DUMMYFUNCTION("IFERROR((((GOOGLEFINANCE(A383))-(INDEX(GoogleFinance(A383,""PRICE"",$AQ$1),2,2)))/(INDEX(GoogleFinance(A383,""PRICE"",$AQ$1),2,2))),"""")"),"")</f>
        <v/>
      </c>
      <c r="I383" s="47">
        <f>IFERROR(__xludf.DUMMYFUNCTION("IFERROR((GOOGLEFINANCE($A383,""high52"")),"""")"),24.71)</f>
        <v>24.71</v>
      </c>
      <c r="J383" s="48" t="str">
        <f>IFERROR(__xludf.DUMMYFUNCTION("IFERROR((sparkline(GOOGLEFINANCE($A383,""price"",TODAY()-365,TODAY(),""DAILY""),{""charttype"",""line"";""linewidth"",1;""color"",""#5f88cc""})),"""")"),"")</f>
        <v/>
      </c>
      <c r="K383" s="50" t="str">
        <f>IFERROR(__xludf.DUMMYFUNCTION("IFERROR((((GOOGLEFINANCE(A383))-(INDEX(GoogleFinance(A383,""PRICE"",$AP$1),2,2)))/(INDEX(GoogleFinance(A383,""PRICE"",$AP$1),2,2))),"""")"),"")</f>
        <v/>
      </c>
      <c r="L383" s="51">
        <f t="shared" si="1"/>
        <v>-1</v>
      </c>
      <c r="M383" s="52">
        <f>IFERROR((VLOOKUP($A383,'Dados StatusInvest'!$A:$AZ,COLUMN(M383)-$A$5,0)*VLOOKUP($A383,'Dados StatusInvest'!$A:$AZ,2,0)/$F383/100),0)</f>
        <v>0</v>
      </c>
      <c r="N383" s="53">
        <f>IFERROR((VLOOKUP($A383,'Dados StatusInvest'!$A:$AZ,COLUMN(N383)-$A$5,0)/VLOOKUP($A383,'Dados StatusInvest'!$A:$AZ,2,0)*$F383),"")</f>
        <v>0</v>
      </c>
      <c r="O383" s="53">
        <f>IFERROR((VLOOKUP($A383,'Dados StatusInvest'!$A:$AZ,COLUMN(O383)-$A$5,0)/VLOOKUP($A383,'Dados StatusInvest'!$A:$AZ,2,0)*$F383),0)</f>
        <v>0</v>
      </c>
      <c r="P383" s="54">
        <f>IFERROR((VLOOKUP($A383,'Dados StatusInvest'!$A:$AZ,COLUMN(P383)-$A$5,0)/VLOOKUP($A383,'Dados StatusInvest'!$A:$AZ,2,0)*$F383),0)</f>
        <v>0</v>
      </c>
      <c r="Q383" s="55">
        <f>IFERROR((VLOOKUP($A383,'Dados StatusInvest'!$A:$AZ,COLUMN(Q383)-$A$5,0)/100),0)</f>
        <v>0.0822</v>
      </c>
      <c r="R383" s="56">
        <f>VLOOKUP($A383,'Dados StatusInvest'!$A:$AZ,COLUMN(R383)-$A$5,0)</f>
        <v>17.55</v>
      </c>
      <c r="S383" s="56">
        <f>IFERROR((VLOOKUP($A383,'Dados StatusInvest'!$A:$AZ,COLUMN(S383)-$A$5,0)),0)</f>
        <v>0.41</v>
      </c>
      <c r="T383" s="53">
        <f>IFERROR((VLOOKUP($A383,'Dados StatusInvest'!$A:$AZ,COLUMN(T383)-$A$5,0)/VLOOKUP($A383,'Dados StatusInvest'!$A:$AZ,2,0)*$F383),0)</f>
        <v>0</v>
      </c>
      <c r="U383" s="53">
        <f>IFERROR((VLOOKUP($A383,'Dados StatusInvest'!$A:$AZ,COLUMN(U383)-$A$5,0)-VLOOKUP($A383,'Dados StatusInvest'!$A:$AZ,COLUMN(U383)-$A$5-1,0)+T383),0)</f>
        <v>-6.51</v>
      </c>
      <c r="V383" s="56">
        <f>IFERROR((VLOOKUP($A383,'Dados StatusInvest'!$A:$AZ,COLUMN(V383)-$A$5,0)),0)</f>
        <v>1.32</v>
      </c>
      <c r="W383" s="56">
        <f>IFERROR((VLOOKUP($A383,'Dados StatusInvest'!$A:$AZ,COLUMN(W383)-$A$5,0)),0)</f>
        <v>28.47</v>
      </c>
      <c r="X383" s="53">
        <f>IFERROR((VLOOKUP($A383,'Dados StatusInvest'!$A:$AZ,COLUMN(X383)-$A$5,0)/VLOOKUP($A383,'Dados StatusInvest'!$A:$AZ,2,0)*$F383),0)</f>
        <v>0</v>
      </c>
      <c r="Y383" s="54">
        <f>IFERROR((VLOOKUP($A383,'Dados StatusInvest'!$A:$AZ,COLUMN(Y383)-$A$5,0)/VLOOKUP($A383,'Dados StatusInvest'!$A:$AZ,2,0)*$F383),0)</f>
        <v>0</v>
      </c>
      <c r="Z383" s="56">
        <f>IFERROR((VLOOKUP($A383,'Dados StatusInvest'!$A:$AZ,COLUMN(Z383)-$A$5,0)),0)</f>
        <v>0.04</v>
      </c>
      <c r="AA383" s="57">
        <f>IFERROR((VLOOKUP($A383,'Dados StatusInvest'!$A:$AZ,COLUMN(AA383)-$A$5,0)),0)</f>
        <v>0.96</v>
      </c>
      <c r="AB383" s="57">
        <f>IFERROR((VLOOKUP($A383,'Dados StatusInvest'!$A:$AZ,COLUMN(AB383)-$A$5,0)),0)</f>
        <v>1.38</v>
      </c>
      <c r="AC383" s="58">
        <f>IFERROR((VLOOKUP($A383,'Dados StatusInvest'!$A:$AZ,COLUMN(AC383)-$A$5,0)),0)</f>
        <v>11.25</v>
      </c>
      <c r="AD383" s="57">
        <f>IFERROR((VLOOKUP($A383,'Dados StatusInvest'!$A:$AZ,COLUMN(AD383)-$A$5,0)),0)</f>
        <v>0</v>
      </c>
      <c r="AE383" s="56">
        <f>IFERROR((VLOOKUP($A383,'Dados StatusInvest'!$A:$AZ,COLUMN(AE383)-$A$5,0)),0)</f>
        <v>0</v>
      </c>
      <c r="AF383" s="56">
        <f>IFERROR((VLOOKUP($A383,'Dados StatusInvest'!$A:$AZ,COLUMN(AF383)-$A$5,0)),0)</f>
        <v>5.35</v>
      </c>
      <c r="AG383" s="56">
        <f>IFERROR((VLOOKUP($A383,'Dados StatusInvest'!$A:$AZ,COLUMN(AG383)-$A$5,0)),0)</f>
        <v>1.52</v>
      </c>
      <c r="AH383" s="56">
        <f>IFERROR((VLOOKUP($A383,'Dados StatusInvest'!$A:$AZ,COLUMN(AH383)-$A$5,0)),0)</f>
        <v>-0.04</v>
      </c>
      <c r="AI383" s="57">
        <f>IFERROR((VLOOKUP($A383,'Dados StatusInvest'!$A:$AZ,COLUMN(AI383)-$A$5,0)),0)</f>
        <v>176073075.3</v>
      </c>
      <c r="AJ383" s="59" t="str">
        <f>IFERROR((VLOOKUP($A383,'Dados StatusInvest'!$A:$AZ,COLUMN(AJ383)-$A$5,0)),0)</f>
        <v/>
      </c>
      <c r="AK383" s="60" t="str">
        <f>IFERROR(__xludf.DUMMYFUNCTION("IFERROR(GOOGLEFINANCE($A383,""high""),"""")"),"")</f>
        <v/>
      </c>
      <c r="AL383" s="60" t="str">
        <f>IFERROR(__xludf.DUMMYFUNCTION("IFERROR(GOOGLEFINANCE($A383,""low""),"""")"),"")</f>
        <v/>
      </c>
      <c r="AM383" s="61">
        <f t="shared" si="2"/>
        <v>0</v>
      </c>
      <c r="AN383" s="62">
        <f>IFERROR(__xludf.DUMMYFUNCTION("IFERROR((GOOGLEFINANCE($A383,""volume"")),0)"),0.0)</f>
        <v>0</v>
      </c>
      <c r="AO383" s="60">
        <f>IFERROR(__xludf.DUMMYFUNCTION("IFERROR((GOOGLEFINANCE($A383,""closeyest"")),"""")"),74.1)</f>
        <v>74.1</v>
      </c>
      <c r="AP383" s="60">
        <f>IFERROR(__xludf.DUMMYFUNCTION("IFERROR((GOOGLEFINANCE($A383,""shares"")),"""")"),2067243.0)</f>
        <v>2067243</v>
      </c>
      <c r="AQ383" s="18"/>
    </row>
    <row r="384">
      <c r="A384" s="45" t="str">
        <f>'Dados StatusInvest'!A379:A998</f>
        <v>MGEL4</v>
      </c>
      <c r="B384" s="46" t="str">
        <f>IFERROR(__xludf.DUMMYFUNCTION("IFERROR((GOOGLEFINANCE(A384,""name"")),"""")"),"Mangels Industrial SA Preference Shares")</f>
        <v>Mangels Industrial SA Preference Shares</v>
      </c>
      <c r="C384" s="46" t="str">
        <f>IFERROR((VLOOKUP(LEFT($A384,4),Setor!$A:$E,3,0)),"")</f>
        <v>Materiais Básicos</v>
      </c>
      <c r="D384" s="46" t="str">
        <f>IFERROR((VLOOKUP(LEFT($A384,4),Setor!$A:$E,4,0)),"")</f>
        <v>Siderurgia e Metalurgia</v>
      </c>
      <c r="E384" s="46" t="str">
        <f>IFERROR((VLOOKUP(LEFT($A384,4),Setor!$A:$E,5,0)),"")</f>
        <v>Artefatos de Ferro e Aço</v>
      </c>
      <c r="F384" s="47">
        <f>IFERROR(__xludf.DUMMYFUNCTION("IFERROR((GOOGLEFINANCE(A384)),"""")"),6.19)</f>
        <v>6.19</v>
      </c>
      <c r="G384" s="48" t="str">
        <f>IFERROR(__xludf.DUMMYFUNCTION("IFERROR((sparkline(GOOGLEFINANCE($A384,""price"",TODAY()-30,TODAY(),""DAILY""),{""charttype"",""line"";""linewidth"",1;""color"",""#5f88cc""})),"""")"),"")</f>
        <v/>
      </c>
      <c r="H384" s="49">
        <f>IFERROR(__xludf.DUMMYFUNCTION("IFERROR((((GOOGLEFINANCE(A384))-(INDEX(GoogleFinance(A384,""PRICE"",$AQ$1),2,2)))/(INDEX(GoogleFinance(A384,""PRICE"",$AQ$1),2,2))),"""")"),0.02314049586776869)</f>
        <v>0.02314049587</v>
      </c>
      <c r="I384" s="47">
        <f>IFERROR(__xludf.DUMMYFUNCTION("IFERROR((GOOGLEFINANCE($A384,""high52"")),"""")"),9.0)</f>
        <v>9</v>
      </c>
      <c r="J384" s="48" t="str">
        <f>IFERROR(__xludf.DUMMYFUNCTION("IFERROR((sparkline(GOOGLEFINANCE($A384,""price"",TODAY()-365,TODAY(),""DAILY""),{""charttype"",""line"";""linewidth"",1;""color"",""#5f88cc""})),"""")"),"")</f>
        <v/>
      </c>
      <c r="K384" s="50">
        <f>IFERROR(__xludf.DUMMYFUNCTION("IFERROR((((GOOGLEFINANCE(A384))-(INDEX(GoogleFinance(A384,""PRICE"",$AP$1),2,2)))/(INDEX(GoogleFinance(A384,""PRICE"",$AP$1),2,2))),"""")"),-0.0761194029850746)</f>
        <v>-0.07611940299</v>
      </c>
      <c r="L384" s="51">
        <f t="shared" si="1"/>
        <v>-0.3122222222</v>
      </c>
      <c r="M384" s="52">
        <f>IFERROR((VLOOKUP($A384,'Dados StatusInvest'!$A:$AZ,COLUMN(M384)-$A$5,0)*VLOOKUP($A384,'Dados StatusInvest'!$A:$AZ,2,0)/$F384/100),0)</f>
        <v>0.06368982229</v>
      </c>
      <c r="N384" s="53">
        <f>IFERROR((VLOOKUP($A384,'Dados StatusInvest'!$A:$AZ,COLUMN(N384)-$A$5,0)/VLOOKUP($A384,'Dados StatusInvest'!$A:$AZ,2,0)*$F384),"")</f>
        <v>0.8541396104</v>
      </c>
      <c r="O384" s="53">
        <f>IFERROR((VLOOKUP($A384,'Dados StatusInvest'!$A:$AZ,COLUMN(O384)-$A$5,0)/VLOOKUP($A384,'Dados StatusInvest'!$A:$AZ,2,0)*$F384),0)</f>
        <v>0.5426298701</v>
      </c>
      <c r="P384" s="54">
        <f>IFERROR((VLOOKUP($A384,'Dados StatusInvest'!$A:$AZ,COLUMN(P384)-$A$5,0)/VLOOKUP($A384,'Dados StatusInvest'!$A:$AZ,2,0)*$F384),0)</f>
        <v>10.93298701</v>
      </c>
      <c r="Q384" s="55">
        <f>IFERROR((VLOOKUP($A384,'Dados StatusInvest'!$A:$AZ,COLUMN(Q384)-$A$5,0)/100),0)</f>
        <v>0.0822</v>
      </c>
      <c r="R384" s="56">
        <f>VLOOKUP($A384,'Dados StatusInvest'!$A:$AZ,COLUMN(R384)-$A$5,0)</f>
        <v>17.55</v>
      </c>
      <c r="S384" s="56">
        <f>IFERROR((VLOOKUP($A384,'Dados StatusInvest'!$A:$AZ,COLUMN(S384)-$A$5,0)),0)</f>
        <v>0.03</v>
      </c>
      <c r="T384" s="53">
        <f>IFERROR((VLOOKUP($A384,'Dados StatusInvest'!$A:$AZ,COLUMN(T384)-$A$5,0)/VLOOKUP($A384,'Dados StatusInvest'!$A:$AZ,2,0)*$F384),0)</f>
        <v>0.4622402597</v>
      </c>
      <c r="U384" s="53">
        <f>IFERROR((VLOOKUP($A384,'Dados StatusInvest'!$A:$AZ,COLUMN(U384)-$A$5,0)-VLOOKUP($A384,'Dados StatusInvest'!$A:$AZ,COLUMN(U384)-$A$5-1,0)+T384),0)</f>
        <v>-0.07775974026</v>
      </c>
      <c r="V384" s="56">
        <f>IFERROR((VLOOKUP($A384,'Dados StatusInvest'!$A:$AZ,COLUMN(V384)-$A$5,0)),0)</f>
        <v>1.32</v>
      </c>
      <c r="W384" s="56">
        <f>IFERROR((VLOOKUP($A384,'Dados StatusInvest'!$A:$AZ,COLUMN(W384)-$A$5,0)),0)</f>
        <v>28.47</v>
      </c>
      <c r="X384" s="53">
        <f>IFERROR((VLOOKUP($A384,'Dados StatusInvest'!$A:$AZ,COLUMN(X384)-$A$5,0)/VLOOKUP($A384,'Dados StatusInvest'!$A:$AZ,2,0)*$F384),0)</f>
        <v>1.185746753</v>
      </c>
      <c r="Y384" s="54">
        <f>IFERROR((VLOOKUP($A384,'Dados StatusInvest'!$A:$AZ,COLUMN(Y384)-$A$5,0)/VLOOKUP($A384,'Dados StatusInvest'!$A:$AZ,2,0)*$F384),0)</f>
        <v>8.079155844</v>
      </c>
      <c r="Z384" s="56">
        <f>IFERROR((VLOOKUP($A384,'Dados StatusInvest'!$A:$AZ,COLUMN(Z384)-$A$5,0)),0)</f>
        <v>0.04</v>
      </c>
      <c r="AA384" s="57">
        <f>IFERROR((VLOOKUP($A384,'Dados StatusInvest'!$A:$AZ,COLUMN(AA384)-$A$5,0)),0)</f>
        <v>0.96</v>
      </c>
      <c r="AB384" s="57">
        <f>IFERROR((VLOOKUP($A384,'Dados StatusInvest'!$A:$AZ,COLUMN(AB384)-$A$5,0)),0)</f>
        <v>1.38</v>
      </c>
      <c r="AC384" s="58">
        <f>IFERROR((VLOOKUP($A384,'Dados StatusInvest'!$A:$AZ,COLUMN(AC384)-$A$5,0)),0)</f>
        <v>11.25</v>
      </c>
      <c r="AD384" s="57">
        <f>IFERROR((VLOOKUP($A384,'Dados StatusInvest'!$A:$AZ,COLUMN(AD384)-$A$5,0)),0)</f>
        <v>0</v>
      </c>
      <c r="AE384" s="56">
        <f>IFERROR((VLOOKUP($A384,'Dados StatusInvest'!$A:$AZ,COLUMN(AE384)-$A$5,0)),0)</f>
        <v>57750.38</v>
      </c>
      <c r="AF384" s="56">
        <f>IFERROR((VLOOKUP($A384,'Dados StatusInvest'!$A:$AZ,COLUMN(AF384)-$A$5,0)),0)</f>
        <v>5.35</v>
      </c>
      <c r="AG384" s="56">
        <f>IFERROR((VLOOKUP($A384,'Dados StatusInvest'!$A:$AZ,COLUMN(AG384)-$A$5,0)),0)</f>
        <v>1.52</v>
      </c>
      <c r="AH384" s="56">
        <f>IFERROR((VLOOKUP($A384,'Dados StatusInvest'!$A:$AZ,COLUMN(AH384)-$A$5,0)),0)</f>
        <v>0</v>
      </c>
      <c r="AI384" s="57">
        <f>IFERROR((VLOOKUP($A384,'Dados StatusInvest'!$A:$AZ,COLUMN(AI384)-$A$5,0)),0)</f>
        <v>176073075.3</v>
      </c>
      <c r="AJ384" s="59" t="str">
        <f>IFERROR((VLOOKUP($A384,'Dados StatusInvest'!$A:$AZ,COLUMN(AJ384)-$A$5,0)),0)</f>
        <v/>
      </c>
      <c r="AK384" s="60">
        <f>IFERROR(__xludf.DUMMYFUNCTION("IFERROR(GOOGLEFINANCE($A384,""high""),"""")"),6.19)</f>
        <v>6.19</v>
      </c>
      <c r="AL384" s="60">
        <f>IFERROR(__xludf.DUMMYFUNCTION("IFERROR(GOOGLEFINANCE($A384,""low""),"""")"),6.16)</f>
        <v>6.16</v>
      </c>
      <c r="AM384" s="61">
        <f t="shared" si="2"/>
        <v>0.00487012987</v>
      </c>
      <c r="AN384" s="62">
        <f>IFERROR(__xludf.DUMMYFUNCTION("IFERROR((GOOGLEFINANCE($A384,""volume"")),0)"),3000.0)</f>
        <v>3000</v>
      </c>
      <c r="AO384" s="60">
        <f>IFERROR(__xludf.DUMMYFUNCTION("IFERROR((GOOGLEFINANCE($A384,""closeyest"")),"""")"),6.16)</f>
        <v>6.16</v>
      </c>
      <c r="AP384" s="60">
        <f>IFERROR(__xludf.DUMMYFUNCTION("IFERROR((GOOGLEFINANCE($A384,""shares"")),"""")"),3715969.0)</f>
        <v>3715969</v>
      </c>
      <c r="AQ384" s="18"/>
    </row>
    <row r="385">
      <c r="A385" s="45" t="str">
        <f>'Dados StatusInvest'!A380:A999</f>
        <v>MGLU3</v>
      </c>
      <c r="B385" s="46" t="str">
        <f>IFERROR(__xludf.DUMMYFUNCTION("IFERROR((GOOGLEFINANCE(A385,""name"")),"""")"),"Magazine Luiza Cedar")</f>
        <v>Magazine Luiza Cedar</v>
      </c>
      <c r="C385" s="46" t="str">
        <f>IFERROR((VLOOKUP(LEFT($A385,4),Setor!$A:$E,3,0)),"")</f>
        <v>Consumo Cíclico</v>
      </c>
      <c r="D385" s="46" t="str">
        <f>IFERROR((VLOOKUP(LEFT($A385,4),Setor!$A:$E,4,0)),"")</f>
        <v>Comércio</v>
      </c>
      <c r="E385" s="46" t="str">
        <f>IFERROR((VLOOKUP(LEFT($A385,4),Setor!$A:$E,5,0)),"")</f>
        <v>Eletrodomésticos</v>
      </c>
      <c r="F385" s="47">
        <f>IFERROR(__xludf.DUMMYFUNCTION("IFERROR((GOOGLEFINANCE(A385)),"""")"),2947.5)</f>
        <v>2947.5</v>
      </c>
      <c r="G385" s="48" t="str">
        <f>IFERROR(__xludf.DUMMYFUNCTION("IFERROR((sparkline(GOOGLEFINANCE($A385,""price"",TODAY()-30,TODAY(),""DAILY""),{""charttype"",""line"";""linewidth"",1;""color"",""#5f88cc""})),"""")"),"")</f>
        <v/>
      </c>
      <c r="H385" s="49">
        <f>IFERROR(__xludf.DUMMYFUNCTION("IFERROR((((GOOGLEFINANCE(A385))-(INDEX(GoogleFinance(A385,""PRICE"",$AQ$1),2,2)))/(INDEX(GoogleFinance(A385,""PRICE"",$AQ$1),2,2))),"""")"),0.17547357926221335)</f>
        <v>0.1754735793</v>
      </c>
      <c r="I385" s="47">
        <f>IFERROR(__xludf.DUMMYFUNCTION("IFERROR((GOOGLEFINANCE($A385,""high52"")),"""")"),3428.57)</f>
        <v>3428.57</v>
      </c>
      <c r="J385" s="48" t="str">
        <f>IFERROR(__xludf.DUMMYFUNCTION("IFERROR((sparkline(GOOGLEFINANCE($A385,""price"",TODAY()-365,TODAY(),""DAILY""),{""charttype"",""line"";""linewidth"",1;""color"",""#5f88cc""})),"""")"),"")</f>
        <v/>
      </c>
      <c r="K385" s="50">
        <f>IFERROR(__xludf.DUMMYFUNCTION("IFERROR((((GOOGLEFINANCE(A385))-(INDEX(GoogleFinance(A385,""PRICE"",$AP$1),2,2)))/(INDEX(GoogleFinance(A385,""PRICE"",$AP$1),2,2))),"""")"),0.8537735849056604)</f>
        <v>0.8537735849</v>
      </c>
      <c r="L385" s="51">
        <f t="shared" si="1"/>
        <v>-0.1403121418</v>
      </c>
      <c r="M385" s="52">
        <f>IFERROR((VLOOKUP($A385,'Dados StatusInvest'!$A:$AZ,COLUMN(M385)-$A$5,0)*VLOOKUP($A385,'Dados StatusInvest'!$A:$AZ,2,0)/$F385/100),0)</f>
        <v>0.0001694235793</v>
      </c>
      <c r="N385" s="53">
        <f>IFERROR((VLOOKUP($A385,'Dados StatusInvest'!$A:$AZ,COLUMN(N385)-$A$5,0)/VLOOKUP($A385,'Dados StatusInvest'!$A:$AZ,2,0)*$F385),"")</f>
        <v>267.4480151</v>
      </c>
      <c r="O385" s="53">
        <f>IFERROR((VLOOKUP($A385,'Dados StatusInvest'!$A:$AZ,COLUMN(O385)-$A$5,0)/VLOOKUP($A385,'Dados StatusInvest'!$A:$AZ,2,0)*$F385),0)</f>
        <v>1264.806238</v>
      </c>
      <c r="P385" s="54">
        <f>IFERROR((VLOOKUP($A385,'Dados StatusInvest'!$A:$AZ,COLUMN(P385)-$A$5,0)/VLOOKUP($A385,'Dados StatusInvest'!$A:$AZ,2,0)*$F385),0)</f>
        <v>1936.212193</v>
      </c>
      <c r="Q385" s="55">
        <f>IFERROR((VLOOKUP($A385,'Dados StatusInvest'!$A:$AZ,COLUMN(Q385)-$A$5,0)/100),0)</f>
        <v>0.0241</v>
      </c>
      <c r="R385" s="56">
        <f>VLOOKUP($A385,'Dados StatusInvest'!$A:$AZ,COLUMN(R385)-$A$5,0)</f>
        <v>0.39</v>
      </c>
      <c r="S385" s="56">
        <f>IFERROR((VLOOKUP($A385,'Dados StatusInvest'!$A:$AZ,COLUMN(S385)-$A$5,0)),0)</f>
        <v>0.21</v>
      </c>
      <c r="T385" s="53">
        <f>IFERROR((VLOOKUP($A385,'Dados StatusInvest'!$A:$AZ,COLUMN(T385)-$A$5,0)/VLOOKUP($A385,'Dados StatusInvest'!$A:$AZ,2,0)*$F385),0)</f>
        <v>571.112949</v>
      </c>
      <c r="U385" s="53">
        <f>IFERROR((VLOOKUP($A385,'Dados StatusInvest'!$A:$AZ,COLUMN(U385)-$A$5,0)-VLOOKUP($A385,'Dados StatusInvest'!$A:$AZ,COLUMN(U385)-$A$5-1,0)+T385),0)</f>
        <v>568.602949</v>
      </c>
      <c r="V385" s="56">
        <f>IFERROR((VLOOKUP($A385,'Dados StatusInvest'!$A:$AZ,COLUMN(V385)-$A$5,0)),0)</f>
        <v>1.26</v>
      </c>
      <c r="W385" s="56">
        <f>IFERROR((VLOOKUP($A385,'Dados StatusInvest'!$A:$AZ,COLUMN(W385)-$A$5,0)),0)</f>
        <v>3.3</v>
      </c>
      <c r="X385" s="53">
        <f>IFERROR((VLOOKUP($A385,'Dados StatusInvest'!$A:$AZ,COLUMN(X385)-$A$5,0)/VLOOKUP($A385,'Dados StatusInvest'!$A:$AZ,2,0)*$F385),0)</f>
        <v>275.8057656</v>
      </c>
      <c r="Y385" s="54">
        <f>IFERROR((VLOOKUP($A385,'Dados StatusInvest'!$A:$AZ,COLUMN(Y385)-$A$5,0)/VLOOKUP($A385,'Dados StatusInvest'!$A:$AZ,2,0)*$F385),0)</f>
        <v>1908.353025</v>
      </c>
      <c r="Z385" s="56">
        <f>IFERROR((VLOOKUP($A385,'Dados StatusInvest'!$A:$AZ,COLUMN(Z385)-$A$5,0)),0)</f>
        <v>0.3</v>
      </c>
      <c r="AA385" s="57">
        <f>IFERROR((VLOOKUP($A385,'Dados StatusInvest'!$A:$AZ,COLUMN(AA385)-$A$5,0)),0)</f>
        <v>0.7</v>
      </c>
      <c r="AB385" s="57">
        <f>IFERROR((VLOOKUP($A385,'Dados StatusInvest'!$A:$AZ,COLUMN(AB385)-$A$5,0)),0)</f>
        <v>1.03</v>
      </c>
      <c r="AC385" s="58">
        <f>IFERROR((VLOOKUP($A385,'Dados StatusInvest'!$A:$AZ,COLUMN(AC385)-$A$5,0)),0)</f>
        <v>13.85</v>
      </c>
      <c r="AD385" s="57">
        <f>IFERROR((VLOOKUP($A385,'Dados StatusInvest'!$A:$AZ,COLUMN(AD385)-$A$5,0)),0)</f>
        <v>-16.79</v>
      </c>
      <c r="AE385" s="56">
        <f>IFERROR((VLOOKUP($A385,'Dados StatusInvest'!$A:$AZ,COLUMN(AE385)-$A$5,0)),0)</f>
        <v>195000000</v>
      </c>
      <c r="AF385" s="56">
        <f>IFERROR((VLOOKUP($A385,'Dados StatusInvest'!$A:$AZ,COLUMN(AF385)-$A$5,0)),0)</f>
        <v>14.38</v>
      </c>
      <c r="AG385" s="56">
        <f>IFERROR((VLOOKUP($A385,'Dados StatusInvest'!$A:$AZ,COLUMN(AG385)-$A$5,0)),0)</f>
        <v>0.47</v>
      </c>
      <c r="AH385" s="56">
        <f>IFERROR((VLOOKUP($A385,'Dados StatusInvest'!$A:$AZ,COLUMN(AH385)-$A$5,0)),0)</f>
        <v>47.31</v>
      </c>
      <c r="AI385" s="57">
        <f>IFERROR((VLOOKUP($A385,'Dados StatusInvest'!$A:$AZ,COLUMN(AI385)-$A$5,0)),0)</f>
        <v>8209498206</v>
      </c>
      <c r="AJ385" s="59" t="str">
        <f>IFERROR((VLOOKUP($A385,'Dados StatusInvest'!$A:$AZ,COLUMN(AJ385)-$A$5,0)),0)</f>
        <v/>
      </c>
      <c r="AK385" s="60">
        <f>IFERROR(__xludf.DUMMYFUNCTION("IFERROR(GOOGLEFINANCE($A385,""high""),"""")"),2927.5)</f>
        <v>2927.5</v>
      </c>
      <c r="AL385" s="60">
        <f>IFERROR(__xludf.DUMMYFUNCTION("IFERROR(GOOGLEFINANCE($A385,""low""),"""")"),2927.5)</f>
        <v>2927.5</v>
      </c>
      <c r="AM385" s="61">
        <f t="shared" si="2"/>
        <v>0</v>
      </c>
      <c r="AN385" s="62">
        <f>IFERROR(__xludf.DUMMYFUNCTION("IFERROR((GOOGLEFINANCE($A385,""volume"")),0)"),0.0)</f>
        <v>0</v>
      </c>
      <c r="AO385" s="60">
        <f>IFERROR(__xludf.DUMMYFUNCTION("IFERROR((GOOGLEFINANCE($A385,""closeyest"")),"""")"),2950.0)</f>
        <v>2950</v>
      </c>
      <c r="AP385" s="60">
        <f>IFERROR(__xludf.DUMMYFUNCTION("IFERROR((GOOGLEFINANCE($A385,""shares"")),"""")"),7.7594501E8)</f>
        <v>775945010</v>
      </c>
      <c r="AQ385" s="18"/>
    </row>
    <row r="386">
      <c r="A386" s="45" t="str">
        <f>'Dados StatusInvest'!A381:A1000</f>
        <v>MILS3</v>
      </c>
      <c r="B386" s="46" t="str">
        <f>IFERROR(__xludf.DUMMYFUNCTION("IFERROR((GOOGLEFINANCE(A386,""name"")),"""")"),"Mills Locacao Servicos E Logistica SA")</f>
        <v>Mills Locacao Servicos E Logistica SA</v>
      </c>
      <c r="C386" s="46" t="str">
        <f>IFERROR((VLOOKUP(LEFT($A386,4),Setor!$A:$E,3,0)),"")</f>
        <v>Bens Industriais</v>
      </c>
      <c r="D386" s="46" t="str">
        <f>IFERROR((VLOOKUP(LEFT($A386,4),Setor!$A:$E,4,0)),"")</f>
        <v>Construção e Engenharia</v>
      </c>
      <c r="E386" s="46" t="str">
        <f>IFERROR((VLOOKUP(LEFT($A386,4),Setor!$A:$E,5,0)),"")</f>
        <v>Serviços Diversos</v>
      </c>
      <c r="F386" s="47">
        <f>IFERROR(__xludf.DUMMYFUNCTION("IFERROR((GOOGLEFINANCE(A386)),"""")"),14.97)</f>
        <v>14.97</v>
      </c>
      <c r="G386" s="48" t="str">
        <f>IFERROR(__xludf.DUMMYFUNCTION("IFERROR((sparkline(GOOGLEFINANCE($A386,""price"",TODAY()-30,TODAY(),""DAILY""),{""charttype"",""line"";""linewidth"",1;""color"",""#5f88cc""})),"""")"),"")</f>
        <v/>
      </c>
      <c r="H386" s="49">
        <f>IFERROR(__xludf.DUMMYFUNCTION("IFERROR((((GOOGLEFINANCE(A386))-(INDEX(GoogleFinance(A386,""PRICE"",$AQ$1),2,2)))/(INDEX(GoogleFinance(A386,""PRICE"",$AQ$1),2,2))),"""")"),0.05274261603375527)</f>
        <v>0.05274261603</v>
      </c>
      <c r="I386" s="47">
        <f>IFERROR(__xludf.DUMMYFUNCTION("IFERROR((GOOGLEFINANCE($A386,""high52"")),"""")"),15.96)</f>
        <v>15.96</v>
      </c>
      <c r="J386" s="48" t="str">
        <f>IFERROR(__xludf.DUMMYFUNCTION("IFERROR((sparkline(GOOGLEFINANCE($A386,""price"",TODAY()-365,TODAY(),""DAILY""),{""charttype"",""line"";""linewidth"",1;""color"",""#5f88cc""})),"""")"),"")</f>
        <v/>
      </c>
      <c r="K386" s="50">
        <f>IFERROR(__xludf.DUMMYFUNCTION("IFERROR((((GOOGLEFINANCE(A386))-(INDEX(GoogleFinance(A386,""PRICE"",$AP$1),2,2)))/(INDEX(GoogleFinance(A386,""PRICE"",$AP$1),2,2))),"""")"),0.6450549450549452)</f>
        <v>0.6450549451</v>
      </c>
      <c r="L386" s="51">
        <f t="shared" si="1"/>
        <v>-0.06203007519</v>
      </c>
      <c r="M386" s="52">
        <f>IFERROR((VLOOKUP($A386,'Dados StatusInvest'!$A:$AZ,COLUMN(M386)-$A$5,0)*VLOOKUP($A386,'Dados StatusInvest'!$A:$AZ,2,0)/$F386/100),0)</f>
        <v>0.3430456914</v>
      </c>
      <c r="N386" s="53">
        <f>IFERROR((VLOOKUP($A386,'Dados StatusInvest'!$A:$AZ,COLUMN(N386)-$A$5,0)/VLOOKUP($A386,'Dados StatusInvest'!$A:$AZ,2,0)*$F386),"")</f>
        <v>16.52814229</v>
      </c>
      <c r="O386" s="53">
        <f>IFERROR((VLOOKUP($A386,'Dados StatusInvest'!$A:$AZ,COLUMN(O386)-$A$5,0)/VLOOKUP($A386,'Dados StatusInvest'!$A:$AZ,2,0)*$F386),0)</f>
        <v>5.828241107</v>
      </c>
      <c r="P386" s="54">
        <f>IFERROR((VLOOKUP($A386,'Dados StatusInvest'!$A:$AZ,COLUMN(P386)-$A$5,0)/VLOOKUP($A386,'Dados StatusInvest'!$A:$AZ,2,0)*$F386),0)</f>
        <v>8.106284585</v>
      </c>
      <c r="Q386" s="55">
        <f>IFERROR((VLOOKUP($A386,'Dados StatusInvest'!$A:$AZ,COLUMN(Q386)-$A$5,0)/100),0)</f>
        <v>0.023</v>
      </c>
      <c r="R386" s="56">
        <f>VLOOKUP($A386,'Dados StatusInvest'!$A:$AZ,COLUMN(R386)-$A$5,0)</f>
        <v>0.83</v>
      </c>
      <c r="S386" s="56">
        <f>IFERROR((VLOOKUP($A386,'Dados StatusInvest'!$A:$AZ,COLUMN(S386)-$A$5,0)),0)</f>
        <v>2</v>
      </c>
      <c r="T386" s="53">
        <f>IFERROR((VLOOKUP($A386,'Dados StatusInvest'!$A:$AZ,COLUMN(T386)-$A$5,0)/VLOOKUP($A386,'Dados StatusInvest'!$A:$AZ,2,0)*$F386),0)</f>
        <v>3.205039526</v>
      </c>
      <c r="U386" s="53">
        <f>IFERROR((VLOOKUP($A386,'Dados StatusInvest'!$A:$AZ,COLUMN(U386)-$A$5,0)-VLOOKUP($A386,'Dados StatusInvest'!$A:$AZ,COLUMN(U386)-$A$5-1,0)+T386),0)</f>
        <v>-1.324960474</v>
      </c>
      <c r="V386" s="56">
        <f>IFERROR((VLOOKUP($A386,'Dados StatusInvest'!$A:$AZ,COLUMN(V386)-$A$5,0)),0)</f>
        <v>2.78</v>
      </c>
      <c r="W386" s="56">
        <f>IFERROR((VLOOKUP($A386,'Dados StatusInvest'!$A:$AZ,COLUMN(W386)-$A$5,0)),0)</f>
        <v>17.75</v>
      </c>
      <c r="X386" s="53">
        <f>IFERROR((VLOOKUP($A386,'Dados StatusInvest'!$A:$AZ,COLUMN(X386)-$A$5,0)/VLOOKUP($A386,'Dados StatusInvest'!$A:$AZ,2,0)*$F386),0)</f>
        <v>6.558003953</v>
      </c>
      <c r="Y386" s="54">
        <f>IFERROR((VLOOKUP($A386,'Dados StatusInvest'!$A:$AZ,COLUMN(Y386)-$A$5,0)/VLOOKUP($A386,'Dados StatusInvest'!$A:$AZ,2,0)*$F386),0)</f>
        <v>10.473083</v>
      </c>
      <c r="Z386" s="56">
        <f>IFERROR((VLOOKUP($A386,'Dados StatusInvest'!$A:$AZ,COLUMN(Z386)-$A$5,0)),0)</f>
        <v>0.37</v>
      </c>
      <c r="AA386" s="57">
        <f>IFERROR((VLOOKUP($A386,'Dados StatusInvest'!$A:$AZ,COLUMN(AA386)-$A$5,0)),0)</f>
        <v>0.62</v>
      </c>
      <c r="AB386" s="57">
        <f>IFERROR((VLOOKUP($A386,'Dados StatusInvest'!$A:$AZ,COLUMN(AB386)-$A$5,0)),0)</f>
        <v>0.4</v>
      </c>
      <c r="AC386" s="58">
        <f>IFERROR((VLOOKUP($A386,'Dados StatusInvest'!$A:$AZ,COLUMN(AC386)-$A$5,0)),0)</f>
        <v>29.09</v>
      </c>
      <c r="AD386" s="57">
        <f>IFERROR((VLOOKUP($A386,'Dados StatusInvest'!$A:$AZ,COLUMN(AD386)-$A$5,0)),0)</f>
        <v>0</v>
      </c>
      <c r="AE386" s="56">
        <f>IFERROR((VLOOKUP($A386,'Dados StatusInvest'!$A:$AZ,COLUMN(AE386)-$A$5,0)),0)</f>
        <v>11019049</v>
      </c>
      <c r="AF386" s="56">
        <f>IFERROR((VLOOKUP($A386,'Dados StatusInvest'!$A:$AZ,COLUMN(AF386)-$A$5,0)),0)</f>
        <v>7.17</v>
      </c>
      <c r="AG386" s="56">
        <f>IFERROR((VLOOKUP($A386,'Dados StatusInvest'!$A:$AZ,COLUMN(AG386)-$A$5,0)),0)</f>
        <v>1.27</v>
      </c>
      <c r="AH386" s="56">
        <f>IFERROR((VLOOKUP($A386,'Dados StatusInvest'!$A:$AZ,COLUMN(AH386)-$A$5,0)),0)</f>
        <v>4.45</v>
      </c>
      <c r="AI386" s="57">
        <f>IFERROR((VLOOKUP($A386,'Dados StatusInvest'!$A:$AZ,COLUMN(AI386)-$A$5,0)),0)</f>
        <v>3554825182</v>
      </c>
      <c r="AJ386" s="59" t="str">
        <f>IFERROR((VLOOKUP($A386,'Dados StatusInvest'!$A:$AZ,COLUMN(AJ386)-$A$5,0)),0)</f>
        <v/>
      </c>
      <c r="AK386" s="60">
        <f>IFERROR(__xludf.DUMMYFUNCTION("IFERROR(GOOGLEFINANCE($A386,""high""),"""")"),15.09)</f>
        <v>15.09</v>
      </c>
      <c r="AL386" s="60">
        <f>IFERROR(__xludf.DUMMYFUNCTION("IFERROR(GOOGLEFINANCE($A386,""low""),"""")"),14.95)</f>
        <v>14.95</v>
      </c>
      <c r="AM386" s="61">
        <f t="shared" si="2"/>
        <v>0.009364548495</v>
      </c>
      <c r="AN386" s="62">
        <f>IFERROR(__xludf.DUMMYFUNCTION("IFERROR((GOOGLEFINANCE($A386,""volume"")),0)"),24200.0)</f>
        <v>24200</v>
      </c>
      <c r="AO386" s="60">
        <f>IFERROR(__xludf.DUMMYFUNCTION("IFERROR((GOOGLEFINANCE($A386,""closeyest"")),"""")"),15.18)</f>
        <v>15.18</v>
      </c>
      <c r="AP386" s="60">
        <f>IFERROR(__xludf.DUMMYFUNCTION("IFERROR((GOOGLEFINANCE($A386,""shares"")),"""")"),2.34178207E8)</f>
        <v>234178207</v>
      </c>
      <c r="AQ386" s="18"/>
    </row>
    <row r="387">
      <c r="A387" s="45" t="str">
        <f>'Dados StatusInvest'!A382:A1001</f>
        <v>MLAS3</v>
      </c>
      <c r="B387" s="46" t="str">
        <f>IFERROR(__xludf.DUMMYFUNCTION("IFERROR((GOOGLEFINANCE(A387,""name"")),"""")"),"Grupo Multi SA")</f>
        <v>Grupo Multi SA</v>
      </c>
      <c r="C387" s="46" t="str">
        <f>IFERROR((VLOOKUP(LEFT($A387,4),Setor!$A:$E,3,0)),"")</f>
        <v/>
      </c>
      <c r="D387" s="46" t="str">
        <f>IFERROR((VLOOKUP(LEFT($A387,4),Setor!$A:$E,4,0)),"")</f>
        <v/>
      </c>
      <c r="E387" s="46" t="str">
        <f>IFERROR((VLOOKUP(LEFT($A387,4),Setor!$A:$E,5,0)),"")</f>
        <v/>
      </c>
      <c r="F387" s="47">
        <f>IFERROR(__xludf.DUMMYFUNCTION("IFERROR((GOOGLEFINANCE(A387)),"""")"),1.34)</f>
        <v>1.34</v>
      </c>
      <c r="G387" s="48" t="str">
        <f>IFERROR(__xludf.DUMMYFUNCTION("IFERROR((sparkline(GOOGLEFINANCE($A387,""price"",TODAY()-30,TODAY(),""DAILY""),{""charttype"",""line"";""linewidth"",1;""color"",""#5f88cc""})),"""")"),"")</f>
        <v/>
      </c>
      <c r="H387" s="49">
        <f>IFERROR(__xludf.DUMMYFUNCTION("IFERROR((((GOOGLEFINANCE(A387))-(INDEX(GoogleFinance(A387,""PRICE"",$AQ$1),2,2)))/(INDEX(GoogleFinance(A387,""PRICE"",$AQ$1),2,2))),"""")"),-0.02898550724637668)</f>
        <v>-0.02898550725</v>
      </c>
      <c r="I387" s="47">
        <f>IFERROR(__xludf.DUMMYFUNCTION("IFERROR((GOOGLEFINANCE($A387,""high52"")),"""")"),1.51)</f>
        <v>1.51</v>
      </c>
      <c r="J387" s="48" t="str">
        <f>IFERROR(__xludf.DUMMYFUNCTION("IFERROR((sparkline(GOOGLEFINANCE($A387,""price"",TODAY()-365,TODAY(),""DAILY""),{""charttype"",""line"";""linewidth"",1;""color"",""#5f88cc""})),"""")"),"")</f>
        <v/>
      </c>
      <c r="K387" s="50">
        <f>IFERROR(__xludf.DUMMYFUNCTION("IFERROR((((GOOGLEFINANCE(A387))-(INDEX(GoogleFinance(A387,""PRICE"",$AP$1),2,2)))/(INDEX(GoogleFinance(A387,""PRICE"",$AP$1),2,2))),"""")"),0.038759689922480654)</f>
        <v>0.03875968992</v>
      </c>
      <c r="L387" s="51">
        <f t="shared" si="1"/>
        <v>-0.1125827815</v>
      </c>
      <c r="M387" s="52">
        <f>IFERROR((VLOOKUP($A387,'Dados StatusInvest'!$A:$AZ,COLUMN(M387)-$A$5,0)*VLOOKUP($A387,'Dados StatusInvest'!$A:$AZ,2,0)/$F387/100),0)</f>
        <v>0.02196268657</v>
      </c>
      <c r="N387" s="53">
        <f>IFERROR((VLOOKUP($A387,'Dados StatusInvest'!$A:$AZ,COLUMN(N387)-$A$5,0)/VLOOKUP($A387,'Dados StatusInvest'!$A:$AZ,2,0)*$F387),"")</f>
        <v>-1.369777778</v>
      </c>
      <c r="O387" s="53">
        <f>IFERROR((VLOOKUP($A387,'Dados StatusInvest'!$A:$AZ,COLUMN(O387)-$A$5,0)/VLOOKUP($A387,'Dados StatusInvest'!$A:$AZ,2,0)*$F387),0)</f>
        <v>13.54888889</v>
      </c>
      <c r="P387" s="54">
        <f>IFERROR((VLOOKUP($A387,'Dados StatusInvest'!$A:$AZ,COLUMN(P387)-$A$5,0)/VLOOKUP($A387,'Dados StatusInvest'!$A:$AZ,2,0)*$F387),0)</f>
        <v>13.92607407</v>
      </c>
      <c r="Q387" s="55">
        <f>IFERROR((VLOOKUP($A387,'Dados StatusInvest'!$A:$AZ,COLUMN(Q387)-$A$5,0)/100),0)</f>
        <v>0.0038</v>
      </c>
      <c r="R387" s="56">
        <f>VLOOKUP($A387,'Dados StatusInvest'!$A:$AZ,COLUMN(R387)-$A$5,0)</f>
        <v>0.01</v>
      </c>
      <c r="S387" s="56">
        <f>IFERROR((VLOOKUP($A387,'Dados StatusInvest'!$A:$AZ,COLUMN(S387)-$A$5,0)),0)</f>
        <v>0.3</v>
      </c>
      <c r="T387" s="53">
        <f>IFERROR((VLOOKUP($A387,'Dados StatusInvest'!$A:$AZ,COLUMN(T387)-$A$5,0)/VLOOKUP($A387,'Dados StatusInvest'!$A:$AZ,2,0)*$F387),0)</f>
        <v>0.6054814815</v>
      </c>
      <c r="U387" s="53">
        <f>IFERROR((VLOOKUP($A387,'Dados StatusInvest'!$A:$AZ,COLUMN(U387)-$A$5,0)-VLOOKUP($A387,'Dados StatusInvest'!$A:$AZ,COLUMN(U387)-$A$5-1,0)+T387),0)</f>
        <v>-0.6945185185</v>
      </c>
      <c r="V387" s="56">
        <f>IFERROR((VLOOKUP($A387,'Dados StatusInvest'!$A:$AZ,COLUMN(V387)-$A$5,0)),0)</f>
        <v>1.99</v>
      </c>
      <c r="W387" s="56">
        <f>IFERROR((VLOOKUP($A387,'Dados StatusInvest'!$A:$AZ,COLUMN(W387)-$A$5,0)),0)</f>
        <v>-1.7</v>
      </c>
      <c r="X387" s="53">
        <f>IFERROR((VLOOKUP($A387,'Dados StatusInvest'!$A:$AZ,COLUMN(X387)-$A$5,0)/VLOOKUP($A387,'Dados StatusInvest'!$A:$AZ,2,0)*$F387),0)</f>
        <v>-0.9628148148</v>
      </c>
      <c r="Y387" s="54">
        <f>IFERROR((VLOOKUP($A387,'Dados StatusInvest'!$A:$AZ,COLUMN(Y387)-$A$5,0)/VLOOKUP($A387,'Dados StatusInvest'!$A:$AZ,2,0)*$F387),0)</f>
        <v>0.7642962963</v>
      </c>
      <c r="Z387" s="56">
        <f>IFERROR((VLOOKUP($A387,'Dados StatusInvest'!$A:$AZ,COLUMN(Z387)-$A$5,0)),0)</f>
        <v>0.57</v>
      </c>
      <c r="AA387" s="57">
        <f>IFERROR((VLOOKUP($A387,'Dados StatusInvest'!$A:$AZ,COLUMN(AA387)-$A$5,0)),0)</f>
        <v>0.43</v>
      </c>
      <c r="AB387" s="57">
        <f>IFERROR((VLOOKUP($A387,'Dados StatusInvest'!$A:$AZ,COLUMN(AB387)-$A$5,0)),0)</f>
        <v>0.7</v>
      </c>
      <c r="AC387" s="58">
        <f>IFERROR((VLOOKUP($A387,'Dados StatusInvest'!$A:$AZ,COLUMN(AC387)-$A$5,0)),0)</f>
        <v>12.16</v>
      </c>
      <c r="AD387" s="57">
        <f>IFERROR((VLOOKUP($A387,'Dados StatusInvest'!$A:$AZ,COLUMN(AD387)-$A$5,0)),0)</f>
        <v>0</v>
      </c>
      <c r="AE387" s="56">
        <f>IFERROR((VLOOKUP($A387,'Dados StatusInvest'!$A:$AZ,COLUMN(AE387)-$A$5,0)),0)</f>
        <v>1690425</v>
      </c>
      <c r="AF387" s="56">
        <f>IFERROR((VLOOKUP($A387,'Dados StatusInvest'!$A:$AZ,COLUMN(AF387)-$A$5,0)),0)</f>
        <v>3.7</v>
      </c>
      <c r="AG387" s="56">
        <f>IFERROR((VLOOKUP($A387,'Dados StatusInvest'!$A:$AZ,COLUMN(AG387)-$A$5,0)),0)</f>
        <v>-0.06</v>
      </c>
      <c r="AH387" s="56">
        <f>IFERROR((VLOOKUP($A387,'Dados StatusInvest'!$A:$AZ,COLUMN(AH387)-$A$5,0)),0)</f>
        <v>0.24</v>
      </c>
      <c r="AI387" s="57">
        <f>IFERROR((VLOOKUP($A387,'Dados StatusInvest'!$A:$AZ,COLUMN(AI387)-$A$5,0)),0)</f>
        <v>1107727954</v>
      </c>
      <c r="AJ387" s="59" t="str">
        <f>IFERROR((VLOOKUP($A387,'Dados StatusInvest'!$A:$AZ,COLUMN(AJ387)-$A$5,0)),0)</f>
        <v/>
      </c>
      <c r="AK387" s="60">
        <f>IFERROR(__xludf.DUMMYFUNCTION("IFERROR(GOOGLEFINANCE($A387,""high""),"""")"),1.35)</f>
        <v>1.35</v>
      </c>
      <c r="AL387" s="60">
        <f>IFERROR(__xludf.DUMMYFUNCTION("IFERROR(GOOGLEFINANCE($A387,""low""),"""")"),1.34)</f>
        <v>1.34</v>
      </c>
      <c r="AM387" s="61">
        <f t="shared" si="2"/>
        <v>0.007462686567</v>
      </c>
      <c r="AN387" s="62">
        <f>IFERROR(__xludf.DUMMYFUNCTION("IFERROR((GOOGLEFINANCE($A387,""volume"")),0)"),15400.0)</f>
        <v>15400</v>
      </c>
      <c r="AO387" s="60">
        <f>IFERROR(__xludf.DUMMYFUNCTION("IFERROR((GOOGLEFINANCE($A387,""closeyest"")),"""")"),1.35)</f>
        <v>1.35</v>
      </c>
      <c r="AP387" s="60">
        <f>IFERROR(__xludf.DUMMYFUNCTION("IFERROR((GOOGLEFINANCE($A387,""shares"")),"""")"),8.20539225E8)</f>
        <v>820539225</v>
      </c>
      <c r="AQ387" s="18"/>
    </row>
    <row r="388">
      <c r="A388" s="45" t="str">
        <f>'Dados StatusInvest'!A383:A1002</f>
        <v>MMXM3</v>
      </c>
      <c r="B388" s="46" t="str">
        <f>IFERROR(__xludf.DUMMYFUNCTION("IFERROR((GOOGLEFINANCE(A388,""name"")),"""")"),"")</f>
        <v/>
      </c>
      <c r="C388" s="46" t="str">
        <f>IFERROR((VLOOKUP(LEFT($A388,4),Setor!$A:$E,3,0)),"")</f>
        <v>Materiais Básicos</v>
      </c>
      <c r="D388" s="46" t="str">
        <f>IFERROR((VLOOKUP(LEFT($A388,4),Setor!$A:$E,4,0)),"")</f>
        <v>Mineração</v>
      </c>
      <c r="E388" s="46" t="str">
        <f>IFERROR((VLOOKUP(LEFT($A388,4),Setor!$A:$E,5,0)),"")</f>
        <v>Minerais Metálicos</v>
      </c>
      <c r="F388" s="47" t="str">
        <f>IFERROR(__xludf.DUMMYFUNCTION("IFERROR((GOOGLEFINANCE(A388)),"""")"),"")</f>
        <v/>
      </c>
      <c r="G388" s="48" t="str">
        <f>IFERROR(__xludf.DUMMYFUNCTION("IFERROR((sparkline(GOOGLEFINANCE($A388,""price"",TODAY()-30,TODAY(),""DAILY""),{""charttype"",""line"";""linewidth"",1;""color"",""#5f88cc""})),"""")"),"")</f>
        <v/>
      </c>
      <c r="H388" s="49" t="str">
        <f>IFERROR(__xludf.DUMMYFUNCTION("IFERROR((((GOOGLEFINANCE(A388))-(INDEX(GoogleFinance(A388,""PRICE"",$AQ$1),2,2)))/(INDEX(GoogleFinance(A388,""PRICE"",$AQ$1),2,2))),"""")"),"")</f>
        <v/>
      </c>
      <c r="I388" s="47" t="str">
        <f>IFERROR(__xludf.DUMMYFUNCTION("IFERROR((GOOGLEFINANCE($A388,""high52"")),"""")"),"")</f>
        <v/>
      </c>
      <c r="J388" s="48" t="str">
        <f>IFERROR(__xludf.DUMMYFUNCTION("IFERROR((sparkline(GOOGLEFINANCE($A388,""price"",TODAY()-365,TODAY(),""DAILY""),{""charttype"",""line"";""linewidth"",1;""color"",""#5f88cc""})),"""")"),"")</f>
        <v/>
      </c>
      <c r="K388" s="50" t="str">
        <f>IFERROR(__xludf.DUMMYFUNCTION("IFERROR((((GOOGLEFINANCE(A388))-(INDEX(GoogleFinance(A388,""PRICE"",$AP$1),2,2)))/(INDEX(GoogleFinance(A388,""PRICE"",$AP$1),2,2))),"""")"),"")</f>
        <v/>
      </c>
      <c r="L388" s="51">
        <f t="shared" si="1"/>
        <v>0</v>
      </c>
      <c r="M388" s="52">
        <f>IFERROR((VLOOKUP($A388,'Dados StatusInvest'!$A:$AZ,COLUMN(M388)-$A$5,0)*VLOOKUP($A388,'Dados StatusInvest'!$A:$AZ,2,0)/$F388/100),0)</f>
        <v>0</v>
      </c>
      <c r="N388" s="53">
        <f>IFERROR((VLOOKUP($A388,'Dados StatusInvest'!$A:$AZ,COLUMN(N388)-$A$5,0)/VLOOKUP($A388,'Dados StatusInvest'!$A:$AZ,2,0)*$F388),"")</f>
        <v>0</v>
      </c>
      <c r="O388" s="53">
        <f>IFERROR((VLOOKUP($A388,'Dados StatusInvest'!$A:$AZ,COLUMN(O388)-$A$5,0)/VLOOKUP($A388,'Dados StatusInvest'!$A:$AZ,2,0)*$F388),0)</f>
        <v>0</v>
      </c>
      <c r="P388" s="54">
        <f>IFERROR((VLOOKUP($A388,'Dados StatusInvest'!$A:$AZ,COLUMN(P388)-$A$5,0)/VLOOKUP($A388,'Dados StatusInvest'!$A:$AZ,2,0)*$F388),0)</f>
        <v>0</v>
      </c>
      <c r="Q388" s="55">
        <f>IFERROR((VLOOKUP($A388,'Dados StatusInvest'!$A:$AZ,COLUMN(Q388)-$A$5,0)/100),0)</f>
        <v>-5.3827</v>
      </c>
      <c r="R388" s="56">
        <f>VLOOKUP($A388,'Dados StatusInvest'!$A:$AZ,COLUMN(R388)-$A$5,0)</f>
        <v>0</v>
      </c>
      <c r="S388" s="56">
        <f>IFERROR((VLOOKUP($A388,'Dados StatusInvest'!$A:$AZ,COLUMN(S388)-$A$5,0)),0)</f>
        <v>0</v>
      </c>
      <c r="T388" s="53">
        <f>IFERROR((VLOOKUP($A388,'Dados StatusInvest'!$A:$AZ,COLUMN(T388)-$A$5,0)/VLOOKUP($A388,'Dados StatusInvest'!$A:$AZ,2,0)*$F388),0)</f>
        <v>0</v>
      </c>
      <c r="U388" s="53">
        <f>IFERROR((VLOOKUP($A388,'Dados StatusInvest'!$A:$AZ,COLUMN(U388)-$A$5,0)-VLOOKUP($A388,'Dados StatusInvest'!$A:$AZ,COLUMN(U388)-$A$5-1,0)+T388),0)</f>
        <v>-0.65</v>
      </c>
      <c r="V388" s="56">
        <f>IFERROR((VLOOKUP($A388,'Dados StatusInvest'!$A:$AZ,COLUMN(V388)-$A$5,0)),0)</f>
        <v>0.01</v>
      </c>
      <c r="W388" s="56">
        <f>IFERROR((VLOOKUP($A388,'Dados StatusInvest'!$A:$AZ,COLUMN(W388)-$A$5,0)),0)</f>
        <v>-4.97</v>
      </c>
      <c r="X388" s="53">
        <f>IFERROR((VLOOKUP($A388,'Dados StatusInvest'!$A:$AZ,COLUMN(X388)-$A$5,0)/VLOOKUP($A388,'Dados StatusInvest'!$A:$AZ,2,0)*$F388),0)</f>
        <v>0</v>
      </c>
      <c r="Y388" s="54">
        <f>IFERROR((VLOOKUP($A388,'Dados StatusInvest'!$A:$AZ,COLUMN(Y388)-$A$5,0)/VLOOKUP($A388,'Dados StatusInvest'!$A:$AZ,2,0)*$F388),0)</f>
        <v>0</v>
      </c>
      <c r="Z388" s="56">
        <f>IFERROR((VLOOKUP($A388,'Dados StatusInvest'!$A:$AZ,COLUMN(Z388)-$A$5,0)),0)</f>
        <v>-6.58</v>
      </c>
      <c r="AA388" s="57">
        <f>IFERROR((VLOOKUP($A388,'Dados StatusInvest'!$A:$AZ,COLUMN(AA388)-$A$5,0)),0)</f>
        <v>7.6</v>
      </c>
      <c r="AB388" s="57">
        <f>IFERROR((VLOOKUP($A388,'Dados StatusInvest'!$A:$AZ,COLUMN(AB388)-$A$5,0)),0)</f>
        <v>0</v>
      </c>
      <c r="AC388" s="58">
        <f>IFERROR((VLOOKUP($A388,'Dados StatusInvest'!$A:$AZ,COLUMN(AC388)-$A$5,0)),0)</f>
        <v>-6.95</v>
      </c>
      <c r="AD388" s="57">
        <f>IFERROR((VLOOKUP($A388,'Dados StatusInvest'!$A:$AZ,COLUMN(AD388)-$A$5,0)),0)</f>
        <v>0</v>
      </c>
      <c r="AE388" s="56">
        <f>IFERROR((VLOOKUP($A388,'Dados StatusInvest'!$A:$AZ,COLUMN(AE388)-$A$5,0)),0)</f>
        <v>0</v>
      </c>
      <c r="AF388" s="56">
        <f>IFERROR((VLOOKUP($A388,'Dados StatusInvest'!$A:$AZ,COLUMN(AF388)-$A$5,0)),0)</f>
        <v>-129.88</v>
      </c>
      <c r="AG388" s="56">
        <f>IFERROR((VLOOKUP($A388,'Dados StatusInvest'!$A:$AZ,COLUMN(AG388)-$A$5,0)),0)</f>
        <v>-6.46</v>
      </c>
      <c r="AH388" s="56">
        <f>IFERROR((VLOOKUP($A388,'Dados StatusInvest'!$A:$AZ,COLUMN(AH388)-$A$5,0)),0)</f>
        <v>0.03</v>
      </c>
      <c r="AI388" s="57">
        <f>IFERROR((VLOOKUP($A388,'Dados StatusInvest'!$A:$AZ,COLUMN(AI388)-$A$5,0)),0)</f>
        <v>90834562</v>
      </c>
      <c r="AJ388" s="59" t="str">
        <f>IFERROR((VLOOKUP($A388,'Dados StatusInvest'!$A:$AZ,COLUMN(AJ388)-$A$5,0)),0)</f>
        <v/>
      </c>
      <c r="AK388" s="60" t="str">
        <f>IFERROR(__xludf.DUMMYFUNCTION("IFERROR(GOOGLEFINANCE($A388,""high""),"""")"),"")</f>
        <v/>
      </c>
      <c r="AL388" s="60" t="str">
        <f>IFERROR(__xludf.DUMMYFUNCTION("IFERROR(GOOGLEFINANCE($A388,""low""),"""")"),"")</f>
        <v/>
      </c>
      <c r="AM388" s="61">
        <f t="shared" si="2"/>
        <v>0</v>
      </c>
      <c r="AN388" s="62">
        <f>IFERROR(__xludf.DUMMYFUNCTION("IFERROR((GOOGLEFINANCE($A388,""volume"")),0)"),0.0)</f>
        <v>0</v>
      </c>
      <c r="AO388" s="60" t="str">
        <f>IFERROR(__xludf.DUMMYFUNCTION("IFERROR((GOOGLEFINANCE($A388,""closeyest"")),"""")"),"")</f>
        <v/>
      </c>
      <c r="AP388" s="60" t="str">
        <f>IFERROR(__xludf.DUMMYFUNCTION("IFERROR((GOOGLEFINANCE($A388,""shares"")),"""")"),"")</f>
        <v/>
      </c>
      <c r="AQ388" s="18"/>
    </row>
    <row r="389">
      <c r="A389" s="45" t="str">
        <f>'Dados StatusInvest'!A384:A1003</f>
        <v>MNDL3</v>
      </c>
      <c r="B389" s="46" t="str">
        <f>IFERROR(__xludf.DUMMYFUNCTION("IFERROR((GOOGLEFINANCE(A389,""name"")),"""")"),"Mundial SA Produtos de Consumo")</f>
        <v>Mundial SA Produtos de Consumo</v>
      </c>
      <c r="C389" s="46" t="str">
        <f>IFERROR((VLOOKUP(LEFT($A389,4),Setor!$A:$E,3,0)),"")</f>
        <v>Consumo Cíclico</v>
      </c>
      <c r="D389" s="46" t="str">
        <f>IFERROR((VLOOKUP(LEFT($A389,4),Setor!$A:$E,4,0)),"")</f>
        <v>Tecidos, Vestuário e Calçados</v>
      </c>
      <c r="E389" s="46" t="str">
        <f>IFERROR((VLOOKUP(LEFT($A389,4),Setor!$A:$E,5,0)),"")</f>
        <v>Acessórios</v>
      </c>
      <c r="F389" s="47">
        <f>IFERROR(__xludf.DUMMYFUNCTION("IFERROR((GOOGLEFINANCE(A389)),"""")"),17.85)</f>
        <v>17.85</v>
      </c>
      <c r="G389" s="48" t="str">
        <f>IFERROR(__xludf.DUMMYFUNCTION("IFERROR((sparkline(GOOGLEFINANCE($A389,""price"",TODAY()-30,TODAY(),""DAILY""),{""charttype"",""line"";""linewidth"",1;""color"",""#5f88cc""})),"""")"),"")</f>
        <v/>
      </c>
      <c r="H389" s="49">
        <f>IFERROR(__xludf.DUMMYFUNCTION("IFERROR((((GOOGLEFINANCE(A389))-(INDEX(GoogleFinance(A389,""PRICE"",$AQ$1),2,2)))/(INDEX(GoogleFinance(A389,""PRICE"",$AQ$1),2,2))),"""")"),0.06886227544910192)</f>
        <v>0.06886227545</v>
      </c>
      <c r="I389" s="47">
        <f>IFERROR(__xludf.DUMMYFUNCTION("IFERROR((GOOGLEFINANCE($A389,""high52"")),"""")"),20.0)</f>
        <v>20</v>
      </c>
      <c r="J389" s="48" t="str">
        <f>IFERROR(__xludf.DUMMYFUNCTION("IFERROR((sparkline(GOOGLEFINANCE($A389,""price"",TODAY()-365,TODAY(),""DAILY""),{""charttype"",""line"";""linewidth"",1;""color"",""#5f88cc""})),"""")"),"")</f>
        <v/>
      </c>
      <c r="K389" s="50" t="str">
        <f>IFERROR(__xludf.DUMMYFUNCTION("IFERROR((((GOOGLEFINANCE(A389))-(INDEX(GoogleFinance(A389,""PRICE"",$AP$1),2,2)))/(INDEX(GoogleFinance(A389,""PRICE"",$AP$1),2,2))),"""")"),"")</f>
        <v/>
      </c>
      <c r="L389" s="51">
        <f t="shared" si="1"/>
        <v>-0.1075</v>
      </c>
      <c r="M389" s="52">
        <f>IFERROR((VLOOKUP($A389,'Dados StatusInvest'!$A:$AZ,COLUMN(M389)-$A$5,0)*VLOOKUP($A389,'Dados StatusInvest'!$A:$AZ,2,0)/$F389/100),0)</f>
        <v>0.1225</v>
      </c>
      <c r="N389" s="53">
        <f>IFERROR((VLOOKUP($A389,'Dados StatusInvest'!$A:$AZ,COLUMN(N389)-$A$5,0)/VLOOKUP($A389,'Dados StatusInvest'!$A:$AZ,2,0)*$F389),"")</f>
        <v>-2.44</v>
      </c>
      <c r="O389" s="53">
        <f>IFERROR((VLOOKUP($A389,'Dados StatusInvest'!$A:$AZ,COLUMN(O389)-$A$5,0)/VLOOKUP($A389,'Dados StatusInvest'!$A:$AZ,2,0)*$F389),0)</f>
        <v>1.45</v>
      </c>
      <c r="P389" s="54">
        <f>IFERROR((VLOOKUP($A389,'Dados StatusInvest'!$A:$AZ,COLUMN(P389)-$A$5,0)/VLOOKUP($A389,'Dados StatusInvest'!$A:$AZ,2,0)*$F389),0)</f>
        <v>5.66</v>
      </c>
      <c r="Q389" s="55">
        <f>IFERROR((VLOOKUP($A389,'Dados StatusInvest'!$A:$AZ,COLUMN(Q389)-$A$5,0)/100),0)</f>
        <v>0.0422</v>
      </c>
      <c r="R389" s="56">
        <f>VLOOKUP($A389,'Dados StatusInvest'!$A:$AZ,COLUMN(R389)-$A$5,0)</f>
        <v>3.75</v>
      </c>
      <c r="S389" s="56">
        <f>IFERROR((VLOOKUP($A389,'Dados StatusInvest'!$A:$AZ,COLUMN(S389)-$A$5,0)),0)</f>
        <v>0.18</v>
      </c>
      <c r="T389" s="53">
        <f>IFERROR((VLOOKUP($A389,'Dados StatusInvest'!$A:$AZ,COLUMN(T389)-$A$5,0)/VLOOKUP($A389,'Dados StatusInvest'!$A:$AZ,2,0)*$F389),0)</f>
        <v>-1.07</v>
      </c>
      <c r="U389" s="53">
        <f>IFERROR((VLOOKUP($A389,'Dados StatusInvest'!$A:$AZ,COLUMN(U389)-$A$5,0)-VLOOKUP($A389,'Dados StatusInvest'!$A:$AZ,COLUMN(U389)-$A$5-1,0)+T389),0)</f>
        <v>-0.21</v>
      </c>
      <c r="V389" s="56">
        <f>IFERROR((VLOOKUP($A389,'Dados StatusInvest'!$A:$AZ,COLUMN(V389)-$A$5,0)),0)</f>
        <v>0.78</v>
      </c>
      <c r="W389" s="56">
        <f>IFERROR((VLOOKUP($A389,'Dados StatusInvest'!$A:$AZ,COLUMN(W389)-$A$5,0)),0)</f>
        <v>-17.71</v>
      </c>
      <c r="X389" s="53">
        <f>IFERROR((VLOOKUP($A389,'Dados StatusInvest'!$A:$AZ,COLUMN(X389)-$A$5,0)/VLOOKUP($A389,'Dados StatusInvest'!$A:$AZ,2,0)*$F389),0)</f>
        <v>-1.7</v>
      </c>
      <c r="Y389" s="54">
        <f>IFERROR((VLOOKUP($A389,'Dados StatusInvest'!$A:$AZ,COLUMN(Y389)-$A$5,0)/VLOOKUP($A389,'Dados StatusInvest'!$A:$AZ,2,0)*$F389),0)</f>
        <v>16.21</v>
      </c>
      <c r="Z389" s="56">
        <f>IFERROR((VLOOKUP($A389,'Dados StatusInvest'!$A:$AZ,COLUMN(Z389)-$A$5,0)),0)</f>
        <v>0.1</v>
      </c>
      <c r="AA389" s="57">
        <f>IFERROR((VLOOKUP($A389,'Dados StatusInvest'!$A:$AZ,COLUMN(AA389)-$A$5,0)),0)</f>
        <v>0.9</v>
      </c>
      <c r="AB389" s="57">
        <f>IFERROR((VLOOKUP($A389,'Dados StatusInvest'!$A:$AZ,COLUMN(AB389)-$A$5,0)),0)</f>
        <v>0.7</v>
      </c>
      <c r="AC389" s="58">
        <f>IFERROR((VLOOKUP($A389,'Dados StatusInvest'!$A:$AZ,COLUMN(AC389)-$A$5,0)),0)</f>
        <v>14.83</v>
      </c>
      <c r="AD389" s="57">
        <f>IFERROR((VLOOKUP($A389,'Dados StatusInvest'!$A:$AZ,COLUMN(AD389)-$A$5,0)),0)</f>
        <v>0</v>
      </c>
      <c r="AE389" s="56">
        <f>IFERROR((VLOOKUP($A389,'Dados StatusInvest'!$A:$AZ,COLUMN(AE389)-$A$5,0)),0)</f>
        <v>131410</v>
      </c>
      <c r="AF389" s="56">
        <f>IFERROR((VLOOKUP($A389,'Dados StatusInvest'!$A:$AZ,COLUMN(AF389)-$A$5,0)),0)</f>
        <v>13.87</v>
      </c>
      <c r="AG389" s="56">
        <f>IFERROR((VLOOKUP($A389,'Dados StatusInvest'!$A:$AZ,COLUMN(AG389)-$A$5,0)),0)</f>
        <v>-2.46</v>
      </c>
      <c r="AH389" s="56">
        <f>IFERROR((VLOOKUP($A389,'Dados StatusInvest'!$A:$AZ,COLUMN(AH389)-$A$5,0)),0)</f>
        <v>0</v>
      </c>
      <c r="AI389" s="57">
        <f>IFERROR((VLOOKUP($A389,'Dados StatusInvest'!$A:$AZ,COLUMN(AI389)-$A$5,0)),0)</f>
        <v>177090564</v>
      </c>
      <c r="AJ389" s="59" t="str">
        <f>IFERROR((VLOOKUP($A389,'Dados StatusInvest'!$A:$AZ,COLUMN(AJ389)-$A$5,0)),0)</f>
        <v/>
      </c>
      <c r="AK389" s="60" t="str">
        <f>IFERROR(__xludf.DUMMYFUNCTION("IFERROR(GOOGLEFINANCE($A389,""high""),"""")"),"")</f>
        <v/>
      </c>
      <c r="AL389" s="60" t="str">
        <f>IFERROR(__xludf.DUMMYFUNCTION("IFERROR(GOOGLEFINANCE($A389,""low""),"""")"),"")</f>
        <v/>
      </c>
      <c r="AM389" s="61">
        <f t="shared" si="2"/>
        <v>0</v>
      </c>
      <c r="AN389" s="62">
        <f>IFERROR(__xludf.DUMMYFUNCTION("IFERROR((GOOGLEFINANCE($A389,""volume"")),0)"),0.0)</f>
        <v>0</v>
      </c>
      <c r="AO389" s="60">
        <f>IFERROR(__xludf.DUMMYFUNCTION("IFERROR((GOOGLEFINANCE($A389,""closeyest"")),"""")"),17.85)</f>
        <v>17.85</v>
      </c>
      <c r="AP389" s="60">
        <f>IFERROR(__xludf.DUMMYFUNCTION("IFERROR((GOOGLEFINANCE($A389,""shares"")),"""")"),9921040.0)</f>
        <v>9921040</v>
      </c>
      <c r="AQ389" s="18"/>
    </row>
    <row r="390">
      <c r="A390" s="45" t="str">
        <f>'Dados StatusInvest'!A385:A1004</f>
        <v>MNPR3</v>
      </c>
      <c r="B390" s="46" t="str">
        <f>IFERROR(__xludf.DUMMYFUNCTION("IFERROR((GOOGLEFINANCE(A390,""name"")),"""")"),"Minupar Participacoes SA")</f>
        <v>Minupar Participacoes SA</v>
      </c>
      <c r="C390" s="46" t="str">
        <f>IFERROR((VLOOKUP(LEFT($A390,4),Setor!$A:$E,3,0)),"")</f>
        <v>Consumo não Cíclico</v>
      </c>
      <c r="D390" s="46" t="str">
        <f>IFERROR((VLOOKUP(LEFT($A390,4),Setor!$A:$E,4,0)),"")</f>
        <v>Alimentos Processados</v>
      </c>
      <c r="E390" s="46" t="str">
        <f>IFERROR((VLOOKUP(LEFT($A390,4),Setor!$A:$E,5,0)),"")</f>
        <v>Carnes e Derivados</v>
      </c>
      <c r="F390" s="47">
        <f>IFERROR(__xludf.DUMMYFUNCTION("IFERROR((GOOGLEFINANCE(A390)),"""")"),4.07)</f>
        <v>4.07</v>
      </c>
      <c r="G390" s="48" t="str">
        <f>IFERROR(__xludf.DUMMYFUNCTION("IFERROR((sparkline(GOOGLEFINANCE($A390,""price"",TODAY()-30,TODAY(),""DAILY""),{""charttype"",""line"";""linewidth"",1;""color"",""#5f88cc""})),"""")"),"")</f>
        <v/>
      </c>
      <c r="H390" s="49">
        <f>IFERROR(__xludf.DUMMYFUNCTION("IFERROR((((GOOGLEFINANCE(A390))-(INDEX(GoogleFinance(A390,""PRICE"",$AQ$1),2,2)))/(INDEX(GoogleFinance(A390,""PRICE"",$AQ$1),2,2))),"""")"),-0.055684454756380355)</f>
        <v>-0.05568445476</v>
      </c>
      <c r="I390" s="47">
        <f>IFERROR(__xludf.DUMMYFUNCTION("IFERROR((GOOGLEFINANCE($A390,""high52"")),"""")"),5.99)</f>
        <v>5.99</v>
      </c>
      <c r="J390" s="48" t="str">
        <f>IFERROR(__xludf.DUMMYFUNCTION("IFERROR((sparkline(GOOGLEFINANCE($A390,""price"",TODAY()-365,TODAY(),""DAILY""),{""charttype"",""line"";""linewidth"",1;""color"",""#5f88cc""})),"""")"),"")</f>
        <v/>
      </c>
      <c r="K390" s="50">
        <f>IFERROR(__xludf.DUMMYFUNCTION("IFERROR((((GOOGLEFINANCE(A390))-(INDEX(GoogleFinance(A390,""PRICE"",$AP$1),2,2)))/(INDEX(GoogleFinance(A390,""PRICE"",$AP$1),2,2))),"""")"),0.41811846689895477)</f>
        <v>0.4181184669</v>
      </c>
      <c r="L390" s="51">
        <f t="shared" si="1"/>
        <v>-0.3205342237</v>
      </c>
      <c r="M390" s="52">
        <f>IFERROR((VLOOKUP($A390,'Dados StatusInvest'!$A:$AZ,COLUMN(M390)-$A$5,0)*VLOOKUP($A390,'Dados StatusInvest'!$A:$AZ,2,0)/$F390/100),0)</f>
        <v>0.4580398034</v>
      </c>
      <c r="N390" s="53">
        <f>IFERROR((VLOOKUP($A390,'Dados StatusInvest'!$A:$AZ,COLUMN(N390)-$A$5,0)/VLOOKUP($A390,'Dados StatusInvest'!$A:$AZ,2,0)*$F390),"")</f>
        <v>121.10489</v>
      </c>
      <c r="O390" s="53">
        <f>IFERROR((VLOOKUP($A390,'Dados StatusInvest'!$A:$AZ,COLUMN(O390)-$A$5,0)/VLOOKUP($A390,'Dados StatusInvest'!$A:$AZ,2,0)*$F390),0)</f>
        <v>1.482713936</v>
      </c>
      <c r="P390" s="54">
        <f>IFERROR((VLOOKUP($A390,'Dados StatusInvest'!$A:$AZ,COLUMN(P390)-$A$5,0)/VLOOKUP($A390,'Dados StatusInvest'!$A:$AZ,2,0)*$F390),0)</f>
        <v>0.8756968215</v>
      </c>
      <c r="Q390" s="55">
        <f>IFERROR((VLOOKUP($A390,'Dados StatusInvest'!$A:$AZ,COLUMN(Q390)-$A$5,0)/100),0)</f>
        <v>-0.0061</v>
      </c>
      <c r="R390" s="56">
        <f>VLOOKUP($A390,'Dados StatusInvest'!$A:$AZ,COLUMN(R390)-$A$5,0)</f>
        <v>-0.59</v>
      </c>
      <c r="S390" s="56">
        <f>IFERROR((VLOOKUP($A390,'Dados StatusInvest'!$A:$AZ,COLUMN(S390)-$A$5,0)),0)</f>
        <v>0.68</v>
      </c>
      <c r="T390" s="53">
        <f>IFERROR((VLOOKUP($A390,'Dados StatusInvest'!$A:$AZ,COLUMN(T390)-$A$5,0)/VLOOKUP($A390,'Dados StatusInvest'!$A:$AZ,2,0)*$F390),0)</f>
        <v>1.860855746</v>
      </c>
      <c r="U390" s="53">
        <f>IFERROR((VLOOKUP($A390,'Dados StatusInvest'!$A:$AZ,COLUMN(U390)-$A$5,0)-VLOOKUP($A390,'Dados StatusInvest'!$A:$AZ,COLUMN(U390)-$A$5-1,0)+T390),0)</f>
        <v>-1.409144254</v>
      </c>
      <c r="V390" s="56">
        <f>IFERROR((VLOOKUP($A390,'Dados StatusInvest'!$A:$AZ,COLUMN(V390)-$A$5,0)),0)</f>
        <v>3.01</v>
      </c>
      <c r="W390" s="56">
        <f>IFERROR((VLOOKUP($A390,'Dados StatusInvest'!$A:$AZ,COLUMN(W390)-$A$5,0)),0)</f>
        <v>258.34</v>
      </c>
      <c r="X390" s="53">
        <f>IFERROR((VLOOKUP($A390,'Dados StatusInvest'!$A:$AZ,COLUMN(X390)-$A$5,0)/VLOOKUP($A390,'Dados StatusInvest'!$A:$AZ,2,0)*$F390),0)</f>
        <v>117.4528362</v>
      </c>
      <c r="Y390" s="54">
        <f>IFERROR((VLOOKUP($A390,'Dados StatusInvest'!$A:$AZ,COLUMN(Y390)-$A$5,0)/VLOOKUP($A390,'Dados StatusInvest'!$A:$AZ,2,0)*$F390),0)</f>
        <v>9.055501222</v>
      </c>
      <c r="Z390" s="56">
        <f>IFERROR((VLOOKUP($A390,'Dados StatusInvest'!$A:$AZ,COLUMN(Z390)-$A$5,0)),0)</f>
        <v>0.46</v>
      </c>
      <c r="AA390" s="57">
        <f>IFERROR((VLOOKUP($A390,'Dados StatusInvest'!$A:$AZ,COLUMN(AA390)-$A$5,0)),0)</f>
        <v>0.54</v>
      </c>
      <c r="AB390" s="57">
        <f>IFERROR((VLOOKUP($A390,'Dados StatusInvest'!$A:$AZ,COLUMN(AB390)-$A$5,0)),0)</f>
        <v>0.97</v>
      </c>
      <c r="AC390" s="58">
        <f>IFERROR((VLOOKUP($A390,'Dados StatusInvest'!$A:$AZ,COLUMN(AC390)-$A$5,0)),0)</f>
        <v>8.54</v>
      </c>
      <c r="AD390" s="57">
        <f>IFERROR((VLOOKUP($A390,'Dados StatusInvest'!$A:$AZ,COLUMN(AD390)-$A$5,0)),0)</f>
        <v>0</v>
      </c>
      <c r="AE390" s="56">
        <f>IFERROR((VLOOKUP($A390,'Dados StatusInvest'!$A:$AZ,COLUMN(AE390)-$A$5,0)),0)</f>
        <v>92822.95</v>
      </c>
      <c r="AF390" s="56">
        <f>IFERROR((VLOOKUP($A390,'Dados StatusInvest'!$A:$AZ,COLUMN(AF390)-$A$5,0)),0)</f>
        <v>2.84</v>
      </c>
      <c r="AG390" s="56">
        <f>IFERROR((VLOOKUP($A390,'Dados StatusInvest'!$A:$AZ,COLUMN(AG390)-$A$5,0)),0)</f>
        <v>7.33</v>
      </c>
      <c r="AH390" s="56">
        <f>IFERROR((VLOOKUP($A390,'Dados StatusInvest'!$A:$AZ,COLUMN(AH390)-$A$5,0)),0)</f>
        <v>0</v>
      </c>
      <c r="AI390" s="57">
        <f>IFERROR((VLOOKUP($A390,'Dados StatusInvest'!$A:$AZ,COLUMN(AI390)-$A$5,0)),0)</f>
        <v>290394090</v>
      </c>
      <c r="AJ390" s="59" t="str">
        <f>IFERROR((VLOOKUP($A390,'Dados StatusInvest'!$A:$AZ,COLUMN(AJ390)-$A$5,0)),0)</f>
        <v/>
      </c>
      <c r="AK390" s="60">
        <f>IFERROR(__xludf.DUMMYFUNCTION("IFERROR(GOOGLEFINANCE($A390,""high""),"""")"),4.17)</f>
        <v>4.17</v>
      </c>
      <c r="AL390" s="60">
        <f>IFERROR(__xludf.DUMMYFUNCTION("IFERROR(GOOGLEFINANCE($A390,""low""),"""")"),4.06)</f>
        <v>4.06</v>
      </c>
      <c r="AM390" s="61">
        <f t="shared" si="2"/>
        <v>0.02709359606</v>
      </c>
      <c r="AN390" s="62">
        <f>IFERROR(__xludf.DUMMYFUNCTION("IFERROR((GOOGLEFINANCE($A390,""volume"")),0)"),3800.0)</f>
        <v>3800</v>
      </c>
      <c r="AO390" s="60">
        <f>IFERROR(__xludf.DUMMYFUNCTION("IFERROR((GOOGLEFINANCE($A390,""closeyest"")),"""")"),4.09)</f>
        <v>4.09</v>
      </c>
      <c r="AP390" s="60">
        <f>IFERROR(__xludf.DUMMYFUNCTION("IFERROR((GOOGLEFINANCE($A390,""shares"")),"""")"),7.1001E7)</f>
        <v>71001000</v>
      </c>
      <c r="AQ390" s="18"/>
    </row>
    <row r="391">
      <c r="A391" s="45" t="str">
        <f>'Dados StatusInvest'!A386:A1005</f>
        <v>MOAR3</v>
      </c>
      <c r="B391" s="46" t="str">
        <f>IFERROR(__xludf.DUMMYFUNCTION("IFERROR((GOOGLEFINANCE(A391,""name"")),"""")"),"MONT ARANHA ON")</f>
        <v>MONT ARANHA ON</v>
      </c>
      <c r="C391" s="46" t="str">
        <f>IFERROR((VLOOKUP(LEFT($A391,4),Setor!$A:$E,3,0)),"")</f>
        <v>Financeiro</v>
      </c>
      <c r="D391" s="46" t="str">
        <f>IFERROR((VLOOKUP(LEFT($A391,4),Setor!$A:$E,4,0)),"")</f>
        <v>Holdings Diversificadas</v>
      </c>
      <c r="E391" s="46" t="str">
        <f>IFERROR((VLOOKUP(LEFT($A391,4),Setor!$A:$E,5,0)),"")</f>
        <v>Holdings Diversificadas</v>
      </c>
      <c r="F391" s="47">
        <f>IFERROR(__xludf.DUMMYFUNCTION("IFERROR((GOOGLEFINANCE(A391)),"""")"),61.21)</f>
        <v>61.21</v>
      </c>
      <c r="G391" s="48" t="str">
        <f>IFERROR(__xludf.DUMMYFUNCTION("IFERROR((sparkline(GOOGLEFINANCE($A391,""price"",TODAY()-30,TODAY(),""DAILY""),{""charttype"",""line"";""linewidth"",1;""color"",""#5f88cc""})),"""")"),"")</f>
        <v/>
      </c>
      <c r="H391" s="49">
        <f>IFERROR(__xludf.DUMMYFUNCTION("IFERROR((((GOOGLEFINANCE(A391))-(INDEX(GoogleFinance(A391,""PRICE"",$AQ$1),2,2)))/(INDEX(GoogleFinance(A391,""PRICE"",$AQ$1),2,2))),"""")"),0.02016666666666668)</f>
        <v>0.02016666667</v>
      </c>
      <c r="I391" s="47">
        <f>IFERROR(__xludf.DUMMYFUNCTION("IFERROR((GOOGLEFINANCE($A391,""high52"")),"""")"),430.0)</f>
        <v>430</v>
      </c>
      <c r="J391" s="48" t="str">
        <f>IFERROR(__xludf.DUMMYFUNCTION("IFERROR((sparkline(GOOGLEFINANCE($A391,""price"",TODAY()-365,TODAY(),""DAILY""),{""charttype"",""line"";""linewidth"",1;""color"",""#5f88cc""})),"""")"),"")</f>
        <v/>
      </c>
      <c r="K391" s="50" t="str">
        <f>IFERROR(__xludf.DUMMYFUNCTION("IFERROR((((GOOGLEFINANCE(A391))-(INDEX(GoogleFinance(A391,""PRICE"",$AP$1),2,2)))/(INDEX(GoogleFinance(A391,""PRICE"",$AP$1),2,2))),"""")"),"")</f>
        <v/>
      </c>
      <c r="L391" s="51">
        <f t="shared" si="1"/>
        <v>-0.8576511628</v>
      </c>
      <c r="M391" s="52">
        <f>IFERROR((VLOOKUP($A391,'Dados StatusInvest'!$A:$AZ,COLUMN(M391)-$A$5,0)*VLOOKUP($A391,'Dados StatusInvest'!$A:$AZ,2,0)/$F391/100),0)</f>
        <v>0</v>
      </c>
      <c r="N391" s="53">
        <f>IFERROR((VLOOKUP($A391,'Dados StatusInvest'!$A:$AZ,COLUMN(N391)-$A$5,0)/VLOOKUP($A391,'Dados StatusInvest'!$A:$AZ,2,0)*$F391),"")</f>
        <v>0</v>
      </c>
      <c r="O391" s="53">
        <f>IFERROR((VLOOKUP($A391,'Dados StatusInvest'!$A:$AZ,COLUMN(O391)-$A$5,0)/VLOOKUP($A391,'Dados StatusInvest'!$A:$AZ,2,0)*$F391),0)</f>
        <v>-11.73</v>
      </c>
      <c r="P391" s="54">
        <f>IFERROR((VLOOKUP($A391,'Dados StatusInvest'!$A:$AZ,COLUMN(P391)-$A$5,0)/VLOOKUP($A391,'Dados StatusInvest'!$A:$AZ,2,0)*$F391),0)</f>
        <v>-4.93</v>
      </c>
      <c r="Q391" s="55">
        <f>IFERROR((VLOOKUP($A391,'Dados StatusInvest'!$A:$AZ,COLUMN(Q391)-$A$5,0)/100),0)</f>
        <v>0.068</v>
      </c>
      <c r="R391" s="56">
        <f>VLOOKUP($A391,'Dados StatusInvest'!$A:$AZ,COLUMN(R391)-$A$5,0)</f>
        <v>-0.47</v>
      </c>
      <c r="S391" s="56">
        <f>IFERROR((VLOOKUP($A391,'Dados StatusInvest'!$A:$AZ,COLUMN(S391)-$A$5,0)),0)</f>
        <v>0</v>
      </c>
      <c r="T391" s="53">
        <f>IFERROR((VLOOKUP($A391,'Dados StatusInvest'!$A:$AZ,COLUMN(T391)-$A$5,0)/VLOOKUP($A391,'Dados StatusInvest'!$A:$AZ,2,0)*$F391),0)</f>
        <v>0.77</v>
      </c>
      <c r="U391" s="53">
        <f>IFERROR((VLOOKUP($A391,'Dados StatusInvest'!$A:$AZ,COLUMN(U391)-$A$5,0)-VLOOKUP($A391,'Dados StatusInvest'!$A:$AZ,COLUMN(U391)-$A$5-1,0)+T391),0)</f>
        <v>-0.86</v>
      </c>
      <c r="V391" s="56">
        <f>IFERROR((VLOOKUP($A391,'Dados StatusInvest'!$A:$AZ,COLUMN(V391)-$A$5,0)),0)</f>
        <v>3.6</v>
      </c>
      <c r="W391" s="56">
        <f>IFERROR((VLOOKUP($A391,'Dados StatusInvest'!$A:$AZ,COLUMN(W391)-$A$5,0)),0)</f>
        <v>3.45</v>
      </c>
      <c r="X391" s="53">
        <f>IFERROR((VLOOKUP($A391,'Dados StatusInvest'!$A:$AZ,COLUMN(X391)-$A$5,0)/VLOOKUP($A391,'Dados StatusInvest'!$A:$AZ,2,0)*$F391),0)</f>
        <v>1.44</v>
      </c>
      <c r="Y391" s="54">
        <f>IFERROR((VLOOKUP($A391,'Dados StatusInvest'!$A:$AZ,COLUMN(Y391)-$A$5,0)/VLOOKUP($A391,'Dados StatusInvest'!$A:$AZ,2,0)*$F391),0)</f>
        <v>-9.19</v>
      </c>
      <c r="Z391" s="56">
        <f>IFERROR((VLOOKUP($A391,'Dados StatusInvest'!$A:$AZ,COLUMN(Z391)-$A$5,0)),0)</f>
        <v>0.42</v>
      </c>
      <c r="AA391" s="57">
        <f>IFERROR((VLOOKUP($A391,'Dados StatusInvest'!$A:$AZ,COLUMN(AA391)-$A$5,0)),0)</f>
        <v>0.58</v>
      </c>
      <c r="AB391" s="57">
        <f>IFERROR((VLOOKUP($A391,'Dados StatusInvest'!$A:$AZ,COLUMN(AB391)-$A$5,0)),0)</f>
        <v>0</v>
      </c>
      <c r="AC391" s="58">
        <f>IFERROR((VLOOKUP($A391,'Dados StatusInvest'!$A:$AZ,COLUMN(AC391)-$A$5,0)),0)</f>
        <v>0</v>
      </c>
      <c r="AD391" s="57">
        <f>IFERROR((VLOOKUP($A391,'Dados StatusInvest'!$A:$AZ,COLUMN(AD391)-$A$5,0)),0)</f>
        <v>-20.45</v>
      </c>
      <c r="AE391" s="56">
        <f>IFERROR((VLOOKUP($A391,'Dados StatusInvest'!$A:$AZ,COLUMN(AE391)-$A$5,0)),0)</f>
        <v>66141.7</v>
      </c>
      <c r="AF391" s="56">
        <f>IFERROR((VLOOKUP($A391,'Dados StatusInvest'!$A:$AZ,COLUMN(AF391)-$A$5,0)),0)</f>
        <v>75.49</v>
      </c>
      <c r="AG391" s="56">
        <f>IFERROR((VLOOKUP($A391,'Dados StatusInvest'!$A:$AZ,COLUMN(AG391)-$A$5,0)),0)</f>
        <v>2.6</v>
      </c>
      <c r="AH391" s="56">
        <f>IFERROR((VLOOKUP($A391,'Dados StatusInvest'!$A:$AZ,COLUMN(AH391)-$A$5,0)),0)</f>
        <v>-0.28</v>
      </c>
      <c r="AI391" s="57">
        <f>IFERROR((VLOOKUP($A391,'Dados StatusInvest'!$A:$AZ,COLUMN(AI391)-$A$5,0)),0)</f>
        <v>749897237.4</v>
      </c>
      <c r="AJ391" s="59" t="str">
        <f>IFERROR((VLOOKUP($A391,'Dados StatusInvest'!$A:$AZ,COLUMN(AJ391)-$A$5,0)),0)</f>
        <v/>
      </c>
      <c r="AK391" s="60" t="str">
        <f>IFERROR(__xludf.DUMMYFUNCTION("IFERROR(GOOGLEFINANCE($A391,""high""),"""")"),"")</f>
        <v/>
      </c>
      <c r="AL391" s="60" t="str">
        <f>IFERROR(__xludf.DUMMYFUNCTION("IFERROR(GOOGLEFINANCE($A391,""low""),"""")"),"")</f>
        <v/>
      </c>
      <c r="AM391" s="61">
        <f t="shared" si="2"/>
        <v>0</v>
      </c>
      <c r="AN391" s="62">
        <f>IFERROR(__xludf.DUMMYFUNCTION("IFERROR((GOOGLEFINANCE($A391,""volume"")),0)"),0.0)</f>
        <v>0</v>
      </c>
      <c r="AO391" s="60">
        <f>IFERROR(__xludf.DUMMYFUNCTION("IFERROR((GOOGLEFINANCE($A391,""closeyest"")),"""")"),61.21)</f>
        <v>61.21</v>
      </c>
      <c r="AP391" s="60">
        <f>IFERROR(__xludf.DUMMYFUNCTION("IFERROR((GOOGLEFINANCE($A391,""shares"")),"""")"),1.2251221E7)</f>
        <v>12251221</v>
      </c>
      <c r="AQ391" s="18"/>
    </row>
    <row r="392">
      <c r="A392" s="45" t="str">
        <f>'Dados StatusInvest'!A387:A1006</f>
        <v>MODL11</v>
      </c>
      <c r="B392" s="46" t="str">
        <f>IFERROR(__xludf.DUMMYFUNCTION("IFERROR((GOOGLEFINANCE(A392,""name"")),"""")"),"")</f>
        <v/>
      </c>
      <c r="C392" s="46" t="str">
        <f>IFERROR((VLOOKUP(LEFT($A392,4),Setor!$A:$E,3,0)),"")</f>
        <v/>
      </c>
      <c r="D392" s="46" t="str">
        <f>IFERROR((VLOOKUP(LEFT($A392,4),Setor!$A:$E,4,0)),"")</f>
        <v/>
      </c>
      <c r="E392" s="46" t="str">
        <f>IFERROR((VLOOKUP(LEFT($A392,4),Setor!$A:$E,5,0)),"")</f>
        <v/>
      </c>
      <c r="F392" s="47" t="str">
        <f>IFERROR(__xludf.DUMMYFUNCTION("IFERROR((GOOGLEFINANCE(A392)),"""")"),"")</f>
        <v/>
      </c>
      <c r="G392" s="48" t="str">
        <f>IFERROR(__xludf.DUMMYFUNCTION("IFERROR((sparkline(GOOGLEFINANCE($A392,""price"",TODAY()-30,TODAY(),""DAILY""),{""charttype"",""line"";""linewidth"",1;""color"",""#5f88cc""})),"""")"),"")</f>
        <v/>
      </c>
      <c r="H392" s="49" t="str">
        <f>IFERROR(__xludf.DUMMYFUNCTION("IFERROR((((GOOGLEFINANCE(A392))-(INDEX(GoogleFinance(A392,""PRICE"",$AQ$1),2,2)))/(INDEX(GoogleFinance(A392,""PRICE"",$AQ$1),2,2))),"""")"),"")</f>
        <v/>
      </c>
      <c r="I392" s="47" t="str">
        <f>IFERROR(__xludf.DUMMYFUNCTION("IFERROR((GOOGLEFINANCE($A392,""high52"")),"""")"),"")</f>
        <v/>
      </c>
      <c r="J392" s="48" t="str">
        <f>IFERROR(__xludf.DUMMYFUNCTION("IFERROR((sparkline(GOOGLEFINANCE($A392,""price"",TODAY()-365,TODAY(),""DAILY""),{""charttype"",""line"";""linewidth"",1;""color"",""#5f88cc""})),"""")"),"")</f>
        <v/>
      </c>
      <c r="K392" s="50" t="str">
        <f>IFERROR(__xludf.DUMMYFUNCTION("IFERROR((((GOOGLEFINANCE(A392))-(INDEX(GoogleFinance(A392,""PRICE"",$AP$1),2,2)))/(INDEX(GoogleFinance(A392,""PRICE"",$AP$1),2,2))),"""")"),"")</f>
        <v/>
      </c>
      <c r="L392" s="51">
        <f t="shared" si="1"/>
        <v>0</v>
      </c>
      <c r="M392" s="52">
        <f>IFERROR((VLOOKUP($A392,'Dados StatusInvest'!$A:$AZ,COLUMN(M392)-$A$5,0)*VLOOKUP($A392,'Dados StatusInvest'!$A:$AZ,2,0)/$F392/100),0)</f>
        <v>0</v>
      </c>
      <c r="N392" s="53">
        <f>IFERROR((VLOOKUP($A392,'Dados StatusInvest'!$A:$AZ,COLUMN(N392)-$A$5,0)/VLOOKUP($A392,'Dados StatusInvest'!$A:$AZ,2,0)*$F392),"")</f>
        <v>0</v>
      </c>
      <c r="O392" s="53">
        <f>IFERROR((VLOOKUP($A392,'Dados StatusInvest'!$A:$AZ,COLUMN(O392)-$A$5,0)/VLOOKUP($A392,'Dados StatusInvest'!$A:$AZ,2,0)*$F392),0)</f>
        <v>0</v>
      </c>
      <c r="P392" s="54">
        <f>IFERROR((VLOOKUP($A392,'Dados StatusInvest'!$A:$AZ,COLUMN(P392)-$A$5,0)/VLOOKUP($A392,'Dados StatusInvest'!$A:$AZ,2,0)*$F392),0)</f>
        <v>0</v>
      </c>
      <c r="Q392" s="55">
        <f>IFERROR((VLOOKUP($A392,'Dados StatusInvest'!$A:$AZ,COLUMN(Q392)-$A$5,0)/100),0)</f>
        <v>0</v>
      </c>
      <c r="R392" s="56">
        <f>VLOOKUP($A392,'Dados StatusInvest'!$A:$AZ,COLUMN(R392)-$A$5,0)</f>
        <v>0</v>
      </c>
      <c r="S392" s="56">
        <f>IFERROR((VLOOKUP($A392,'Dados StatusInvest'!$A:$AZ,COLUMN(S392)-$A$5,0)),0)</f>
        <v>1.5</v>
      </c>
      <c r="T392" s="53">
        <f>IFERROR((VLOOKUP($A392,'Dados StatusInvest'!$A:$AZ,COLUMN(T392)-$A$5,0)/VLOOKUP($A392,'Dados StatusInvest'!$A:$AZ,2,0)*$F392),0)</f>
        <v>0</v>
      </c>
      <c r="U392" s="53">
        <f>IFERROR((VLOOKUP($A392,'Dados StatusInvest'!$A:$AZ,COLUMN(U392)-$A$5,0)-VLOOKUP($A392,'Dados StatusInvest'!$A:$AZ,COLUMN(U392)-$A$5-1,0)+T392),0)</f>
        <v>0.33</v>
      </c>
      <c r="V392" s="56">
        <f>IFERROR((VLOOKUP($A392,'Dados StatusInvest'!$A:$AZ,COLUMN(V392)-$A$5,0)),0)</f>
        <v>0.2</v>
      </c>
      <c r="W392" s="56">
        <f>IFERROR((VLOOKUP($A392,'Dados StatusInvest'!$A:$AZ,COLUMN(W392)-$A$5,0)),0)</f>
        <v>-6.1</v>
      </c>
      <c r="X392" s="53">
        <f>IFERROR((VLOOKUP($A392,'Dados StatusInvest'!$A:$AZ,COLUMN(X392)-$A$5,0)/VLOOKUP($A392,'Dados StatusInvest'!$A:$AZ,2,0)*$F392),0)</f>
        <v>0</v>
      </c>
      <c r="Y392" s="54">
        <f>IFERROR((VLOOKUP($A392,'Dados StatusInvest'!$A:$AZ,COLUMN(Y392)-$A$5,0)/VLOOKUP($A392,'Dados StatusInvest'!$A:$AZ,2,0)*$F392),0)</f>
        <v>0</v>
      </c>
      <c r="Z392" s="56">
        <f>IFERROR((VLOOKUP($A392,'Dados StatusInvest'!$A:$AZ,COLUMN(Z392)-$A$5,0)),0)</f>
        <v>0.16</v>
      </c>
      <c r="AA392" s="57">
        <f>IFERROR((VLOOKUP($A392,'Dados StatusInvest'!$A:$AZ,COLUMN(AA392)-$A$5,0)),0)</f>
        <v>0.84</v>
      </c>
      <c r="AB392" s="57">
        <f>IFERROR((VLOOKUP($A392,'Dados StatusInvest'!$A:$AZ,COLUMN(AB392)-$A$5,0)),0)</f>
        <v>0.18</v>
      </c>
      <c r="AC392" s="58">
        <f>IFERROR((VLOOKUP($A392,'Dados StatusInvest'!$A:$AZ,COLUMN(AC392)-$A$5,0)),0)</f>
        <v>0</v>
      </c>
      <c r="AD392" s="57">
        <f>IFERROR((VLOOKUP($A392,'Dados StatusInvest'!$A:$AZ,COLUMN(AD392)-$A$5,0)),0)</f>
        <v>0</v>
      </c>
      <c r="AE392" s="56">
        <f>IFERROR((VLOOKUP($A392,'Dados StatusInvest'!$A:$AZ,COLUMN(AE392)-$A$5,0)),0)</f>
        <v>0</v>
      </c>
      <c r="AF392" s="56">
        <f>IFERROR((VLOOKUP($A392,'Dados StatusInvest'!$A:$AZ,COLUMN(AF392)-$A$5,0)),0)</f>
        <v>5.09</v>
      </c>
      <c r="AG392" s="56">
        <f>IFERROR((VLOOKUP($A392,'Dados StatusInvest'!$A:$AZ,COLUMN(AG392)-$A$5,0)),0)</f>
        <v>-0.31</v>
      </c>
      <c r="AH392" s="56">
        <f>IFERROR((VLOOKUP($A392,'Dados StatusInvest'!$A:$AZ,COLUMN(AH392)-$A$5,0)),0)</f>
        <v>0.17</v>
      </c>
      <c r="AI392" s="57">
        <f>IFERROR((VLOOKUP($A392,'Dados StatusInvest'!$A:$AZ,COLUMN(AI392)-$A$5,0)),0)</f>
        <v>1985844000</v>
      </c>
      <c r="AJ392" s="59" t="str">
        <f>IFERROR((VLOOKUP($A392,'Dados StatusInvest'!$A:$AZ,COLUMN(AJ392)-$A$5,0)),0)</f>
        <v/>
      </c>
      <c r="AK392" s="60" t="str">
        <f>IFERROR(__xludf.DUMMYFUNCTION("IFERROR(GOOGLEFINANCE($A392,""high""),"""")"),"")</f>
        <v/>
      </c>
      <c r="AL392" s="60" t="str">
        <f>IFERROR(__xludf.DUMMYFUNCTION("IFERROR(GOOGLEFINANCE($A392,""low""),"""")"),"")</f>
        <v/>
      </c>
      <c r="AM392" s="61">
        <f t="shared" si="2"/>
        <v>0</v>
      </c>
      <c r="AN392" s="62">
        <f>IFERROR(__xludf.DUMMYFUNCTION("IFERROR((GOOGLEFINANCE($A392,""volume"")),0)"),0.0)</f>
        <v>0</v>
      </c>
      <c r="AO392" s="60" t="str">
        <f>IFERROR(__xludf.DUMMYFUNCTION("IFERROR((GOOGLEFINANCE($A392,""closeyest"")),"""")"),"")</f>
        <v/>
      </c>
      <c r="AP392" s="60" t="str">
        <f>IFERROR(__xludf.DUMMYFUNCTION("IFERROR((GOOGLEFINANCE($A392,""shares"")),"""")"),"")</f>
        <v/>
      </c>
      <c r="AQ392" s="18"/>
    </row>
    <row r="393">
      <c r="A393" s="45" t="str">
        <f>'Dados StatusInvest'!A388:A1007</f>
        <v>MODL3</v>
      </c>
      <c r="B393" s="46" t="str">
        <f>IFERROR(__xludf.DUMMYFUNCTION("IFERROR((GOOGLEFINANCE(A393,""name"")),"""")"),"")</f>
        <v/>
      </c>
      <c r="C393" s="46" t="str">
        <f>IFERROR((VLOOKUP(LEFT($A393,4),Setor!$A:$E,3,0)),"")</f>
        <v/>
      </c>
      <c r="D393" s="46" t="str">
        <f>IFERROR((VLOOKUP(LEFT($A393,4),Setor!$A:$E,4,0)),"")</f>
        <v/>
      </c>
      <c r="E393" s="46" t="str">
        <f>IFERROR((VLOOKUP(LEFT($A393,4),Setor!$A:$E,5,0)),"")</f>
        <v/>
      </c>
      <c r="F393" s="47" t="str">
        <f>IFERROR(__xludf.DUMMYFUNCTION("IFERROR((GOOGLEFINANCE(A393)),"""")"),"")</f>
        <v/>
      </c>
      <c r="G393" s="48" t="str">
        <f>IFERROR(__xludf.DUMMYFUNCTION("IFERROR((sparkline(GOOGLEFINANCE($A393,""price"",TODAY()-30,TODAY(),""DAILY""),{""charttype"",""line"";""linewidth"",1;""color"",""#5f88cc""})),"""")"),"")</f>
        <v/>
      </c>
      <c r="H393" s="49" t="str">
        <f>IFERROR(__xludf.DUMMYFUNCTION("IFERROR((((GOOGLEFINANCE(A393))-(INDEX(GoogleFinance(A393,""PRICE"",$AQ$1),2,2)))/(INDEX(GoogleFinance(A393,""PRICE"",$AQ$1),2,2))),"""")"),"")</f>
        <v/>
      </c>
      <c r="I393" s="47" t="str">
        <f>IFERROR(__xludf.DUMMYFUNCTION("IFERROR((GOOGLEFINANCE($A393,""high52"")),"""")"),"")</f>
        <v/>
      </c>
      <c r="J393" s="48" t="str">
        <f>IFERROR(__xludf.DUMMYFUNCTION("IFERROR((sparkline(GOOGLEFINANCE($A393,""price"",TODAY()-365,TODAY(),""DAILY""),{""charttype"",""line"";""linewidth"",1;""color"",""#5f88cc""})),"""")"),"")</f>
        <v/>
      </c>
      <c r="K393" s="50" t="str">
        <f>IFERROR(__xludf.DUMMYFUNCTION("IFERROR((((GOOGLEFINANCE(A393))-(INDEX(GoogleFinance(A393,""PRICE"",$AP$1),2,2)))/(INDEX(GoogleFinance(A393,""PRICE"",$AP$1),2,2))),"""")"),"")</f>
        <v/>
      </c>
      <c r="L393" s="51">
        <f t="shared" si="1"/>
        <v>0</v>
      </c>
      <c r="M393" s="52">
        <f>IFERROR((VLOOKUP($A393,'Dados StatusInvest'!$A:$AZ,COLUMN(M393)-$A$5,0)*VLOOKUP($A393,'Dados StatusInvest'!$A:$AZ,2,0)/$F393/100),0)</f>
        <v>0</v>
      </c>
      <c r="N393" s="53">
        <f>IFERROR((VLOOKUP($A393,'Dados StatusInvest'!$A:$AZ,COLUMN(N393)-$A$5,0)/VLOOKUP($A393,'Dados StatusInvest'!$A:$AZ,2,0)*$F393),"")</f>
        <v>0</v>
      </c>
      <c r="O393" s="53">
        <f>IFERROR((VLOOKUP($A393,'Dados StatusInvest'!$A:$AZ,COLUMN(O393)-$A$5,0)/VLOOKUP($A393,'Dados StatusInvest'!$A:$AZ,2,0)*$F393),0)</f>
        <v>0</v>
      </c>
      <c r="P393" s="54">
        <f>IFERROR((VLOOKUP($A393,'Dados StatusInvest'!$A:$AZ,COLUMN(P393)-$A$5,0)/VLOOKUP($A393,'Dados StatusInvest'!$A:$AZ,2,0)*$F393),0)</f>
        <v>0</v>
      </c>
      <c r="Q393" s="55">
        <f>IFERROR((VLOOKUP($A393,'Dados StatusInvest'!$A:$AZ,COLUMN(Q393)-$A$5,0)/100),0)</f>
        <v>0</v>
      </c>
      <c r="R393" s="56">
        <f>VLOOKUP($A393,'Dados StatusInvest'!$A:$AZ,COLUMN(R393)-$A$5,0)</f>
        <v>0</v>
      </c>
      <c r="S393" s="56">
        <f>IFERROR((VLOOKUP($A393,'Dados StatusInvest'!$A:$AZ,COLUMN(S393)-$A$5,0)),0)</f>
        <v>1.63</v>
      </c>
      <c r="T393" s="53">
        <f>IFERROR((VLOOKUP($A393,'Dados StatusInvest'!$A:$AZ,COLUMN(T393)-$A$5,0)/VLOOKUP($A393,'Dados StatusInvest'!$A:$AZ,2,0)*$F393),0)</f>
        <v>0</v>
      </c>
      <c r="U393" s="53">
        <f>IFERROR((VLOOKUP($A393,'Dados StatusInvest'!$A:$AZ,COLUMN(U393)-$A$5,0)-VLOOKUP($A393,'Dados StatusInvest'!$A:$AZ,COLUMN(U393)-$A$5-1,0)+T393),0)</f>
        <v>0.37</v>
      </c>
      <c r="V393" s="56">
        <f>IFERROR((VLOOKUP($A393,'Dados StatusInvest'!$A:$AZ,COLUMN(V393)-$A$5,0)),0)</f>
        <v>0.2</v>
      </c>
      <c r="W393" s="56">
        <f>IFERROR((VLOOKUP($A393,'Dados StatusInvest'!$A:$AZ,COLUMN(W393)-$A$5,0)),0)</f>
        <v>-6.1</v>
      </c>
      <c r="X393" s="53">
        <f>IFERROR((VLOOKUP($A393,'Dados StatusInvest'!$A:$AZ,COLUMN(X393)-$A$5,0)/VLOOKUP($A393,'Dados StatusInvest'!$A:$AZ,2,0)*$F393),0)</f>
        <v>0</v>
      </c>
      <c r="Y393" s="54">
        <f>IFERROR((VLOOKUP($A393,'Dados StatusInvest'!$A:$AZ,COLUMN(Y393)-$A$5,0)/VLOOKUP($A393,'Dados StatusInvest'!$A:$AZ,2,0)*$F393),0)</f>
        <v>0</v>
      </c>
      <c r="Z393" s="56">
        <f>IFERROR((VLOOKUP($A393,'Dados StatusInvest'!$A:$AZ,COLUMN(Z393)-$A$5,0)),0)</f>
        <v>0.16</v>
      </c>
      <c r="AA393" s="57">
        <f>IFERROR((VLOOKUP($A393,'Dados StatusInvest'!$A:$AZ,COLUMN(AA393)-$A$5,0)),0)</f>
        <v>0.84</v>
      </c>
      <c r="AB393" s="57">
        <f>IFERROR((VLOOKUP($A393,'Dados StatusInvest'!$A:$AZ,COLUMN(AB393)-$A$5,0)),0)</f>
        <v>0.18</v>
      </c>
      <c r="AC393" s="58">
        <f>IFERROR((VLOOKUP($A393,'Dados StatusInvest'!$A:$AZ,COLUMN(AC393)-$A$5,0)),0)</f>
        <v>0</v>
      </c>
      <c r="AD393" s="57">
        <f>IFERROR((VLOOKUP($A393,'Dados StatusInvest'!$A:$AZ,COLUMN(AD393)-$A$5,0)),0)</f>
        <v>0</v>
      </c>
      <c r="AE393" s="56">
        <f>IFERROR((VLOOKUP($A393,'Dados StatusInvest'!$A:$AZ,COLUMN(AE393)-$A$5,0)),0)</f>
        <v>0</v>
      </c>
      <c r="AF393" s="56">
        <f>IFERROR((VLOOKUP($A393,'Dados StatusInvest'!$A:$AZ,COLUMN(AF393)-$A$5,0)),0)</f>
        <v>1.7</v>
      </c>
      <c r="AG393" s="56">
        <f>IFERROR((VLOOKUP($A393,'Dados StatusInvest'!$A:$AZ,COLUMN(AG393)-$A$5,0)),0)</f>
        <v>-0.1</v>
      </c>
      <c r="AH393" s="56">
        <f>IFERROR((VLOOKUP($A393,'Dados StatusInvest'!$A:$AZ,COLUMN(AH393)-$A$5,0)),0)</f>
        <v>0.19</v>
      </c>
      <c r="AI393" s="57">
        <f>IFERROR((VLOOKUP($A393,'Dados StatusInvest'!$A:$AZ,COLUMN(AI393)-$A$5,0)),0)</f>
        <v>1985844000</v>
      </c>
      <c r="AJ393" s="59" t="str">
        <f>IFERROR((VLOOKUP($A393,'Dados StatusInvest'!$A:$AZ,COLUMN(AJ393)-$A$5,0)),0)</f>
        <v/>
      </c>
      <c r="AK393" s="60" t="str">
        <f>IFERROR(__xludf.DUMMYFUNCTION("IFERROR(GOOGLEFINANCE($A393,""high""),"""")"),"")</f>
        <v/>
      </c>
      <c r="AL393" s="60" t="str">
        <f>IFERROR(__xludf.DUMMYFUNCTION("IFERROR(GOOGLEFINANCE($A393,""low""),"""")"),"")</f>
        <v/>
      </c>
      <c r="AM393" s="61">
        <f t="shared" si="2"/>
        <v>0</v>
      </c>
      <c r="AN393" s="62">
        <f>IFERROR(__xludf.DUMMYFUNCTION("IFERROR((GOOGLEFINANCE($A393,""volume"")),0)"),0.0)</f>
        <v>0</v>
      </c>
      <c r="AO393" s="60" t="str">
        <f>IFERROR(__xludf.DUMMYFUNCTION("IFERROR((GOOGLEFINANCE($A393,""closeyest"")),"""")"),"")</f>
        <v/>
      </c>
      <c r="AP393" s="60" t="str">
        <f>IFERROR(__xludf.DUMMYFUNCTION("IFERROR((GOOGLEFINANCE($A393,""shares"")),"""")"),"")</f>
        <v/>
      </c>
      <c r="AQ393" s="18"/>
    </row>
    <row r="394">
      <c r="A394" s="45" t="str">
        <f>'Dados StatusInvest'!A389:A1008</f>
        <v>MODL4</v>
      </c>
      <c r="B394" s="46" t="str">
        <f>IFERROR(__xludf.DUMMYFUNCTION("IFERROR((GOOGLEFINANCE(A394,""name"")),"""")"),"")</f>
        <v/>
      </c>
      <c r="C394" s="46" t="str">
        <f>IFERROR((VLOOKUP(LEFT($A394,4),Setor!$A:$E,3,0)),"")</f>
        <v/>
      </c>
      <c r="D394" s="46" t="str">
        <f>IFERROR((VLOOKUP(LEFT($A394,4),Setor!$A:$E,4,0)),"")</f>
        <v/>
      </c>
      <c r="E394" s="46" t="str">
        <f>IFERROR((VLOOKUP(LEFT($A394,4),Setor!$A:$E,5,0)),"")</f>
        <v/>
      </c>
      <c r="F394" s="47" t="str">
        <f>IFERROR(__xludf.DUMMYFUNCTION("IFERROR((GOOGLEFINANCE(A394)),"""")"),"")</f>
        <v/>
      </c>
      <c r="G394" s="48" t="str">
        <f>IFERROR(__xludf.DUMMYFUNCTION("IFERROR((sparkline(GOOGLEFINANCE($A394,""price"",TODAY()-30,TODAY(),""DAILY""),{""charttype"",""line"";""linewidth"",1;""color"",""#5f88cc""})),"""")"),"")</f>
        <v/>
      </c>
      <c r="H394" s="49" t="str">
        <f>IFERROR(__xludf.DUMMYFUNCTION("IFERROR((((GOOGLEFINANCE(A394))-(INDEX(GoogleFinance(A394,""PRICE"",$AQ$1),2,2)))/(INDEX(GoogleFinance(A394,""PRICE"",$AQ$1),2,2))),"""")"),"")</f>
        <v/>
      </c>
      <c r="I394" s="47" t="str">
        <f>IFERROR(__xludf.DUMMYFUNCTION("IFERROR((GOOGLEFINANCE($A394,""high52"")),"""")"),"")</f>
        <v/>
      </c>
      <c r="J394" s="48" t="str">
        <f>IFERROR(__xludf.DUMMYFUNCTION("IFERROR((sparkline(GOOGLEFINANCE($A394,""price"",TODAY()-365,TODAY(),""DAILY""),{""charttype"",""line"";""linewidth"",1;""color"",""#5f88cc""})),"""")"),"")</f>
        <v/>
      </c>
      <c r="K394" s="50" t="str">
        <f>IFERROR(__xludf.DUMMYFUNCTION("IFERROR((((GOOGLEFINANCE(A394))-(INDEX(GoogleFinance(A394,""PRICE"",$AP$1),2,2)))/(INDEX(GoogleFinance(A394,""PRICE"",$AP$1),2,2))),"""")"),"")</f>
        <v/>
      </c>
      <c r="L394" s="51">
        <f t="shared" si="1"/>
        <v>0</v>
      </c>
      <c r="M394" s="52">
        <f>IFERROR((VLOOKUP($A394,'Dados StatusInvest'!$A:$AZ,COLUMN(M394)-$A$5,0)*VLOOKUP($A394,'Dados StatusInvest'!$A:$AZ,2,0)/$F394/100),0)</f>
        <v>0</v>
      </c>
      <c r="N394" s="53">
        <f>IFERROR((VLOOKUP($A394,'Dados StatusInvest'!$A:$AZ,COLUMN(N394)-$A$5,0)/VLOOKUP($A394,'Dados StatusInvest'!$A:$AZ,2,0)*$F394),"")</f>
        <v>0</v>
      </c>
      <c r="O394" s="53">
        <f>IFERROR((VLOOKUP($A394,'Dados StatusInvest'!$A:$AZ,COLUMN(O394)-$A$5,0)/VLOOKUP($A394,'Dados StatusInvest'!$A:$AZ,2,0)*$F394),0)</f>
        <v>0</v>
      </c>
      <c r="P394" s="54">
        <f>IFERROR((VLOOKUP($A394,'Dados StatusInvest'!$A:$AZ,COLUMN(P394)-$A$5,0)/VLOOKUP($A394,'Dados StatusInvest'!$A:$AZ,2,0)*$F394),0)</f>
        <v>0</v>
      </c>
      <c r="Q394" s="55">
        <f>IFERROR((VLOOKUP($A394,'Dados StatusInvest'!$A:$AZ,COLUMN(Q394)-$A$5,0)/100),0)</f>
        <v>0</v>
      </c>
      <c r="R394" s="56">
        <f>VLOOKUP($A394,'Dados StatusInvest'!$A:$AZ,COLUMN(R394)-$A$5,0)</f>
        <v>0</v>
      </c>
      <c r="S394" s="56">
        <f>IFERROR((VLOOKUP($A394,'Dados StatusInvest'!$A:$AZ,COLUMN(S394)-$A$5,0)),0)</f>
        <v>1.44</v>
      </c>
      <c r="T394" s="53">
        <f>IFERROR((VLOOKUP($A394,'Dados StatusInvest'!$A:$AZ,COLUMN(T394)-$A$5,0)/VLOOKUP($A394,'Dados StatusInvest'!$A:$AZ,2,0)*$F394),0)</f>
        <v>0</v>
      </c>
      <c r="U394" s="53">
        <f>IFERROR((VLOOKUP($A394,'Dados StatusInvest'!$A:$AZ,COLUMN(U394)-$A$5,0)-VLOOKUP($A394,'Dados StatusInvest'!$A:$AZ,COLUMN(U394)-$A$5-1,0)+T394),0)</f>
        <v>0.32</v>
      </c>
      <c r="V394" s="56">
        <f>IFERROR((VLOOKUP($A394,'Dados StatusInvest'!$A:$AZ,COLUMN(V394)-$A$5,0)),0)</f>
        <v>0.2</v>
      </c>
      <c r="W394" s="56">
        <f>IFERROR((VLOOKUP($A394,'Dados StatusInvest'!$A:$AZ,COLUMN(W394)-$A$5,0)),0)</f>
        <v>-6.1</v>
      </c>
      <c r="X394" s="53">
        <f>IFERROR((VLOOKUP($A394,'Dados StatusInvest'!$A:$AZ,COLUMN(X394)-$A$5,0)/VLOOKUP($A394,'Dados StatusInvest'!$A:$AZ,2,0)*$F394),0)</f>
        <v>0</v>
      </c>
      <c r="Y394" s="54">
        <f>IFERROR((VLOOKUP($A394,'Dados StatusInvest'!$A:$AZ,COLUMN(Y394)-$A$5,0)/VLOOKUP($A394,'Dados StatusInvest'!$A:$AZ,2,0)*$F394),0)</f>
        <v>0</v>
      </c>
      <c r="Z394" s="56">
        <f>IFERROR((VLOOKUP($A394,'Dados StatusInvest'!$A:$AZ,COLUMN(Z394)-$A$5,0)),0)</f>
        <v>0.16</v>
      </c>
      <c r="AA394" s="57">
        <f>IFERROR((VLOOKUP($A394,'Dados StatusInvest'!$A:$AZ,COLUMN(AA394)-$A$5,0)),0)</f>
        <v>0.84</v>
      </c>
      <c r="AB394" s="57">
        <f>IFERROR((VLOOKUP($A394,'Dados StatusInvest'!$A:$AZ,COLUMN(AB394)-$A$5,0)),0)</f>
        <v>0.18</v>
      </c>
      <c r="AC394" s="58">
        <f>IFERROR((VLOOKUP($A394,'Dados StatusInvest'!$A:$AZ,COLUMN(AC394)-$A$5,0)),0)</f>
        <v>0</v>
      </c>
      <c r="AD394" s="57">
        <f>IFERROR((VLOOKUP($A394,'Dados StatusInvest'!$A:$AZ,COLUMN(AD394)-$A$5,0)),0)</f>
        <v>0</v>
      </c>
      <c r="AE394" s="56">
        <f>IFERROR((VLOOKUP($A394,'Dados StatusInvest'!$A:$AZ,COLUMN(AE394)-$A$5,0)),0)</f>
        <v>0</v>
      </c>
      <c r="AF394" s="56">
        <f>IFERROR((VLOOKUP($A394,'Dados StatusInvest'!$A:$AZ,COLUMN(AF394)-$A$5,0)),0)</f>
        <v>1.7</v>
      </c>
      <c r="AG394" s="56">
        <f>IFERROR((VLOOKUP($A394,'Dados StatusInvest'!$A:$AZ,COLUMN(AG394)-$A$5,0)),0)</f>
        <v>-0.1</v>
      </c>
      <c r="AH394" s="56">
        <f>IFERROR((VLOOKUP($A394,'Dados StatusInvest'!$A:$AZ,COLUMN(AH394)-$A$5,0)),0)</f>
        <v>0.17</v>
      </c>
      <c r="AI394" s="57">
        <f>IFERROR((VLOOKUP($A394,'Dados StatusInvest'!$A:$AZ,COLUMN(AI394)-$A$5,0)),0)</f>
        <v>1985844000</v>
      </c>
      <c r="AJ394" s="59" t="str">
        <f>IFERROR((VLOOKUP($A394,'Dados StatusInvest'!$A:$AZ,COLUMN(AJ394)-$A$5,0)),0)</f>
        <v/>
      </c>
      <c r="AK394" s="60" t="str">
        <f>IFERROR(__xludf.DUMMYFUNCTION("IFERROR(GOOGLEFINANCE($A394,""high""),"""")"),"")</f>
        <v/>
      </c>
      <c r="AL394" s="60" t="str">
        <f>IFERROR(__xludf.DUMMYFUNCTION("IFERROR(GOOGLEFINANCE($A394,""low""),"""")"),"")</f>
        <v/>
      </c>
      <c r="AM394" s="61">
        <f t="shared" si="2"/>
        <v>0</v>
      </c>
      <c r="AN394" s="62">
        <f>IFERROR(__xludf.DUMMYFUNCTION("IFERROR((GOOGLEFINANCE($A394,""volume"")),0)"),0.0)</f>
        <v>0</v>
      </c>
      <c r="AO394" s="60" t="str">
        <f>IFERROR(__xludf.DUMMYFUNCTION("IFERROR((GOOGLEFINANCE($A394,""closeyest"")),"""")"),"")</f>
        <v/>
      </c>
      <c r="AP394" s="60" t="str">
        <f>IFERROR(__xludf.DUMMYFUNCTION("IFERROR((GOOGLEFINANCE($A394,""shares"")),"""")"),"")</f>
        <v/>
      </c>
      <c r="AQ394" s="18"/>
    </row>
    <row r="395">
      <c r="A395" s="45" t="str">
        <f>'Dados StatusInvest'!A390:A1009</f>
        <v>MOSI3</v>
      </c>
      <c r="B395" s="46" t="str">
        <f>IFERROR(__xludf.DUMMYFUNCTION("IFERROR((GOOGLEFINANCE(A395,""name"")),"""")"),"")</f>
        <v/>
      </c>
      <c r="C395" s="46" t="str">
        <f>IFERROR((VLOOKUP(LEFT($A395,4),Setor!$A:$E,3,0)),"")</f>
        <v/>
      </c>
      <c r="D395" s="46" t="str">
        <f>IFERROR((VLOOKUP(LEFT($A395,4),Setor!$A:$E,4,0)),"")</f>
        <v/>
      </c>
      <c r="E395" s="46" t="str">
        <f>IFERROR((VLOOKUP(LEFT($A395,4),Setor!$A:$E,5,0)),"")</f>
        <v/>
      </c>
      <c r="F395" s="47" t="str">
        <f>IFERROR(__xludf.DUMMYFUNCTION("IFERROR((GOOGLEFINANCE(A395)),"""")"),"")</f>
        <v/>
      </c>
      <c r="G395" s="48" t="str">
        <f>IFERROR(__xludf.DUMMYFUNCTION("IFERROR((sparkline(GOOGLEFINANCE($A395,""price"",TODAY()-30,TODAY(),""DAILY""),{""charttype"",""line"";""linewidth"",1;""color"",""#5f88cc""})),"""")"),"")</f>
        <v/>
      </c>
      <c r="H395" s="49" t="str">
        <f>IFERROR(__xludf.DUMMYFUNCTION("IFERROR((((GOOGLEFINANCE(A395))-(INDEX(GoogleFinance(A395,""PRICE"",$AQ$1),2,2)))/(INDEX(GoogleFinance(A395,""PRICE"",$AQ$1),2,2))),"""")"),"")</f>
        <v/>
      </c>
      <c r="I395" s="47" t="str">
        <f>IFERROR(__xludf.DUMMYFUNCTION("IFERROR((GOOGLEFINANCE($A395,""high52"")),"""")"),"")</f>
        <v/>
      </c>
      <c r="J395" s="48" t="str">
        <f>IFERROR(__xludf.DUMMYFUNCTION("IFERROR((sparkline(GOOGLEFINANCE($A395,""price"",TODAY()-365,TODAY(),""DAILY""),{""charttype"",""line"";""linewidth"",1;""color"",""#5f88cc""})),"""")"),"")</f>
        <v/>
      </c>
      <c r="K395" s="50" t="str">
        <f>IFERROR(__xludf.DUMMYFUNCTION("IFERROR((((GOOGLEFINANCE(A395))-(INDEX(GoogleFinance(A395,""PRICE"",$AP$1),2,2)))/(INDEX(GoogleFinance(A395,""PRICE"",$AP$1),2,2))),"""")"),"")</f>
        <v/>
      </c>
      <c r="L395" s="51">
        <f t="shared" si="1"/>
        <v>0</v>
      </c>
      <c r="M395" s="52">
        <f>IFERROR((VLOOKUP($A395,'Dados StatusInvest'!$A:$AZ,COLUMN(M395)-$A$5,0)*VLOOKUP($A395,'Dados StatusInvest'!$A:$AZ,2,0)/$F395/100),0)</f>
        <v>0</v>
      </c>
      <c r="N395" s="53">
        <f>IFERROR((VLOOKUP($A395,'Dados StatusInvest'!$A:$AZ,COLUMN(N395)-$A$5,0)/VLOOKUP($A395,'Dados StatusInvest'!$A:$AZ,2,0)*$F395),"")</f>
        <v>0</v>
      </c>
      <c r="O395" s="53">
        <f>IFERROR((VLOOKUP($A395,'Dados StatusInvest'!$A:$AZ,COLUMN(O395)-$A$5,0)/VLOOKUP($A395,'Dados StatusInvest'!$A:$AZ,2,0)*$F395),0)</f>
        <v>0</v>
      </c>
      <c r="P395" s="54">
        <f>IFERROR((VLOOKUP($A395,'Dados StatusInvest'!$A:$AZ,COLUMN(P395)-$A$5,0)/VLOOKUP($A395,'Dados StatusInvest'!$A:$AZ,2,0)*$F395),0)</f>
        <v>0</v>
      </c>
      <c r="Q395" s="55">
        <f>IFERROR((VLOOKUP($A395,'Dados StatusInvest'!$A:$AZ,COLUMN(Q395)-$A$5,0)/100),0)</f>
        <v>0</v>
      </c>
      <c r="R395" s="56">
        <f>VLOOKUP($A395,'Dados StatusInvest'!$A:$AZ,COLUMN(R395)-$A$5,0)</f>
        <v>0</v>
      </c>
      <c r="S395" s="56">
        <f>IFERROR((VLOOKUP($A395,'Dados StatusInvest'!$A:$AZ,COLUMN(S395)-$A$5,0)),0)</f>
        <v>0.07</v>
      </c>
      <c r="T395" s="53">
        <f>IFERROR((VLOOKUP($A395,'Dados StatusInvest'!$A:$AZ,COLUMN(T395)-$A$5,0)/VLOOKUP($A395,'Dados StatusInvest'!$A:$AZ,2,0)*$F395),0)</f>
        <v>0</v>
      </c>
      <c r="U395" s="53">
        <f>IFERROR((VLOOKUP($A395,'Dados StatusInvest'!$A:$AZ,COLUMN(U395)-$A$5,0)-VLOOKUP($A395,'Dados StatusInvest'!$A:$AZ,COLUMN(U395)-$A$5-1,0)+T395),0)</f>
        <v>-0.02</v>
      </c>
      <c r="V395" s="56">
        <f>IFERROR((VLOOKUP($A395,'Dados StatusInvest'!$A:$AZ,COLUMN(V395)-$A$5,0)),0)</f>
        <v>0</v>
      </c>
      <c r="W395" s="56">
        <f>IFERROR((VLOOKUP($A395,'Dados StatusInvest'!$A:$AZ,COLUMN(W395)-$A$5,0)),0)</f>
        <v>6.38</v>
      </c>
      <c r="X395" s="53">
        <f>IFERROR((VLOOKUP($A395,'Dados StatusInvest'!$A:$AZ,COLUMN(X395)-$A$5,0)/VLOOKUP($A395,'Dados StatusInvest'!$A:$AZ,2,0)*$F395),0)</f>
        <v>0</v>
      </c>
      <c r="Y395" s="54">
        <f>IFERROR((VLOOKUP($A395,'Dados StatusInvest'!$A:$AZ,COLUMN(Y395)-$A$5,0)/VLOOKUP($A395,'Dados StatusInvest'!$A:$AZ,2,0)*$F395),0)</f>
        <v>0</v>
      </c>
      <c r="Z395" s="56">
        <f>IFERROR((VLOOKUP($A395,'Dados StatusInvest'!$A:$AZ,COLUMN(Z395)-$A$5,0)),0)</f>
        <v>0.12</v>
      </c>
      <c r="AA395" s="57">
        <f>IFERROR((VLOOKUP($A395,'Dados StatusInvest'!$A:$AZ,COLUMN(AA395)-$A$5,0)),0)</f>
        <v>0.88</v>
      </c>
      <c r="AB395" s="57">
        <f>IFERROR((VLOOKUP($A395,'Dados StatusInvest'!$A:$AZ,COLUMN(AB395)-$A$5,0)),0)</f>
        <v>0.22</v>
      </c>
      <c r="AC395" s="58">
        <f>IFERROR((VLOOKUP($A395,'Dados StatusInvest'!$A:$AZ,COLUMN(AC395)-$A$5,0)),0)</f>
        <v>0</v>
      </c>
      <c r="AD395" s="57">
        <f>IFERROR((VLOOKUP($A395,'Dados StatusInvest'!$A:$AZ,COLUMN(AD395)-$A$5,0)),0)</f>
        <v>0</v>
      </c>
      <c r="AE395" s="56">
        <f>IFERROR((VLOOKUP($A395,'Dados StatusInvest'!$A:$AZ,COLUMN(AE395)-$A$5,0)),0)</f>
        <v>0</v>
      </c>
      <c r="AF395" s="56">
        <f>IFERROR((VLOOKUP($A395,'Dados StatusInvest'!$A:$AZ,COLUMN(AF395)-$A$5,0)),0)</f>
        <v>59.43</v>
      </c>
      <c r="AG395" s="56">
        <f>IFERROR((VLOOKUP($A395,'Dados StatusInvest'!$A:$AZ,COLUMN(AG395)-$A$5,0)),0)</f>
        <v>3.79</v>
      </c>
      <c r="AH395" s="56">
        <f>IFERROR((VLOOKUP($A395,'Dados StatusInvest'!$A:$AZ,COLUMN(AH395)-$A$5,0)),0)</f>
        <v>0.17</v>
      </c>
      <c r="AI395" s="57">
        <f>IFERROR((VLOOKUP($A395,'Dados StatusInvest'!$A:$AZ,COLUMN(AI395)-$A$5,0)),0)</f>
        <v>1043149227</v>
      </c>
      <c r="AJ395" s="59" t="str">
        <f>IFERROR((VLOOKUP($A395,'Dados StatusInvest'!$A:$AZ,COLUMN(AJ395)-$A$5,0)),0)</f>
        <v/>
      </c>
      <c r="AK395" s="60" t="str">
        <f>IFERROR(__xludf.DUMMYFUNCTION("IFERROR(GOOGLEFINANCE($A395,""high""),"""")"),"")</f>
        <v/>
      </c>
      <c r="AL395" s="60" t="str">
        <f>IFERROR(__xludf.DUMMYFUNCTION("IFERROR(GOOGLEFINANCE($A395,""low""),"""")"),"")</f>
        <v/>
      </c>
      <c r="AM395" s="61">
        <f t="shared" si="2"/>
        <v>0</v>
      </c>
      <c r="AN395" s="62">
        <f>IFERROR(__xludf.DUMMYFUNCTION("IFERROR((GOOGLEFINANCE($A395,""volume"")),0)"),0.0)</f>
        <v>0</v>
      </c>
      <c r="AO395" s="60" t="str">
        <f>IFERROR(__xludf.DUMMYFUNCTION("IFERROR((GOOGLEFINANCE($A395,""closeyest"")),"""")"),"")</f>
        <v/>
      </c>
      <c r="AP395" s="60" t="str">
        <f>IFERROR(__xludf.DUMMYFUNCTION("IFERROR((GOOGLEFINANCE($A395,""shares"")),"""")"),"")</f>
        <v/>
      </c>
      <c r="AQ395" s="18"/>
    </row>
    <row r="396">
      <c r="A396" s="45" t="str">
        <f>'Dados StatusInvest'!A391:A1010</f>
        <v>MOTV3</v>
      </c>
      <c r="B396" s="46" t="str">
        <f>IFERROR(__xludf.DUMMYFUNCTION("IFERROR((GOOGLEFINANCE(A396,""name"")),"""")"),"Motiva Infraestrutura de Mobilidade SA")</f>
        <v>Motiva Infraestrutura de Mobilidade SA</v>
      </c>
      <c r="C396" s="46" t="str">
        <f>IFERROR((VLOOKUP(LEFT($A396,4),Setor!$A:$E,3,0)),"")</f>
        <v/>
      </c>
      <c r="D396" s="46" t="str">
        <f>IFERROR((VLOOKUP(LEFT($A396,4),Setor!$A:$E,4,0)),"")</f>
        <v/>
      </c>
      <c r="E396" s="46" t="str">
        <f>IFERROR((VLOOKUP(LEFT($A396,4),Setor!$A:$E,5,0)),"")</f>
        <v/>
      </c>
      <c r="F396" s="47">
        <f>IFERROR(__xludf.DUMMYFUNCTION("IFERROR((GOOGLEFINANCE(A396)),"""")"),16.11)</f>
        <v>16.11</v>
      </c>
      <c r="G396" s="48" t="str">
        <f>IFERROR(__xludf.DUMMYFUNCTION("IFERROR((sparkline(GOOGLEFINANCE($A396,""price"",TODAY()-30,TODAY(),""DAILY""),{""charttype"",""line"";""linewidth"",1;""color"",""#5f88cc""})),"""")"),"")</f>
        <v/>
      </c>
      <c r="H396" s="49">
        <f>IFERROR(__xludf.DUMMYFUNCTION("IFERROR((((GOOGLEFINANCE(A396))-(INDEX(GoogleFinance(A396,""PRICE"",$AQ$1),2,2)))/(INDEX(GoogleFinance(A396,""PRICE"",$AQ$1),2,2))),"""")"),0.015122873345935742)</f>
        <v>0.01512287335</v>
      </c>
      <c r="I396" s="47">
        <f>IFERROR(__xludf.DUMMYFUNCTION("IFERROR((GOOGLEFINANCE($A396,""high52"")),"""")"),17.47)</f>
        <v>17.47</v>
      </c>
      <c r="J396" s="48" t="str">
        <f>IFERROR(__xludf.DUMMYFUNCTION("IFERROR((sparkline(GOOGLEFINANCE($A396,""price"",TODAY()-365,TODAY(),""DAILY""),{""charttype"",""line"";""linewidth"",1;""color"",""#5f88cc""})),"""")"),"")</f>
        <v/>
      </c>
      <c r="K396" s="50">
        <f>IFERROR(__xludf.DUMMYFUNCTION("IFERROR((((GOOGLEFINANCE(A396))-(INDEX(GoogleFinance(A396,""PRICE"",$AP$1),2,2)))/(INDEX(GoogleFinance(A396,""PRICE"",$AP$1),2,2))),"""")"),0.36873406966864913)</f>
        <v>0.3687340697</v>
      </c>
      <c r="L396" s="51">
        <f t="shared" si="1"/>
        <v>-0.07784773898</v>
      </c>
      <c r="M396" s="52">
        <f>IFERROR((VLOOKUP($A396,'Dados StatusInvest'!$A:$AZ,COLUMN(M396)-$A$5,0)*VLOOKUP($A396,'Dados StatusInvest'!$A:$AZ,2,0)/$F396/100),0)</f>
        <v>0.3610055866</v>
      </c>
      <c r="N396" s="53">
        <f>IFERROR((VLOOKUP($A396,'Dados StatusInvest'!$A:$AZ,COLUMN(N396)-$A$5,0)/VLOOKUP($A396,'Dados StatusInvest'!$A:$AZ,2,0)*$F396),"")</f>
        <v>13.17638889</v>
      </c>
      <c r="O396" s="53">
        <f>IFERROR((VLOOKUP($A396,'Dados StatusInvest'!$A:$AZ,COLUMN(O396)-$A$5,0)/VLOOKUP($A396,'Dados StatusInvest'!$A:$AZ,2,0)*$F396),0)</f>
        <v>4.156777778</v>
      </c>
      <c r="P396" s="54">
        <f>IFERROR((VLOOKUP($A396,'Dados StatusInvest'!$A:$AZ,COLUMN(P396)-$A$5,0)/VLOOKUP($A396,'Dados StatusInvest'!$A:$AZ,2,0)*$F396),0)</f>
        <v>8.283722222</v>
      </c>
      <c r="Q396" s="55">
        <f>IFERROR((VLOOKUP($A396,'Dados StatusInvest'!$A:$AZ,COLUMN(Q396)-$A$5,0)/100),0)</f>
        <v>0.0416</v>
      </c>
      <c r="R396" s="56">
        <f>VLOOKUP($A396,'Dados StatusInvest'!$A:$AZ,COLUMN(R396)-$A$5,0)</f>
        <v>2.09</v>
      </c>
      <c r="S396" s="56">
        <f>IFERROR((VLOOKUP($A396,'Dados StatusInvest'!$A:$AZ,COLUMN(S396)-$A$5,0)),0)</f>
        <v>1.5</v>
      </c>
      <c r="T396" s="53">
        <f>IFERROR((VLOOKUP($A396,'Dados StatusInvest'!$A:$AZ,COLUMN(T396)-$A$5,0)/VLOOKUP($A396,'Dados StatusInvest'!$A:$AZ,2,0)*$F396),0)</f>
        <v>5.936833333</v>
      </c>
      <c r="U396" s="53">
        <f>IFERROR((VLOOKUP($A396,'Dados StatusInvest'!$A:$AZ,COLUMN(U396)-$A$5,0)-VLOOKUP($A396,'Dados StatusInvest'!$A:$AZ,COLUMN(U396)-$A$5-1,0)+T396),0)</f>
        <v>-0.6231666667</v>
      </c>
      <c r="V396" s="56">
        <f>IFERROR((VLOOKUP($A396,'Dados StatusInvest'!$A:$AZ,COLUMN(V396)-$A$5,0)),0)</f>
        <v>1.89</v>
      </c>
      <c r="W396" s="56">
        <f>IFERROR((VLOOKUP($A396,'Dados StatusInvest'!$A:$AZ,COLUMN(W396)-$A$5,0)),0)</f>
        <v>18.6</v>
      </c>
      <c r="X396" s="53">
        <f>IFERROR((VLOOKUP($A396,'Dados StatusInvest'!$A:$AZ,COLUMN(X396)-$A$5,0)/VLOOKUP($A396,'Dados StatusInvest'!$A:$AZ,2,0)*$F396),0)</f>
        <v>4.276111111</v>
      </c>
      <c r="Y396" s="54">
        <f>IFERROR((VLOOKUP($A396,'Dados StatusInvest'!$A:$AZ,COLUMN(Y396)-$A$5,0)/VLOOKUP($A396,'Dados StatusInvest'!$A:$AZ,2,0)*$F396),0)</f>
        <v>12.78855556</v>
      </c>
      <c r="Z396" s="56">
        <f>IFERROR((VLOOKUP($A396,'Dados StatusInvest'!$A:$AZ,COLUMN(Z396)-$A$5,0)),0)</f>
        <v>0.23</v>
      </c>
      <c r="AA396" s="57">
        <f>IFERROR((VLOOKUP($A396,'Dados StatusInvest'!$A:$AZ,COLUMN(AA396)-$A$5,0)),0)</f>
        <v>0.76</v>
      </c>
      <c r="AB396" s="57">
        <f>IFERROR((VLOOKUP($A396,'Dados StatusInvest'!$A:$AZ,COLUMN(AB396)-$A$5,0)),0)</f>
        <v>0.32</v>
      </c>
      <c r="AC396" s="58">
        <f>IFERROR((VLOOKUP($A396,'Dados StatusInvest'!$A:$AZ,COLUMN(AC396)-$A$5,0)),0)</f>
        <v>15.52</v>
      </c>
      <c r="AD396" s="57">
        <f>IFERROR((VLOOKUP($A396,'Dados StatusInvest'!$A:$AZ,COLUMN(AD396)-$A$5,0)),0)</f>
        <v>14.99</v>
      </c>
      <c r="AE396" s="56">
        <f>IFERROR((VLOOKUP($A396,'Dados StatusInvest'!$A:$AZ,COLUMN(AE396)-$A$5,0)),0)</f>
        <v>158000000</v>
      </c>
      <c r="AF396" s="56">
        <f>IFERROR((VLOOKUP($A396,'Dados StatusInvest'!$A:$AZ,COLUMN(AF396)-$A$5,0)),0)</f>
        <v>7.7</v>
      </c>
      <c r="AG396" s="56">
        <f>IFERROR((VLOOKUP($A396,'Dados StatusInvest'!$A:$AZ,COLUMN(AG396)-$A$5,0)),0)</f>
        <v>1.43</v>
      </c>
      <c r="AH396" s="56">
        <f>IFERROR((VLOOKUP($A396,'Dados StatusInvest'!$A:$AZ,COLUMN(AH396)-$A$5,0)),0)</f>
        <v>0.14</v>
      </c>
      <c r="AI396" s="57">
        <f>IFERROR((VLOOKUP($A396,'Dados StatusInvest'!$A:$AZ,COLUMN(AI396)-$A$5,0)),0)</f>
        <v>32724000000</v>
      </c>
      <c r="AJ396" s="59" t="str">
        <f>IFERROR((VLOOKUP($A396,'Dados StatusInvest'!$A:$AZ,COLUMN(AJ396)-$A$5,0)),0)</f>
        <v/>
      </c>
      <c r="AK396" s="60">
        <f>IFERROR(__xludf.DUMMYFUNCTION("IFERROR(GOOGLEFINANCE($A396,""high""),"""")"),16.13)</f>
        <v>16.13</v>
      </c>
      <c r="AL396" s="60">
        <f>IFERROR(__xludf.DUMMYFUNCTION("IFERROR(GOOGLEFINANCE($A396,""low""),"""")"),15.96)</f>
        <v>15.96</v>
      </c>
      <c r="AM396" s="61">
        <f t="shared" si="2"/>
        <v>0.01065162907</v>
      </c>
      <c r="AN396" s="62">
        <f>IFERROR(__xludf.DUMMYFUNCTION("IFERROR((GOOGLEFINANCE($A396,""volume"")),0)"),131400.0)</f>
        <v>131400</v>
      </c>
      <c r="AO396" s="60">
        <f>IFERROR(__xludf.DUMMYFUNCTION("IFERROR((GOOGLEFINANCE($A396,""closeyest"")),"""")"),16.2)</f>
        <v>16.2</v>
      </c>
      <c r="AP396" s="60">
        <f>IFERROR(__xludf.DUMMYFUNCTION("IFERROR((GOOGLEFINANCE($A396,""shares"")),"""")"),2.02E9)</f>
        <v>2020000000</v>
      </c>
      <c r="AQ396" s="18"/>
    </row>
    <row r="397">
      <c r="A397" s="45" t="str">
        <f>'Dados StatusInvest'!A392:A1011</f>
        <v>MOVI3</v>
      </c>
      <c r="B397" s="46" t="str">
        <f>IFERROR(__xludf.DUMMYFUNCTION("IFERROR((GOOGLEFINANCE(A397,""name"")),"""")"),"Movida Participacoes SA")</f>
        <v>Movida Participacoes SA</v>
      </c>
      <c r="C397" s="46" t="str">
        <f>IFERROR((VLOOKUP(LEFT($A397,4),Setor!$A:$E,3,0)),"")</f>
        <v>Consumo Cíclico</v>
      </c>
      <c r="D397" s="46" t="str">
        <f>IFERROR((VLOOKUP(LEFT($A397,4),Setor!$A:$E,4,0)),"")</f>
        <v>Diversos</v>
      </c>
      <c r="E397" s="46" t="str">
        <f>IFERROR((VLOOKUP(LEFT($A397,4),Setor!$A:$E,5,0)),"")</f>
        <v>Aluguel de carros</v>
      </c>
      <c r="F397" s="47">
        <f>IFERROR(__xludf.DUMMYFUNCTION("IFERROR((GOOGLEFINANCE(A397)),"""")"),13.57)</f>
        <v>13.57</v>
      </c>
      <c r="G397" s="48" t="str">
        <f>IFERROR(__xludf.DUMMYFUNCTION("IFERROR((sparkline(GOOGLEFINANCE($A397,""price"",TODAY()-30,TODAY(),""DAILY""),{""charttype"",""line"";""linewidth"",1;""color"",""#5f88cc""})),"""")"),"")</f>
        <v/>
      </c>
      <c r="H397" s="49">
        <f>IFERROR(__xludf.DUMMYFUNCTION("IFERROR((((GOOGLEFINANCE(A397))-(INDEX(GoogleFinance(A397,""PRICE"",$AQ$1),2,2)))/(INDEX(GoogleFinance(A397,""PRICE"",$AQ$1),2,2))),"""")"),0.30230326295585414)</f>
        <v>0.302303263</v>
      </c>
      <c r="I397" s="47">
        <f>IFERROR(__xludf.DUMMYFUNCTION("IFERROR((GOOGLEFINANCE($A397,""high52"")),"""")"),14.08)</f>
        <v>14.08</v>
      </c>
      <c r="J397" s="48" t="str">
        <f>IFERROR(__xludf.DUMMYFUNCTION("IFERROR((sparkline(GOOGLEFINANCE($A397,""price"",TODAY()-365,TODAY(),""DAILY""),{""charttype"",""line"";""linewidth"",1;""color"",""#5f88cc""})),"""")"),"")</f>
        <v/>
      </c>
      <c r="K397" s="50">
        <f>IFERROR(__xludf.DUMMYFUNCTION("IFERROR((((GOOGLEFINANCE(A397))-(INDEX(GoogleFinance(A397,""PRICE"",$AP$1),2,2)))/(INDEX(GoogleFinance(A397,""PRICE"",$AP$1),2,2))),"""")"),2.4529262086513994)</f>
        <v>2.452926209</v>
      </c>
      <c r="L397" s="51">
        <f t="shared" si="1"/>
        <v>-0.03622159091</v>
      </c>
      <c r="M397" s="52">
        <f>IFERROR((VLOOKUP($A397,'Dados StatusInvest'!$A:$AZ,COLUMN(M397)-$A$5,0)*VLOOKUP($A397,'Dados StatusInvest'!$A:$AZ,2,0)/$F397/100),0)</f>
        <v>0.2135061901</v>
      </c>
      <c r="N397" s="53">
        <f>IFERROR((VLOOKUP($A397,'Dados StatusInvest'!$A:$AZ,COLUMN(N397)-$A$5,0)/VLOOKUP($A397,'Dados StatusInvest'!$A:$AZ,2,0)*$F397),"")</f>
        <v>1.979169783</v>
      </c>
      <c r="O397" s="53">
        <f>IFERROR((VLOOKUP($A397,'Dados StatusInvest'!$A:$AZ,COLUMN(O397)-$A$5,0)/VLOOKUP($A397,'Dados StatusInvest'!$A:$AZ,2,0)*$F397),0)</f>
        <v>1.532587883</v>
      </c>
      <c r="P397" s="54">
        <f>IFERROR((VLOOKUP($A397,'Dados StatusInvest'!$A:$AZ,COLUMN(P397)-$A$5,0)/VLOOKUP($A397,'Dados StatusInvest'!$A:$AZ,2,0)*$F397),0)</f>
        <v>6.566783844</v>
      </c>
      <c r="Q397" s="55">
        <f>IFERROR((VLOOKUP($A397,'Dados StatusInvest'!$A:$AZ,COLUMN(Q397)-$A$5,0)/100),0)</f>
        <v>0.0497</v>
      </c>
      <c r="R397" s="56">
        <f>VLOOKUP($A397,'Dados StatusInvest'!$A:$AZ,COLUMN(R397)-$A$5,0)</f>
        <v>5.51</v>
      </c>
      <c r="S397" s="56">
        <f>IFERROR((VLOOKUP($A397,'Dados StatusInvest'!$A:$AZ,COLUMN(S397)-$A$5,0)),0)</f>
        <v>0.33</v>
      </c>
      <c r="T397" s="53">
        <f>IFERROR((VLOOKUP($A397,'Dados StatusInvest'!$A:$AZ,COLUMN(T397)-$A$5,0)/VLOOKUP($A397,'Dados StatusInvest'!$A:$AZ,2,0)*$F397),0)</f>
        <v>-1.420942408</v>
      </c>
      <c r="U397" s="53">
        <f>IFERROR((VLOOKUP($A397,'Dados StatusInvest'!$A:$AZ,COLUMN(U397)-$A$5,0)-VLOOKUP($A397,'Dados StatusInvest'!$A:$AZ,COLUMN(U397)-$A$5-1,0)+T397),0)</f>
        <v>-0.2309424084</v>
      </c>
      <c r="V397" s="56">
        <f>IFERROR((VLOOKUP($A397,'Dados StatusInvest'!$A:$AZ,COLUMN(V397)-$A$5,0)),0)</f>
        <v>0.69</v>
      </c>
      <c r="W397" s="56">
        <f>IFERROR((VLOOKUP($A397,'Dados StatusInvest'!$A:$AZ,COLUMN(W397)-$A$5,0)),0)</f>
        <v>9.98</v>
      </c>
      <c r="X397" s="53">
        <f>IFERROR((VLOOKUP($A397,'Dados StatusInvest'!$A:$AZ,COLUMN(X397)-$A$5,0)/VLOOKUP($A397,'Dados StatusInvest'!$A:$AZ,2,0)*$F397),0)</f>
        <v>0.9540613313</v>
      </c>
      <c r="Y397" s="54">
        <f>IFERROR((VLOOKUP($A397,'Dados StatusInvest'!$A:$AZ,COLUMN(Y397)-$A$5,0)/VLOOKUP($A397,'Dados StatusInvest'!$A:$AZ,2,0)*$F397),0)</f>
        <v>14.30077038</v>
      </c>
      <c r="Z397" s="56">
        <f>IFERROR((VLOOKUP($A397,'Dados StatusInvest'!$A:$AZ,COLUMN(Z397)-$A$5,0)),0)</f>
        <v>0.09</v>
      </c>
      <c r="AA397" s="57">
        <f>IFERROR((VLOOKUP($A397,'Dados StatusInvest'!$A:$AZ,COLUMN(AA397)-$A$5,0)),0)</f>
        <v>0.91</v>
      </c>
      <c r="AB397" s="57">
        <f>IFERROR((VLOOKUP($A397,'Dados StatusInvest'!$A:$AZ,COLUMN(AB397)-$A$5,0)),0)</f>
        <v>0.48</v>
      </c>
      <c r="AC397" s="58">
        <f>IFERROR((VLOOKUP($A397,'Dados StatusInvest'!$A:$AZ,COLUMN(AC397)-$A$5,0)),0)</f>
        <v>28.58</v>
      </c>
      <c r="AD397" s="57">
        <f>IFERROR((VLOOKUP($A397,'Dados StatusInvest'!$A:$AZ,COLUMN(AD397)-$A$5,0)),0)</f>
        <v>4.08</v>
      </c>
      <c r="AE397" s="56">
        <f>IFERROR((VLOOKUP($A397,'Dados StatusInvest'!$A:$AZ,COLUMN(AE397)-$A$5,0)),0)</f>
        <v>56136252</v>
      </c>
      <c r="AF397" s="56">
        <f>IFERROR((VLOOKUP($A397,'Dados StatusInvest'!$A:$AZ,COLUMN(AF397)-$A$5,0)),0)</f>
        <v>8.01</v>
      </c>
      <c r="AG397" s="56">
        <f>IFERROR((VLOOKUP($A397,'Dados StatusInvest'!$A:$AZ,COLUMN(AG397)-$A$5,0)),0)</f>
        <v>0.8</v>
      </c>
      <c r="AH397" s="56">
        <f>IFERROR((VLOOKUP($A397,'Dados StatusInvest'!$A:$AZ,COLUMN(AH397)-$A$5,0)),0)</f>
        <v>-0.1</v>
      </c>
      <c r="AI397" s="57">
        <f>IFERROR((VLOOKUP($A397,'Dados StatusInvest'!$A:$AZ,COLUMN(AI397)-$A$5,0)),0)</f>
        <v>4651843700</v>
      </c>
      <c r="AJ397" s="59" t="str">
        <f>IFERROR((VLOOKUP($A397,'Dados StatusInvest'!$A:$AZ,COLUMN(AJ397)-$A$5,0)),0)</f>
        <v/>
      </c>
      <c r="AK397" s="60">
        <f>IFERROR(__xludf.DUMMYFUNCTION("IFERROR(GOOGLEFINANCE($A397,""high""),"""")"),13.63)</f>
        <v>13.63</v>
      </c>
      <c r="AL397" s="60">
        <f>IFERROR(__xludf.DUMMYFUNCTION("IFERROR(GOOGLEFINANCE($A397,""low""),"""")"),13.18)</f>
        <v>13.18</v>
      </c>
      <c r="AM397" s="61">
        <f t="shared" si="2"/>
        <v>0.03414264036</v>
      </c>
      <c r="AN397" s="62">
        <f>IFERROR(__xludf.DUMMYFUNCTION("IFERROR((GOOGLEFINANCE($A397,""volume"")),0)"),376100.0)</f>
        <v>376100</v>
      </c>
      <c r="AO397" s="60">
        <f>IFERROR(__xludf.DUMMYFUNCTION("IFERROR((GOOGLEFINANCE($A397,""closeyest"")),"""")"),13.37)</f>
        <v>13.37</v>
      </c>
      <c r="AP397" s="60">
        <f>IFERROR(__xludf.DUMMYFUNCTION("IFERROR((GOOGLEFINANCE($A397,""shares"")),"""")"),3.47931466E8)</f>
        <v>347931466</v>
      </c>
      <c r="AQ397" s="18"/>
    </row>
    <row r="398">
      <c r="A398" s="45" t="str">
        <f>'Dados StatusInvest'!A393:A1012</f>
        <v>MRSA3B</v>
      </c>
      <c r="B398" s="46" t="str">
        <f>IFERROR(__xludf.DUMMYFUNCTION("IFERROR((GOOGLEFINANCE(A398,""name"")),"""")"),"MRS Logistica S/A")</f>
        <v>MRS Logistica S/A</v>
      </c>
      <c r="C398" s="46" t="str">
        <f>IFERROR((VLOOKUP(LEFT($A398,4),Setor!$A:$E,3,0)),"")</f>
        <v>Bens Industriais</v>
      </c>
      <c r="D398" s="46" t="str">
        <f>IFERROR((VLOOKUP(LEFT($A398,4),Setor!$A:$E,4,0)),"")</f>
        <v>Transporte</v>
      </c>
      <c r="E398" s="46" t="str">
        <f>IFERROR((VLOOKUP(LEFT($A398,4),Setor!$A:$E,5,0)),"")</f>
        <v>Transporte Ferroviário</v>
      </c>
      <c r="F398" s="47">
        <f>IFERROR(__xludf.DUMMYFUNCTION("IFERROR((GOOGLEFINANCE(A398)),"""")"),48.9)</f>
        <v>48.9</v>
      </c>
      <c r="G398" s="48" t="str">
        <f>IFERROR(__xludf.DUMMYFUNCTION("IFERROR((sparkline(GOOGLEFINANCE($A398,""price"",TODAY()-30,TODAY(),""DAILY""),{""charttype"",""line"";""linewidth"",1;""color"",""#5f88cc""})),"""")"),"")</f>
        <v/>
      </c>
      <c r="H398" s="49" t="str">
        <f>IFERROR(__xludf.DUMMYFUNCTION("IFERROR((((GOOGLEFINANCE(A398))-(INDEX(GoogleFinance(A398,""PRICE"",$AQ$1),2,2)))/(INDEX(GoogleFinance(A398,""PRICE"",$AQ$1),2,2))),"""")"),"")</f>
        <v/>
      </c>
      <c r="I398" s="47">
        <f>IFERROR(__xludf.DUMMYFUNCTION("IFERROR((GOOGLEFINANCE($A398,""high52"")),"""")"),49.99)</f>
        <v>49.99</v>
      </c>
      <c r="J398" s="48" t="str">
        <f>IFERROR(__xludf.DUMMYFUNCTION("IFERROR((sparkline(GOOGLEFINANCE($A398,""price"",TODAY()-365,TODAY(),""DAILY""),{""charttype"",""line"";""linewidth"",1;""color"",""#5f88cc""})),"""")"),"")</f>
        <v/>
      </c>
      <c r="K398" s="50">
        <f>IFERROR(__xludf.DUMMYFUNCTION("IFERROR((((GOOGLEFINANCE(A398))-(INDEX(GoogleFinance(A398,""PRICE"",$AP$1),2,2)))/(INDEX(GoogleFinance(A398,""PRICE"",$AP$1),2,2))),"""")"),0.8452830188679245)</f>
        <v>0.8452830189</v>
      </c>
      <c r="L398" s="51">
        <f t="shared" si="1"/>
        <v>-0.02180436087</v>
      </c>
      <c r="M398" s="52">
        <f>IFERROR((VLOOKUP($A398,'Dados StatusInvest'!$A:$AZ,COLUMN(M398)-$A$5,0)*VLOOKUP($A398,'Dados StatusInvest'!$A:$AZ,2,0)/$F398/100),0)</f>
        <v>0.3624</v>
      </c>
      <c r="N398" s="53">
        <f>IFERROR((VLOOKUP($A398,'Dados StatusInvest'!$A:$AZ,COLUMN(N398)-$A$5,0)/VLOOKUP($A398,'Dados StatusInvest'!$A:$AZ,2,0)*$F398),"")</f>
        <v>20.85</v>
      </c>
      <c r="O398" s="53">
        <f>IFERROR((VLOOKUP($A398,'Dados StatusInvest'!$A:$AZ,COLUMN(O398)-$A$5,0)/VLOOKUP($A398,'Dados StatusInvest'!$A:$AZ,2,0)*$F398),0)</f>
        <v>6.29</v>
      </c>
      <c r="P398" s="54">
        <f>IFERROR((VLOOKUP($A398,'Dados StatusInvest'!$A:$AZ,COLUMN(P398)-$A$5,0)/VLOOKUP($A398,'Dados StatusInvest'!$A:$AZ,2,0)*$F398),0)</f>
        <v>7.62</v>
      </c>
      <c r="Q398" s="55">
        <f>IFERROR((VLOOKUP($A398,'Dados StatusInvest'!$A:$AZ,COLUMN(Q398)-$A$5,0)/100),0)</f>
        <v>0.0185</v>
      </c>
      <c r="R398" s="56">
        <f>VLOOKUP($A398,'Dados StatusInvest'!$A:$AZ,COLUMN(R398)-$A$5,0)</f>
        <v>0.56</v>
      </c>
      <c r="S398" s="56">
        <f>IFERROR((VLOOKUP($A398,'Dados StatusInvest'!$A:$AZ,COLUMN(S398)-$A$5,0)),0)</f>
        <v>2.28</v>
      </c>
      <c r="T398" s="53">
        <f>IFERROR((VLOOKUP($A398,'Dados StatusInvest'!$A:$AZ,COLUMN(T398)-$A$5,0)/VLOOKUP($A398,'Dados StatusInvest'!$A:$AZ,2,0)*$F398),0)</f>
        <v>7.62</v>
      </c>
      <c r="U398" s="53">
        <f>IFERROR((VLOOKUP($A398,'Dados StatusInvest'!$A:$AZ,COLUMN(U398)-$A$5,0)-VLOOKUP($A398,'Dados StatusInvest'!$A:$AZ,COLUMN(U398)-$A$5-1,0)+T398),0)</f>
        <v>-0.97</v>
      </c>
      <c r="V398" s="56">
        <f>IFERROR((VLOOKUP($A398,'Dados StatusInvest'!$A:$AZ,COLUMN(V398)-$A$5,0)),0)</f>
        <v>1.62</v>
      </c>
      <c r="W398" s="56">
        <f>IFERROR((VLOOKUP($A398,'Dados StatusInvest'!$A:$AZ,COLUMN(W398)-$A$5,0)),0)</f>
        <v>17.39</v>
      </c>
      <c r="X398" s="53">
        <f>IFERROR((VLOOKUP($A398,'Dados StatusInvest'!$A:$AZ,COLUMN(X398)-$A$5,0)/VLOOKUP($A398,'Dados StatusInvest'!$A:$AZ,2,0)*$F398),0)</f>
        <v>6.64</v>
      </c>
      <c r="Y398" s="54">
        <f>IFERROR((VLOOKUP($A398,'Dados StatusInvest'!$A:$AZ,COLUMN(Y398)-$A$5,0)/VLOOKUP($A398,'Dados StatusInvest'!$A:$AZ,2,0)*$F398),0)</f>
        <v>8.93</v>
      </c>
      <c r="Z398" s="56">
        <f>IFERROR((VLOOKUP($A398,'Dados StatusInvest'!$A:$AZ,COLUMN(Z398)-$A$5,0)),0)</f>
        <v>0.38</v>
      </c>
      <c r="AA398" s="57">
        <f>IFERROR((VLOOKUP($A398,'Dados StatusInvest'!$A:$AZ,COLUMN(AA398)-$A$5,0)),0)</f>
        <v>0.62</v>
      </c>
      <c r="AB398" s="57">
        <f>IFERROR((VLOOKUP($A398,'Dados StatusInvest'!$A:$AZ,COLUMN(AB398)-$A$5,0)),0)</f>
        <v>0.32</v>
      </c>
      <c r="AC398" s="58">
        <f>IFERROR((VLOOKUP($A398,'Dados StatusInvest'!$A:$AZ,COLUMN(AC398)-$A$5,0)),0)</f>
        <v>17.02</v>
      </c>
      <c r="AD398" s="57">
        <f>IFERROR((VLOOKUP($A398,'Dados StatusInvest'!$A:$AZ,COLUMN(AD398)-$A$5,0)),0)</f>
        <v>24.6</v>
      </c>
      <c r="AE398" s="56">
        <f>IFERROR((VLOOKUP($A398,'Dados StatusInvest'!$A:$AZ,COLUMN(AE398)-$A$5,0)),0)</f>
        <v>9163.33</v>
      </c>
      <c r="AF398" s="56">
        <f>IFERROR((VLOOKUP($A398,'Dados StatusInvest'!$A:$AZ,COLUMN(AF398)-$A$5,0)),0)</f>
        <v>25.72</v>
      </c>
      <c r="AG398" s="56">
        <f>IFERROR((VLOOKUP($A398,'Dados StatusInvest'!$A:$AZ,COLUMN(AG398)-$A$5,0)),0)</f>
        <v>4.47</v>
      </c>
      <c r="AH398" s="56">
        <f>IFERROR((VLOOKUP($A398,'Dados StatusInvest'!$A:$AZ,COLUMN(AH398)-$A$5,0)),0)</f>
        <v>1.78</v>
      </c>
      <c r="AI398" s="57">
        <f>IFERROR((VLOOKUP($A398,'Dados StatusInvest'!$A:$AZ,COLUMN(AI398)-$A$5,0)),0)</f>
        <v>15185251549</v>
      </c>
      <c r="AJ398" s="59" t="str">
        <f>IFERROR((VLOOKUP($A398,'Dados StatusInvest'!$A:$AZ,COLUMN(AJ398)-$A$5,0)),0)</f>
        <v/>
      </c>
      <c r="AK398" s="60" t="str">
        <f>IFERROR(__xludf.DUMMYFUNCTION("IFERROR(GOOGLEFINANCE($A398,""high""),"""")"),"")</f>
        <v/>
      </c>
      <c r="AL398" s="60" t="str">
        <f>IFERROR(__xludf.DUMMYFUNCTION("IFERROR(GOOGLEFINANCE($A398,""low""),"""")"),"")</f>
        <v/>
      </c>
      <c r="AM398" s="61">
        <f t="shared" si="2"/>
        <v>0</v>
      </c>
      <c r="AN398" s="62">
        <f>IFERROR(__xludf.DUMMYFUNCTION("IFERROR((GOOGLEFINANCE($A398,""volume"")),0)"),0.0)</f>
        <v>0</v>
      </c>
      <c r="AO398" s="60">
        <f>IFERROR(__xludf.DUMMYFUNCTION("IFERROR((GOOGLEFINANCE($A398,""closeyest"")),"""")"),48.9)</f>
        <v>48.9</v>
      </c>
      <c r="AP398" s="60">
        <f>IFERROR(__xludf.DUMMYFUNCTION("IFERROR((GOOGLEFINANCE($A398,""shares"")),"""")"),1.87210201E8)</f>
        <v>187210201</v>
      </c>
      <c r="AQ398" s="18"/>
    </row>
    <row r="399">
      <c r="A399" s="45" t="str">
        <f>'Dados StatusInvest'!A394:A1013</f>
        <v>MRSA5B</v>
      </c>
      <c r="B399" s="46" t="str">
        <f>IFERROR(__xludf.DUMMYFUNCTION("IFERROR((GOOGLEFINANCE(A399,""name"")),"""")"),"MRS Logística")</f>
        <v>MRS Logística</v>
      </c>
      <c r="C399" s="46" t="str">
        <f>IFERROR((VLOOKUP(LEFT($A399,4),Setor!$A:$E,3,0)),"")</f>
        <v>Bens Industriais</v>
      </c>
      <c r="D399" s="46" t="str">
        <f>IFERROR((VLOOKUP(LEFT($A399,4),Setor!$A:$E,4,0)),"")</f>
        <v>Transporte</v>
      </c>
      <c r="E399" s="46" t="str">
        <f>IFERROR((VLOOKUP(LEFT($A399,4),Setor!$A:$E,5,0)),"")</f>
        <v>Transporte Ferroviário</v>
      </c>
      <c r="F399" s="47">
        <f>IFERROR(__xludf.DUMMYFUNCTION("IFERROR((GOOGLEFINANCE(A399)),"""")"),40.0)</f>
        <v>40</v>
      </c>
      <c r="G399" s="48" t="str">
        <f>IFERROR(__xludf.DUMMYFUNCTION("IFERROR((sparkline(GOOGLEFINANCE($A399,""price"",TODAY()-30,TODAY(),""DAILY""),{""charttype"",""line"";""linewidth"",1;""color"",""#5f88cc""})),"""")"),"")</f>
        <v/>
      </c>
      <c r="H399" s="49" t="str">
        <f>IFERROR(__xludf.DUMMYFUNCTION("IFERROR((((GOOGLEFINANCE(A399))-(INDEX(GoogleFinance(A399,""PRICE"",$AQ$1),2,2)))/(INDEX(GoogleFinance(A399,""PRICE"",$AQ$1),2,2))),"""")"),"")</f>
        <v/>
      </c>
      <c r="I399" s="47">
        <f>IFERROR(__xludf.DUMMYFUNCTION("IFERROR((GOOGLEFINANCE($A399,""high52"")),"""")"),49.99)</f>
        <v>49.99</v>
      </c>
      <c r="J399" s="48" t="str">
        <f>IFERROR(__xludf.DUMMYFUNCTION("IFERROR((sparkline(GOOGLEFINANCE($A399,""price"",TODAY()-365,TODAY(),""DAILY""),{""charttype"",""line"";""linewidth"",1;""color"",""#5f88cc""})),"""")"),"")</f>
        <v/>
      </c>
      <c r="K399" s="50" t="str">
        <f>IFERROR(__xludf.DUMMYFUNCTION("IFERROR((((GOOGLEFINANCE(A399))-(INDEX(GoogleFinance(A399,""PRICE"",$AP$1),2,2)))/(INDEX(GoogleFinance(A399,""PRICE"",$AP$1),2,2))),"""")"),"")</f>
        <v/>
      </c>
      <c r="L399" s="51">
        <f t="shared" si="1"/>
        <v>-0.199839968</v>
      </c>
      <c r="M399" s="52">
        <f>IFERROR((VLOOKUP($A399,'Dados StatusInvest'!$A:$AZ,COLUMN(M399)-$A$5,0)*VLOOKUP($A399,'Dados StatusInvest'!$A:$AZ,2,0)/$F399/100),0)</f>
        <v>0.3624</v>
      </c>
      <c r="N399" s="53">
        <f>IFERROR((VLOOKUP($A399,'Dados StatusInvest'!$A:$AZ,COLUMN(N399)-$A$5,0)/VLOOKUP($A399,'Dados StatusInvest'!$A:$AZ,2,0)*$F399),"")</f>
        <v>20.85</v>
      </c>
      <c r="O399" s="53">
        <f>IFERROR((VLOOKUP($A399,'Dados StatusInvest'!$A:$AZ,COLUMN(O399)-$A$5,0)/VLOOKUP($A399,'Dados StatusInvest'!$A:$AZ,2,0)*$F399),0)</f>
        <v>5.14</v>
      </c>
      <c r="P399" s="54">
        <f>IFERROR((VLOOKUP($A399,'Dados StatusInvest'!$A:$AZ,COLUMN(P399)-$A$5,0)/VLOOKUP($A399,'Dados StatusInvest'!$A:$AZ,2,0)*$F399),0)</f>
        <v>7.62</v>
      </c>
      <c r="Q399" s="55">
        <f>IFERROR((VLOOKUP($A399,'Dados StatusInvest'!$A:$AZ,COLUMN(Q399)-$A$5,0)/100),0)</f>
        <v>0.0185</v>
      </c>
      <c r="R399" s="56">
        <f>VLOOKUP($A399,'Dados StatusInvest'!$A:$AZ,COLUMN(R399)-$A$5,0)</f>
        <v>0.56</v>
      </c>
      <c r="S399" s="56">
        <f>IFERROR((VLOOKUP($A399,'Dados StatusInvest'!$A:$AZ,COLUMN(S399)-$A$5,0)),0)</f>
        <v>1.86</v>
      </c>
      <c r="T399" s="53">
        <f>IFERROR((VLOOKUP($A399,'Dados StatusInvest'!$A:$AZ,COLUMN(T399)-$A$5,0)/VLOOKUP($A399,'Dados StatusInvest'!$A:$AZ,2,0)*$F399),0)</f>
        <v>6.23</v>
      </c>
      <c r="U399" s="53">
        <f>IFERROR((VLOOKUP($A399,'Dados StatusInvest'!$A:$AZ,COLUMN(U399)-$A$5,0)-VLOOKUP($A399,'Dados StatusInvest'!$A:$AZ,COLUMN(U399)-$A$5-1,0)+T399),0)</f>
        <v>-0.79</v>
      </c>
      <c r="V399" s="56">
        <f>IFERROR((VLOOKUP($A399,'Dados StatusInvest'!$A:$AZ,COLUMN(V399)-$A$5,0)),0)</f>
        <v>1.62</v>
      </c>
      <c r="W399" s="56">
        <f>IFERROR((VLOOKUP($A399,'Dados StatusInvest'!$A:$AZ,COLUMN(W399)-$A$5,0)),0)</f>
        <v>17.39</v>
      </c>
      <c r="X399" s="53">
        <f>IFERROR((VLOOKUP($A399,'Dados StatusInvest'!$A:$AZ,COLUMN(X399)-$A$5,0)/VLOOKUP($A399,'Dados StatusInvest'!$A:$AZ,2,0)*$F399),0)</f>
        <v>6.64</v>
      </c>
      <c r="Y399" s="54">
        <f>IFERROR((VLOOKUP($A399,'Dados StatusInvest'!$A:$AZ,COLUMN(Y399)-$A$5,0)/VLOOKUP($A399,'Dados StatusInvest'!$A:$AZ,2,0)*$F399),0)</f>
        <v>8.93</v>
      </c>
      <c r="Z399" s="56">
        <f>IFERROR((VLOOKUP($A399,'Dados StatusInvest'!$A:$AZ,COLUMN(Z399)-$A$5,0)),0)</f>
        <v>0.38</v>
      </c>
      <c r="AA399" s="57">
        <f>IFERROR((VLOOKUP($A399,'Dados StatusInvest'!$A:$AZ,COLUMN(AA399)-$A$5,0)),0)</f>
        <v>0.62</v>
      </c>
      <c r="AB399" s="57">
        <f>IFERROR((VLOOKUP($A399,'Dados StatusInvest'!$A:$AZ,COLUMN(AB399)-$A$5,0)),0)</f>
        <v>0.32</v>
      </c>
      <c r="AC399" s="58">
        <f>IFERROR((VLOOKUP($A399,'Dados StatusInvest'!$A:$AZ,COLUMN(AC399)-$A$5,0)),0)</f>
        <v>17.02</v>
      </c>
      <c r="AD399" s="57">
        <f>IFERROR((VLOOKUP($A399,'Dados StatusInvest'!$A:$AZ,COLUMN(AD399)-$A$5,0)),0)</f>
        <v>24.6</v>
      </c>
      <c r="AE399" s="56">
        <f>IFERROR((VLOOKUP($A399,'Dados StatusInvest'!$A:$AZ,COLUMN(AE399)-$A$5,0)),0)</f>
        <v>1934.67</v>
      </c>
      <c r="AF399" s="56">
        <f>IFERROR((VLOOKUP($A399,'Dados StatusInvest'!$A:$AZ,COLUMN(AF399)-$A$5,0)),0)</f>
        <v>25.72</v>
      </c>
      <c r="AG399" s="56">
        <f>IFERROR((VLOOKUP($A399,'Dados StatusInvest'!$A:$AZ,COLUMN(AG399)-$A$5,0)),0)</f>
        <v>4.47</v>
      </c>
      <c r="AH399" s="56">
        <f>IFERROR((VLOOKUP($A399,'Dados StatusInvest'!$A:$AZ,COLUMN(AH399)-$A$5,0)),0)</f>
        <v>1.46</v>
      </c>
      <c r="AI399" s="57">
        <f>IFERROR((VLOOKUP($A399,'Dados StatusInvest'!$A:$AZ,COLUMN(AI399)-$A$5,0)),0)</f>
        <v>15185251549</v>
      </c>
      <c r="AJ399" s="59" t="str">
        <f>IFERROR((VLOOKUP($A399,'Dados StatusInvest'!$A:$AZ,COLUMN(AJ399)-$A$5,0)),0)</f>
        <v/>
      </c>
      <c r="AK399" s="60" t="str">
        <f>IFERROR(__xludf.DUMMYFUNCTION("IFERROR(GOOGLEFINANCE($A399,""high""),"""")"),"")</f>
        <v/>
      </c>
      <c r="AL399" s="60" t="str">
        <f>IFERROR(__xludf.DUMMYFUNCTION("IFERROR(GOOGLEFINANCE($A399,""low""),"""")"),"")</f>
        <v/>
      </c>
      <c r="AM399" s="61">
        <f t="shared" si="2"/>
        <v>0</v>
      </c>
      <c r="AN399" s="62">
        <f>IFERROR(__xludf.DUMMYFUNCTION("IFERROR((GOOGLEFINANCE($A399,""volume"")),0)"),0.0)</f>
        <v>0</v>
      </c>
      <c r="AO399" s="60">
        <f>IFERROR(__xludf.DUMMYFUNCTION("IFERROR((GOOGLEFINANCE($A399,""closeyest"")),"""")"),40.0)</f>
        <v>40</v>
      </c>
      <c r="AP399" s="60">
        <f>IFERROR(__xludf.DUMMYFUNCTION("IFERROR((GOOGLEFINANCE($A399,""shares"")),"""")"),8.1588066E7)</f>
        <v>81588066</v>
      </c>
      <c r="AQ399" s="18"/>
    </row>
    <row r="400">
      <c r="A400" s="45" t="str">
        <f>'Dados StatusInvest'!A395:A1014</f>
        <v>MRSA6B</v>
      </c>
      <c r="B400" s="46" t="str">
        <f>IFERROR(__xludf.DUMMYFUNCTION("IFERROR((GOOGLEFINANCE(A400,""name"")),"""")"),"MRS Logística")</f>
        <v>MRS Logística</v>
      </c>
      <c r="C400" s="46" t="str">
        <f>IFERROR((VLOOKUP(LEFT($A400,4),Setor!$A:$E,3,0)),"")</f>
        <v>Bens Industriais</v>
      </c>
      <c r="D400" s="46" t="str">
        <f>IFERROR((VLOOKUP(LEFT($A400,4),Setor!$A:$E,4,0)),"")</f>
        <v>Transporte</v>
      </c>
      <c r="E400" s="46" t="str">
        <f>IFERROR((VLOOKUP(LEFT($A400,4),Setor!$A:$E,5,0)),"")</f>
        <v>Transporte Ferroviário</v>
      </c>
      <c r="F400" s="47">
        <f>IFERROR(__xludf.DUMMYFUNCTION("IFERROR((GOOGLEFINANCE(A400)),"""")"),44.5)</f>
        <v>44.5</v>
      </c>
      <c r="G400" s="48" t="str">
        <f>IFERROR(__xludf.DUMMYFUNCTION("IFERROR((sparkline(GOOGLEFINANCE($A400,""price"",TODAY()-30,TODAY(),""DAILY""),{""charttype"",""line"";""linewidth"",1;""color"",""#5f88cc""})),"""")"),"")</f>
        <v/>
      </c>
      <c r="H400" s="49" t="str">
        <f>IFERROR(__xludf.DUMMYFUNCTION("IFERROR((((GOOGLEFINANCE(A400))-(INDEX(GoogleFinance(A400,""PRICE"",$AQ$1),2,2)))/(INDEX(GoogleFinance(A400,""PRICE"",$AQ$1),2,2))),"""")"),"")</f>
        <v/>
      </c>
      <c r="I400" s="47">
        <f>IFERROR(__xludf.DUMMYFUNCTION("IFERROR((GOOGLEFINANCE($A400,""high52"")),"""")"),50.0)</f>
        <v>50</v>
      </c>
      <c r="J400" s="48" t="str">
        <f>IFERROR(__xludf.DUMMYFUNCTION("IFERROR((sparkline(GOOGLEFINANCE($A400,""price"",TODAY()-365,TODAY(),""DAILY""),{""charttype"",""line"";""linewidth"",1;""color"",""#5f88cc""})),"""")"),"")</f>
        <v/>
      </c>
      <c r="K400" s="50" t="str">
        <f>IFERROR(__xludf.DUMMYFUNCTION("IFERROR((((GOOGLEFINANCE(A400))-(INDEX(GoogleFinance(A400,""PRICE"",$AP$1),2,2)))/(INDEX(GoogleFinance(A400,""PRICE"",$AP$1),2,2))),"""")"),"")</f>
        <v/>
      </c>
      <c r="L400" s="51">
        <f t="shared" si="1"/>
        <v>-0.11</v>
      </c>
      <c r="M400" s="52">
        <f>IFERROR((VLOOKUP($A400,'Dados StatusInvest'!$A:$AZ,COLUMN(M400)-$A$5,0)*VLOOKUP($A400,'Dados StatusInvest'!$A:$AZ,2,0)/$F400/100),0)</f>
        <v>0.3624</v>
      </c>
      <c r="N400" s="53">
        <f>IFERROR((VLOOKUP($A400,'Dados StatusInvest'!$A:$AZ,COLUMN(N400)-$A$5,0)/VLOOKUP($A400,'Dados StatusInvest'!$A:$AZ,2,0)*$F400),"")</f>
        <v>20.85</v>
      </c>
      <c r="O400" s="53">
        <f>IFERROR((VLOOKUP($A400,'Dados StatusInvest'!$A:$AZ,COLUMN(O400)-$A$5,0)/VLOOKUP($A400,'Dados StatusInvest'!$A:$AZ,2,0)*$F400),0)</f>
        <v>5.72</v>
      </c>
      <c r="P400" s="54">
        <f>IFERROR((VLOOKUP($A400,'Dados StatusInvest'!$A:$AZ,COLUMN(P400)-$A$5,0)/VLOOKUP($A400,'Dados StatusInvest'!$A:$AZ,2,0)*$F400),0)</f>
        <v>7.62</v>
      </c>
      <c r="Q400" s="55">
        <f>IFERROR((VLOOKUP($A400,'Dados StatusInvest'!$A:$AZ,COLUMN(Q400)-$A$5,0)/100),0)</f>
        <v>0.0185</v>
      </c>
      <c r="R400" s="56">
        <f>VLOOKUP($A400,'Dados StatusInvest'!$A:$AZ,COLUMN(R400)-$A$5,0)</f>
        <v>0.56</v>
      </c>
      <c r="S400" s="56">
        <f>IFERROR((VLOOKUP($A400,'Dados StatusInvest'!$A:$AZ,COLUMN(S400)-$A$5,0)),0)</f>
        <v>2.07</v>
      </c>
      <c r="T400" s="53">
        <f>IFERROR((VLOOKUP($A400,'Dados StatusInvest'!$A:$AZ,COLUMN(T400)-$A$5,0)/VLOOKUP($A400,'Dados StatusInvest'!$A:$AZ,2,0)*$F400),0)</f>
        <v>6.93</v>
      </c>
      <c r="U400" s="53">
        <f>IFERROR((VLOOKUP($A400,'Dados StatusInvest'!$A:$AZ,COLUMN(U400)-$A$5,0)-VLOOKUP($A400,'Dados StatusInvest'!$A:$AZ,COLUMN(U400)-$A$5-1,0)+T400),0)</f>
        <v>-0.88</v>
      </c>
      <c r="V400" s="56">
        <f>IFERROR((VLOOKUP($A400,'Dados StatusInvest'!$A:$AZ,COLUMN(V400)-$A$5,0)),0)</f>
        <v>1.62</v>
      </c>
      <c r="W400" s="56">
        <f>IFERROR((VLOOKUP($A400,'Dados StatusInvest'!$A:$AZ,COLUMN(W400)-$A$5,0)),0)</f>
        <v>17.39</v>
      </c>
      <c r="X400" s="53">
        <f>IFERROR((VLOOKUP($A400,'Dados StatusInvest'!$A:$AZ,COLUMN(X400)-$A$5,0)/VLOOKUP($A400,'Dados StatusInvest'!$A:$AZ,2,0)*$F400),0)</f>
        <v>6.64</v>
      </c>
      <c r="Y400" s="54">
        <f>IFERROR((VLOOKUP($A400,'Dados StatusInvest'!$A:$AZ,COLUMN(Y400)-$A$5,0)/VLOOKUP($A400,'Dados StatusInvest'!$A:$AZ,2,0)*$F400),0)</f>
        <v>8.93</v>
      </c>
      <c r="Z400" s="56">
        <f>IFERROR((VLOOKUP($A400,'Dados StatusInvest'!$A:$AZ,COLUMN(Z400)-$A$5,0)),0)</f>
        <v>0.38</v>
      </c>
      <c r="AA400" s="57">
        <f>IFERROR((VLOOKUP($A400,'Dados StatusInvest'!$A:$AZ,COLUMN(AA400)-$A$5,0)),0)</f>
        <v>0.62</v>
      </c>
      <c r="AB400" s="57">
        <f>IFERROR((VLOOKUP($A400,'Dados StatusInvest'!$A:$AZ,COLUMN(AB400)-$A$5,0)),0)</f>
        <v>0.32</v>
      </c>
      <c r="AC400" s="58">
        <f>IFERROR((VLOOKUP($A400,'Dados StatusInvest'!$A:$AZ,COLUMN(AC400)-$A$5,0)),0)</f>
        <v>17.02</v>
      </c>
      <c r="AD400" s="57">
        <f>IFERROR((VLOOKUP($A400,'Dados StatusInvest'!$A:$AZ,COLUMN(AD400)-$A$5,0)),0)</f>
        <v>24.6</v>
      </c>
      <c r="AE400" s="56">
        <f>IFERROR((VLOOKUP($A400,'Dados StatusInvest'!$A:$AZ,COLUMN(AE400)-$A$5,0)),0)</f>
        <v>1483.33</v>
      </c>
      <c r="AF400" s="56">
        <f>IFERROR((VLOOKUP($A400,'Dados StatusInvest'!$A:$AZ,COLUMN(AF400)-$A$5,0)),0)</f>
        <v>25.72</v>
      </c>
      <c r="AG400" s="56">
        <f>IFERROR((VLOOKUP($A400,'Dados StatusInvest'!$A:$AZ,COLUMN(AG400)-$A$5,0)),0)</f>
        <v>4.47</v>
      </c>
      <c r="AH400" s="56">
        <f>IFERROR((VLOOKUP($A400,'Dados StatusInvest'!$A:$AZ,COLUMN(AH400)-$A$5,0)),0)</f>
        <v>1.62</v>
      </c>
      <c r="AI400" s="57">
        <f>IFERROR((VLOOKUP($A400,'Dados StatusInvest'!$A:$AZ,COLUMN(AI400)-$A$5,0)),0)</f>
        <v>15185251549</v>
      </c>
      <c r="AJ400" s="59" t="str">
        <f>IFERROR((VLOOKUP($A400,'Dados StatusInvest'!$A:$AZ,COLUMN(AJ400)-$A$5,0)),0)</f>
        <v/>
      </c>
      <c r="AK400" s="60" t="str">
        <f>IFERROR(__xludf.DUMMYFUNCTION("IFERROR(GOOGLEFINANCE($A400,""high""),"""")"),"")</f>
        <v/>
      </c>
      <c r="AL400" s="60" t="str">
        <f>IFERROR(__xludf.DUMMYFUNCTION("IFERROR(GOOGLEFINANCE($A400,""low""),"""")"),"")</f>
        <v/>
      </c>
      <c r="AM400" s="61">
        <f t="shared" si="2"/>
        <v>0</v>
      </c>
      <c r="AN400" s="62">
        <f>IFERROR(__xludf.DUMMYFUNCTION("IFERROR((GOOGLEFINANCE($A400,""volume"")),0)"),0.0)</f>
        <v>0</v>
      </c>
      <c r="AO400" s="60">
        <f>IFERROR(__xludf.DUMMYFUNCTION("IFERROR((GOOGLEFINANCE($A400,""closeyest"")),"""")"),44.5)</f>
        <v>44.5</v>
      </c>
      <c r="AP400" s="60">
        <f>IFERROR(__xludf.DUMMYFUNCTION("IFERROR((GOOGLEFINANCE($A400,""shares"")),"""")"),6.9178752E7)</f>
        <v>69178752</v>
      </c>
      <c r="AQ400" s="18"/>
    </row>
    <row r="401">
      <c r="A401" s="45" t="str">
        <f>'Dados StatusInvest'!A396:A1015</f>
        <v>MRVE3</v>
      </c>
      <c r="B401" s="46" t="str">
        <f>IFERROR(__xludf.DUMMYFUNCTION("IFERROR((GOOGLEFINANCE(A401,""name"")),"""")"),"MRV Engenharia e Participacoes SA")</f>
        <v>MRV Engenharia e Participacoes SA</v>
      </c>
      <c r="C401" s="46" t="str">
        <f>IFERROR((VLOOKUP(LEFT($A401,4),Setor!$A:$E,3,0)),"")</f>
        <v>Consumo Cíclico</v>
      </c>
      <c r="D401" s="46" t="str">
        <f>IFERROR((VLOOKUP(LEFT($A401,4),Setor!$A:$E,4,0)),"")</f>
        <v>Construção Civil</v>
      </c>
      <c r="E401" s="46" t="str">
        <f>IFERROR((VLOOKUP(LEFT($A401,4),Setor!$A:$E,5,0)),"")</f>
        <v>Incorporações</v>
      </c>
      <c r="F401" s="47">
        <f>IFERROR(__xludf.DUMMYFUNCTION("IFERROR((GOOGLEFINANCE(A401)),"""")"),9.91)</f>
        <v>9.91</v>
      </c>
      <c r="G401" s="48" t="str">
        <f>IFERROR(__xludf.DUMMYFUNCTION("IFERROR((sparkline(GOOGLEFINANCE($A401,""price"",TODAY()-30,TODAY(),""DAILY""),{""charttype"",""line"";""linewidth"",1;""color"",""#5f88cc""})),"""")"),"")</f>
        <v/>
      </c>
      <c r="H401" s="49">
        <f>IFERROR(__xludf.DUMMYFUNCTION("IFERROR((((GOOGLEFINANCE(A401))-(INDEX(GoogleFinance(A401,""PRICE"",$AQ$1),2,2)))/(INDEX(GoogleFinance(A401,""PRICE"",$AQ$1),2,2))),"""")"),0.3022339027595269)</f>
        <v>0.3022339028</v>
      </c>
      <c r="I401" s="47">
        <f>IFERROR(__xludf.DUMMYFUNCTION("IFERROR((GOOGLEFINANCE($A401,""high52"")),"""")"),10.1)</f>
        <v>10.1</v>
      </c>
      <c r="J401" s="48" t="str">
        <f>IFERROR(__xludf.DUMMYFUNCTION("IFERROR((sparkline(GOOGLEFINANCE($A401,""price"",TODAY()-365,TODAY(),""DAILY""),{""charttype"",""line"";""linewidth"",1;""color"",""#5f88cc""})),"""")"),"")</f>
        <v/>
      </c>
      <c r="K401" s="50">
        <f>IFERROR(__xludf.DUMMYFUNCTION("IFERROR((((GOOGLEFINANCE(A401))-(INDEX(GoogleFinance(A401,""PRICE"",$AP$1),2,2)))/(INDEX(GoogleFinance(A401,""PRICE"",$AP$1),2,2))),"""")"),0.7416520210896308)</f>
        <v>0.7416520211</v>
      </c>
      <c r="L401" s="51">
        <f t="shared" si="1"/>
        <v>-0.01881188119</v>
      </c>
      <c r="M401" s="52">
        <f>IFERROR((VLOOKUP($A401,'Dados StatusInvest'!$A:$AZ,COLUMN(M401)-$A$5,0)*VLOOKUP($A401,'Dados StatusInvest'!$A:$AZ,2,0)/$F401/100),0)</f>
        <v>-0.01659858729</v>
      </c>
      <c r="N401" s="53">
        <f>IFERROR((VLOOKUP($A401,'Dados StatusInvest'!$A:$AZ,COLUMN(N401)-$A$5,0)/VLOOKUP($A401,'Dados StatusInvest'!$A:$AZ,2,0)*$F401),"")</f>
        <v>-12.86422732</v>
      </c>
      <c r="O401" s="53">
        <f>IFERROR((VLOOKUP($A401,'Dados StatusInvest'!$A:$AZ,COLUMN(O401)-$A$5,0)/VLOOKUP($A401,'Dados StatusInvest'!$A:$AZ,2,0)*$F401),0)</f>
        <v>-33.16836491</v>
      </c>
      <c r="P401" s="54">
        <f>IFERROR((VLOOKUP($A401,'Dados StatusInvest'!$A:$AZ,COLUMN(P401)-$A$5,0)/VLOOKUP($A401,'Dados StatusInvest'!$A:$AZ,2,0)*$F401),0)</f>
        <v>-80.36683948</v>
      </c>
      <c r="Q401" s="55">
        <f>IFERROR((VLOOKUP($A401,'Dados StatusInvest'!$A:$AZ,COLUMN(Q401)-$A$5,0)/100),0)</f>
        <v>-0.4777</v>
      </c>
      <c r="R401" s="56">
        <f>VLOOKUP($A401,'Dados StatusInvest'!$A:$AZ,COLUMN(R401)-$A$5,0)</f>
        <v>1.53</v>
      </c>
      <c r="S401" s="56">
        <f>IFERROR((VLOOKUP($A401,'Dados StatusInvest'!$A:$AZ,COLUMN(S401)-$A$5,0)),0)</f>
        <v>0.55</v>
      </c>
      <c r="T401" s="53">
        <f>IFERROR((VLOOKUP($A401,'Dados StatusInvest'!$A:$AZ,COLUMN(T401)-$A$5,0)/VLOOKUP($A401,'Dados StatusInvest'!$A:$AZ,2,0)*$F401),0)</f>
        <v>0.7607876371</v>
      </c>
      <c r="U401" s="53">
        <f>IFERROR((VLOOKUP($A401,'Dados StatusInvest'!$A:$AZ,COLUMN(U401)-$A$5,0)-VLOOKUP($A401,'Dados StatusInvest'!$A:$AZ,COLUMN(U401)-$A$5-1,0)+T401),0)</f>
        <v>-0.4592123629</v>
      </c>
      <c r="V401" s="56">
        <f>IFERROR((VLOOKUP($A401,'Dados StatusInvest'!$A:$AZ,COLUMN(V401)-$A$5,0)),0)</f>
        <v>1.87</v>
      </c>
      <c r="W401" s="56">
        <f>IFERROR((VLOOKUP($A401,'Dados StatusInvest'!$A:$AZ,COLUMN(W401)-$A$5,0)),0)</f>
        <v>-25.34</v>
      </c>
      <c r="X401" s="53">
        <f>IFERROR((VLOOKUP($A401,'Dados StatusInvest'!$A:$AZ,COLUMN(X401)-$A$5,0)/VLOOKUP($A401,'Dados StatusInvest'!$A:$AZ,2,0)*$F401),0)</f>
        <v>-4.633888335</v>
      </c>
      <c r="Y401" s="54">
        <f>IFERROR((VLOOKUP($A401,'Dados StatusInvest'!$A:$AZ,COLUMN(Y401)-$A$5,0)/VLOOKUP($A401,'Dados StatusInvest'!$A:$AZ,2,0)*$F401),0)</f>
        <v>-3.003629113</v>
      </c>
      <c r="Z401" s="56">
        <f>IFERROR((VLOOKUP($A401,'Dados StatusInvest'!$A:$AZ,COLUMN(Z401)-$A$5,0)),0)</f>
        <v>0.18</v>
      </c>
      <c r="AA401" s="57">
        <f>IFERROR((VLOOKUP($A401,'Dados StatusInvest'!$A:$AZ,COLUMN(AA401)-$A$5,0)),0)</f>
        <v>0.79</v>
      </c>
      <c r="AB401" s="57">
        <f>IFERROR((VLOOKUP($A401,'Dados StatusInvest'!$A:$AZ,COLUMN(AB401)-$A$5,0)),0)</f>
        <v>0.36</v>
      </c>
      <c r="AC401" s="58">
        <f>IFERROR((VLOOKUP($A401,'Dados StatusInvest'!$A:$AZ,COLUMN(AC401)-$A$5,0)),0)</f>
        <v>8.27</v>
      </c>
      <c r="AD401" s="57">
        <f>IFERROR((VLOOKUP($A401,'Dados StatusInvest'!$A:$AZ,COLUMN(AD401)-$A$5,0)),0)</f>
        <v>0</v>
      </c>
      <c r="AE401" s="56">
        <f>IFERROR((VLOOKUP($A401,'Dados StatusInvest'!$A:$AZ,COLUMN(AE401)-$A$5,0)),0)</f>
        <v>75413751</v>
      </c>
      <c r="AF401" s="56">
        <f>IFERROR((VLOOKUP($A401,'Dados StatusInvest'!$A:$AZ,COLUMN(AF401)-$A$5,0)),0)</f>
        <v>9.35</v>
      </c>
      <c r="AG401" s="56">
        <f>IFERROR((VLOOKUP($A401,'Dados StatusInvest'!$A:$AZ,COLUMN(AG401)-$A$5,0)),0)</f>
        <v>-2.37</v>
      </c>
      <c r="AH401" s="56">
        <f>IFERROR((VLOOKUP($A401,'Dados StatusInvest'!$A:$AZ,COLUMN(AH401)-$A$5,0)),0)</f>
        <v>-0.02</v>
      </c>
      <c r="AI401" s="57">
        <f>IFERROR((VLOOKUP($A401,'Dados StatusInvest'!$A:$AZ,COLUMN(AI401)-$A$5,0)),0)</f>
        <v>5645242783</v>
      </c>
      <c r="AJ401" s="59" t="str">
        <f>IFERROR((VLOOKUP($A401,'Dados StatusInvest'!$A:$AZ,COLUMN(AJ401)-$A$5,0)),0)</f>
        <v/>
      </c>
      <c r="AK401" s="60">
        <f>IFERROR(__xludf.DUMMYFUNCTION("IFERROR(GOOGLEFINANCE($A401,""high""),"""")"),9.99)</f>
        <v>9.99</v>
      </c>
      <c r="AL401" s="60">
        <f>IFERROR(__xludf.DUMMYFUNCTION("IFERROR(GOOGLEFINANCE($A401,""low""),"""")"),9.84)</f>
        <v>9.84</v>
      </c>
      <c r="AM401" s="61">
        <f t="shared" si="2"/>
        <v>0.01524390244</v>
      </c>
      <c r="AN401" s="62">
        <f>IFERROR(__xludf.DUMMYFUNCTION("IFERROR((GOOGLEFINANCE($A401,""volume"")),0)"),220700.0)</f>
        <v>220700</v>
      </c>
      <c r="AO401" s="60">
        <f>IFERROR(__xludf.DUMMYFUNCTION("IFERROR((GOOGLEFINANCE($A401,""closeyest"")),"""")"),10.03)</f>
        <v>10.03</v>
      </c>
      <c r="AP401" s="60">
        <f>IFERROR(__xludf.DUMMYFUNCTION("IFERROR((GOOGLEFINANCE($A401,""shares"")),"""")"),5.62835771E8)</f>
        <v>562835771</v>
      </c>
      <c r="AQ401" s="18"/>
    </row>
    <row r="402">
      <c r="A402" s="45" t="str">
        <f>'Dados StatusInvest'!A397:A1016</f>
        <v>MSPA3</v>
      </c>
      <c r="B402" s="46" t="str">
        <f>IFERROR(__xludf.DUMMYFUNCTION("IFERROR((GOOGLEFINANCE(A402,""name"")),"""")"),"Companhia Melhoramentos de Sao Paulo")</f>
        <v>Companhia Melhoramentos de Sao Paulo</v>
      </c>
      <c r="C402" s="46" t="str">
        <f>IFERROR((VLOOKUP(LEFT($A402,4),Setor!$A:$E,3,0)),"")</f>
        <v>Materiais Básicos</v>
      </c>
      <c r="D402" s="46" t="str">
        <f>IFERROR((VLOOKUP(LEFT($A402,4),Setor!$A:$E,4,0)),"")</f>
        <v>Madeira e Papel</v>
      </c>
      <c r="E402" s="46" t="str">
        <f>IFERROR((VLOOKUP(LEFT($A402,4),Setor!$A:$E,5,0)),"")</f>
        <v>Papel e Celulose</v>
      </c>
      <c r="F402" s="47">
        <f>IFERROR(__xludf.DUMMYFUNCTION("IFERROR((GOOGLEFINANCE(A402)),"""")"),47.0)</f>
        <v>47</v>
      </c>
      <c r="G402" s="48" t="str">
        <f>IFERROR(__xludf.DUMMYFUNCTION("IFERROR((sparkline(GOOGLEFINANCE($A402,""price"",TODAY()-30,TODAY(),""DAILY""),{""charttype"",""line"";""linewidth"",1;""color"",""#5f88cc""})),"""")"),"")</f>
        <v/>
      </c>
      <c r="H402" s="49" t="str">
        <f>IFERROR(__xludf.DUMMYFUNCTION("IFERROR((((GOOGLEFINANCE(A402))-(INDEX(GoogleFinance(A402,""PRICE"",$AQ$1),2,2)))/(INDEX(GoogleFinance(A402,""PRICE"",$AQ$1),2,2))),"""")"),"")</f>
        <v/>
      </c>
      <c r="I402" s="47">
        <f>IFERROR(__xludf.DUMMYFUNCTION("IFERROR((GOOGLEFINANCE($A402,""high52"")),"""")"),47.0)</f>
        <v>47</v>
      </c>
      <c r="J402" s="48" t="str">
        <f>IFERROR(__xludf.DUMMYFUNCTION("IFERROR((sparkline(GOOGLEFINANCE($A402,""price"",TODAY()-365,TODAY(),""DAILY""),{""charttype"",""line"";""linewidth"",1;""color"",""#5f88cc""})),"""")"),"")</f>
        <v/>
      </c>
      <c r="K402" s="50" t="str">
        <f>IFERROR(__xludf.DUMMYFUNCTION("IFERROR((((GOOGLEFINANCE(A402))-(INDEX(GoogleFinance(A402,""PRICE"",$AP$1),2,2)))/(INDEX(GoogleFinance(A402,""PRICE"",$AP$1),2,2))),"""")"),"")</f>
        <v/>
      </c>
      <c r="L402" s="51">
        <f t="shared" si="1"/>
        <v>0</v>
      </c>
      <c r="M402" s="52">
        <f>IFERROR((VLOOKUP($A402,'Dados StatusInvest'!$A:$AZ,COLUMN(M402)-$A$5,0)*VLOOKUP($A402,'Dados StatusInvest'!$A:$AZ,2,0)/$F402/100),0)</f>
        <v>0.1092</v>
      </c>
      <c r="N402" s="53">
        <f>IFERROR((VLOOKUP($A402,'Dados StatusInvest'!$A:$AZ,COLUMN(N402)-$A$5,0)/VLOOKUP($A402,'Dados StatusInvest'!$A:$AZ,2,0)*$F402),"")</f>
        <v>-7.44</v>
      </c>
      <c r="O402" s="53">
        <f>IFERROR((VLOOKUP($A402,'Dados StatusInvest'!$A:$AZ,COLUMN(O402)-$A$5,0)/VLOOKUP($A402,'Dados StatusInvest'!$A:$AZ,2,0)*$F402),0)</f>
        <v>15.45</v>
      </c>
      <c r="P402" s="54">
        <f>IFERROR((VLOOKUP($A402,'Dados StatusInvest'!$A:$AZ,COLUMN(P402)-$A$5,0)/VLOOKUP($A402,'Dados StatusInvest'!$A:$AZ,2,0)*$F402),0)</f>
        <v>23.94</v>
      </c>
      <c r="Q402" s="55">
        <f>IFERROR((VLOOKUP($A402,'Dados StatusInvest'!$A:$AZ,COLUMN(Q402)-$A$5,0)/100),0)</f>
        <v>0.0872</v>
      </c>
      <c r="R402" s="56">
        <f>VLOOKUP($A402,'Dados StatusInvest'!$A:$AZ,COLUMN(R402)-$A$5,0)</f>
        <v>0.21</v>
      </c>
      <c r="S402" s="56">
        <f>IFERROR((VLOOKUP($A402,'Dados StatusInvest'!$A:$AZ,COLUMN(S402)-$A$5,0)),0)</f>
        <v>1.69</v>
      </c>
      <c r="T402" s="53">
        <f>IFERROR((VLOOKUP($A402,'Dados StatusInvest'!$A:$AZ,COLUMN(T402)-$A$5,0)/VLOOKUP($A402,'Dados StatusInvest'!$A:$AZ,2,0)*$F402),0)</f>
        <v>26.02</v>
      </c>
      <c r="U402" s="53">
        <f>IFERROR((VLOOKUP($A402,'Dados StatusInvest'!$A:$AZ,COLUMN(U402)-$A$5,0)-VLOOKUP($A402,'Dados StatusInvest'!$A:$AZ,COLUMN(U402)-$A$5-1,0)+T402),0)</f>
        <v>-0.23</v>
      </c>
      <c r="V402" s="56">
        <f>IFERROR((VLOOKUP($A402,'Dados StatusInvest'!$A:$AZ,COLUMN(V402)-$A$5,0)),0)</f>
        <v>1.1</v>
      </c>
      <c r="W402" s="56">
        <f>IFERROR((VLOOKUP($A402,'Dados StatusInvest'!$A:$AZ,COLUMN(W402)-$A$5,0)),0)</f>
        <v>-1.63</v>
      </c>
      <c r="X402" s="53">
        <f>IFERROR((VLOOKUP($A402,'Dados StatusInvest'!$A:$AZ,COLUMN(X402)-$A$5,0)/VLOOKUP($A402,'Dados StatusInvest'!$A:$AZ,2,0)*$F402),0)</f>
        <v>-0.92</v>
      </c>
      <c r="Y402" s="54">
        <f>IFERROR((VLOOKUP($A402,'Dados StatusInvest'!$A:$AZ,COLUMN(Y402)-$A$5,0)/VLOOKUP($A402,'Dados StatusInvest'!$A:$AZ,2,0)*$F402),0)</f>
        <v>0.81</v>
      </c>
      <c r="Z402" s="56">
        <f>IFERROR((VLOOKUP($A402,'Dados StatusInvest'!$A:$AZ,COLUMN(Z402)-$A$5,0)),0)</f>
        <v>0.57</v>
      </c>
      <c r="AA402" s="57">
        <f>IFERROR((VLOOKUP($A402,'Dados StatusInvest'!$A:$AZ,COLUMN(AA402)-$A$5,0)),0)</f>
        <v>0.43</v>
      </c>
      <c r="AB402" s="57">
        <f>IFERROR((VLOOKUP($A402,'Dados StatusInvest'!$A:$AZ,COLUMN(AB402)-$A$5,0)),0)</f>
        <v>0.12</v>
      </c>
      <c r="AC402" s="58">
        <f>IFERROR((VLOOKUP($A402,'Dados StatusInvest'!$A:$AZ,COLUMN(AC402)-$A$5,0)),0)</f>
        <v>6.03</v>
      </c>
      <c r="AD402" s="57">
        <f>IFERROR((VLOOKUP($A402,'Dados StatusInvest'!$A:$AZ,COLUMN(AD402)-$A$5,0)),0)</f>
        <v>0</v>
      </c>
      <c r="AE402" s="56">
        <f>IFERROR((VLOOKUP($A402,'Dados StatusInvest'!$A:$AZ,COLUMN(AE402)-$A$5,0)),0)</f>
        <v>0</v>
      </c>
      <c r="AF402" s="56">
        <f>IFERROR((VLOOKUP($A402,'Dados StatusInvest'!$A:$AZ,COLUMN(AF402)-$A$5,0)),0)</f>
        <v>127.09</v>
      </c>
      <c r="AG402" s="56">
        <f>IFERROR((VLOOKUP($A402,'Dados StatusInvest'!$A:$AZ,COLUMN(AG402)-$A$5,0)),0)</f>
        <v>-2.07</v>
      </c>
      <c r="AH402" s="56">
        <f>IFERROR((VLOOKUP($A402,'Dados StatusInvest'!$A:$AZ,COLUMN(AH402)-$A$5,0)),0)</f>
        <v>4.97</v>
      </c>
      <c r="AI402" s="57">
        <f>IFERROR((VLOOKUP($A402,'Dados StatusInvest'!$A:$AZ,COLUMN(AI402)-$A$5,0)),0)</f>
        <v>296391579</v>
      </c>
      <c r="AJ402" s="59" t="str">
        <f>IFERROR((VLOOKUP($A402,'Dados StatusInvest'!$A:$AZ,COLUMN(AJ402)-$A$5,0)),0)</f>
        <v/>
      </c>
      <c r="AK402" s="60" t="str">
        <f>IFERROR(__xludf.DUMMYFUNCTION("IFERROR(GOOGLEFINANCE($A402,""high""),"""")"),"")</f>
        <v/>
      </c>
      <c r="AL402" s="60" t="str">
        <f>IFERROR(__xludf.DUMMYFUNCTION("IFERROR(GOOGLEFINANCE($A402,""low""),"""")"),"")</f>
        <v/>
      </c>
      <c r="AM402" s="61">
        <f t="shared" si="2"/>
        <v>0</v>
      </c>
      <c r="AN402" s="62">
        <f>IFERROR(__xludf.DUMMYFUNCTION("IFERROR((GOOGLEFINANCE($A402,""volume"")),0)"),0.0)</f>
        <v>0</v>
      </c>
      <c r="AO402" s="60">
        <f>IFERROR(__xludf.DUMMYFUNCTION("IFERROR((GOOGLEFINANCE($A402,""closeyest"")),"""")"),47.0)</f>
        <v>47</v>
      </c>
      <c r="AP402" s="60">
        <f>IFERROR(__xludf.DUMMYFUNCTION("IFERROR((GOOGLEFINANCE($A402,""shares"")),"""")"),5631445.0)</f>
        <v>5631445</v>
      </c>
      <c r="AQ402" s="18"/>
    </row>
    <row r="403">
      <c r="A403" s="45" t="str">
        <f>'Dados StatusInvest'!A398:A1017</f>
        <v>MSPA4</v>
      </c>
      <c r="B403" s="46" t="str">
        <f>IFERROR(__xludf.DUMMYFUNCTION("IFERROR((GOOGLEFINANCE(A403,""name"")),"""")"),"Companhia Melhoramentos de Sao Paulo Preference Shares")</f>
        <v>Companhia Melhoramentos de Sao Paulo Preference Shares</v>
      </c>
      <c r="C403" s="46" t="str">
        <f>IFERROR((VLOOKUP(LEFT($A403,4),Setor!$A:$E,3,0)),"")</f>
        <v>Materiais Básicos</v>
      </c>
      <c r="D403" s="46" t="str">
        <f>IFERROR((VLOOKUP(LEFT($A403,4),Setor!$A:$E,4,0)),"")</f>
        <v>Madeira e Papel</v>
      </c>
      <c r="E403" s="46" t="str">
        <f>IFERROR((VLOOKUP(LEFT($A403,4),Setor!$A:$E,5,0)),"")</f>
        <v>Papel e Celulose</v>
      </c>
      <c r="F403" s="47">
        <f>IFERROR(__xludf.DUMMYFUNCTION("IFERROR((GOOGLEFINANCE(A403)),"""")"),41.0)</f>
        <v>41</v>
      </c>
      <c r="G403" s="48" t="str">
        <f>IFERROR(__xludf.DUMMYFUNCTION("IFERROR((sparkline(GOOGLEFINANCE($A403,""price"",TODAY()-30,TODAY(),""DAILY""),{""charttype"",""line"";""linewidth"",1;""color"",""#5f88cc""})),"""")"),"")</f>
        <v/>
      </c>
      <c r="H403" s="49" t="str">
        <f>IFERROR(__xludf.DUMMYFUNCTION("IFERROR((((GOOGLEFINANCE(A403))-(INDEX(GoogleFinance(A403,""PRICE"",$AQ$1),2,2)))/(INDEX(GoogleFinance(A403,""PRICE"",$AQ$1),2,2))),"""")"),"")</f>
        <v/>
      </c>
      <c r="I403" s="47">
        <f>IFERROR(__xludf.DUMMYFUNCTION("IFERROR((GOOGLEFINANCE($A403,""high52"")),"""")"),41.0)</f>
        <v>41</v>
      </c>
      <c r="J403" s="48" t="str">
        <f>IFERROR(__xludf.DUMMYFUNCTION("IFERROR((sparkline(GOOGLEFINANCE($A403,""price"",TODAY()-365,TODAY(),""DAILY""),{""charttype"",""line"";""linewidth"",1;""color"",""#5f88cc""})),"""")"),"")</f>
        <v/>
      </c>
      <c r="K403" s="50" t="str">
        <f>IFERROR(__xludf.DUMMYFUNCTION("IFERROR((((GOOGLEFINANCE(A403))-(INDEX(GoogleFinance(A403,""PRICE"",$AP$1),2,2)))/(INDEX(GoogleFinance(A403,""PRICE"",$AP$1),2,2))),"""")"),"")</f>
        <v/>
      </c>
      <c r="L403" s="51">
        <f t="shared" si="1"/>
        <v>0</v>
      </c>
      <c r="M403" s="52">
        <f>IFERROR((VLOOKUP($A403,'Dados StatusInvest'!$A:$AZ,COLUMN(M403)-$A$5,0)*VLOOKUP($A403,'Dados StatusInvest'!$A:$AZ,2,0)/$F403/100),0)</f>
        <v>0.1092</v>
      </c>
      <c r="N403" s="53">
        <f>IFERROR((VLOOKUP($A403,'Dados StatusInvest'!$A:$AZ,COLUMN(N403)-$A$5,0)/VLOOKUP($A403,'Dados StatusInvest'!$A:$AZ,2,0)*$F403),"")</f>
        <v>-7.44</v>
      </c>
      <c r="O403" s="53">
        <f>IFERROR((VLOOKUP($A403,'Dados StatusInvest'!$A:$AZ,COLUMN(O403)-$A$5,0)/VLOOKUP($A403,'Dados StatusInvest'!$A:$AZ,2,0)*$F403),0)</f>
        <v>13.48</v>
      </c>
      <c r="P403" s="54">
        <f>IFERROR((VLOOKUP($A403,'Dados StatusInvest'!$A:$AZ,COLUMN(P403)-$A$5,0)/VLOOKUP($A403,'Dados StatusInvest'!$A:$AZ,2,0)*$F403),0)</f>
        <v>23.94</v>
      </c>
      <c r="Q403" s="55">
        <f>IFERROR((VLOOKUP($A403,'Dados StatusInvest'!$A:$AZ,COLUMN(Q403)-$A$5,0)/100),0)</f>
        <v>0.0872</v>
      </c>
      <c r="R403" s="56">
        <f>VLOOKUP($A403,'Dados StatusInvest'!$A:$AZ,COLUMN(R403)-$A$5,0)</f>
        <v>0.21</v>
      </c>
      <c r="S403" s="56">
        <f>IFERROR((VLOOKUP($A403,'Dados StatusInvest'!$A:$AZ,COLUMN(S403)-$A$5,0)),0)</f>
        <v>1.47</v>
      </c>
      <c r="T403" s="53">
        <f>IFERROR((VLOOKUP($A403,'Dados StatusInvest'!$A:$AZ,COLUMN(T403)-$A$5,0)/VLOOKUP($A403,'Dados StatusInvest'!$A:$AZ,2,0)*$F403),0)</f>
        <v>22.7</v>
      </c>
      <c r="U403" s="53">
        <f>IFERROR((VLOOKUP($A403,'Dados StatusInvest'!$A:$AZ,COLUMN(U403)-$A$5,0)-VLOOKUP($A403,'Dados StatusInvest'!$A:$AZ,COLUMN(U403)-$A$5-1,0)+T403),0)</f>
        <v>-0.2</v>
      </c>
      <c r="V403" s="56">
        <f>IFERROR((VLOOKUP($A403,'Dados StatusInvest'!$A:$AZ,COLUMN(V403)-$A$5,0)),0)</f>
        <v>1.1</v>
      </c>
      <c r="W403" s="56">
        <f>IFERROR((VLOOKUP($A403,'Dados StatusInvest'!$A:$AZ,COLUMN(W403)-$A$5,0)),0)</f>
        <v>-1.63</v>
      </c>
      <c r="X403" s="53">
        <f>IFERROR((VLOOKUP($A403,'Dados StatusInvest'!$A:$AZ,COLUMN(X403)-$A$5,0)/VLOOKUP($A403,'Dados StatusInvest'!$A:$AZ,2,0)*$F403),0)</f>
        <v>-0.92</v>
      </c>
      <c r="Y403" s="54">
        <f>IFERROR((VLOOKUP($A403,'Dados StatusInvest'!$A:$AZ,COLUMN(Y403)-$A$5,0)/VLOOKUP($A403,'Dados StatusInvest'!$A:$AZ,2,0)*$F403),0)</f>
        <v>0.81</v>
      </c>
      <c r="Z403" s="56">
        <f>IFERROR((VLOOKUP($A403,'Dados StatusInvest'!$A:$AZ,COLUMN(Z403)-$A$5,0)),0)</f>
        <v>0.57</v>
      </c>
      <c r="AA403" s="57">
        <f>IFERROR((VLOOKUP($A403,'Dados StatusInvest'!$A:$AZ,COLUMN(AA403)-$A$5,0)),0)</f>
        <v>0.43</v>
      </c>
      <c r="AB403" s="57">
        <f>IFERROR((VLOOKUP($A403,'Dados StatusInvest'!$A:$AZ,COLUMN(AB403)-$A$5,0)),0)</f>
        <v>0.12</v>
      </c>
      <c r="AC403" s="58">
        <f>IFERROR((VLOOKUP($A403,'Dados StatusInvest'!$A:$AZ,COLUMN(AC403)-$A$5,0)),0)</f>
        <v>6.03</v>
      </c>
      <c r="AD403" s="57">
        <f>IFERROR((VLOOKUP($A403,'Dados StatusInvest'!$A:$AZ,COLUMN(AD403)-$A$5,0)),0)</f>
        <v>0</v>
      </c>
      <c r="AE403" s="56">
        <f>IFERROR((VLOOKUP($A403,'Dados StatusInvest'!$A:$AZ,COLUMN(AE403)-$A$5,0)),0)</f>
        <v>0</v>
      </c>
      <c r="AF403" s="56">
        <f>IFERROR((VLOOKUP($A403,'Dados StatusInvest'!$A:$AZ,COLUMN(AF403)-$A$5,0)),0)</f>
        <v>127.09</v>
      </c>
      <c r="AG403" s="56">
        <f>IFERROR((VLOOKUP($A403,'Dados StatusInvest'!$A:$AZ,COLUMN(AG403)-$A$5,0)),0)</f>
        <v>-2.07</v>
      </c>
      <c r="AH403" s="56">
        <f>IFERROR((VLOOKUP($A403,'Dados StatusInvest'!$A:$AZ,COLUMN(AH403)-$A$5,0)),0)</f>
        <v>4.34</v>
      </c>
      <c r="AI403" s="57">
        <f>IFERROR((VLOOKUP($A403,'Dados StatusInvest'!$A:$AZ,COLUMN(AI403)-$A$5,0)),0)</f>
        <v>296391579</v>
      </c>
      <c r="AJ403" s="59" t="str">
        <f>IFERROR((VLOOKUP($A403,'Dados StatusInvest'!$A:$AZ,COLUMN(AJ403)-$A$5,0)),0)</f>
        <v/>
      </c>
      <c r="AK403" s="60" t="str">
        <f>IFERROR(__xludf.DUMMYFUNCTION("IFERROR(GOOGLEFINANCE($A403,""high""),"""")"),"")</f>
        <v/>
      </c>
      <c r="AL403" s="60" t="str">
        <f>IFERROR(__xludf.DUMMYFUNCTION("IFERROR(GOOGLEFINANCE($A403,""low""),"""")"),"")</f>
        <v/>
      </c>
      <c r="AM403" s="61">
        <f t="shared" si="2"/>
        <v>0</v>
      </c>
      <c r="AN403" s="62">
        <f>IFERROR(__xludf.DUMMYFUNCTION("IFERROR((GOOGLEFINANCE($A403,""volume"")),0)"),0.0)</f>
        <v>0</v>
      </c>
      <c r="AO403" s="60">
        <f>IFERROR(__xludf.DUMMYFUNCTION("IFERROR((GOOGLEFINANCE($A403,""closeyest"")),"""")"),41.0)</f>
        <v>41</v>
      </c>
      <c r="AP403" s="60">
        <f>IFERROR(__xludf.DUMMYFUNCTION("IFERROR((GOOGLEFINANCE($A403,""shares"")),"""")"),773504.0)</f>
        <v>773504</v>
      </c>
      <c r="AQ403" s="18"/>
    </row>
    <row r="404">
      <c r="A404" s="45" t="str">
        <f>'Dados StatusInvest'!A399:A1018</f>
        <v>MSRO3</v>
      </c>
      <c r="B404" s="46" t="str">
        <f>IFERROR(__xludf.DUMMYFUNCTION("IFERROR((GOOGLEFINANCE(A404,""name"")),"""")"),"")</f>
        <v/>
      </c>
      <c r="C404" s="46" t="str">
        <f>IFERROR((VLOOKUP(LEFT($A404,4),Setor!$A:$E,3,0)),"")</f>
        <v>Consumo Cíclico</v>
      </c>
      <c r="D404" s="46" t="str">
        <f>IFERROR((VLOOKUP(LEFT($A404,4),Setor!$A:$E,4,0)),"")</f>
        <v>Diversos</v>
      </c>
      <c r="E404" s="46" t="str">
        <f>IFERROR((VLOOKUP(LEFT($A404,4),Setor!$A:$E,5,0)),"")</f>
        <v>Aluguel de carros</v>
      </c>
      <c r="F404" s="47" t="str">
        <f>IFERROR(__xludf.DUMMYFUNCTION("IFERROR((GOOGLEFINANCE(A404)),"""")"),"")</f>
        <v/>
      </c>
      <c r="G404" s="48" t="str">
        <f>IFERROR(__xludf.DUMMYFUNCTION("IFERROR((sparkline(GOOGLEFINANCE($A404,""price"",TODAY()-30,TODAY(),""DAILY""),{""charttype"",""line"";""linewidth"",1;""color"",""#5f88cc""})),"""")"),"")</f>
        <v/>
      </c>
      <c r="H404" s="49" t="str">
        <f>IFERROR(__xludf.DUMMYFUNCTION("IFERROR((((GOOGLEFINANCE(A404))-(INDEX(GoogleFinance(A404,""PRICE"",$AQ$1),2,2)))/(INDEX(GoogleFinance(A404,""PRICE"",$AQ$1),2,2))),"""")"),"")</f>
        <v/>
      </c>
      <c r="I404" s="47" t="str">
        <f>IFERROR(__xludf.DUMMYFUNCTION("IFERROR((GOOGLEFINANCE($A404,""high52"")),"""")"),"")</f>
        <v/>
      </c>
      <c r="J404" s="48" t="str">
        <f>IFERROR(__xludf.DUMMYFUNCTION("IFERROR((sparkline(GOOGLEFINANCE($A404,""price"",TODAY()-365,TODAY(),""DAILY""),{""charttype"",""line"";""linewidth"",1;""color"",""#5f88cc""})),"""")"),"")</f>
        <v/>
      </c>
      <c r="K404" s="50" t="str">
        <f>IFERROR(__xludf.DUMMYFUNCTION("IFERROR((((GOOGLEFINANCE(A404))-(INDEX(GoogleFinance(A404,""PRICE"",$AP$1),2,2)))/(INDEX(GoogleFinance(A404,""PRICE"",$AP$1),2,2))),"""")"),"")</f>
        <v/>
      </c>
      <c r="L404" s="51">
        <f t="shared" si="1"/>
        <v>0</v>
      </c>
      <c r="M404" s="52">
        <f>IFERROR((VLOOKUP($A404,'Dados StatusInvest'!$A:$AZ,COLUMN(M404)-$A$5,0)*VLOOKUP($A404,'Dados StatusInvest'!$A:$AZ,2,0)/$F404/100),0)</f>
        <v>0</v>
      </c>
      <c r="N404" s="53">
        <f>IFERROR((VLOOKUP($A404,'Dados StatusInvest'!$A:$AZ,COLUMN(N404)-$A$5,0)/VLOOKUP($A404,'Dados StatusInvest'!$A:$AZ,2,0)*$F404),"")</f>
        <v>0</v>
      </c>
      <c r="O404" s="53">
        <f>IFERROR((VLOOKUP($A404,'Dados StatusInvest'!$A:$AZ,COLUMN(O404)-$A$5,0)/VLOOKUP($A404,'Dados StatusInvest'!$A:$AZ,2,0)*$F404),0)</f>
        <v>0</v>
      </c>
      <c r="P404" s="54">
        <f>IFERROR((VLOOKUP($A404,'Dados StatusInvest'!$A:$AZ,COLUMN(P404)-$A$5,0)/VLOOKUP($A404,'Dados StatusInvest'!$A:$AZ,2,0)*$F404),0)</f>
        <v>0</v>
      </c>
      <c r="Q404" s="55">
        <f>IFERROR((VLOOKUP($A404,'Dados StatusInvest'!$A:$AZ,COLUMN(Q404)-$A$5,0)/100),0)</f>
        <v>0.0754</v>
      </c>
      <c r="R404" s="56">
        <f>VLOOKUP($A404,'Dados StatusInvest'!$A:$AZ,COLUMN(R404)-$A$5,0)</f>
        <v>2.49</v>
      </c>
      <c r="S404" s="56">
        <f>IFERROR((VLOOKUP($A404,'Dados StatusInvest'!$A:$AZ,COLUMN(S404)-$A$5,0)),0)</f>
        <v>162.71</v>
      </c>
      <c r="T404" s="53">
        <f>IFERROR((VLOOKUP($A404,'Dados StatusInvest'!$A:$AZ,COLUMN(T404)-$A$5,0)/VLOOKUP($A404,'Dados StatusInvest'!$A:$AZ,2,0)*$F404),0)</f>
        <v>0</v>
      </c>
      <c r="U404" s="53">
        <f>IFERROR((VLOOKUP($A404,'Dados StatusInvest'!$A:$AZ,COLUMN(U404)-$A$5,0)-VLOOKUP($A404,'Dados StatusInvest'!$A:$AZ,COLUMN(U404)-$A$5-1,0)+T404),0)</f>
        <v>68.32</v>
      </c>
      <c r="V404" s="56">
        <f>IFERROR((VLOOKUP($A404,'Dados StatusInvest'!$A:$AZ,COLUMN(V404)-$A$5,0)),0)</f>
        <v>0.34</v>
      </c>
      <c r="W404" s="56">
        <f>IFERROR((VLOOKUP($A404,'Dados StatusInvest'!$A:$AZ,COLUMN(W404)-$A$5,0)),0)</f>
        <v>-16.76</v>
      </c>
      <c r="X404" s="53">
        <f>IFERROR((VLOOKUP($A404,'Dados StatusInvest'!$A:$AZ,COLUMN(X404)-$A$5,0)/VLOOKUP($A404,'Dados StatusInvest'!$A:$AZ,2,0)*$F404),0)</f>
        <v>0</v>
      </c>
      <c r="Y404" s="54">
        <f>IFERROR((VLOOKUP($A404,'Dados StatusInvest'!$A:$AZ,COLUMN(Y404)-$A$5,0)/VLOOKUP($A404,'Dados StatusInvest'!$A:$AZ,2,0)*$F404),0)</f>
        <v>0</v>
      </c>
      <c r="Z404" s="56">
        <f>IFERROR((VLOOKUP($A404,'Dados StatusInvest'!$A:$AZ,COLUMN(Z404)-$A$5,0)),0)</f>
        <v>0.24</v>
      </c>
      <c r="AA404" s="57">
        <f>IFERROR((VLOOKUP($A404,'Dados StatusInvest'!$A:$AZ,COLUMN(AA404)-$A$5,0)),0)</f>
        <v>0.76</v>
      </c>
      <c r="AB404" s="57">
        <f>IFERROR((VLOOKUP($A404,'Dados StatusInvest'!$A:$AZ,COLUMN(AB404)-$A$5,0)),0)</f>
        <v>0.46</v>
      </c>
      <c r="AC404" s="58">
        <f>IFERROR((VLOOKUP($A404,'Dados StatusInvest'!$A:$AZ,COLUMN(AC404)-$A$5,0)),0)</f>
        <v>6.4</v>
      </c>
      <c r="AD404" s="57">
        <f>IFERROR((VLOOKUP($A404,'Dados StatusInvest'!$A:$AZ,COLUMN(AD404)-$A$5,0)),0)</f>
        <v>0</v>
      </c>
      <c r="AE404" s="56">
        <f>IFERROR((VLOOKUP($A404,'Dados StatusInvest'!$A:$AZ,COLUMN(AE404)-$A$5,0)),0)</f>
        <v>0</v>
      </c>
      <c r="AF404" s="56">
        <f>IFERROR((VLOOKUP($A404,'Dados StatusInvest'!$A:$AZ,COLUMN(AF404)-$A$5,0)),0)</f>
        <v>2.21</v>
      </c>
      <c r="AG404" s="56">
        <f>IFERROR((VLOOKUP($A404,'Dados StatusInvest'!$A:$AZ,COLUMN(AG404)-$A$5,0)),0)</f>
        <v>-0.37</v>
      </c>
      <c r="AH404" s="56">
        <f>IFERROR((VLOOKUP($A404,'Dados StatusInvest'!$A:$AZ,COLUMN(AH404)-$A$5,0)),0)</f>
        <v>-10.72</v>
      </c>
      <c r="AI404" s="57">
        <f>IFERROR((VLOOKUP($A404,'Dados StatusInvest'!$A:$AZ,COLUMN(AI404)-$A$5,0)),0)</f>
        <v>18271898550</v>
      </c>
      <c r="AJ404" s="59" t="str">
        <f>IFERROR((VLOOKUP($A404,'Dados StatusInvest'!$A:$AZ,COLUMN(AJ404)-$A$5,0)),0)</f>
        <v/>
      </c>
      <c r="AK404" s="60" t="str">
        <f>IFERROR(__xludf.DUMMYFUNCTION("IFERROR(GOOGLEFINANCE($A404,""high""),"""")"),"")</f>
        <v/>
      </c>
      <c r="AL404" s="60" t="str">
        <f>IFERROR(__xludf.DUMMYFUNCTION("IFERROR(GOOGLEFINANCE($A404,""low""),"""")"),"")</f>
        <v/>
      </c>
      <c r="AM404" s="61">
        <f t="shared" si="2"/>
        <v>0</v>
      </c>
      <c r="AN404" s="62">
        <f>IFERROR(__xludf.DUMMYFUNCTION("IFERROR((GOOGLEFINANCE($A404,""volume"")),0)"),0.0)</f>
        <v>0</v>
      </c>
      <c r="AO404" s="60" t="str">
        <f>IFERROR(__xludf.DUMMYFUNCTION("IFERROR((GOOGLEFINANCE($A404,""closeyest"")),"""")"),"")</f>
        <v/>
      </c>
      <c r="AP404" s="60" t="str">
        <f>IFERROR(__xludf.DUMMYFUNCTION("IFERROR((GOOGLEFINANCE($A404,""shares"")),"""")"),"")</f>
        <v/>
      </c>
      <c r="AQ404" s="18"/>
    </row>
    <row r="405">
      <c r="A405" s="45" t="str">
        <f>'Dados StatusInvest'!A400:A1019</f>
        <v>MTIG3</v>
      </c>
      <c r="B405" s="46" t="str">
        <f>IFERROR(__xludf.DUMMYFUNCTION("IFERROR((GOOGLEFINANCE(A405,""name"")),"""")"),"")</f>
        <v/>
      </c>
      <c r="C405" s="46" t="str">
        <f>IFERROR((VLOOKUP(LEFT($A405,4),Setor!$A:$E,3,0)),"")</f>
        <v>Materiais Básicos</v>
      </c>
      <c r="D405" s="46" t="str">
        <f>IFERROR((VLOOKUP(LEFT($A405,4),Setor!$A:$E,4,0)),"")</f>
        <v>Embalagens</v>
      </c>
      <c r="E405" s="46" t="str">
        <f>IFERROR((VLOOKUP(LEFT($A405,4),Setor!$A:$E,5,0)),"")</f>
        <v>Embalagens</v>
      </c>
      <c r="F405" s="47" t="str">
        <f>IFERROR(__xludf.DUMMYFUNCTION("IFERROR((GOOGLEFINANCE(A405)),"""")"),"")</f>
        <v/>
      </c>
      <c r="G405" s="48" t="str">
        <f>IFERROR(__xludf.DUMMYFUNCTION("IFERROR((sparkline(GOOGLEFINANCE($A405,""price"",TODAY()-30,TODAY(),""DAILY""),{""charttype"",""line"";""linewidth"",1;""color"",""#5f88cc""})),"""")"),"")</f>
        <v/>
      </c>
      <c r="H405" s="49" t="str">
        <f>IFERROR(__xludf.DUMMYFUNCTION("IFERROR((((GOOGLEFINANCE(A405))-(INDEX(GoogleFinance(A405,""PRICE"",$AQ$1),2,2)))/(INDEX(GoogleFinance(A405,""PRICE"",$AQ$1),2,2))),"""")"),"")</f>
        <v/>
      </c>
      <c r="I405" s="47" t="str">
        <f>IFERROR(__xludf.DUMMYFUNCTION("IFERROR((GOOGLEFINANCE($A405,""high52"")),"""")"),"")</f>
        <v/>
      </c>
      <c r="J405" s="48" t="str">
        <f>IFERROR(__xludf.DUMMYFUNCTION("IFERROR((sparkline(GOOGLEFINANCE($A405,""price"",TODAY()-365,TODAY(),""DAILY""),{""charttype"",""line"";""linewidth"",1;""color"",""#5f88cc""})),"""")"),"")</f>
        <v/>
      </c>
      <c r="K405" s="50" t="str">
        <f>IFERROR(__xludf.DUMMYFUNCTION("IFERROR((((GOOGLEFINANCE(A405))-(INDEX(GoogleFinance(A405,""PRICE"",$AP$1),2,2)))/(INDEX(GoogleFinance(A405,""PRICE"",$AP$1),2,2))),"""")"),"")</f>
        <v/>
      </c>
      <c r="L405" s="51">
        <f t="shared" si="1"/>
        <v>0</v>
      </c>
      <c r="M405" s="52">
        <f>IFERROR((VLOOKUP($A405,'Dados StatusInvest'!$A:$AZ,COLUMN(M405)-$A$5,0)*VLOOKUP($A405,'Dados StatusInvest'!$A:$AZ,2,0)/$F405/100),0)</f>
        <v>0</v>
      </c>
      <c r="N405" s="53" t="str">
        <f>IFERROR((VLOOKUP($A405,'Dados StatusInvest'!$A:$AZ,COLUMN(N405)-$A$5,0)/VLOOKUP($A405,'Dados StatusInvest'!$A:$AZ,2,0)*$F405),"")</f>
        <v/>
      </c>
      <c r="O405" s="53">
        <f>IFERROR((VLOOKUP($A405,'Dados StatusInvest'!$A:$AZ,COLUMN(O405)-$A$5,0)/VLOOKUP($A405,'Dados StatusInvest'!$A:$AZ,2,0)*$F405),0)</f>
        <v>0</v>
      </c>
      <c r="P405" s="54">
        <f>IFERROR((VLOOKUP($A405,'Dados StatusInvest'!$A:$AZ,COLUMN(P405)-$A$5,0)/VLOOKUP($A405,'Dados StatusInvest'!$A:$AZ,2,0)*$F405),0)</f>
        <v>0</v>
      </c>
      <c r="Q405" s="55">
        <f>IFERROR((VLOOKUP($A405,'Dados StatusInvest'!$A:$AZ,COLUMN(Q405)-$A$5,0)/100),0)</f>
        <v>-0.0117</v>
      </c>
      <c r="R405" s="56">
        <f>VLOOKUP($A405,'Dados StatusInvest'!$A:$AZ,COLUMN(R405)-$A$5,0)</f>
        <v>0</v>
      </c>
      <c r="S405" s="56">
        <f>IFERROR((VLOOKUP($A405,'Dados StatusInvest'!$A:$AZ,COLUMN(S405)-$A$5,0)),0)</f>
        <v>0</v>
      </c>
      <c r="T405" s="53">
        <f>IFERROR((VLOOKUP($A405,'Dados StatusInvest'!$A:$AZ,COLUMN(T405)-$A$5,0)/VLOOKUP($A405,'Dados StatusInvest'!$A:$AZ,2,0)*$F405),0)</f>
        <v>0</v>
      </c>
      <c r="U405" s="53">
        <f>IFERROR((VLOOKUP($A405,'Dados StatusInvest'!$A:$AZ,COLUMN(U405)-$A$5,0)-VLOOKUP($A405,'Dados StatusInvest'!$A:$AZ,COLUMN(U405)-$A$5-1,0)+T405),0)</f>
        <v>0</v>
      </c>
      <c r="V405" s="56">
        <f>IFERROR((VLOOKUP($A405,'Dados StatusInvest'!$A:$AZ,COLUMN(V405)-$A$5,0)),0)</f>
        <v>0.27</v>
      </c>
      <c r="W405" s="56">
        <f>IFERROR((VLOOKUP($A405,'Dados StatusInvest'!$A:$AZ,COLUMN(W405)-$A$5,0)),0)</f>
        <v>-725.28</v>
      </c>
      <c r="X405" s="53">
        <f>IFERROR((VLOOKUP($A405,'Dados StatusInvest'!$A:$AZ,COLUMN(X405)-$A$5,0)/VLOOKUP($A405,'Dados StatusInvest'!$A:$AZ,2,0)*$F405),0)</f>
        <v>0</v>
      </c>
      <c r="Y405" s="54">
        <f>IFERROR((VLOOKUP($A405,'Dados StatusInvest'!$A:$AZ,COLUMN(Y405)-$A$5,0)/VLOOKUP($A405,'Dados StatusInvest'!$A:$AZ,2,0)*$F405),0)</f>
        <v>0</v>
      </c>
      <c r="Z405" s="56">
        <f>IFERROR((VLOOKUP($A405,'Dados StatusInvest'!$A:$AZ,COLUMN(Z405)-$A$5,0)),0)</f>
        <v>-0.1</v>
      </c>
      <c r="AA405" s="57">
        <f>IFERROR((VLOOKUP($A405,'Dados StatusInvest'!$A:$AZ,COLUMN(AA405)-$A$5,0)),0)</f>
        <v>1.1</v>
      </c>
      <c r="AB405" s="57">
        <f>IFERROR((VLOOKUP($A405,'Dados StatusInvest'!$A:$AZ,COLUMN(AB405)-$A$5,0)),0)</f>
        <v>0.66</v>
      </c>
      <c r="AC405" s="58">
        <f>IFERROR((VLOOKUP($A405,'Dados StatusInvest'!$A:$AZ,COLUMN(AC405)-$A$5,0)),0)</f>
        <v>-17.44</v>
      </c>
      <c r="AD405" s="57">
        <f>IFERROR((VLOOKUP($A405,'Dados StatusInvest'!$A:$AZ,COLUMN(AD405)-$A$5,0)),0)</f>
        <v>0</v>
      </c>
      <c r="AE405" s="56">
        <f>IFERROR((VLOOKUP($A405,'Dados StatusInvest'!$A:$AZ,COLUMN(AE405)-$A$5,0)),0)</f>
        <v>0</v>
      </c>
      <c r="AF405" s="56">
        <f>IFERROR((VLOOKUP($A405,'Dados StatusInvest'!$A:$AZ,COLUMN(AF405)-$A$5,0)),0)</f>
        <v>-0.06</v>
      </c>
      <c r="AG405" s="56">
        <f>IFERROR((VLOOKUP($A405,'Dados StatusInvest'!$A:$AZ,COLUMN(AG405)-$A$5,0)),0)</f>
        <v>-0.46</v>
      </c>
      <c r="AH405" s="56">
        <f>IFERROR((VLOOKUP($A405,'Dados StatusInvest'!$A:$AZ,COLUMN(AH405)-$A$5,0)),0)</f>
        <v>0</v>
      </c>
      <c r="AI405" s="57">
        <f>IFERROR((VLOOKUP($A405,'Dados StatusInvest'!$A:$AZ,COLUMN(AI405)-$A$5,0)),0)</f>
        <v>3700608</v>
      </c>
      <c r="AJ405" s="59" t="str">
        <f>IFERROR((VLOOKUP($A405,'Dados StatusInvest'!$A:$AZ,COLUMN(AJ405)-$A$5,0)),0)</f>
        <v/>
      </c>
      <c r="AK405" s="60" t="str">
        <f>IFERROR(__xludf.DUMMYFUNCTION("IFERROR(GOOGLEFINANCE($A405,""high""),"""")"),"")</f>
        <v/>
      </c>
      <c r="AL405" s="60" t="str">
        <f>IFERROR(__xludf.DUMMYFUNCTION("IFERROR(GOOGLEFINANCE($A405,""low""),"""")"),"")</f>
        <v/>
      </c>
      <c r="AM405" s="61">
        <f t="shared" si="2"/>
        <v>0</v>
      </c>
      <c r="AN405" s="62">
        <f>IFERROR(__xludf.DUMMYFUNCTION("IFERROR((GOOGLEFINANCE($A405,""volume"")),0)"),0.0)</f>
        <v>0</v>
      </c>
      <c r="AO405" s="60" t="str">
        <f>IFERROR(__xludf.DUMMYFUNCTION("IFERROR((GOOGLEFINANCE($A405,""closeyest"")),"""")"),"")</f>
        <v/>
      </c>
      <c r="AP405" s="60" t="str">
        <f>IFERROR(__xludf.DUMMYFUNCTION("IFERROR((GOOGLEFINANCE($A405,""shares"")),"""")"),"")</f>
        <v/>
      </c>
      <c r="AQ405" s="18"/>
    </row>
    <row r="406">
      <c r="A406" s="45" t="str">
        <f>'Dados StatusInvest'!A401:A1020</f>
        <v>MTIG4</v>
      </c>
      <c r="B406" s="46" t="str">
        <f>IFERROR(__xludf.DUMMYFUNCTION("IFERROR((GOOGLEFINANCE(A406,""name"")),"""")"),"")</f>
        <v/>
      </c>
      <c r="C406" s="46" t="str">
        <f>IFERROR((VLOOKUP(LEFT($A406,4),Setor!$A:$E,3,0)),"")</f>
        <v>Materiais Básicos</v>
      </c>
      <c r="D406" s="46" t="str">
        <f>IFERROR((VLOOKUP(LEFT($A406,4),Setor!$A:$E,4,0)),"")</f>
        <v>Embalagens</v>
      </c>
      <c r="E406" s="46" t="str">
        <f>IFERROR((VLOOKUP(LEFT($A406,4),Setor!$A:$E,5,0)),"")</f>
        <v>Embalagens</v>
      </c>
      <c r="F406" s="47" t="str">
        <f>IFERROR(__xludf.DUMMYFUNCTION("IFERROR((GOOGLEFINANCE(A406)),"""")"),"")</f>
        <v/>
      </c>
      <c r="G406" s="48" t="str">
        <f>IFERROR(__xludf.DUMMYFUNCTION("IFERROR((sparkline(GOOGLEFINANCE($A406,""price"",TODAY()-30,TODAY(),""DAILY""),{""charttype"",""line"";""linewidth"",1;""color"",""#5f88cc""})),"""")"),"")</f>
        <v/>
      </c>
      <c r="H406" s="49" t="str">
        <f>IFERROR(__xludf.DUMMYFUNCTION("IFERROR((((GOOGLEFINANCE(A406))-(INDEX(GoogleFinance(A406,""PRICE"",$AQ$1),2,2)))/(INDEX(GoogleFinance(A406,""PRICE"",$AQ$1),2,2))),"""")"),"")</f>
        <v/>
      </c>
      <c r="I406" s="47" t="str">
        <f>IFERROR(__xludf.DUMMYFUNCTION("IFERROR((GOOGLEFINANCE($A406,""high52"")),"""")"),"")</f>
        <v/>
      </c>
      <c r="J406" s="48" t="str">
        <f>IFERROR(__xludf.DUMMYFUNCTION("IFERROR((sparkline(GOOGLEFINANCE($A406,""price"",TODAY()-365,TODAY(),""DAILY""),{""charttype"",""line"";""linewidth"",1;""color"",""#5f88cc""})),"""")"),"")</f>
        <v/>
      </c>
      <c r="K406" s="50" t="str">
        <f>IFERROR(__xludf.DUMMYFUNCTION("IFERROR((((GOOGLEFINANCE(A406))-(INDEX(GoogleFinance(A406,""PRICE"",$AP$1),2,2)))/(INDEX(GoogleFinance(A406,""PRICE"",$AP$1),2,2))),"""")"),"")</f>
        <v/>
      </c>
      <c r="L406" s="51">
        <f t="shared" si="1"/>
        <v>0</v>
      </c>
      <c r="M406" s="52">
        <f>IFERROR((VLOOKUP($A406,'Dados StatusInvest'!$A:$AZ,COLUMN(M406)-$A$5,0)*VLOOKUP($A406,'Dados StatusInvest'!$A:$AZ,2,0)/$F406/100),0)</f>
        <v>0</v>
      </c>
      <c r="N406" s="53">
        <f>IFERROR((VLOOKUP($A406,'Dados StatusInvest'!$A:$AZ,COLUMN(N406)-$A$5,0)/VLOOKUP($A406,'Dados StatusInvest'!$A:$AZ,2,0)*$F406),"")</f>
        <v>0</v>
      </c>
      <c r="O406" s="53">
        <f>IFERROR((VLOOKUP($A406,'Dados StatusInvest'!$A:$AZ,COLUMN(O406)-$A$5,0)/VLOOKUP($A406,'Dados StatusInvest'!$A:$AZ,2,0)*$F406),0)</f>
        <v>0</v>
      </c>
      <c r="P406" s="54">
        <f>IFERROR((VLOOKUP($A406,'Dados StatusInvest'!$A:$AZ,COLUMN(P406)-$A$5,0)/VLOOKUP($A406,'Dados StatusInvest'!$A:$AZ,2,0)*$F406),0)</f>
        <v>0</v>
      </c>
      <c r="Q406" s="55">
        <f>IFERROR((VLOOKUP($A406,'Dados StatusInvest'!$A:$AZ,COLUMN(Q406)-$A$5,0)/100),0)</f>
        <v>-0.0117</v>
      </c>
      <c r="R406" s="56">
        <f>VLOOKUP($A406,'Dados StatusInvest'!$A:$AZ,COLUMN(R406)-$A$5,0)</f>
        <v>0</v>
      </c>
      <c r="S406" s="56">
        <f>IFERROR((VLOOKUP($A406,'Dados StatusInvest'!$A:$AZ,COLUMN(S406)-$A$5,0)),0)</f>
        <v>56</v>
      </c>
      <c r="T406" s="53">
        <f>IFERROR((VLOOKUP($A406,'Dados StatusInvest'!$A:$AZ,COLUMN(T406)-$A$5,0)/VLOOKUP($A406,'Dados StatusInvest'!$A:$AZ,2,0)*$F406),0)</f>
        <v>0</v>
      </c>
      <c r="U406" s="53">
        <f>IFERROR((VLOOKUP($A406,'Dados StatusInvest'!$A:$AZ,COLUMN(U406)-$A$5,0)-VLOOKUP($A406,'Dados StatusInvest'!$A:$AZ,COLUMN(U406)-$A$5-1,0)+T406),0)</f>
        <v>0.78</v>
      </c>
      <c r="V406" s="56">
        <f>IFERROR((VLOOKUP($A406,'Dados StatusInvest'!$A:$AZ,COLUMN(V406)-$A$5,0)),0)</f>
        <v>0.27</v>
      </c>
      <c r="W406" s="56">
        <f>IFERROR((VLOOKUP($A406,'Dados StatusInvest'!$A:$AZ,COLUMN(W406)-$A$5,0)),0)</f>
        <v>-725.28</v>
      </c>
      <c r="X406" s="53">
        <f>IFERROR((VLOOKUP($A406,'Dados StatusInvest'!$A:$AZ,COLUMN(X406)-$A$5,0)/VLOOKUP($A406,'Dados StatusInvest'!$A:$AZ,2,0)*$F406),0)</f>
        <v>0</v>
      </c>
      <c r="Y406" s="54">
        <f>IFERROR((VLOOKUP($A406,'Dados StatusInvest'!$A:$AZ,COLUMN(Y406)-$A$5,0)/VLOOKUP($A406,'Dados StatusInvest'!$A:$AZ,2,0)*$F406),0)</f>
        <v>0</v>
      </c>
      <c r="Z406" s="56">
        <f>IFERROR((VLOOKUP($A406,'Dados StatusInvest'!$A:$AZ,COLUMN(Z406)-$A$5,0)),0)</f>
        <v>-0.1</v>
      </c>
      <c r="AA406" s="57">
        <f>IFERROR((VLOOKUP($A406,'Dados StatusInvest'!$A:$AZ,COLUMN(AA406)-$A$5,0)),0)</f>
        <v>1.1</v>
      </c>
      <c r="AB406" s="57">
        <f>IFERROR((VLOOKUP($A406,'Dados StatusInvest'!$A:$AZ,COLUMN(AB406)-$A$5,0)),0)</f>
        <v>0.66</v>
      </c>
      <c r="AC406" s="58">
        <f>IFERROR((VLOOKUP($A406,'Dados StatusInvest'!$A:$AZ,COLUMN(AC406)-$A$5,0)),0)</f>
        <v>-17.44</v>
      </c>
      <c r="AD406" s="57">
        <f>IFERROR((VLOOKUP($A406,'Dados StatusInvest'!$A:$AZ,COLUMN(AD406)-$A$5,0)),0)</f>
        <v>0</v>
      </c>
      <c r="AE406" s="56">
        <f>IFERROR((VLOOKUP($A406,'Dados StatusInvest'!$A:$AZ,COLUMN(AE406)-$A$5,0)),0)</f>
        <v>0</v>
      </c>
      <c r="AF406" s="56">
        <f>IFERROR((VLOOKUP($A406,'Dados StatusInvest'!$A:$AZ,COLUMN(AF406)-$A$5,0)),0)</f>
        <v>-0.06</v>
      </c>
      <c r="AG406" s="56">
        <f>IFERROR((VLOOKUP($A406,'Dados StatusInvest'!$A:$AZ,COLUMN(AG406)-$A$5,0)),0)</f>
        <v>-0.46</v>
      </c>
      <c r="AH406" s="56">
        <f>IFERROR((VLOOKUP($A406,'Dados StatusInvest'!$A:$AZ,COLUMN(AH406)-$A$5,0)),0)</f>
        <v>-0.09</v>
      </c>
      <c r="AI406" s="57">
        <f>IFERROR((VLOOKUP($A406,'Dados StatusInvest'!$A:$AZ,COLUMN(AI406)-$A$5,0)),0)</f>
        <v>3700608</v>
      </c>
      <c r="AJ406" s="59" t="str">
        <f>IFERROR((VLOOKUP($A406,'Dados StatusInvest'!$A:$AZ,COLUMN(AJ406)-$A$5,0)),0)</f>
        <v/>
      </c>
      <c r="AK406" s="60" t="str">
        <f>IFERROR(__xludf.DUMMYFUNCTION("IFERROR(GOOGLEFINANCE($A406,""high""),"""")"),"")</f>
        <v/>
      </c>
      <c r="AL406" s="60" t="str">
        <f>IFERROR(__xludf.DUMMYFUNCTION("IFERROR(GOOGLEFINANCE($A406,""low""),"""")"),"")</f>
        <v/>
      </c>
      <c r="AM406" s="61">
        <f t="shared" si="2"/>
        <v>0</v>
      </c>
      <c r="AN406" s="62">
        <f>IFERROR(__xludf.DUMMYFUNCTION("IFERROR((GOOGLEFINANCE($A406,""volume"")),0)"),0.0)</f>
        <v>0</v>
      </c>
      <c r="AO406" s="60" t="str">
        <f>IFERROR(__xludf.DUMMYFUNCTION("IFERROR((GOOGLEFINANCE($A406,""closeyest"")),"""")"),"")</f>
        <v/>
      </c>
      <c r="AP406" s="60" t="str">
        <f>IFERROR(__xludf.DUMMYFUNCTION("IFERROR((GOOGLEFINANCE($A406,""shares"")),"""")"),"")</f>
        <v/>
      </c>
      <c r="AQ406" s="18"/>
    </row>
    <row r="407">
      <c r="A407" s="45" t="str">
        <f>'Dados StatusInvest'!A402:A1021</f>
        <v>MTRE3</v>
      </c>
      <c r="B407" s="46" t="str">
        <f>IFERROR(__xludf.DUMMYFUNCTION("IFERROR((GOOGLEFINANCE(A407,""name"")),"""")"),"Mitre Realty Emprndmnts e Prtcpcs SA")</f>
        <v>Mitre Realty Emprndmnts e Prtcpcs SA</v>
      </c>
      <c r="C407" s="46" t="str">
        <f>IFERROR((VLOOKUP(LEFT($A407,4),Setor!$A:$E,3,0)),"")</f>
        <v>Consumo Cíclico</v>
      </c>
      <c r="D407" s="46" t="str">
        <f>IFERROR((VLOOKUP(LEFT($A407,4),Setor!$A:$E,4,0)),"")</f>
        <v>Construção Civil</v>
      </c>
      <c r="E407" s="46" t="str">
        <f>IFERROR((VLOOKUP(LEFT($A407,4),Setor!$A:$E,5,0)),"")</f>
        <v>Incorporações</v>
      </c>
      <c r="F407" s="47">
        <f>IFERROR(__xludf.DUMMYFUNCTION("IFERROR((GOOGLEFINANCE(A407)),"""")"),4.24)</f>
        <v>4.24</v>
      </c>
      <c r="G407" s="48" t="str">
        <f>IFERROR(__xludf.DUMMYFUNCTION("IFERROR((sparkline(GOOGLEFINANCE($A407,""price"",TODAY()-30,TODAY(),""DAILY""),{""charttype"",""line"";""linewidth"",1;""color"",""#5f88cc""})),"""")"),"")</f>
        <v/>
      </c>
      <c r="H407" s="49">
        <f>IFERROR(__xludf.DUMMYFUNCTION("IFERROR((((GOOGLEFINANCE(A407))-(INDEX(GoogleFinance(A407,""PRICE"",$AQ$1),2,2)))/(INDEX(GoogleFinance(A407,""PRICE"",$AQ$1),2,2))),"""")"),0.10416666666666677)</f>
        <v>0.1041666667</v>
      </c>
      <c r="I407" s="47">
        <f>IFERROR(__xludf.DUMMYFUNCTION("IFERROR((GOOGLEFINANCE($A407,""high52"")),"""")"),4.32)</f>
        <v>4.32</v>
      </c>
      <c r="J407" s="48" t="str">
        <f>IFERROR(__xludf.DUMMYFUNCTION("IFERROR((sparkline(GOOGLEFINANCE($A407,""price"",TODAY()-365,TODAY(),""DAILY""),{""charttype"",""line"";""linewidth"",1;""color"",""#5f88cc""})),"""")"),"")</f>
        <v/>
      </c>
      <c r="K407" s="50">
        <f>IFERROR(__xludf.DUMMYFUNCTION("IFERROR((((GOOGLEFINANCE(A407))-(INDEX(GoogleFinance(A407,""PRICE"",$AP$1),2,2)))/(INDEX(GoogleFinance(A407,""PRICE"",$AP$1),2,2))),"""")"),0.30864197530864196)</f>
        <v>0.3086419753</v>
      </c>
      <c r="L407" s="51">
        <f t="shared" si="1"/>
        <v>-0.01851851852</v>
      </c>
      <c r="M407" s="52">
        <f>IFERROR((VLOOKUP($A407,'Dados StatusInvest'!$A:$AZ,COLUMN(M407)-$A$5,0)*VLOOKUP($A407,'Dados StatusInvest'!$A:$AZ,2,0)/$F407/100),0)</f>
        <v>0.08140754717</v>
      </c>
      <c r="N407" s="53">
        <f>IFERROR((VLOOKUP($A407,'Dados StatusInvest'!$A:$AZ,COLUMN(N407)-$A$5,0)/VLOOKUP($A407,'Dados StatusInvest'!$A:$AZ,2,0)*$F407),"")</f>
        <v>4.406851852</v>
      </c>
      <c r="O407" s="53">
        <f>IFERROR((VLOOKUP($A407,'Dados StatusInvest'!$A:$AZ,COLUMN(O407)-$A$5,0)/VLOOKUP($A407,'Dados StatusInvest'!$A:$AZ,2,0)*$F407),0)</f>
        <v>5.142962963</v>
      </c>
      <c r="P407" s="54">
        <f>IFERROR((VLOOKUP($A407,'Dados StatusInvest'!$A:$AZ,COLUMN(P407)-$A$5,0)/VLOOKUP($A407,'Dados StatusInvest'!$A:$AZ,2,0)*$F407),0)</f>
        <v>10.83555556</v>
      </c>
      <c r="Q407" s="55">
        <f>IFERROR((VLOOKUP($A407,'Dados StatusInvest'!$A:$AZ,COLUMN(Q407)-$A$5,0)/100),0)</f>
        <v>0.058</v>
      </c>
      <c r="R407" s="56">
        <f>VLOOKUP($A407,'Dados StatusInvest'!$A:$AZ,COLUMN(R407)-$A$5,0)</f>
        <v>0.51</v>
      </c>
      <c r="S407" s="56">
        <f>IFERROR((VLOOKUP($A407,'Dados StatusInvest'!$A:$AZ,COLUMN(S407)-$A$5,0)),0)</f>
        <v>0.42</v>
      </c>
      <c r="T407" s="53">
        <f>IFERROR((VLOOKUP($A407,'Dados StatusInvest'!$A:$AZ,COLUMN(T407)-$A$5,0)/VLOOKUP($A407,'Dados StatusInvest'!$A:$AZ,2,0)*$F407),0)</f>
        <v>0.4612962963</v>
      </c>
      <c r="U407" s="53">
        <f>IFERROR((VLOOKUP($A407,'Dados StatusInvest'!$A:$AZ,COLUMN(U407)-$A$5,0)-VLOOKUP($A407,'Dados StatusInvest'!$A:$AZ,COLUMN(U407)-$A$5-1,0)+T407),0)</f>
        <v>-0.8687037037</v>
      </c>
      <c r="V407" s="56">
        <f>IFERROR((VLOOKUP($A407,'Dados StatusInvest'!$A:$AZ,COLUMN(V407)-$A$5,0)),0)</f>
        <v>2.32</v>
      </c>
      <c r="W407" s="56">
        <f>IFERROR((VLOOKUP($A407,'Dados StatusInvest'!$A:$AZ,COLUMN(W407)-$A$5,0)),0)</f>
        <v>4.95</v>
      </c>
      <c r="X407" s="53">
        <f>IFERROR((VLOOKUP($A407,'Dados StatusInvest'!$A:$AZ,COLUMN(X407)-$A$5,0)/VLOOKUP($A407,'Dados StatusInvest'!$A:$AZ,2,0)*$F407),0)</f>
        <v>2.129814815</v>
      </c>
      <c r="Y407" s="54">
        <f>IFERROR((VLOOKUP($A407,'Dados StatusInvest'!$A:$AZ,COLUMN(Y407)-$A$5,0)/VLOOKUP($A407,'Dados StatusInvest'!$A:$AZ,2,0)*$F407),0)</f>
        <v>3.700185185</v>
      </c>
      <c r="Z407" s="56">
        <f>IFERROR((VLOOKUP($A407,'Dados StatusInvest'!$A:$AZ,COLUMN(Z407)-$A$5,0)),0)</f>
        <v>0.44</v>
      </c>
      <c r="AA407" s="57">
        <f>IFERROR((VLOOKUP($A407,'Dados StatusInvest'!$A:$AZ,COLUMN(AA407)-$A$5,0)),0)</f>
        <v>0.54</v>
      </c>
      <c r="AB407" s="57">
        <f>IFERROR((VLOOKUP($A407,'Dados StatusInvest'!$A:$AZ,COLUMN(AB407)-$A$5,0)),0)</f>
        <v>0.48</v>
      </c>
      <c r="AC407" s="58">
        <f>IFERROR((VLOOKUP($A407,'Dados StatusInvest'!$A:$AZ,COLUMN(AC407)-$A$5,0)),0)</f>
        <v>30.48</v>
      </c>
      <c r="AD407" s="57">
        <f>IFERROR((VLOOKUP($A407,'Dados StatusInvest'!$A:$AZ,COLUMN(AD407)-$A$5,0)),0)</f>
        <v>8.93</v>
      </c>
      <c r="AE407" s="56">
        <f>IFERROR((VLOOKUP($A407,'Dados StatusInvest'!$A:$AZ,COLUMN(AE407)-$A$5,0)),0)</f>
        <v>2909826</v>
      </c>
      <c r="AF407" s="56">
        <f>IFERROR((VLOOKUP($A407,'Dados StatusInvest'!$A:$AZ,COLUMN(AF407)-$A$5,0)),0)</f>
        <v>9.35</v>
      </c>
      <c r="AG407" s="56">
        <f>IFERROR((VLOOKUP($A407,'Dados StatusInvest'!$A:$AZ,COLUMN(AG407)-$A$5,0)),0)</f>
        <v>0.46</v>
      </c>
      <c r="AH407" s="56">
        <f>IFERROR((VLOOKUP($A407,'Dados StatusInvest'!$A:$AZ,COLUMN(AH407)-$A$5,0)),0)</f>
        <v>0.83</v>
      </c>
      <c r="AI407" s="57">
        <f>IFERROR((VLOOKUP($A407,'Dados StatusInvest'!$A:$AZ,COLUMN(AI407)-$A$5,0)),0)</f>
        <v>456947222.4</v>
      </c>
      <c r="AJ407" s="59" t="str">
        <f>IFERROR((VLOOKUP($A407,'Dados StatusInvest'!$A:$AZ,COLUMN(AJ407)-$A$5,0)),0)</f>
        <v/>
      </c>
      <c r="AK407" s="60">
        <f>IFERROR(__xludf.DUMMYFUNCTION("IFERROR(GOOGLEFINANCE($A407,""high""),"""")"),4.32)</f>
        <v>4.32</v>
      </c>
      <c r="AL407" s="60">
        <f>IFERROR(__xludf.DUMMYFUNCTION("IFERROR(GOOGLEFINANCE($A407,""low""),"""")"),4.23)</f>
        <v>4.23</v>
      </c>
      <c r="AM407" s="61">
        <f t="shared" si="2"/>
        <v>0.02127659574</v>
      </c>
      <c r="AN407" s="62">
        <f>IFERROR(__xludf.DUMMYFUNCTION("IFERROR((GOOGLEFINANCE($A407,""volume"")),0)"),31400.0)</f>
        <v>31400</v>
      </c>
      <c r="AO407" s="60">
        <f>IFERROR(__xludf.DUMMYFUNCTION("IFERROR((GOOGLEFINANCE($A407,""closeyest"")),"""")"),4.32)</f>
        <v>4.32</v>
      </c>
      <c r="AP407" s="60">
        <f>IFERROR(__xludf.DUMMYFUNCTION("IFERROR((GOOGLEFINANCE($A407,""shares"")),"""")"),1.0577482E8)</f>
        <v>105774820</v>
      </c>
      <c r="AQ407" s="18"/>
    </row>
    <row r="408">
      <c r="A408" s="45" t="str">
        <f>'Dados StatusInvest'!A403:A1022</f>
        <v>MTSA3</v>
      </c>
      <c r="B408" s="46" t="str">
        <f>IFERROR(__xludf.DUMMYFUNCTION("IFERROR((GOOGLEFINANCE(A408,""name"")),"""")"),"Metisa Metalurgica Timboense SA")</f>
        <v>Metisa Metalurgica Timboense SA</v>
      </c>
      <c r="C408" s="46" t="str">
        <f>IFERROR((VLOOKUP(LEFT($A408,4),Setor!$A:$E,3,0)),"")</f>
        <v>Bens Industriais</v>
      </c>
      <c r="D408" s="46" t="str">
        <f>IFERROR((VLOOKUP(LEFT($A408,4),Setor!$A:$E,4,0)),"")</f>
        <v>Máquinas e Equipamentos</v>
      </c>
      <c r="E408" s="46" t="str">
        <f>IFERROR((VLOOKUP(LEFT($A408,4),Setor!$A:$E,5,0)),"")</f>
        <v>Máq. e Equip. Construção e Agrícolas</v>
      </c>
      <c r="F408" s="47">
        <f>IFERROR(__xludf.DUMMYFUNCTION("IFERROR((GOOGLEFINANCE(A408)),"""")"),76.0)</f>
        <v>76</v>
      </c>
      <c r="G408" s="48" t="str">
        <f>IFERROR(__xludf.DUMMYFUNCTION("IFERROR((sparkline(GOOGLEFINANCE($A408,""price"",TODAY()-30,TODAY(),""DAILY""),{""charttype"",""line"";""linewidth"",1;""color"",""#5f88cc""})),"""")"),"")</f>
        <v/>
      </c>
      <c r="H408" s="49">
        <f>IFERROR(__xludf.DUMMYFUNCTION("IFERROR((((GOOGLEFINANCE(A408))-(INDEX(GoogleFinance(A408,""PRICE"",$AQ$1),2,2)))/(INDEX(GoogleFinance(A408,""PRICE"",$AQ$1),2,2))),"""")"),0.0)</f>
        <v>0</v>
      </c>
      <c r="I408" s="47">
        <f>IFERROR(__xludf.DUMMYFUNCTION("IFERROR((GOOGLEFINANCE($A408,""high52"")),"""")"),72.27)</f>
        <v>72.27</v>
      </c>
      <c r="J408" s="48" t="str">
        <f>IFERROR(__xludf.DUMMYFUNCTION("IFERROR((sparkline(GOOGLEFINANCE($A408,""price"",TODAY()-365,TODAY(),""DAILY""),{""charttype"",""line"";""linewidth"",1;""color"",""#5f88cc""})),"""")"),"")</f>
        <v/>
      </c>
      <c r="K408" s="50" t="str">
        <f>IFERROR(__xludf.DUMMYFUNCTION("IFERROR((((GOOGLEFINANCE(A408))-(INDEX(GoogleFinance(A408,""PRICE"",$AP$1),2,2)))/(INDEX(GoogleFinance(A408,""PRICE"",$AP$1),2,2))),"""")"),"")</f>
        <v/>
      </c>
      <c r="L408" s="51">
        <f t="shared" si="1"/>
        <v>0.05161201052</v>
      </c>
      <c r="M408" s="52">
        <f>IFERROR((VLOOKUP($A408,'Dados StatusInvest'!$A:$AZ,COLUMN(M408)-$A$5,0)*VLOOKUP($A408,'Dados StatusInvest'!$A:$AZ,2,0)/$F408/100),0)</f>
        <v>0.07221214474</v>
      </c>
      <c r="N408" s="53">
        <f>IFERROR((VLOOKUP($A408,'Dados StatusInvest'!$A:$AZ,COLUMN(N408)-$A$5,0)/VLOOKUP($A408,'Dados StatusInvest'!$A:$AZ,2,0)*$F408),"")</f>
        <v>7.590939197</v>
      </c>
      <c r="O408" s="53">
        <f>IFERROR((VLOOKUP($A408,'Dados StatusInvest'!$A:$AZ,COLUMN(O408)-$A$5,0)/VLOOKUP($A408,'Dados StatusInvest'!$A:$AZ,2,0)*$F408),0)</f>
        <v>16.8832958</v>
      </c>
      <c r="P408" s="54">
        <f>IFERROR((VLOOKUP($A408,'Dados StatusInvest'!$A:$AZ,COLUMN(P408)-$A$5,0)/VLOOKUP($A408,'Dados StatusInvest'!$A:$AZ,2,0)*$F408),0)</f>
        <v>11.02397669</v>
      </c>
      <c r="Q408" s="55">
        <f>IFERROR((VLOOKUP($A408,'Dados StatusInvest'!$A:$AZ,COLUMN(Q408)-$A$5,0)/100),0)</f>
        <v>-0.0374</v>
      </c>
      <c r="R408" s="56">
        <f>VLOOKUP($A408,'Dados StatusInvest'!$A:$AZ,COLUMN(R408)-$A$5,0)</f>
        <v>-0.31</v>
      </c>
      <c r="S408" s="56">
        <f>IFERROR((VLOOKUP($A408,'Dados StatusInvest'!$A:$AZ,COLUMN(S408)-$A$5,0)),0)</f>
        <v>1.22</v>
      </c>
      <c r="T408" s="53">
        <f>IFERROR((VLOOKUP($A408,'Dados StatusInvest'!$A:$AZ,COLUMN(T408)-$A$5,0)/VLOOKUP($A408,'Dados StatusInvest'!$A:$AZ,2,0)*$F408),0)</f>
        <v>1.922903696</v>
      </c>
      <c r="U408" s="53">
        <f>IFERROR((VLOOKUP($A408,'Dados StatusInvest'!$A:$AZ,COLUMN(U408)-$A$5,0)-VLOOKUP($A408,'Dados StatusInvest'!$A:$AZ,COLUMN(U408)-$A$5-1,0)+T408),0)</f>
        <v>-4.897096304</v>
      </c>
      <c r="V408" s="56">
        <f>IFERROR((VLOOKUP($A408,'Dados StatusInvest'!$A:$AZ,COLUMN(V408)-$A$5,0)),0)</f>
        <v>4.96</v>
      </c>
      <c r="W408" s="56">
        <f>IFERROR((VLOOKUP($A408,'Dados StatusInvest'!$A:$AZ,COLUMN(W408)-$A$5,0)),0)</f>
        <v>8.71</v>
      </c>
      <c r="X408" s="53">
        <f>IFERROR((VLOOKUP($A408,'Dados StatusInvest'!$A:$AZ,COLUMN(X408)-$A$5,0)/VLOOKUP($A408,'Dados StatusInvest'!$A:$AZ,2,0)*$F408),0)</f>
        <v>7.228507087</v>
      </c>
      <c r="Y408" s="54">
        <f>IFERROR((VLOOKUP($A408,'Dados StatusInvest'!$A:$AZ,COLUMN(Y408)-$A$5,0)/VLOOKUP($A408,'Dados StatusInvest'!$A:$AZ,2,0)*$F408),0)</f>
        <v>1.711484965</v>
      </c>
      <c r="Z408" s="56">
        <f>IFERROR((VLOOKUP($A408,'Dados StatusInvest'!$A:$AZ,COLUMN(Z408)-$A$5,0)),0)</f>
        <v>0.82</v>
      </c>
      <c r="AA408" s="57">
        <f>IFERROR((VLOOKUP($A408,'Dados StatusInvest'!$A:$AZ,COLUMN(AA408)-$A$5,0)),0)</f>
        <v>0.18</v>
      </c>
      <c r="AB408" s="57">
        <f>IFERROR((VLOOKUP($A408,'Dados StatusInvest'!$A:$AZ,COLUMN(AB408)-$A$5,0)),0)</f>
        <v>0.95</v>
      </c>
      <c r="AC408" s="58">
        <f>IFERROR((VLOOKUP($A408,'Dados StatusInvest'!$A:$AZ,COLUMN(AC408)-$A$5,0)),0)</f>
        <v>11.91</v>
      </c>
      <c r="AD408" s="57">
        <f>IFERROR((VLOOKUP($A408,'Dados StatusInvest'!$A:$AZ,COLUMN(AD408)-$A$5,0)),0)</f>
        <v>17.91</v>
      </c>
      <c r="AE408" s="56">
        <f>IFERROR((VLOOKUP($A408,'Dados StatusInvest'!$A:$AZ,COLUMN(AE408)-$A$5,0)),0)</f>
        <v>7600</v>
      </c>
      <c r="AF408" s="56">
        <f>IFERROR((VLOOKUP($A408,'Dados StatusInvest'!$A:$AZ,COLUMN(AF408)-$A$5,0)),0)</f>
        <v>53.6</v>
      </c>
      <c r="AG408" s="56">
        <f>IFERROR((VLOOKUP($A408,'Dados StatusInvest'!$A:$AZ,COLUMN(AG408)-$A$5,0)),0)</f>
        <v>4.67</v>
      </c>
      <c r="AH408" s="56">
        <f>IFERROR((VLOOKUP($A408,'Dados StatusInvest'!$A:$AZ,COLUMN(AH408)-$A$5,0)),0)</f>
        <v>-1.73</v>
      </c>
      <c r="AI408" s="57">
        <f>IFERROR((VLOOKUP($A408,'Dados StatusInvest'!$A:$AZ,COLUMN(AI408)-$A$5,0)),0)</f>
        <v>581147117.7</v>
      </c>
      <c r="AJ408" s="59" t="str">
        <f>IFERROR((VLOOKUP($A408,'Dados StatusInvest'!$A:$AZ,COLUMN(AJ408)-$A$5,0)),0)</f>
        <v/>
      </c>
      <c r="AK408" s="60" t="str">
        <f>IFERROR(__xludf.DUMMYFUNCTION("IFERROR(GOOGLEFINANCE($A408,""high""),"""")"),"")</f>
        <v/>
      </c>
      <c r="AL408" s="60" t="str">
        <f>IFERROR(__xludf.DUMMYFUNCTION("IFERROR(GOOGLEFINANCE($A408,""low""),"""")"),"")</f>
        <v/>
      </c>
      <c r="AM408" s="61">
        <f t="shared" si="2"/>
        <v>0</v>
      </c>
      <c r="AN408" s="62">
        <f>IFERROR(__xludf.DUMMYFUNCTION("IFERROR((GOOGLEFINANCE($A408,""volume"")),0)"),0.0)</f>
        <v>0</v>
      </c>
      <c r="AO408" s="60">
        <f>IFERROR(__xludf.DUMMYFUNCTION("IFERROR((GOOGLEFINANCE($A408,""closeyest"")),"""")"),72.55)</f>
        <v>72.55</v>
      </c>
      <c r="AP408" s="60">
        <f>IFERROR(__xludf.DUMMYFUNCTION("IFERROR((GOOGLEFINANCE($A408,""shares"")),"""")"),4212530.0)</f>
        <v>4212530</v>
      </c>
      <c r="AQ408" s="18"/>
    </row>
    <row r="409">
      <c r="A409" s="45" t="str">
        <f>'Dados StatusInvest'!A404:A1023</f>
        <v>MTSA4</v>
      </c>
      <c r="B409" s="46" t="str">
        <f>IFERROR(__xludf.DUMMYFUNCTION("IFERROR((GOOGLEFINANCE(A409,""name"")),"""")"),"Metisa Metalurgica Timboense SA Preference Shares")</f>
        <v>Metisa Metalurgica Timboense SA Preference Shares</v>
      </c>
      <c r="C409" s="46" t="str">
        <f>IFERROR((VLOOKUP(LEFT($A409,4),Setor!$A:$E,3,0)),"")</f>
        <v>Bens Industriais</v>
      </c>
      <c r="D409" s="46" t="str">
        <f>IFERROR((VLOOKUP(LEFT($A409,4),Setor!$A:$E,4,0)),"")</f>
        <v>Máquinas e Equipamentos</v>
      </c>
      <c r="E409" s="46" t="str">
        <f>IFERROR((VLOOKUP(LEFT($A409,4),Setor!$A:$E,5,0)),"")</f>
        <v>Máq. e Equip. Construção e Agrícolas</v>
      </c>
      <c r="F409" s="47">
        <f>IFERROR(__xludf.DUMMYFUNCTION("IFERROR((GOOGLEFINANCE(A409)),"""")"),57.49)</f>
        <v>57.49</v>
      </c>
      <c r="G409" s="48" t="str">
        <f>IFERROR(__xludf.DUMMYFUNCTION("IFERROR((sparkline(GOOGLEFINANCE($A409,""price"",TODAY()-30,TODAY(),""DAILY""),{""charttype"",""line"";""linewidth"",1;""color"",""#5f88cc""})),"""")"),"")</f>
        <v/>
      </c>
      <c r="H409" s="49">
        <f>IFERROR(__xludf.DUMMYFUNCTION("IFERROR((((GOOGLEFINANCE(A409))-(INDEX(GoogleFinance(A409,""PRICE"",$AQ$1),2,2)))/(INDEX(GoogleFinance(A409,""PRICE"",$AQ$1),2,2))),"""")"),0.19422517656834237)</f>
        <v>0.1942251766</v>
      </c>
      <c r="I409" s="47">
        <f>IFERROR(__xludf.DUMMYFUNCTION("IFERROR((GOOGLEFINANCE($A409,""high52"")),"""")"),53.5)</f>
        <v>53.5</v>
      </c>
      <c r="J409" s="48" t="str">
        <f>IFERROR(__xludf.DUMMYFUNCTION("IFERROR((sparkline(GOOGLEFINANCE($A409,""price"",TODAY()-365,TODAY(),""DAILY""),{""charttype"",""line"";""linewidth"",1;""color"",""#5f88cc""})),"""")"),"")</f>
        <v/>
      </c>
      <c r="K409" s="50">
        <f>IFERROR(__xludf.DUMMYFUNCTION("IFERROR((((GOOGLEFINANCE(A409))-(INDEX(GoogleFinance(A409,""PRICE"",$AP$1),2,2)))/(INDEX(GoogleFinance(A409,""PRICE"",$AP$1),2,2))),"""")"),0.38530120481927715)</f>
        <v>0.3853012048</v>
      </c>
      <c r="L409" s="51">
        <f t="shared" si="1"/>
        <v>0.07457943925</v>
      </c>
      <c r="M409" s="52">
        <f>IFERROR((VLOOKUP($A409,'Dados StatusInvest'!$A:$AZ,COLUMN(M409)-$A$5,0)*VLOOKUP($A409,'Dados StatusInvest'!$A:$AZ,2,0)/$F409/100),0)</f>
        <v>0.0727</v>
      </c>
      <c r="N409" s="53">
        <f>IFERROR((VLOOKUP($A409,'Dados StatusInvest'!$A:$AZ,COLUMN(N409)-$A$5,0)/VLOOKUP($A409,'Dados StatusInvest'!$A:$AZ,2,0)*$F409),"")</f>
        <v>7.54</v>
      </c>
      <c r="O409" s="53">
        <f>IFERROR((VLOOKUP($A409,'Dados StatusInvest'!$A:$AZ,COLUMN(O409)-$A$5,0)/VLOOKUP($A409,'Dados StatusInvest'!$A:$AZ,2,0)*$F409),0)</f>
        <v>12.77</v>
      </c>
      <c r="P409" s="54">
        <f>IFERROR((VLOOKUP($A409,'Dados StatusInvest'!$A:$AZ,COLUMN(P409)-$A$5,0)/VLOOKUP($A409,'Dados StatusInvest'!$A:$AZ,2,0)*$F409),0)</f>
        <v>10.95</v>
      </c>
      <c r="Q409" s="55">
        <f>IFERROR((VLOOKUP($A409,'Dados StatusInvest'!$A:$AZ,COLUMN(Q409)-$A$5,0)/100),0)</f>
        <v>-0.0374</v>
      </c>
      <c r="R409" s="56">
        <f>VLOOKUP($A409,'Dados StatusInvest'!$A:$AZ,COLUMN(R409)-$A$5,0)</f>
        <v>-0.31</v>
      </c>
      <c r="S409" s="56">
        <f>IFERROR((VLOOKUP($A409,'Dados StatusInvest'!$A:$AZ,COLUMN(S409)-$A$5,0)),0)</f>
        <v>0.93</v>
      </c>
      <c r="T409" s="53">
        <f>IFERROR((VLOOKUP($A409,'Dados StatusInvest'!$A:$AZ,COLUMN(T409)-$A$5,0)/VLOOKUP($A409,'Dados StatusInvest'!$A:$AZ,2,0)*$F409),0)</f>
        <v>1.45</v>
      </c>
      <c r="U409" s="53">
        <f>IFERROR((VLOOKUP($A409,'Dados StatusInvest'!$A:$AZ,COLUMN(U409)-$A$5,0)-VLOOKUP($A409,'Dados StatusInvest'!$A:$AZ,COLUMN(U409)-$A$5-1,0)+T409),0)</f>
        <v>-3.74</v>
      </c>
      <c r="V409" s="56">
        <f>IFERROR((VLOOKUP($A409,'Dados StatusInvest'!$A:$AZ,COLUMN(V409)-$A$5,0)),0)</f>
        <v>4.96</v>
      </c>
      <c r="W409" s="56">
        <f>IFERROR((VLOOKUP($A409,'Dados StatusInvest'!$A:$AZ,COLUMN(W409)-$A$5,0)),0)</f>
        <v>8.71</v>
      </c>
      <c r="X409" s="53">
        <f>IFERROR((VLOOKUP($A409,'Dados StatusInvest'!$A:$AZ,COLUMN(X409)-$A$5,0)/VLOOKUP($A409,'Dados StatusInvest'!$A:$AZ,2,0)*$F409),0)</f>
        <v>7.18</v>
      </c>
      <c r="Y409" s="54">
        <f>IFERROR((VLOOKUP($A409,'Dados StatusInvest'!$A:$AZ,COLUMN(Y409)-$A$5,0)/VLOOKUP($A409,'Dados StatusInvest'!$A:$AZ,2,0)*$F409),0)</f>
        <v>1.7</v>
      </c>
      <c r="Z409" s="56">
        <f>IFERROR((VLOOKUP($A409,'Dados StatusInvest'!$A:$AZ,COLUMN(Z409)-$A$5,0)),0)</f>
        <v>0.82</v>
      </c>
      <c r="AA409" s="57">
        <f>IFERROR((VLOOKUP($A409,'Dados StatusInvest'!$A:$AZ,COLUMN(AA409)-$A$5,0)),0)</f>
        <v>0.18</v>
      </c>
      <c r="AB409" s="57">
        <f>IFERROR((VLOOKUP($A409,'Dados StatusInvest'!$A:$AZ,COLUMN(AB409)-$A$5,0)),0)</f>
        <v>0.95</v>
      </c>
      <c r="AC409" s="58">
        <f>IFERROR((VLOOKUP($A409,'Dados StatusInvest'!$A:$AZ,COLUMN(AC409)-$A$5,0)),0)</f>
        <v>11.91</v>
      </c>
      <c r="AD409" s="57">
        <f>IFERROR((VLOOKUP($A409,'Dados StatusInvest'!$A:$AZ,COLUMN(AD409)-$A$5,0)),0)</f>
        <v>17.91</v>
      </c>
      <c r="AE409" s="56">
        <f>IFERROR((VLOOKUP($A409,'Dados StatusInvest'!$A:$AZ,COLUMN(AE409)-$A$5,0)),0)</f>
        <v>69164.81</v>
      </c>
      <c r="AF409" s="56">
        <f>IFERROR((VLOOKUP($A409,'Dados StatusInvest'!$A:$AZ,COLUMN(AF409)-$A$5,0)),0)</f>
        <v>53.6</v>
      </c>
      <c r="AG409" s="56">
        <f>IFERROR((VLOOKUP($A409,'Dados StatusInvest'!$A:$AZ,COLUMN(AG409)-$A$5,0)),0)</f>
        <v>4.67</v>
      </c>
      <c r="AH409" s="56">
        <f>IFERROR((VLOOKUP($A409,'Dados StatusInvest'!$A:$AZ,COLUMN(AH409)-$A$5,0)),0)</f>
        <v>-1.32</v>
      </c>
      <c r="AI409" s="57">
        <f>IFERROR((VLOOKUP($A409,'Dados StatusInvest'!$A:$AZ,COLUMN(AI409)-$A$5,0)),0)</f>
        <v>581147117.7</v>
      </c>
      <c r="AJ409" s="59" t="str">
        <f>IFERROR((VLOOKUP($A409,'Dados StatusInvest'!$A:$AZ,COLUMN(AJ409)-$A$5,0)),0)</f>
        <v/>
      </c>
      <c r="AK409" s="60" t="str">
        <f>IFERROR(__xludf.DUMMYFUNCTION("IFERROR(GOOGLEFINANCE($A409,""high""),"""")"),"")</f>
        <v/>
      </c>
      <c r="AL409" s="60" t="str">
        <f>IFERROR(__xludf.DUMMYFUNCTION("IFERROR(GOOGLEFINANCE($A409,""low""),"""")"),"")</f>
        <v/>
      </c>
      <c r="AM409" s="61">
        <f t="shared" si="2"/>
        <v>0</v>
      </c>
      <c r="AN409" s="62">
        <f>IFERROR(__xludf.DUMMYFUNCTION("IFERROR((GOOGLEFINANCE($A409,""volume"")),0)"),0.0)</f>
        <v>0</v>
      </c>
      <c r="AO409" s="60">
        <f>IFERROR(__xludf.DUMMYFUNCTION("IFERROR((GOOGLEFINANCE($A409,""closeyest"")),"""")"),57.49)</f>
        <v>57.49</v>
      </c>
      <c r="AP409" s="60">
        <f>IFERROR(__xludf.DUMMYFUNCTION("IFERROR((GOOGLEFINANCE($A409,""shares"")),"""")"),4577200.0)</f>
        <v>4577200</v>
      </c>
      <c r="AQ409" s="18"/>
    </row>
    <row r="410">
      <c r="A410" s="45" t="str">
        <f>'Dados StatusInvest'!A405:A1024</f>
        <v>MULT3</v>
      </c>
      <c r="B410" s="46" t="str">
        <f>IFERROR(__xludf.DUMMYFUNCTION("IFERROR((GOOGLEFINANCE(A410,""name"")),"""")"),"Multiplan Empreendimentos Imobiliaris SA")</f>
        <v>Multiplan Empreendimentos Imobiliaris SA</v>
      </c>
      <c r="C410" s="46" t="str">
        <f>IFERROR((VLOOKUP(LEFT($A410,4),Setor!$A:$E,3,0)),"")</f>
        <v>Financeiro</v>
      </c>
      <c r="D410" s="46" t="str">
        <f>IFERROR((VLOOKUP(LEFT($A410,4),Setor!$A:$E,4,0)),"")</f>
        <v>Exploração de Imóveis</v>
      </c>
      <c r="E410" s="46" t="str">
        <f>IFERROR((VLOOKUP(LEFT($A410,4),Setor!$A:$E,5,0)),"")</f>
        <v>Exploração de Imóveis</v>
      </c>
      <c r="F410" s="47">
        <f>IFERROR(__xludf.DUMMYFUNCTION("IFERROR((GOOGLEFINANCE(A410)),"""")"),33.61)</f>
        <v>33.61</v>
      </c>
      <c r="G410" s="48" t="str">
        <f>IFERROR(__xludf.DUMMYFUNCTION("IFERROR((sparkline(GOOGLEFINANCE($A410,""price"",TODAY()-30,TODAY(),""DAILY""),{""charttype"",""line"";""linewidth"",1;""color"",""#5f88cc""})),"""")"),"")</f>
        <v/>
      </c>
      <c r="H410" s="49">
        <f>IFERROR(__xludf.DUMMYFUNCTION("IFERROR((((GOOGLEFINANCE(A410))-(INDEX(GoogleFinance(A410,""PRICE"",$AQ$1),2,2)))/(INDEX(GoogleFinance(A410,""PRICE"",$AQ$1),2,2))),"""")"),0.10704874835309618)</f>
        <v>0.1070487484</v>
      </c>
      <c r="I410" s="47">
        <f>IFERROR(__xludf.DUMMYFUNCTION("IFERROR((GOOGLEFINANCE($A410,""high52"")),"""")"),34.07)</f>
        <v>34.07</v>
      </c>
      <c r="J410" s="48" t="str">
        <f>IFERROR(__xludf.DUMMYFUNCTION("IFERROR((sparkline(GOOGLEFINANCE($A410,""price"",TODAY()-365,TODAY(),""DAILY""),{""charttype"",""line"";""linewidth"",1;""color"",""#5f88cc""})),"""")"),"")</f>
        <v/>
      </c>
      <c r="K410" s="50">
        <f>IFERROR(__xludf.DUMMYFUNCTION("IFERROR((((GOOGLEFINANCE(A410))-(INDEX(GoogleFinance(A410,""PRICE"",$AP$1),2,2)))/(INDEX(GoogleFinance(A410,""PRICE"",$AP$1),2,2))),"""")"),0.4951067615658362)</f>
        <v>0.4951067616</v>
      </c>
      <c r="L410" s="51">
        <f t="shared" si="1"/>
        <v>-0.01350161432</v>
      </c>
      <c r="M410" s="52">
        <f>IFERROR((VLOOKUP($A410,'Dados StatusInvest'!$A:$AZ,COLUMN(M410)-$A$5,0)*VLOOKUP($A410,'Dados StatusInvest'!$A:$AZ,2,0)/$F410/100),0)</f>
        <v>0.6879900327</v>
      </c>
      <c r="N410" s="53">
        <f>IFERROR((VLOOKUP($A410,'Dados StatusInvest'!$A:$AZ,COLUMN(N410)-$A$5,0)/VLOOKUP($A410,'Dados StatusInvest'!$A:$AZ,2,0)*$F410),"")</f>
        <v>41.24278645</v>
      </c>
      <c r="O410" s="53">
        <f>IFERROR((VLOOKUP($A410,'Dados StatusInvest'!$A:$AZ,COLUMN(O410)-$A$5,0)/VLOOKUP($A410,'Dados StatusInvest'!$A:$AZ,2,0)*$F410),0)</f>
        <v>9.246462445</v>
      </c>
      <c r="P410" s="54">
        <f>IFERROR((VLOOKUP($A410,'Dados StatusInvest'!$A:$AZ,COLUMN(P410)-$A$5,0)/VLOOKUP($A410,'Dados StatusInvest'!$A:$AZ,2,0)*$F410),0)</f>
        <v>11.72142563</v>
      </c>
      <c r="Q410" s="55">
        <f>IFERROR((VLOOKUP($A410,'Dados StatusInvest'!$A:$AZ,COLUMN(Q410)-$A$5,0)/100),0)</f>
        <v>0.025</v>
      </c>
      <c r="R410" s="56">
        <f>VLOOKUP($A410,'Dados StatusInvest'!$A:$AZ,COLUMN(R410)-$A$5,0)</f>
        <v>0.74</v>
      </c>
      <c r="S410" s="56">
        <f>IFERROR((VLOOKUP($A410,'Dados StatusInvest'!$A:$AZ,COLUMN(S410)-$A$5,0)),0)</f>
        <v>6.36</v>
      </c>
      <c r="T410" s="53">
        <f>IFERROR((VLOOKUP($A410,'Dados StatusInvest'!$A:$AZ,COLUMN(T410)-$A$5,0)/VLOOKUP($A410,'Dados StatusInvest'!$A:$AZ,2,0)*$F410),0)</f>
        <v>42.73766421</v>
      </c>
      <c r="U410" s="53">
        <f>IFERROR((VLOOKUP($A410,'Dados StatusInvest'!$A:$AZ,COLUMN(U410)-$A$5,0)-VLOOKUP($A410,'Dados StatusInvest'!$A:$AZ,COLUMN(U410)-$A$5-1,0)+T410),0)</f>
        <v>-1.992335788</v>
      </c>
      <c r="V410" s="56">
        <f>IFERROR((VLOOKUP($A410,'Dados StatusInvest'!$A:$AZ,COLUMN(V410)-$A$5,0)),0)</f>
        <v>1.25</v>
      </c>
      <c r="W410" s="56">
        <f>IFERROR((VLOOKUP($A410,'Dados StatusInvest'!$A:$AZ,COLUMN(W410)-$A$5,0)),0)</f>
        <v>18.11</v>
      </c>
      <c r="X410" s="53">
        <f>IFERROR((VLOOKUP($A410,'Dados StatusInvest'!$A:$AZ,COLUMN(X410)-$A$5,0)/VLOOKUP($A410,'Dados StatusInvest'!$A:$AZ,2,0)*$F410),0)</f>
        <v>8.583172312</v>
      </c>
      <c r="Y410" s="54">
        <f>IFERROR((VLOOKUP($A410,'Dados StatusInvest'!$A:$AZ,COLUMN(Y410)-$A$5,0)/VLOOKUP($A410,'Dados StatusInvest'!$A:$AZ,2,0)*$F410),0)</f>
        <v>13.67169661</v>
      </c>
      <c r="Z410" s="56">
        <f>IFERROR((VLOOKUP($A410,'Dados StatusInvest'!$A:$AZ,COLUMN(Z410)-$A$5,0)),0)</f>
        <v>0.48</v>
      </c>
      <c r="AA410" s="57">
        <f>IFERROR((VLOOKUP($A410,'Dados StatusInvest'!$A:$AZ,COLUMN(AA410)-$A$5,0)),0)</f>
        <v>0.52</v>
      </c>
      <c r="AB410" s="57">
        <f>IFERROR((VLOOKUP($A410,'Dados StatusInvest'!$A:$AZ,COLUMN(AB410)-$A$5,0)),0)</f>
        <v>0.21</v>
      </c>
      <c r="AC410" s="58">
        <f>IFERROR((VLOOKUP($A410,'Dados StatusInvest'!$A:$AZ,COLUMN(AC410)-$A$5,0)),0)</f>
        <v>20.42</v>
      </c>
      <c r="AD410" s="57">
        <f>IFERROR((VLOOKUP($A410,'Dados StatusInvest'!$A:$AZ,COLUMN(AD410)-$A$5,0)),0)</f>
        <v>3.43</v>
      </c>
      <c r="AE410" s="56">
        <f>IFERROR((VLOOKUP($A410,'Dados StatusInvest'!$A:$AZ,COLUMN(AE410)-$A$5,0)),0)</f>
        <v>157000000</v>
      </c>
      <c r="AF410" s="56">
        <f>IFERROR((VLOOKUP($A410,'Dados StatusInvest'!$A:$AZ,COLUMN(AF410)-$A$5,0)),0)</f>
        <v>12.28</v>
      </c>
      <c r="AG410" s="56">
        <f>IFERROR((VLOOKUP($A410,'Dados StatusInvest'!$A:$AZ,COLUMN(AG410)-$A$5,0)),0)</f>
        <v>2.22</v>
      </c>
      <c r="AH410" s="56">
        <f>IFERROR((VLOOKUP($A410,'Dados StatusInvest'!$A:$AZ,COLUMN(AH410)-$A$5,0)),0)</f>
        <v>-1.03</v>
      </c>
      <c r="AI410" s="57">
        <f>IFERROR((VLOOKUP($A410,'Dados StatusInvest'!$A:$AZ,COLUMN(AI410)-$A$5,0)),0)</f>
        <v>17421907649</v>
      </c>
      <c r="AJ410" s="59" t="str">
        <f>IFERROR((VLOOKUP($A410,'Dados StatusInvest'!$A:$AZ,COLUMN(AJ410)-$A$5,0)),0)</f>
        <v/>
      </c>
      <c r="AK410" s="60">
        <f>IFERROR(__xludf.DUMMYFUNCTION("IFERROR(GOOGLEFINANCE($A410,""high""),"""")"),34.07)</f>
        <v>34.07</v>
      </c>
      <c r="AL410" s="60">
        <f>IFERROR(__xludf.DUMMYFUNCTION("IFERROR(GOOGLEFINANCE($A410,""low""),"""")"),33.57)</f>
        <v>33.57</v>
      </c>
      <c r="AM410" s="61">
        <f t="shared" si="2"/>
        <v>0.01489425082</v>
      </c>
      <c r="AN410" s="62">
        <f>IFERROR(__xludf.DUMMYFUNCTION("IFERROR((GOOGLEFINANCE($A410,""volume"")),0)"),117300.0)</f>
        <v>117300</v>
      </c>
      <c r="AO410" s="60">
        <f>IFERROR(__xludf.DUMMYFUNCTION("IFERROR((GOOGLEFINANCE($A410,""closeyest"")),"""")"),33.95)</f>
        <v>33.95</v>
      </c>
      <c r="AP410" s="60">
        <f>IFERROR(__xludf.DUMMYFUNCTION("IFERROR((GOOGLEFINANCE($A410,""shares"")),"""")"),5.13163701E8)</f>
        <v>513163701</v>
      </c>
      <c r="AQ410" s="18"/>
    </row>
    <row r="411">
      <c r="A411" s="45" t="str">
        <f>'Dados StatusInvest'!A406:A1025</f>
        <v>MWET3</v>
      </c>
      <c r="B411" s="46" t="str">
        <f>IFERROR(__xludf.DUMMYFUNCTION("IFERROR((GOOGLEFINANCE(A411,""name"")),"""")"),"Wetzel SA")</f>
        <v>Wetzel SA</v>
      </c>
      <c r="C411" s="46" t="str">
        <f>IFERROR((VLOOKUP(LEFT($A411,4),Setor!$A:$E,3,0)),"")</f>
        <v>Bens Industriais</v>
      </c>
      <c r="D411" s="46" t="str">
        <f>IFERROR((VLOOKUP(LEFT($A411,4),Setor!$A:$E,4,0)),"")</f>
        <v>Material de Transporte</v>
      </c>
      <c r="E411" s="46" t="str">
        <f>IFERROR((VLOOKUP(LEFT($A411,4),Setor!$A:$E,5,0)),"")</f>
        <v>Material Rodoviário</v>
      </c>
      <c r="F411" s="47">
        <f>IFERROR(__xludf.DUMMYFUNCTION("IFERROR((GOOGLEFINANCE(A411)),"""")"),16.0)</f>
        <v>16</v>
      </c>
      <c r="G411" s="48" t="str">
        <f>IFERROR(__xludf.DUMMYFUNCTION("IFERROR((sparkline(GOOGLEFINANCE($A411,""price"",TODAY()-30,TODAY(),""DAILY""),{""charttype"",""line"";""linewidth"",1;""color"",""#5f88cc""})),"""")"),"")</f>
        <v/>
      </c>
      <c r="H411" s="49" t="str">
        <f>IFERROR(__xludf.DUMMYFUNCTION("IFERROR((((GOOGLEFINANCE(A411))-(INDEX(GoogleFinance(A411,""PRICE"",$AQ$1),2,2)))/(INDEX(GoogleFinance(A411,""PRICE"",$AQ$1),2,2))),"""")"),"")</f>
        <v/>
      </c>
      <c r="I411" s="47">
        <f>IFERROR(__xludf.DUMMYFUNCTION("IFERROR((GOOGLEFINANCE($A411,""high52"")),"""")"),17.0)</f>
        <v>17</v>
      </c>
      <c r="J411" s="48" t="str">
        <f>IFERROR(__xludf.DUMMYFUNCTION("IFERROR((sparkline(GOOGLEFINANCE($A411,""price"",TODAY()-365,TODAY(),""DAILY""),{""charttype"",""line"";""linewidth"",1;""color"",""#5f88cc""})),"""")"),"")</f>
        <v/>
      </c>
      <c r="K411" s="50" t="str">
        <f>IFERROR(__xludf.DUMMYFUNCTION("IFERROR((((GOOGLEFINANCE(A411))-(INDEX(GoogleFinance(A411,""PRICE"",$AP$1),2,2)))/(INDEX(GoogleFinance(A411,""PRICE"",$AP$1),2,2))),"""")"),"")</f>
        <v/>
      </c>
      <c r="L411" s="51">
        <f t="shared" si="1"/>
        <v>-0.05882352941</v>
      </c>
      <c r="M411" s="52">
        <f>IFERROR((VLOOKUP($A411,'Dados StatusInvest'!$A:$AZ,COLUMN(M411)-$A$5,0)*VLOOKUP($A411,'Dados StatusInvest'!$A:$AZ,2,0)/$F411/100),0)</f>
        <v>0.23</v>
      </c>
      <c r="N411" s="53">
        <f>IFERROR((VLOOKUP($A411,'Dados StatusInvest'!$A:$AZ,COLUMN(N411)-$A$5,0)/VLOOKUP($A411,'Dados StatusInvest'!$A:$AZ,2,0)*$F411),"")</f>
        <v>3.43</v>
      </c>
      <c r="O411" s="53">
        <f>IFERROR((VLOOKUP($A411,'Dados StatusInvest'!$A:$AZ,COLUMN(O411)-$A$5,0)/VLOOKUP($A411,'Dados StatusInvest'!$A:$AZ,2,0)*$F411),0)</f>
        <v>0.64</v>
      </c>
      <c r="P411" s="54">
        <f>IFERROR((VLOOKUP($A411,'Dados StatusInvest'!$A:$AZ,COLUMN(P411)-$A$5,0)/VLOOKUP($A411,'Dados StatusInvest'!$A:$AZ,2,0)*$F411),0)</f>
        <v>2.53</v>
      </c>
      <c r="Q411" s="55">
        <f>IFERROR((VLOOKUP($A411,'Dados StatusInvest'!$A:$AZ,COLUMN(Q411)-$A$5,0)/100),0)</f>
        <v>0.0203</v>
      </c>
      <c r="R411" s="56">
        <f>VLOOKUP($A411,'Dados StatusInvest'!$A:$AZ,COLUMN(R411)-$A$5,0)</f>
        <v>12.45</v>
      </c>
      <c r="S411" s="56">
        <f>IFERROR((VLOOKUP($A411,'Dados StatusInvest'!$A:$AZ,COLUMN(S411)-$A$5,0)),0)</f>
        <v>0.15</v>
      </c>
      <c r="T411" s="53">
        <f>IFERROR((VLOOKUP($A411,'Dados StatusInvest'!$A:$AZ,COLUMN(T411)-$A$5,0)/VLOOKUP($A411,'Dados StatusInvest'!$A:$AZ,2,0)*$F411),0)</f>
        <v>-1.6</v>
      </c>
      <c r="U411" s="53">
        <f>IFERROR((VLOOKUP($A411,'Dados StatusInvest'!$A:$AZ,COLUMN(U411)-$A$5,0)-VLOOKUP($A411,'Dados StatusInvest'!$A:$AZ,COLUMN(U411)-$A$5-1,0)+T411),0)</f>
        <v>-0.17</v>
      </c>
      <c r="V411" s="56">
        <f>IFERROR((VLOOKUP($A411,'Dados StatusInvest'!$A:$AZ,COLUMN(V411)-$A$5,0)),0)</f>
        <v>0.86</v>
      </c>
      <c r="W411" s="56">
        <f>IFERROR((VLOOKUP($A411,'Dados StatusInvest'!$A:$AZ,COLUMN(W411)-$A$5,0)),0)</f>
        <v>91.35</v>
      </c>
      <c r="X411" s="53">
        <f>IFERROR((VLOOKUP($A411,'Dados StatusInvest'!$A:$AZ,COLUMN(X411)-$A$5,0)/VLOOKUP($A411,'Dados StatusInvest'!$A:$AZ,2,0)*$F411),0)</f>
        <v>2.4</v>
      </c>
      <c r="Y411" s="54">
        <f>IFERROR((VLOOKUP($A411,'Dados StatusInvest'!$A:$AZ,COLUMN(Y411)-$A$5,0)/VLOOKUP($A411,'Dados StatusInvest'!$A:$AZ,2,0)*$F411),0)</f>
        <v>32.41</v>
      </c>
      <c r="Z411" s="56">
        <f>IFERROR((VLOOKUP($A411,'Dados StatusInvest'!$A:$AZ,COLUMN(Z411)-$A$5,0)),0)</f>
        <v>0.03</v>
      </c>
      <c r="AA411" s="57">
        <f>IFERROR((VLOOKUP($A411,'Dados StatusInvest'!$A:$AZ,COLUMN(AA411)-$A$5,0)),0)</f>
        <v>0.97</v>
      </c>
      <c r="AB411" s="57">
        <f>IFERROR((VLOOKUP($A411,'Dados StatusInvest'!$A:$AZ,COLUMN(AB411)-$A$5,0)),0)</f>
        <v>0.7</v>
      </c>
      <c r="AC411" s="58">
        <f>IFERROR((VLOOKUP($A411,'Dados StatusInvest'!$A:$AZ,COLUMN(AC411)-$A$5,0)),0)</f>
        <v>9.33</v>
      </c>
      <c r="AD411" s="57">
        <f>IFERROR((VLOOKUP($A411,'Dados StatusInvest'!$A:$AZ,COLUMN(AD411)-$A$5,0)),0)</f>
        <v>0</v>
      </c>
      <c r="AE411" s="56">
        <f>IFERROR((VLOOKUP($A411,'Dados StatusInvest'!$A:$AZ,COLUMN(AE411)-$A$5,0)),0)</f>
        <v>400</v>
      </c>
      <c r="AF411" s="56">
        <f>IFERROR((VLOOKUP($A411,'Dados StatusInvest'!$A:$AZ,COLUMN(AF411)-$A$5,0)),0)</f>
        <v>4.09</v>
      </c>
      <c r="AG411" s="56">
        <f>IFERROR((VLOOKUP($A411,'Dados StatusInvest'!$A:$AZ,COLUMN(AG411)-$A$5,0)),0)</f>
        <v>3.74</v>
      </c>
      <c r="AH411" s="56">
        <f>IFERROR((VLOOKUP($A411,'Dados StatusInvest'!$A:$AZ,COLUMN(AH411)-$A$5,0)),0)</f>
        <v>-0.03</v>
      </c>
      <c r="AI411" s="57">
        <f>IFERROR((VLOOKUP($A411,'Dados StatusInvest'!$A:$AZ,COLUMN(AI411)-$A$5,0)),0)</f>
        <v>25656437.4</v>
      </c>
      <c r="AJ411" s="59" t="str">
        <f>IFERROR((VLOOKUP($A411,'Dados StatusInvest'!$A:$AZ,COLUMN(AJ411)-$A$5,0)),0)</f>
        <v/>
      </c>
      <c r="AK411" s="60" t="str">
        <f>IFERROR(__xludf.DUMMYFUNCTION("IFERROR(GOOGLEFINANCE($A411,""high""),"""")"),"")</f>
        <v/>
      </c>
      <c r="AL411" s="60" t="str">
        <f>IFERROR(__xludf.DUMMYFUNCTION("IFERROR(GOOGLEFINANCE($A411,""low""),"""")"),"")</f>
        <v/>
      </c>
      <c r="AM411" s="61">
        <f t="shared" si="2"/>
        <v>0</v>
      </c>
      <c r="AN411" s="62">
        <f>IFERROR(__xludf.DUMMYFUNCTION("IFERROR((GOOGLEFINANCE($A411,""volume"")),0)"),0.0)</f>
        <v>0</v>
      </c>
      <c r="AO411" s="60">
        <f>IFERROR(__xludf.DUMMYFUNCTION("IFERROR((GOOGLEFINANCE($A411,""closeyest"")),"""")"),16.0)</f>
        <v>16</v>
      </c>
      <c r="AP411" s="60">
        <f>IFERROR(__xludf.DUMMYFUNCTION("IFERROR((GOOGLEFINANCE($A411,""shares"")),"""")"),686001.0)</f>
        <v>686001</v>
      </c>
      <c r="AQ411" s="18"/>
    </row>
    <row r="412">
      <c r="A412" s="45" t="str">
        <f>'Dados StatusInvest'!A407:A1026</f>
        <v>MWET4</v>
      </c>
      <c r="B412" s="46" t="str">
        <f>IFERROR(__xludf.DUMMYFUNCTION("IFERROR((GOOGLEFINANCE(A412,""name"")),"""")"),"Wetzel SA Preference Shares")</f>
        <v>Wetzel SA Preference Shares</v>
      </c>
      <c r="C412" s="46" t="str">
        <f>IFERROR((VLOOKUP(LEFT($A412,4),Setor!$A:$E,3,0)),"")</f>
        <v>Bens Industriais</v>
      </c>
      <c r="D412" s="46" t="str">
        <f>IFERROR((VLOOKUP(LEFT($A412,4),Setor!$A:$E,4,0)),"")</f>
        <v>Material de Transporte</v>
      </c>
      <c r="E412" s="46" t="str">
        <f>IFERROR((VLOOKUP(LEFT($A412,4),Setor!$A:$E,5,0)),"")</f>
        <v>Material Rodoviário</v>
      </c>
      <c r="F412" s="47">
        <f>IFERROR(__xludf.DUMMYFUNCTION("IFERROR((GOOGLEFINANCE(A412)),"""")"),10.7)</f>
        <v>10.7</v>
      </c>
      <c r="G412" s="48" t="str">
        <f>IFERROR(__xludf.DUMMYFUNCTION("IFERROR((sparkline(GOOGLEFINANCE($A412,""price"",TODAY()-30,TODAY(),""DAILY""),{""charttype"",""line"";""linewidth"",1;""color"",""#5f88cc""})),"""")"),"")</f>
        <v/>
      </c>
      <c r="H412" s="49">
        <f>IFERROR(__xludf.DUMMYFUNCTION("IFERROR((((GOOGLEFINANCE(A412))-(INDEX(GoogleFinance(A412,""PRICE"",$AQ$1),2,2)))/(INDEX(GoogleFinance(A412,""PRICE"",$AQ$1),2,2))),"""")"),0.25586854460093894)</f>
        <v>0.2558685446</v>
      </c>
      <c r="I412" s="47">
        <f>IFERROR(__xludf.DUMMYFUNCTION("IFERROR((GOOGLEFINANCE($A412,""high52"")),"""")"),17.98)</f>
        <v>17.98</v>
      </c>
      <c r="J412" s="48" t="str">
        <f>IFERROR(__xludf.DUMMYFUNCTION("IFERROR((sparkline(GOOGLEFINANCE($A412,""price"",TODAY()-365,TODAY(),""DAILY""),{""charttype"",""line"";""linewidth"",1;""color"",""#5f88cc""})),"""")"),"")</f>
        <v/>
      </c>
      <c r="K412" s="50" t="str">
        <f>IFERROR(__xludf.DUMMYFUNCTION("IFERROR((((GOOGLEFINANCE(A412))-(INDEX(GoogleFinance(A412,""PRICE"",$AP$1),2,2)))/(INDEX(GoogleFinance(A412,""PRICE"",$AP$1),2,2))),"""")"),"")</f>
        <v/>
      </c>
      <c r="L412" s="51">
        <f t="shared" si="1"/>
        <v>-0.404894327</v>
      </c>
      <c r="M412" s="52">
        <f>IFERROR((VLOOKUP($A412,'Dados StatusInvest'!$A:$AZ,COLUMN(M412)-$A$5,0)*VLOOKUP($A412,'Dados StatusInvest'!$A:$AZ,2,0)/$F412/100),0)</f>
        <v>0.23</v>
      </c>
      <c r="N412" s="53">
        <f>IFERROR((VLOOKUP($A412,'Dados StatusInvest'!$A:$AZ,COLUMN(N412)-$A$5,0)/VLOOKUP($A412,'Dados StatusInvest'!$A:$AZ,2,0)*$F412),"")</f>
        <v>3.43</v>
      </c>
      <c r="O412" s="53">
        <f>IFERROR((VLOOKUP($A412,'Dados StatusInvest'!$A:$AZ,COLUMN(O412)-$A$5,0)/VLOOKUP($A412,'Dados StatusInvest'!$A:$AZ,2,0)*$F412),0)</f>
        <v>0.43</v>
      </c>
      <c r="P412" s="54">
        <f>IFERROR((VLOOKUP($A412,'Dados StatusInvest'!$A:$AZ,COLUMN(P412)-$A$5,0)/VLOOKUP($A412,'Dados StatusInvest'!$A:$AZ,2,0)*$F412),0)</f>
        <v>2.53</v>
      </c>
      <c r="Q412" s="55">
        <f>IFERROR((VLOOKUP($A412,'Dados StatusInvest'!$A:$AZ,COLUMN(Q412)-$A$5,0)/100),0)</f>
        <v>0.0203</v>
      </c>
      <c r="R412" s="56">
        <f>VLOOKUP($A412,'Dados StatusInvest'!$A:$AZ,COLUMN(R412)-$A$5,0)</f>
        <v>12.45</v>
      </c>
      <c r="S412" s="56">
        <f>IFERROR((VLOOKUP($A412,'Dados StatusInvest'!$A:$AZ,COLUMN(S412)-$A$5,0)),0)</f>
        <v>0.1</v>
      </c>
      <c r="T412" s="53">
        <f>IFERROR((VLOOKUP($A412,'Dados StatusInvest'!$A:$AZ,COLUMN(T412)-$A$5,0)/VLOOKUP($A412,'Dados StatusInvest'!$A:$AZ,2,0)*$F412),0)</f>
        <v>-1.07</v>
      </c>
      <c r="U412" s="53">
        <f>IFERROR((VLOOKUP($A412,'Dados StatusInvest'!$A:$AZ,COLUMN(U412)-$A$5,0)-VLOOKUP($A412,'Dados StatusInvest'!$A:$AZ,COLUMN(U412)-$A$5-1,0)+T412),0)</f>
        <v>-0.11</v>
      </c>
      <c r="V412" s="56">
        <f>IFERROR((VLOOKUP($A412,'Dados StatusInvest'!$A:$AZ,COLUMN(V412)-$A$5,0)),0)</f>
        <v>0.86</v>
      </c>
      <c r="W412" s="56">
        <f>IFERROR((VLOOKUP($A412,'Dados StatusInvest'!$A:$AZ,COLUMN(W412)-$A$5,0)),0)</f>
        <v>91.35</v>
      </c>
      <c r="X412" s="53">
        <f>IFERROR((VLOOKUP($A412,'Dados StatusInvest'!$A:$AZ,COLUMN(X412)-$A$5,0)/VLOOKUP($A412,'Dados StatusInvest'!$A:$AZ,2,0)*$F412),0)</f>
        <v>2.4</v>
      </c>
      <c r="Y412" s="54">
        <f>IFERROR((VLOOKUP($A412,'Dados StatusInvest'!$A:$AZ,COLUMN(Y412)-$A$5,0)/VLOOKUP($A412,'Dados StatusInvest'!$A:$AZ,2,0)*$F412),0)</f>
        <v>32.41</v>
      </c>
      <c r="Z412" s="56">
        <f>IFERROR((VLOOKUP($A412,'Dados StatusInvest'!$A:$AZ,COLUMN(Z412)-$A$5,0)),0)</f>
        <v>0.03</v>
      </c>
      <c r="AA412" s="57">
        <f>IFERROR((VLOOKUP($A412,'Dados StatusInvest'!$A:$AZ,COLUMN(AA412)-$A$5,0)),0)</f>
        <v>0.97</v>
      </c>
      <c r="AB412" s="57">
        <f>IFERROR((VLOOKUP($A412,'Dados StatusInvest'!$A:$AZ,COLUMN(AB412)-$A$5,0)),0)</f>
        <v>0.7</v>
      </c>
      <c r="AC412" s="58">
        <f>IFERROR((VLOOKUP($A412,'Dados StatusInvest'!$A:$AZ,COLUMN(AC412)-$A$5,0)),0)</f>
        <v>9.33</v>
      </c>
      <c r="AD412" s="57">
        <f>IFERROR((VLOOKUP($A412,'Dados StatusInvest'!$A:$AZ,COLUMN(AD412)-$A$5,0)),0)</f>
        <v>0</v>
      </c>
      <c r="AE412" s="56">
        <f>IFERROR((VLOOKUP($A412,'Dados StatusInvest'!$A:$AZ,COLUMN(AE412)-$A$5,0)),0)</f>
        <v>854734.8</v>
      </c>
      <c r="AF412" s="56">
        <f>IFERROR((VLOOKUP($A412,'Dados StatusInvest'!$A:$AZ,COLUMN(AF412)-$A$5,0)),0)</f>
        <v>4.09</v>
      </c>
      <c r="AG412" s="56">
        <f>IFERROR((VLOOKUP($A412,'Dados StatusInvest'!$A:$AZ,COLUMN(AG412)-$A$5,0)),0)</f>
        <v>3.74</v>
      </c>
      <c r="AH412" s="56">
        <f>IFERROR((VLOOKUP($A412,'Dados StatusInvest'!$A:$AZ,COLUMN(AH412)-$A$5,0)),0)</f>
        <v>-0.02</v>
      </c>
      <c r="AI412" s="57">
        <f>IFERROR((VLOOKUP($A412,'Dados StatusInvest'!$A:$AZ,COLUMN(AI412)-$A$5,0)),0)</f>
        <v>25656437.4</v>
      </c>
      <c r="AJ412" s="59" t="str">
        <f>IFERROR((VLOOKUP($A412,'Dados StatusInvest'!$A:$AZ,COLUMN(AJ412)-$A$5,0)),0)</f>
        <v/>
      </c>
      <c r="AK412" s="60" t="str">
        <f>IFERROR(__xludf.DUMMYFUNCTION("IFERROR(GOOGLEFINANCE($A412,""high""),"""")"),"")</f>
        <v/>
      </c>
      <c r="AL412" s="60" t="str">
        <f>IFERROR(__xludf.DUMMYFUNCTION("IFERROR(GOOGLEFINANCE($A412,""low""),"""")"),"")</f>
        <v/>
      </c>
      <c r="AM412" s="61">
        <f t="shared" si="2"/>
        <v>0</v>
      </c>
      <c r="AN412" s="62">
        <f>IFERROR(__xludf.DUMMYFUNCTION("IFERROR((GOOGLEFINANCE($A412,""volume"")),0)"),0.0)</f>
        <v>0</v>
      </c>
      <c r="AO412" s="60">
        <f>IFERROR(__xludf.DUMMYFUNCTION("IFERROR((GOOGLEFINANCE($A412,""closeyest"")),"""")"),10.7)</f>
        <v>10.7</v>
      </c>
      <c r="AP412" s="60">
        <f>IFERROR(__xludf.DUMMYFUNCTION("IFERROR((GOOGLEFINANCE($A412,""shares"")),"""")"),1372002.0)</f>
        <v>1372002</v>
      </c>
      <c r="AQ412" s="18"/>
    </row>
    <row r="413">
      <c r="A413" s="45" t="str">
        <f>'Dados StatusInvest'!A408:A1027</f>
        <v>MYPK3</v>
      </c>
      <c r="B413" s="46" t="str">
        <f>IFERROR(__xludf.DUMMYFUNCTION("IFERROR((GOOGLEFINANCE(A413,""name"")),"""")"),"Iochpe Maxion SA")</f>
        <v>Iochpe Maxion SA</v>
      </c>
      <c r="C413" s="46" t="str">
        <f>IFERROR((VLOOKUP(LEFT($A413,4),Setor!$A:$E,3,0)),"")</f>
        <v>Consumo Cíclico</v>
      </c>
      <c r="D413" s="46" t="str">
        <f>IFERROR((VLOOKUP(LEFT($A413,4),Setor!$A:$E,4,0)),"")</f>
        <v>Automóveis e Motocicletas</v>
      </c>
      <c r="E413" s="46" t="str">
        <f>IFERROR((VLOOKUP(LEFT($A413,4),Setor!$A:$E,5,0)),"")</f>
        <v>Automóveis e Motocicletas</v>
      </c>
      <c r="F413" s="47">
        <f>IFERROR(__xludf.DUMMYFUNCTION("IFERROR((GOOGLEFINANCE(A413)),"""")"),10.38)</f>
        <v>10.38</v>
      </c>
      <c r="G413" s="48" t="str">
        <f>IFERROR(__xludf.DUMMYFUNCTION("IFERROR((sparkline(GOOGLEFINANCE($A413,""price"",TODAY()-30,TODAY(),""DAILY""),{""charttype"",""line"";""linewidth"",1;""color"",""#5f88cc""})),"""")"),"")</f>
        <v/>
      </c>
      <c r="H413" s="49">
        <f>IFERROR(__xludf.DUMMYFUNCTION("IFERROR((((GOOGLEFINANCE(A413))-(INDEX(GoogleFinance(A413,""PRICE"",$AQ$1),2,2)))/(INDEX(GoogleFinance(A413,""PRICE"",$AQ$1),2,2))),"""")"),0.011695906432748635)</f>
        <v>0.01169590643</v>
      </c>
      <c r="I413" s="47">
        <f>IFERROR(__xludf.DUMMYFUNCTION("IFERROR((GOOGLEFINANCE($A413,""high52"")),"""")"),14.27)</f>
        <v>14.27</v>
      </c>
      <c r="J413" s="48" t="str">
        <f>IFERROR(__xludf.DUMMYFUNCTION("IFERROR((sparkline(GOOGLEFINANCE($A413,""price"",TODAY()-365,TODAY(),""DAILY""),{""charttype"",""line"";""linewidth"",1;""color"",""#5f88cc""})),"""")"),"")</f>
        <v/>
      </c>
      <c r="K413" s="50">
        <f>IFERROR(__xludf.DUMMYFUNCTION("IFERROR((((GOOGLEFINANCE(A413))-(INDEX(GoogleFinance(A413,""PRICE"",$AP$1),2,2)))/(INDEX(GoogleFinance(A413,""PRICE"",$AP$1),2,2))),"""")"),-0.2106463878326996)</f>
        <v>-0.2106463878</v>
      </c>
      <c r="L413" s="51">
        <f t="shared" si="1"/>
        <v>-0.2725998598</v>
      </c>
      <c r="M413" s="52">
        <f>IFERROR((VLOOKUP($A413,'Dados StatusInvest'!$A:$AZ,COLUMN(M413)-$A$5,0)*VLOOKUP($A413,'Dados StatusInvest'!$A:$AZ,2,0)/$F413/100),0)</f>
        <v>0.06378901734</v>
      </c>
      <c r="N413" s="53">
        <f>IFERROR((VLOOKUP($A413,'Dados StatusInvest'!$A:$AZ,COLUMN(N413)-$A$5,0)/VLOOKUP($A413,'Dados StatusInvest'!$A:$AZ,2,0)*$F413),"")</f>
        <v>1.26416746</v>
      </c>
      <c r="O413" s="53">
        <f>IFERROR((VLOOKUP($A413,'Dados StatusInvest'!$A:$AZ,COLUMN(O413)-$A$5,0)/VLOOKUP($A413,'Dados StatusInvest'!$A:$AZ,2,0)*$F413),0)</f>
        <v>1.609838249</v>
      </c>
      <c r="P413" s="54">
        <f>IFERROR((VLOOKUP($A413,'Dados StatusInvest'!$A:$AZ,COLUMN(P413)-$A$5,0)/VLOOKUP($A413,'Dados StatusInvest'!$A:$AZ,2,0)*$F413),0)</f>
        <v>5.589990485</v>
      </c>
      <c r="Q413" s="55">
        <f>IFERROR((VLOOKUP($A413,'Dados StatusInvest'!$A:$AZ,COLUMN(Q413)-$A$5,0)/100),0)</f>
        <v>0.0403</v>
      </c>
      <c r="R413" s="56">
        <f>VLOOKUP($A413,'Dados StatusInvest'!$A:$AZ,COLUMN(R413)-$A$5,0)</f>
        <v>0.95</v>
      </c>
      <c r="S413" s="56">
        <f>IFERROR((VLOOKUP($A413,'Dados StatusInvest'!$A:$AZ,COLUMN(S413)-$A$5,0)),0)</f>
        <v>0.1</v>
      </c>
      <c r="T413" s="53">
        <f>IFERROR((VLOOKUP($A413,'Dados StatusInvest'!$A:$AZ,COLUMN(T413)-$A$5,0)/VLOOKUP($A413,'Dados StatusInvest'!$A:$AZ,2,0)*$F413),0)</f>
        <v>0.5728258801</v>
      </c>
      <c r="U413" s="53">
        <f>IFERROR((VLOOKUP($A413,'Dados StatusInvest'!$A:$AZ,COLUMN(U413)-$A$5,0)-VLOOKUP($A413,'Dados StatusInvest'!$A:$AZ,COLUMN(U413)-$A$5-1,0)+T413),0)</f>
        <v>-0.2171741199</v>
      </c>
      <c r="V413" s="56">
        <f>IFERROR((VLOOKUP($A413,'Dados StatusInvest'!$A:$AZ,COLUMN(V413)-$A$5,0)),0)</f>
        <v>1.74</v>
      </c>
      <c r="W413" s="56">
        <f>IFERROR((VLOOKUP($A413,'Dados StatusInvest'!$A:$AZ,COLUMN(W413)-$A$5,0)),0)</f>
        <v>4.79</v>
      </c>
      <c r="X413" s="53">
        <f>IFERROR((VLOOKUP($A413,'Dados StatusInvest'!$A:$AZ,COLUMN(X413)-$A$5,0)/VLOOKUP($A413,'Dados StatusInvest'!$A:$AZ,2,0)*$F413),0)</f>
        <v>1.372806851</v>
      </c>
      <c r="Y413" s="54">
        <f>IFERROR((VLOOKUP($A413,'Dados StatusInvest'!$A:$AZ,COLUMN(Y413)-$A$5,0)/VLOOKUP($A413,'Dados StatusInvest'!$A:$AZ,2,0)*$F413),0)</f>
        <v>8.523254044</v>
      </c>
      <c r="Z413" s="56">
        <f>IFERROR((VLOOKUP($A413,'Dados StatusInvest'!$A:$AZ,COLUMN(Z413)-$A$5,0)),0)</f>
        <v>0.29</v>
      </c>
      <c r="AA413" s="57">
        <f>IFERROR((VLOOKUP($A413,'Dados StatusInvest'!$A:$AZ,COLUMN(AA413)-$A$5,0)),0)</f>
        <v>0.68</v>
      </c>
      <c r="AB413" s="57">
        <f>IFERROR((VLOOKUP($A413,'Dados StatusInvest'!$A:$AZ,COLUMN(AB413)-$A$5,0)),0)</f>
        <v>1.09</v>
      </c>
      <c r="AC413" s="58">
        <f>IFERROR((VLOOKUP($A413,'Dados StatusInvest'!$A:$AZ,COLUMN(AC413)-$A$5,0)),0)</f>
        <v>8.89</v>
      </c>
      <c r="AD413" s="57">
        <f>IFERROR((VLOOKUP($A413,'Dados StatusInvest'!$A:$AZ,COLUMN(AD413)-$A$5,0)),0)</f>
        <v>-9.83</v>
      </c>
      <c r="AE413" s="56">
        <f>IFERROR((VLOOKUP($A413,'Dados StatusInvest'!$A:$AZ,COLUMN(AE413)-$A$5,0)),0)</f>
        <v>11988510</v>
      </c>
      <c r="AF413" s="56">
        <f>IFERROR((VLOOKUP($A413,'Dados StatusInvest'!$A:$AZ,COLUMN(AF413)-$A$5,0)),0)</f>
        <v>27.31</v>
      </c>
      <c r="AG413" s="56">
        <f>IFERROR((VLOOKUP($A413,'Dados StatusInvest'!$A:$AZ,COLUMN(AG413)-$A$5,0)),0)</f>
        <v>1.31</v>
      </c>
      <c r="AH413" s="56">
        <f>IFERROR((VLOOKUP($A413,'Dados StatusInvest'!$A:$AZ,COLUMN(AH413)-$A$5,0)),0)</f>
        <v>1.23</v>
      </c>
      <c r="AI413" s="57">
        <f>IFERROR((VLOOKUP($A413,'Dados StatusInvest'!$A:$AZ,COLUMN(AI413)-$A$5,0)),0)</f>
        <v>1615593007</v>
      </c>
      <c r="AJ413" s="59" t="str">
        <f>IFERROR((VLOOKUP($A413,'Dados StatusInvest'!$A:$AZ,COLUMN(AJ413)-$A$5,0)),0)</f>
        <v/>
      </c>
      <c r="AK413" s="60">
        <f>IFERROR(__xludf.DUMMYFUNCTION("IFERROR(GOOGLEFINANCE($A413,""high""),"""")"),10.51)</f>
        <v>10.51</v>
      </c>
      <c r="AL413" s="60">
        <f>IFERROR(__xludf.DUMMYFUNCTION("IFERROR(GOOGLEFINANCE($A413,""low""),"""")"),10.41)</f>
        <v>10.41</v>
      </c>
      <c r="AM413" s="61">
        <f t="shared" si="2"/>
        <v>0.009606147935</v>
      </c>
      <c r="AN413" s="62">
        <f>IFERROR(__xludf.DUMMYFUNCTION("IFERROR((GOOGLEFINANCE($A413,""volume"")),0)"),75200.0)</f>
        <v>75200</v>
      </c>
      <c r="AO413" s="60">
        <f>IFERROR(__xludf.DUMMYFUNCTION("IFERROR((GOOGLEFINANCE($A413,""closeyest"")),"""")"),10.51)</f>
        <v>10.51</v>
      </c>
      <c r="AP413" s="60">
        <f>IFERROR(__xludf.DUMMYFUNCTION("IFERROR((GOOGLEFINANCE($A413,""shares"")),"""")"),1.53719601E8)</f>
        <v>153719601</v>
      </c>
      <c r="AQ413" s="18"/>
    </row>
    <row r="414">
      <c r="A414" s="45" t="str">
        <f>'Dados StatusInvest'!A409:A1028</f>
        <v>NAFG3</v>
      </c>
      <c r="B414" s="46" t="str">
        <f>IFERROR(__xludf.DUMMYFUNCTION("IFERROR((GOOGLEFINANCE(A414,""name"")),"""")"),"")</f>
        <v/>
      </c>
      <c r="C414" s="46" t="str">
        <f>IFERROR((VLOOKUP(LEFT($A414,4),Setor!$A:$E,3,0)),"")</f>
        <v>Consumo Cíclico</v>
      </c>
      <c r="D414" s="46" t="str">
        <f>IFERROR((VLOOKUP(LEFT($A414,4),Setor!$A:$E,4,0)),"")</f>
        <v>Utilidades Domésticas</v>
      </c>
      <c r="E414" s="46" t="str">
        <f>IFERROR((VLOOKUP(LEFT($A414,4),Setor!$A:$E,5,0)),"")</f>
        <v>Utensílios Domésticos</v>
      </c>
      <c r="F414" s="47" t="str">
        <f>IFERROR(__xludf.DUMMYFUNCTION("IFERROR((GOOGLEFINANCE(A414)),"""")"),"")</f>
        <v/>
      </c>
      <c r="G414" s="48" t="str">
        <f>IFERROR(__xludf.DUMMYFUNCTION("IFERROR((sparkline(GOOGLEFINANCE($A414,""price"",TODAY()-30,TODAY(),""DAILY""),{""charttype"",""line"";""linewidth"",1;""color"",""#5f88cc""})),"""")"),"")</f>
        <v/>
      </c>
      <c r="H414" s="49" t="str">
        <f>IFERROR(__xludf.DUMMYFUNCTION("IFERROR((((GOOGLEFINANCE(A414))-(INDEX(GoogleFinance(A414,""PRICE"",$AQ$1),2,2)))/(INDEX(GoogleFinance(A414,""PRICE"",$AQ$1),2,2))),"""")"),"")</f>
        <v/>
      </c>
      <c r="I414" s="47" t="str">
        <f>IFERROR(__xludf.DUMMYFUNCTION("IFERROR((GOOGLEFINANCE($A414,""high52"")),"""")"),"")</f>
        <v/>
      </c>
      <c r="J414" s="48" t="str">
        <f>IFERROR(__xludf.DUMMYFUNCTION("IFERROR((sparkline(GOOGLEFINANCE($A414,""price"",TODAY()-365,TODAY(),""DAILY""),{""charttype"",""line"";""linewidth"",1;""color"",""#5f88cc""})),"""")"),"")</f>
        <v/>
      </c>
      <c r="K414" s="50" t="str">
        <f>IFERROR(__xludf.DUMMYFUNCTION("IFERROR((((GOOGLEFINANCE(A414))-(INDEX(GoogleFinance(A414,""PRICE"",$AP$1),2,2)))/(INDEX(GoogleFinance(A414,""PRICE"",$AP$1),2,2))),"""")"),"")</f>
        <v/>
      </c>
      <c r="L414" s="51">
        <f t="shared" si="1"/>
        <v>0</v>
      </c>
      <c r="M414" s="52">
        <f>IFERROR((VLOOKUP($A414,'Dados StatusInvest'!$A:$AZ,COLUMN(M414)-$A$5,0)*VLOOKUP($A414,'Dados StatusInvest'!$A:$AZ,2,0)/$F414/100),0)</f>
        <v>0</v>
      </c>
      <c r="N414" s="53">
        <f>IFERROR((VLOOKUP($A414,'Dados StatusInvest'!$A:$AZ,COLUMN(N414)-$A$5,0)/VLOOKUP($A414,'Dados StatusInvest'!$A:$AZ,2,0)*$F414),"")</f>
        <v>0</v>
      </c>
      <c r="O414" s="53">
        <f>IFERROR((VLOOKUP($A414,'Dados StatusInvest'!$A:$AZ,COLUMN(O414)-$A$5,0)/VLOOKUP($A414,'Dados StatusInvest'!$A:$AZ,2,0)*$F414),0)</f>
        <v>0</v>
      </c>
      <c r="P414" s="54">
        <f>IFERROR((VLOOKUP($A414,'Dados StatusInvest'!$A:$AZ,COLUMN(P414)-$A$5,0)/VLOOKUP($A414,'Dados StatusInvest'!$A:$AZ,2,0)*$F414),0)</f>
        <v>0</v>
      </c>
      <c r="Q414" s="55">
        <f>IFERROR((VLOOKUP($A414,'Dados StatusInvest'!$A:$AZ,COLUMN(Q414)-$A$5,0)/100),0)</f>
        <v>0.0117</v>
      </c>
      <c r="R414" s="56">
        <f>VLOOKUP($A414,'Dados StatusInvest'!$A:$AZ,COLUMN(R414)-$A$5,0)</f>
        <v>0.48</v>
      </c>
      <c r="S414" s="56">
        <f>IFERROR((VLOOKUP($A414,'Dados StatusInvest'!$A:$AZ,COLUMN(S414)-$A$5,0)),0)</f>
        <v>1.1</v>
      </c>
      <c r="T414" s="53">
        <f>IFERROR((VLOOKUP($A414,'Dados StatusInvest'!$A:$AZ,COLUMN(T414)-$A$5,0)/VLOOKUP($A414,'Dados StatusInvest'!$A:$AZ,2,0)*$F414),0)</f>
        <v>0</v>
      </c>
      <c r="U414" s="53">
        <f>IFERROR((VLOOKUP($A414,'Dados StatusInvest'!$A:$AZ,COLUMN(U414)-$A$5,0)-VLOOKUP($A414,'Dados StatusInvest'!$A:$AZ,COLUMN(U414)-$A$5-1,0)+T414),0)</f>
        <v>-6.07</v>
      </c>
      <c r="V414" s="56">
        <f>IFERROR((VLOOKUP($A414,'Dados StatusInvest'!$A:$AZ,COLUMN(V414)-$A$5,0)),0)</f>
        <v>2.52</v>
      </c>
      <c r="W414" s="56">
        <f>IFERROR((VLOOKUP($A414,'Dados StatusInvest'!$A:$AZ,COLUMN(W414)-$A$5,0)),0)</f>
        <v>23.42</v>
      </c>
      <c r="X414" s="53">
        <f>IFERROR((VLOOKUP($A414,'Dados StatusInvest'!$A:$AZ,COLUMN(X414)-$A$5,0)/VLOOKUP($A414,'Dados StatusInvest'!$A:$AZ,2,0)*$F414),0)</f>
        <v>0</v>
      </c>
      <c r="Y414" s="54">
        <f>IFERROR((VLOOKUP($A414,'Dados StatusInvest'!$A:$AZ,COLUMN(Y414)-$A$5,0)/VLOOKUP($A414,'Dados StatusInvest'!$A:$AZ,2,0)*$F414),0)</f>
        <v>0</v>
      </c>
      <c r="Z414" s="56">
        <f>IFERROR((VLOOKUP($A414,'Dados StatusInvest'!$A:$AZ,COLUMN(Z414)-$A$5,0)),0)</f>
        <v>0.42</v>
      </c>
      <c r="AA414" s="57">
        <f>IFERROR((VLOOKUP($A414,'Dados StatusInvest'!$A:$AZ,COLUMN(AA414)-$A$5,0)),0)</f>
        <v>0.58</v>
      </c>
      <c r="AB414" s="57">
        <f>IFERROR((VLOOKUP($A414,'Dados StatusInvest'!$A:$AZ,COLUMN(AB414)-$A$5,0)),0)</f>
        <v>1.05</v>
      </c>
      <c r="AC414" s="58">
        <f>IFERROR((VLOOKUP($A414,'Dados StatusInvest'!$A:$AZ,COLUMN(AC414)-$A$5,0)),0)</f>
        <v>7.87</v>
      </c>
      <c r="AD414" s="57">
        <f>IFERROR((VLOOKUP($A414,'Dados StatusInvest'!$A:$AZ,COLUMN(AD414)-$A$5,0)),0)</f>
        <v>35.19</v>
      </c>
      <c r="AE414" s="56">
        <f>IFERROR((VLOOKUP($A414,'Dados StatusInvest'!$A:$AZ,COLUMN(AE414)-$A$5,0)),0)</f>
        <v>0</v>
      </c>
      <c r="AF414" s="56">
        <f>IFERROR((VLOOKUP($A414,'Dados StatusInvest'!$A:$AZ,COLUMN(AF414)-$A$5,0)),0)</f>
        <v>23.3</v>
      </c>
      <c r="AG414" s="56">
        <f>IFERROR((VLOOKUP($A414,'Dados StatusInvest'!$A:$AZ,COLUMN(AG414)-$A$5,0)),0)</f>
        <v>5.46</v>
      </c>
      <c r="AH414" s="56">
        <f>IFERROR((VLOOKUP($A414,'Dados StatusInvest'!$A:$AZ,COLUMN(AH414)-$A$5,0)),0)</f>
        <v>-1.14</v>
      </c>
      <c r="AI414" s="57">
        <f>IFERROR((VLOOKUP($A414,'Dados StatusInvest'!$A:$AZ,COLUMN(AI414)-$A$5,0)),0)</f>
        <v>508315292.4</v>
      </c>
      <c r="AJ414" s="59" t="str">
        <f>IFERROR((VLOOKUP($A414,'Dados StatusInvest'!$A:$AZ,COLUMN(AJ414)-$A$5,0)),0)</f>
        <v/>
      </c>
      <c r="AK414" s="60" t="str">
        <f>IFERROR(__xludf.DUMMYFUNCTION("IFERROR(GOOGLEFINANCE($A414,""high""),"""")"),"")</f>
        <v/>
      </c>
      <c r="AL414" s="60" t="str">
        <f>IFERROR(__xludf.DUMMYFUNCTION("IFERROR(GOOGLEFINANCE($A414,""low""),"""")"),"")</f>
        <v/>
      </c>
      <c r="AM414" s="61">
        <f t="shared" si="2"/>
        <v>0</v>
      </c>
      <c r="AN414" s="62">
        <f>IFERROR(__xludf.DUMMYFUNCTION("IFERROR((GOOGLEFINANCE($A414,""volume"")),0)"),0.0)</f>
        <v>0</v>
      </c>
      <c r="AO414" s="60" t="str">
        <f>IFERROR(__xludf.DUMMYFUNCTION("IFERROR((GOOGLEFINANCE($A414,""closeyest"")),"""")"),"")</f>
        <v/>
      </c>
      <c r="AP414" s="60" t="str">
        <f>IFERROR(__xludf.DUMMYFUNCTION("IFERROR((GOOGLEFINANCE($A414,""shares"")),"""")"),"")</f>
        <v/>
      </c>
      <c r="AQ414" s="18"/>
    </row>
    <row r="415">
      <c r="A415" s="45" t="str">
        <f>'Dados StatusInvest'!A410:A1029</f>
        <v>NAFG4</v>
      </c>
      <c r="B415" s="46" t="str">
        <f>IFERROR(__xludf.DUMMYFUNCTION("IFERROR((GOOGLEFINANCE(A415,""name"")),"""")"),"")</f>
        <v/>
      </c>
      <c r="C415" s="46" t="str">
        <f>IFERROR((VLOOKUP(LEFT($A415,4),Setor!$A:$E,3,0)),"")</f>
        <v>Consumo Cíclico</v>
      </c>
      <c r="D415" s="46" t="str">
        <f>IFERROR((VLOOKUP(LEFT($A415,4),Setor!$A:$E,4,0)),"")</f>
        <v>Utilidades Domésticas</v>
      </c>
      <c r="E415" s="46" t="str">
        <f>IFERROR((VLOOKUP(LEFT($A415,4),Setor!$A:$E,5,0)),"")</f>
        <v>Utensílios Domésticos</v>
      </c>
      <c r="F415" s="47" t="str">
        <f>IFERROR(__xludf.DUMMYFUNCTION("IFERROR((GOOGLEFINANCE(A415)),"""")"),"")</f>
        <v/>
      </c>
      <c r="G415" s="48" t="str">
        <f>IFERROR(__xludf.DUMMYFUNCTION("IFERROR((sparkline(GOOGLEFINANCE($A415,""price"",TODAY()-30,TODAY(),""DAILY""),{""charttype"",""line"";""linewidth"",1;""color"",""#5f88cc""})),"""")"),"")</f>
        <v/>
      </c>
      <c r="H415" s="49" t="str">
        <f>IFERROR(__xludf.DUMMYFUNCTION("IFERROR((((GOOGLEFINANCE(A415))-(INDEX(GoogleFinance(A415,""PRICE"",$AQ$1),2,2)))/(INDEX(GoogleFinance(A415,""PRICE"",$AQ$1),2,2))),"""")"),"")</f>
        <v/>
      </c>
      <c r="I415" s="47" t="str">
        <f>IFERROR(__xludf.DUMMYFUNCTION("IFERROR((GOOGLEFINANCE($A415,""high52"")),"""")"),"")</f>
        <v/>
      </c>
      <c r="J415" s="48" t="str">
        <f>IFERROR(__xludf.DUMMYFUNCTION("IFERROR((sparkline(GOOGLEFINANCE($A415,""price"",TODAY()-365,TODAY(),""DAILY""),{""charttype"",""line"";""linewidth"",1;""color"",""#5f88cc""})),"""")"),"")</f>
        <v/>
      </c>
      <c r="K415" s="50" t="str">
        <f>IFERROR(__xludf.DUMMYFUNCTION("IFERROR((((GOOGLEFINANCE(A415))-(INDEX(GoogleFinance(A415,""PRICE"",$AP$1),2,2)))/(INDEX(GoogleFinance(A415,""PRICE"",$AP$1),2,2))),"""")"),"")</f>
        <v/>
      </c>
      <c r="L415" s="51">
        <f t="shared" si="1"/>
        <v>0</v>
      </c>
      <c r="M415" s="52">
        <f>IFERROR((VLOOKUP($A415,'Dados StatusInvest'!$A:$AZ,COLUMN(M415)-$A$5,0)*VLOOKUP($A415,'Dados StatusInvest'!$A:$AZ,2,0)/$F415/100),0)</f>
        <v>0</v>
      </c>
      <c r="N415" s="53">
        <f>IFERROR((VLOOKUP($A415,'Dados StatusInvest'!$A:$AZ,COLUMN(N415)-$A$5,0)/VLOOKUP($A415,'Dados StatusInvest'!$A:$AZ,2,0)*$F415),"")</f>
        <v>0</v>
      </c>
      <c r="O415" s="53">
        <f>IFERROR((VLOOKUP($A415,'Dados StatusInvest'!$A:$AZ,COLUMN(O415)-$A$5,0)/VLOOKUP($A415,'Dados StatusInvest'!$A:$AZ,2,0)*$F415),0)</f>
        <v>0</v>
      </c>
      <c r="P415" s="54">
        <f>IFERROR((VLOOKUP($A415,'Dados StatusInvest'!$A:$AZ,COLUMN(P415)-$A$5,0)/VLOOKUP($A415,'Dados StatusInvest'!$A:$AZ,2,0)*$F415),0)</f>
        <v>0</v>
      </c>
      <c r="Q415" s="55">
        <f>IFERROR((VLOOKUP($A415,'Dados StatusInvest'!$A:$AZ,COLUMN(Q415)-$A$5,0)/100),0)</f>
        <v>0.0117</v>
      </c>
      <c r="R415" s="56">
        <f>VLOOKUP($A415,'Dados StatusInvest'!$A:$AZ,COLUMN(R415)-$A$5,0)</f>
        <v>0.48</v>
      </c>
      <c r="S415" s="56">
        <f>IFERROR((VLOOKUP($A415,'Dados StatusInvest'!$A:$AZ,COLUMN(S415)-$A$5,0)),0)</f>
        <v>0.33</v>
      </c>
      <c r="T415" s="53">
        <f>IFERROR((VLOOKUP($A415,'Dados StatusInvest'!$A:$AZ,COLUMN(T415)-$A$5,0)/VLOOKUP($A415,'Dados StatusInvest'!$A:$AZ,2,0)*$F415),0)</f>
        <v>0</v>
      </c>
      <c r="U415" s="53">
        <f>IFERROR((VLOOKUP($A415,'Dados StatusInvest'!$A:$AZ,COLUMN(U415)-$A$5,0)-VLOOKUP($A415,'Dados StatusInvest'!$A:$AZ,COLUMN(U415)-$A$5-1,0)+T415),0)</f>
        <v>-1.79</v>
      </c>
      <c r="V415" s="56">
        <f>IFERROR((VLOOKUP($A415,'Dados StatusInvest'!$A:$AZ,COLUMN(V415)-$A$5,0)),0)</f>
        <v>2.52</v>
      </c>
      <c r="W415" s="56">
        <f>IFERROR((VLOOKUP($A415,'Dados StatusInvest'!$A:$AZ,COLUMN(W415)-$A$5,0)),0)</f>
        <v>23.42</v>
      </c>
      <c r="X415" s="53">
        <f>IFERROR((VLOOKUP($A415,'Dados StatusInvest'!$A:$AZ,COLUMN(X415)-$A$5,0)/VLOOKUP($A415,'Dados StatusInvest'!$A:$AZ,2,0)*$F415),0)</f>
        <v>0</v>
      </c>
      <c r="Y415" s="54">
        <f>IFERROR((VLOOKUP($A415,'Dados StatusInvest'!$A:$AZ,COLUMN(Y415)-$A$5,0)/VLOOKUP($A415,'Dados StatusInvest'!$A:$AZ,2,0)*$F415),0)</f>
        <v>0</v>
      </c>
      <c r="Z415" s="56">
        <f>IFERROR((VLOOKUP($A415,'Dados StatusInvest'!$A:$AZ,COLUMN(Z415)-$A$5,0)),0)</f>
        <v>0.42</v>
      </c>
      <c r="AA415" s="57">
        <f>IFERROR((VLOOKUP($A415,'Dados StatusInvest'!$A:$AZ,COLUMN(AA415)-$A$5,0)),0)</f>
        <v>0.58</v>
      </c>
      <c r="AB415" s="57">
        <f>IFERROR((VLOOKUP($A415,'Dados StatusInvest'!$A:$AZ,COLUMN(AB415)-$A$5,0)),0)</f>
        <v>1.05</v>
      </c>
      <c r="AC415" s="58">
        <f>IFERROR((VLOOKUP($A415,'Dados StatusInvest'!$A:$AZ,COLUMN(AC415)-$A$5,0)),0)</f>
        <v>7.87</v>
      </c>
      <c r="AD415" s="57">
        <f>IFERROR((VLOOKUP($A415,'Dados StatusInvest'!$A:$AZ,COLUMN(AD415)-$A$5,0)),0)</f>
        <v>35.19</v>
      </c>
      <c r="AE415" s="56">
        <f>IFERROR((VLOOKUP($A415,'Dados StatusInvest'!$A:$AZ,COLUMN(AE415)-$A$5,0)),0)</f>
        <v>0</v>
      </c>
      <c r="AF415" s="56">
        <f>IFERROR((VLOOKUP($A415,'Dados StatusInvest'!$A:$AZ,COLUMN(AF415)-$A$5,0)),0)</f>
        <v>23.3</v>
      </c>
      <c r="AG415" s="56">
        <f>IFERROR((VLOOKUP($A415,'Dados StatusInvest'!$A:$AZ,COLUMN(AG415)-$A$5,0)),0)</f>
        <v>5.46</v>
      </c>
      <c r="AH415" s="56">
        <f>IFERROR((VLOOKUP($A415,'Dados StatusInvest'!$A:$AZ,COLUMN(AH415)-$A$5,0)),0)</f>
        <v>-0.34</v>
      </c>
      <c r="AI415" s="57">
        <f>IFERROR((VLOOKUP($A415,'Dados StatusInvest'!$A:$AZ,COLUMN(AI415)-$A$5,0)),0)</f>
        <v>508315292.4</v>
      </c>
      <c r="AJ415" s="59" t="str">
        <f>IFERROR((VLOOKUP($A415,'Dados StatusInvest'!$A:$AZ,COLUMN(AJ415)-$A$5,0)),0)</f>
        <v/>
      </c>
      <c r="AK415" s="60" t="str">
        <f>IFERROR(__xludf.DUMMYFUNCTION("IFERROR(GOOGLEFINANCE($A415,""high""),"""")"),"")</f>
        <v/>
      </c>
      <c r="AL415" s="60" t="str">
        <f>IFERROR(__xludf.DUMMYFUNCTION("IFERROR(GOOGLEFINANCE($A415,""low""),"""")"),"")</f>
        <v/>
      </c>
      <c r="AM415" s="61">
        <f t="shared" si="2"/>
        <v>0</v>
      </c>
      <c r="AN415" s="62">
        <f>IFERROR(__xludf.DUMMYFUNCTION("IFERROR((GOOGLEFINANCE($A415,""volume"")),0)"),0.0)</f>
        <v>0</v>
      </c>
      <c r="AO415" s="60" t="str">
        <f>IFERROR(__xludf.DUMMYFUNCTION("IFERROR((GOOGLEFINANCE($A415,""closeyest"")),"""")"),"")</f>
        <v/>
      </c>
      <c r="AP415" s="60" t="str">
        <f>IFERROR(__xludf.DUMMYFUNCTION("IFERROR((GOOGLEFINANCE($A415,""shares"")),"""")"),"")</f>
        <v/>
      </c>
      <c r="AQ415" s="18"/>
    </row>
    <row r="416">
      <c r="A416" s="45" t="str">
        <f>'Dados StatusInvest'!A411:A1030</f>
        <v>NATU3</v>
      </c>
      <c r="B416" s="46" t="str">
        <f>IFERROR(__xludf.DUMMYFUNCTION("IFERROR((GOOGLEFINANCE(A416,""name"")),"""")"),"Natura &amp; Co Holding Cedear")</f>
        <v>Natura &amp; Co Holding Cedear</v>
      </c>
      <c r="C416" s="46" t="str">
        <f>IFERROR((VLOOKUP(LEFT($A416,4),Setor!$A:$E,3,0)),"")</f>
        <v/>
      </c>
      <c r="D416" s="46" t="str">
        <f>IFERROR((VLOOKUP(LEFT($A416,4),Setor!$A:$E,4,0)),"")</f>
        <v/>
      </c>
      <c r="E416" s="46" t="str">
        <f>IFERROR((VLOOKUP(LEFT($A416,4),Setor!$A:$E,5,0)),"")</f>
        <v/>
      </c>
      <c r="F416" s="47">
        <f>IFERROR(__xludf.DUMMYFUNCTION("IFERROR((GOOGLEFINANCE(A416)),"""")"),2552.5)</f>
        <v>2552.5</v>
      </c>
      <c r="G416" s="48" t="str">
        <f>IFERROR(__xludf.DUMMYFUNCTION("IFERROR((sparkline(GOOGLEFINANCE($A416,""price"",TODAY()-30,TODAY(),""DAILY""),{""charttype"",""line"";""linewidth"",1;""color"",""#5f88cc""})),"""")"),"")</f>
        <v/>
      </c>
      <c r="H416" s="49">
        <f>IFERROR(__xludf.DUMMYFUNCTION("IFERROR((((GOOGLEFINANCE(A416))-(INDEX(GoogleFinance(A416,""PRICE"",$AQ$1),2,2)))/(INDEX(GoogleFinance(A416,""PRICE"",$AQ$1),2,2))),"""")"),0.20174199623352165)</f>
        <v>0.2017419962</v>
      </c>
      <c r="I416" s="47">
        <f>IFERROR(__xludf.DUMMYFUNCTION("IFERROR((GOOGLEFINANCE($A416,""high52"")),"""")"),3090.0)</f>
        <v>3090</v>
      </c>
      <c r="J416" s="48" t="str">
        <f>IFERROR(__xludf.DUMMYFUNCTION("IFERROR((sparkline(GOOGLEFINANCE($A416,""price"",TODAY()-365,TODAY(),""DAILY""),{""charttype"",""line"";""linewidth"",1;""color"",""#5f88cc""})),"""")"),"")</f>
        <v/>
      </c>
      <c r="K416" s="50" t="str">
        <f>IFERROR(__xludf.DUMMYFUNCTION("IFERROR((((GOOGLEFINANCE(A416))-(INDEX(GoogleFinance(A416,""PRICE"",$AP$1),2,2)))/(INDEX(GoogleFinance(A416,""PRICE"",$AP$1),2,2))),"""")"),"")</f>
        <v/>
      </c>
      <c r="L416" s="51">
        <f t="shared" si="1"/>
        <v>-0.1739482201</v>
      </c>
      <c r="M416" s="52">
        <f>IFERROR((VLOOKUP($A416,'Dados StatusInvest'!$A:$AZ,COLUMN(M416)-$A$5,0)*VLOOKUP($A416,'Dados StatusInvest'!$A:$AZ,2,0)/$F416/100),0)</f>
        <v>0.0001816885406</v>
      </c>
      <c r="N416" s="53">
        <f>IFERROR((VLOOKUP($A416,'Dados StatusInvest'!$A:$AZ,COLUMN(N416)-$A$5,0)/VLOOKUP($A416,'Dados StatusInvest'!$A:$AZ,2,0)*$F416),"")</f>
        <v>-1698.026738</v>
      </c>
      <c r="O416" s="53">
        <f>IFERROR((VLOOKUP($A416,'Dados StatusInvest'!$A:$AZ,COLUMN(O416)-$A$5,0)/VLOOKUP($A416,'Dados StatusInvest'!$A:$AZ,2,0)*$F416),0)</f>
        <v>3166.737968</v>
      </c>
      <c r="P416" s="54">
        <f>IFERROR((VLOOKUP($A416,'Dados StatusInvest'!$A:$AZ,COLUMN(P416)-$A$5,0)/VLOOKUP($A416,'Dados StatusInvest'!$A:$AZ,2,0)*$F416),0)</f>
        <v>4174.088235</v>
      </c>
      <c r="Q416" s="55">
        <f>IFERROR((VLOOKUP($A416,'Dados StatusInvest'!$A:$AZ,COLUMN(Q416)-$A$5,0)/100),0)</f>
        <v>0.0368</v>
      </c>
      <c r="R416" s="56">
        <f>VLOOKUP($A416,'Dados StatusInvest'!$A:$AZ,COLUMN(R416)-$A$5,0)</f>
        <v>0.31</v>
      </c>
      <c r="S416" s="56">
        <f>IFERROR((VLOOKUP($A416,'Dados StatusInvest'!$A:$AZ,COLUMN(S416)-$A$5,0)),0)</f>
        <v>0.58</v>
      </c>
      <c r="T416" s="53">
        <f>IFERROR((VLOOKUP($A416,'Dados StatusInvest'!$A:$AZ,COLUMN(T416)-$A$5,0)/VLOOKUP($A416,'Dados StatusInvest'!$A:$AZ,2,0)*$F416),0)</f>
        <v>745.2754011</v>
      </c>
      <c r="U416" s="53">
        <f>IFERROR((VLOOKUP($A416,'Dados StatusInvest'!$A:$AZ,COLUMN(U416)-$A$5,0)-VLOOKUP($A416,'Dados StatusInvest'!$A:$AZ,COLUMN(U416)-$A$5-1,0)+T416),0)</f>
        <v>741.7854011</v>
      </c>
      <c r="V416" s="56">
        <f>IFERROR((VLOOKUP($A416,'Dados StatusInvest'!$A:$AZ,COLUMN(V416)-$A$5,0)),0)</f>
        <v>1.63</v>
      </c>
      <c r="W416" s="56">
        <f>IFERROR((VLOOKUP($A416,'Dados StatusInvest'!$A:$AZ,COLUMN(W416)-$A$5,0)),0)</f>
        <v>-10.65</v>
      </c>
      <c r="X416" s="53">
        <f>IFERROR((VLOOKUP($A416,'Dados StatusInvest'!$A:$AZ,COLUMN(X416)-$A$5,0)/VLOOKUP($A416,'Dados StatusInvest'!$A:$AZ,2,0)*$F416),0)</f>
        <v>-1304.914439</v>
      </c>
      <c r="Y416" s="54">
        <f>IFERROR((VLOOKUP($A416,'Dados StatusInvest'!$A:$AZ,COLUMN(Y416)-$A$5,0)/VLOOKUP($A416,'Dados StatusInvest'!$A:$AZ,2,0)*$F416),0)</f>
        <v>660.6470588</v>
      </c>
      <c r="Z416" s="56">
        <f>IFERROR((VLOOKUP($A416,'Dados StatusInvest'!$A:$AZ,COLUMN(Z416)-$A$5,0)),0)</f>
        <v>0.45</v>
      </c>
      <c r="AA416" s="57">
        <f>IFERROR((VLOOKUP($A416,'Dados StatusInvest'!$A:$AZ,COLUMN(AA416)-$A$5,0)),0)</f>
        <v>0.55</v>
      </c>
      <c r="AB416" s="57">
        <f>IFERROR((VLOOKUP($A416,'Dados StatusInvest'!$A:$AZ,COLUMN(AB416)-$A$5,0)),0)</f>
        <v>0.77</v>
      </c>
      <c r="AC416" s="58">
        <f>IFERROR((VLOOKUP($A416,'Dados StatusInvest'!$A:$AZ,COLUMN(AC416)-$A$5,0)),0)</f>
        <v>0</v>
      </c>
      <c r="AD416" s="57">
        <f>IFERROR((VLOOKUP($A416,'Dados StatusInvest'!$A:$AZ,COLUMN(AD416)-$A$5,0)),0)</f>
        <v>0</v>
      </c>
      <c r="AE416" s="56">
        <f>IFERROR((VLOOKUP($A416,'Dados StatusInvest'!$A:$AZ,COLUMN(AE416)-$A$5,0)),0)</f>
        <v>77440422</v>
      </c>
      <c r="AF416" s="56">
        <f>IFERROR((VLOOKUP($A416,'Dados StatusInvest'!$A:$AZ,COLUMN(AF416)-$A$5,0)),0)</f>
        <v>9.49</v>
      </c>
      <c r="AG416" s="56">
        <f>IFERROR((VLOOKUP($A416,'Dados StatusInvest'!$A:$AZ,COLUMN(AG416)-$A$5,0)),0)</f>
        <v>-1.01</v>
      </c>
      <c r="AH416" s="56">
        <f>IFERROR((VLOOKUP($A416,'Dados StatusInvest'!$A:$AZ,COLUMN(AH416)-$A$5,0)),0)</f>
        <v>-0.03</v>
      </c>
      <c r="AI416" s="57">
        <f>IFERROR((VLOOKUP($A416,'Dados StatusInvest'!$A:$AZ,COLUMN(AI416)-$A$5,0)),0)</f>
        <v>12852114093</v>
      </c>
      <c r="AJ416" s="59" t="str">
        <f>IFERROR((VLOOKUP($A416,'Dados StatusInvest'!$A:$AZ,COLUMN(AJ416)-$A$5,0)),0)</f>
        <v/>
      </c>
      <c r="AK416" s="60" t="str">
        <f>IFERROR(__xludf.DUMMYFUNCTION("IFERROR(GOOGLEFINANCE($A416,""high""),"""")"),"")</f>
        <v/>
      </c>
      <c r="AL416" s="60" t="str">
        <f>IFERROR(__xludf.DUMMYFUNCTION("IFERROR(GOOGLEFINANCE($A416,""low""),"""")"),"")</f>
        <v/>
      </c>
      <c r="AM416" s="61">
        <f t="shared" si="2"/>
        <v>0</v>
      </c>
      <c r="AN416" s="62">
        <f>IFERROR(__xludf.DUMMYFUNCTION("IFERROR((GOOGLEFINANCE($A416,""volume"")),0)"),0.0)</f>
        <v>0</v>
      </c>
      <c r="AO416" s="60">
        <f>IFERROR(__xludf.DUMMYFUNCTION("IFERROR((GOOGLEFINANCE($A416,""closeyest"")),"""")"),2555.0)</f>
        <v>2555</v>
      </c>
      <c r="AP416" s="60">
        <f>IFERROR(__xludf.DUMMYFUNCTION("IFERROR((GOOGLEFINANCE($A416,""shares"")),"""")"),1.374117657E9)</f>
        <v>1374117657</v>
      </c>
      <c r="AQ416" s="18"/>
    </row>
    <row r="417">
      <c r="A417" s="45" t="str">
        <f>'Dados StatusInvest'!A412:A1031</f>
        <v>NEMO3</v>
      </c>
      <c r="B417" s="46" t="str">
        <f>IFERROR(__xludf.DUMMYFUNCTION("IFERROR((GOOGLEFINANCE(A417,""name"")),"""")"),"Suzano Holding SA")</f>
        <v>Suzano Holding SA</v>
      </c>
      <c r="C417" s="46" t="str">
        <f>IFERROR((VLOOKUP(LEFT($A417,4),Setor!$A:$E,3,0)),"")</f>
        <v>Materiais Básicos</v>
      </c>
      <c r="D417" s="46" t="str">
        <f>IFERROR((VLOOKUP(LEFT($A417,4),Setor!$A:$E,4,0)),"")</f>
        <v>Madeira e Papel</v>
      </c>
      <c r="E417" s="46" t="str">
        <f>IFERROR((VLOOKUP(LEFT($A417,4),Setor!$A:$E,5,0)),"")</f>
        <v>Papel e Celulose</v>
      </c>
      <c r="F417" s="47">
        <f>IFERROR(__xludf.DUMMYFUNCTION("IFERROR((GOOGLEFINANCE(A417)),"""")"),0.0)</f>
        <v>0</v>
      </c>
      <c r="G417" s="48" t="str">
        <f>IFERROR(__xludf.DUMMYFUNCTION("IFERROR((sparkline(GOOGLEFINANCE($A417,""price"",TODAY()-30,TODAY(),""DAILY""),{""charttype"",""line"";""linewidth"",1;""color"",""#5f88cc""})),"""")"),"")</f>
        <v/>
      </c>
      <c r="H417" s="49" t="str">
        <f>IFERROR(__xludf.DUMMYFUNCTION("IFERROR((((GOOGLEFINANCE(A417))-(INDEX(GoogleFinance(A417,""PRICE"",$AQ$1),2,2)))/(INDEX(GoogleFinance(A417,""PRICE"",$AQ$1),2,2))),"""")"),"")</f>
        <v/>
      </c>
      <c r="I417" s="47" t="str">
        <f>IFERROR(__xludf.DUMMYFUNCTION("IFERROR((GOOGLEFINANCE($A417,""high52"")),"""")"),"")</f>
        <v/>
      </c>
      <c r="J417" s="48" t="str">
        <f>IFERROR(__xludf.DUMMYFUNCTION("IFERROR((sparkline(GOOGLEFINANCE($A417,""price"",TODAY()-365,TODAY(),""DAILY""),{""charttype"",""line"";""linewidth"",1;""color"",""#5f88cc""})),"""")"),"")</f>
        <v/>
      </c>
      <c r="K417" s="50" t="str">
        <f>IFERROR(__xludf.DUMMYFUNCTION("IFERROR((((GOOGLEFINANCE(A417))-(INDEX(GoogleFinance(A417,""PRICE"",$AP$1),2,2)))/(INDEX(GoogleFinance(A417,""PRICE"",$AP$1),2,2))),"""")"),"")</f>
        <v/>
      </c>
      <c r="L417" s="51">
        <f t="shared" si="1"/>
        <v>0</v>
      </c>
      <c r="M417" s="52">
        <f>IFERROR((VLOOKUP($A417,'Dados StatusInvest'!$A:$AZ,COLUMN(M417)-$A$5,0)*VLOOKUP($A417,'Dados StatusInvest'!$A:$AZ,2,0)/$F417/100),0)</f>
        <v>0</v>
      </c>
      <c r="N417" s="53" t="str">
        <f>IFERROR((VLOOKUP($A417,'Dados StatusInvest'!$A:$AZ,COLUMN(N417)-$A$5,0)/VLOOKUP($A417,'Dados StatusInvest'!$A:$AZ,2,0)*$F417),"")</f>
        <v/>
      </c>
      <c r="O417" s="53">
        <f>IFERROR((VLOOKUP($A417,'Dados StatusInvest'!$A:$AZ,COLUMN(O417)-$A$5,0)/VLOOKUP($A417,'Dados StatusInvest'!$A:$AZ,2,0)*$F417),0)</f>
        <v>0</v>
      </c>
      <c r="P417" s="54">
        <f>IFERROR((VLOOKUP($A417,'Dados StatusInvest'!$A:$AZ,COLUMN(P417)-$A$5,0)/VLOOKUP($A417,'Dados StatusInvest'!$A:$AZ,2,0)*$F417),0)</f>
        <v>0</v>
      </c>
      <c r="Q417" s="55">
        <f>IFERROR((VLOOKUP($A417,'Dados StatusInvest'!$A:$AZ,COLUMN(Q417)-$A$5,0)/100),0)</f>
        <v>0.0602</v>
      </c>
      <c r="R417" s="56">
        <f>VLOOKUP($A417,'Dados StatusInvest'!$A:$AZ,COLUMN(R417)-$A$5,0)</f>
        <v>5.14</v>
      </c>
      <c r="S417" s="56">
        <f>IFERROR((VLOOKUP($A417,'Dados StatusInvest'!$A:$AZ,COLUMN(S417)-$A$5,0)),0)</f>
        <v>0</v>
      </c>
      <c r="T417" s="53">
        <f>IFERROR((VLOOKUP($A417,'Dados StatusInvest'!$A:$AZ,COLUMN(T417)-$A$5,0)/VLOOKUP($A417,'Dados StatusInvest'!$A:$AZ,2,0)*$F417),0)</f>
        <v>0</v>
      </c>
      <c r="U417" s="53">
        <f>IFERROR((VLOOKUP($A417,'Dados StatusInvest'!$A:$AZ,COLUMN(U417)-$A$5,0)-VLOOKUP($A417,'Dados StatusInvest'!$A:$AZ,COLUMN(U417)-$A$5-1,0)+T417),0)</f>
        <v>0</v>
      </c>
      <c r="V417" s="56">
        <f>IFERROR((VLOOKUP($A417,'Dados StatusInvest'!$A:$AZ,COLUMN(V417)-$A$5,0)),0)</f>
        <v>3.2</v>
      </c>
      <c r="W417" s="56">
        <f>IFERROR((VLOOKUP($A417,'Dados StatusInvest'!$A:$AZ,COLUMN(W417)-$A$5,0)),0)</f>
        <v>13.99</v>
      </c>
      <c r="X417" s="53">
        <f>IFERROR((VLOOKUP($A417,'Dados StatusInvest'!$A:$AZ,COLUMN(X417)-$A$5,0)/VLOOKUP($A417,'Dados StatusInvest'!$A:$AZ,2,0)*$F417),0)</f>
        <v>0</v>
      </c>
      <c r="Y417" s="54">
        <f>IFERROR((VLOOKUP($A417,'Dados StatusInvest'!$A:$AZ,COLUMN(Y417)-$A$5,0)/VLOOKUP($A417,'Dados StatusInvest'!$A:$AZ,2,0)*$F417),0)</f>
        <v>0</v>
      </c>
      <c r="Z417" s="56">
        <f>IFERROR((VLOOKUP($A417,'Dados StatusInvest'!$A:$AZ,COLUMN(Z417)-$A$5,0)),0)</f>
        <v>0.08</v>
      </c>
      <c r="AA417" s="57">
        <f>IFERROR((VLOOKUP($A417,'Dados StatusInvest'!$A:$AZ,COLUMN(AA417)-$A$5,0)),0)</f>
        <v>0.72</v>
      </c>
      <c r="AB417" s="57">
        <f>IFERROR((VLOOKUP($A417,'Dados StatusInvest'!$A:$AZ,COLUMN(AB417)-$A$5,0)),0)</f>
        <v>0.31</v>
      </c>
      <c r="AC417" s="58">
        <f>IFERROR((VLOOKUP($A417,'Dados StatusInvest'!$A:$AZ,COLUMN(AC417)-$A$5,0)),0)</f>
        <v>12.75</v>
      </c>
      <c r="AD417" s="57">
        <f>IFERROR((VLOOKUP($A417,'Dados StatusInvest'!$A:$AZ,COLUMN(AD417)-$A$5,0)),0)</f>
        <v>0</v>
      </c>
      <c r="AE417" s="56">
        <f>IFERROR((VLOOKUP($A417,'Dados StatusInvest'!$A:$AZ,COLUMN(AE417)-$A$5,0)),0)</f>
        <v>0</v>
      </c>
      <c r="AF417" s="56">
        <f>IFERROR((VLOOKUP($A417,'Dados StatusInvest'!$A:$AZ,COLUMN(AF417)-$A$5,0)),0)</f>
        <v>12.23</v>
      </c>
      <c r="AG417" s="56">
        <f>IFERROR((VLOOKUP($A417,'Dados StatusInvest'!$A:$AZ,COLUMN(AG417)-$A$5,0)),0)</f>
        <v>1.71</v>
      </c>
      <c r="AH417" s="56">
        <f>IFERROR((VLOOKUP($A417,'Dados StatusInvest'!$A:$AZ,COLUMN(AH417)-$A$5,0)),0)</f>
        <v>0</v>
      </c>
      <c r="AI417" s="57">
        <f>IFERROR((VLOOKUP($A417,'Dados StatusInvest'!$A:$AZ,COLUMN(AI417)-$A$5,0)),0)</f>
        <v>0</v>
      </c>
      <c r="AJ417" s="59" t="str">
        <f>IFERROR((VLOOKUP($A417,'Dados StatusInvest'!$A:$AZ,COLUMN(AJ417)-$A$5,0)),0)</f>
        <v/>
      </c>
      <c r="AK417" s="60" t="str">
        <f>IFERROR(__xludf.DUMMYFUNCTION("IFERROR(GOOGLEFINANCE($A417,""high""),"""")"),"")</f>
        <v/>
      </c>
      <c r="AL417" s="60" t="str">
        <f>IFERROR(__xludf.DUMMYFUNCTION("IFERROR(GOOGLEFINANCE($A417,""low""),"""")"),"")</f>
        <v/>
      </c>
      <c r="AM417" s="61">
        <f t="shared" si="2"/>
        <v>0</v>
      </c>
      <c r="AN417" s="62">
        <f>IFERROR(__xludf.DUMMYFUNCTION("IFERROR((GOOGLEFINANCE($A417,""volume"")),0)"),0.0)</f>
        <v>0</v>
      </c>
      <c r="AO417" s="60" t="str">
        <f>IFERROR(__xludf.DUMMYFUNCTION("IFERROR((GOOGLEFINANCE($A417,""closeyest"")),"""")"),"")</f>
        <v/>
      </c>
      <c r="AP417" s="60">
        <f>IFERROR(__xludf.DUMMYFUNCTION("IFERROR((GOOGLEFINANCE($A417,""shares"")),"""")"),4.78527277E8)</f>
        <v>478527277</v>
      </c>
      <c r="AQ417" s="18"/>
    </row>
    <row r="418">
      <c r="A418" s="45" t="str">
        <f>'Dados StatusInvest'!A413:A1032</f>
        <v>NEMO4</v>
      </c>
      <c r="B418" s="46" t="str">
        <f>IFERROR(__xludf.DUMMYFUNCTION("IFERROR((GOOGLEFINANCE(A418,""name"")),"""")"),"")</f>
        <v/>
      </c>
      <c r="C418" s="46" t="str">
        <f>IFERROR((VLOOKUP(LEFT($A418,4),Setor!$A:$E,3,0)),"")</f>
        <v>Materiais Básicos</v>
      </c>
      <c r="D418" s="46" t="str">
        <f>IFERROR((VLOOKUP(LEFT($A418,4),Setor!$A:$E,4,0)),"")</f>
        <v>Madeira e Papel</v>
      </c>
      <c r="E418" s="46" t="str">
        <f>IFERROR((VLOOKUP(LEFT($A418,4),Setor!$A:$E,5,0)),"")</f>
        <v>Papel e Celulose</v>
      </c>
      <c r="F418" s="47" t="str">
        <f>IFERROR(__xludf.DUMMYFUNCTION("IFERROR((GOOGLEFINANCE(A418)),"""")"),"")</f>
        <v/>
      </c>
      <c r="G418" s="48" t="str">
        <f>IFERROR(__xludf.DUMMYFUNCTION("IFERROR((sparkline(GOOGLEFINANCE($A418,""price"",TODAY()-30,TODAY(),""DAILY""),{""charttype"",""line"";""linewidth"",1;""color"",""#5f88cc""})),"""")"),"")</f>
        <v/>
      </c>
      <c r="H418" s="49" t="str">
        <f>IFERROR(__xludf.DUMMYFUNCTION("IFERROR((((GOOGLEFINANCE(A418))-(INDEX(GoogleFinance(A418,""PRICE"",$AQ$1),2,2)))/(INDEX(GoogleFinance(A418,""PRICE"",$AQ$1),2,2))),"""")"),"")</f>
        <v/>
      </c>
      <c r="I418" s="47" t="str">
        <f>IFERROR(__xludf.DUMMYFUNCTION("IFERROR((GOOGLEFINANCE($A418,""high52"")),"""")"),"")</f>
        <v/>
      </c>
      <c r="J418" s="48" t="str">
        <f>IFERROR(__xludf.DUMMYFUNCTION("IFERROR((sparkline(GOOGLEFINANCE($A418,""price"",TODAY()-365,TODAY(),""DAILY""),{""charttype"",""line"";""linewidth"",1;""color"",""#5f88cc""})),"""")"),"")</f>
        <v/>
      </c>
      <c r="K418" s="50" t="str">
        <f>IFERROR(__xludf.DUMMYFUNCTION("IFERROR((((GOOGLEFINANCE(A418))-(INDEX(GoogleFinance(A418,""PRICE"",$AP$1),2,2)))/(INDEX(GoogleFinance(A418,""PRICE"",$AP$1),2,2))),"""")"),"")</f>
        <v/>
      </c>
      <c r="L418" s="51">
        <f t="shared" si="1"/>
        <v>0</v>
      </c>
      <c r="M418" s="52">
        <f>IFERROR((VLOOKUP($A418,'Dados StatusInvest'!$A:$AZ,COLUMN(M418)-$A$5,0)*VLOOKUP($A418,'Dados StatusInvest'!$A:$AZ,2,0)/$F418/100),0)</f>
        <v>0</v>
      </c>
      <c r="N418" s="53" t="str">
        <f>IFERROR((VLOOKUP($A418,'Dados StatusInvest'!$A:$AZ,COLUMN(N418)-$A$5,0)/VLOOKUP($A418,'Dados StatusInvest'!$A:$AZ,2,0)*$F418),"")</f>
        <v/>
      </c>
      <c r="O418" s="53">
        <f>IFERROR((VLOOKUP($A418,'Dados StatusInvest'!$A:$AZ,COLUMN(O418)-$A$5,0)/VLOOKUP($A418,'Dados StatusInvest'!$A:$AZ,2,0)*$F418),0)</f>
        <v>0</v>
      </c>
      <c r="P418" s="54">
        <f>IFERROR((VLOOKUP($A418,'Dados StatusInvest'!$A:$AZ,COLUMN(P418)-$A$5,0)/VLOOKUP($A418,'Dados StatusInvest'!$A:$AZ,2,0)*$F418),0)</f>
        <v>0</v>
      </c>
      <c r="Q418" s="55">
        <f>IFERROR((VLOOKUP($A418,'Dados StatusInvest'!$A:$AZ,COLUMN(Q418)-$A$5,0)/100),0)</f>
        <v>0.0602</v>
      </c>
      <c r="R418" s="56">
        <f>VLOOKUP($A418,'Dados StatusInvest'!$A:$AZ,COLUMN(R418)-$A$5,0)</f>
        <v>5.14</v>
      </c>
      <c r="S418" s="56">
        <f>IFERROR((VLOOKUP($A418,'Dados StatusInvest'!$A:$AZ,COLUMN(S418)-$A$5,0)),0)</f>
        <v>0</v>
      </c>
      <c r="T418" s="53">
        <f>IFERROR((VLOOKUP($A418,'Dados StatusInvest'!$A:$AZ,COLUMN(T418)-$A$5,0)/VLOOKUP($A418,'Dados StatusInvest'!$A:$AZ,2,0)*$F418),0)</f>
        <v>0</v>
      </c>
      <c r="U418" s="53">
        <f>IFERROR((VLOOKUP($A418,'Dados StatusInvest'!$A:$AZ,COLUMN(U418)-$A$5,0)-VLOOKUP($A418,'Dados StatusInvest'!$A:$AZ,COLUMN(U418)-$A$5-1,0)+T418),0)</f>
        <v>0</v>
      </c>
      <c r="V418" s="56">
        <f>IFERROR((VLOOKUP($A418,'Dados StatusInvest'!$A:$AZ,COLUMN(V418)-$A$5,0)),0)</f>
        <v>3.2</v>
      </c>
      <c r="W418" s="56">
        <f>IFERROR((VLOOKUP($A418,'Dados StatusInvest'!$A:$AZ,COLUMN(W418)-$A$5,0)),0)</f>
        <v>13.99</v>
      </c>
      <c r="X418" s="53">
        <f>IFERROR((VLOOKUP($A418,'Dados StatusInvest'!$A:$AZ,COLUMN(X418)-$A$5,0)/VLOOKUP($A418,'Dados StatusInvest'!$A:$AZ,2,0)*$F418),0)</f>
        <v>0</v>
      </c>
      <c r="Y418" s="54">
        <f>IFERROR((VLOOKUP($A418,'Dados StatusInvest'!$A:$AZ,COLUMN(Y418)-$A$5,0)/VLOOKUP($A418,'Dados StatusInvest'!$A:$AZ,2,0)*$F418),0)</f>
        <v>0</v>
      </c>
      <c r="Z418" s="56">
        <f>IFERROR((VLOOKUP($A418,'Dados StatusInvest'!$A:$AZ,COLUMN(Z418)-$A$5,0)),0)</f>
        <v>0.08</v>
      </c>
      <c r="AA418" s="57">
        <f>IFERROR((VLOOKUP($A418,'Dados StatusInvest'!$A:$AZ,COLUMN(AA418)-$A$5,0)),0)</f>
        <v>0.72</v>
      </c>
      <c r="AB418" s="57">
        <f>IFERROR((VLOOKUP($A418,'Dados StatusInvest'!$A:$AZ,COLUMN(AB418)-$A$5,0)),0)</f>
        <v>0.31</v>
      </c>
      <c r="AC418" s="58">
        <f>IFERROR((VLOOKUP($A418,'Dados StatusInvest'!$A:$AZ,COLUMN(AC418)-$A$5,0)),0)</f>
        <v>12.75</v>
      </c>
      <c r="AD418" s="57">
        <f>IFERROR((VLOOKUP($A418,'Dados StatusInvest'!$A:$AZ,COLUMN(AD418)-$A$5,0)),0)</f>
        <v>0</v>
      </c>
      <c r="AE418" s="56">
        <f>IFERROR((VLOOKUP($A418,'Dados StatusInvest'!$A:$AZ,COLUMN(AE418)-$A$5,0)),0)</f>
        <v>0</v>
      </c>
      <c r="AF418" s="56">
        <f>IFERROR((VLOOKUP($A418,'Dados StatusInvest'!$A:$AZ,COLUMN(AF418)-$A$5,0)),0)</f>
        <v>12.23</v>
      </c>
      <c r="AG418" s="56">
        <f>IFERROR((VLOOKUP($A418,'Dados StatusInvest'!$A:$AZ,COLUMN(AG418)-$A$5,0)),0)</f>
        <v>1.71</v>
      </c>
      <c r="AH418" s="56">
        <f>IFERROR((VLOOKUP($A418,'Dados StatusInvest'!$A:$AZ,COLUMN(AH418)-$A$5,0)),0)</f>
        <v>0</v>
      </c>
      <c r="AI418" s="57">
        <f>IFERROR((VLOOKUP($A418,'Dados StatusInvest'!$A:$AZ,COLUMN(AI418)-$A$5,0)),0)</f>
        <v>0</v>
      </c>
      <c r="AJ418" s="59" t="str">
        <f>IFERROR((VLOOKUP($A418,'Dados StatusInvest'!$A:$AZ,COLUMN(AJ418)-$A$5,0)),0)</f>
        <v/>
      </c>
      <c r="AK418" s="60" t="str">
        <f>IFERROR(__xludf.DUMMYFUNCTION("IFERROR(GOOGLEFINANCE($A418,""high""),"""")"),"")</f>
        <v/>
      </c>
      <c r="AL418" s="60" t="str">
        <f>IFERROR(__xludf.DUMMYFUNCTION("IFERROR(GOOGLEFINANCE($A418,""low""),"""")"),"")</f>
        <v/>
      </c>
      <c r="AM418" s="61">
        <f t="shared" si="2"/>
        <v>0</v>
      </c>
      <c r="AN418" s="62">
        <f>IFERROR(__xludf.DUMMYFUNCTION("IFERROR((GOOGLEFINANCE($A418,""volume"")),0)"),0.0)</f>
        <v>0</v>
      </c>
      <c r="AO418" s="60" t="str">
        <f>IFERROR(__xludf.DUMMYFUNCTION("IFERROR((GOOGLEFINANCE($A418,""closeyest"")),"""")"),"")</f>
        <v/>
      </c>
      <c r="AP418" s="60" t="str">
        <f>IFERROR(__xludf.DUMMYFUNCTION("IFERROR((GOOGLEFINANCE($A418,""shares"")),"""")"),"")</f>
        <v/>
      </c>
      <c r="AQ418" s="18"/>
    </row>
    <row r="419">
      <c r="A419" s="45" t="str">
        <f>'Dados StatusInvest'!A414:A1033</f>
        <v>NEMO5</v>
      </c>
      <c r="B419" s="46" t="str">
        <f>IFERROR(__xludf.DUMMYFUNCTION("IFERROR((GOOGLEFINANCE(A419,""name"")),"""")"),"Suzano Holding SA Preference Shares Class A")</f>
        <v>Suzano Holding SA Preference Shares Class A</v>
      </c>
      <c r="C419" s="46" t="str">
        <f>IFERROR((VLOOKUP(LEFT($A419,4),Setor!$A:$E,3,0)),"")</f>
        <v>Materiais Básicos</v>
      </c>
      <c r="D419" s="46" t="str">
        <f>IFERROR((VLOOKUP(LEFT($A419,4),Setor!$A:$E,4,0)),"")</f>
        <v>Madeira e Papel</v>
      </c>
      <c r="E419" s="46" t="str">
        <f>IFERROR((VLOOKUP(LEFT($A419,4),Setor!$A:$E,5,0)),"")</f>
        <v>Papel e Celulose</v>
      </c>
      <c r="F419" s="47">
        <f>IFERROR(__xludf.DUMMYFUNCTION("IFERROR((GOOGLEFINANCE(A419)),"""")"),0.0)</f>
        <v>0</v>
      </c>
      <c r="G419" s="48" t="str">
        <f>IFERROR(__xludf.DUMMYFUNCTION("IFERROR((sparkline(GOOGLEFINANCE($A419,""price"",TODAY()-30,TODAY(),""DAILY""),{""charttype"",""line"";""linewidth"",1;""color"",""#5f88cc""})),"""")"),"")</f>
        <v/>
      </c>
      <c r="H419" s="49" t="str">
        <f>IFERROR(__xludf.DUMMYFUNCTION("IFERROR((((GOOGLEFINANCE(A419))-(INDEX(GoogleFinance(A419,""PRICE"",$AQ$1),2,2)))/(INDEX(GoogleFinance(A419,""PRICE"",$AQ$1),2,2))),"""")"),"")</f>
        <v/>
      </c>
      <c r="I419" s="47" t="str">
        <f>IFERROR(__xludf.DUMMYFUNCTION("IFERROR((GOOGLEFINANCE($A419,""high52"")),"""")"),"")</f>
        <v/>
      </c>
      <c r="J419" s="48" t="str">
        <f>IFERROR(__xludf.DUMMYFUNCTION("IFERROR((sparkline(GOOGLEFINANCE($A419,""price"",TODAY()-365,TODAY(),""DAILY""),{""charttype"",""line"";""linewidth"",1;""color"",""#5f88cc""})),"""")"),"")</f>
        <v/>
      </c>
      <c r="K419" s="50" t="str">
        <f>IFERROR(__xludf.DUMMYFUNCTION("IFERROR((((GOOGLEFINANCE(A419))-(INDEX(GoogleFinance(A419,""PRICE"",$AP$1),2,2)))/(INDEX(GoogleFinance(A419,""PRICE"",$AP$1),2,2))),"""")"),"")</f>
        <v/>
      </c>
      <c r="L419" s="51">
        <f t="shared" si="1"/>
        <v>0</v>
      </c>
      <c r="M419" s="52">
        <f>IFERROR((VLOOKUP($A419,'Dados StatusInvest'!$A:$AZ,COLUMN(M419)-$A$5,0)*VLOOKUP($A419,'Dados StatusInvest'!$A:$AZ,2,0)/$F419/100),0)</f>
        <v>0</v>
      </c>
      <c r="N419" s="53">
        <f>IFERROR((VLOOKUP($A419,'Dados StatusInvest'!$A:$AZ,COLUMN(N419)-$A$5,0)/VLOOKUP($A419,'Dados StatusInvest'!$A:$AZ,2,0)*$F419),"")</f>
        <v>0</v>
      </c>
      <c r="O419" s="53">
        <f>IFERROR((VLOOKUP($A419,'Dados StatusInvest'!$A:$AZ,COLUMN(O419)-$A$5,0)/VLOOKUP($A419,'Dados StatusInvest'!$A:$AZ,2,0)*$F419),0)</f>
        <v>0</v>
      </c>
      <c r="P419" s="54">
        <f>IFERROR((VLOOKUP($A419,'Dados StatusInvest'!$A:$AZ,COLUMN(P419)-$A$5,0)/VLOOKUP($A419,'Dados StatusInvest'!$A:$AZ,2,0)*$F419),0)</f>
        <v>0</v>
      </c>
      <c r="Q419" s="55">
        <f>IFERROR((VLOOKUP($A419,'Dados StatusInvest'!$A:$AZ,COLUMN(Q419)-$A$5,0)/100),0)</f>
        <v>0.0602</v>
      </c>
      <c r="R419" s="56">
        <f>VLOOKUP($A419,'Dados StatusInvest'!$A:$AZ,COLUMN(R419)-$A$5,0)</f>
        <v>5.14</v>
      </c>
      <c r="S419" s="56">
        <f>IFERROR((VLOOKUP($A419,'Dados StatusInvest'!$A:$AZ,COLUMN(S419)-$A$5,0)),0)</f>
        <v>1.14</v>
      </c>
      <c r="T419" s="53">
        <f>IFERROR((VLOOKUP($A419,'Dados StatusInvest'!$A:$AZ,COLUMN(T419)-$A$5,0)/VLOOKUP($A419,'Dados StatusInvest'!$A:$AZ,2,0)*$F419),0)</f>
        <v>0</v>
      </c>
      <c r="U419" s="53">
        <f>IFERROR((VLOOKUP($A419,'Dados StatusInvest'!$A:$AZ,COLUMN(U419)-$A$5,0)-VLOOKUP($A419,'Dados StatusInvest'!$A:$AZ,COLUMN(U419)-$A$5-1,0)+T419),0)</f>
        <v>-2.47</v>
      </c>
      <c r="V419" s="56">
        <f>IFERROR((VLOOKUP($A419,'Dados StatusInvest'!$A:$AZ,COLUMN(V419)-$A$5,0)),0)</f>
        <v>3.2</v>
      </c>
      <c r="W419" s="56">
        <f>IFERROR((VLOOKUP($A419,'Dados StatusInvest'!$A:$AZ,COLUMN(W419)-$A$5,0)),0)</f>
        <v>13.99</v>
      </c>
      <c r="X419" s="53">
        <f>IFERROR((VLOOKUP($A419,'Dados StatusInvest'!$A:$AZ,COLUMN(X419)-$A$5,0)/VLOOKUP($A419,'Dados StatusInvest'!$A:$AZ,2,0)*$F419),0)</f>
        <v>0</v>
      </c>
      <c r="Y419" s="54">
        <f>IFERROR((VLOOKUP($A419,'Dados StatusInvest'!$A:$AZ,COLUMN(Y419)-$A$5,0)/VLOOKUP($A419,'Dados StatusInvest'!$A:$AZ,2,0)*$F419),0)</f>
        <v>0</v>
      </c>
      <c r="Z419" s="56">
        <f>IFERROR((VLOOKUP($A419,'Dados StatusInvest'!$A:$AZ,COLUMN(Z419)-$A$5,0)),0)</f>
        <v>0.08</v>
      </c>
      <c r="AA419" s="57">
        <f>IFERROR((VLOOKUP($A419,'Dados StatusInvest'!$A:$AZ,COLUMN(AA419)-$A$5,0)),0)</f>
        <v>0.72</v>
      </c>
      <c r="AB419" s="57">
        <f>IFERROR((VLOOKUP($A419,'Dados StatusInvest'!$A:$AZ,COLUMN(AB419)-$A$5,0)),0)</f>
        <v>0.31</v>
      </c>
      <c r="AC419" s="58">
        <f>IFERROR((VLOOKUP($A419,'Dados StatusInvest'!$A:$AZ,COLUMN(AC419)-$A$5,0)),0)</f>
        <v>12.75</v>
      </c>
      <c r="AD419" s="57">
        <f>IFERROR((VLOOKUP($A419,'Dados StatusInvest'!$A:$AZ,COLUMN(AD419)-$A$5,0)),0)</f>
        <v>0</v>
      </c>
      <c r="AE419" s="56">
        <f>IFERROR((VLOOKUP($A419,'Dados StatusInvest'!$A:$AZ,COLUMN(AE419)-$A$5,0)),0)</f>
        <v>0</v>
      </c>
      <c r="AF419" s="56">
        <f>IFERROR((VLOOKUP($A419,'Dados StatusInvest'!$A:$AZ,COLUMN(AF419)-$A$5,0)),0)</f>
        <v>12.23</v>
      </c>
      <c r="AG419" s="56">
        <f>IFERROR((VLOOKUP($A419,'Dados StatusInvest'!$A:$AZ,COLUMN(AG419)-$A$5,0)),0)</f>
        <v>1.71</v>
      </c>
      <c r="AH419" s="56">
        <f>IFERROR((VLOOKUP($A419,'Dados StatusInvest'!$A:$AZ,COLUMN(AH419)-$A$5,0)),0)</f>
        <v>0.54</v>
      </c>
      <c r="AI419" s="57">
        <f>IFERROR((VLOOKUP($A419,'Dados StatusInvest'!$A:$AZ,COLUMN(AI419)-$A$5,0)),0)</f>
        <v>0</v>
      </c>
      <c r="AJ419" s="59" t="str">
        <f>IFERROR((VLOOKUP($A419,'Dados StatusInvest'!$A:$AZ,COLUMN(AJ419)-$A$5,0)),0)</f>
        <v/>
      </c>
      <c r="AK419" s="60" t="str">
        <f>IFERROR(__xludf.DUMMYFUNCTION("IFERROR(GOOGLEFINANCE($A419,""high""),"""")"),"")</f>
        <v/>
      </c>
      <c r="AL419" s="60" t="str">
        <f>IFERROR(__xludf.DUMMYFUNCTION("IFERROR(GOOGLEFINANCE($A419,""low""),"""")"),"")</f>
        <v/>
      </c>
      <c r="AM419" s="61">
        <f t="shared" si="2"/>
        <v>0</v>
      </c>
      <c r="AN419" s="62">
        <f>IFERROR(__xludf.DUMMYFUNCTION("IFERROR((GOOGLEFINANCE($A419,""volume"")),0)"),0.0)</f>
        <v>0</v>
      </c>
      <c r="AO419" s="60" t="str">
        <f>IFERROR(__xludf.DUMMYFUNCTION("IFERROR((GOOGLEFINANCE($A419,""closeyest"")),"""")"),"")</f>
        <v/>
      </c>
      <c r="AP419" s="60">
        <f>IFERROR(__xludf.DUMMYFUNCTION("IFERROR((GOOGLEFINANCE($A419,""shares"")),"""")"),4.37320473E8)</f>
        <v>437320473</v>
      </c>
      <c r="AQ419" s="18"/>
    </row>
    <row r="420">
      <c r="A420" s="45" t="str">
        <f>'Dados StatusInvest'!A415:A1034</f>
        <v>NEMO6</v>
      </c>
      <c r="B420" s="46" t="str">
        <f>IFERROR(__xludf.DUMMYFUNCTION("IFERROR((GOOGLEFINANCE(A420,""name"")),"""")"),"Suzano Holding SA Preference Shares Class B")</f>
        <v>Suzano Holding SA Preference Shares Class B</v>
      </c>
      <c r="C420" s="46" t="str">
        <f>IFERROR((VLOOKUP(LEFT($A420,4),Setor!$A:$E,3,0)),"")</f>
        <v>Materiais Básicos</v>
      </c>
      <c r="D420" s="46" t="str">
        <f>IFERROR((VLOOKUP(LEFT($A420,4),Setor!$A:$E,4,0)),"")</f>
        <v>Madeira e Papel</v>
      </c>
      <c r="E420" s="46" t="str">
        <f>IFERROR((VLOOKUP(LEFT($A420,4),Setor!$A:$E,5,0)),"")</f>
        <v>Papel e Celulose</v>
      </c>
      <c r="F420" s="47">
        <f>IFERROR(__xludf.DUMMYFUNCTION("IFERROR((GOOGLEFINANCE(A420)),"""")"),0.0)</f>
        <v>0</v>
      </c>
      <c r="G420" s="48" t="str">
        <f>IFERROR(__xludf.DUMMYFUNCTION("IFERROR((sparkline(GOOGLEFINANCE($A420,""price"",TODAY()-30,TODAY(),""DAILY""),{""charttype"",""line"";""linewidth"",1;""color"",""#5f88cc""})),"""")"),"")</f>
        <v/>
      </c>
      <c r="H420" s="49" t="str">
        <f>IFERROR(__xludf.DUMMYFUNCTION("IFERROR((((GOOGLEFINANCE(A420))-(INDEX(GoogleFinance(A420,""PRICE"",$AQ$1),2,2)))/(INDEX(GoogleFinance(A420,""PRICE"",$AQ$1),2,2))),"""")"),"")</f>
        <v/>
      </c>
      <c r="I420" s="47" t="str">
        <f>IFERROR(__xludf.DUMMYFUNCTION("IFERROR((GOOGLEFINANCE($A420,""high52"")),"""")"),"")</f>
        <v/>
      </c>
      <c r="J420" s="48" t="str">
        <f>IFERROR(__xludf.DUMMYFUNCTION("IFERROR((sparkline(GOOGLEFINANCE($A420,""price"",TODAY()-365,TODAY(),""DAILY""),{""charttype"",""line"";""linewidth"",1;""color"",""#5f88cc""})),"""")"),"")</f>
        <v/>
      </c>
      <c r="K420" s="50" t="str">
        <f>IFERROR(__xludf.DUMMYFUNCTION("IFERROR((((GOOGLEFINANCE(A420))-(INDEX(GoogleFinance(A420,""PRICE"",$AP$1),2,2)))/(INDEX(GoogleFinance(A420,""PRICE"",$AP$1),2,2))),"""")"),"")</f>
        <v/>
      </c>
      <c r="L420" s="51">
        <f t="shared" si="1"/>
        <v>0</v>
      </c>
      <c r="M420" s="52">
        <f>IFERROR((VLOOKUP($A420,'Dados StatusInvest'!$A:$AZ,COLUMN(M420)-$A$5,0)*VLOOKUP($A420,'Dados StatusInvest'!$A:$AZ,2,0)/$F420/100),0)</f>
        <v>0</v>
      </c>
      <c r="N420" s="53" t="str">
        <f>IFERROR((VLOOKUP($A420,'Dados StatusInvest'!$A:$AZ,COLUMN(N420)-$A$5,0)/VLOOKUP($A420,'Dados StatusInvest'!$A:$AZ,2,0)*$F420),"")</f>
        <v/>
      </c>
      <c r="O420" s="53">
        <f>IFERROR((VLOOKUP($A420,'Dados StatusInvest'!$A:$AZ,COLUMN(O420)-$A$5,0)/VLOOKUP($A420,'Dados StatusInvest'!$A:$AZ,2,0)*$F420),0)</f>
        <v>0</v>
      </c>
      <c r="P420" s="54">
        <f>IFERROR((VLOOKUP($A420,'Dados StatusInvest'!$A:$AZ,COLUMN(P420)-$A$5,0)/VLOOKUP($A420,'Dados StatusInvest'!$A:$AZ,2,0)*$F420),0)</f>
        <v>0</v>
      </c>
      <c r="Q420" s="55">
        <f>IFERROR((VLOOKUP($A420,'Dados StatusInvest'!$A:$AZ,COLUMN(Q420)-$A$5,0)/100),0)</f>
        <v>0.0602</v>
      </c>
      <c r="R420" s="56">
        <f>VLOOKUP($A420,'Dados StatusInvest'!$A:$AZ,COLUMN(R420)-$A$5,0)</f>
        <v>5.14</v>
      </c>
      <c r="S420" s="56">
        <f>IFERROR((VLOOKUP($A420,'Dados StatusInvest'!$A:$AZ,COLUMN(S420)-$A$5,0)),0)</f>
        <v>0</v>
      </c>
      <c r="T420" s="53">
        <f>IFERROR((VLOOKUP($A420,'Dados StatusInvest'!$A:$AZ,COLUMN(T420)-$A$5,0)/VLOOKUP($A420,'Dados StatusInvest'!$A:$AZ,2,0)*$F420),0)</f>
        <v>0</v>
      </c>
      <c r="U420" s="53">
        <f>IFERROR((VLOOKUP($A420,'Dados StatusInvest'!$A:$AZ,COLUMN(U420)-$A$5,0)-VLOOKUP($A420,'Dados StatusInvest'!$A:$AZ,COLUMN(U420)-$A$5-1,0)+T420),0)</f>
        <v>0</v>
      </c>
      <c r="V420" s="56">
        <f>IFERROR((VLOOKUP($A420,'Dados StatusInvest'!$A:$AZ,COLUMN(V420)-$A$5,0)),0)</f>
        <v>3.2</v>
      </c>
      <c r="W420" s="56">
        <f>IFERROR((VLOOKUP($A420,'Dados StatusInvest'!$A:$AZ,COLUMN(W420)-$A$5,0)),0)</f>
        <v>13.99</v>
      </c>
      <c r="X420" s="53">
        <f>IFERROR((VLOOKUP($A420,'Dados StatusInvest'!$A:$AZ,COLUMN(X420)-$A$5,0)/VLOOKUP($A420,'Dados StatusInvest'!$A:$AZ,2,0)*$F420),0)</f>
        <v>0</v>
      </c>
      <c r="Y420" s="54">
        <f>IFERROR((VLOOKUP($A420,'Dados StatusInvest'!$A:$AZ,COLUMN(Y420)-$A$5,0)/VLOOKUP($A420,'Dados StatusInvest'!$A:$AZ,2,0)*$F420),0)</f>
        <v>0</v>
      </c>
      <c r="Z420" s="56">
        <f>IFERROR((VLOOKUP($A420,'Dados StatusInvest'!$A:$AZ,COLUMN(Z420)-$A$5,0)),0)</f>
        <v>0.08</v>
      </c>
      <c r="AA420" s="57">
        <f>IFERROR((VLOOKUP($A420,'Dados StatusInvest'!$A:$AZ,COLUMN(AA420)-$A$5,0)),0)</f>
        <v>0.72</v>
      </c>
      <c r="AB420" s="57">
        <f>IFERROR((VLOOKUP($A420,'Dados StatusInvest'!$A:$AZ,COLUMN(AB420)-$A$5,0)),0)</f>
        <v>0.31</v>
      </c>
      <c r="AC420" s="58">
        <f>IFERROR((VLOOKUP($A420,'Dados StatusInvest'!$A:$AZ,COLUMN(AC420)-$A$5,0)),0)</f>
        <v>12.75</v>
      </c>
      <c r="AD420" s="57">
        <f>IFERROR((VLOOKUP($A420,'Dados StatusInvest'!$A:$AZ,COLUMN(AD420)-$A$5,0)),0)</f>
        <v>0</v>
      </c>
      <c r="AE420" s="56">
        <f>IFERROR((VLOOKUP($A420,'Dados StatusInvest'!$A:$AZ,COLUMN(AE420)-$A$5,0)),0)</f>
        <v>0</v>
      </c>
      <c r="AF420" s="56">
        <f>IFERROR((VLOOKUP($A420,'Dados StatusInvest'!$A:$AZ,COLUMN(AF420)-$A$5,0)),0)</f>
        <v>12.23</v>
      </c>
      <c r="AG420" s="56">
        <f>IFERROR((VLOOKUP($A420,'Dados StatusInvest'!$A:$AZ,COLUMN(AG420)-$A$5,0)),0)</f>
        <v>1.71</v>
      </c>
      <c r="AH420" s="56">
        <f>IFERROR((VLOOKUP($A420,'Dados StatusInvest'!$A:$AZ,COLUMN(AH420)-$A$5,0)),0)</f>
        <v>0</v>
      </c>
      <c r="AI420" s="57">
        <f>IFERROR((VLOOKUP($A420,'Dados StatusInvest'!$A:$AZ,COLUMN(AI420)-$A$5,0)),0)</f>
        <v>0</v>
      </c>
      <c r="AJ420" s="59" t="str">
        <f>IFERROR((VLOOKUP($A420,'Dados StatusInvest'!$A:$AZ,COLUMN(AJ420)-$A$5,0)),0)</f>
        <v/>
      </c>
      <c r="AK420" s="60" t="str">
        <f>IFERROR(__xludf.DUMMYFUNCTION("IFERROR(GOOGLEFINANCE($A420,""high""),"""")"),"")</f>
        <v/>
      </c>
      <c r="AL420" s="60" t="str">
        <f>IFERROR(__xludf.DUMMYFUNCTION("IFERROR(GOOGLEFINANCE($A420,""low""),"""")"),"")</f>
        <v/>
      </c>
      <c r="AM420" s="61">
        <f t="shared" si="2"/>
        <v>0</v>
      </c>
      <c r="AN420" s="62">
        <f>IFERROR(__xludf.DUMMYFUNCTION("IFERROR((GOOGLEFINANCE($A420,""volume"")),0)"),0.0)</f>
        <v>0</v>
      </c>
      <c r="AO420" s="60" t="str">
        <f>IFERROR(__xludf.DUMMYFUNCTION("IFERROR((GOOGLEFINANCE($A420,""closeyest"")),"""")"),"")</f>
        <v/>
      </c>
      <c r="AP420" s="60">
        <f>IFERROR(__xludf.DUMMYFUNCTION("IFERROR((GOOGLEFINANCE($A420,""shares"")),"""")"),1.86989237E8)</f>
        <v>186989237</v>
      </c>
      <c r="AQ420" s="18"/>
    </row>
    <row r="421">
      <c r="A421" s="45" t="str">
        <f>'Dados StatusInvest'!A416:A1035</f>
        <v>NEOE3</v>
      </c>
      <c r="B421" s="46" t="str">
        <f>IFERROR(__xludf.DUMMYFUNCTION("IFERROR((GOOGLEFINANCE(A421,""name"")),"""")"),"Neoenergia SA")</f>
        <v>Neoenergia SA</v>
      </c>
      <c r="C421" s="46" t="str">
        <f>IFERROR((VLOOKUP(LEFT($A421,4),Setor!$A:$E,3,0)),"")</f>
        <v>Utilidade Pública</v>
      </c>
      <c r="D421" s="46" t="str">
        <f>IFERROR((VLOOKUP(LEFT($A421,4),Setor!$A:$E,4,0)),"")</f>
        <v>Energia Elétrica</v>
      </c>
      <c r="E421" s="46" t="str">
        <f>IFERROR((VLOOKUP(LEFT($A421,4),Setor!$A:$E,5,0)),"")</f>
        <v>Energia Elétrica</v>
      </c>
      <c r="F421" s="47">
        <f>IFERROR(__xludf.DUMMYFUNCTION("IFERROR((GOOGLEFINANCE(A421)),"""")"),32.74)</f>
        <v>32.74</v>
      </c>
      <c r="G421" s="48" t="str">
        <f>IFERROR(__xludf.DUMMYFUNCTION("IFERROR((sparkline(GOOGLEFINANCE($A421,""price"",TODAY()-30,TODAY(),""DAILY""),{""charttype"",""line"";""linewidth"",1;""color"",""#5f88cc""})),"""")"),"")</f>
        <v/>
      </c>
      <c r="H421" s="49">
        <f>IFERROR(__xludf.DUMMYFUNCTION("IFERROR((((GOOGLEFINANCE(A421))-(INDEX(GoogleFinance(A421,""PRICE"",$AQ$1),2,2)))/(INDEX(GoogleFinance(A421,""PRICE"",$AQ$1),2,2))),"""")"),0.017718371153248376)</f>
        <v>0.01771837115</v>
      </c>
      <c r="I421" s="47">
        <f>IFERROR(__xludf.DUMMYFUNCTION("IFERROR((GOOGLEFINANCE($A421,""high52"")),"""")"),32.76)</f>
        <v>32.76</v>
      </c>
      <c r="J421" s="48" t="str">
        <f>IFERROR(__xludf.DUMMYFUNCTION("IFERROR((sparkline(GOOGLEFINANCE($A421,""price"",TODAY()-365,TODAY(),""DAILY""),{""charttype"",""line"";""linewidth"",1;""color"",""#5f88cc""})),"""")"),"")</f>
        <v/>
      </c>
      <c r="K421" s="50">
        <f>IFERROR(__xludf.DUMMYFUNCTION("IFERROR((((GOOGLEFINANCE(A421))-(INDEX(GoogleFinance(A421,""PRICE"",$AP$1),2,2)))/(INDEX(GoogleFinance(A421,""PRICE"",$AP$1),2,2))),"""")"),0.6670061099796335)</f>
        <v>0.66700611</v>
      </c>
      <c r="L421" s="51">
        <f t="shared" si="1"/>
        <v>-0.0006105006105</v>
      </c>
      <c r="M421" s="52">
        <f>IFERROR((VLOOKUP($A421,'Dados StatusInvest'!$A:$AZ,COLUMN(M421)-$A$5,0)*VLOOKUP($A421,'Dados StatusInvest'!$A:$AZ,2,0)/$F421/100),0)</f>
        <v>0.1994609041</v>
      </c>
      <c r="N421" s="53">
        <f>IFERROR((VLOOKUP($A421,'Dados StatusInvest'!$A:$AZ,COLUMN(N421)-$A$5,0)/VLOOKUP($A421,'Dados StatusInvest'!$A:$AZ,2,0)*$F421),"")</f>
        <v>8.437422901</v>
      </c>
      <c r="O421" s="53">
        <f>IFERROR((VLOOKUP($A421,'Dados StatusInvest'!$A:$AZ,COLUMN(O421)-$A$5,0)/VLOOKUP($A421,'Dados StatusInvest'!$A:$AZ,2,0)*$F421),0)</f>
        <v>3.818833588</v>
      </c>
      <c r="P421" s="54">
        <f>IFERROR((VLOOKUP($A421,'Dados StatusInvest'!$A:$AZ,COLUMN(P421)-$A$5,0)/VLOOKUP($A421,'Dados StatusInvest'!$A:$AZ,2,0)*$F421),0)</f>
        <v>8.327456489</v>
      </c>
      <c r="Q421" s="55">
        <f>IFERROR((VLOOKUP($A421,'Dados StatusInvest'!$A:$AZ,COLUMN(Q421)-$A$5,0)/100),0)</f>
        <v>0.0451</v>
      </c>
      <c r="R421" s="56">
        <f>VLOOKUP($A421,'Dados StatusInvest'!$A:$AZ,COLUMN(R421)-$A$5,0)</f>
        <v>1.3</v>
      </c>
      <c r="S421" s="56">
        <f>IFERROR((VLOOKUP($A421,'Dados StatusInvest'!$A:$AZ,COLUMN(S421)-$A$5,0)),0)</f>
        <v>0.76</v>
      </c>
      <c r="T421" s="53">
        <f>IFERROR((VLOOKUP($A421,'Dados StatusInvest'!$A:$AZ,COLUMN(T421)-$A$5,0)/VLOOKUP($A421,'Dados StatusInvest'!$A:$AZ,2,0)*$F421),0)</f>
        <v>9.856989313</v>
      </c>
      <c r="U421" s="53">
        <f>IFERROR((VLOOKUP($A421,'Dados StatusInvest'!$A:$AZ,COLUMN(U421)-$A$5,0)-VLOOKUP($A421,'Dados StatusInvest'!$A:$AZ,COLUMN(U421)-$A$5-1,0)+T421),0)</f>
        <v>-0.433010687</v>
      </c>
      <c r="V421" s="56">
        <f>IFERROR((VLOOKUP($A421,'Dados StatusInvest'!$A:$AZ,COLUMN(V421)-$A$5,0)),0)</f>
        <v>1.23</v>
      </c>
      <c r="W421" s="56">
        <f>IFERROR((VLOOKUP($A421,'Dados StatusInvest'!$A:$AZ,COLUMN(W421)-$A$5,0)),0)</f>
        <v>12.18</v>
      </c>
      <c r="X421" s="53">
        <f>IFERROR((VLOOKUP($A421,'Dados StatusInvest'!$A:$AZ,COLUMN(X421)-$A$5,0)/VLOOKUP($A421,'Dados StatusInvest'!$A:$AZ,2,0)*$F421),0)</f>
        <v>3.878815267</v>
      </c>
      <c r="Y421" s="54">
        <f>IFERROR((VLOOKUP($A421,'Dados StatusInvest'!$A:$AZ,COLUMN(Y421)-$A$5,0)/VLOOKUP($A421,'Dados StatusInvest'!$A:$AZ,2,0)*$F421),0)</f>
        <v>11.41651298</v>
      </c>
      <c r="Z421" s="56">
        <f>IFERROR((VLOOKUP($A421,'Dados StatusInvest'!$A:$AZ,COLUMN(Z421)-$A$5,0)),0)</f>
        <v>0.32</v>
      </c>
      <c r="AA421" s="57">
        <f>IFERROR((VLOOKUP($A421,'Dados StatusInvest'!$A:$AZ,COLUMN(AA421)-$A$5,0)),0)</f>
        <v>0.68</v>
      </c>
      <c r="AB421" s="57">
        <f>IFERROR((VLOOKUP($A421,'Dados StatusInvest'!$A:$AZ,COLUMN(AB421)-$A$5,0)),0)</f>
        <v>0.46</v>
      </c>
      <c r="AC421" s="58">
        <f>IFERROR((VLOOKUP($A421,'Dados StatusInvest'!$A:$AZ,COLUMN(AC421)-$A$5,0)),0)</f>
        <v>11.47</v>
      </c>
      <c r="AD421" s="57">
        <f>IFERROR((VLOOKUP($A421,'Dados StatusInvest'!$A:$AZ,COLUMN(AD421)-$A$5,0)),0)</f>
        <v>14.61</v>
      </c>
      <c r="AE421" s="56">
        <f>IFERROR((VLOOKUP($A421,'Dados StatusInvest'!$A:$AZ,COLUMN(AE421)-$A$5,0)),0)</f>
        <v>73363887</v>
      </c>
      <c r="AF421" s="56">
        <f>IFERROR((VLOOKUP($A421,'Dados StatusInvest'!$A:$AZ,COLUMN(AF421)-$A$5,0)),0)</f>
        <v>29.82</v>
      </c>
      <c r="AG421" s="56">
        <f>IFERROR((VLOOKUP($A421,'Dados StatusInvest'!$A:$AZ,COLUMN(AG421)-$A$5,0)),0)</f>
        <v>3.63</v>
      </c>
      <c r="AH421" s="56">
        <f>IFERROR((VLOOKUP($A421,'Dados StatusInvest'!$A:$AZ,COLUMN(AH421)-$A$5,0)),0)</f>
        <v>0.52</v>
      </c>
      <c r="AI421" s="57">
        <f>IFERROR((VLOOKUP($A421,'Dados StatusInvest'!$A:$AZ,COLUMN(AI421)-$A$5,0)),0)</f>
        <v>39751859872</v>
      </c>
      <c r="AJ421" s="59" t="str">
        <f>IFERROR((VLOOKUP($A421,'Dados StatusInvest'!$A:$AZ,COLUMN(AJ421)-$A$5,0)),0)</f>
        <v/>
      </c>
      <c r="AK421" s="60">
        <f>IFERROR(__xludf.DUMMYFUNCTION("IFERROR(GOOGLEFINANCE($A421,""high""),"""")"),32.76)</f>
        <v>32.76</v>
      </c>
      <c r="AL421" s="60">
        <f>IFERROR(__xludf.DUMMYFUNCTION("IFERROR(GOOGLEFINANCE($A421,""low""),"""")"),32.73)</f>
        <v>32.73</v>
      </c>
      <c r="AM421" s="61">
        <f t="shared" si="2"/>
        <v>0.0009165902841</v>
      </c>
      <c r="AN421" s="62">
        <f>IFERROR(__xludf.DUMMYFUNCTION("IFERROR((GOOGLEFINANCE($A421,""volume"")),0)"),140300.0)</f>
        <v>140300</v>
      </c>
      <c r="AO421" s="60">
        <f>IFERROR(__xludf.DUMMYFUNCTION("IFERROR((GOOGLEFINANCE($A421,""closeyest"")),"""")"),32.75)</f>
        <v>32.75</v>
      </c>
      <c r="AP421" s="60">
        <f>IFERROR(__xludf.DUMMYFUNCTION("IFERROR((GOOGLEFINANCE($A421,""shares"")),"""")"),1.213797248E9)</f>
        <v>1213797248</v>
      </c>
      <c r="AQ421" s="18"/>
    </row>
    <row r="422">
      <c r="A422" s="45" t="str">
        <f>'Dados StatusInvest'!A417:A1036</f>
        <v>NEXP3</v>
      </c>
      <c r="B422" s="46" t="str">
        <f>IFERROR(__xludf.DUMMYFUNCTION("IFERROR((GOOGLEFINANCE(A422,""name"")),"""")"),"Nexpe Participacs SA - Em Rcprc Jdcl")</f>
        <v>Nexpe Participacs SA - Em Rcprc Jdcl</v>
      </c>
      <c r="C422" s="46" t="str">
        <f>IFERROR((VLOOKUP(LEFT($A422,4),Setor!$A:$E,3,0)),"")</f>
        <v/>
      </c>
      <c r="D422" s="46" t="str">
        <f>IFERROR((VLOOKUP(LEFT($A422,4),Setor!$A:$E,4,0)),"")</f>
        <v/>
      </c>
      <c r="E422" s="46" t="str">
        <f>IFERROR((VLOOKUP(LEFT($A422,4),Setor!$A:$E,5,0)),"")</f>
        <v/>
      </c>
      <c r="F422" s="47">
        <f>IFERROR(__xludf.DUMMYFUNCTION("IFERROR((GOOGLEFINANCE(A422)),"""")"),2.85)</f>
        <v>2.85</v>
      </c>
      <c r="G422" s="48" t="str">
        <f>IFERROR(__xludf.DUMMYFUNCTION("IFERROR((sparkline(GOOGLEFINANCE($A422,""price"",TODAY()-30,TODAY(),""DAILY""),{""charttype"",""line"";""linewidth"",1;""color"",""#5f88cc""})),"""")"),"")</f>
        <v/>
      </c>
      <c r="H422" s="49">
        <f>IFERROR(__xludf.DUMMYFUNCTION("IFERROR((((GOOGLEFINANCE(A422))-(INDEX(GoogleFinance(A422,""PRICE"",$AQ$1),2,2)))/(INDEX(GoogleFinance(A422,""PRICE"",$AQ$1),2,2))),"""")"),-0.04362416107382547)</f>
        <v>-0.04362416107</v>
      </c>
      <c r="I422" s="47">
        <f>IFERROR(__xludf.DUMMYFUNCTION("IFERROR((GOOGLEFINANCE($A422,""high52"")),"""")"),4.07)</f>
        <v>4.07</v>
      </c>
      <c r="J422" s="48" t="str">
        <f>IFERROR(__xludf.DUMMYFUNCTION("IFERROR((sparkline(GOOGLEFINANCE($A422,""price"",TODAY()-365,TODAY(),""DAILY""),{""charttype"",""line"";""linewidth"",1;""color"",""#5f88cc""})),"""")"),"")</f>
        <v/>
      </c>
      <c r="K422" s="50">
        <f>IFERROR(__xludf.DUMMYFUNCTION("IFERROR((((GOOGLEFINANCE(A422))-(INDEX(GoogleFinance(A422,""PRICE"",$AP$1),2,2)))/(INDEX(GoogleFinance(A422,""PRICE"",$AP$1),2,2))),"""")"),-0.24603174603174596)</f>
        <v>-0.246031746</v>
      </c>
      <c r="L422" s="51">
        <f t="shared" si="1"/>
        <v>-0.2997542998</v>
      </c>
      <c r="M422" s="52">
        <f>IFERROR((VLOOKUP($A422,'Dados StatusInvest'!$A:$AZ,COLUMN(M422)-$A$5,0)*VLOOKUP($A422,'Dados StatusInvest'!$A:$AZ,2,0)/$F422/100),0)</f>
        <v>1.2482</v>
      </c>
      <c r="N422" s="53">
        <f>IFERROR((VLOOKUP($A422,'Dados StatusInvest'!$A:$AZ,COLUMN(N422)-$A$5,0)/VLOOKUP($A422,'Dados StatusInvest'!$A:$AZ,2,0)*$F422),"")</f>
        <v>72.3</v>
      </c>
      <c r="O422" s="53">
        <f>IFERROR((VLOOKUP($A422,'Dados StatusInvest'!$A:$AZ,COLUMN(O422)-$A$5,0)/VLOOKUP($A422,'Dados StatusInvest'!$A:$AZ,2,0)*$F422),0)</f>
        <v>0.07</v>
      </c>
      <c r="P422" s="54">
        <f>IFERROR((VLOOKUP($A422,'Dados StatusInvest'!$A:$AZ,COLUMN(P422)-$A$5,0)/VLOOKUP($A422,'Dados StatusInvest'!$A:$AZ,2,0)*$F422),0)</f>
        <v>0.05</v>
      </c>
      <c r="Q422" s="55">
        <f>IFERROR((VLOOKUP($A422,'Dados StatusInvest'!$A:$AZ,COLUMN(Q422)-$A$5,0)/100),0)</f>
        <v>-0.0002</v>
      </c>
      <c r="R422" s="56">
        <f>VLOOKUP($A422,'Dados StatusInvest'!$A:$AZ,COLUMN(R422)-$A$5,0)</f>
        <v>0</v>
      </c>
      <c r="S422" s="56">
        <f>IFERROR((VLOOKUP($A422,'Dados StatusInvest'!$A:$AZ,COLUMN(S422)-$A$5,0)),0)</f>
        <v>0.09</v>
      </c>
      <c r="T422" s="53">
        <f>IFERROR((VLOOKUP($A422,'Dados StatusInvest'!$A:$AZ,COLUMN(T422)-$A$5,0)/VLOOKUP($A422,'Dados StatusInvest'!$A:$AZ,2,0)*$F422),0)</f>
        <v>-0.1</v>
      </c>
      <c r="U422" s="53">
        <f>IFERROR((VLOOKUP($A422,'Dados StatusInvest'!$A:$AZ,COLUMN(U422)-$A$5,0)-VLOOKUP($A422,'Dados StatusInvest'!$A:$AZ,COLUMN(U422)-$A$5-1,0)+T422),0)</f>
        <v>-0.55</v>
      </c>
      <c r="V422" s="56">
        <f>IFERROR((VLOOKUP($A422,'Dados StatusInvest'!$A:$AZ,COLUMN(V422)-$A$5,0)),0)</f>
        <v>0.14</v>
      </c>
      <c r="W422" s="56">
        <f>IFERROR((VLOOKUP($A422,'Dados StatusInvest'!$A:$AZ,COLUMN(W422)-$A$5,0)),0)</f>
        <v>-75.94</v>
      </c>
      <c r="X422" s="53">
        <f>IFERROR((VLOOKUP($A422,'Dados StatusInvest'!$A:$AZ,COLUMN(X422)-$A$5,0)/VLOOKUP($A422,'Dados StatusInvest'!$A:$AZ,2,0)*$F422),0)</f>
        <v>242.13</v>
      </c>
      <c r="Y422" s="54">
        <f>IFERROR((VLOOKUP($A422,'Dados StatusInvest'!$A:$AZ,COLUMN(Y422)-$A$5,0)/VLOOKUP($A422,'Dados StatusInvest'!$A:$AZ,2,0)*$F422),0)</f>
        <v>-128.92</v>
      </c>
      <c r="Z422" s="56">
        <f>IFERROR((VLOOKUP($A422,'Dados StatusInvest'!$A:$AZ,COLUMN(Z422)-$A$5,0)),0)</f>
        <v>-3.19</v>
      </c>
      <c r="AA422" s="57">
        <f>IFERROR((VLOOKUP($A422,'Dados StatusInvest'!$A:$AZ,COLUMN(AA422)-$A$5,0)),0)</f>
        <v>4.18</v>
      </c>
      <c r="AB422" s="57">
        <f>IFERROR((VLOOKUP($A422,'Dados StatusInvest'!$A:$AZ,COLUMN(AB422)-$A$5,0)),0)</f>
        <v>3.35</v>
      </c>
      <c r="AC422" s="58">
        <f>IFERROR((VLOOKUP($A422,'Dados StatusInvest'!$A:$AZ,COLUMN(AC422)-$A$5,0)),0)</f>
        <v>-3.43</v>
      </c>
      <c r="AD422" s="57">
        <f>IFERROR((VLOOKUP($A422,'Dados StatusInvest'!$A:$AZ,COLUMN(AD422)-$A$5,0)),0)</f>
        <v>0</v>
      </c>
      <c r="AE422" s="56">
        <f>IFERROR((VLOOKUP($A422,'Dados StatusInvest'!$A:$AZ,COLUMN(AE422)-$A$5,0)),0)</f>
        <v>1782.6</v>
      </c>
      <c r="AF422" s="56">
        <f>IFERROR((VLOOKUP($A422,'Dados StatusInvest'!$A:$AZ,COLUMN(AF422)-$A$5,0)),0)</f>
        <v>-31.29</v>
      </c>
      <c r="AG422" s="56">
        <f>IFERROR((VLOOKUP($A422,'Dados StatusInvest'!$A:$AZ,COLUMN(AG422)-$A$5,0)),0)</f>
        <v>23.77</v>
      </c>
      <c r="AH422" s="56">
        <f>IFERROR((VLOOKUP($A422,'Dados StatusInvest'!$A:$AZ,COLUMN(AH422)-$A$5,0)),0)</f>
        <v>0</v>
      </c>
      <c r="AI422" s="57">
        <f>IFERROR((VLOOKUP($A422,'Dados StatusInvest'!$A:$AZ,COLUMN(AI422)-$A$5,0)),0)</f>
        <v>7568371.65</v>
      </c>
      <c r="AJ422" s="59" t="str">
        <f>IFERROR((VLOOKUP($A422,'Dados StatusInvest'!$A:$AZ,COLUMN(AJ422)-$A$5,0)),0)</f>
        <v/>
      </c>
      <c r="AK422" s="60" t="str">
        <f>IFERROR(__xludf.DUMMYFUNCTION("IFERROR(GOOGLEFINANCE($A422,""high""),"""")"),"")</f>
        <v/>
      </c>
      <c r="AL422" s="60" t="str">
        <f>IFERROR(__xludf.DUMMYFUNCTION("IFERROR(GOOGLEFINANCE($A422,""low""),"""")"),"")</f>
        <v/>
      </c>
      <c r="AM422" s="61">
        <f t="shared" si="2"/>
        <v>0</v>
      </c>
      <c r="AN422" s="62">
        <f>IFERROR(__xludf.DUMMYFUNCTION("IFERROR((GOOGLEFINANCE($A422,""volume"")),0)"),0.0)</f>
        <v>0</v>
      </c>
      <c r="AO422" s="60">
        <f>IFERROR(__xludf.DUMMYFUNCTION("IFERROR((GOOGLEFINANCE($A422,""closeyest"")),"""")"),2.85)</f>
        <v>2.85</v>
      </c>
      <c r="AP422" s="60">
        <f>IFERROR(__xludf.DUMMYFUNCTION("IFERROR((GOOGLEFINANCE($A422,""shares"")),"""")"),2655569.0)</f>
        <v>2655569</v>
      </c>
      <c r="AQ422" s="18"/>
    </row>
    <row r="423">
      <c r="A423" s="45" t="str">
        <f>'Dados StatusInvest'!A418:A1037</f>
        <v>NGRD3</v>
      </c>
      <c r="B423" s="46" t="str">
        <f>IFERROR(__xludf.DUMMYFUNCTION("IFERROR((GOOGLEFINANCE(A423,""name"")),"""")"),"Neogrid Participacoes SA")</f>
        <v>Neogrid Participacoes SA</v>
      </c>
      <c r="C423" s="46" t="str">
        <f>IFERROR((VLOOKUP(LEFT($A423,4),Setor!$A:$E,3,0)),"")</f>
        <v/>
      </c>
      <c r="D423" s="46" t="str">
        <f>IFERROR((VLOOKUP(LEFT($A423,4),Setor!$A:$E,4,0)),"")</f>
        <v/>
      </c>
      <c r="E423" s="46" t="str">
        <f>IFERROR((VLOOKUP(LEFT($A423,4),Setor!$A:$E,5,0)),"")</f>
        <v/>
      </c>
      <c r="F423" s="47">
        <f>IFERROR(__xludf.DUMMYFUNCTION("IFERROR((GOOGLEFINANCE(A423)),"""")"),27.1)</f>
        <v>27.1</v>
      </c>
      <c r="G423" s="48" t="str">
        <f>IFERROR(__xludf.DUMMYFUNCTION("IFERROR((sparkline(GOOGLEFINANCE($A423,""price"",TODAY()-30,TODAY(),""DAILY""),{""charttype"",""line"";""linewidth"",1;""color"",""#5f88cc""})),"""")"),"")</f>
        <v/>
      </c>
      <c r="H423" s="49">
        <f>IFERROR(__xludf.DUMMYFUNCTION("IFERROR((((GOOGLEFINANCE(A423))-(INDEX(GoogleFinance(A423,""PRICE"",$AQ$1),2,2)))/(INDEX(GoogleFinance(A423,""PRICE"",$AQ$1),2,2))),"""")"),-0.020953757225433464)</f>
        <v>-0.02095375723</v>
      </c>
      <c r="I423" s="47">
        <f>IFERROR(__xludf.DUMMYFUNCTION("IFERROR((GOOGLEFINANCE($A423,""high52"")),"""")"),30.97)</f>
        <v>30.97</v>
      </c>
      <c r="J423" s="48" t="str">
        <f>IFERROR(__xludf.DUMMYFUNCTION("IFERROR((sparkline(GOOGLEFINANCE($A423,""price"",TODAY()-365,TODAY(),""DAILY""),{""charttype"",""line"";""linewidth"",1;""color"",""#5f88cc""})),"""")"),"")</f>
        <v/>
      </c>
      <c r="K423" s="50">
        <f>IFERROR(__xludf.DUMMYFUNCTION("IFERROR((((GOOGLEFINANCE(A423))-(INDEX(GoogleFinance(A423,""PRICE"",$AP$1),2,2)))/(INDEX(GoogleFinance(A423,""PRICE"",$AP$1),2,2))),"""")"),0.2954110898661568)</f>
        <v>0.2954110899</v>
      </c>
      <c r="L423" s="51">
        <f t="shared" si="1"/>
        <v>-0.1249596384</v>
      </c>
      <c r="M423" s="52">
        <f>IFERROR((VLOOKUP($A423,'Dados StatusInvest'!$A:$AZ,COLUMN(M423)-$A$5,0)*VLOOKUP($A423,'Dados StatusInvest'!$A:$AZ,2,0)/$F423/100),0)</f>
        <v>-0.0815</v>
      </c>
      <c r="N423" s="53">
        <f>IFERROR((VLOOKUP($A423,'Dados StatusInvest'!$A:$AZ,COLUMN(N423)-$A$5,0)/VLOOKUP($A423,'Dados StatusInvest'!$A:$AZ,2,0)*$F423),"")</f>
        <v>-7.15</v>
      </c>
      <c r="O423" s="53">
        <f>IFERROR((VLOOKUP($A423,'Dados StatusInvest'!$A:$AZ,COLUMN(O423)-$A$5,0)/VLOOKUP($A423,'Dados StatusInvest'!$A:$AZ,2,0)*$F423),0)</f>
        <v>-11.03</v>
      </c>
      <c r="P423" s="54">
        <f>IFERROR((VLOOKUP($A423,'Dados StatusInvest'!$A:$AZ,COLUMN(P423)-$A$5,0)/VLOOKUP($A423,'Dados StatusInvest'!$A:$AZ,2,0)*$F423),0)</f>
        <v>-6.13</v>
      </c>
      <c r="Q423" s="55">
        <f>IFERROR((VLOOKUP($A423,'Dados StatusInvest'!$A:$AZ,COLUMN(Q423)-$A$5,0)/100),0)</f>
        <v>0.049</v>
      </c>
      <c r="R423" s="56">
        <f>VLOOKUP($A423,'Dados StatusInvest'!$A:$AZ,COLUMN(R423)-$A$5,0)</f>
        <v>-0.25</v>
      </c>
      <c r="S423" s="56">
        <f>IFERROR((VLOOKUP($A423,'Dados StatusInvest'!$A:$AZ,COLUMN(S423)-$A$5,0)),0)</f>
        <v>0.9</v>
      </c>
      <c r="T423" s="53">
        <f>IFERROR((VLOOKUP($A423,'Dados StatusInvest'!$A:$AZ,COLUMN(T423)-$A$5,0)/VLOOKUP($A423,'Dados StatusInvest'!$A:$AZ,2,0)*$F423),0)</f>
        <v>1.86</v>
      </c>
      <c r="U423" s="53">
        <f>IFERROR((VLOOKUP($A423,'Dados StatusInvest'!$A:$AZ,COLUMN(U423)-$A$5,0)-VLOOKUP($A423,'Dados StatusInvest'!$A:$AZ,COLUMN(U423)-$A$5-1,0)+T423),0)</f>
        <v>-0.66</v>
      </c>
      <c r="V423" s="56">
        <f>IFERROR((VLOOKUP($A423,'Dados StatusInvest'!$A:$AZ,COLUMN(V423)-$A$5,0)),0)</f>
        <v>2.83</v>
      </c>
      <c r="W423" s="56">
        <f>IFERROR((VLOOKUP($A423,'Dados StatusInvest'!$A:$AZ,COLUMN(W423)-$A$5,0)),0)</f>
        <v>-4.44</v>
      </c>
      <c r="X423" s="53">
        <f>IFERROR((VLOOKUP($A423,'Dados StatusInvest'!$A:$AZ,COLUMN(X423)-$A$5,0)/VLOOKUP($A423,'Dados StatusInvest'!$A:$AZ,2,0)*$F423),0)</f>
        <v>-3.4</v>
      </c>
      <c r="Y423" s="54">
        <f>IFERROR((VLOOKUP($A423,'Dados StatusInvest'!$A:$AZ,COLUMN(Y423)-$A$5,0)/VLOOKUP($A423,'Dados StatusInvest'!$A:$AZ,2,0)*$F423),0)</f>
        <v>-5.73</v>
      </c>
      <c r="Z423" s="56">
        <f>IFERROR((VLOOKUP($A423,'Dados StatusInvest'!$A:$AZ,COLUMN(Z423)-$A$5,0)),0)</f>
        <v>0.77</v>
      </c>
      <c r="AA423" s="57">
        <f>IFERROR((VLOOKUP($A423,'Dados StatusInvest'!$A:$AZ,COLUMN(AA423)-$A$5,0)),0)</f>
        <v>0.23</v>
      </c>
      <c r="AB423" s="57">
        <f>IFERROR((VLOOKUP($A423,'Dados StatusInvest'!$A:$AZ,COLUMN(AB423)-$A$5,0)),0)</f>
        <v>0.48</v>
      </c>
      <c r="AC423" s="58">
        <f>IFERROR((VLOOKUP($A423,'Dados StatusInvest'!$A:$AZ,COLUMN(AC423)-$A$5,0)),0)</f>
        <v>5.77</v>
      </c>
      <c r="AD423" s="57">
        <f>IFERROR((VLOOKUP($A423,'Dados StatusInvest'!$A:$AZ,COLUMN(AD423)-$A$5,0)),0)</f>
        <v>0</v>
      </c>
      <c r="AE423" s="56">
        <f>IFERROR((VLOOKUP($A423,'Dados StatusInvest'!$A:$AZ,COLUMN(AE423)-$A$5,0)),0)</f>
        <v>203637.4</v>
      </c>
      <c r="AF423" s="56">
        <f>IFERROR((VLOOKUP($A423,'Dados StatusInvest'!$A:$AZ,COLUMN(AF423)-$A$5,0)),0)</f>
        <v>48.55</v>
      </c>
      <c r="AG423" s="56">
        <f>IFERROR((VLOOKUP($A423,'Dados StatusInvest'!$A:$AZ,COLUMN(AG423)-$A$5,0)),0)</f>
        <v>-2.16</v>
      </c>
      <c r="AH423" s="56">
        <f>IFERROR((VLOOKUP($A423,'Dados StatusInvest'!$A:$AZ,COLUMN(AH423)-$A$5,0)),0)</f>
        <v>-0.2</v>
      </c>
      <c r="AI423" s="57">
        <f>IFERROR((VLOOKUP($A423,'Dados StatusInvest'!$A:$AZ,COLUMN(AI423)-$A$5,0)),0)</f>
        <v>247719582.4</v>
      </c>
      <c r="AJ423" s="59" t="str">
        <f>IFERROR((VLOOKUP($A423,'Dados StatusInvest'!$A:$AZ,COLUMN(AJ423)-$A$5,0)),0)</f>
        <v/>
      </c>
      <c r="AK423" s="60" t="str">
        <f>IFERROR(__xludf.DUMMYFUNCTION("IFERROR(GOOGLEFINANCE($A423,""high""),"""")"),"")</f>
        <v/>
      </c>
      <c r="AL423" s="60" t="str">
        <f>IFERROR(__xludf.DUMMYFUNCTION("IFERROR(GOOGLEFINANCE($A423,""low""),"""")"),"")</f>
        <v/>
      </c>
      <c r="AM423" s="61">
        <f t="shared" si="2"/>
        <v>0</v>
      </c>
      <c r="AN423" s="62">
        <f>IFERROR(__xludf.DUMMYFUNCTION("IFERROR((GOOGLEFINANCE($A423,""volume"")),0)"),0.0)</f>
        <v>0</v>
      </c>
      <c r="AO423" s="60">
        <f>IFERROR(__xludf.DUMMYFUNCTION("IFERROR((GOOGLEFINANCE($A423,""closeyest"")),"""")"),27.1)</f>
        <v>27.1</v>
      </c>
      <c r="AP423" s="60">
        <f>IFERROR(__xludf.DUMMYFUNCTION("IFERROR((GOOGLEFINANCE($A423,""shares"")),"""")"),9140944.0)</f>
        <v>9140944</v>
      </c>
      <c r="AQ423" s="18"/>
    </row>
    <row r="424">
      <c r="A424" s="45" t="str">
        <f>'Dados StatusInvest'!A419:A1038</f>
        <v>NORD3</v>
      </c>
      <c r="B424" s="46" t="str">
        <f>IFERROR(__xludf.DUMMYFUNCTION("IFERROR((GOOGLEFINANCE(A424,""name"")),"""")"),"Nordon Industrias Metalurgicas SA")</f>
        <v>Nordon Industrias Metalurgicas SA</v>
      </c>
      <c r="C424" s="46" t="str">
        <f>IFERROR((VLOOKUP(LEFT($A424,4),Setor!$A:$E,3,0)),"")</f>
        <v>Bens Industriais</v>
      </c>
      <c r="D424" s="46" t="str">
        <f>IFERROR((VLOOKUP(LEFT($A424,4),Setor!$A:$E,4,0)),"")</f>
        <v>Máquinas e Equipamentos</v>
      </c>
      <c r="E424" s="46" t="str">
        <f>IFERROR((VLOOKUP(LEFT($A424,4),Setor!$A:$E,5,0)),"")</f>
        <v>Máq. e Equip. Industriais</v>
      </c>
      <c r="F424" s="47">
        <f>IFERROR(__xludf.DUMMYFUNCTION("IFERROR((GOOGLEFINANCE(A424)),"""")"),4.2)</f>
        <v>4.2</v>
      </c>
      <c r="G424" s="48" t="str">
        <f>IFERROR(__xludf.DUMMYFUNCTION("IFERROR((sparkline(GOOGLEFINANCE($A424,""price"",TODAY()-30,TODAY(),""DAILY""),{""charttype"",""line"";""linewidth"",1;""color"",""#5f88cc""})),"""")"),"")</f>
        <v/>
      </c>
      <c r="H424" s="49">
        <f>IFERROR(__xludf.DUMMYFUNCTION("IFERROR((((GOOGLEFINANCE(A424))-(INDEX(GoogleFinance(A424,""PRICE"",$AQ$1),2,2)))/(INDEX(GoogleFinance(A424,""PRICE"",$AQ$1),2,2))),"""")"),0.0714285714285715)</f>
        <v>0.07142857143</v>
      </c>
      <c r="I424" s="47">
        <f>IFERROR(__xludf.DUMMYFUNCTION("IFERROR((GOOGLEFINANCE($A424,""high52"")),"""")"),8.09)</f>
        <v>8.09</v>
      </c>
      <c r="J424" s="48" t="str">
        <f>IFERROR(__xludf.DUMMYFUNCTION("IFERROR((sparkline(GOOGLEFINANCE($A424,""price"",TODAY()-365,TODAY(),""DAILY""),{""charttype"",""line"";""linewidth"",1;""color"",""#5f88cc""})),"""")"),"")</f>
        <v/>
      </c>
      <c r="K424" s="50">
        <f>IFERROR(__xludf.DUMMYFUNCTION("IFERROR((((GOOGLEFINANCE(A424))-(INDEX(GoogleFinance(A424,""PRICE"",$AP$1),2,2)))/(INDEX(GoogleFinance(A424,""PRICE"",$AP$1),2,2))),"""")"),-0.34272300469483563)</f>
        <v>-0.3427230047</v>
      </c>
      <c r="L424" s="51">
        <f t="shared" si="1"/>
        <v>-0.4808405439</v>
      </c>
      <c r="M424" s="52">
        <f>IFERROR((VLOOKUP($A424,'Dados StatusInvest'!$A:$AZ,COLUMN(M424)-$A$5,0)*VLOOKUP($A424,'Dados StatusInvest'!$A:$AZ,2,0)/$F424/100),0)</f>
        <v>11.8882</v>
      </c>
      <c r="N424" s="53">
        <f>IFERROR((VLOOKUP($A424,'Dados StatusInvest'!$A:$AZ,COLUMN(N424)-$A$5,0)/VLOOKUP($A424,'Dados StatusInvest'!$A:$AZ,2,0)*$F424),"")</f>
        <v>1405.07</v>
      </c>
      <c r="O424" s="53">
        <f>IFERROR((VLOOKUP($A424,'Dados StatusInvest'!$A:$AZ,COLUMN(O424)-$A$5,0)/VLOOKUP($A424,'Dados StatusInvest'!$A:$AZ,2,0)*$F424),0)</f>
        <v>0.86</v>
      </c>
      <c r="P424" s="54">
        <f>IFERROR((VLOOKUP($A424,'Dados StatusInvest'!$A:$AZ,COLUMN(P424)-$A$5,0)/VLOOKUP($A424,'Dados StatusInvest'!$A:$AZ,2,0)*$F424),0)</f>
        <v>2.03</v>
      </c>
      <c r="Q424" s="55">
        <f>IFERROR((VLOOKUP($A424,'Dados StatusInvest'!$A:$AZ,COLUMN(Q424)-$A$5,0)/100),0)</f>
        <v>0.0117</v>
      </c>
      <c r="R424" s="56">
        <f>VLOOKUP($A424,'Dados StatusInvest'!$A:$AZ,COLUMN(R424)-$A$5,0)</f>
        <v>0</v>
      </c>
      <c r="S424" s="56">
        <f>IFERROR((VLOOKUP($A424,'Dados StatusInvest'!$A:$AZ,COLUMN(S424)-$A$5,0)),0)</f>
        <v>10.22</v>
      </c>
      <c r="T424" s="53">
        <f>IFERROR((VLOOKUP($A424,'Dados StatusInvest'!$A:$AZ,COLUMN(T424)-$A$5,0)/VLOOKUP($A424,'Dados StatusInvest'!$A:$AZ,2,0)*$F424),0)</f>
        <v>-0.22</v>
      </c>
      <c r="U424" s="53">
        <f>IFERROR((VLOOKUP($A424,'Dados StatusInvest'!$A:$AZ,COLUMN(U424)-$A$5,0)-VLOOKUP($A424,'Dados StatusInvest'!$A:$AZ,COLUMN(U424)-$A$5-1,0)+T424),0)</f>
        <v>-1.54</v>
      </c>
      <c r="V424" s="56">
        <f>IFERROR((VLOOKUP($A424,'Dados StatusInvest'!$A:$AZ,COLUMN(V424)-$A$5,0)),0)</f>
        <v>0.04</v>
      </c>
      <c r="W424" s="56">
        <f>IFERROR((VLOOKUP($A424,'Dados StatusInvest'!$A:$AZ,COLUMN(W424)-$A$5,0)),0)</f>
        <v>-30.13</v>
      </c>
      <c r="X424" s="53">
        <f>IFERROR((VLOOKUP($A424,'Dados StatusInvest'!$A:$AZ,COLUMN(X424)-$A$5,0)/VLOOKUP($A424,'Dados StatusInvest'!$A:$AZ,2,0)*$F424),0)</f>
        <v>163.53</v>
      </c>
      <c r="Y424" s="54">
        <f>IFERROR((VLOOKUP($A424,'Dados StatusInvest'!$A:$AZ,COLUMN(Y424)-$A$5,0)/VLOOKUP($A424,'Dados StatusInvest'!$A:$AZ,2,0)*$F424),0)</f>
        <v>-25.52</v>
      </c>
      <c r="Z424" s="56">
        <f>IFERROR((VLOOKUP($A424,'Dados StatusInvest'!$A:$AZ,COLUMN(Z424)-$A$5,0)),0)</f>
        <v>-5.43</v>
      </c>
      <c r="AA424" s="57">
        <f>IFERROR((VLOOKUP($A424,'Dados StatusInvest'!$A:$AZ,COLUMN(AA424)-$A$5,0)),0)</f>
        <v>6.43</v>
      </c>
      <c r="AB424" s="57">
        <f>IFERROR((VLOOKUP($A424,'Dados StatusInvest'!$A:$AZ,COLUMN(AB424)-$A$5,0)),0)</f>
        <v>0.12</v>
      </c>
      <c r="AC424" s="58">
        <f>IFERROR((VLOOKUP($A424,'Dados StatusInvest'!$A:$AZ,COLUMN(AC424)-$A$5,0)),0)</f>
        <v>13.33</v>
      </c>
      <c r="AD424" s="57">
        <f>IFERROR((VLOOKUP($A424,'Dados StatusInvest'!$A:$AZ,COLUMN(AD424)-$A$5,0)),0)</f>
        <v>0</v>
      </c>
      <c r="AE424" s="56">
        <f>IFERROR((VLOOKUP($A424,'Dados StatusInvest'!$A:$AZ,COLUMN(AE424)-$A$5,0)),0)</f>
        <v>1875.57</v>
      </c>
      <c r="AF424" s="56">
        <f>IFERROR((VLOOKUP($A424,'Dados StatusInvest'!$A:$AZ,COLUMN(AF424)-$A$5,0)),0)</f>
        <v>-19.15</v>
      </c>
      <c r="AG424" s="56">
        <f>IFERROR((VLOOKUP($A424,'Dados StatusInvest'!$A:$AZ,COLUMN(AG424)-$A$5,0)),0)</f>
        <v>5.77</v>
      </c>
      <c r="AH424" s="56">
        <f>IFERROR((VLOOKUP($A424,'Dados StatusInvest'!$A:$AZ,COLUMN(AH424)-$A$5,0)),0)</f>
        <v>0</v>
      </c>
      <c r="AI424" s="57">
        <f>IFERROR((VLOOKUP($A424,'Dados StatusInvest'!$A:$AZ,COLUMN(AI424)-$A$5,0)),0)</f>
        <v>27810241.2</v>
      </c>
      <c r="AJ424" s="59" t="str">
        <f>IFERROR((VLOOKUP($A424,'Dados StatusInvest'!$A:$AZ,COLUMN(AJ424)-$A$5,0)),0)</f>
        <v/>
      </c>
      <c r="AK424" s="60" t="str">
        <f>IFERROR(__xludf.DUMMYFUNCTION("IFERROR(GOOGLEFINANCE($A424,""high""),"""")"),"")</f>
        <v/>
      </c>
      <c r="AL424" s="60" t="str">
        <f>IFERROR(__xludf.DUMMYFUNCTION("IFERROR(GOOGLEFINANCE($A424,""low""),"""")"),"")</f>
        <v/>
      </c>
      <c r="AM424" s="61">
        <f t="shared" si="2"/>
        <v>0</v>
      </c>
      <c r="AN424" s="62">
        <f>IFERROR(__xludf.DUMMYFUNCTION("IFERROR((GOOGLEFINANCE($A424,""volume"")),0)"),0.0)</f>
        <v>0</v>
      </c>
      <c r="AO424" s="60">
        <f>IFERROR(__xludf.DUMMYFUNCTION("IFERROR((GOOGLEFINANCE($A424,""closeyest"")),"""")"),4.2)</f>
        <v>4.2</v>
      </c>
      <c r="AP424" s="60">
        <f>IFERROR(__xludf.DUMMYFUNCTION("IFERROR((GOOGLEFINANCE($A424,""shares"")),"""")"),6621486.0)</f>
        <v>6621486</v>
      </c>
      <c r="AQ424" s="18"/>
    </row>
    <row r="425">
      <c r="A425" s="45" t="str">
        <f>'Dados StatusInvest'!A420:A1039</f>
        <v>NRTQ3</v>
      </c>
      <c r="B425" s="46" t="str">
        <f>IFERROR(__xludf.DUMMYFUNCTION("IFERROR((GOOGLEFINANCE(A425,""name"")),"""")"),"")</f>
        <v/>
      </c>
      <c r="C425" s="46" t="str">
        <f>IFERROR((VLOOKUP(LEFT($A425,4),Setor!$A:$E,3,0)),"")</f>
        <v>Saúde</v>
      </c>
      <c r="D425" s="46" t="str">
        <f>IFERROR((VLOOKUP(LEFT($A425,4),Setor!$A:$E,4,0)),"")</f>
        <v>Medicamentos e Outros Produtos</v>
      </c>
      <c r="E425" s="46" t="str">
        <f>IFERROR((VLOOKUP(LEFT($A425,4),Setor!$A:$E,5,0)),"")</f>
        <v>Medicamentos e Outros Produtos</v>
      </c>
      <c r="F425" s="47" t="str">
        <f>IFERROR(__xludf.DUMMYFUNCTION("IFERROR((GOOGLEFINANCE(A425)),"""")"),"")</f>
        <v/>
      </c>
      <c r="G425" s="48" t="str">
        <f>IFERROR(__xludf.DUMMYFUNCTION("IFERROR((sparkline(GOOGLEFINANCE($A425,""price"",TODAY()-30,TODAY(),""DAILY""),{""charttype"",""line"";""linewidth"",1;""color"",""#5f88cc""})),"""")"),"")</f>
        <v/>
      </c>
      <c r="H425" s="49" t="str">
        <f>IFERROR(__xludf.DUMMYFUNCTION("IFERROR((((GOOGLEFINANCE(A425))-(INDEX(GoogleFinance(A425,""PRICE"",$AQ$1),2,2)))/(INDEX(GoogleFinance(A425,""PRICE"",$AQ$1),2,2))),"""")"),"")</f>
        <v/>
      </c>
      <c r="I425" s="47" t="str">
        <f>IFERROR(__xludf.DUMMYFUNCTION("IFERROR((GOOGLEFINANCE($A425,""high52"")),"""")"),"")</f>
        <v/>
      </c>
      <c r="J425" s="48" t="str">
        <f>IFERROR(__xludf.DUMMYFUNCTION("IFERROR((sparkline(GOOGLEFINANCE($A425,""price"",TODAY()-365,TODAY(),""DAILY""),{""charttype"",""line"";""linewidth"",1;""color"",""#5f88cc""})),"""")"),"")</f>
        <v/>
      </c>
      <c r="K425" s="50" t="str">
        <f>IFERROR(__xludf.DUMMYFUNCTION("IFERROR((((GOOGLEFINANCE(A425))-(INDEX(GoogleFinance(A425,""PRICE"",$AP$1),2,2)))/(INDEX(GoogleFinance(A425,""PRICE"",$AP$1),2,2))),"""")"),"")</f>
        <v/>
      </c>
      <c r="L425" s="51">
        <f t="shared" si="1"/>
        <v>0</v>
      </c>
      <c r="M425" s="52">
        <f>IFERROR((VLOOKUP($A425,'Dados StatusInvest'!$A:$AZ,COLUMN(M425)-$A$5,0)*VLOOKUP($A425,'Dados StatusInvest'!$A:$AZ,2,0)/$F425/100),0)</f>
        <v>0</v>
      </c>
      <c r="N425" s="53" t="str">
        <f>IFERROR((VLOOKUP($A425,'Dados StatusInvest'!$A:$AZ,COLUMN(N425)-$A$5,0)/VLOOKUP($A425,'Dados StatusInvest'!$A:$AZ,2,0)*$F425),"")</f>
        <v/>
      </c>
      <c r="O425" s="53">
        <f>IFERROR((VLOOKUP($A425,'Dados StatusInvest'!$A:$AZ,COLUMN(O425)-$A$5,0)/VLOOKUP($A425,'Dados StatusInvest'!$A:$AZ,2,0)*$F425),0)</f>
        <v>0</v>
      </c>
      <c r="P425" s="54">
        <f>IFERROR((VLOOKUP($A425,'Dados StatusInvest'!$A:$AZ,COLUMN(P425)-$A$5,0)/VLOOKUP($A425,'Dados StatusInvest'!$A:$AZ,2,0)*$F425),0)</f>
        <v>0</v>
      </c>
      <c r="Q425" s="55">
        <f>IFERROR((VLOOKUP($A425,'Dados StatusInvest'!$A:$AZ,COLUMN(Q425)-$A$5,0)/100),0)</f>
        <v>0.0318</v>
      </c>
      <c r="R425" s="56">
        <f>VLOOKUP($A425,'Dados StatusInvest'!$A:$AZ,COLUMN(R425)-$A$5,0)</f>
        <v>0.29</v>
      </c>
      <c r="S425" s="56">
        <f>IFERROR((VLOOKUP($A425,'Dados StatusInvest'!$A:$AZ,COLUMN(S425)-$A$5,0)),0)</f>
        <v>0</v>
      </c>
      <c r="T425" s="53">
        <f>IFERROR((VLOOKUP($A425,'Dados StatusInvest'!$A:$AZ,COLUMN(T425)-$A$5,0)/VLOOKUP($A425,'Dados StatusInvest'!$A:$AZ,2,0)*$F425),0)</f>
        <v>0</v>
      </c>
      <c r="U425" s="53">
        <f>IFERROR((VLOOKUP($A425,'Dados StatusInvest'!$A:$AZ,COLUMN(U425)-$A$5,0)-VLOOKUP($A425,'Dados StatusInvest'!$A:$AZ,COLUMN(U425)-$A$5-1,0)+T425),0)</f>
        <v>0</v>
      </c>
      <c r="V425" s="56">
        <f>IFERROR((VLOOKUP($A425,'Dados StatusInvest'!$A:$AZ,COLUMN(V425)-$A$5,0)),0)</f>
        <v>4.62</v>
      </c>
      <c r="W425" s="56">
        <f>IFERROR((VLOOKUP($A425,'Dados StatusInvest'!$A:$AZ,COLUMN(W425)-$A$5,0)),0)</f>
        <v>3.5</v>
      </c>
      <c r="X425" s="53">
        <f>IFERROR((VLOOKUP($A425,'Dados StatusInvest'!$A:$AZ,COLUMN(X425)-$A$5,0)/VLOOKUP($A425,'Dados StatusInvest'!$A:$AZ,2,0)*$F425),0)</f>
        <v>0</v>
      </c>
      <c r="Y425" s="54">
        <f>IFERROR((VLOOKUP($A425,'Dados StatusInvest'!$A:$AZ,COLUMN(Y425)-$A$5,0)/VLOOKUP($A425,'Dados StatusInvest'!$A:$AZ,2,0)*$F425),0)</f>
        <v>0</v>
      </c>
      <c r="Z425" s="56">
        <f>IFERROR((VLOOKUP($A425,'Dados StatusInvest'!$A:$AZ,COLUMN(Z425)-$A$5,0)),0)</f>
        <v>0.62</v>
      </c>
      <c r="AA425" s="57">
        <f>IFERROR((VLOOKUP($A425,'Dados StatusInvest'!$A:$AZ,COLUMN(AA425)-$A$5,0)),0)</f>
        <v>0.38</v>
      </c>
      <c r="AB425" s="57">
        <f>IFERROR((VLOOKUP($A425,'Dados StatusInvest'!$A:$AZ,COLUMN(AB425)-$A$5,0)),0)</f>
        <v>0.62</v>
      </c>
      <c r="AC425" s="58">
        <f>IFERROR((VLOOKUP($A425,'Dados StatusInvest'!$A:$AZ,COLUMN(AC425)-$A$5,0)),0)</f>
        <v>7.47</v>
      </c>
      <c r="AD425" s="57">
        <f>IFERROR((VLOOKUP($A425,'Dados StatusInvest'!$A:$AZ,COLUMN(AD425)-$A$5,0)),0)</f>
        <v>-12.02</v>
      </c>
      <c r="AE425" s="56">
        <f>IFERROR((VLOOKUP($A425,'Dados StatusInvest'!$A:$AZ,COLUMN(AE425)-$A$5,0)),0)</f>
        <v>0</v>
      </c>
      <c r="AF425" s="56">
        <f>IFERROR((VLOOKUP($A425,'Dados StatusInvest'!$A:$AZ,COLUMN(AF425)-$A$5,0)),0)</f>
        <v>20.02</v>
      </c>
      <c r="AG425" s="56">
        <f>IFERROR((VLOOKUP($A425,'Dados StatusInvest'!$A:$AZ,COLUMN(AG425)-$A$5,0)),0)</f>
        <v>0.7</v>
      </c>
      <c r="AH425" s="56">
        <f>IFERROR((VLOOKUP($A425,'Dados StatusInvest'!$A:$AZ,COLUMN(AH425)-$A$5,0)),0)</f>
        <v>0</v>
      </c>
      <c r="AI425" s="57">
        <f>IFERROR((VLOOKUP($A425,'Dados StatusInvest'!$A:$AZ,COLUMN(AI425)-$A$5,0)),0)</f>
        <v>0</v>
      </c>
      <c r="AJ425" s="59" t="str">
        <f>IFERROR((VLOOKUP($A425,'Dados StatusInvest'!$A:$AZ,COLUMN(AJ425)-$A$5,0)),0)</f>
        <v/>
      </c>
      <c r="AK425" s="60" t="str">
        <f>IFERROR(__xludf.DUMMYFUNCTION("IFERROR(GOOGLEFINANCE($A425,""high""),"""")"),"")</f>
        <v/>
      </c>
      <c r="AL425" s="60" t="str">
        <f>IFERROR(__xludf.DUMMYFUNCTION("IFERROR(GOOGLEFINANCE($A425,""low""),"""")"),"")</f>
        <v/>
      </c>
      <c r="AM425" s="61">
        <f t="shared" si="2"/>
        <v>0</v>
      </c>
      <c r="AN425" s="62">
        <f>IFERROR(__xludf.DUMMYFUNCTION("IFERROR((GOOGLEFINANCE($A425,""volume"")),0)"),0.0)</f>
        <v>0</v>
      </c>
      <c r="AO425" s="60" t="str">
        <f>IFERROR(__xludf.DUMMYFUNCTION("IFERROR((GOOGLEFINANCE($A425,""closeyest"")),"""")"),"")</f>
        <v/>
      </c>
      <c r="AP425" s="60" t="str">
        <f>IFERROR(__xludf.DUMMYFUNCTION("IFERROR((GOOGLEFINANCE($A425,""shares"")),"""")"),"")</f>
        <v/>
      </c>
      <c r="AQ425" s="18"/>
    </row>
    <row r="426">
      <c r="A426" s="45" t="str">
        <f>'Dados StatusInvest'!A421:A1040</f>
        <v>NTCO3</v>
      </c>
      <c r="B426" s="46" t="str">
        <f>IFERROR(__xludf.DUMMYFUNCTION("IFERROR((GOOGLEFINANCE(A426,""name"")),"""")"),"")</f>
        <v/>
      </c>
      <c r="C426" s="46" t="str">
        <f>IFERROR((VLOOKUP(LEFT($A426,4),Setor!$A:$E,3,0)),"")</f>
        <v>Consumo não Cíclico</v>
      </c>
      <c r="D426" s="46" t="str">
        <f>IFERROR((VLOOKUP(LEFT($A426,4),Setor!$A:$E,4,0)),"")</f>
        <v>Produtos de Uso Pessoal e de Limpeza</v>
      </c>
      <c r="E426" s="46" t="str">
        <f>IFERROR((VLOOKUP(LEFT($A426,4),Setor!$A:$E,5,0)),"")</f>
        <v>Produtos de Uso Pessoal</v>
      </c>
      <c r="F426" s="47" t="str">
        <f>IFERROR(__xludf.DUMMYFUNCTION("IFERROR((GOOGLEFINANCE(A426)),"""")"),"")</f>
        <v/>
      </c>
      <c r="G426" s="48" t="str">
        <f>IFERROR(__xludf.DUMMYFUNCTION("IFERROR((sparkline(GOOGLEFINANCE($A426,""price"",TODAY()-30,TODAY(),""DAILY""),{""charttype"",""line"";""linewidth"",1;""color"",""#5f88cc""})),"""")"),"")</f>
        <v/>
      </c>
      <c r="H426" s="49" t="str">
        <f>IFERROR(__xludf.DUMMYFUNCTION("IFERROR((((GOOGLEFINANCE(A426))-(INDEX(GoogleFinance(A426,""PRICE"",$AQ$1),2,2)))/(INDEX(GoogleFinance(A426,""PRICE"",$AQ$1),2,2))),"""")"),"")</f>
        <v/>
      </c>
      <c r="I426" s="47" t="str">
        <f>IFERROR(__xludf.DUMMYFUNCTION("IFERROR((GOOGLEFINANCE($A426,""high52"")),"""")"),"")</f>
        <v/>
      </c>
      <c r="J426" s="48" t="str">
        <f>IFERROR(__xludf.DUMMYFUNCTION("IFERROR((sparkline(GOOGLEFINANCE($A426,""price"",TODAY()-365,TODAY(),""DAILY""),{""charttype"",""line"";""linewidth"",1;""color"",""#5f88cc""})),"""")"),"")</f>
        <v/>
      </c>
      <c r="K426" s="50" t="str">
        <f>IFERROR(__xludf.DUMMYFUNCTION("IFERROR((((GOOGLEFINANCE(A426))-(INDEX(GoogleFinance(A426,""PRICE"",$AP$1),2,2)))/(INDEX(GoogleFinance(A426,""PRICE"",$AP$1),2,2))),"""")"),"")</f>
        <v/>
      </c>
      <c r="L426" s="51">
        <f t="shared" si="1"/>
        <v>0</v>
      </c>
      <c r="M426" s="52">
        <f>IFERROR((VLOOKUP($A426,'Dados StatusInvest'!$A:$AZ,COLUMN(M426)-$A$5,0)*VLOOKUP($A426,'Dados StatusInvest'!$A:$AZ,2,0)/$F426/100),0)</f>
        <v>0</v>
      </c>
      <c r="N426" s="53">
        <f>IFERROR((VLOOKUP($A426,'Dados StatusInvest'!$A:$AZ,COLUMN(N426)-$A$5,0)/VLOOKUP($A426,'Dados StatusInvest'!$A:$AZ,2,0)*$F426),"")</f>
        <v>0</v>
      </c>
      <c r="O426" s="53">
        <f>IFERROR((VLOOKUP($A426,'Dados StatusInvest'!$A:$AZ,COLUMN(O426)-$A$5,0)/VLOOKUP($A426,'Dados StatusInvest'!$A:$AZ,2,0)*$F426),0)</f>
        <v>0</v>
      </c>
      <c r="P426" s="54">
        <f>IFERROR((VLOOKUP($A426,'Dados StatusInvest'!$A:$AZ,COLUMN(P426)-$A$5,0)/VLOOKUP($A426,'Dados StatusInvest'!$A:$AZ,2,0)*$F426),0)</f>
        <v>0</v>
      </c>
      <c r="Q426" s="55">
        <f>IFERROR((VLOOKUP($A426,'Dados StatusInvest'!$A:$AZ,COLUMN(Q426)-$A$5,0)/100),0)</f>
        <v>0.0294</v>
      </c>
      <c r="R426" s="56">
        <f>VLOOKUP($A426,'Dados StatusInvest'!$A:$AZ,COLUMN(R426)-$A$5,0)</f>
        <v>0.27</v>
      </c>
      <c r="S426" s="56">
        <f>IFERROR((VLOOKUP($A426,'Dados StatusInvest'!$A:$AZ,COLUMN(S426)-$A$5,0)),0)</f>
        <v>0.71</v>
      </c>
      <c r="T426" s="53">
        <f>IFERROR((VLOOKUP($A426,'Dados StatusInvest'!$A:$AZ,COLUMN(T426)-$A$5,0)/VLOOKUP($A426,'Dados StatusInvest'!$A:$AZ,2,0)*$F426),0)</f>
        <v>0</v>
      </c>
      <c r="U426" s="53">
        <f>IFERROR((VLOOKUP($A426,'Dados StatusInvest'!$A:$AZ,COLUMN(U426)-$A$5,0)-VLOOKUP($A426,'Dados StatusInvest'!$A:$AZ,COLUMN(U426)-$A$5-1,0)+T426),0)</f>
        <v>-2.94</v>
      </c>
      <c r="V426" s="56">
        <f>IFERROR((VLOOKUP($A426,'Dados StatusInvest'!$A:$AZ,COLUMN(V426)-$A$5,0)),0)</f>
        <v>1.68</v>
      </c>
      <c r="W426" s="56">
        <f>IFERROR((VLOOKUP($A426,'Dados StatusInvest'!$A:$AZ,COLUMN(W426)-$A$5,0)),0)</f>
        <v>-47.14</v>
      </c>
      <c r="X426" s="53">
        <f>IFERROR((VLOOKUP($A426,'Dados StatusInvest'!$A:$AZ,COLUMN(X426)-$A$5,0)/VLOOKUP($A426,'Dados StatusInvest'!$A:$AZ,2,0)*$F426),0)</f>
        <v>0</v>
      </c>
      <c r="Y426" s="54">
        <f>IFERROR((VLOOKUP($A426,'Dados StatusInvest'!$A:$AZ,COLUMN(Y426)-$A$5,0)/VLOOKUP($A426,'Dados StatusInvest'!$A:$AZ,2,0)*$F426),0)</f>
        <v>0</v>
      </c>
      <c r="Z426" s="56">
        <f>IFERROR((VLOOKUP($A426,'Dados StatusInvest'!$A:$AZ,COLUMN(Z426)-$A$5,0)),0)</f>
        <v>0.43</v>
      </c>
      <c r="AA426" s="57">
        <f>IFERROR((VLOOKUP($A426,'Dados StatusInvest'!$A:$AZ,COLUMN(AA426)-$A$5,0)),0)</f>
        <v>0.57</v>
      </c>
      <c r="AB426" s="57">
        <f>IFERROR((VLOOKUP($A426,'Dados StatusInvest'!$A:$AZ,COLUMN(AB426)-$A$5,0)),0)</f>
        <v>0.62</v>
      </c>
      <c r="AC426" s="58">
        <f>IFERROR((VLOOKUP($A426,'Dados StatusInvest'!$A:$AZ,COLUMN(AC426)-$A$5,0)),0)</f>
        <v>10.77</v>
      </c>
      <c r="AD426" s="57">
        <f>IFERROR((VLOOKUP($A426,'Dados StatusInvest'!$A:$AZ,COLUMN(AD426)-$A$5,0)),0)</f>
        <v>0</v>
      </c>
      <c r="AE426" s="56">
        <f>IFERROR((VLOOKUP($A426,'Dados StatusInvest'!$A:$AZ,COLUMN(AE426)-$A$5,0)),0)</f>
        <v>76344659</v>
      </c>
      <c r="AF426" s="56">
        <f>IFERROR((VLOOKUP($A426,'Dados StatusInvest'!$A:$AZ,COLUMN(AF426)-$A$5,0)),0)</f>
        <v>10.94</v>
      </c>
      <c r="AG426" s="56">
        <f>IFERROR((VLOOKUP($A426,'Dados StatusInvest'!$A:$AZ,COLUMN(AG426)-$A$5,0)),0)</f>
        <v>-5.16</v>
      </c>
      <c r="AH426" s="56">
        <f>IFERROR((VLOOKUP($A426,'Dados StatusInvest'!$A:$AZ,COLUMN(AH426)-$A$5,0)),0)</f>
        <v>0.01</v>
      </c>
      <c r="AI426" s="57">
        <f>IFERROR((VLOOKUP($A426,'Dados StatusInvest'!$A:$AZ,COLUMN(AI426)-$A$5,0)),0)</f>
        <v>15188862110</v>
      </c>
      <c r="AJ426" s="59" t="str">
        <f>IFERROR((VLOOKUP($A426,'Dados StatusInvest'!$A:$AZ,COLUMN(AJ426)-$A$5,0)),0)</f>
        <v/>
      </c>
      <c r="AK426" s="60" t="str">
        <f>IFERROR(__xludf.DUMMYFUNCTION("IFERROR(GOOGLEFINANCE($A426,""high""),"""")"),"")</f>
        <v/>
      </c>
      <c r="AL426" s="60" t="str">
        <f>IFERROR(__xludf.DUMMYFUNCTION("IFERROR(GOOGLEFINANCE($A426,""low""),"""")"),"")</f>
        <v/>
      </c>
      <c r="AM426" s="61">
        <f t="shared" si="2"/>
        <v>0</v>
      </c>
      <c r="AN426" s="62">
        <f>IFERROR(__xludf.DUMMYFUNCTION("IFERROR((GOOGLEFINANCE($A426,""volume"")),0)"),0.0)</f>
        <v>0</v>
      </c>
      <c r="AO426" s="60" t="str">
        <f>IFERROR(__xludf.DUMMYFUNCTION("IFERROR((GOOGLEFINANCE($A426,""closeyest"")),"""")"),"")</f>
        <v/>
      </c>
      <c r="AP426" s="60" t="str">
        <f>IFERROR(__xludf.DUMMYFUNCTION("IFERROR((GOOGLEFINANCE($A426,""shares"")),"""")"),"")</f>
        <v/>
      </c>
      <c r="AQ426" s="18"/>
    </row>
    <row r="427">
      <c r="A427" s="45" t="str">
        <f>'Dados StatusInvest'!A422:A1041</f>
        <v>NUTR3</v>
      </c>
      <c r="B427" s="46" t="str">
        <f>IFERROR(__xludf.DUMMYFUNCTION("IFERROR((GOOGLEFINANCE(A427,""name"")),"""")"),"Nutriplant Industria e Comercio S/A")</f>
        <v>Nutriplant Industria e Comercio S/A</v>
      </c>
      <c r="C427" s="46" t="str">
        <f>IFERROR((VLOOKUP(LEFT($A427,4),Setor!$A:$E,3,0)),"")</f>
        <v>Materiais Básicos</v>
      </c>
      <c r="D427" s="46" t="str">
        <f>IFERROR((VLOOKUP(LEFT($A427,4),Setor!$A:$E,4,0)),"")</f>
        <v>Químicos</v>
      </c>
      <c r="E427" s="46" t="str">
        <f>IFERROR((VLOOKUP(LEFT($A427,4),Setor!$A:$E,5,0)),"")</f>
        <v>Fertilizantes e Defensivos</v>
      </c>
      <c r="F427" s="47">
        <f>IFERROR(__xludf.DUMMYFUNCTION("IFERROR((GOOGLEFINANCE(A427)),"""")"),2.47)</f>
        <v>2.47</v>
      </c>
      <c r="G427" s="48" t="str">
        <f>IFERROR(__xludf.DUMMYFUNCTION("IFERROR((sparkline(GOOGLEFINANCE($A427,""price"",TODAY()-30,TODAY(),""DAILY""),{""charttype"",""line"";""linewidth"",1;""color"",""#5f88cc""})),"""")"),"")</f>
        <v/>
      </c>
      <c r="H427" s="49">
        <f>IFERROR(__xludf.DUMMYFUNCTION("IFERROR((((GOOGLEFINANCE(A427))-(INDEX(GoogleFinance(A427,""PRICE"",$AQ$1),2,2)))/(INDEX(GoogleFinance(A427,""PRICE"",$AQ$1),2,2))),"""")"),-0.046332046332046205)</f>
        <v>-0.04633204633</v>
      </c>
      <c r="I427" s="47">
        <f>IFERROR(__xludf.DUMMYFUNCTION("IFERROR((GOOGLEFINANCE($A427,""high52"")),"""")"),4.15)</f>
        <v>4.15</v>
      </c>
      <c r="J427" s="48" t="str">
        <f>IFERROR(__xludf.DUMMYFUNCTION("IFERROR((sparkline(GOOGLEFINANCE($A427,""price"",TODAY()-365,TODAY(),""DAILY""),{""charttype"",""line"";""linewidth"",1;""color"",""#5f88cc""})),"""")"),"")</f>
        <v/>
      </c>
      <c r="K427" s="50">
        <f>IFERROR(__xludf.DUMMYFUNCTION("IFERROR((((GOOGLEFINANCE(A427))-(INDEX(GoogleFinance(A427,""PRICE"",$AP$1),2,2)))/(INDEX(GoogleFinance(A427,""PRICE"",$AP$1),2,2))),"""")"),-0.3195592286501377)</f>
        <v>-0.3195592287</v>
      </c>
      <c r="L427" s="51">
        <f t="shared" si="1"/>
        <v>-0.4048192771</v>
      </c>
      <c r="M427" s="52">
        <f>IFERROR((VLOOKUP($A427,'Dados StatusInvest'!$A:$AZ,COLUMN(M427)-$A$5,0)*VLOOKUP($A427,'Dados StatusInvest'!$A:$AZ,2,0)/$F427/100),0)</f>
        <v>0.0533</v>
      </c>
      <c r="N427" s="53">
        <f>IFERROR((VLOOKUP($A427,'Dados StatusInvest'!$A:$AZ,COLUMN(N427)-$A$5,0)/VLOOKUP($A427,'Dados StatusInvest'!$A:$AZ,2,0)*$F427),"")</f>
        <v>1.8</v>
      </c>
      <c r="O427" s="53">
        <f>IFERROR((VLOOKUP($A427,'Dados StatusInvest'!$A:$AZ,COLUMN(O427)-$A$5,0)/VLOOKUP($A427,'Dados StatusInvest'!$A:$AZ,2,0)*$F427),0)</f>
        <v>2.68</v>
      </c>
      <c r="P427" s="54">
        <f>IFERROR((VLOOKUP($A427,'Dados StatusInvest'!$A:$AZ,COLUMN(P427)-$A$5,0)/VLOOKUP($A427,'Dados StatusInvest'!$A:$AZ,2,0)*$F427),0)</f>
        <v>4.28</v>
      </c>
      <c r="Q427" s="55">
        <f>IFERROR((VLOOKUP($A427,'Dados StatusInvest'!$A:$AZ,COLUMN(Q427)-$A$5,0)/100),0)</f>
        <v>0.0161</v>
      </c>
      <c r="R427" s="56">
        <f>VLOOKUP($A427,'Dados StatusInvest'!$A:$AZ,COLUMN(R427)-$A$5,0)</f>
        <v>0.45</v>
      </c>
      <c r="S427" s="56">
        <f>IFERROR((VLOOKUP($A427,'Dados StatusInvest'!$A:$AZ,COLUMN(S427)-$A$5,0)),0)</f>
        <v>0.14</v>
      </c>
      <c r="T427" s="53">
        <f>IFERROR((VLOOKUP($A427,'Dados StatusInvest'!$A:$AZ,COLUMN(T427)-$A$5,0)/VLOOKUP($A427,'Dados StatusInvest'!$A:$AZ,2,0)*$F427),0)</f>
        <v>1.03</v>
      </c>
      <c r="U427" s="53">
        <f>IFERROR((VLOOKUP($A427,'Dados StatusInvest'!$A:$AZ,COLUMN(U427)-$A$5,0)-VLOOKUP($A427,'Dados StatusInvest'!$A:$AZ,COLUMN(U427)-$A$5-1,0)+T427),0)</f>
        <v>-0.89</v>
      </c>
      <c r="V427" s="56">
        <f>IFERROR((VLOOKUP($A427,'Dados StatusInvest'!$A:$AZ,COLUMN(V427)-$A$5,0)),0)</f>
        <v>1.53</v>
      </c>
      <c r="W427" s="56">
        <f>IFERROR((VLOOKUP($A427,'Dados StatusInvest'!$A:$AZ,COLUMN(W427)-$A$5,0)),0)</f>
        <v>9.55</v>
      </c>
      <c r="X427" s="53">
        <f>IFERROR((VLOOKUP($A427,'Dados StatusInvest'!$A:$AZ,COLUMN(X427)-$A$5,0)/VLOOKUP($A427,'Dados StatusInvest'!$A:$AZ,2,0)*$F427),0)</f>
        <v>3.21</v>
      </c>
      <c r="Y427" s="54">
        <f>IFERROR((VLOOKUP($A427,'Dados StatusInvest'!$A:$AZ,COLUMN(Y427)-$A$5,0)/VLOOKUP($A427,'Dados StatusInvest'!$A:$AZ,2,0)*$F427),0)</f>
        <v>15.44</v>
      </c>
      <c r="Z427" s="56">
        <f>IFERROR((VLOOKUP($A427,'Dados StatusInvest'!$A:$AZ,COLUMN(Z427)-$A$5,0)),0)</f>
        <v>0.34</v>
      </c>
      <c r="AA427" s="57">
        <f>IFERROR((VLOOKUP($A427,'Dados StatusInvest'!$A:$AZ,COLUMN(AA427)-$A$5,0)),0)</f>
        <v>0.66</v>
      </c>
      <c r="AB427" s="57">
        <f>IFERROR((VLOOKUP($A427,'Dados StatusInvest'!$A:$AZ,COLUMN(AB427)-$A$5,0)),0)</f>
        <v>1.78</v>
      </c>
      <c r="AC427" s="58">
        <f>IFERROR((VLOOKUP($A427,'Dados StatusInvest'!$A:$AZ,COLUMN(AC427)-$A$5,0)),0)</f>
        <v>25.86</v>
      </c>
      <c r="AD427" s="57">
        <f>IFERROR((VLOOKUP($A427,'Dados StatusInvest'!$A:$AZ,COLUMN(AD427)-$A$5,0)),0)</f>
        <v>-34.59</v>
      </c>
      <c r="AE427" s="56">
        <f>IFERROR((VLOOKUP($A427,'Dados StatusInvest'!$A:$AZ,COLUMN(AE427)-$A$5,0)),0)</f>
        <v>7695.05</v>
      </c>
      <c r="AF427" s="56">
        <f>IFERROR((VLOOKUP($A427,'Dados StatusInvest'!$A:$AZ,COLUMN(AF427)-$A$5,0)),0)</f>
        <v>3.26</v>
      </c>
      <c r="AG427" s="56">
        <f>IFERROR((VLOOKUP($A427,'Dados StatusInvest'!$A:$AZ,COLUMN(AG427)-$A$5,0)),0)</f>
        <v>0.31</v>
      </c>
      <c r="AH427" s="56">
        <f>IFERROR((VLOOKUP($A427,'Dados StatusInvest'!$A:$AZ,COLUMN(AH427)-$A$5,0)),0)</f>
        <v>-0.17</v>
      </c>
      <c r="AI427" s="57">
        <f>IFERROR((VLOOKUP($A427,'Dados StatusInvest'!$A:$AZ,COLUMN(AI427)-$A$5,0)),0)</f>
        <v>32713668</v>
      </c>
      <c r="AJ427" s="59" t="str">
        <f>IFERROR((VLOOKUP($A427,'Dados StatusInvest'!$A:$AZ,COLUMN(AJ427)-$A$5,0)),0)</f>
        <v/>
      </c>
      <c r="AK427" s="60" t="str">
        <f>IFERROR(__xludf.DUMMYFUNCTION("IFERROR(GOOGLEFINANCE($A427,""high""),"""")"),"")</f>
        <v/>
      </c>
      <c r="AL427" s="60" t="str">
        <f>IFERROR(__xludf.DUMMYFUNCTION("IFERROR(GOOGLEFINANCE($A427,""low""),"""")"),"")</f>
        <v/>
      </c>
      <c r="AM427" s="61">
        <f t="shared" si="2"/>
        <v>0</v>
      </c>
      <c r="AN427" s="62">
        <f>IFERROR(__xludf.DUMMYFUNCTION("IFERROR((GOOGLEFINANCE($A427,""volume"")),0)"),0.0)</f>
        <v>0</v>
      </c>
      <c r="AO427" s="60">
        <f>IFERROR(__xludf.DUMMYFUNCTION("IFERROR((GOOGLEFINANCE($A427,""closeyest"")),"""")"),2.47)</f>
        <v>2.47</v>
      </c>
      <c r="AP427" s="60">
        <f>IFERROR(__xludf.DUMMYFUNCTION("IFERROR((GOOGLEFINANCE($A427,""shares"")),"""")"),1.32444E7)</f>
        <v>13244400</v>
      </c>
      <c r="AQ427" s="18"/>
    </row>
    <row r="428">
      <c r="A428" s="45" t="str">
        <f>'Dados StatusInvest'!A423:A1042</f>
        <v>OBTC3</v>
      </c>
      <c r="B428" s="46" t="str">
        <f>IFERROR(__xludf.DUMMYFUNCTION("IFERROR((GOOGLEFINANCE(A428,""name"")),"""")"),"Oranjebtc Ord Shs")</f>
        <v>Oranjebtc Ord Shs</v>
      </c>
      <c r="C428" s="46" t="str">
        <f>IFERROR((VLOOKUP(LEFT($A428,4),Setor!$A:$E,3,0)),"")</f>
        <v/>
      </c>
      <c r="D428" s="46" t="str">
        <f>IFERROR((VLOOKUP(LEFT($A428,4),Setor!$A:$E,4,0)),"")</f>
        <v/>
      </c>
      <c r="E428" s="46" t="str">
        <f>IFERROR((VLOOKUP(LEFT($A428,4),Setor!$A:$E,5,0)),"")</f>
        <v/>
      </c>
      <c r="F428" s="47">
        <f>IFERROR(__xludf.DUMMYFUNCTION("IFERROR((GOOGLEFINANCE(A428)),"""")"),6.46)</f>
        <v>6.46</v>
      </c>
      <c r="G428" s="48" t="str">
        <f>IFERROR(__xludf.DUMMYFUNCTION("IFERROR((sparkline(GOOGLEFINANCE($A428,""price"",TODAY()-30,TODAY(),""DAILY""),{""charttype"",""line"";""linewidth"",1;""color"",""#5f88cc""})),"""")"),"")</f>
        <v/>
      </c>
      <c r="H428" s="49">
        <f>IFERROR(__xludf.DUMMYFUNCTION("IFERROR((((GOOGLEFINANCE(A428))-(INDEX(GoogleFinance(A428,""PRICE"",$AQ$1),2,2)))/(INDEX(GoogleFinance(A428,""PRICE"",$AQ$1),2,2))),"""")"),-0.27005649717514124)</f>
        <v>-0.2700564972</v>
      </c>
      <c r="I428" s="47">
        <f>IFERROR(__xludf.DUMMYFUNCTION("IFERROR((GOOGLEFINANCE($A428,""high52"")),"""")"),29.0)</f>
        <v>29</v>
      </c>
      <c r="J428" s="48" t="str">
        <f>IFERROR(__xludf.DUMMYFUNCTION("IFERROR((sparkline(GOOGLEFINANCE($A428,""price"",TODAY()-365,TODAY(),""DAILY""),{""charttype"",""line"";""linewidth"",1;""color"",""#5f88cc""})),"""")"),"")</f>
        <v/>
      </c>
      <c r="K428" s="50" t="str">
        <f>IFERROR(__xludf.DUMMYFUNCTION("IFERROR((((GOOGLEFINANCE(A428))-(INDEX(GoogleFinance(A428,""PRICE"",$AP$1),2,2)))/(INDEX(GoogleFinance(A428,""PRICE"",$AP$1),2,2))),"""")"),"")</f>
        <v/>
      </c>
      <c r="L428" s="51">
        <f t="shared" si="1"/>
        <v>-0.7772413793</v>
      </c>
      <c r="M428" s="52">
        <f>IFERROR((VLOOKUP($A428,'Dados StatusInvest'!$A:$AZ,COLUMN(M428)-$A$5,0)*VLOOKUP($A428,'Dados StatusInvest'!$A:$AZ,2,0)/$F428/100),0)</f>
        <v>0</v>
      </c>
      <c r="N428" s="53">
        <f>IFERROR((VLOOKUP($A428,'Dados StatusInvest'!$A:$AZ,COLUMN(N428)-$A$5,0)/VLOOKUP($A428,'Dados StatusInvest'!$A:$AZ,2,0)*$F428),"")</f>
        <v>0</v>
      </c>
      <c r="O428" s="53">
        <f>IFERROR((VLOOKUP($A428,'Dados StatusInvest'!$A:$AZ,COLUMN(O428)-$A$5,0)/VLOOKUP($A428,'Dados StatusInvest'!$A:$AZ,2,0)*$F428),0)</f>
        <v>0</v>
      </c>
      <c r="P428" s="54">
        <f>IFERROR((VLOOKUP($A428,'Dados StatusInvest'!$A:$AZ,COLUMN(P428)-$A$5,0)/VLOOKUP($A428,'Dados StatusInvest'!$A:$AZ,2,0)*$F428),0)</f>
        <v>0</v>
      </c>
      <c r="Q428" s="55">
        <f>IFERROR((VLOOKUP($A428,'Dados StatusInvest'!$A:$AZ,COLUMN(Q428)-$A$5,0)/100),0)</f>
        <v>0</v>
      </c>
      <c r="R428" s="56">
        <f>VLOOKUP($A428,'Dados StatusInvest'!$A:$AZ,COLUMN(R428)-$A$5,0)</f>
        <v>0</v>
      </c>
      <c r="S428" s="56">
        <f>IFERROR((VLOOKUP($A428,'Dados StatusInvest'!$A:$AZ,COLUMN(S428)-$A$5,0)),0)</f>
        <v>0</v>
      </c>
      <c r="T428" s="53">
        <f>IFERROR((VLOOKUP($A428,'Dados StatusInvest'!$A:$AZ,COLUMN(T428)-$A$5,0)/VLOOKUP($A428,'Dados StatusInvest'!$A:$AZ,2,0)*$F428),0)</f>
        <v>0</v>
      </c>
      <c r="U428" s="53">
        <f>IFERROR((VLOOKUP($A428,'Dados StatusInvest'!$A:$AZ,COLUMN(U428)-$A$5,0)-VLOOKUP($A428,'Dados StatusInvest'!$A:$AZ,COLUMN(U428)-$A$5-1,0)+T428),0)</f>
        <v>0</v>
      </c>
      <c r="V428" s="56">
        <f>IFERROR((VLOOKUP($A428,'Dados StatusInvest'!$A:$AZ,COLUMN(V428)-$A$5,0)),0)</f>
        <v>0</v>
      </c>
      <c r="W428" s="56">
        <f>IFERROR((VLOOKUP($A428,'Dados StatusInvest'!$A:$AZ,COLUMN(W428)-$A$5,0)),0)</f>
        <v>0</v>
      </c>
      <c r="X428" s="53">
        <f>IFERROR((VLOOKUP($A428,'Dados StatusInvest'!$A:$AZ,COLUMN(X428)-$A$5,0)/VLOOKUP($A428,'Dados StatusInvest'!$A:$AZ,2,0)*$F428),0)</f>
        <v>0</v>
      </c>
      <c r="Y428" s="54">
        <f>IFERROR((VLOOKUP($A428,'Dados StatusInvest'!$A:$AZ,COLUMN(Y428)-$A$5,0)/VLOOKUP($A428,'Dados StatusInvest'!$A:$AZ,2,0)*$F428),0)</f>
        <v>0</v>
      </c>
      <c r="Z428" s="56">
        <f>IFERROR((VLOOKUP($A428,'Dados StatusInvest'!$A:$AZ,COLUMN(Z428)-$A$5,0)),0)</f>
        <v>0</v>
      </c>
      <c r="AA428" s="57">
        <f>IFERROR((VLOOKUP($A428,'Dados StatusInvest'!$A:$AZ,COLUMN(AA428)-$A$5,0)),0)</f>
        <v>0</v>
      </c>
      <c r="AB428" s="57">
        <f>IFERROR((VLOOKUP($A428,'Dados StatusInvest'!$A:$AZ,COLUMN(AB428)-$A$5,0)),0)</f>
        <v>0</v>
      </c>
      <c r="AC428" s="58">
        <f>IFERROR((VLOOKUP($A428,'Dados StatusInvest'!$A:$AZ,COLUMN(AC428)-$A$5,0)),0)</f>
        <v>0</v>
      </c>
      <c r="AD428" s="57">
        <f>IFERROR((VLOOKUP($A428,'Dados StatusInvest'!$A:$AZ,COLUMN(AD428)-$A$5,0)),0)</f>
        <v>0</v>
      </c>
      <c r="AE428" s="56">
        <f>IFERROR((VLOOKUP($A428,'Dados StatusInvest'!$A:$AZ,COLUMN(AE428)-$A$5,0)),0)</f>
        <v>7308721</v>
      </c>
      <c r="AF428" s="56">
        <f>IFERROR((VLOOKUP($A428,'Dados StatusInvest'!$A:$AZ,COLUMN(AF428)-$A$5,0)),0)</f>
        <v>0</v>
      </c>
      <c r="AG428" s="56">
        <f>IFERROR((VLOOKUP($A428,'Dados StatusInvest'!$A:$AZ,COLUMN(AG428)-$A$5,0)),0)</f>
        <v>0</v>
      </c>
      <c r="AH428" s="56">
        <f>IFERROR((VLOOKUP($A428,'Dados StatusInvest'!$A:$AZ,COLUMN(AH428)-$A$5,0)),0)</f>
        <v>0</v>
      </c>
      <c r="AI428" s="57">
        <f>IFERROR((VLOOKUP($A428,'Dados StatusInvest'!$A:$AZ,COLUMN(AI428)-$A$5,0)),0)</f>
        <v>0</v>
      </c>
      <c r="AJ428" s="59" t="str">
        <f>IFERROR((VLOOKUP($A428,'Dados StatusInvest'!$A:$AZ,COLUMN(AJ428)-$A$5,0)),0)</f>
        <v/>
      </c>
      <c r="AK428" s="60">
        <f>IFERROR(__xludf.DUMMYFUNCTION("IFERROR(GOOGLEFINANCE($A428,""high""),"""")"),6.67)</f>
        <v>6.67</v>
      </c>
      <c r="AL428" s="60">
        <f>IFERROR(__xludf.DUMMYFUNCTION("IFERROR(GOOGLEFINANCE($A428,""low""),"""")"),6.46)</f>
        <v>6.46</v>
      </c>
      <c r="AM428" s="61">
        <f t="shared" si="2"/>
        <v>0.03250773994</v>
      </c>
      <c r="AN428" s="62">
        <f>IFERROR(__xludf.DUMMYFUNCTION("IFERROR((GOOGLEFINANCE($A428,""volume"")),0)"),18400.0)</f>
        <v>18400</v>
      </c>
      <c r="AO428" s="60">
        <f>IFERROR(__xludf.DUMMYFUNCTION("IFERROR((GOOGLEFINANCE($A428,""closeyest"")),"""")"),6.66)</f>
        <v>6.66</v>
      </c>
      <c r="AP428" s="60">
        <f>IFERROR(__xludf.DUMMYFUNCTION("IFERROR((GOOGLEFINANCE($A428,""shares"")),"""")"),1.686082E8)</f>
        <v>168608200</v>
      </c>
      <c r="AQ428" s="18"/>
    </row>
    <row r="429">
      <c r="A429" s="45" t="str">
        <f>'Dados StatusInvest'!A424:A1043</f>
        <v>ODER3</v>
      </c>
      <c r="B429" s="46" t="str">
        <f>IFERROR(__xludf.DUMMYFUNCTION("IFERROR((GOOGLEFINANCE(A429,""name"")),"""")"),"Conservas Oderich SA")</f>
        <v>Conservas Oderich SA</v>
      </c>
      <c r="C429" s="46" t="str">
        <f>IFERROR((VLOOKUP(LEFT($A429,4),Setor!$A:$E,3,0)),"")</f>
        <v>Consumo não Cíclico</v>
      </c>
      <c r="D429" s="46" t="str">
        <f>IFERROR((VLOOKUP(LEFT($A429,4),Setor!$A:$E,4,0)),"")</f>
        <v>Alimentos Processados</v>
      </c>
      <c r="E429" s="46" t="str">
        <f>IFERROR((VLOOKUP(LEFT($A429,4),Setor!$A:$E,5,0)),"")</f>
        <v>Alimentos Diversos</v>
      </c>
      <c r="F429" s="47">
        <f>IFERROR(__xludf.DUMMYFUNCTION("IFERROR((GOOGLEFINANCE(A429)),"""")"),0.0)</f>
        <v>0</v>
      </c>
      <c r="G429" s="48" t="str">
        <f>IFERROR(__xludf.DUMMYFUNCTION("IFERROR((sparkline(GOOGLEFINANCE($A429,""price"",TODAY()-30,TODAY(),""DAILY""),{""charttype"",""line"";""linewidth"",1;""color"",""#5f88cc""})),"""")"),"")</f>
        <v/>
      </c>
      <c r="H429" s="49" t="str">
        <f>IFERROR(__xludf.DUMMYFUNCTION("IFERROR((((GOOGLEFINANCE(A429))-(INDEX(GoogleFinance(A429,""PRICE"",$AQ$1),2,2)))/(INDEX(GoogleFinance(A429,""PRICE"",$AQ$1),2,2))),"""")"),"")</f>
        <v/>
      </c>
      <c r="I429" s="47" t="str">
        <f>IFERROR(__xludf.DUMMYFUNCTION("IFERROR((GOOGLEFINANCE($A429,""high52"")),"""")"),"")</f>
        <v/>
      </c>
      <c r="J429" s="48" t="str">
        <f>IFERROR(__xludf.DUMMYFUNCTION("IFERROR((sparkline(GOOGLEFINANCE($A429,""price"",TODAY()-365,TODAY(),""DAILY""),{""charttype"",""line"";""linewidth"",1;""color"",""#5f88cc""})),"""")"),"")</f>
        <v/>
      </c>
      <c r="K429" s="50" t="str">
        <f>IFERROR(__xludf.DUMMYFUNCTION("IFERROR((((GOOGLEFINANCE(A429))-(INDEX(GoogleFinance(A429,""PRICE"",$AP$1),2,2)))/(INDEX(GoogleFinance(A429,""PRICE"",$AP$1),2,2))),"""")"),"")</f>
        <v/>
      </c>
      <c r="L429" s="51">
        <f t="shared" si="1"/>
        <v>0</v>
      </c>
      <c r="M429" s="52">
        <f>IFERROR((VLOOKUP($A429,'Dados StatusInvest'!$A:$AZ,COLUMN(M429)-$A$5,0)*VLOOKUP($A429,'Dados StatusInvest'!$A:$AZ,2,0)/$F429/100),0)</f>
        <v>0</v>
      </c>
      <c r="N429" s="53" t="str">
        <f>IFERROR((VLOOKUP($A429,'Dados StatusInvest'!$A:$AZ,COLUMN(N429)-$A$5,0)/VLOOKUP($A429,'Dados StatusInvest'!$A:$AZ,2,0)*$F429),"")</f>
        <v/>
      </c>
      <c r="O429" s="53">
        <f>IFERROR((VLOOKUP($A429,'Dados StatusInvest'!$A:$AZ,COLUMN(O429)-$A$5,0)/VLOOKUP($A429,'Dados StatusInvest'!$A:$AZ,2,0)*$F429),0)</f>
        <v>0</v>
      </c>
      <c r="P429" s="54">
        <f>IFERROR((VLOOKUP($A429,'Dados StatusInvest'!$A:$AZ,COLUMN(P429)-$A$5,0)/VLOOKUP($A429,'Dados StatusInvest'!$A:$AZ,2,0)*$F429),0)</f>
        <v>0</v>
      </c>
      <c r="Q429" s="55">
        <f>IFERROR((VLOOKUP($A429,'Dados StatusInvest'!$A:$AZ,COLUMN(Q429)-$A$5,0)/100),0)</f>
        <v>0.0249</v>
      </c>
      <c r="R429" s="56">
        <f>VLOOKUP($A429,'Dados StatusInvest'!$A:$AZ,COLUMN(R429)-$A$5,0)</f>
        <v>0.41</v>
      </c>
      <c r="S429" s="56">
        <f>IFERROR((VLOOKUP($A429,'Dados StatusInvest'!$A:$AZ,COLUMN(S429)-$A$5,0)),0)</f>
        <v>0</v>
      </c>
      <c r="T429" s="53">
        <f>IFERROR((VLOOKUP($A429,'Dados StatusInvest'!$A:$AZ,COLUMN(T429)-$A$5,0)/VLOOKUP($A429,'Dados StatusInvest'!$A:$AZ,2,0)*$F429),0)</f>
        <v>0</v>
      </c>
      <c r="U429" s="53">
        <f>IFERROR((VLOOKUP($A429,'Dados StatusInvest'!$A:$AZ,COLUMN(U429)-$A$5,0)-VLOOKUP($A429,'Dados StatusInvest'!$A:$AZ,COLUMN(U429)-$A$5-1,0)+T429),0)</f>
        <v>0</v>
      </c>
      <c r="V429" s="56">
        <f>IFERROR((VLOOKUP($A429,'Dados StatusInvest'!$A:$AZ,COLUMN(V429)-$A$5,0)),0)</f>
        <v>3.92</v>
      </c>
      <c r="W429" s="56">
        <f>IFERROR((VLOOKUP($A429,'Dados StatusInvest'!$A:$AZ,COLUMN(W429)-$A$5,0)),0)</f>
        <v>8.41</v>
      </c>
      <c r="X429" s="53">
        <f>IFERROR((VLOOKUP($A429,'Dados StatusInvest'!$A:$AZ,COLUMN(X429)-$A$5,0)/VLOOKUP($A429,'Dados StatusInvest'!$A:$AZ,2,0)*$F429),0)</f>
        <v>0</v>
      </c>
      <c r="Y429" s="54">
        <f>IFERROR((VLOOKUP($A429,'Dados StatusInvest'!$A:$AZ,COLUMN(Y429)-$A$5,0)/VLOOKUP($A429,'Dados StatusInvest'!$A:$AZ,2,0)*$F429),0)</f>
        <v>0</v>
      </c>
      <c r="Z429" s="56">
        <f>IFERROR((VLOOKUP($A429,'Dados StatusInvest'!$A:$AZ,COLUMN(Z429)-$A$5,0)),0)</f>
        <v>0.52</v>
      </c>
      <c r="AA429" s="57">
        <f>IFERROR((VLOOKUP($A429,'Dados StatusInvest'!$A:$AZ,COLUMN(AA429)-$A$5,0)),0)</f>
        <v>0.48</v>
      </c>
      <c r="AB429" s="57">
        <f>IFERROR((VLOOKUP($A429,'Dados StatusInvest'!$A:$AZ,COLUMN(AB429)-$A$5,0)),0)</f>
        <v>0.59</v>
      </c>
      <c r="AC429" s="58">
        <f>IFERROR((VLOOKUP($A429,'Dados StatusInvest'!$A:$AZ,COLUMN(AC429)-$A$5,0)),0)</f>
        <v>11.9</v>
      </c>
      <c r="AD429" s="57">
        <f>IFERROR((VLOOKUP($A429,'Dados StatusInvest'!$A:$AZ,COLUMN(AD429)-$A$5,0)),0)</f>
        <v>18.68</v>
      </c>
      <c r="AE429" s="56">
        <f>IFERROR((VLOOKUP($A429,'Dados StatusInvest'!$A:$AZ,COLUMN(AE429)-$A$5,0)),0)</f>
        <v>0</v>
      </c>
      <c r="AF429" s="56">
        <f>IFERROR((VLOOKUP($A429,'Dados StatusInvest'!$A:$AZ,COLUMN(AF429)-$A$5,0)),0)</f>
        <v>51.32</v>
      </c>
      <c r="AG429" s="56">
        <f>IFERROR((VLOOKUP($A429,'Dados StatusInvest'!$A:$AZ,COLUMN(AG429)-$A$5,0)),0)</f>
        <v>4.32</v>
      </c>
      <c r="AH429" s="56">
        <f>IFERROR((VLOOKUP($A429,'Dados StatusInvest'!$A:$AZ,COLUMN(AH429)-$A$5,0)),0)</f>
        <v>0</v>
      </c>
      <c r="AI429" s="57">
        <f>IFERROR((VLOOKUP($A429,'Dados StatusInvest'!$A:$AZ,COLUMN(AI429)-$A$5,0)),0)</f>
        <v>0</v>
      </c>
      <c r="AJ429" s="59" t="str">
        <f>IFERROR((VLOOKUP($A429,'Dados StatusInvest'!$A:$AZ,COLUMN(AJ429)-$A$5,0)),0)</f>
        <v/>
      </c>
      <c r="AK429" s="60" t="str">
        <f>IFERROR(__xludf.DUMMYFUNCTION("IFERROR(GOOGLEFINANCE($A429,""high""),"""")"),"")</f>
        <v/>
      </c>
      <c r="AL429" s="60" t="str">
        <f>IFERROR(__xludf.DUMMYFUNCTION("IFERROR(GOOGLEFINANCE($A429,""low""),"""")"),"")</f>
        <v/>
      </c>
      <c r="AM429" s="61">
        <f t="shared" si="2"/>
        <v>0</v>
      </c>
      <c r="AN429" s="62">
        <f>IFERROR(__xludf.DUMMYFUNCTION("IFERROR((GOOGLEFINANCE($A429,""volume"")),0)"),0.0)</f>
        <v>0</v>
      </c>
      <c r="AO429" s="60" t="str">
        <f>IFERROR(__xludf.DUMMYFUNCTION("IFERROR((GOOGLEFINANCE($A429,""closeyest"")),"""")"),"")</f>
        <v/>
      </c>
      <c r="AP429" s="60">
        <f>IFERROR(__xludf.DUMMYFUNCTION("IFERROR((GOOGLEFINANCE($A429,""shares"")),"""")"),9858589.0)</f>
        <v>9858589</v>
      </c>
      <c r="AQ429" s="18"/>
    </row>
    <row r="430">
      <c r="A430" s="45" t="str">
        <f>'Dados StatusInvest'!A425:A1044</f>
        <v>ODER4</v>
      </c>
      <c r="B430" s="46" t="str">
        <f>IFERROR(__xludf.DUMMYFUNCTION("IFERROR((GOOGLEFINANCE(A430,""name"")),"""")"),"Conservas Oderich SA Preference Shares")</f>
        <v>Conservas Oderich SA Preference Shares</v>
      </c>
      <c r="C430" s="46" t="str">
        <f>IFERROR((VLOOKUP(LEFT($A430,4),Setor!$A:$E,3,0)),"")</f>
        <v>Consumo não Cíclico</v>
      </c>
      <c r="D430" s="46" t="str">
        <f>IFERROR((VLOOKUP(LEFT($A430,4),Setor!$A:$E,4,0)),"")</f>
        <v>Alimentos Processados</v>
      </c>
      <c r="E430" s="46" t="str">
        <f>IFERROR((VLOOKUP(LEFT($A430,4),Setor!$A:$E,5,0)),"")</f>
        <v>Alimentos Diversos</v>
      </c>
      <c r="F430" s="47">
        <f>IFERROR(__xludf.DUMMYFUNCTION("IFERROR((GOOGLEFINANCE(A430)),"""")"),100.0)</f>
        <v>100</v>
      </c>
      <c r="G430" s="48" t="str">
        <f>IFERROR(__xludf.DUMMYFUNCTION("IFERROR((sparkline(GOOGLEFINANCE($A430,""price"",TODAY()-30,TODAY(),""DAILY""),{""charttype"",""line"";""linewidth"",1;""color"",""#5f88cc""})),"""")"),"")</f>
        <v/>
      </c>
      <c r="H430" s="49" t="str">
        <f>IFERROR(__xludf.DUMMYFUNCTION("IFERROR((((GOOGLEFINANCE(A430))-(INDEX(GoogleFinance(A430,""PRICE"",$AQ$1),2,2)))/(INDEX(GoogleFinance(A430,""PRICE"",$AQ$1),2,2))),"""")"),"")</f>
        <v/>
      </c>
      <c r="I430" s="47">
        <f>IFERROR(__xludf.DUMMYFUNCTION("IFERROR((GOOGLEFINANCE($A430,""high52"")),"""")"),97.91)</f>
        <v>97.91</v>
      </c>
      <c r="J430" s="48" t="str">
        <f>IFERROR(__xludf.DUMMYFUNCTION("IFERROR((sparkline(GOOGLEFINANCE($A430,""price"",TODAY()-365,TODAY(),""DAILY""),{""charttype"",""line"";""linewidth"",1;""color"",""#5f88cc""})),"""")"),"")</f>
        <v/>
      </c>
      <c r="K430" s="50" t="str">
        <f>IFERROR(__xludf.DUMMYFUNCTION("IFERROR((((GOOGLEFINANCE(A430))-(INDEX(GoogleFinance(A430,""PRICE"",$AP$1),2,2)))/(INDEX(GoogleFinance(A430,""PRICE"",$AP$1),2,2))),"""")"),"")</f>
        <v/>
      </c>
      <c r="L430" s="51">
        <f t="shared" si="1"/>
        <v>0.0213461342</v>
      </c>
      <c r="M430" s="52">
        <f>IFERROR((VLOOKUP($A430,'Dados StatusInvest'!$A:$AZ,COLUMN(M430)-$A$5,0)*VLOOKUP($A430,'Dados StatusInvest'!$A:$AZ,2,0)/$F430/100),0)</f>
        <v>0.14236768</v>
      </c>
      <c r="N430" s="53">
        <f>IFERROR((VLOOKUP($A430,'Dados StatusInvest'!$A:$AZ,COLUMN(N430)-$A$5,0)/VLOOKUP($A430,'Dados StatusInvest'!$A:$AZ,2,0)*$F430),"")</f>
        <v>7.690734301</v>
      </c>
      <c r="O430" s="53">
        <f>IFERROR((VLOOKUP($A430,'Dados StatusInvest'!$A:$AZ,COLUMN(O430)-$A$5,0)/VLOOKUP($A430,'Dados StatusInvest'!$A:$AZ,2,0)*$F430),0)</f>
        <v>11.96563714</v>
      </c>
      <c r="P430" s="54">
        <f>IFERROR((VLOOKUP($A430,'Dados StatusInvest'!$A:$AZ,COLUMN(P430)-$A$5,0)/VLOOKUP($A430,'Dados StatusInvest'!$A:$AZ,2,0)*$F430),0)</f>
        <v>0</v>
      </c>
      <c r="Q430" s="55">
        <f>IFERROR((VLOOKUP($A430,'Dados StatusInvest'!$A:$AZ,COLUMN(Q430)-$A$5,0)/100),0)</f>
        <v>0.0249</v>
      </c>
      <c r="R430" s="56">
        <f>VLOOKUP($A430,'Dados StatusInvest'!$A:$AZ,COLUMN(R430)-$A$5,0)</f>
        <v>0.41</v>
      </c>
      <c r="S430" s="56">
        <f>IFERROR((VLOOKUP($A430,'Dados StatusInvest'!$A:$AZ,COLUMN(S430)-$A$5,0)),0)</f>
        <v>1.7</v>
      </c>
      <c r="T430" s="53">
        <f>IFERROR((VLOOKUP($A430,'Dados StatusInvest'!$A:$AZ,COLUMN(T430)-$A$5,0)/VLOOKUP($A430,'Dados StatusInvest'!$A:$AZ,2,0)*$F430),0)</f>
        <v>2.014726938</v>
      </c>
      <c r="U430" s="53">
        <f>IFERROR((VLOOKUP($A430,'Dados StatusInvest'!$A:$AZ,COLUMN(U430)-$A$5,0)-VLOOKUP($A430,'Dados StatusInvest'!$A:$AZ,COLUMN(U430)-$A$5-1,0)+T430),0)</f>
        <v>-3.075273062</v>
      </c>
      <c r="V430" s="56">
        <f>IFERROR((VLOOKUP($A430,'Dados StatusInvest'!$A:$AZ,COLUMN(V430)-$A$5,0)),0)</f>
        <v>3.92</v>
      </c>
      <c r="W430" s="56">
        <f>IFERROR((VLOOKUP($A430,'Dados StatusInvest'!$A:$AZ,COLUMN(W430)-$A$5,0)),0)</f>
        <v>8.41</v>
      </c>
      <c r="X430" s="53">
        <f>IFERROR((VLOOKUP($A430,'Dados StatusInvest'!$A:$AZ,COLUMN(X430)-$A$5,0)/VLOOKUP($A430,'Dados StatusInvest'!$A:$AZ,2,0)*$F430),0)</f>
        <v>4.49989773</v>
      </c>
      <c r="Y430" s="54">
        <f>IFERROR((VLOOKUP($A430,'Dados StatusInvest'!$A:$AZ,COLUMN(Y430)-$A$5,0)/VLOOKUP($A430,'Dados StatusInvest'!$A:$AZ,2,0)*$F430),0)</f>
        <v>4.060134997</v>
      </c>
      <c r="Z430" s="56">
        <f>IFERROR((VLOOKUP($A430,'Dados StatusInvest'!$A:$AZ,COLUMN(Z430)-$A$5,0)),0)</f>
        <v>0.52</v>
      </c>
      <c r="AA430" s="57">
        <f>IFERROR((VLOOKUP($A430,'Dados StatusInvest'!$A:$AZ,COLUMN(AA430)-$A$5,0)),0)</f>
        <v>0.48</v>
      </c>
      <c r="AB430" s="57">
        <f>IFERROR((VLOOKUP($A430,'Dados StatusInvest'!$A:$AZ,COLUMN(AB430)-$A$5,0)),0)</f>
        <v>0.59</v>
      </c>
      <c r="AC430" s="58">
        <f>IFERROR((VLOOKUP($A430,'Dados StatusInvest'!$A:$AZ,COLUMN(AC430)-$A$5,0)),0)</f>
        <v>11.9</v>
      </c>
      <c r="AD430" s="57">
        <f>IFERROR((VLOOKUP($A430,'Dados StatusInvest'!$A:$AZ,COLUMN(AD430)-$A$5,0)),0)</f>
        <v>18.68</v>
      </c>
      <c r="AE430" s="56">
        <f>IFERROR((VLOOKUP($A430,'Dados StatusInvest'!$A:$AZ,COLUMN(AE430)-$A$5,0)),0)</f>
        <v>0</v>
      </c>
      <c r="AF430" s="56">
        <f>IFERROR((VLOOKUP($A430,'Dados StatusInvest'!$A:$AZ,COLUMN(AF430)-$A$5,0)),0)</f>
        <v>51.32</v>
      </c>
      <c r="AG430" s="56">
        <f>IFERROR((VLOOKUP($A430,'Dados StatusInvest'!$A:$AZ,COLUMN(AG430)-$A$5,0)),0)</f>
        <v>4.32</v>
      </c>
      <c r="AH430" s="56">
        <f>IFERROR((VLOOKUP($A430,'Dados StatusInvest'!$A:$AZ,COLUMN(AH430)-$A$5,0)),0)</f>
        <v>0.34</v>
      </c>
      <c r="AI430" s="57">
        <f>IFERROR((VLOOKUP($A430,'Dados StatusInvest'!$A:$AZ,COLUMN(AI430)-$A$5,0)),0)</f>
        <v>0</v>
      </c>
      <c r="AJ430" s="59" t="str">
        <f>IFERROR((VLOOKUP($A430,'Dados StatusInvest'!$A:$AZ,COLUMN(AJ430)-$A$5,0)),0)</f>
        <v/>
      </c>
      <c r="AK430" s="60" t="str">
        <f>IFERROR(__xludf.DUMMYFUNCTION("IFERROR(GOOGLEFINANCE($A430,""high""),"""")"),"")</f>
        <v/>
      </c>
      <c r="AL430" s="60" t="str">
        <f>IFERROR(__xludf.DUMMYFUNCTION("IFERROR(GOOGLEFINANCE($A430,""low""),"""")"),"")</f>
        <v/>
      </c>
      <c r="AM430" s="61">
        <f t="shared" si="2"/>
        <v>0</v>
      </c>
      <c r="AN430" s="62">
        <f>IFERROR(__xludf.DUMMYFUNCTION("IFERROR((GOOGLEFINANCE($A430,""volume"")),0)"),0.0)</f>
        <v>0</v>
      </c>
      <c r="AO430" s="60">
        <f>IFERROR(__xludf.DUMMYFUNCTION("IFERROR((GOOGLEFINANCE($A430,""closeyest"")),"""")"),96.0)</f>
        <v>96</v>
      </c>
      <c r="AP430" s="60">
        <f>IFERROR(__xludf.DUMMYFUNCTION("IFERROR((GOOGLEFINANCE($A430,""shares"")),"""")"),1428517.0)</f>
        <v>1428517</v>
      </c>
      <c r="AQ430" s="18"/>
    </row>
    <row r="431">
      <c r="A431" s="45" t="str">
        <f>'Dados StatusInvest'!A426:A1045</f>
        <v>ODPV3</v>
      </c>
      <c r="B431" s="46" t="str">
        <f>IFERROR(__xludf.DUMMYFUNCTION("IFERROR((GOOGLEFINANCE(A431,""name"")),"""")"),"Odontoprev SA")</f>
        <v>Odontoprev SA</v>
      </c>
      <c r="C431" s="46" t="str">
        <f>IFERROR((VLOOKUP(LEFT($A431,4),Setor!$A:$E,3,0)),"")</f>
        <v>Saúde</v>
      </c>
      <c r="D431" s="46" t="str">
        <f>IFERROR((VLOOKUP(LEFT($A431,4),Setor!$A:$E,4,0)),"")</f>
        <v>Análises e Diagnósticos</v>
      </c>
      <c r="E431" s="46" t="str">
        <f>IFERROR((VLOOKUP(LEFT($A431,4),Setor!$A:$E,5,0)),"")</f>
        <v>Análises e Diagnósticos</v>
      </c>
      <c r="F431" s="47">
        <f>IFERROR(__xludf.DUMMYFUNCTION("IFERROR((GOOGLEFINANCE(A431)),"""")"),12.29)</f>
        <v>12.29</v>
      </c>
      <c r="G431" s="48" t="str">
        <f>IFERROR(__xludf.DUMMYFUNCTION("IFERROR((sparkline(GOOGLEFINANCE($A431,""price"",TODAY()-30,TODAY(),""DAILY""),{""charttype"",""line"";""linewidth"",1;""color"",""#5f88cc""})),"""")"),"")</f>
        <v/>
      </c>
      <c r="H431" s="49">
        <f>IFERROR(__xludf.DUMMYFUNCTION("IFERROR((((GOOGLEFINANCE(A431))-(INDEX(GoogleFinance(A431,""PRICE"",$AQ$1),2,2)))/(INDEX(GoogleFinance(A431,""PRICE"",$AQ$1),2,2))),"""")"),0.10621062106210619)</f>
        <v>0.1062106211</v>
      </c>
      <c r="I431" s="47">
        <f>IFERROR(__xludf.DUMMYFUNCTION("IFERROR((GOOGLEFINANCE($A431,""high52"")),"""")"),13.5)</f>
        <v>13.5</v>
      </c>
      <c r="J431" s="48" t="str">
        <f>IFERROR(__xludf.DUMMYFUNCTION("IFERROR((sparkline(GOOGLEFINANCE($A431,""price"",TODAY()-365,TODAY(),""DAILY""),{""charttype"",""line"";""linewidth"",1;""color"",""#5f88cc""})),"""")"),"")</f>
        <v/>
      </c>
      <c r="K431" s="50">
        <f>IFERROR(__xludf.DUMMYFUNCTION("IFERROR((((GOOGLEFINANCE(A431))-(INDEX(GoogleFinance(A431,""PRICE"",$AP$1),2,2)))/(INDEX(GoogleFinance(A431,""PRICE"",$AP$1),2,2))),"""")"),0.032773109243697376)</f>
        <v>0.03277310924</v>
      </c>
      <c r="L431" s="51">
        <f t="shared" si="1"/>
        <v>-0.08962962963</v>
      </c>
      <c r="M431" s="52">
        <f>IFERROR((VLOOKUP($A431,'Dados StatusInvest'!$A:$AZ,COLUMN(M431)-$A$5,0)*VLOOKUP($A431,'Dados StatusInvest'!$A:$AZ,2,0)/$F431/100),0)</f>
        <v>0.3242167616</v>
      </c>
      <c r="N431" s="53">
        <f>IFERROR((VLOOKUP($A431,'Dados StatusInvest'!$A:$AZ,COLUMN(N431)-$A$5,0)/VLOOKUP($A431,'Dados StatusInvest'!$A:$AZ,2,0)*$F431),"")</f>
        <v>23.79637611</v>
      </c>
      <c r="O431" s="53">
        <f>IFERROR((VLOOKUP($A431,'Dados StatusInvest'!$A:$AZ,COLUMN(O431)-$A$5,0)/VLOOKUP($A431,'Dados StatusInvest'!$A:$AZ,2,0)*$F431),0)</f>
        <v>8.7091364</v>
      </c>
      <c r="P431" s="54">
        <f>IFERROR((VLOOKUP($A431,'Dados StatusInvest'!$A:$AZ,COLUMN(P431)-$A$5,0)/VLOOKUP($A431,'Dados StatusInvest'!$A:$AZ,2,0)*$F431),0)</f>
        <v>7.895754641</v>
      </c>
      <c r="Q431" s="55">
        <f>IFERROR((VLOOKUP($A431,'Dados StatusInvest'!$A:$AZ,COLUMN(Q431)-$A$5,0)/100),0)</f>
        <v>-0.0082</v>
      </c>
      <c r="R431" s="56">
        <f>VLOOKUP($A431,'Dados StatusInvest'!$A:$AZ,COLUMN(R431)-$A$5,0)</f>
        <v>-0.49</v>
      </c>
      <c r="S431" s="56">
        <f>IFERROR((VLOOKUP($A431,'Dados StatusInvest'!$A:$AZ,COLUMN(S431)-$A$5,0)),0)</f>
        <v>2.82</v>
      </c>
      <c r="T431" s="53">
        <f>IFERROR((VLOOKUP($A431,'Dados StatusInvest'!$A:$AZ,COLUMN(T431)-$A$5,0)/VLOOKUP($A431,'Dados StatusInvest'!$A:$AZ,2,0)*$F431),0)</f>
        <v>-98.56798224</v>
      </c>
      <c r="U431" s="53">
        <f>IFERROR((VLOOKUP($A431,'Dados StatusInvest'!$A:$AZ,COLUMN(U431)-$A$5,0)-VLOOKUP($A431,'Dados StatusInvest'!$A:$AZ,COLUMN(U431)-$A$5-1,0)+T431),0)</f>
        <v>-3.727982244</v>
      </c>
      <c r="V431" s="56">
        <f>IFERROR((VLOOKUP($A431,'Dados StatusInvest'!$A:$AZ,COLUMN(V431)-$A$5,0)),0)</f>
        <v>0.92</v>
      </c>
      <c r="W431" s="56">
        <f>IFERROR((VLOOKUP($A431,'Dados StatusInvest'!$A:$AZ,COLUMN(W431)-$A$5,0)),0)</f>
        <v>44.52</v>
      </c>
      <c r="X431" s="53">
        <f>IFERROR((VLOOKUP($A431,'Dados StatusInvest'!$A:$AZ,COLUMN(X431)-$A$5,0)/VLOOKUP($A431,'Dados StatusInvest'!$A:$AZ,2,0)*$F431),0)</f>
        <v>25.34378531</v>
      </c>
      <c r="Y431" s="54">
        <f>IFERROR((VLOOKUP($A431,'Dados StatusInvest'!$A:$AZ,COLUMN(Y431)-$A$5,0)/VLOOKUP($A431,'Dados StatusInvest'!$A:$AZ,2,0)*$F431),0)</f>
        <v>24.75854722</v>
      </c>
      <c r="Z431" s="56">
        <f>IFERROR((VLOOKUP($A431,'Dados StatusInvest'!$A:$AZ,COLUMN(Z431)-$A$5,0)),0)</f>
        <v>0.57</v>
      </c>
      <c r="AA431" s="57">
        <f>IFERROR((VLOOKUP($A431,'Dados StatusInvest'!$A:$AZ,COLUMN(AA431)-$A$5,0)),0)</f>
        <v>0.43</v>
      </c>
      <c r="AB431" s="57">
        <f>IFERROR((VLOOKUP($A431,'Dados StatusInvest'!$A:$AZ,COLUMN(AB431)-$A$5,0)),0)</f>
        <v>1.06</v>
      </c>
      <c r="AC431" s="58">
        <f>IFERROR((VLOOKUP($A431,'Dados StatusInvest'!$A:$AZ,COLUMN(AC431)-$A$5,0)),0)</f>
        <v>4.75</v>
      </c>
      <c r="AD431" s="57">
        <f>IFERROR((VLOOKUP($A431,'Dados StatusInvest'!$A:$AZ,COLUMN(AD431)-$A$5,0)),0)</f>
        <v>15.07</v>
      </c>
      <c r="AE431" s="56">
        <f>IFERROR((VLOOKUP($A431,'Dados StatusInvest'!$A:$AZ,COLUMN(AE431)-$A$5,0)),0)</f>
        <v>21422268</v>
      </c>
      <c r="AF431" s="56">
        <f>IFERROR((VLOOKUP($A431,'Dados StatusInvest'!$A:$AZ,COLUMN(AF431)-$A$5,0)),0)</f>
        <v>2.36</v>
      </c>
      <c r="AG431" s="56">
        <f>IFERROR((VLOOKUP($A431,'Dados StatusInvest'!$A:$AZ,COLUMN(AG431)-$A$5,0)),0)</f>
        <v>1.05</v>
      </c>
      <c r="AH431" s="56">
        <f>IFERROR((VLOOKUP($A431,'Dados StatusInvest'!$A:$AZ,COLUMN(AH431)-$A$5,0)),0)</f>
        <v>1.8</v>
      </c>
      <c r="AI431" s="57">
        <f>IFERROR((VLOOKUP($A431,'Dados StatusInvest'!$A:$AZ,COLUMN(AI431)-$A$5,0)),0)</f>
        <v>6762775294</v>
      </c>
      <c r="AJ431" s="59" t="str">
        <f>IFERROR((VLOOKUP($A431,'Dados StatusInvest'!$A:$AZ,COLUMN(AJ431)-$A$5,0)),0)</f>
        <v/>
      </c>
      <c r="AK431" s="60">
        <f>IFERROR(__xludf.DUMMYFUNCTION("IFERROR(GOOGLEFINANCE($A431,""high""),"""")"),12.47)</f>
        <v>12.47</v>
      </c>
      <c r="AL431" s="60">
        <f>IFERROR(__xludf.DUMMYFUNCTION("IFERROR(GOOGLEFINANCE($A431,""low""),"""")"),12.22)</f>
        <v>12.22</v>
      </c>
      <c r="AM431" s="61">
        <f t="shared" si="2"/>
        <v>0.02045826514</v>
      </c>
      <c r="AN431" s="62">
        <f>IFERROR(__xludf.DUMMYFUNCTION("IFERROR((GOOGLEFINANCE($A431,""volume"")),0)"),112200.0)</f>
        <v>112200</v>
      </c>
      <c r="AO431" s="60">
        <f>IFERROR(__xludf.DUMMYFUNCTION("IFERROR((GOOGLEFINANCE($A431,""closeyest"")),"""")"),12.39)</f>
        <v>12.39</v>
      </c>
      <c r="AP431" s="60">
        <f>IFERROR(__xludf.DUMMYFUNCTION("IFERROR((GOOGLEFINANCE($A431,""shares"")),"""")"),5.45825286E8)</f>
        <v>545825286</v>
      </c>
      <c r="AQ431" s="18"/>
    </row>
    <row r="432">
      <c r="A432" s="45" t="str">
        <f>'Dados StatusInvest'!A427:A1046</f>
        <v>OFSA3</v>
      </c>
      <c r="B432" s="46" t="str">
        <f>IFERROR(__xludf.DUMMYFUNCTION("IFERROR((GOOGLEFINANCE(A432,""name"")),"""")"),"Ourofino SA")</f>
        <v>Ourofino SA</v>
      </c>
      <c r="C432" s="46" t="str">
        <f>IFERROR((VLOOKUP(LEFT($A432,4),Setor!$A:$E,3,0)),"")</f>
        <v>Saúde</v>
      </c>
      <c r="D432" s="46" t="str">
        <f>IFERROR((VLOOKUP(LEFT($A432,4),Setor!$A:$E,4,0)),"")</f>
        <v>Medicamentos e Outros Produtos</v>
      </c>
      <c r="E432" s="46" t="str">
        <f>IFERROR((VLOOKUP(LEFT($A432,4),Setor!$A:$E,5,0)),"")</f>
        <v>Medicamentos e Outros Produtos</v>
      </c>
      <c r="F432" s="47">
        <f>IFERROR(__xludf.DUMMYFUNCTION("IFERROR((GOOGLEFINANCE(A432)),"""")"),23.36)</f>
        <v>23.36</v>
      </c>
      <c r="G432" s="48" t="str">
        <f>IFERROR(__xludf.DUMMYFUNCTION("IFERROR((sparkline(GOOGLEFINANCE($A432,""price"",TODAY()-30,TODAY(),""DAILY""),{""charttype"",""line"";""linewidth"",1;""color"",""#5f88cc""})),"""")"),"")</f>
        <v/>
      </c>
      <c r="H432" s="49">
        <f>IFERROR(__xludf.DUMMYFUNCTION("IFERROR((((GOOGLEFINANCE(A432))-(INDEX(GoogleFinance(A432,""PRICE"",$AQ$1),2,2)))/(INDEX(GoogleFinance(A432,""PRICE"",$AQ$1),2,2))),"""")"),-0.011007620660457306)</f>
        <v>-0.01100762066</v>
      </c>
      <c r="I432" s="47">
        <f>IFERROR(__xludf.DUMMYFUNCTION("IFERROR((GOOGLEFINANCE($A432,""high52"")),"""")"),24.99)</f>
        <v>24.99</v>
      </c>
      <c r="J432" s="48" t="str">
        <f>IFERROR(__xludf.DUMMYFUNCTION("IFERROR((sparkline(GOOGLEFINANCE($A432,""price"",TODAY()-365,TODAY(),""DAILY""),{""charttype"",""line"";""linewidth"",1;""color"",""#5f88cc""})),"""")"),"")</f>
        <v/>
      </c>
      <c r="K432" s="50">
        <f>IFERROR(__xludf.DUMMYFUNCTION("IFERROR((((GOOGLEFINANCE(A432))-(INDEX(GoogleFinance(A432,""PRICE"",$AP$1),2,2)))/(INDEX(GoogleFinance(A432,""PRICE"",$AP$1),2,2))),"""")"),0.21730067743616455)</f>
        <v>0.2173006774</v>
      </c>
      <c r="L432" s="51">
        <f t="shared" si="1"/>
        <v>-0.06522609044</v>
      </c>
      <c r="M432" s="52">
        <f>IFERROR((VLOOKUP($A432,'Dados StatusInvest'!$A:$AZ,COLUMN(M432)-$A$5,0)*VLOOKUP($A432,'Dados StatusInvest'!$A:$AZ,2,0)/$F432/100),0)</f>
        <v>0.7682485017</v>
      </c>
      <c r="N432" s="53">
        <f>IFERROR((VLOOKUP($A432,'Dados StatusInvest'!$A:$AZ,COLUMN(N432)-$A$5,0)/VLOOKUP($A432,'Dados StatusInvest'!$A:$AZ,2,0)*$F432),"")</f>
        <v>12.45202559</v>
      </c>
      <c r="O432" s="53">
        <f>IFERROR((VLOOKUP($A432,'Dados StatusInvest'!$A:$AZ,COLUMN(O432)-$A$5,0)/VLOOKUP($A432,'Dados StatusInvest'!$A:$AZ,2,0)*$F432),0)</f>
        <v>1.434473348</v>
      </c>
      <c r="P432" s="54">
        <f>IFERROR((VLOOKUP($A432,'Dados StatusInvest'!$A:$AZ,COLUMN(P432)-$A$5,0)/VLOOKUP($A432,'Dados StatusInvest'!$A:$AZ,2,0)*$F432),0)</f>
        <v>1.753245203</v>
      </c>
      <c r="Q432" s="55">
        <f>IFERROR((VLOOKUP($A432,'Dados StatusInvest'!$A:$AZ,COLUMN(Q432)-$A$5,0)/100),0)</f>
        <v>0.0033</v>
      </c>
      <c r="R432" s="56">
        <f>VLOOKUP($A432,'Dados StatusInvest'!$A:$AZ,COLUMN(R432)-$A$5,0)</f>
        <v>0.41</v>
      </c>
      <c r="S432" s="56">
        <f>IFERROR((VLOOKUP($A432,'Dados StatusInvest'!$A:$AZ,COLUMN(S432)-$A$5,0)),0)</f>
        <v>1.1</v>
      </c>
      <c r="T432" s="53">
        <f>IFERROR((VLOOKUP($A432,'Dados StatusInvest'!$A:$AZ,COLUMN(T432)-$A$5,0)/VLOOKUP($A432,'Dados StatusInvest'!$A:$AZ,2,0)*$F432),0)</f>
        <v>1.773168443</v>
      </c>
      <c r="U432" s="53">
        <f>IFERROR((VLOOKUP($A432,'Dados StatusInvest'!$A:$AZ,COLUMN(U432)-$A$5,0)-VLOOKUP($A432,'Dados StatusInvest'!$A:$AZ,COLUMN(U432)-$A$5-1,0)+T432),0)</f>
        <v>-2.586831557</v>
      </c>
      <c r="V432" s="56">
        <f>IFERROR((VLOOKUP($A432,'Dados StatusInvest'!$A:$AZ,COLUMN(V432)-$A$5,0)),0)</f>
        <v>3.72</v>
      </c>
      <c r="W432" s="56">
        <f>IFERROR((VLOOKUP($A432,'Dados StatusInvest'!$A:$AZ,COLUMN(W432)-$A$5,0)),0)</f>
        <v>20.21</v>
      </c>
      <c r="X432" s="53">
        <f>IFERROR((VLOOKUP($A432,'Dados StatusInvest'!$A:$AZ,COLUMN(X432)-$A$5,0)/VLOOKUP($A432,'Dados StatusInvest'!$A:$AZ,2,0)*$F432),0)</f>
        <v>9.822157783</v>
      </c>
      <c r="Y432" s="54">
        <f>IFERROR((VLOOKUP($A432,'Dados StatusInvest'!$A:$AZ,COLUMN(Y432)-$A$5,0)/VLOOKUP($A432,'Dados StatusInvest'!$A:$AZ,2,0)*$F432),0)</f>
        <v>68.78498934</v>
      </c>
      <c r="Z432" s="56">
        <f>IFERROR((VLOOKUP($A432,'Dados StatusInvest'!$A:$AZ,COLUMN(Z432)-$A$5,0)),0)</f>
        <v>0.49</v>
      </c>
      <c r="AA432" s="57">
        <f>IFERROR((VLOOKUP($A432,'Dados StatusInvest'!$A:$AZ,COLUMN(AA432)-$A$5,0)),0)</f>
        <v>0.51</v>
      </c>
      <c r="AB432" s="57">
        <f>IFERROR((VLOOKUP($A432,'Dados StatusInvest'!$A:$AZ,COLUMN(AB432)-$A$5,0)),0)</f>
        <v>0.79</v>
      </c>
      <c r="AC432" s="58">
        <f>IFERROR((VLOOKUP($A432,'Dados StatusInvest'!$A:$AZ,COLUMN(AC432)-$A$5,0)),0)</f>
        <v>10.59</v>
      </c>
      <c r="AD432" s="57">
        <f>IFERROR((VLOOKUP($A432,'Dados StatusInvest'!$A:$AZ,COLUMN(AD432)-$A$5,0)),0)</f>
        <v>25.49</v>
      </c>
      <c r="AE432" s="56">
        <f>IFERROR((VLOOKUP($A432,'Dados StatusInvest'!$A:$AZ,COLUMN(AE432)-$A$5,0)),0)</f>
        <v>159459.9</v>
      </c>
      <c r="AF432" s="56">
        <f>IFERROR((VLOOKUP($A432,'Dados StatusInvest'!$A:$AZ,COLUMN(AF432)-$A$5,0)),0)</f>
        <v>13.21</v>
      </c>
      <c r="AG432" s="56">
        <f>IFERROR((VLOOKUP($A432,'Dados StatusInvest'!$A:$AZ,COLUMN(AG432)-$A$5,0)),0)</f>
        <v>2.67</v>
      </c>
      <c r="AH432" s="56">
        <f>IFERROR((VLOOKUP($A432,'Dados StatusInvest'!$A:$AZ,COLUMN(AH432)-$A$5,0)),0)</f>
        <v>0.15</v>
      </c>
      <c r="AI432" s="57">
        <f>IFERROR((VLOOKUP($A432,'Dados StatusInvest'!$A:$AZ,COLUMN(AI432)-$A$5,0)),0)</f>
        <v>1265104191</v>
      </c>
      <c r="AJ432" s="59" t="str">
        <f>IFERROR((VLOOKUP($A432,'Dados StatusInvest'!$A:$AZ,COLUMN(AJ432)-$A$5,0)),0)</f>
        <v/>
      </c>
      <c r="AK432" s="60">
        <f>IFERROR(__xludf.DUMMYFUNCTION("IFERROR(GOOGLEFINANCE($A432,""high""),"""")"),24.13)</f>
        <v>24.13</v>
      </c>
      <c r="AL432" s="60">
        <f>IFERROR(__xludf.DUMMYFUNCTION("IFERROR(GOOGLEFINANCE($A432,""low""),"""")"),23.36)</f>
        <v>23.36</v>
      </c>
      <c r="AM432" s="61">
        <f t="shared" si="2"/>
        <v>0.03296232877</v>
      </c>
      <c r="AN432" s="62">
        <f>IFERROR(__xludf.DUMMYFUNCTION("IFERROR((GOOGLEFINANCE($A432,""volume"")),0)"),200.0)</f>
        <v>200</v>
      </c>
      <c r="AO432" s="60">
        <f>IFERROR(__xludf.DUMMYFUNCTION("IFERROR((GOOGLEFINANCE($A432,""closeyest"")),"""")"),23.45)</f>
        <v>23.45</v>
      </c>
      <c r="AP432" s="60">
        <f>IFERROR(__xludf.DUMMYFUNCTION("IFERROR((GOOGLEFINANCE($A432,""shares"")),"""")"),5.3949006E7)</f>
        <v>53949006</v>
      </c>
      <c r="AQ432" s="18"/>
    </row>
    <row r="433">
      <c r="A433" s="45" t="str">
        <f>'Dados StatusInvest'!A428:A1047</f>
        <v>OGXP3</v>
      </c>
      <c r="B433" s="46" t="str">
        <f>IFERROR(__xludf.DUMMYFUNCTION("IFERROR((GOOGLEFINANCE(A433,""name"")),"""")"),"")</f>
        <v/>
      </c>
      <c r="C433" s="46" t="str">
        <f>IFERROR((VLOOKUP(LEFT($A433,4),Setor!$A:$E,3,0)),"")</f>
        <v/>
      </c>
      <c r="D433" s="46" t="str">
        <f>IFERROR((VLOOKUP(LEFT($A433,4),Setor!$A:$E,4,0)),"")</f>
        <v/>
      </c>
      <c r="E433" s="46" t="str">
        <f>IFERROR((VLOOKUP(LEFT($A433,4),Setor!$A:$E,5,0)),"")</f>
        <v/>
      </c>
      <c r="F433" s="47" t="str">
        <f>IFERROR(__xludf.DUMMYFUNCTION("IFERROR((GOOGLEFINANCE(A433)),"""")"),"")</f>
        <v/>
      </c>
      <c r="G433" s="48" t="str">
        <f>IFERROR(__xludf.DUMMYFUNCTION("IFERROR((sparkline(GOOGLEFINANCE($A433,""price"",TODAY()-30,TODAY(),""DAILY""),{""charttype"",""line"";""linewidth"",1;""color"",""#5f88cc""})),"""")"),"")</f>
        <v/>
      </c>
      <c r="H433" s="49" t="str">
        <f>IFERROR(__xludf.DUMMYFUNCTION("IFERROR((((GOOGLEFINANCE(A433))-(INDEX(GoogleFinance(A433,""PRICE"",$AQ$1),2,2)))/(INDEX(GoogleFinance(A433,""PRICE"",$AQ$1),2,2))),"""")"),"")</f>
        <v/>
      </c>
      <c r="I433" s="47" t="str">
        <f>IFERROR(__xludf.DUMMYFUNCTION("IFERROR((GOOGLEFINANCE($A433,""high52"")),"""")"),"")</f>
        <v/>
      </c>
      <c r="J433" s="48" t="str">
        <f>IFERROR(__xludf.DUMMYFUNCTION("IFERROR((sparkline(GOOGLEFINANCE($A433,""price"",TODAY()-365,TODAY(),""DAILY""),{""charttype"",""line"";""linewidth"",1;""color"",""#5f88cc""})),"""")"),"")</f>
        <v/>
      </c>
      <c r="K433" s="50" t="str">
        <f>IFERROR(__xludf.DUMMYFUNCTION("IFERROR((((GOOGLEFINANCE(A433))-(INDEX(GoogleFinance(A433,""PRICE"",$AP$1),2,2)))/(INDEX(GoogleFinance(A433,""PRICE"",$AP$1),2,2))),"""")"),"")</f>
        <v/>
      </c>
      <c r="L433" s="51">
        <f t="shared" si="1"/>
        <v>0</v>
      </c>
      <c r="M433" s="52">
        <f>IFERROR((VLOOKUP($A433,'Dados StatusInvest'!$A:$AZ,COLUMN(M433)-$A$5,0)*VLOOKUP($A433,'Dados StatusInvest'!$A:$AZ,2,0)/$F433/100),0)</f>
        <v>0</v>
      </c>
      <c r="N433" s="53">
        <f>IFERROR((VLOOKUP($A433,'Dados StatusInvest'!$A:$AZ,COLUMN(N433)-$A$5,0)/VLOOKUP($A433,'Dados StatusInvest'!$A:$AZ,2,0)*$F433),"")</f>
        <v>0</v>
      </c>
      <c r="O433" s="53">
        <f>IFERROR((VLOOKUP($A433,'Dados StatusInvest'!$A:$AZ,COLUMN(O433)-$A$5,0)/VLOOKUP($A433,'Dados StatusInvest'!$A:$AZ,2,0)*$F433),0)</f>
        <v>0</v>
      </c>
      <c r="P433" s="54">
        <f>IFERROR((VLOOKUP($A433,'Dados StatusInvest'!$A:$AZ,COLUMN(P433)-$A$5,0)/VLOOKUP($A433,'Dados StatusInvest'!$A:$AZ,2,0)*$F433),0)</f>
        <v>0</v>
      </c>
      <c r="Q433" s="55">
        <f>IFERROR((VLOOKUP($A433,'Dados StatusInvest'!$A:$AZ,COLUMN(Q433)-$A$5,0)/100),0)</f>
        <v>0</v>
      </c>
      <c r="R433" s="56">
        <f>VLOOKUP($A433,'Dados StatusInvest'!$A:$AZ,COLUMN(R433)-$A$5,0)</f>
        <v>0</v>
      </c>
      <c r="S433" s="56">
        <f>IFERROR((VLOOKUP($A433,'Dados StatusInvest'!$A:$AZ,COLUMN(S433)-$A$5,0)),0)</f>
        <v>0</v>
      </c>
      <c r="T433" s="53">
        <f>IFERROR((VLOOKUP($A433,'Dados StatusInvest'!$A:$AZ,COLUMN(T433)-$A$5,0)/VLOOKUP($A433,'Dados StatusInvest'!$A:$AZ,2,0)*$F433),0)</f>
        <v>0</v>
      </c>
      <c r="U433" s="53">
        <f>IFERROR((VLOOKUP($A433,'Dados StatusInvest'!$A:$AZ,COLUMN(U433)-$A$5,0)-VLOOKUP($A433,'Dados StatusInvest'!$A:$AZ,COLUMN(U433)-$A$5-1,0)+T433),0)</f>
        <v>0.98</v>
      </c>
      <c r="V433" s="56">
        <f>IFERROR((VLOOKUP($A433,'Dados StatusInvest'!$A:$AZ,COLUMN(V433)-$A$5,0)),0)</f>
        <v>0.51</v>
      </c>
      <c r="W433" s="56">
        <f>IFERROR((VLOOKUP($A433,'Dados StatusInvest'!$A:$AZ,COLUMN(W433)-$A$5,0)),0)</f>
        <v>-45.53</v>
      </c>
      <c r="X433" s="53">
        <f>IFERROR((VLOOKUP($A433,'Dados StatusInvest'!$A:$AZ,COLUMN(X433)-$A$5,0)/VLOOKUP($A433,'Dados StatusInvest'!$A:$AZ,2,0)*$F433),0)</f>
        <v>0</v>
      </c>
      <c r="Y433" s="54">
        <f>IFERROR((VLOOKUP($A433,'Dados StatusInvest'!$A:$AZ,COLUMN(Y433)-$A$5,0)/VLOOKUP($A433,'Dados StatusInvest'!$A:$AZ,2,0)*$F433),0)</f>
        <v>0</v>
      </c>
      <c r="Z433" s="56">
        <f>IFERROR((VLOOKUP($A433,'Dados StatusInvest'!$A:$AZ,COLUMN(Z433)-$A$5,0)),0)</f>
        <v>-0.94</v>
      </c>
      <c r="AA433" s="57">
        <f>IFERROR((VLOOKUP($A433,'Dados StatusInvest'!$A:$AZ,COLUMN(AA433)-$A$5,0)),0)</f>
        <v>1.94</v>
      </c>
      <c r="AB433" s="57">
        <f>IFERROR((VLOOKUP($A433,'Dados StatusInvest'!$A:$AZ,COLUMN(AB433)-$A$5,0)),0)</f>
        <v>0</v>
      </c>
      <c r="AC433" s="58">
        <f>IFERROR((VLOOKUP($A433,'Dados StatusInvest'!$A:$AZ,COLUMN(AC433)-$A$5,0)),0)</f>
        <v>0</v>
      </c>
      <c r="AD433" s="57">
        <f>IFERROR((VLOOKUP($A433,'Dados StatusInvest'!$A:$AZ,COLUMN(AD433)-$A$5,0)),0)</f>
        <v>0</v>
      </c>
      <c r="AE433" s="56">
        <f>IFERROR((VLOOKUP($A433,'Dados StatusInvest'!$A:$AZ,COLUMN(AE433)-$A$5,0)),0)</f>
        <v>0</v>
      </c>
      <c r="AF433" s="56">
        <f>IFERROR((VLOOKUP($A433,'Dados StatusInvest'!$A:$AZ,COLUMN(AF433)-$A$5,0)),0)</f>
        <v>-1.67</v>
      </c>
      <c r="AG433" s="56">
        <f>IFERROR((VLOOKUP($A433,'Dados StatusInvest'!$A:$AZ,COLUMN(AG433)-$A$5,0)),0)</f>
        <v>-0.76</v>
      </c>
      <c r="AH433" s="56">
        <f>IFERROR((VLOOKUP($A433,'Dados StatusInvest'!$A:$AZ,COLUMN(AH433)-$A$5,0)),0)</f>
        <v>0.02</v>
      </c>
      <c r="AI433" s="57">
        <f>IFERROR((VLOOKUP($A433,'Dados StatusInvest'!$A:$AZ,COLUMN(AI433)-$A$5,0)),0)</f>
        <v>52747073.84</v>
      </c>
      <c r="AJ433" s="59" t="str">
        <f>IFERROR((VLOOKUP($A433,'Dados StatusInvest'!$A:$AZ,COLUMN(AJ433)-$A$5,0)),0)</f>
        <v/>
      </c>
      <c r="AK433" s="60" t="str">
        <f>IFERROR(__xludf.DUMMYFUNCTION("IFERROR(GOOGLEFINANCE($A433,""high""),"""")"),"")</f>
        <v/>
      </c>
      <c r="AL433" s="60" t="str">
        <f>IFERROR(__xludf.DUMMYFUNCTION("IFERROR(GOOGLEFINANCE($A433,""low""),"""")"),"")</f>
        <v/>
      </c>
      <c r="AM433" s="61">
        <f t="shared" si="2"/>
        <v>0</v>
      </c>
      <c r="AN433" s="62">
        <f>IFERROR(__xludf.DUMMYFUNCTION("IFERROR((GOOGLEFINANCE($A433,""volume"")),0)"),0.0)</f>
        <v>0</v>
      </c>
      <c r="AO433" s="60" t="str">
        <f>IFERROR(__xludf.DUMMYFUNCTION("IFERROR((GOOGLEFINANCE($A433,""closeyest"")),"""")"),"")</f>
        <v/>
      </c>
      <c r="AP433" s="60" t="str">
        <f>IFERROR(__xludf.DUMMYFUNCTION("IFERROR((GOOGLEFINANCE($A433,""shares"")),"""")"),"")</f>
        <v/>
      </c>
      <c r="AQ433" s="18"/>
    </row>
    <row r="434">
      <c r="A434" s="45" t="str">
        <f>'Dados StatusInvest'!A429:A1048</f>
        <v>OIBR3</v>
      </c>
      <c r="B434" s="46" t="str">
        <f>IFERROR(__xludf.DUMMYFUNCTION("IFERROR((GOOGLEFINANCE(A434,""name"")),"""")"),"Oi SA - em Recuperacao Judicial")</f>
        <v>Oi SA - em Recuperacao Judicial</v>
      </c>
      <c r="C434" s="46" t="str">
        <f>IFERROR((VLOOKUP(LEFT($A434,4),Setor!$A:$E,3,0)),"")</f>
        <v>Comunicações</v>
      </c>
      <c r="D434" s="46" t="str">
        <f>IFERROR((VLOOKUP(LEFT($A434,4),Setor!$A:$E,4,0)),"")</f>
        <v>Telecomunicações</v>
      </c>
      <c r="E434" s="46" t="str">
        <f>IFERROR((VLOOKUP(LEFT($A434,4),Setor!$A:$E,5,0)),"")</f>
        <v>Telecomunicações</v>
      </c>
      <c r="F434" s="47">
        <f>IFERROR(__xludf.DUMMYFUNCTION("IFERROR((GOOGLEFINANCE(A434)),"""")"),0.16)</f>
        <v>0.16</v>
      </c>
      <c r="G434" s="48" t="str">
        <f>IFERROR(__xludf.DUMMYFUNCTION("IFERROR((sparkline(GOOGLEFINANCE($A434,""price"",TODAY()-30,TODAY(),""DAILY""),{""charttype"",""line"";""linewidth"",1;""color"",""#5f88cc""})),"""")"),"")</f>
        <v/>
      </c>
      <c r="H434" s="49">
        <f>IFERROR(__xludf.DUMMYFUNCTION("IFERROR((((GOOGLEFINANCE(A434))-(INDEX(GoogleFinance(A434,""PRICE"",$AQ$1),2,2)))/(INDEX(GoogleFinance(A434,""PRICE"",$AQ$1),2,2))),"""")"),-0.058823529411764754)</f>
        <v>-0.05882352941</v>
      </c>
      <c r="I434" s="47">
        <f>IFERROR(__xludf.DUMMYFUNCTION("IFERROR((GOOGLEFINANCE($A434,""high52"")),"""")"),1.32)</f>
        <v>1.32</v>
      </c>
      <c r="J434" s="48" t="str">
        <f>IFERROR(__xludf.DUMMYFUNCTION("IFERROR((sparkline(GOOGLEFINANCE($A434,""price"",TODAY()-365,TODAY(),""DAILY""),{""charttype"",""line"";""linewidth"",1;""color"",""#5f88cc""})),"""")"),"")</f>
        <v/>
      </c>
      <c r="K434" s="50">
        <f>IFERROR(__xludf.DUMMYFUNCTION("IFERROR((((GOOGLEFINANCE(A434))-(INDEX(GoogleFinance(A434,""PRICE"",$AP$1),2,2)))/(INDEX(GoogleFinance(A434,""PRICE"",$AP$1),2,2))),"""")"),-0.870967741935484)</f>
        <v>-0.8709677419</v>
      </c>
      <c r="L434" s="51">
        <f t="shared" si="1"/>
        <v>-0.8787878788</v>
      </c>
      <c r="M434" s="52">
        <f>IFERROR((VLOOKUP($A434,'Dados StatusInvest'!$A:$AZ,COLUMN(M434)-$A$5,0)*VLOOKUP($A434,'Dados StatusInvest'!$A:$AZ,2,0)/$F434/100),0)</f>
        <v>-4.021</v>
      </c>
      <c r="N434" s="53">
        <f>IFERROR((VLOOKUP($A434,'Dados StatusInvest'!$A:$AZ,COLUMN(N434)-$A$5,0)/VLOOKUP($A434,'Dados StatusInvest'!$A:$AZ,2,0)*$F434),"")</f>
        <v>-808.94</v>
      </c>
      <c r="O434" s="53">
        <f>IFERROR((VLOOKUP($A434,'Dados StatusInvest'!$A:$AZ,COLUMN(O434)-$A$5,0)/VLOOKUP($A434,'Dados StatusInvest'!$A:$AZ,2,0)*$F434),0)</f>
        <v>-0.06</v>
      </c>
      <c r="P434" s="54">
        <f>IFERROR((VLOOKUP($A434,'Dados StatusInvest'!$A:$AZ,COLUMN(P434)-$A$5,0)/VLOOKUP($A434,'Dados StatusInvest'!$A:$AZ,2,0)*$F434),0)</f>
        <v>-11.02</v>
      </c>
      <c r="Q434" s="55">
        <f>IFERROR((VLOOKUP($A434,'Dados StatusInvest'!$A:$AZ,COLUMN(Q434)-$A$5,0)/100),0)</f>
        <v>-0.1096</v>
      </c>
      <c r="R434" s="56">
        <f>VLOOKUP($A434,'Dados StatusInvest'!$A:$AZ,COLUMN(R434)-$A$5,0)</f>
        <v>0</v>
      </c>
      <c r="S434" s="56">
        <f>IFERROR((VLOOKUP($A434,'Dados StatusInvest'!$A:$AZ,COLUMN(S434)-$A$5,0)),0)</f>
        <v>0.23</v>
      </c>
      <c r="T434" s="53">
        <f>IFERROR((VLOOKUP($A434,'Dados StatusInvest'!$A:$AZ,COLUMN(T434)-$A$5,0)/VLOOKUP($A434,'Dados StatusInvest'!$A:$AZ,2,0)*$F434),0)</f>
        <v>-0.02</v>
      </c>
      <c r="U434" s="53">
        <f>IFERROR((VLOOKUP($A434,'Dados StatusInvest'!$A:$AZ,COLUMN(U434)-$A$5,0)-VLOOKUP($A434,'Dados StatusInvest'!$A:$AZ,COLUMN(U434)-$A$5-1,0)+T434),0)</f>
        <v>0</v>
      </c>
      <c r="V434" s="56">
        <f>IFERROR((VLOOKUP($A434,'Dados StatusInvest'!$A:$AZ,COLUMN(V434)-$A$5,0)),0)</f>
        <v>0.59</v>
      </c>
      <c r="W434" s="56">
        <f>IFERROR((VLOOKUP($A434,'Dados StatusInvest'!$A:$AZ,COLUMN(W434)-$A$5,0)),0)</f>
        <v>-11.89</v>
      </c>
      <c r="X434" s="53">
        <f>IFERROR((VLOOKUP($A434,'Dados StatusInvest'!$A:$AZ,COLUMN(X434)-$A$5,0)/VLOOKUP($A434,'Dados StatusInvest'!$A:$AZ,2,0)*$F434),0)</f>
        <v>-9.84</v>
      </c>
      <c r="Y434" s="54">
        <f>IFERROR((VLOOKUP($A434,'Dados StatusInvest'!$A:$AZ,COLUMN(Y434)-$A$5,0)/VLOOKUP($A434,'Dados StatusInvest'!$A:$AZ,2,0)*$F434),0)</f>
        <v>21.85</v>
      </c>
      <c r="Z434" s="56">
        <f>IFERROR((VLOOKUP($A434,'Dados StatusInvest'!$A:$AZ,COLUMN(Z434)-$A$5,0)),0)</f>
        <v>-0.83</v>
      </c>
      <c r="AA434" s="57">
        <f>IFERROR((VLOOKUP($A434,'Dados StatusInvest'!$A:$AZ,COLUMN(AA434)-$A$5,0)),0)</f>
        <v>1.83</v>
      </c>
      <c r="AB434" s="57">
        <f>IFERROR((VLOOKUP($A434,'Dados StatusInvest'!$A:$AZ,COLUMN(AB434)-$A$5,0)),0)</f>
        <v>0.01</v>
      </c>
      <c r="AC434" s="58">
        <f>IFERROR((VLOOKUP($A434,'Dados StatusInvest'!$A:$AZ,COLUMN(AC434)-$A$5,0)),0)</f>
        <v>-30.86</v>
      </c>
      <c r="AD434" s="57">
        <f>IFERROR((VLOOKUP($A434,'Dados StatusInvest'!$A:$AZ,COLUMN(AD434)-$A$5,0)),0)</f>
        <v>0</v>
      </c>
      <c r="AE434" s="56">
        <f>IFERROR((VLOOKUP($A434,'Dados StatusInvest'!$A:$AZ,COLUMN(AE434)-$A$5,0)),0)</f>
        <v>175070.4</v>
      </c>
      <c r="AF434" s="56">
        <f>IFERROR((VLOOKUP($A434,'Dados StatusInvest'!$A:$AZ,COLUMN(AF434)-$A$5,0)),0)</f>
        <v>-46.94</v>
      </c>
      <c r="AG434" s="56">
        <f>IFERROR((VLOOKUP($A434,'Dados StatusInvest'!$A:$AZ,COLUMN(AG434)-$A$5,0)),0)</f>
        <v>-5.58</v>
      </c>
      <c r="AH434" s="56">
        <f>IFERROR((VLOOKUP($A434,'Dados StatusInvest'!$A:$AZ,COLUMN(AH434)-$A$5,0)),0)</f>
        <v>0</v>
      </c>
      <c r="AI434" s="57">
        <f>IFERROR((VLOOKUP($A434,'Dados StatusInvest'!$A:$AZ,COLUMN(AI434)-$A$5,0)),0)</f>
        <v>54475613.68</v>
      </c>
      <c r="AJ434" s="59" t="str">
        <f>IFERROR((VLOOKUP($A434,'Dados StatusInvest'!$A:$AZ,COLUMN(AJ434)-$A$5,0)),0)</f>
        <v/>
      </c>
      <c r="AK434" s="60" t="str">
        <f>IFERROR(__xludf.DUMMYFUNCTION("IFERROR(GOOGLEFINANCE($A434,""high""),"""")"),"")</f>
        <v/>
      </c>
      <c r="AL434" s="60" t="str">
        <f>IFERROR(__xludf.DUMMYFUNCTION("IFERROR(GOOGLEFINANCE($A434,""low""),"""")"),"")</f>
        <v/>
      </c>
      <c r="AM434" s="61">
        <f t="shared" si="2"/>
        <v>0</v>
      </c>
      <c r="AN434" s="62">
        <f>IFERROR(__xludf.DUMMYFUNCTION("IFERROR((GOOGLEFINANCE($A434,""volume"")),0)"),0.0)</f>
        <v>0</v>
      </c>
      <c r="AO434" s="60">
        <f>IFERROR(__xludf.DUMMYFUNCTION("IFERROR((GOOGLEFINANCE($A434,""closeyest"")),"""")"),0.16)</f>
        <v>0.16</v>
      </c>
      <c r="AP434" s="60">
        <f>IFERROR(__xludf.DUMMYFUNCTION("IFERROR((GOOGLEFINANCE($A434,""shares"")),"""")"),3.28544466E8)</f>
        <v>328544466</v>
      </c>
      <c r="AQ434" s="18"/>
    </row>
    <row r="435">
      <c r="A435" s="45" t="str">
        <f>'Dados StatusInvest'!A430:A1049</f>
        <v>OIBR4</v>
      </c>
      <c r="B435" s="46" t="str">
        <f>IFERROR(__xludf.DUMMYFUNCTION("IFERROR((GOOGLEFINANCE(A435,""name"")),"""")"),"Oi SA - em Recuperacao Judicial Preference Shares")</f>
        <v>Oi SA - em Recuperacao Judicial Preference Shares</v>
      </c>
      <c r="C435" s="46" t="str">
        <f>IFERROR((VLOOKUP(LEFT($A435,4),Setor!$A:$E,3,0)),"")</f>
        <v>Comunicações</v>
      </c>
      <c r="D435" s="46" t="str">
        <f>IFERROR((VLOOKUP(LEFT($A435,4),Setor!$A:$E,4,0)),"")</f>
        <v>Telecomunicações</v>
      </c>
      <c r="E435" s="46" t="str">
        <f>IFERROR((VLOOKUP(LEFT($A435,4),Setor!$A:$E,5,0)),"")</f>
        <v>Telecomunicações</v>
      </c>
      <c r="F435" s="47">
        <f>IFERROR(__xludf.DUMMYFUNCTION("IFERROR((GOOGLEFINANCE(A435)),"""")"),1.21)</f>
        <v>1.21</v>
      </c>
      <c r="G435" s="48" t="str">
        <f>IFERROR(__xludf.DUMMYFUNCTION("IFERROR((sparkline(GOOGLEFINANCE($A435,""price"",TODAY()-30,TODAY(),""DAILY""),{""charttype"",""line"";""linewidth"",1;""color"",""#5f88cc""})),"""")"),"")</f>
        <v/>
      </c>
      <c r="H435" s="49">
        <f>IFERROR(__xludf.DUMMYFUNCTION("IFERROR((((GOOGLEFINANCE(A435))-(INDEX(GoogleFinance(A435,""PRICE"",$AQ$1),2,2)))/(INDEX(GoogleFinance(A435,""PRICE"",$AQ$1),2,2))),"""")"),-0.008196721311475417)</f>
        <v>-0.008196721311</v>
      </c>
      <c r="I435" s="47">
        <f>IFERROR(__xludf.DUMMYFUNCTION("IFERROR((GOOGLEFINANCE($A435,""high52"")),"""")"),9.61)</f>
        <v>9.61</v>
      </c>
      <c r="J435" s="48" t="str">
        <f>IFERROR(__xludf.DUMMYFUNCTION("IFERROR((sparkline(GOOGLEFINANCE($A435,""price"",TODAY()-365,TODAY(),""DAILY""),{""charttype"",""line"";""linewidth"",1;""color"",""#5f88cc""})),"""")"),"")</f>
        <v/>
      </c>
      <c r="K435" s="50">
        <f>IFERROR(__xludf.DUMMYFUNCTION("IFERROR((((GOOGLEFINANCE(A435))-(INDEX(GoogleFinance(A435,""PRICE"",$AP$1),2,2)))/(INDEX(GoogleFinance(A435,""PRICE"",$AP$1),2,2))),"""")"),-0.8543922984356197)</f>
        <v>-0.8543922984</v>
      </c>
      <c r="L435" s="51">
        <f t="shared" si="1"/>
        <v>-0.8740894901</v>
      </c>
      <c r="M435" s="52">
        <f>IFERROR((VLOOKUP($A435,'Dados StatusInvest'!$A:$AZ,COLUMN(M435)-$A$5,0)*VLOOKUP($A435,'Dados StatusInvest'!$A:$AZ,2,0)/$F435/100),0)</f>
        <v>-4.021</v>
      </c>
      <c r="N435" s="53">
        <f>IFERROR((VLOOKUP($A435,'Dados StatusInvest'!$A:$AZ,COLUMN(N435)-$A$5,0)/VLOOKUP($A435,'Dados StatusInvest'!$A:$AZ,2,0)*$F435),"")</f>
        <v>-808.94</v>
      </c>
      <c r="O435" s="53">
        <f>IFERROR((VLOOKUP($A435,'Dados StatusInvest'!$A:$AZ,COLUMN(O435)-$A$5,0)/VLOOKUP($A435,'Dados StatusInvest'!$A:$AZ,2,0)*$F435),0)</f>
        <v>-0.44</v>
      </c>
      <c r="P435" s="54">
        <f>IFERROR((VLOOKUP($A435,'Dados StatusInvest'!$A:$AZ,COLUMN(P435)-$A$5,0)/VLOOKUP($A435,'Dados StatusInvest'!$A:$AZ,2,0)*$F435),0)</f>
        <v>-11.02</v>
      </c>
      <c r="Q435" s="55">
        <f>IFERROR((VLOOKUP($A435,'Dados StatusInvest'!$A:$AZ,COLUMN(Q435)-$A$5,0)/100),0)</f>
        <v>-0.1096</v>
      </c>
      <c r="R435" s="56">
        <f>VLOOKUP($A435,'Dados StatusInvest'!$A:$AZ,COLUMN(R435)-$A$5,0)</f>
        <v>0</v>
      </c>
      <c r="S435" s="56">
        <f>IFERROR((VLOOKUP($A435,'Dados StatusInvest'!$A:$AZ,COLUMN(S435)-$A$5,0)),0)</f>
        <v>1.75</v>
      </c>
      <c r="T435" s="53">
        <f>IFERROR((VLOOKUP($A435,'Dados StatusInvest'!$A:$AZ,COLUMN(T435)-$A$5,0)/VLOOKUP($A435,'Dados StatusInvest'!$A:$AZ,2,0)*$F435),0)</f>
        <v>-0.13</v>
      </c>
      <c r="U435" s="53">
        <f>IFERROR((VLOOKUP($A435,'Dados StatusInvest'!$A:$AZ,COLUMN(U435)-$A$5,0)-VLOOKUP($A435,'Dados StatusInvest'!$A:$AZ,COLUMN(U435)-$A$5-1,0)+T435),0)</f>
        <v>-0.03</v>
      </c>
      <c r="V435" s="56">
        <f>IFERROR((VLOOKUP($A435,'Dados StatusInvest'!$A:$AZ,COLUMN(V435)-$A$5,0)),0)</f>
        <v>0.59</v>
      </c>
      <c r="W435" s="56">
        <f>IFERROR((VLOOKUP($A435,'Dados StatusInvest'!$A:$AZ,COLUMN(W435)-$A$5,0)),0)</f>
        <v>-11.89</v>
      </c>
      <c r="X435" s="53">
        <f>IFERROR((VLOOKUP($A435,'Dados StatusInvest'!$A:$AZ,COLUMN(X435)-$A$5,0)/VLOOKUP($A435,'Dados StatusInvest'!$A:$AZ,2,0)*$F435),0)</f>
        <v>-9.84</v>
      </c>
      <c r="Y435" s="54">
        <f>IFERROR((VLOOKUP($A435,'Dados StatusInvest'!$A:$AZ,COLUMN(Y435)-$A$5,0)/VLOOKUP($A435,'Dados StatusInvest'!$A:$AZ,2,0)*$F435),0)</f>
        <v>21.85</v>
      </c>
      <c r="Z435" s="56">
        <f>IFERROR((VLOOKUP($A435,'Dados StatusInvest'!$A:$AZ,COLUMN(Z435)-$A$5,0)),0)</f>
        <v>-0.83</v>
      </c>
      <c r="AA435" s="57">
        <f>IFERROR((VLOOKUP($A435,'Dados StatusInvest'!$A:$AZ,COLUMN(AA435)-$A$5,0)),0)</f>
        <v>1.83</v>
      </c>
      <c r="AB435" s="57">
        <f>IFERROR((VLOOKUP($A435,'Dados StatusInvest'!$A:$AZ,COLUMN(AB435)-$A$5,0)),0)</f>
        <v>0.01</v>
      </c>
      <c r="AC435" s="58">
        <f>IFERROR((VLOOKUP($A435,'Dados StatusInvest'!$A:$AZ,COLUMN(AC435)-$A$5,0)),0)</f>
        <v>-30.86</v>
      </c>
      <c r="AD435" s="57">
        <f>IFERROR((VLOOKUP($A435,'Dados StatusInvest'!$A:$AZ,COLUMN(AD435)-$A$5,0)),0)</f>
        <v>0</v>
      </c>
      <c r="AE435" s="56">
        <f>IFERROR((VLOOKUP($A435,'Dados StatusInvest'!$A:$AZ,COLUMN(AE435)-$A$5,0)),0)</f>
        <v>4220.81</v>
      </c>
      <c r="AF435" s="56">
        <f>IFERROR((VLOOKUP($A435,'Dados StatusInvest'!$A:$AZ,COLUMN(AF435)-$A$5,0)),0)</f>
        <v>-46.94</v>
      </c>
      <c r="AG435" s="56">
        <f>IFERROR((VLOOKUP($A435,'Dados StatusInvest'!$A:$AZ,COLUMN(AG435)-$A$5,0)),0)</f>
        <v>-5.58</v>
      </c>
      <c r="AH435" s="56">
        <f>IFERROR((VLOOKUP($A435,'Dados StatusInvest'!$A:$AZ,COLUMN(AH435)-$A$5,0)),0)</f>
        <v>0</v>
      </c>
      <c r="AI435" s="57">
        <f>IFERROR((VLOOKUP($A435,'Dados StatusInvest'!$A:$AZ,COLUMN(AI435)-$A$5,0)),0)</f>
        <v>54475613.68</v>
      </c>
      <c r="AJ435" s="59" t="str">
        <f>IFERROR((VLOOKUP($A435,'Dados StatusInvest'!$A:$AZ,COLUMN(AJ435)-$A$5,0)),0)</f>
        <v/>
      </c>
      <c r="AK435" s="60" t="str">
        <f>IFERROR(__xludf.DUMMYFUNCTION("IFERROR(GOOGLEFINANCE($A435,""high""),"""")"),"")</f>
        <v/>
      </c>
      <c r="AL435" s="60" t="str">
        <f>IFERROR(__xludf.DUMMYFUNCTION("IFERROR(GOOGLEFINANCE($A435,""low""),"""")"),"")</f>
        <v/>
      </c>
      <c r="AM435" s="61">
        <f t="shared" si="2"/>
        <v>0</v>
      </c>
      <c r="AN435" s="62">
        <f>IFERROR(__xludf.DUMMYFUNCTION("IFERROR((GOOGLEFINANCE($A435,""volume"")),0)"),0.0)</f>
        <v>0</v>
      </c>
      <c r="AO435" s="60">
        <f>IFERROR(__xludf.DUMMYFUNCTION("IFERROR((GOOGLEFINANCE($A435,""closeyest"")),"""")"),1.21)</f>
        <v>1.21</v>
      </c>
      <c r="AP435" s="60">
        <f>IFERROR(__xludf.DUMMYFUNCTION("IFERROR((GOOGLEFINANCE($A435,""shares"")),"""")"),1577272.0)</f>
        <v>1577272</v>
      </c>
      <c r="AQ435" s="18"/>
    </row>
    <row r="436">
      <c r="A436" s="45" t="str">
        <f>'Dados StatusInvest'!A431:A1050</f>
        <v>OMGE3</v>
      </c>
      <c r="B436" s="46" t="str">
        <f>IFERROR(__xludf.DUMMYFUNCTION("IFERROR((GOOGLEFINANCE(A436,""name"")),"""")"),"")</f>
        <v/>
      </c>
      <c r="C436" s="46" t="str">
        <f>IFERROR((VLOOKUP(LEFT($A436,4),Setor!$A:$E,3,0)),"")</f>
        <v>Utilidade Pública</v>
      </c>
      <c r="D436" s="46" t="str">
        <f>IFERROR((VLOOKUP(LEFT($A436,4),Setor!$A:$E,4,0)),"")</f>
        <v>Energia Elétrica</v>
      </c>
      <c r="E436" s="46" t="str">
        <f>IFERROR((VLOOKUP(LEFT($A436,4),Setor!$A:$E,5,0)),"")</f>
        <v>Energia Elétrica</v>
      </c>
      <c r="F436" s="47" t="str">
        <f>IFERROR(__xludf.DUMMYFUNCTION("IFERROR((GOOGLEFINANCE(A436)),"""")"),"")</f>
        <v/>
      </c>
      <c r="G436" s="48" t="str">
        <f>IFERROR(__xludf.DUMMYFUNCTION("IFERROR((sparkline(GOOGLEFINANCE($A436,""price"",TODAY()-30,TODAY(),""DAILY""),{""charttype"",""line"";""linewidth"",1;""color"",""#5f88cc""})),"""")"),"")</f>
        <v/>
      </c>
      <c r="H436" s="49" t="str">
        <f>IFERROR(__xludf.DUMMYFUNCTION("IFERROR((((GOOGLEFINANCE(A436))-(INDEX(GoogleFinance(A436,""PRICE"",$AQ$1),2,2)))/(INDEX(GoogleFinance(A436,""PRICE"",$AQ$1),2,2))),"""")"),"")</f>
        <v/>
      </c>
      <c r="I436" s="47" t="str">
        <f>IFERROR(__xludf.DUMMYFUNCTION("IFERROR((GOOGLEFINANCE($A436,""high52"")),"""")"),"")</f>
        <v/>
      </c>
      <c r="J436" s="48" t="str">
        <f>IFERROR(__xludf.DUMMYFUNCTION("IFERROR((sparkline(GOOGLEFINANCE($A436,""price"",TODAY()-365,TODAY(),""DAILY""),{""charttype"",""line"";""linewidth"",1;""color"",""#5f88cc""})),"""")"),"")</f>
        <v/>
      </c>
      <c r="K436" s="50" t="str">
        <f>IFERROR(__xludf.DUMMYFUNCTION("IFERROR((((GOOGLEFINANCE(A436))-(INDEX(GoogleFinance(A436,""PRICE"",$AP$1),2,2)))/(INDEX(GoogleFinance(A436,""PRICE"",$AP$1),2,2))),"""")"),"")</f>
        <v/>
      </c>
      <c r="L436" s="51">
        <f t="shared" si="1"/>
        <v>0</v>
      </c>
      <c r="M436" s="52">
        <f>IFERROR((VLOOKUP($A436,'Dados StatusInvest'!$A:$AZ,COLUMN(M436)-$A$5,0)*VLOOKUP($A436,'Dados StatusInvest'!$A:$AZ,2,0)/$F436/100),0)</f>
        <v>0</v>
      </c>
      <c r="N436" s="53">
        <f>IFERROR((VLOOKUP($A436,'Dados StatusInvest'!$A:$AZ,COLUMN(N436)-$A$5,0)/VLOOKUP($A436,'Dados StatusInvest'!$A:$AZ,2,0)*$F436),"")</f>
        <v>0</v>
      </c>
      <c r="O436" s="53">
        <f>IFERROR((VLOOKUP($A436,'Dados StatusInvest'!$A:$AZ,COLUMN(O436)-$A$5,0)/VLOOKUP($A436,'Dados StatusInvest'!$A:$AZ,2,0)*$F436),0)</f>
        <v>0</v>
      </c>
      <c r="P436" s="54">
        <f>IFERROR((VLOOKUP($A436,'Dados StatusInvest'!$A:$AZ,COLUMN(P436)-$A$5,0)/VLOOKUP($A436,'Dados StatusInvest'!$A:$AZ,2,0)*$F436),0)</f>
        <v>0</v>
      </c>
      <c r="Q436" s="55">
        <f>IFERROR((VLOOKUP($A436,'Dados StatusInvest'!$A:$AZ,COLUMN(Q436)-$A$5,0)/100),0)</f>
        <v>0</v>
      </c>
      <c r="R436" s="56">
        <f>VLOOKUP($A436,'Dados StatusInvest'!$A:$AZ,COLUMN(R436)-$A$5,0)</f>
        <v>1.16</v>
      </c>
      <c r="S436" s="56">
        <f>IFERROR((VLOOKUP($A436,'Dados StatusInvest'!$A:$AZ,COLUMN(S436)-$A$5,0)),0)</f>
        <v>1.47</v>
      </c>
      <c r="T436" s="53">
        <f>IFERROR((VLOOKUP($A436,'Dados StatusInvest'!$A:$AZ,COLUMN(T436)-$A$5,0)/VLOOKUP($A436,'Dados StatusInvest'!$A:$AZ,2,0)*$F436),0)</f>
        <v>0</v>
      </c>
      <c r="U436" s="53">
        <f>IFERROR((VLOOKUP($A436,'Dados StatusInvest'!$A:$AZ,COLUMN(U436)-$A$5,0)-VLOOKUP($A436,'Dados StatusInvest'!$A:$AZ,COLUMN(U436)-$A$5-1,0)+T436),0)</f>
        <v>-3632.12</v>
      </c>
      <c r="V436" s="56">
        <f>IFERROR((VLOOKUP($A436,'Dados StatusInvest'!$A:$AZ,COLUMN(V436)-$A$5,0)),0)</f>
        <v>1.83</v>
      </c>
      <c r="W436" s="56">
        <f>IFERROR((VLOOKUP($A436,'Dados StatusInvest'!$A:$AZ,COLUMN(W436)-$A$5,0)),0)</f>
        <v>13268.77</v>
      </c>
      <c r="X436" s="53">
        <f>IFERROR((VLOOKUP($A436,'Dados StatusInvest'!$A:$AZ,COLUMN(X436)-$A$5,0)/VLOOKUP($A436,'Dados StatusInvest'!$A:$AZ,2,0)*$F436),0)</f>
        <v>0</v>
      </c>
      <c r="Y436" s="54">
        <f>IFERROR((VLOOKUP($A436,'Dados StatusInvest'!$A:$AZ,COLUMN(Y436)-$A$5,0)/VLOOKUP($A436,'Dados StatusInvest'!$A:$AZ,2,0)*$F436),0)</f>
        <v>0</v>
      </c>
      <c r="Z436" s="56">
        <f>IFERROR((VLOOKUP($A436,'Dados StatusInvest'!$A:$AZ,COLUMN(Z436)-$A$5,0)),0)</f>
        <v>0.36</v>
      </c>
      <c r="AA436" s="57">
        <f>IFERROR((VLOOKUP($A436,'Dados StatusInvest'!$A:$AZ,COLUMN(AA436)-$A$5,0)),0)</f>
        <v>0.64</v>
      </c>
      <c r="AB436" s="57">
        <f>IFERROR((VLOOKUP($A436,'Dados StatusInvest'!$A:$AZ,COLUMN(AB436)-$A$5,0)),0)</f>
        <v>262.92</v>
      </c>
      <c r="AC436" s="58">
        <f>IFERROR((VLOOKUP($A436,'Dados StatusInvest'!$A:$AZ,COLUMN(AC436)-$A$5,0)),0)</f>
        <v>30</v>
      </c>
      <c r="AD436" s="57">
        <f>IFERROR((VLOOKUP($A436,'Dados StatusInvest'!$A:$AZ,COLUMN(AD436)-$A$5,0)),0)</f>
        <v>90.67</v>
      </c>
      <c r="AE436" s="56">
        <f>IFERROR((VLOOKUP($A436,'Dados StatusInvest'!$A:$AZ,COLUMN(AE436)-$A$5,0)),0)</f>
        <v>0</v>
      </c>
      <c r="AF436" s="56">
        <f>IFERROR((VLOOKUP($A436,'Dados StatusInvest'!$A:$AZ,COLUMN(AF436)-$A$5,0)),0)</f>
        <v>0.03</v>
      </c>
      <c r="AG436" s="56">
        <f>IFERROR((VLOOKUP($A436,'Dados StatusInvest'!$A:$AZ,COLUMN(AG436)-$A$5,0)),0)</f>
        <v>3.42</v>
      </c>
      <c r="AH436" s="56">
        <f>IFERROR((VLOOKUP($A436,'Dados StatusInvest'!$A:$AZ,COLUMN(AH436)-$A$5,0)),0)</f>
        <v>0.03</v>
      </c>
      <c r="AI436" s="57">
        <f>IFERROR((VLOOKUP($A436,'Dados StatusInvest'!$A:$AZ,COLUMN(AI436)-$A$5,0)),0)</f>
        <v>5521562589</v>
      </c>
      <c r="AJ436" s="59" t="str">
        <f>IFERROR((VLOOKUP($A436,'Dados StatusInvest'!$A:$AZ,COLUMN(AJ436)-$A$5,0)),0)</f>
        <v/>
      </c>
      <c r="AK436" s="60" t="str">
        <f>IFERROR(__xludf.DUMMYFUNCTION("IFERROR(GOOGLEFINANCE($A436,""high""),"""")"),"")</f>
        <v/>
      </c>
      <c r="AL436" s="60" t="str">
        <f>IFERROR(__xludf.DUMMYFUNCTION("IFERROR(GOOGLEFINANCE($A436,""low""),"""")"),"")</f>
        <v/>
      </c>
      <c r="AM436" s="61">
        <f t="shared" si="2"/>
        <v>0</v>
      </c>
      <c r="AN436" s="62">
        <f>IFERROR(__xludf.DUMMYFUNCTION("IFERROR((GOOGLEFINANCE($A436,""volume"")),0)"),0.0)</f>
        <v>0</v>
      </c>
      <c r="AO436" s="60" t="str">
        <f>IFERROR(__xludf.DUMMYFUNCTION("IFERROR((GOOGLEFINANCE($A436,""closeyest"")),"""")"),"")</f>
        <v/>
      </c>
      <c r="AP436" s="60" t="str">
        <f>IFERROR(__xludf.DUMMYFUNCTION("IFERROR((GOOGLEFINANCE($A436,""shares"")),"""")"),"")</f>
        <v/>
      </c>
      <c r="AQ436" s="18"/>
    </row>
    <row r="437">
      <c r="A437" s="45" t="str">
        <f>'Dados StatusInvest'!A432:A1051</f>
        <v>ONCO3</v>
      </c>
      <c r="B437" s="46" t="str">
        <f>IFERROR(__xludf.DUMMYFUNCTION("IFERROR((GOOGLEFINANCE(A437,""name"")),"""")"),"Oncoclinicas do Brasil Srvcs Mdcs SA")</f>
        <v>Oncoclinicas do Brasil Srvcs Mdcs SA</v>
      </c>
      <c r="C437" s="46" t="str">
        <f>IFERROR((VLOOKUP(LEFT($A437,4),Setor!$A:$E,3,0)),"")</f>
        <v/>
      </c>
      <c r="D437" s="46" t="str">
        <f>IFERROR((VLOOKUP(LEFT($A437,4),Setor!$A:$E,4,0)),"")</f>
        <v/>
      </c>
      <c r="E437" s="46" t="str">
        <f>IFERROR((VLOOKUP(LEFT($A437,4),Setor!$A:$E,5,0)),"")</f>
        <v/>
      </c>
      <c r="F437" s="47">
        <f>IFERROR(__xludf.DUMMYFUNCTION("IFERROR((GOOGLEFINANCE(A437)),"""")"),2.63)</f>
        <v>2.63</v>
      </c>
      <c r="G437" s="48" t="str">
        <f>IFERROR(__xludf.DUMMYFUNCTION("IFERROR((sparkline(GOOGLEFINANCE($A437,""price"",TODAY()-30,TODAY(),""DAILY""),{""charttype"",""line"";""linewidth"",1;""color"",""#5f88cc""})),"""")"),"")</f>
        <v/>
      </c>
      <c r="H437" s="49">
        <f>IFERROR(__xludf.DUMMYFUNCTION("IFERROR((((GOOGLEFINANCE(A437))-(INDEX(GoogleFinance(A437,""PRICE"",$AQ$1),2,2)))/(INDEX(GoogleFinance(A437,""PRICE"",$AQ$1),2,2))),"""")"),0.11440677966101696)</f>
        <v>0.1144067797</v>
      </c>
      <c r="I437" s="47">
        <f>IFERROR(__xludf.DUMMYFUNCTION("IFERROR((GOOGLEFINANCE($A437,""high52"")),"""")"),6.46)</f>
        <v>6.46</v>
      </c>
      <c r="J437" s="48" t="str">
        <f>IFERROR(__xludf.DUMMYFUNCTION("IFERROR((sparkline(GOOGLEFINANCE($A437,""price"",TODAY()-365,TODAY(),""DAILY""),{""charttype"",""line"";""linewidth"",1;""color"",""#5f88cc""})),"""")"),"")</f>
        <v/>
      </c>
      <c r="K437" s="50">
        <f>IFERROR(__xludf.DUMMYFUNCTION("IFERROR((((GOOGLEFINANCE(A437))-(INDEX(GoogleFinance(A437,""PRICE"",$AP$1),2,2)))/(INDEX(GoogleFinance(A437,""PRICE"",$AP$1),2,2))),"""")"),-0.31688311688311693)</f>
        <v>-0.3168831169</v>
      </c>
      <c r="L437" s="51">
        <f t="shared" si="1"/>
        <v>-0.592879257</v>
      </c>
      <c r="M437" s="52">
        <f>IFERROR((VLOOKUP($A437,'Dados StatusInvest'!$A:$AZ,COLUMN(M437)-$A$5,0)*VLOOKUP($A437,'Dados StatusInvest'!$A:$AZ,2,0)/$F437/100),0)</f>
        <v>-0.3377034221</v>
      </c>
      <c r="N437" s="53">
        <f>IFERROR((VLOOKUP($A437,'Dados StatusInvest'!$A:$AZ,COLUMN(N437)-$A$5,0)/VLOOKUP($A437,'Dados StatusInvest'!$A:$AZ,2,0)*$F437),"")</f>
        <v>-47.92669231</v>
      </c>
      <c r="O437" s="53">
        <f>IFERROR((VLOOKUP($A437,'Dados StatusInvest'!$A:$AZ,COLUMN(O437)-$A$5,0)/VLOOKUP($A437,'Dados StatusInvest'!$A:$AZ,2,0)*$F437),0)</f>
        <v>-1.466730769</v>
      </c>
      <c r="P437" s="54">
        <f>IFERROR((VLOOKUP($A437,'Dados StatusInvest'!$A:$AZ,COLUMN(P437)-$A$5,0)/VLOOKUP($A437,'Dados StatusInvest'!$A:$AZ,2,0)*$F437),0)</f>
        <v>-3.661769231</v>
      </c>
      <c r="Q437" s="55">
        <f>IFERROR((VLOOKUP($A437,'Dados StatusInvest'!$A:$AZ,COLUMN(Q437)-$A$5,0)/100),0)</f>
        <v>-0.0216</v>
      </c>
      <c r="R437" s="56">
        <f>VLOOKUP($A437,'Dados StatusInvest'!$A:$AZ,COLUMN(R437)-$A$5,0)</f>
        <v>4.52</v>
      </c>
      <c r="S437" s="56">
        <f>IFERROR((VLOOKUP($A437,'Dados StatusInvest'!$A:$AZ,COLUMN(S437)-$A$5,0)),0)</f>
        <v>0.5</v>
      </c>
      <c r="T437" s="53">
        <f>IFERROR((VLOOKUP($A437,'Dados StatusInvest'!$A:$AZ,COLUMN(T437)-$A$5,0)/VLOOKUP($A437,'Dados StatusInvest'!$A:$AZ,2,0)*$F437),0)</f>
        <v>8.921769231</v>
      </c>
      <c r="U437" s="53">
        <f>IFERROR((VLOOKUP($A437,'Dados StatusInvest'!$A:$AZ,COLUMN(U437)-$A$5,0)-VLOOKUP($A437,'Dados StatusInvest'!$A:$AZ,COLUMN(U437)-$A$5-1,0)+T437),0)</f>
        <v>-0.4682307692</v>
      </c>
      <c r="V437" s="56">
        <f>IFERROR((VLOOKUP($A437,'Dados StatusInvest'!$A:$AZ,COLUMN(V437)-$A$5,0)),0)</f>
        <v>1.12</v>
      </c>
      <c r="W437" s="56">
        <f>IFERROR((VLOOKUP($A437,'Dados StatusInvest'!$A:$AZ,COLUMN(W437)-$A$5,0)),0)</f>
        <v>-289.63</v>
      </c>
      <c r="X437" s="53">
        <f>IFERROR((VLOOKUP($A437,'Dados StatusInvest'!$A:$AZ,COLUMN(X437)-$A$5,0)/VLOOKUP($A437,'Dados StatusInvest'!$A:$AZ,2,0)*$F437),0)</f>
        <v>-34.61484615</v>
      </c>
      <c r="Y437" s="54">
        <f>IFERROR((VLOOKUP($A437,'Dados StatusInvest'!$A:$AZ,COLUMN(Y437)-$A$5,0)/VLOOKUP($A437,'Dados StatusInvest'!$A:$AZ,2,0)*$F437),0)</f>
        <v>-35.67696154</v>
      </c>
      <c r="Z437" s="56">
        <f>IFERROR((VLOOKUP($A437,'Dados StatusInvest'!$A:$AZ,COLUMN(Z437)-$A$5,0)),0)</f>
        <v>0.12</v>
      </c>
      <c r="AA437" s="57">
        <f>IFERROR((VLOOKUP($A437,'Dados StatusInvest'!$A:$AZ,COLUMN(AA437)-$A$5,0)),0)</f>
        <v>0.85</v>
      </c>
      <c r="AB437" s="57">
        <f>IFERROR((VLOOKUP($A437,'Dados StatusInvest'!$A:$AZ,COLUMN(AB437)-$A$5,0)),0)</f>
        <v>0.72</v>
      </c>
      <c r="AC437" s="58">
        <f>IFERROR((VLOOKUP($A437,'Dados StatusInvest'!$A:$AZ,COLUMN(AC437)-$A$5,0)),0)</f>
        <v>0</v>
      </c>
      <c r="AD437" s="57">
        <f>IFERROR((VLOOKUP($A437,'Dados StatusInvest'!$A:$AZ,COLUMN(AD437)-$A$5,0)),0)</f>
        <v>0</v>
      </c>
      <c r="AE437" s="56">
        <f>IFERROR((VLOOKUP($A437,'Dados StatusInvest'!$A:$AZ,COLUMN(AE437)-$A$5,0)),0)</f>
        <v>9970786</v>
      </c>
      <c r="AF437" s="56">
        <f>IFERROR((VLOOKUP($A437,'Dados StatusInvest'!$A:$AZ,COLUMN(AF437)-$A$5,0)),0)</f>
        <v>0.86</v>
      </c>
      <c r="AG437" s="56">
        <f>IFERROR((VLOOKUP($A437,'Dados StatusInvest'!$A:$AZ,COLUMN(AG437)-$A$5,0)),0)</f>
        <v>-2.48</v>
      </c>
      <c r="AH437" s="56">
        <f>IFERROR((VLOOKUP($A437,'Dados StatusInvest'!$A:$AZ,COLUMN(AH437)-$A$5,0)),0)</f>
        <v>0</v>
      </c>
      <c r="AI437" s="57">
        <f>IFERROR((VLOOKUP($A437,'Dados StatusInvest'!$A:$AZ,COLUMN(AI437)-$A$5,0)),0)</f>
        <v>2945616684</v>
      </c>
      <c r="AJ437" s="59" t="str">
        <f>IFERROR((VLOOKUP($A437,'Dados StatusInvest'!$A:$AZ,COLUMN(AJ437)-$A$5,0)),0)</f>
        <v/>
      </c>
      <c r="AK437" s="60">
        <f>IFERROR(__xludf.DUMMYFUNCTION("IFERROR(GOOGLEFINANCE($A437,""high""),"""")"),2.63)</f>
        <v>2.63</v>
      </c>
      <c r="AL437" s="60">
        <f>IFERROR(__xludf.DUMMYFUNCTION("IFERROR(GOOGLEFINANCE($A437,""low""),"""")"),2.53)</f>
        <v>2.53</v>
      </c>
      <c r="AM437" s="61">
        <f t="shared" si="2"/>
        <v>0.0395256917</v>
      </c>
      <c r="AN437" s="62">
        <f>IFERROR(__xludf.DUMMYFUNCTION("IFERROR((GOOGLEFINANCE($A437,""volume"")),0)"),710200.0)</f>
        <v>710200</v>
      </c>
      <c r="AO437" s="60">
        <f>IFERROR(__xludf.DUMMYFUNCTION("IFERROR((GOOGLEFINANCE($A437,""closeyest"")),"""")"),2.6)</f>
        <v>2.6</v>
      </c>
      <c r="AP437" s="60">
        <f>IFERROR(__xludf.DUMMYFUNCTION("IFERROR((GOOGLEFINANCE($A437,""shares"")),"""")"),1.132929494E9)</f>
        <v>1132929494</v>
      </c>
      <c r="AQ437" s="18"/>
    </row>
    <row r="438">
      <c r="A438" s="45" t="str">
        <f>'Dados StatusInvest'!A433:A1052</f>
        <v>OPCT3</v>
      </c>
      <c r="B438" s="46" t="str">
        <f>IFERROR(__xludf.DUMMYFUNCTION("IFERROR((GOOGLEFINANCE(A438,""name"")),"""")"),"Oceanpact Servicos Maritimos Sa")</f>
        <v>Oceanpact Servicos Maritimos Sa</v>
      </c>
      <c r="C438" s="46" t="str">
        <f>IFERROR((VLOOKUP(LEFT($A438,4),Setor!$A:$E,3,0)),"")</f>
        <v/>
      </c>
      <c r="D438" s="46" t="str">
        <f>IFERROR((VLOOKUP(LEFT($A438,4),Setor!$A:$E,4,0)),"")</f>
        <v/>
      </c>
      <c r="E438" s="46" t="str">
        <f>IFERROR((VLOOKUP(LEFT($A438,4),Setor!$A:$E,5,0)),"")</f>
        <v/>
      </c>
      <c r="F438" s="47">
        <f>IFERROR(__xludf.DUMMYFUNCTION("IFERROR((GOOGLEFINANCE(A438)),"""")"),9.2)</f>
        <v>9.2</v>
      </c>
      <c r="G438" s="48" t="str">
        <f>IFERROR(__xludf.DUMMYFUNCTION("IFERROR((sparkline(GOOGLEFINANCE($A438,""price"",TODAY()-30,TODAY(),""DAILY""),{""charttype"",""line"";""linewidth"",1;""color"",""#5f88cc""})),"""")"),"")</f>
        <v/>
      </c>
      <c r="H438" s="49">
        <f>IFERROR(__xludf.DUMMYFUNCTION("IFERROR((((GOOGLEFINANCE(A438))-(INDEX(GoogleFinance(A438,""PRICE"",$AQ$1),2,2)))/(INDEX(GoogleFinance(A438,""PRICE"",$AQ$1),2,2))),"""")"),0.02793296089385475)</f>
        <v>0.02793296089</v>
      </c>
      <c r="I438" s="47">
        <f>IFERROR(__xludf.DUMMYFUNCTION("IFERROR((GOOGLEFINANCE($A438,""high52"")),"""")"),9.7)</f>
        <v>9.7</v>
      </c>
      <c r="J438" s="48" t="str">
        <f>IFERROR(__xludf.DUMMYFUNCTION("IFERROR((sparkline(GOOGLEFINANCE($A438,""price"",TODAY()-365,TODAY(),""DAILY""),{""charttype"",""line"";""linewidth"",1;""color"",""#5f88cc""})),"""")"),"")</f>
        <v/>
      </c>
      <c r="K438" s="50">
        <f>IFERROR(__xludf.DUMMYFUNCTION("IFERROR((((GOOGLEFINANCE(A438))-(INDEX(GoogleFinance(A438,""PRICE"",$AP$1),2,2)))/(INDEX(GoogleFinance(A438,""PRICE"",$AP$1),2,2))),"""")"),0.6399286987522279)</f>
        <v>0.6399286988</v>
      </c>
      <c r="L438" s="51">
        <f t="shared" si="1"/>
        <v>-0.05154639175</v>
      </c>
      <c r="M438" s="52">
        <f>IFERROR((VLOOKUP($A438,'Dados StatusInvest'!$A:$AZ,COLUMN(M438)-$A$5,0)*VLOOKUP($A438,'Dados StatusInvest'!$A:$AZ,2,0)/$F438/100),0)</f>
        <v>0.1566165217</v>
      </c>
      <c r="N438" s="53">
        <f>IFERROR((VLOOKUP($A438,'Dados StatusInvest'!$A:$AZ,COLUMN(N438)-$A$5,0)/VLOOKUP($A438,'Dados StatusInvest'!$A:$AZ,2,0)*$F438),"")</f>
        <v>2.872532189</v>
      </c>
      <c r="O438" s="53">
        <f>IFERROR((VLOOKUP($A438,'Dados StatusInvest'!$A:$AZ,COLUMN(O438)-$A$5,0)/VLOOKUP($A438,'Dados StatusInvest'!$A:$AZ,2,0)*$F438),0)</f>
        <v>5.833905579</v>
      </c>
      <c r="P438" s="54">
        <f>IFERROR((VLOOKUP($A438,'Dados StatusInvest'!$A:$AZ,COLUMN(P438)-$A$5,0)/VLOOKUP($A438,'Dados StatusInvest'!$A:$AZ,2,0)*$F438),0)</f>
        <v>9.47639485</v>
      </c>
      <c r="Q438" s="55">
        <f>IFERROR((VLOOKUP($A438,'Dados StatusInvest'!$A:$AZ,COLUMN(Q438)-$A$5,0)/100),0)</f>
        <v>0.0369</v>
      </c>
      <c r="R438" s="56">
        <f>VLOOKUP($A438,'Dados StatusInvest'!$A:$AZ,COLUMN(R438)-$A$5,0)</f>
        <v>1.21</v>
      </c>
      <c r="S438" s="56">
        <f>IFERROR((VLOOKUP($A438,'Dados StatusInvest'!$A:$AZ,COLUMN(S438)-$A$5,0)),0)</f>
        <v>0.91</v>
      </c>
      <c r="T438" s="53">
        <f>IFERROR((VLOOKUP($A438,'Dados StatusInvest'!$A:$AZ,COLUMN(T438)-$A$5,0)/VLOOKUP($A438,'Dados StatusInvest'!$A:$AZ,2,0)*$F438),0)</f>
        <v>2.467811159</v>
      </c>
      <c r="U438" s="53">
        <f>IFERROR((VLOOKUP($A438,'Dados StatusInvest'!$A:$AZ,COLUMN(U438)-$A$5,0)-VLOOKUP($A438,'Dados StatusInvest'!$A:$AZ,COLUMN(U438)-$A$5-1,0)+T438),0)</f>
        <v>-0.9821888412</v>
      </c>
      <c r="V438" s="56">
        <f>IFERROR((VLOOKUP($A438,'Dados StatusInvest'!$A:$AZ,COLUMN(V438)-$A$5,0)),0)</f>
        <v>2.67</v>
      </c>
      <c r="W438" s="56">
        <f>IFERROR((VLOOKUP($A438,'Dados StatusInvest'!$A:$AZ,COLUMN(W438)-$A$5,0)),0)</f>
        <v>6.15</v>
      </c>
      <c r="X438" s="53">
        <f>IFERROR((VLOOKUP($A438,'Dados StatusInvest'!$A:$AZ,COLUMN(X438)-$A$5,0)/VLOOKUP($A438,'Dados StatusInvest'!$A:$AZ,2,0)*$F438),0)</f>
        <v>1.855793991</v>
      </c>
      <c r="Y438" s="54">
        <f>IFERROR((VLOOKUP($A438,'Dados StatusInvest'!$A:$AZ,COLUMN(Y438)-$A$5,0)/VLOOKUP($A438,'Dados StatusInvest'!$A:$AZ,2,0)*$F438),0)</f>
        <v>8.26223176</v>
      </c>
      <c r="Z438" s="56">
        <f>IFERROR((VLOOKUP($A438,'Dados StatusInvest'!$A:$AZ,COLUMN(Z438)-$A$5,0)),0)</f>
        <v>0.31</v>
      </c>
      <c r="AA438" s="57">
        <f>IFERROR((VLOOKUP($A438,'Dados StatusInvest'!$A:$AZ,COLUMN(AA438)-$A$5,0)),0)</f>
        <v>0.69</v>
      </c>
      <c r="AB438" s="57">
        <f>IFERROR((VLOOKUP($A438,'Dados StatusInvest'!$A:$AZ,COLUMN(AB438)-$A$5,0)),0)</f>
        <v>0.65</v>
      </c>
      <c r="AC438" s="58">
        <f>IFERROR((VLOOKUP($A438,'Dados StatusInvest'!$A:$AZ,COLUMN(AC438)-$A$5,0)),0)</f>
        <v>31.17</v>
      </c>
      <c r="AD438" s="57">
        <f>IFERROR((VLOOKUP($A438,'Dados StatusInvest'!$A:$AZ,COLUMN(AD438)-$A$5,0)),0)</f>
        <v>43.9</v>
      </c>
      <c r="AE438" s="56">
        <f>IFERROR((VLOOKUP($A438,'Dados StatusInvest'!$A:$AZ,COLUMN(AE438)-$A$5,0)),0)</f>
        <v>4645977</v>
      </c>
      <c r="AF438" s="56">
        <f>IFERROR((VLOOKUP($A438,'Dados StatusInvest'!$A:$AZ,COLUMN(AF438)-$A$5,0)),0)</f>
        <v>4.82</v>
      </c>
      <c r="AG438" s="56">
        <f>IFERROR((VLOOKUP($A438,'Dados StatusInvest'!$A:$AZ,COLUMN(AG438)-$A$5,0)),0)</f>
        <v>0.3</v>
      </c>
      <c r="AH438" s="56">
        <f>IFERROR((VLOOKUP($A438,'Dados StatusInvest'!$A:$AZ,COLUMN(AH438)-$A$5,0)),0)</f>
        <v>0.27</v>
      </c>
      <c r="AI438" s="57">
        <f>IFERROR((VLOOKUP($A438,'Dados StatusInvest'!$A:$AZ,COLUMN(AI438)-$A$5,0)),0)</f>
        <v>1863623043</v>
      </c>
      <c r="AJ438" s="59" t="str">
        <f>IFERROR((VLOOKUP($A438,'Dados StatusInvest'!$A:$AZ,COLUMN(AJ438)-$A$5,0)),0)</f>
        <v/>
      </c>
      <c r="AK438" s="60">
        <f>IFERROR(__xludf.DUMMYFUNCTION("IFERROR(GOOGLEFINANCE($A438,""high""),"""")"),9.32)</f>
        <v>9.32</v>
      </c>
      <c r="AL438" s="60">
        <f>IFERROR(__xludf.DUMMYFUNCTION("IFERROR(GOOGLEFINANCE($A438,""low""),"""")"),9.15)</f>
        <v>9.15</v>
      </c>
      <c r="AM438" s="61">
        <f t="shared" si="2"/>
        <v>0.01857923497</v>
      </c>
      <c r="AN438" s="62">
        <f>IFERROR(__xludf.DUMMYFUNCTION("IFERROR((GOOGLEFINANCE($A438,""volume"")),0)"),16300.0)</f>
        <v>16300</v>
      </c>
      <c r="AO438" s="60">
        <f>IFERROR(__xludf.DUMMYFUNCTION("IFERROR((GOOGLEFINANCE($A438,""closeyest"")),"""")"),9.32)</f>
        <v>9.32</v>
      </c>
      <c r="AP438" s="60">
        <f>IFERROR(__xludf.DUMMYFUNCTION("IFERROR((GOOGLEFINANCE($A438,""shares"")),"""")"),1.99959554E8)</f>
        <v>199959554</v>
      </c>
      <c r="AQ438" s="18"/>
    </row>
    <row r="439">
      <c r="A439" s="45" t="str">
        <f>'Dados StatusInvest'!A434:A1053</f>
        <v>ORVR3</v>
      </c>
      <c r="B439" s="46" t="str">
        <f>IFERROR(__xludf.DUMMYFUNCTION("IFERROR((GOOGLEFINANCE(A439,""name"")),"""")"),"Orizon Valorizacao de Residuos SA")</f>
        <v>Orizon Valorizacao de Residuos SA</v>
      </c>
      <c r="C439" s="46" t="str">
        <f>IFERROR((VLOOKUP(LEFT($A439,4),Setor!$A:$E,3,0)),"")</f>
        <v/>
      </c>
      <c r="D439" s="46" t="str">
        <f>IFERROR((VLOOKUP(LEFT($A439,4),Setor!$A:$E,4,0)),"")</f>
        <v/>
      </c>
      <c r="E439" s="46" t="str">
        <f>IFERROR((VLOOKUP(LEFT($A439,4),Setor!$A:$E,5,0)),"")</f>
        <v/>
      </c>
      <c r="F439" s="47">
        <f>IFERROR(__xludf.DUMMYFUNCTION("IFERROR((GOOGLEFINANCE(A439)),"""")"),71.87)</f>
        <v>71.87</v>
      </c>
      <c r="G439" s="48" t="str">
        <f>IFERROR(__xludf.DUMMYFUNCTION("IFERROR((sparkline(GOOGLEFINANCE($A439,""price"",TODAY()-30,TODAY(),""DAILY""),{""charttype"",""line"";""linewidth"",1;""color"",""#5f88cc""})),"""")"),"")</f>
        <v/>
      </c>
      <c r="H439" s="49">
        <f>IFERROR(__xludf.DUMMYFUNCTION("IFERROR((((GOOGLEFINANCE(A439))-(INDEX(GoogleFinance(A439,""PRICE"",$AQ$1),2,2)))/(INDEX(GoogleFinance(A439,""PRICE"",$AQ$1),2,2))),"""")"),0.025249643366619265)</f>
        <v>0.02524964337</v>
      </c>
      <c r="I439" s="47">
        <f>IFERROR(__xludf.DUMMYFUNCTION("IFERROR((GOOGLEFINANCE($A439,""high52"")),"""")"),77.07)</f>
        <v>77.07</v>
      </c>
      <c r="J439" s="48" t="str">
        <f>IFERROR(__xludf.DUMMYFUNCTION("IFERROR((sparkline(GOOGLEFINANCE($A439,""price"",TODAY()-365,TODAY(),""DAILY""),{""charttype"",""line"";""linewidth"",1;""color"",""#5f88cc""})),"""")"),"")</f>
        <v/>
      </c>
      <c r="K439" s="50">
        <f>IFERROR(__xludf.DUMMYFUNCTION("IFERROR((((GOOGLEFINANCE(A439))-(INDEX(GoogleFinance(A439,""PRICE"",$AP$1),2,2)))/(INDEX(GoogleFinance(A439,""PRICE"",$AP$1),2,2))),"""")"),0.6412422927609045)</f>
        <v>0.6412422928</v>
      </c>
      <c r="L439" s="51">
        <f t="shared" si="1"/>
        <v>-0.06747113014</v>
      </c>
      <c r="M439" s="52">
        <f>IFERROR((VLOOKUP($A439,'Dados StatusInvest'!$A:$AZ,COLUMN(M439)-$A$5,0)*VLOOKUP($A439,'Dados StatusInvest'!$A:$AZ,2,0)/$F439/100),0)</f>
        <v>0.2695288716</v>
      </c>
      <c r="N439" s="53">
        <f>IFERROR((VLOOKUP($A439,'Dados StatusInvest'!$A:$AZ,COLUMN(N439)-$A$5,0)/VLOOKUP($A439,'Dados StatusInvest'!$A:$AZ,2,0)*$F439),"")</f>
        <v>2.963096292</v>
      </c>
      <c r="O439" s="53">
        <f>IFERROR((VLOOKUP($A439,'Dados StatusInvest'!$A:$AZ,COLUMN(O439)-$A$5,0)/VLOOKUP($A439,'Dados StatusInvest'!$A:$AZ,2,0)*$F439),0)</f>
        <v>25.36529745</v>
      </c>
      <c r="P439" s="54">
        <f>IFERROR((VLOOKUP($A439,'Dados StatusInvest'!$A:$AZ,COLUMN(P439)-$A$5,0)/VLOOKUP($A439,'Dados StatusInvest'!$A:$AZ,2,0)*$F439),0)</f>
        <v>29.27300498</v>
      </c>
      <c r="Q439" s="55">
        <f>IFERROR((VLOOKUP($A439,'Dados StatusInvest'!$A:$AZ,COLUMN(Q439)-$A$5,0)/100),0)</f>
        <v>0.0393</v>
      </c>
      <c r="R439" s="56">
        <f>VLOOKUP($A439,'Dados StatusInvest'!$A:$AZ,COLUMN(R439)-$A$5,0)</f>
        <v>0.75</v>
      </c>
      <c r="S439" s="56">
        <f>IFERROR((VLOOKUP($A439,'Dados StatusInvest'!$A:$AZ,COLUMN(S439)-$A$5,0)),0)</f>
        <v>6.84</v>
      </c>
      <c r="T439" s="53">
        <f>IFERROR((VLOOKUP($A439,'Dados StatusInvest'!$A:$AZ,COLUMN(T439)-$A$5,0)/VLOOKUP($A439,'Dados StatusInvest'!$A:$AZ,2,0)*$F439),0)</f>
        <v>7.208875208</v>
      </c>
      <c r="U439" s="53">
        <f>IFERROR((VLOOKUP($A439,'Dados StatusInvest'!$A:$AZ,COLUMN(U439)-$A$5,0)-VLOOKUP($A439,'Dados StatusInvest'!$A:$AZ,COLUMN(U439)-$A$5-1,0)+T439),0)</f>
        <v>-2.551124792</v>
      </c>
      <c r="V439" s="56">
        <f>IFERROR((VLOOKUP($A439,'Dados StatusInvest'!$A:$AZ,COLUMN(V439)-$A$5,0)),0)</f>
        <v>2.93</v>
      </c>
      <c r="W439" s="56">
        <f>IFERROR((VLOOKUP($A439,'Dados StatusInvest'!$A:$AZ,COLUMN(W439)-$A$5,0)),0)</f>
        <v>2.13</v>
      </c>
      <c r="X439" s="53">
        <f>IFERROR((VLOOKUP($A439,'Dados StatusInvest'!$A:$AZ,COLUMN(X439)-$A$5,0)/VLOOKUP($A439,'Dados StatusInvest'!$A:$AZ,2,0)*$F439),0)</f>
        <v>0.7159158827</v>
      </c>
      <c r="Y439" s="54">
        <f>IFERROR((VLOOKUP($A439,'Dados StatusInvest'!$A:$AZ,COLUMN(Y439)-$A$5,0)/VLOOKUP($A439,'Dados StatusInvest'!$A:$AZ,2,0)*$F439),0)</f>
        <v>6.811144162</v>
      </c>
      <c r="Z439" s="56">
        <f>IFERROR((VLOOKUP($A439,'Dados StatusInvest'!$A:$AZ,COLUMN(Z439)-$A$5,0)),0)</f>
        <v>0.34</v>
      </c>
      <c r="AA439" s="57">
        <f>IFERROR((VLOOKUP($A439,'Dados StatusInvest'!$A:$AZ,COLUMN(AA439)-$A$5,0)),0)</f>
        <v>0.64</v>
      </c>
      <c r="AB439" s="57">
        <f>IFERROR((VLOOKUP($A439,'Dados StatusInvest'!$A:$AZ,COLUMN(AB439)-$A$5,0)),0)</f>
        <v>0.24</v>
      </c>
      <c r="AC439" s="58">
        <f>IFERROR((VLOOKUP($A439,'Dados StatusInvest'!$A:$AZ,COLUMN(AC439)-$A$5,0)),0)</f>
        <v>21.01</v>
      </c>
      <c r="AD439" s="57">
        <f>IFERROR((VLOOKUP($A439,'Dados StatusInvest'!$A:$AZ,COLUMN(AD439)-$A$5,0)),0)</f>
        <v>59.79</v>
      </c>
      <c r="AE439" s="56">
        <f>IFERROR((VLOOKUP($A439,'Dados StatusInvest'!$A:$AZ,COLUMN(AE439)-$A$5,0)),0)</f>
        <v>44330888</v>
      </c>
      <c r="AF439" s="56">
        <f>IFERROR((VLOOKUP($A439,'Dados StatusInvest'!$A:$AZ,COLUMN(AF439)-$A$5,0)),0)</f>
        <v>14.82</v>
      </c>
      <c r="AG439" s="56">
        <f>IFERROR((VLOOKUP($A439,'Dados StatusInvest'!$A:$AZ,COLUMN(AG439)-$A$5,0)),0)</f>
        <v>0.32</v>
      </c>
      <c r="AH439" s="56">
        <f>IFERROR((VLOOKUP($A439,'Dados StatusInvest'!$A:$AZ,COLUMN(AH439)-$A$5,0)),0)</f>
        <v>-2.83</v>
      </c>
      <c r="AI439" s="57">
        <f>IFERROR((VLOOKUP($A439,'Dados StatusInvest'!$A:$AZ,COLUMN(AI439)-$A$5,0)),0)</f>
        <v>6948050236</v>
      </c>
      <c r="AJ439" s="59" t="str">
        <f>IFERROR((VLOOKUP($A439,'Dados StatusInvest'!$A:$AZ,COLUMN(AJ439)-$A$5,0)),0)</f>
        <v/>
      </c>
      <c r="AK439" s="60">
        <f>IFERROR(__xludf.DUMMYFUNCTION("IFERROR(GOOGLEFINANCE($A439,""high""),"""")"),72.46)</f>
        <v>72.46</v>
      </c>
      <c r="AL439" s="60">
        <f>IFERROR(__xludf.DUMMYFUNCTION("IFERROR(GOOGLEFINANCE($A439,""low""),"""")"),71.2)</f>
        <v>71.2</v>
      </c>
      <c r="AM439" s="61">
        <f t="shared" si="2"/>
        <v>0.01769662921</v>
      </c>
      <c r="AN439" s="62">
        <f>IFERROR(__xludf.DUMMYFUNCTION("IFERROR((GOOGLEFINANCE($A439,""volume"")),0)"),50700.0)</f>
        <v>50700</v>
      </c>
      <c r="AO439" s="60">
        <f>IFERROR(__xludf.DUMMYFUNCTION("IFERROR((GOOGLEFINANCE($A439,""closeyest"")),"""")"),72.28)</f>
        <v>72.28</v>
      </c>
      <c r="AP439" s="60">
        <f>IFERROR(__xludf.DUMMYFUNCTION("IFERROR((GOOGLEFINANCE($A439,""shares"")),"""")"),9.6126871E7)</f>
        <v>96126871</v>
      </c>
      <c r="AQ439" s="18"/>
    </row>
    <row r="440">
      <c r="A440" s="45" t="str">
        <f>'Dados StatusInvest'!A435:A1054</f>
        <v>OSXB3</v>
      </c>
      <c r="B440" s="46" t="str">
        <f>IFERROR(__xludf.DUMMYFUNCTION("IFERROR((GOOGLEFINANCE(A440,""name"")),"""")"),"OSX BRASIL SA")</f>
        <v>OSX BRASIL SA</v>
      </c>
      <c r="C440" s="46" t="str">
        <f>IFERROR((VLOOKUP(LEFT($A440,4),Setor!$A:$E,3,0)),"")</f>
        <v>Petróleo, Gás e Biocombustíveis</v>
      </c>
      <c r="D440" s="46" t="str">
        <f>IFERROR((VLOOKUP(LEFT($A440,4),Setor!$A:$E,4,0)),"")</f>
        <v>Petróleo, Gás e Biocombustíveis</v>
      </c>
      <c r="E440" s="46" t="str">
        <f>IFERROR((VLOOKUP(LEFT($A440,4),Setor!$A:$E,5,0)),"")</f>
        <v>Equipamentos e Serviços</v>
      </c>
      <c r="F440" s="47">
        <f>IFERROR(__xludf.DUMMYFUNCTION("IFERROR((GOOGLEFINANCE(A440)),"""")"),1.84)</f>
        <v>1.84</v>
      </c>
      <c r="G440" s="48" t="str">
        <f>IFERROR(__xludf.DUMMYFUNCTION("IFERROR((sparkline(GOOGLEFINANCE($A440,""price"",TODAY()-30,TODAY(),""DAILY""),{""charttype"",""line"";""linewidth"",1;""color"",""#5f88cc""})),"""")"),"")</f>
        <v/>
      </c>
      <c r="H440" s="49">
        <f>IFERROR(__xludf.DUMMYFUNCTION("IFERROR((((GOOGLEFINANCE(A440))-(INDEX(GoogleFinance(A440,""PRICE"",$AQ$1),2,2)))/(INDEX(GoogleFinance(A440,""PRICE"",$AQ$1),2,2))),"""")"),0.06358381502890179)</f>
        <v>0.06358381503</v>
      </c>
      <c r="I440" s="47">
        <f>IFERROR(__xludf.DUMMYFUNCTION("IFERROR((GOOGLEFINANCE($A440,""high52"")),"""")"),3.5)</f>
        <v>3.5</v>
      </c>
      <c r="J440" s="48" t="str">
        <f>IFERROR(__xludf.DUMMYFUNCTION("IFERROR((sparkline(GOOGLEFINANCE($A440,""price"",TODAY()-365,TODAY(),""DAILY""),{""charttype"",""line"";""linewidth"",1;""color"",""#5f88cc""})),"""")"),"")</f>
        <v/>
      </c>
      <c r="K440" s="50">
        <f>IFERROR(__xludf.DUMMYFUNCTION("IFERROR((((GOOGLEFINANCE(A440))-(INDEX(GoogleFinance(A440,""PRICE"",$AP$1),2,2)))/(INDEX(GoogleFinance(A440,""PRICE"",$AP$1),2,2))),"""")"),-0.4390243902439024)</f>
        <v>-0.4390243902</v>
      </c>
      <c r="L440" s="51">
        <f t="shared" si="1"/>
        <v>-0.4742857143</v>
      </c>
      <c r="M440" s="52">
        <f>IFERROR((VLOOKUP($A440,'Dados StatusInvest'!$A:$AZ,COLUMN(M440)-$A$5,0)*VLOOKUP($A440,'Dados StatusInvest'!$A:$AZ,2,0)/$F440/100),0)</f>
        <v>-12.2137</v>
      </c>
      <c r="N440" s="53">
        <f>IFERROR((VLOOKUP($A440,'Dados StatusInvest'!$A:$AZ,COLUMN(N440)-$A$5,0)/VLOOKUP($A440,'Dados StatusInvest'!$A:$AZ,2,0)*$F440),"")</f>
        <v>-1798.63</v>
      </c>
      <c r="O440" s="53">
        <f>IFERROR((VLOOKUP($A440,'Dados StatusInvest'!$A:$AZ,COLUMN(O440)-$A$5,0)/VLOOKUP($A440,'Dados StatusInvest'!$A:$AZ,2,0)*$F440),0)</f>
        <v>-0.01</v>
      </c>
      <c r="P440" s="54">
        <f>IFERROR((VLOOKUP($A440,'Dados StatusInvest'!$A:$AZ,COLUMN(P440)-$A$5,0)/VLOOKUP($A440,'Dados StatusInvest'!$A:$AZ,2,0)*$F440),0)</f>
        <v>-7.67</v>
      </c>
      <c r="Q440" s="55">
        <f>IFERROR((VLOOKUP($A440,'Dados StatusInvest'!$A:$AZ,COLUMN(Q440)-$A$5,0)/100),0)</f>
        <v>-0.0767</v>
      </c>
      <c r="R440" s="56">
        <f>VLOOKUP($A440,'Dados StatusInvest'!$A:$AZ,COLUMN(R440)-$A$5,0)</f>
        <v>0</v>
      </c>
      <c r="S440" s="56">
        <f>IFERROR((VLOOKUP($A440,'Dados StatusInvest'!$A:$AZ,COLUMN(S440)-$A$5,0)),0)</f>
        <v>0.07</v>
      </c>
      <c r="T440" s="53">
        <f>IFERROR((VLOOKUP($A440,'Dados StatusInvest'!$A:$AZ,COLUMN(T440)-$A$5,0)/VLOOKUP($A440,'Dados StatusInvest'!$A:$AZ,2,0)*$F440),0)</f>
        <v>-0.01</v>
      </c>
      <c r="U440" s="53">
        <f>IFERROR((VLOOKUP($A440,'Dados StatusInvest'!$A:$AZ,COLUMN(U440)-$A$5,0)-VLOOKUP($A440,'Dados StatusInvest'!$A:$AZ,COLUMN(U440)-$A$5-1,0)+T440),0)</f>
        <v>0</v>
      </c>
      <c r="V440" s="56">
        <f>IFERROR((VLOOKUP($A440,'Dados StatusInvest'!$A:$AZ,COLUMN(V440)-$A$5,0)),0)</f>
        <v>0.04</v>
      </c>
      <c r="W440" s="56">
        <f>IFERROR((VLOOKUP($A440,'Dados StatusInvest'!$A:$AZ,COLUMN(W440)-$A$5,0)),0)</f>
        <v>-15.92</v>
      </c>
      <c r="X440" s="53">
        <f>IFERROR((VLOOKUP($A440,'Dados StatusInvest'!$A:$AZ,COLUMN(X440)-$A$5,0)/VLOOKUP($A440,'Dados StatusInvest'!$A:$AZ,2,0)*$F440),0)</f>
        <v>-95.45</v>
      </c>
      <c r="Y440" s="54">
        <f>IFERROR((VLOOKUP($A440,'Dados StatusInvest'!$A:$AZ,COLUMN(Y440)-$A$5,0)/VLOOKUP($A440,'Dados StatusInvest'!$A:$AZ,2,0)*$F440),0)</f>
        <v>91.28</v>
      </c>
      <c r="Z440" s="56">
        <f>IFERROR((VLOOKUP($A440,'Dados StatusInvest'!$A:$AZ,COLUMN(Z440)-$A$5,0)),0)</f>
        <v>-6</v>
      </c>
      <c r="AA440" s="57">
        <f>IFERROR((VLOOKUP($A440,'Dados StatusInvest'!$A:$AZ,COLUMN(AA440)-$A$5,0)),0)</f>
        <v>7.01</v>
      </c>
      <c r="AB440" s="57">
        <f>IFERROR((VLOOKUP($A440,'Dados StatusInvest'!$A:$AZ,COLUMN(AB440)-$A$5,0)),0)</f>
        <v>0.05</v>
      </c>
      <c r="AC440" s="58">
        <f>IFERROR((VLOOKUP($A440,'Dados StatusInvest'!$A:$AZ,COLUMN(AC440)-$A$5,0)),0)</f>
        <v>39.92</v>
      </c>
      <c r="AD440" s="57">
        <f>IFERROR((VLOOKUP($A440,'Dados StatusInvest'!$A:$AZ,COLUMN(AD440)-$A$5,0)),0)</f>
        <v>0</v>
      </c>
      <c r="AE440" s="56">
        <f>IFERROR((VLOOKUP($A440,'Dados StatusInvest'!$A:$AZ,COLUMN(AE440)-$A$5,0)),0)</f>
        <v>10446.11</v>
      </c>
      <c r="AF440" s="56">
        <f>IFERROR((VLOOKUP($A440,'Dados StatusInvest'!$A:$AZ,COLUMN(AF440)-$A$5,0)),0)</f>
        <v>-2835.21</v>
      </c>
      <c r="AG440" s="56">
        <f>IFERROR((VLOOKUP($A440,'Dados StatusInvest'!$A:$AZ,COLUMN(AG440)-$A$5,0)),0)</f>
        <v>-451.32</v>
      </c>
      <c r="AH440" s="56">
        <f>IFERROR((VLOOKUP($A440,'Dados StatusInvest'!$A:$AZ,COLUMN(AH440)-$A$5,0)),0)</f>
        <v>0</v>
      </c>
      <c r="AI440" s="57">
        <f>IFERROR((VLOOKUP($A440,'Dados StatusInvest'!$A:$AZ,COLUMN(AI440)-$A$5,0)),0)</f>
        <v>5792389.92</v>
      </c>
      <c r="AJ440" s="59" t="str">
        <f>IFERROR((VLOOKUP($A440,'Dados StatusInvest'!$A:$AZ,COLUMN(AJ440)-$A$5,0)),0)</f>
        <v/>
      </c>
      <c r="AK440" s="60" t="str">
        <f>IFERROR(__xludf.DUMMYFUNCTION("IFERROR(GOOGLEFINANCE($A440,""high""),"""")"),"")</f>
        <v/>
      </c>
      <c r="AL440" s="60" t="str">
        <f>IFERROR(__xludf.DUMMYFUNCTION("IFERROR(GOOGLEFINANCE($A440,""low""),"""")"),"")</f>
        <v/>
      </c>
      <c r="AM440" s="61">
        <f t="shared" si="2"/>
        <v>0</v>
      </c>
      <c r="AN440" s="62">
        <f>IFERROR(__xludf.DUMMYFUNCTION("IFERROR((GOOGLEFINANCE($A440,""volume"")),0)"),0.0)</f>
        <v>0</v>
      </c>
      <c r="AO440" s="60">
        <f>IFERROR(__xludf.DUMMYFUNCTION("IFERROR((GOOGLEFINANCE($A440,""closeyest"")),"""")"),1.84)</f>
        <v>1.84</v>
      </c>
      <c r="AP440" s="60">
        <f>IFERROR(__xludf.DUMMYFUNCTION("IFERROR((GOOGLEFINANCE($A440,""shares"")),"""")"),3148038.0)</f>
        <v>3148038</v>
      </c>
      <c r="AQ440" s="18"/>
    </row>
    <row r="441">
      <c r="A441" s="45" t="str">
        <f>'Dados StatusInvest'!A436:A1055</f>
        <v>PARD3</v>
      </c>
      <c r="B441" s="46" t="str">
        <f>IFERROR(__xludf.DUMMYFUNCTION("IFERROR((GOOGLEFINANCE(A441,""name"")),"""")"),"")</f>
        <v/>
      </c>
      <c r="C441" s="46" t="str">
        <f>IFERROR((VLOOKUP(LEFT($A441,4),Setor!$A:$E,3,0)),"")</f>
        <v>Saúde</v>
      </c>
      <c r="D441" s="46" t="str">
        <f>IFERROR((VLOOKUP(LEFT($A441,4),Setor!$A:$E,4,0)),"")</f>
        <v>Análises e Diagnósticos</v>
      </c>
      <c r="E441" s="46" t="str">
        <f>IFERROR((VLOOKUP(LEFT($A441,4),Setor!$A:$E,5,0)),"")</f>
        <v>Análises e Diagnósticos</v>
      </c>
      <c r="F441" s="47" t="str">
        <f>IFERROR(__xludf.DUMMYFUNCTION("IFERROR((GOOGLEFINANCE(A441)),"""")"),"")</f>
        <v/>
      </c>
      <c r="G441" s="48" t="str">
        <f>IFERROR(__xludf.DUMMYFUNCTION("IFERROR((sparkline(GOOGLEFINANCE($A441,""price"",TODAY()-30,TODAY(),""DAILY""),{""charttype"",""line"";""linewidth"",1;""color"",""#5f88cc""})),"""")"),"")</f>
        <v/>
      </c>
      <c r="H441" s="49" t="str">
        <f>IFERROR(__xludf.DUMMYFUNCTION("IFERROR((((GOOGLEFINANCE(A441))-(INDEX(GoogleFinance(A441,""PRICE"",$AQ$1),2,2)))/(INDEX(GoogleFinance(A441,""PRICE"",$AQ$1),2,2))),"""")"),"")</f>
        <v/>
      </c>
      <c r="I441" s="47" t="str">
        <f>IFERROR(__xludf.DUMMYFUNCTION("IFERROR((GOOGLEFINANCE($A441,""high52"")),"""")"),"")</f>
        <v/>
      </c>
      <c r="J441" s="48" t="str">
        <f>IFERROR(__xludf.DUMMYFUNCTION("IFERROR((sparkline(GOOGLEFINANCE($A441,""price"",TODAY()-365,TODAY(),""DAILY""),{""charttype"",""line"";""linewidth"",1;""color"",""#5f88cc""})),"""")"),"")</f>
        <v/>
      </c>
      <c r="K441" s="50" t="str">
        <f>IFERROR(__xludf.DUMMYFUNCTION("IFERROR((((GOOGLEFINANCE(A441))-(INDEX(GoogleFinance(A441,""PRICE"",$AP$1),2,2)))/(INDEX(GoogleFinance(A441,""PRICE"",$AP$1),2,2))),"""")"),"")</f>
        <v/>
      </c>
      <c r="L441" s="51">
        <f t="shared" si="1"/>
        <v>0</v>
      </c>
      <c r="M441" s="52">
        <f>IFERROR((VLOOKUP($A441,'Dados StatusInvest'!$A:$AZ,COLUMN(M441)-$A$5,0)*VLOOKUP($A441,'Dados StatusInvest'!$A:$AZ,2,0)/$F441/100),0)</f>
        <v>0</v>
      </c>
      <c r="N441" s="53">
        <f>IFERROR((VLOOKUP($A441,'Dados StatusInvest'!$A:$AZ,COLUMN(N441)-$A$5,0)/VLOOKUP($A441,'Dados StatusInvest'!$A:$AZ,2,0)*$F441),"")</f>
        <v>0</v>
      </c>
      <c r="O441" s="53">
        <f>IFERROR((VLOOKUP($A441,'Dados StatusInvest'!$A:$AZ,COLUMN(O441)-$A$5,0)/VLOOKUP($A441,'Dados StatusInvest'!$A:$AZ,2,0)*$F441),0)</f>
        <v>0</v>
      </c>
      <c r="P441" s="54">
        <f>IFERROR((VLOOKUP($A441,'Dados StatusInvest'!$A:$AZ,COLUMN(P441)-$A$5,0)/VLOOKUP($A441,'Dados StatusInvest'!$A:$AZ,2,0)*$F441),0)</f>
        <v>0</v>
      </c>
      <c r="Q441" s="55">
        <f>IFERROR((VLOOKUP($A441,'Dados StatusInvest'!$A:$AZ,COLUMN(Q441)-$A$5,0)/100),0)</f>
        <v>0.0066</v>
      </c>
      <c r="R441" s="56">
        <f>VLOOKUP($A441,'Dados StatusInvest'!$A:$AZ,COLUMN(R441)-$A$5,0)</f>
        <v>0.18</v>
      </c>
      <c r="S441" s="56">
        <f>IFERROR((VLOOKUP($A441,'Dados StatusInvest'!$A:$AZ,COLUMN(S441)-$A$5,0)),0)</f>
        <v>2.57</v>
      </c>
      <c r="T441" s="53">
        <f>IFERROR((VLOOKUP($A441,'Dados StatusInvest'!$A:$AZ,COLUMN(T441)-$A$5,0)/VLOOKUP($A441,'Dados StatusInvest'!$A:$AZ,2,0)*$F441),0)</f>
        <v>0</v>
      </c>
      <c r="U441" s="53">
        <f>IFERROR((VLOOKUP($A441,'Dados StatusInvest'!$A:$AZ,COLUMN(U441)-$A$5,0)-VLOOKUP($A441,'Dados StatusInvest'!$A:$AZ,COLUMN(U441)-$A$5-1,0)+T441),0)</f>
        <v>50.78</v>
      </c>
      <c r="V441" s="56">
        <f>IFERROR((VLOOKUP($A441,'Dados StatusInvest'!$A:$AZ,COLUMN(V441)-$A$5,0)),0)</f>
        <v>0.9</v>
      </c>
      <c r="W441" s="56">
        <f>IFERROR((VLOOKUP($A441,'Dados StatusInvest'!$A:$AZ,COLUMN(W441)-$A$5,0)),0)</f>
        <v>14.42</v>
      </c>
      <c r="X441" s="53">
        <f>IFERROR((VLOOKUP($A441,'Dados StatusInvest'!$A:$AZ,COLUMN(X441)-$A$5,0)/VLOOKUP($A441,'Dados StatusInvest'!$A:$AZ,2,0)*$F441),0)</f>
        <v>0</v>
      </c>
      <c r="Y441" s="54">
        <f>IFERROR((VLOOKUP($A441,'Dados StatusInvest'!$A:$AZ,COLUMN(Y441)-$A$5,0)/VLOOKUP($A441,'Dados StatusInvest'!$A:$AZ,2,0)*$F441),0)</f>
        <v>0</v>
      </c>
      <c r="Z441" s="56">
        <f>IFERROR((VLOOKUP($A441,'Dados StatusInvest'!$A:$AZ,COLUMN(Z441)-$A$5,0)),0)</f>
        <v>0.4</v>
      </c>
      <c r="AA441" s="57">
        <f>IFERROR((VLOOKUP($A441,'Dados StatusInvest'!$A:$AZ,COLUMN(AA441)-$A$5,0)),0)</f>
        <v>0.6</v>
      </c>
      <c r="AB441" s="57">
        <f>IFERROR((VLOOKUP($A441,'Dados StatusInvest'!$A:$AZ,COLUMN(AB441)-$A$5,0)),0)</f>
        <v>0.82</v>
      </c>
      <c r="AC441" s="58">
        <f>IFERROR((VLOOKUP($A441,'Dados StatusInvest'!$A:$AZ,COLUMN(AC441)-$A$5,0)),0)</f>
        <v>13.44</v>
      </c>
      <c r="AD441" s="57">
        <f>IFERROR((VLOOKUP($A441,'Dados StatusInvest'!$A:$AZ,COLUMN(AD441)-$A$5,0)),0)</f>
        <v>2.56</v>
      </c>
      <c r="AE441" s="56">
        <f>IFERROR((VLOOKUP($A441,'Dados StatusInvest'!$A:$AZ,COLUMN(AE441)-$A$5,0)),0)</f>
        <v>0</v>
      </c>
      <c r="AF441" s="56">
        <f>IFERROR((VLOOKUP($A441,'Dados StatusInvest'!$A:$AZ,COLUMN(AF441)-$A$5,0)),0)</f>
        <v>3.82</v>
      </c>
      <c r="AG441" s="56">
        <f>IFERROR((VLOOKUP($A441,'Dados StatusInvest'!$A:$AZ,COLUMN(AG441)-$A$5,0)),0)</f>
        <v>0.55</v>
      </c>
      <c r="AH441" s="56">
        <f>IFERROR((VLOOKUP($A441,'Dados StatusInvest'!$A:$AZ,COLUMN(AH441)-$A$5,0)),0)</f>
        <v>-1.04</v>
      </c>
      <c r="AI441" s="57">
        <f>IFERROR((VLOOKUP($A441,'Dados StatusInvest'!$A:$AZ,COLUMN(AI441)-$A$5,0)),0)</f>
        <v>5403493010</v>
      </c>
      <c r="AJ441" s="59" t="str">
        <f>IFERROR((VLOOKUP($A441,'Dados StatusInvest'!$A:$AZ,COLUMN(AJ441)-$A$5,0)),0)</f>
        <v/>
      </c>
      <c r="AK441" s="60" t="str">
        <f>IFERROR(__xludf.DUMMYFUNCTION("IFERROR(GOOGLEFINANCE($A441,""high""),"""")"),"")</f>
        <v/>
      </c>
      <c r="AL441" s="60" t="str">
        <f>IFERROR(__xludf.DUMMYFUNCTION("IFERROR(GOOGLEFINANCE($A441,""low""),"""")"),"")</f>
        <v/>
      </c>
      <c r="AM441" s="61">
        <f t="shared" si="2"/>
        <v>0</v>
      </c>
      <c r="AN441" s="62">
        <f>IFERROR(__xludf.DUMMYFUNCTION("IFERROR((GOOGLEFINANCE($A441,""volume"")),0)"),0.0)</f>
        <v>0</v>
      </c>
      <c r="AO441" s="60" t="str">
        <f>IFERROR(__xludf.DUMMYFUNCTION("IFERROR((GOOGLEFINANCE($A441,""closeyest"")),"""")"),"")</f>
        <v/>
      </c>
      <c r="AP441" s="60" t="str">
        <f>IFERROR(__xludf.DUMMYFUNCTION("IFERROR((GOOGLEFINANCE($A441,""shares"")),"""")"),"")</f>
        <v/>
      </c>
      <c r="AQ441" s="18"/>
    </row>
    <row r="442">
      <c r="A442" s="45" t="str">
        <f>'Dados StatusInvest'!A437:A1056</f>
        <v>PATI3</v>
      </c>
      <c r="B442" s="46" t="str">
        <f>IFERROR(__xludf.DUMMYFUNCTION("IFERROR((GOOGLEFINANCE(A442,""name"")),"""")"),"Panatlantica SA")</f>
        <v>Panatlantica SA</v>
      </c>
      <c r="C442" s="46" t="str">
        <f>IFERROR((VLOOKUP(LEFT($A442,4),Setor!$A:$E,3,0)),"")</f>
        <v>Materiais Básicos</v>
      </c>
      <c r="D442" s="46" t="str">
        <f>IFERROR((VLOOKUP(LEFT($A442,4),Setor!$A:$E,4,0)),"")</f>
        <v>Siderurgia e Metalurgia</v>
      </c>
      <c r="E442" s="46" t="str">
        <f>IFERROR((VLOOKUP(LEFT($A442,4),Setor!$A:$E,5,0)),"")</f>
        <v>Artefatos de Ferro e Aço</v>
      </c>
      <c r="F442" s="47">
        <f>IFERROR(__xludf.DUMMYFUNCTION("IFERROR((GOOGLEFINANCE(A442)),"""")"),35.67)</f>
        <v>35.67</v>
      </c>
      <c r="G442" s="48" t="str">
        <f>IFERROR(__xludf.DUMMYFUNCTION("IFERROR((sparkline(GOOGLEFINANCE($A442,""price"",TODAY()-30,TODAY(),""DAILY""),{""charttype"",""line"";""linewidth"",1;""color"",""#5f88cc""})),"""")"),"")</f>
        <v/>
      </c>
      <c r="H442" s="49">
        <f>IFERROR(__xludf.DUMMYFUNCTION("IFERROR((((GOOGLEFINANCE(A442))-(INDEX(GoogleFinance(A442,""PRICE"",$AQ$1),2,2)))/(INDEX(GoogleFinance(A442,""PRICE"",$AQ$1),2,2))),"""")"),0.16454456415279148)</f>
        <v>0.1645445642</v>
      </c>
      <c r="I442" s="47">
        <f>IFERROR(__xludf.DUMMYFUNCTION("IFERROR((GOOGLEFINANCE($A442,""high52"")),"""")"),44.82)</f>
        <v>44.82</v>
      </c>
      <c r="J442" s="48" t="str">
        <f>IFERROR(__xludf.DUMMYFUNCTION("IFERROR((sparkline(GOOGLEFINANCE($A442,""price"",TODAY()-365,TODAY(),""DAILY""),{""charttype"",""line"";""linewidth"",1;""color"",""#5f88cc""})),"""")"),"")</f>
        <v/>
      </c>
      <c r="K442" s="50">
        <f>IFERROR(__xludf.DUMMYFUNCTION("IFERROR((((GOOGLEFINANCE(A442))-(INDEX(GoogleFinance(A442,""PRICE"",$AP$1),2,2)))/(INDEX(GoogleFinance(A442,""PRICE"",$AP$1),2,2))),"""")"),0.3820224719101125)</f>
        <v>0.3820224719</v>
      </c>
      <c r="L442" s="51">
        <f t="shared" si="1"/>
        <v>-0.2041499331</v>
      </c>
      <c r="M442" s="52">
        <f>IFERROR((VLOOKUP($A442,'Dados StatusInvest'!$A:$AZ,COLUMN(M442)-$A$5,0)*VLOOKUP($A442,'Dados StatusInvest'!$A:$AZ,2,0)/$F442/100),0)</f>
        <v>0.0429</v>
      </c>
      <c r="N442" s="53">
        <f>IFERROR((VLOOKUP($A442,'Dados StatusInvest'!$A:$AZ,COLUMN(N442)-$A$5,0)/VLOOKUP($A442,'Dados StatusInvest'!$A:$AZ,2,0)*$F442),"")</f>
        <v>2.16</v>
      </c>
      <c r="O442" s="53">
        <f>IFERROR((VLOOKUP($A442,'Dados StatusInvest'!$A:$AZ,COLUMN(O442)-$A$5,0)/VLOOKUP($A442,'Dados StatusInvest'!$A:$AZ,2,0)*$F442),0)</f>
        <v>9.68</v>
      </c>
      <c r="P442" s="54">
        <f>IFERROR((VLOOKUP($A442,'Dados StatusInvest'!$A:$AZ,COLUMN(P442)-$A$5,0)/VLOOKUP($A442,'Dados StatusInvest'!$A:$AZ,2,0)*$F442),0)</f>
        <v>9.37</v>
      </c>
      <c r="Q442" s="55">
        <f>IFERROR((VLOOKUP($A442,'Dados StatusInvest'!$A:$AZ,COLUMN(Q442)-$A$5,0)/100),0)</f>
        <v>-0.0029</v>
      </c>
      <c r="R442" s="56">
        <f>VLOOKUP($A442,'Dados StatusInvest'!$A:$AZ,COLUMN(R442)-$A$5,0)</f>
        <v>-0.03</v>
      </c>
      <c r="S442" s="56">
        <f>IFERROR((VLOOKUP($A442,'Dados StatusInvest'!$A:$AZ,COLUMN(S442)-$A$5,0)),0)</f>
        <v>0.42</v>
      </c>
      <c r="T442" s="53">
        <f>IFERROR((VLOOKUP($A442,'Dados StatusInvest'!$A:$AZ,COLUMN(T442)-$A$5,0)/VLOOKUP($A442,'Dados StatusInvest'!$A:$AZ,2,0)*$F442),0)</f>
        <v>1.46</v>
      </c>
      <c r="U442" s="53">
        <f>IFERROR((VLOOKUP($A442,'Dados StatusInvest'!$A:$AZ,COLUMN(U442)-$A$5,0)-VLOOKUP($A442,'Dados StatusInvest'!$A:$AZ,COLUMN(U442)-$A$5-1,0)+T442),0)</f>
        <v>-2.02</v>
      </c>
      <c r="V442" s="56">
        <f>IFERROR((VLOOKUP($A442,'Dados StatusInvest'!$A:$AZ,COLUMN(V442)-$A$5,0)),0)</f>
        <v>2.14</v>
      </c>
      <c r="W442" s="56">
        <f>IFERROR((VLOOKUP($A442,'Dados StatusInvest'!$A:$AZ,COLUMN(W442)-$A$5,0)),0)</f>
        <v>5.69</v>
      </c>
      <c r="X442" s="53">
        <f>IFERROR((VLOOKUP($A442,'Dados StatusInvest'!$A:$AZ,COLUMN(X442)-$A$5,0)/VLOOKUP($A442,'Dados StatusInvest'!$A:$AZ,2,0)*$F442),0)</f>
        <v>2.92</v>
      </c>
      <c r="Y442" s="54">
        <f>IFERROR((VLOOKUP($A442,'Dados StatusInvest'!$A:$AZ,COLUMN(Y442)-$A$5,0)/VLOOKUP($A442,'Dados StatusInvest'!$A:$AZ,2,0)*$F442),0)</f>
        <v>5.09</v>
      </c>
      <c r="Z442" s="56">
        <f>IFERROR((VLOOKUP($A442,'Dados StatusInvest'!$A:$AZ,COLUMN(Z442)-$A$5,0)),0)</f>
        <v>0.51</v>
      </c>
      <c r="AA442" s="57">
        <f>IFERROR((VLOOKUP($A442,'Dados StatusInvest'!$A:$AZ,COLUMN(AA442)-$A$5,0)),0)</f>
        <v>0.49</v>
      </c>
      <c r="AB442" s="57">
        <f>IFERROR((VLOOKUP($A442,'Dados StatusInvest'!$A:$AZ,COLUMN(AB442)-$A$5,0)),0)</f>
        <v>1.35</v>
      </c>
      <c r="AC442" s="58">
        <f>IFERROR((VLOOKUP($A442,'Dados StatusInvest'!$A:$AZ,COLUMN(AC442)-$A$5,0)),0)</f>
        <v>14.96</v>
      </c>
      <c r="AD442" s="57">
        <f>IFERROR((VLOOKUP($A442,'Dados StatusInvest'!$A:$AZ,COLUMN(AD442)-$A$5,0)),0)</f>
        <v>20</v>
      </c>
      <c r="AE442" s="56">
        <f>IFERROR((VLOOKUP($A442,'Dados StatusInvest'!$A:$AZ,COLUMN(AE442)-$A$5,0)),0)</f>
        <v>5901.08</v>
      </c>
      <c r="AF442" s="56">
        <f>IFERROR((VLOOKUP($A442,'Dados StatusInvest'!$A:$AZ,COLUMN(AF442)-$A$5,0)),0)</f>
        <v>32.55</v>
      </c>
      <c r="AG442" s="56">
        <f>IFERROR((VLOOKUP($A442,'Dados StatusInvest'!$A:$AZ,COLUMN(AG442)-$A$5,0)),0)</f>
        <v>1.85</v>
      </c>
      <c r="AH442" s="56">
        <f>IFERROR((VLOOKUP($A442,'Dados StatusInvest'!$A:$AZ,COLUMN(AH442)-$A$5,0)),0)</f>
        <v>-0.44</v>
      </c>
      <c r="AI442" s="57">
        <f>IFERROR((VLOOKUP($A442,'Dados StatusInvest'!$A:$AZ,COLUMN(AI442)-$A$5,0)),0)</f>
        <v>851955374.6</v>
      </c>
      <c r="AJ442" s="59" t="str">
        <f>IFERROR((VLOOKUP($A442,'Dados StatusInvest'!$A:$AZ,COLUMN(AJ442)-$A$5,0)),0)</f>
        <v/>
      </c>
      <c r="AK442" s="60" t="str">
        <f>IFERROR(__xludf.DUMMYFUNCTION("IFERROR(GOOGLEFINANCE($A442,""high""),"""")"),"")</f>
        <v/>
      </c>
      <c r="AL442" s="60" t="str">
        <f>IFERROR(__xludf.DUMMYFUNCTION("IFERROR(GOOGLEFINANCE($A442,""low""),"""")"),"")</f>
        <v/>
      </c>
      <c r="AM442" s="61">
        <f t="shared" si="2"/>
        <v>0</v>
      </c>
      <c r="AN442" s="62">
        <f>IFERROR(__xludf.DUMMYFUNCTION("IFERROR((GOOGLEFINANCE($A442,""volume"")),0)"),0.0)</f>
        <v>0</v>
      </c>
      <c r="AO442" s="60">
        <f>IFERROR(__xludf.DUMMYFUNCTION("IFERROR((GOOGLEFINANCE($A442,""closeyest"")),"""")"),35.67)</f>
        <v>35.67</v>
      </c>
      <c r="AP442" s="60">
        <f>IFERROR(__xludf.DUMMYFUNCTION("IFERROR((GOOGLEFINANCE($A442,""shares"")),"""")"),2.2907083E7)</f>
        <v>22907083</v>
      </c>
      <c r="AQ442" s="18"/>
    </row>
    <row r="443">
      <c r="A443" s="45" t="str">
        <f>'Dados StatusInvest'!A438:A1057</f>
        <v>PATI4</v>
      </c>
      <c r="B443" s="46" t="str">
        <f>IFERROR(__xludf.DUMMYFUNCTION("IFERROR((GOOGLEFINANCE(A443,""name"")),"""")"),"Panatlantica SA Preference Shares")</f>
        <v>Panatlantica SA Preference Shares</v>
      </c>
      <c r="C443" s="46" t="str">
        <f>IFERROR((VLOOKUP(LEFT($A443,4),Setor!$A:$E,3,0)),"")</f>
        <v>Materiais Básicos</v>
      </c>
      <c r="D443" s="46" t="str">
        <f>IFERROR((VLOOKUP(LEFT($A443,4),Setor!$A:$E,4,0)),"")</f>
        <v>Siderurgia e Metalurgia</v>
      </c>
      <c r="E443" s="46" t="str">
        <f>IFERROR((VLOOKUP(LEFT($A443,4),Setor!$A:$E,5,0)),"")</f>
        <v>Artefatos de Ferro e Aço</v>
      </c>
      <c r="F443" s="47">
        <f>IFERROR(__xludf.DUMMYFUNCTION("IFERROR((GOOGLEFINANCE(A443)),"""")"),34.0)</f>
        <v>34</v>
      </c>
      <c r="G443" s="48" t="str">
        <f>IFERROR(__xludf.DUMMYFUNCTION("IFERROR((sparkline(GOOGLEFINANCE($A443,""price"",TODAY()-30,TODAY(),""DAILY""),{""charttype"",""line"";""linewidth"",1;""color"",""#5f88cc""})),"""")"),"")</f>
        <v/>
      </c>
      <c r="H443" s="49" t="str">
        <f>IFERROR(__xludf.DUMMYFUNCTION("IFERROR((((GOOGLEFINANCE(A443))-(INDEX(GoogleFinance(A443,""PRICE"",$AQ$1),2,2)))/(INDEX(GoogleFinance(A443,""PRICE"",$AQ$1),2,2))),"""")"),"")</f>
        <v/>
      </c>
      <c r="I443" s="47">
        <f>IFERROR(__xludf.DUMMYFUNCTION("IFERROR((GOOGLEFINANCE($A443,""high52"")),"""")"),39.19)</f>
        <v>39.19</v>
      </c>
      <c r="J443" s="48" t="str">
        <f>IFERROR(__xludf.DUMMYFUNCTION("IFERROR((sparkline(GOOGLEFINANCE($A443,""price"",TODAY()-365,TODAY(),""DAILY""),{""charttype"",""line"";""linewidth"",1;""color"",""#5f88cc""})),"""")"),"")</f>
        <v/>
      </c>
      <c r="K443" s="50">
        <f>IFERROR(__xludf.DUMMYFUNCTION("IFERROR((((GOOGLEFINANCE(A443))-(INDEX(GoogleFinance(A443,""PRICE"",$AP$1),2,2)))/(INDEX(GoogleFinance(A443,""PRICE"",$AP$1),2,2))),"""")"),0.09606705351386204)</f>
        <v>0.09606705351</v>
      </c>
      <c r="L443" s="51">
        <f t="shared" si="1"/>
        <v>-0.1324317428</v>
      </c>
      <c r="M443" s="52">
        <f>IFERROR((VLOOKUP($A443,'Dados StatusInvest'!$A:$AZ,COLUMN(M443)-$A$5,0)*VLOOKUP($A443,'Dados StatusInvest'!$A:$AZ,2,0)/$F443/100),0)</f>
        <v>0.0429</v>
      </c>
      <c r="N443" s="53">
        <f>IFERROR((VLOOKUP($A443,'Dados StatusInvest'!$A:$AZ,COLUMN(N443)-$A$5,0)/VLOOKUP($A443,'Dados StatusInvest'!$A:$AZ,2,0)*$F443),"")</f>
        <v>2.16</v>
      </c>
      <c r="O443" s="53">
        <f>IFERROR((VLOOKUP($A443,'Dados StatusInvest'!$A:$AZ,COLUMN(O443)-$A$5,0)/VLOOKUP($A443,'Dados StatusInvest'!$A:$AZ,2,0)*$F443),0)</f>
        <v>9.23</v>
      </c>
      <c r="P443" s="54">
        <f>IFERROR((VLOOKUP($A443,'Dados StatusInvest'!$A:$AZ,COLUMN(P443)-$A$5,0)/VLOOKUP($A443,'Dados StatusInvest'!$A:$AZ,2,0)*$F443),0)</f>
        <v>9.37</v>
      </c>
      <c r="Q443" s="55">
        <f>IFERROR((VLOOKUP($A443,'Dados StatusInvest'!$A:$AZ,COLUMN(Q443)-$A$5,0)/100),0)</f>
        <v>-0.0029</v>
      </c>
      <c r="R443" s="56">
        <f>VLOOKUP($A443,'Dados StatusInvest'!$A:$AZ,COLUMN(R443)-$A$5,0)</f>
        <v>-0.03</v>
      </c>
      <c r="S443" s="56">
        <f>IFERROR((VLOOKUP($A443,'Dados StatusInvest'!$A:$AZ,COLUMN(S443)-$A$5,0)),0)</f>
        <v>0.4</v>
      </c>
      <c r="T443" s="53">
        <f>IFERROR((VLOOKUP($A443,'Dados StatusInvest'!$A:$AZ,COLUMN(T443)-$A$5,0)/VLOOKUP($A443,'Dados StatusInvest'!$A:$AZ,2,0)*$F443),0)</f>
        <v>1.4</v>
      </c>
      <c r="U443" s="53">
        <f>IFERROR((VLOOKUP($A443,'Dados StatusInvest'!$A:$AZ,COLUMN(U443)-$A$5,0)-VLOOKUP($A443,'Dados StatusInvest'!$A:$AZ,COLUMN(U443)-$A$5-1,0)+T443),0)</f>
        <v>-1.93</v>
      </c>
      <c r="V443" s="56">
        <f>IFERROR((VLOOKUP($A443,'Dados StatusInvest'!$A:$AZ,COLUMN(V443)-$A$5,0)),0)</f>
        <v>2.14</v>
      </c>
      <c r="W443" s="56">
        <f>IFERROR((VLOOKUP($A443,'Dados StatusInvest'!$A:$AZ,COLUMN(W443)-$A$5,0)),0)</f>
        <v>5.69</v>
      </c>
      <c r="X443" s="53">
        <f>IFERROR((VLOOKUP($A443,'Dados StatusInvest'!$A:$AZ,COLUMN(X443)-$A$5,0)/VLOOKUP($A443,'Dados StatusInvest'!$A:$AZ,2,0)*$F443),0)</f>
        <v>2.92</v>
      </c>
      <c r="Y443" s="54">
        <f>IFERROR((VLOOKUP($A443,'Dados StatusInvest'!$A:$AZ,COLUMN(Y443)-$A$5,0)/VLOOKUP($A443,'Dados StatusInvest'!$A:$AZ,2,0)*$F443),0)</f>
        <v>5.09</v>
      </c>
      <c r="Z443" s="56">
        <f>IFERROR((VLOOKUP($A443,'Dados StatusInvest'!$A:$AZ,COLUMN(Z443)-$A$5,0)),0)</f>
        <v>0.51</v>
      </c>
      <c r="AA443" s="57">
        <f>IFERROR((VLOOKUP($A443,'Dados StatusInvest'!$A:$AZ,COLUMN(AA443)-$A$5,0)),0)</f>
        <v>0.49</v>
      </c>
      <c r="AB443" s="57">
        <f>IFERROR((VLOOKUP($A443,'Dados StatusInvest'!$A:$AZ,COLUMN(AB443)-$A$5,0)),0)</f>
        <v>1.35</v>
      </c>
      <c r="AC443" s="58">
        <f>IFERROR((VLOOKUP($A443,'Dados StatusInvest'!$A:$AZ,COLUMN(AC443)-$A$5,0)),0)</f>
        <v>14.96</v>
      </c>
      <c r="AD443" s="57">
        <f>IFERROR((VLOOKUP($A443,'Dados StatusInvest'!$A:$AZ,COLUMN(AD443)-$A$5,0)),0)</f>
        <v>20</v>
      </c>
      <c r="AE443" s="56">
        <f>IFERROR((VLOOKUP($A443,'Dados StatusInvest'!$A:$AZ,COLUMN(AE443)-$A$5,0)),0)</f>
        <v>850</v>
      </c>
      <c r="AF443" s="56">
        <f>IFERROR((VLOOKUP($A443,'Dados StatusInvest'!$A:$AZ,COLUMN(AF443)-$A$5,0)),0)</f>
        <v>32.55</v>
      </c>
      <c r="AG443" s="56">
        <f>IFERROR((VLOOKUP($A443,'Dados StatusInvest'!$A:$AZ,COLUMN(AG443)-$A$5,0)),0)</f>
        <v>1.85</v>
      </c>
      <c r="AH443" s="56">
        <f>IFERROR((VLOOKUP($A443,'Dados StatusInvest'!$A:$AZ,COLUMN(AH443)-$A$5,0)),0)</f>
        <v>-0.42</v>
      </c>
      <c r="AI443" s="57">
        <f>IFERROR((VLOOKUP($A443,'Dados StatusInvest'!$A:$AZ,COLUMN(AI443)-$A$5,0)),0)</f>
        <v>851955374.6</v>
      </c>
      <c r="AJ443" s="59" t="str">
        <f>IFERROR((VLOOKUP($A443,'Dados StatusInvest'!$A:$AZ,COLUMN(AJ443)-$A$5,0)),0)</f>
        <v/>
      </c>
      <c r="AK443" s="60" t="str">
        <f>IFERROR(__xludf.DUMMYFUNCTION("IFERROR(GOOGLEFINANCE($A443,""high""),"""")"),"")</f>
        <v/>
      </c>
      <c r="AL443" s="60" t="str">
        <f>IFERROR(__xludf.DUMMYFUNCTION("IFERROR(GOOGLEFINANCE($A443,""low""),"""")"),"")</f>
        <v/>
      </c>
      <c r="AM443" s="61">
        <f t="shared" si="2"/>
        <v>0</v>
      </c>
      <c r="AN443" s="62">
        <f>IFERROR(__xludf.DUMMYFUNCTION("IFERROR((GOOGLEFINANCE($A443,""volume"")),0)"),0.0)</f>
        <v>0</v>
      </c>
      <c r="AO443" s="60">
        <f>IFERROR(__xludf.DUMMYFUNCTION("IFERROR((GOOGLEFINANCE($A443,""closeyest"")),"""")"),34.0)</f>
        <v>34</v>
      </c>
      <c r="AP443" s="60">
        <f>IFERROR(__xludf.DUMMYFUNCTION("IFERROR((GOOGLEFINANCE($A443,""shares"")),"""")"),1025286.0)</f>
        <v>1025286</v>
      </c>
      <c r="AQ443" s="18"/>
    </row>
    <row r="444">
      <c r="A444" s="45" t="str">
        <f>'Dados StatusInvest'!A439:A1058</f>
        <v>PCAR3</v>
      </c>
      <c r="B444" s="46" t="str">
        <f>IFERROR(__xludf.DUMMYFUNCTION("IFERROR((GOOGLEFINANCE(A444,""name"")),"""")"),"Companhia Brasileira de Distribuicao SA")</f>
        <v>Companhia Brasileira de Distribuicao SA</v>
      </c>
      <c r="C444" s="46" t="str">
        <f>IFERROR((VLOOKUP(LEFT($A444,4),Setor!$A:$E,3,0)),"")</f>
        <v>Consumo não Cíclico</v>
      </c>
      <c r="D444" s="46" t="str">
        <f>IFERROR((VLOOKUP(LEFT($A444,4),Setor!$A:$E,4,0)),"")</f>
        <v>Comércio e Distribuição</v>
      </c>
      <c r="E444" s="46" t="str">
        <f>IFERROR((VLOOKUP(LEFT($A444,4),Setor!$A:$E,5,0)),"")</f>
        <v>Alimentos</v>
      </c>
      <c r="F444" s="47">
        <f>IFERROR(__xludf.DUMMYFUNCTION("IFERROR((GOOGLEFINANCE(A444)),"""")"),3.03)</f>
        <v>3.03</v>
      </c>
      <c r="G444" s="48" t="str">
        <f>IFERROR(__xludf.DUMMYFUNCTION("IFERROR((sparkline(GOOGLEFINANCE($A444,""price"",TODAY()-30,TODAY(),""DAILY""),{""charttype"",""line"";""linewidth"",1;""color"",""#5f88cc""})),"""")"),"")</f>
        <v/>
      </c>
      <c r="H444" s="49">
        <f>IFERROR(__xludf.DUMMYFUNCTION("IFERROR((((GOOGLEFINANCE(A444))-(INDEX(GoogleFinance(A444,""PRICE"",$AQ$1),2,2)))/(INDEX(GoogleFinance(A444,""PRICE"",$AQ$1),2,2))),"""")"),-0.2068062827225131)</f>
        <v>-0.2068062827</v>
      </c>
      <c r="I444" s="47">
        <f>IFERROR(__xludf.DUMMYFUNCTION("IFERROR((GOOGLEFINANCE($A444,""high52"")),"""")"),4.95)</f>
        <v>4.95</v>
      </c>
      <c r="J444" s="48" t="str">
        <f>IFERROR(__xludf.DUMMYFUNCTION("IFERROR((sparkline(GOOGLEFINANCE($A444,""price"",TODAY()-365,TODAY(),""DAILY""),{""charttype"",""line"";""linewidth"",1;""color"",""#5f88cc""})),"""")"),"")</f>
        <v/>
      </c>
      <c r="K444" s="50">
        <f>IFERROR(__xludf.DUMMYFUNCTION("IFERROR((((GOOGLEFINANCE(A444))-(INDEX(GoogleFinance(A444,""PRICE"",$AP$1),2,2)))/(INDEX(GoogleFinance(A444,""PRICE"",$AP$1),2,2))),"""")"),0.10989010989010982)</f>
        <v>0.1098901099</v>
      </c>
      <c r="L444" s="51">
        <f t="shared" si="1"/>
        <v>-0.3878787879</v>
      </c>
      <c r="M444" s="52">
        <f>IFERROR((VLOOKUP($A444,'Dados StatusInvest'!$A:$AZ,COLUMN(M444)-$A$5,0)*VLOOKUP($A444,'Dados StatusInvest'!$A:$AZ,2,0)/$F444/100),0)</f>
        <v>-0.0102</v>
      </c>
      <c r="N444" s="53">
        <f>IFERROR((VLOOKUP($A444,'Dados StatusInvest'!$A:$AZ,COLUMN(N444)-$A$5,0)/VLOOKUP($A444,'Dados StatusInvest'!$A:$AZ,2,0)*$F444),"")</f>
        <v>-7.06</v>
      </c>
      <c r="O444" s="53">
        <f>IFERROR((VLOOKUP($A444,'Dados StatusInvest'!$A:$AZ,COLUMN(O444)-$A$5,0)/VLOOKUP($A444,'Dados StatusInvest'!$A:$AZ,2,0)*$F444),0)</f>
        <v>-7.55</v>
      </c>
      <c r="P444" s="54">
        <f>IFERROR((VLOOKUP($A444,'Dados StatusInvest'!$A:$AZ,COLUMN(P444)-$A$5,0)/VLOOKUP($A444,'Dados StatusInvest'!$A:$AZ,2,0)*$F444),0)</f>
        <v>-21.09</v>
      </c>
      <c r="Q444" s="55">
        <f>IFERROR((VLOOKUP($A444,'Dados StatusInvest'!$A:$AZ,COLUMN(Q444)-$A$5,0)/100),0)</f>
        <v>-0.1354</v>
      </c>
      <c r="R444" s="56">
        <f>VLOOKUP($A444,'Dados StatusInvest'!$A:$AZ,COLUMN(R444)-$A$5,0)</f>
        <v>0.99</v>
      </c>
      <c r="S444" s="56">
        <f>IFERROR((VLOOKUP($A444,'Dados StatusInvest'!$A:$AZ,COLUMN(S444)-$A$5,0)),0)</f>
        <v>0.08</v>
      </c>
      <c r="T444" s="53">
        <f>IFERROR((VLOOKUP($A444,'Dados StatusInvest'!$A:$AZ,COLUMN(T444)-$A$5,0)/VLOOKUP($A444,'Dados StatusInvest'!$A:$AZ,2,0)*$F444),0)</f>
        <v>-0.73</v>
      </c>
      <c r="U444" s="53">
        <f>IFERROR((VLOOKUP($A444,'Dados StatusInvest'!$A:$AZ,COLUMN(U444)-$A$5,0)-VLOOKUP($A444,'Dados StatusInvest'!$A:$AZ,COLUMN(U444)-$A$5-1,0)+T444),0)</f>
        <v>-0.11</v>
      </c>
      <c r="V444" s="56">
        <f>IFERROR((VLOOKUP($A444,'Dados StatusInvest'!$A:$AZ,COLUMN(V444)-$A$5,0)),0)</f>
        <v>0.7</v>
      </c>
      <c r="W444" s="56">
        <f>IFERROR((VLOOKUP($A444,'Dados StatusInvest'!$A:$AZ,COLUMN(W444)-$A$5,0)),0)</f>
        <v>-50.45</v>
      </c>
      <c r="X444" s="53">
        <f>IFERROR((VLOOKUP($A444,'Dados StatusInvest'!$A:$AZ,COLUMN(X444)-$A$5,0)/VLOOKUP($A444,'Dados StatusInvest'!$A:$AZ,2,0)*$F444),0)</f>
        <v>-7.47</v>
      </c>
      <c r="Y444" s="54">
        <f>IFERROR((VLOOKUP($A444,'Dados StatusInvest'!$A:$AZ,COLUMN(Y444)-$A$5,0)/VLOOKUP($A444,'Dados StatusInvest'!$A:$AZ,2,0)*$F444),0)</f>
        <v>-20.88</v>
      </c>
      <c r="Z444" s="56">
        <f>IFERROR((VLOOKUP($A444,'Dados StatusInvest'!$A:$AZ,COLUMN(Z444)-$A$5,0)),0)</f>
        <v>0.15</v>
      </c>
      <c r="AA444" s="57">
        <f>IFERROR((VLOOKUP($A444,'Dados StatusInvest'!$A:$AZ,COLUMN(AA444)-$A$5,0)),0)</f>
        <v>0.85</v>
      </c>
      <c r="AB444" s="57">
        <f>IFERROR((VLOOKUP($A444,'Dados StatusInvest'!$A:$AZ,COLUMN(AB444)-$A$5,0)),0)</f>
        <v>1.06</v>
      </c>
      <c r="AC444" s="58">
        <f>IFERROR((VLOOKUP($A444,'Dados StatusInvest'!$A:$AZ,COLUMN(AC444)-$A$5,0)),0)</f>
        <v>-19.8</v>
      </c>
      <c r="AD444" s="57">
        <f>IFERROR((VLOOKUP($A444,'Dados StatusInvest'!$A:$AZ,COLUMN(AD444)-$A$5,0)),0)</f>
        <v>0</v>
      </c>
      <c r="AE444" s="56">
        <f>IFERROR((VLOOKUP($A444,'Dados StatusInvest'!$A:$AZ,COLUMN(AE444)-$A$5,0)),0)</f>
        <v>36962425</v>
      </c>
      <c r="AF444" s="56">
        <f>IFERROR((VLOOKUP($A444,'Dados StatusInvest'!$A:$AZ,COLUMN(AF444)-$A$5,0)),0)</f>
        <v>5.48</v>
      </c>
      <c r="AG444" s="56">
        <f>IFERROR((VLOOKUP($A444,'Dados StatusInvest'!$A:$AZ,COLUMN(AG444)-$A$5,0)),0)</f>
        <v>-2.76</v>
      </c>
      <c r="AH444" s="56">
        <f>IFERROR((VLOOKUP($A444,'Dados StatusInvest'!$A:$AZ,COLUMN(AH444)-$A$5,0)),0)</f>
        <v>0.07</v>
      </c>
      <c r="AI444" s="57">
        <f>IFERROR((VLOOKUP($A444,'Dados StatusInvest'!$A:$AZ,COLUMN(AI444)-$A$5,0)),0)</f>
        <v>1487114795</v>
      </c>
      <c r="AJ444" s="59" t="str">
        <f>IFERROR((VLOOKUP($A444,'Dados StatusInvest'!$A:$AZ,COLUMN(AJ444)-$A$5,0)),0)</f>
        <v/>
      </c>
      <c r="AK444" s="60">
        <f>IFERROR(__xludf.DUMMYFUNCTION("IFERROR(GOOGLEFINANCE($A444,""high""),"""")"),3.05)</f>
        <v>3.05</v>
      </c>
      <c r="AL444" s="60">
        <f>IFERROR(__xludf.DUMMYFUNCTION("IFERROR(GOOGLEFINANCE($A444,""low""),"""")"),2.99)</f>
        <v>2.99</v>
      </c>
      <c r="AM444" s="61">
        <f t="shared" si="2"/>
        <v>0.02006688963</v>
      </c>
      <c r="AN444" s="62">
        <f>IFERROR(__xludf.DUMMYFUNCTION("IFERROR((GOOGLEFINANCE($A444,""volume"")),0)"),1382500.0)</f>
        <v>1382500</v>
      </c>
      <c r="AO444" s="60">
        <f>IFERROR(__xludf.DUMMYFUNCTION("IFERROR((GOOGLEFINANCE($A444,""closeyest"")),"""")"),3.03)</f>
        <v>3.03</v>
      </c>
      <c r="AP444" s="60">
        <f>IFERROR(__xludf.DUMMYFUNCTION("IFERROR((GOOGLEFINANCE($A444,""shares"")),"""")"),4.90796962E8)</f>
        <v>490796962</v>
      </c>
      <c r="AQ444" s="18"/>
    </row>
    <row r="445">
      <c r="A445" s="45" t="str">
        <f>'Dados StatusInvest'!A440:A1059</f>
        <v>PCAR4</v>
      </c>
      <c r="B445" s="46" t="str">
        <f>IFERROR(__xludf.DUMMYFUNCTION("IFERROR((GOOGLEFINANCE(A445,""name"")),"""")"),"")</f>
        <v/>
      </c>
      <c r="C445" s="46" t="str">
        <f>IFERROR((VLOOKUP(LEFT($A445,4),Setor!$A:$E,3,0)),"")</f>
        <v>Consumo não Cíclico</v>
      </c>
      <c r="D445" s="46" t="str">
        <f>IFERROR((VLOOKUP(LEFT($A445,4),Setor!$A:$E,4,0)),"")</f>
        <v>Comércio e Distribuição</v>
      </c>
      <c r="E445" s="46" t="str">
        <f>IFERROR((VLOOKUP(LEFT($A445,4),Setor!$A:$E,5,0)),"")</f>
        <v>Alimentos</v>
      </c>
      <c r="F445" s="47" t="str">
        <f>IFERROR(__xludf.DUMMYFUNCTION("IFERROR((GOOGLEFINANCE(A445)),"""")"),"")</f>
        <v/>
      </c>
      <c r="G445" s="48" t="str">
        <f>IFERROR(__xludf.DUMMYFUNCTION("IFERROR((sparkline(GOOGLEFINANCE($A445,""price"",TODAY()-30,TODAY(),""DAILY""),{""charttype"",""line"";""linewidth"",1;""color"",""#5f88cc""})),"""")"),"")</f>
        <v/>
      </c>
      <c r="H445" s="49" t="str">
        <f>IFERROR(__xludf.DUMMYFUNCTION("IFERROR((((GOOGLEFINANCE(A445))-(INDEX(GoogleFinance(A445,""PRICE"",$AQ$1),2,2)))/(INDEX(GoogleFinance(A445,""PRICE"",$AQ$1),2,2))),"""")"),"")</f>
        <v/>
      </c>
      <c r="I445" s="47" t="str">
        <f>IFERROR(__xludf.DUMMYFUNCTION("IFERROR((GOOGLEFINANCE($A445,""high52"")),"""")"),"")</f>
        <v/>
      </c>
      <c r="J445" s="48" t="str">
        <f>IFERROR(__xludf.DUMMYFUNCTION("IFERROR((sparkline(GOOGLEFINANCE($A445,""price"",TODAY()-365,TODAY(),""DAILY""),{""charttype"",""line"";""linewidth"",1;""color"",""#5f88cc""})),"""")"),"")</f>
        <v/>
      </c>
      <c r="K445" s="50" t="str">
        <f>IFERROR(__xludf.DUMMYFUNCTION("IFERROR((((GOOGLEFINANCE(A445))-(INDEX(GoogleFinance(A445,""PRICE"",$AP$1),2,2)))/(INDEX(GoogleFinance(A445,""PRICE"",$AP$1),2,2))),"""")"),"")</f>
        <v/>
      </c>
      <c r="L445" s="51">
        <f t="shared" si="1"/>
        <v>0</v>
      </c>
      <c r="M445" s="52">
        <f>IFERROR((VLOOKUP($A445,'Dados StatusInvest'!$A:$AZ,COLUMN(M445)-$A$5,0)*VLOOKUP($A445,'Dados StatusInvest'!$A:$AZ,2,0)/$F445/100),0)</f>
        <v>0</v>
      </c>
      <c r="N445" s="53">
        <f>IFERROR((VLOOKUP($A445,'Dados StatusInvest'!$A:$AZ,COLUMN(N445)-$A$5,0)/VLOOKUP($A445,'Dados StatusInvest'!$A:$AZ,2,0)*$F445),"")</f>
        <v>0</v>
      </c>
      <c r="O445" s="53">
        <f>IFERROR((VLOOKUP($A445,'Dados StatusInvest'!$A:$AZ,COLUMN(O445)-$A$5,0)/VLOOKUP($A445,'Dados StatusInvest'!$A:$AZ,2,0)*$F445),0)</f>
        <v>0</v>
      </c>
      <c r="P445" s="54">
        <f>IFERROR((VLOOKUP($A445,'Dados StatusInvest'!$A:$AZ,COLUMN(P445)-$A$5,0)/VLOOKUP($A445,'Dados StatusInvest'!$A:$AZ,2,0)*$F445),0)</f>
        <v>0</v>
      </c>
      <c r="Q445" s="55">
        <f>IFERROR((VLOOKUP($A445,'Dados StatusInvest'!$A:$AZ,COLUMN(Q445)-$A$5,0)/100),0)</f>
        <v>-0.1354</v>
      </c>
      <c r="R445" s="56">
        <f>VLOOKUP($A445,'Dados StatusInvest'!$A:$AZ,COLUMN(R445)-$A$5,0)</f>
        <v>0.99</v>
      </c>
      <c r="S445" s="56">
        <f>IFERROR((VLOOKUP($A445,'Dados StatusInvest'!$A:$AZ,COLUMN(S445)-$A$5,0)),0)</f>
        <v>1.84</v>
      </c>
      <c r="T445" s="53">
        <f>IFERROR((VLOOKUP($A445,'Dados StatusInvest'!$A:$AZ,COLUMN(T445)-$A$5,0)/VLOOKUP($A445,'Dados StatusInvest'!$A:$AZ,2,0)*$F445),0)</f>
        <v>0</v>
      </c>
      <c r="U445" s="53">
        <f>IFERROR((VLOOKUP($A445,'Dados StatusInvest'!$A:$AZ,COLUMN(U445)-$A$5,0)-VLOOKUP($A445,'Dados StatusInvest'!$A:$AZ,COLUMN(U445)-$A$5-1,0)+T445),0)</f>
        <v>14.75</v>
      </c>
      <c r="V445" s="56">
        <f>IFERROR((VLOOKUP($A445,'Dados StatusInvest'!$A:$AZ,COLUMN(V445)-$A$5,0)),0)</f>
        <v>0.7</v>
      </c>
      <c r="W445" s="56">
        <f>IFERROR((VLOOKUP($A445,'Dados StatusInvest'!$A:$AZ,COLUMN(W445)-$A$5,0)),0)</f>
        <v>-50.45</v>
      </c>
      <c r="X445" s="53">
        <f>IFERROR((VLOOKUP($A445,'Dados StatusInvest'!$A:$AZ,COLUMN(X445)-$A$5,0)/VLOOKUP($A445,'Dados StatusInvest'!$A:$AZ,2,0)*$F445),0)</f>
        <v>0</v>
      </c>
      <c r="Y445" s="54">
        <f>IFERROR((VLOOKUP($A445,'Dados StatusInvest'!$A:$AZ,COLUMN(Y445)-$A$5,0)/VLOOKUP($A445,'Dados StatusInvest'!$A:$AZ,2,0)*$F445),0)</f>
        <v>0</v>
      </c>
      <c r="Z445" s="56">
        <f>IFERROR((VLOOKUP($A445,'Dados StatusInvest'!$A:$AZ,COLUMN(Z445)-$A$5,0)),0)</f>
        <v>0.15</v>
      </c>
      <c r="AA445" s="57">
        <f>IFERROR((VLOOKUP($A445,'Dados StatusInvest'!$A:$AZ,COLUMN(AA445)-$A$5,0)),0)</f>
        <v>0.85</v>
      </c>
      <c r="AB445" s="57">
        <f>IFERROR((VLOOKUP($A445,'Dados StatusInvest'!$A:$AZ,COLUMN(AB445)-$A$5,0)),0)</f>
        <v>1.06</v>
      </c>
      <c r="AC445" s="58">
        <f>IFERROR((VLOOKUP($A445,'Dados StatusInvest'!$A:$AZ,COLUMN(AC445)-$A$5,0)),0)</f>
        <v>-19.8</v>
      </c>
      <c r="AD445" s="57">
        <f>IFERROR((VLOOKUP($A445,'Dados StatusInvest'!$A:$AZ,COLUMN(AD445)-$A$5,0)),0)</f>
        <v>0</v>
      </c>
      <c r="AE445" s="56">
        <f>IFERROR((VLOOKUP($A445,'Dados StatusInvest'!$A:$AZ,COLUMN(AE445)-$A$5,0)),0)</f>
        <v>0</v>
      </c>
      <c r="AF445" s="56">
        <f>IFERROR((VLOOKUP($A445,'Dados StatusInvest'!$A:$AZ,COLUMN(AF445)-$A$5,0)),0)</f>
        <v>5.48</v>
      </c>
      <c r="AG445" s="56">
        <f>IFERROR((VLOOKUP($A445,'Dados StatusInvest'!$A:$AZ,COLUMN(AG445)-$A$5,0)),0)</f>
        <v>-2.76</v>
      </c>
      <c r="AH445" s="56">
        <f>IFERROR((VLOOKUP($A445,'Dados StatusInvest'!$A:$AZ,COLUMN(AH445)-$A$5,0)),0)</f>
        <v>1.68</v>
      </c>
      <c r="AI445" s="57">
        <f>IFERROR((VLOOKUP($A445,'Dados StatusInvest'!$A:$AZ,COLUMN(AI445)-$A$5,0)),0)</f>
        <v>1487114795</v>
      </c>
      <c r="AJ445" s="59" t="str">
        <f>IFERROR((VLOOKUP($A445,'Dados StatusInvest'!$A:$AZ,COLUMN(AJ445)-$A$5,0)),0)</f>
        <v/>
      </c>
      <c r="AK445" s="60" t="str">
        <f>IFERROR(__xludf.DUMMYFUNCTION("IFERROR(GOOGLEFINANCE($A445,""high""),"""")"),"")</f>
        <v/>
      </c>
      <c r="AL445" s="60" t="str">
        <f>IFERROR(__xludf.DUMMYFUNCTION("IFERROR(GOOGLEFINANCE($A445,""low""),"""")"),"")</f>
        <v/>
      </c>
      <c r="AM445" s="61">
        <f t="shared" si="2"/>
        <v>0</v>
      </c>
      <c r="AN445" s="62">
        <f>IFERROR(__xludf.DUMMYFUNCTION("IFERROR((GOOGLEFINANCE($A445,""volume"")),0)"),0.0)</f>
        <v>0</v>
      </c>
      <c r="AO445" s="60" t="str">
        <f>IFERROR(__xludf.DUMMYFUNCTION("IFERROR((GOOGLEFINANCE($A445,""closeyest"")),"""")"),"")</f>
        <v/>
      </c>
      <c r="AP445" s="60" t="str">
        <f>IFERROR(__xludf.DUMMYFUNCTION("IFERROR((GOOGLEFINANCE($A445,""shares"")),"""")"),"")</f>
        <v/>
      </c>
      <c r="AQ445" s="18"/>
    </row>
    <row r="446">
      <c r="A446" s="45" t="str">
        <f>'Dados StatusInvest'!A441:A1060</f>
        <v>PDGR3</v>
      </c>
      <c r="B446" s="46" t="str">
        <f>IFERROR(__xludf.DUMMYFUNCTION("IFERROR((GOOGLEFINANCE(A446,""name"")),"""")"),"PDG Realty SA Emprendmnts e Prtcpacs")</f>
        <v>PDG Realty SA Emprendmnts e Prtcpacs</v>
      </c>
      <c r="C446" s="46" t="str">
        <f>IFERROR((VLOOKUP(LEFT($A446,4),Setor!$A:$E,3,0)),"")</f>
        <v>Consumo Cíclico</v>
      </c>
      <c r="D446" s="46" t="str">
        <f>IFERROR((VLOOKUP(LEFT($A446,4),Setor!$A:$E,4,0)),"")</f>
        <v>Construção Civil</v>
      </c>
      <c r="E446" s="46" t="str">
        <f>IFERROR((VLOOKUP(LEFT($A446,4),Setor!$A:$E,5,0)),"")</f>
        <v>Incorporações</v>
      </c>
      <c r="F446" s="47">
        <f>IFERROR(__xludf.DUMMYFUNCTION("IFERROR((GOOGLEFINANCE(A446)),"""")"),2.37)</f>
        <v>2.37</v>
      </c>
      <c r="G446" s="48" t="str">
        <f>IFERROR(__xludf.DUMMYFUNCTION("IFERROR((sparkline(GOOGLEFINANCE($A446,""price"",TODAY()-30,TODAY(),""DAILY""),{""charttype"",""line"";""linewidth"",1;""color"",""#5f88cc""})),"""")"),"")</f>
        <v/>
      </c>
      <c r="H446" s="49">
        <f>IFERROR(__xludf.DUMMYFUNCTION("IFERROR((((GOOGLEFINANCE(A446))-(INDEX(GoogleFinance(A446,""PRICE"",$AQ$1),2,2)))/(INDEX(GoogleFinance(A446,""PRICE"",$AQ$1),2,2))),"""")"),0.8091603053435115)</f>
        <v>0.8091603053</v>
      </c>
      <c r="I446" s="47">
        <f>IFERROR(__xludf.DUMMYFUNCTION("IFERROR((GOOGLEFINANCE($A446,""high52"")),"""")"),750.0)</f>
        <v>750</v>
      </c>
      <c r="J446" s="48" t="str">
        <f>IFERROR(__xludf.DUMMYFUNCTION("IFERROR((sparkline(GOOGLEFINANCE($A446,""price"",TODAY()-365,TODAY(),""DAILY""),{""charttype"",""line"";""linewidth"",1;""color"",""#5f88cc""})),"""")"),"")</f>
        <v/>
      </c>
      <c r="K446" s="50">
        <f>IFERROR(__xludf.DUMMYFUNCTION("IFERROR((((GOOGLEFINANCE(A446))-(INDEX(GoogleFinance(A446,""PRICE"",$AP$1),2,2)))/(INDEX(GoogleFinance(A446,""PRICE"",$AP$1),2,2))),"""")"),-0.9970491558344539)</f>
        <v>-0.9970491558</v>
      </c>
      <c r="L446" s="51">
        <f t="shared" si="1"/>
        <v>-0.99684</v>
      </c>
      <c r="M446" s="52">
        <f>IFERROR((VLOOKUP($A446,'Dados StatusInvest'!$A:$AZ,COLUMN(M446)-$A$5,0)*VLOOKUP($A446,'Dados StatusInvest'!$A:$AZ,2,0)/$F446/100),0)</f>
        <v>-0.4444675105</v>
      </c>
      <c r="N446" s="53">
        <f>IFERROR((VLOOKUP($A446,'Dados StatusInvest'!$A:$AZ,COLUMN(N446)-$A$5,0)/VLOOKUP($A446,'Dados StatusInvest'!$A:$AZ,2,0)*$F446),"")</f>
        <v>-180.3589916</v>
      </c>
      <c r="O446" s="53">
        <f>IFERROR((VLOOKUP($A446,'Dados StatusInvest'!$A:$AZ,COLUMN(O446)-$A$5,0)/VLOOKUP($A446,'Dados StatusInvest'!$A:$AZ,2,0)*$F446),0)</f>
        <v>-0.1792436975</v>
      </c>
      <c r="P446" s="54">
        <f>IFERROR((VLOOKUP($A446,'Dados StatusInvest'!$A:$AZ,COLUMN(P446)-$A$5,0)/VLOOKUP($A446,'Dados StatusInvest'!$A:$AZ,2,0)*$F446),0)</f>
        <v>-9.400336134</v>
      </c>
      <c r="Q446" s="55">
        <f>IFERROR((VLOOKUP($A446,'Dados StatusInvest'!$A:$AZ,COLUMN(Q446)-$A$5,0)/100),0)</f>
        <v>-0.0926</v>
      </c>
      <c r="R446" s="56">
        <f>VLOOKUP($A446,'Dados StatusInvest'!$A:$AZ,COLUMN(R446)-$A$5,0)</f>
        <v>0</v>
      </c>
      <c r="S446" s="56">
        <f>IFERROR((VLOOKUP($A446,'Dados StatusInvest'!$A:$AZ,COLUMN(S446)-$A$5,0)),0)</f>
        <v>0.08</v>
      </c>
      <c r="T446" s="53">
        <f>IFERROR((VLOOKUP($A446,'Dados StatusInvest'!$A:$AZ,COLUMN(T446)-$A$5,0)/VLOOKUP($A446,'Dados StatusInvest'!$A:$AZ,2,0)*$F446),0)</f>
        <v>-0.009957983193</v>
      </c>
      <c r="U446" s="53">
        <f>IFERROR((VLOOKUP($A446,'Dados StatusInvest'!$A:$AZ,COLUMN(U446)-$A$5,0)-VLOOKUP($A446,'Dados StatusInvest'!$A:$AZ,COLUMN(U446)-$A$5-1,0)+T446),0)</f>
        <v>-0.03995798319</v>
      </c>
      <c r="V446" s="56">
        <f>IFERROR((VLOOKUP($A446,'Dados StatusInvest'!$A:$AZ,COLUMN(V446)-$A$5,0)),0)</f>
        <v>0.34</v>
      </c>
      <c r="W446" s="56">
        <f>IFERROR((VLOOKUP($A446,'Dados StatusInvest'!$A:$AZ,COLUMN(W446)-$A$5,0)),0)</f>
        <v>-5.25</v>
      </c>
      <c r="X446" s="53">
        <f>IFERROR((VLOOKUP($A446,'Dados StatusInvest'!$A:$AZ,COLUMN(X446)-$A$5,0)/VLOOKUP($A446,'Dados StatusInvest'!$A:$AZ,2,0)*$F446),0)</f>
        <v>-35.30105042</v>
      </c>
      <c r="Y446" s="54">
        <f>IFERROR((VLOOKUP($A446,'Dados StatusInvest'!$A:$AZ,COLUMN(Y446)-$A$5,0)/VLOOKUP($A446,'Dados StatusInvest'!$A:$AZ,2,0)*$F446),0)</f>
        <v>1.513613445</v>
      </c>
      <c r="Z446" s="56">
        <f>IFERROR((VLOOKUP($A446,'Dados StatusInvest'!$A:$AZ,COLUMN(Z446)-$A$5,0)),0)</f>
        <v>-6.76</v>
      </c>
      <c r="AA446" s="57">
        <f>IFERROR((VLOOKUP($A446,'Dados StatusInvest'!$A:$AZ,COLUMN(AA446)-$A$5,0)),0)</f>
        <v>7.91</v>
      </c>
      <c r="AB446" s="57">
        <f>IFERROR((VLOOKUP($A446,'Dados StatusInvest'!$A:$AZ,COLUMN(AB446)-$A$5,0)),0)</f>
        <v>0.2</v>
      </c>
      <c r="AC446" s="58">
        <f>IFERROR((VLOOKUP($A446,'Dados StatusInvest'!$A:$AZ,COLUMN(AC446)-$A$5,0)),0)</f>
        <v>-16.76</v>
      </c>
      <c r="AD446" s="57">
        <f>IFERROR((VLOOKUP($A446,'Dados StatusInvest'!$A:$AZ,COLUMN(AD446)-$A$5,0)),0)</f>
        <v>0</v>
      </c>
      <c r="AE446" s="56">
        <f>IFERROR((VLOOKUP($A446,'Dados StatusInvest'!$A:$AZ,COLUMN(AE446)-$A$5,0)),0)</f>
        <v>862953.7</v>
      </c>
      <c r="AF446" s="56">
        <f>IFERROR((VLOOKUP($A446,'Dados StatusInvest'!$A:$AZ,COLUMN(AF446)-$A$5,0)),0)</f>
        <v>-1035.83</v>
      </c>
      <c r="AG446" s="56">
        <f>IFERROR((VLOOKUP($A446,'Dados StatusInvest'!$A:$AZ,COLUMN(AG446)-$A$5,0)),0)</f>
        <v>-54.35</v>
      </c>
      <c r="AH446" s="56">
        <f>IFERROR((VLOOKUP($A446,'Dados StatusInvest'!$A:$AZ,COLUMN(AH446)-$A$5,0)),0)</f>
        <v>0</v>
      </c>
      <c r="AI446" s="57">
        <f>IFERROR((VLOOKUP($A446,'Dados StatusInvest'!$A:$AZ,COLUMN(AI446)-$A$5,0)),0)</f>
        <v>7824216.68</v>
      </c>
      <c r="AJ446" s="59" t="str">
        <f>IFERROR((VLOOKUP($A446,'Dados StatusInvest'!$A:$AZ,COLUMN(AJ446)-$A$5,0)),0)</f>
        <v/>
      </c>
      <c r="AK446" s="60">
        <f>IFERROR(__xludf.DUMMYFUNCTION("IFERROR(GOOGLEFINANCE($A446,""high""),"""")"),2.37)</f>
        <v>2.37</v>
      </c>
      <c r="AL446" s="60">
        <f>IFERROR(__xludf.DUMMYFUNCTION("IFERROR(GOOGLEFINANCE($A446,""low""),"""")"),2.32)</f>
        <v>2.32</v>
      </c>
      <c r="AM446" s="61">
        <f t="shared" si="2"/>
        <v>0.02155172414</v>
      </c>
      <c r="AN446" s="62">
        <f>IFERROR(__xludf.DUMMYFUNCTION("IFERROR((GOOGLEFINANCE($A446,""volume"")),0)"),1100.0)</f>
        <v>1100</v>
      </c>
      <c r="AO446" s="60">
        <f>IFERROR(__xludf.DUMMYFUNCTION("IFERROR((GOOGLEFINANCE($A446,""closeyest"")),"""")"),2.38)</f>
        <v>2.38</v>
      </c>
      <c r="AP446" s="60">
        <f>IFERROR(__xludf.DUMMYFUNCTION("IFERROR((GOOGLEFINANCE($A446,""shares"")),"""")"),3287486.0)</f>
        <v>3287486</v>
      </c>
      <c r="AQ446" s="18"/>
    </row>
    <row r="447">
      <c r="A447" s="45" t="str">
        <f>'Dados StatusInvest'!A442:A1061</f>
        <v>PDTC3</v>
      </c>
      <c r="B447" s="46" t="str">
        <f>IFERROR(__xludf.DUMMYFUNCTION("IFERROR((GOOGLEFINANCE(A447,""name"")),"""")"),"Padtec Holding SA")</f>
        <v>Padtec Holding SA</v>
      </c>
      <c r="C447" s="46" t="str">
        <f>IFERROR((VLOOKUP(LEFT($A447,4),Setor!$A:$E,3,0)),"")</f>
        <v>Financeiro</v>
      </c>
      <c r="D447" s="46" t="str">
        <f>IFERROR((VLOOKUP(LEFT($A447,4),Setor!$A:$E,4,0)),"")</f>
        <v>Serviços Financeiros Diversos</v>
      </c>
      <c r="E447" s="46" t="str">
        <f>IFERROR((VLOOKUP(LEFT($A447,4),Setor!$A:$E,5,0)),"")</f>
        <v>Gestão de Recursos e Investimentos</v>
      </c>
      <c r="F447" s="47">
        <f>IFERROR(__xludf.DUMMYFUNCTION("IFERROR((GOOGLEFINANCE(A447)),"""")"),1.49)</f>
        <v>1.49</v>
      </c>
      <c r="G447" s="48" t="str">
        <f>IFERROR(__xludf.DUMMYFUNCTION("IFERROR((sparkline(GOOGLEFINANCE($A447,""price"",TODAY()-30,TODAY(),""DAILY""),{""charttype"",""line"";""linewidth"",1;""color"",""#5f88cc""})),"""")"),"")</f>
        <v/>
      </c>
      <c r="H447" s="49">
        <f>IFERROR(__xludf.DUMMYFUNCTION("IFERROR((((GOOGLEFINANCE(A447))-(INDEX(GoogleFinance(A447,""PRICE"",$AQ$1),2,2)))/(INDEX(GoogleFinance(A447,""PRICE"",$AQ$1),2,2))),"""")"),0.07194244604316553)</f>
        <v>0.07194244604</v>
      </c>
      <c r="I447" s="47">
        <f>IFERROR(__xludf.DUMMYFUNCTION("IFERROR((GOOGLEFINANCE($A447,""high52"")),"""")"),1.88)</f>
        <v>1.88</v>
      </c>
      <c r="J447" s="48" t="str">
        <f>IFERROR(__xludf.DUMMYFUNCTION("IFERROR((sparkline(GOOGLEFINANCE($A447,""price"",TODAY()-365,TODAY(),""DAILY""),{""charttype"",""line"";""linewidth"",1;""color"",""#5f88cc""})),"""")"),"")</f>
        <v/>
      </c>
      <c r="K447" s="50">
        <f>IFERROR(__xludf.DUMMYFUNCTION("IFERROR((((GOOGLEFINANCE(A447))-(INDEX(GoogleFinance(A447,""PRICE"",$AP$1),2,2)))/(INDEX(GoogleFinance(A447,""PRICE"",$AP$1),2,2))),"""")"),0.17322834645669288)</f>
        <v>0.1732283465</v>
      </c>
      <c r="L447" s="51">
        <f t="shared" si="1"/>
        <v>-0.2074468085</v>
      </c>
      <c r="M447" s="52">
        <f>IFERROR((VLOOKUP($A447,'Dados StatusInvest'!$A:$AZ,COLUMN(M447)-$A$5,0)*VLOOKUP($A447,'Dados StatusInvest'!$A:$AZ,2,0)/$F447/100),0)</f>
        <v>1.169291275</v>
      </c>
      <c r="N447" s="53">
        <f>IFERROR((VLOOKUP($A447,'Dados StatusInvest'!$A:$AZ,COLUMN(N447)-$A$5,0)/VLOOKUP($A447,'Dados StatusInvest'!$A:$AZ,2,0)*$F447),"")</f>
        <v>92.01510204</v>
      </c>
      <c r="O447" s="53">
        <f>IFERROR((VLOOKUP($A447,'Dados StatusInvest'!$A:$AZ,COLUMN(O447)-$A$5,0)/VLOOKUP($A447,'Dados StatusInvest'!$A:$AZ,2,0)*$F447),0)</f>
        <v>5.159251701</v>
      </c>
      <c r="P447" s="54">
        <f>IFERROR((VLOOKUP($A447,'Dados StatusInvest'!$A:$AZ,COLUMN(P447)-$A$5,0)/VLOOKUP($A447,'Dados StatusInvest'!$A:$AZ,2,0)*$F447),0)</f>
        <v>16.11632653</v>
      </c>
      <c r="Q447" s="55">
        <f>IFERROR((VLOOKUP($A447,'Dados StatusInvest'!$A:$AZ,COLUMN(Q447)-$A$5,0)/100),0)</f>
        <v>0.1081</v>
      </c>
      <c r="R447" s="56">
        <f>VLOOKUP($A447,'Dados StatusInvest'!$A:$AZ,COLUMN(R447)-$A$5,0)</f>
        <v>2.01</v>
      </c>
      <c r="S447" s="56">
        <f>IFERROR((VLOOKUP($A447,'Dados StatusInvest'!$A:$AZ,COLUMN(S447)-$A$5,0)),0)</f>
        <v>6.03</v>
      </c>
      <c r="T447" s="53">
        <f>IFERROR((VLOOKUP($A447,'Dados StatusInvest'!$A:$AZ,COLUMN(T447)-$A$5,0)/VLOOKUP($A447,'Dados StatusInvest'!$A:$AZ,2,0)*$F447),0)</f>
        <v>0.4966666667</v>
      </c>
      <c r="U447" s="53">
        <f>IFERROR((VLOOKUP($A447,'Dados StatusInvest'!$A:$AZ,COLUMN(U447)-$A$5,0)-VLOOKUP($A447,'Dados StatusInvest'!$A:$AZ,COLUMN(U447)-$A$5-1,0)+T447),0)</f>
        <v>-0.4233333333</v>
      </c>
      <c r="V447" s="56">
        <f>IFERROR((VLOOKUP($A447,'Dados StatusInvest'!$A:$AZ,COLUMN(V447)-$A$5,0)),0)</f>
        <v>2.97</v>
      </c>
      <c r="W447" s="56">
        <f>IFERROR((VLOOKUP($A447,'Dados StatusInvest'!$A:$AZ,COLUMN(W447)-$A$5,0)),0)</f>
        <v>14.26</v>
      </c>
      <c r="X447" s="53">
        <f>IFERROR((VLOOKUP($A447,'Dados StatusInvest'!$A:$AZ,COLUMN(X447)-$A$5,0)/VLOOKUP($A447,'Dados StatusInvest'!$A:$AZ,2,0)*$F447),0)</f>
        <v>2.827959184</v>
      </c>
      <c r="Y447" s="54">
        <f>IFERROR((VLOOKUP($A447,'Dados StatusInvest'!$A:$AZ,COLUMN(Y447)-$A$5,0)/VLOOKUP($A447,'Dados StatusInvest'!$A:$AZ,2,0)*$F447),0)</f>
        <v>5.412653061</v>
      </c>
      <c r="Z447" s="56">
        <f>IFERROR((VLOOKUP($A447,'Dados StatusInvest'!$A:$AZ,COLUMN(Z447)-$A$5,0)),0)</f>
        <v>0.2</v>
      </c>
      <c r="AA447" s="57">
        <f>IFERROR((VLOOKUP($A447,'Dados StatusInvest'!$A:$AZ,COLUMN(AA447)-$A$5,0)),0)</f>
        <v>0.8</v>
      </c>
      <c r="AB447" s="57">
        <f>IFERROR((VLOOKUP($A447,'Dados StatusInvest'!$A:$AZ,COLUMN(AB447)-$A$5,0)),0)</f>
        <v>0.03</v>
      </c>
      <c r="AC447" s="58">
        <f>IFERROR((VLOOKUP($A447,'Dados StatusInvest'!$A:$AZ,COLUMN(AC447)-$A$5,0)),0)</f>
        <v>0</v>
      </c>
      <c r="AD447" s="57">
        <f>IFERROR((VLOOKUP($A447,'Dados StatusInvest'!$A:$AZ,COLUMN(AD447)-$A$5,0)),0)</f>
        <v>26.45</v>
      </c>
      <c r="AE447" s="56">
        <f>IFERROR((VLOOKUP($A447,'Dados StatusInvest'!$A:$AZ,COLUMN(AE447)-$A$5,0)),0)</f>
        <v>128273.6</v>
      </c>
      <c r="AF447" s="56">
        <f>IFERROR((VLOOKUP($A447,'Dados StatusInvest'!$A:$AZ,COLUMN(AF447)-$A$5,0)),0)</f>
        <v>1.55</v>
      </c>
      <c r="AG447" s="56">
        <f>IFERROR((VLOOKUP($A447,'Dados StatusInvest'!$A:$AZ,COLUMN(AG447)-$A$5,0)),0)</f>
        <v>0.22</v>
      </c>
      <c r="AH447" s="56">
        <f>IFERROR((VLOOKUP($A447,'Dados StatusInvest'!$A:$AZ,COLUMN(AH447)-$A$5,0)),0)</f>
        <v>-0.04</v>
      </c>
      <c r="AI447" s="57">
        <f>IFERROR((VLOOKUP($A447,'Dados StatusInvest'!$A:$AZ,COLUMN(AI447)-$A$5,0)),0)</f>
        <v>116820350.2</v>
      </c>
      <c r="AJ447" s="59" t="str">
        <f>IFERROR((VLOOKUP($A447,'Dados StatusInvest'!$A:$AZ,COLUMN(AJ447)-$A$5,0)),0)</f>
        <v/>
      </c>
      <c r="AK447" s="60">
        <f>IFERROR(__xludf.DUMMYFUNCTION("IFERROR(GOOGLEFINANCE($A447,""high""),"""")"),1.49)</f>
        <v>1.49</v>
      </c>
      <c r="AL447" s="60">
        <f>IFERROR(__xludf.DUMMYFUNCTION("IFERROR(GOOGLEFINANCE($A447,""low""),"""")"),1.49)</f>
        <v>1.49</v>
      </c>
      <c r="AM447" s="61">
        <f t="shared" si="2"/>
        <v>0</v>
      </c>
      <c r="AN447" s="62">
        <f>IFERROR(__xludf.DUMMYFUNCTION("IFERROR((GOOGLEFINANCE($A447,""volume"")),0)"),400.0)</f>
        <v>400</v>
      </c>
      <c r="AO447" s="60">
        <f>IFERROR(__xludf.DUMMYFUNCTION("IFERROR((GOOGLEFINANCE($A447,""closeyest"")),"""")"),1.47)</f>
        <v>1.47</v>
      </c>
      <c r="AP447" s="60">
        <f>IFERROR(__xludf.DUMMYFUNCTION("IFERROR((GOOGLEFINANCE($A447,""shares"")),"""")"),7.9469626E7)</f>
        <v>79469626</v>
      </c>
      <c r="AQ447" s="18"/>
    </row>
    <row r="448">
      <c r="A448" s="45" t="str">
        <f>'Dados StatusInvest'!A443:A1062</f>
        <v>PEAB3</v>
      </c>
      <c r="B448" s="46" t="str">
        <f>IFERROR(__xludf.DUMMYFUNCTION("IFERROR((GOOGLEFINANCE(A448,""name"")),"""")"),"Companhia de Participacoes Alianca Bahia")</f>
        <v>Companhia de Participacoes Alianca Bahia</v>
      </c>
      <c r="C448" s="46" t="str">
        <f>IFERROR((VLOOKUP(LEFT($A448,4),Setor!$A:$E,3,0)),"")</f>
        <v>Financeiro</v>
      </c>
      <c r="D448" s="46" t="str">
        <f>IFERROR((VLOOKUP(LEFT($A448,4),Setor!$A:$E,4,0)),"")</f>
        <v>Holdings Diversificadas</v>
      </c>
      <c r="E448" s="46" t="str">
        <f>IFERROR((VLOOKUP(LEFT($A448,4),Setor!$A:$E,5,0)),"")</f>
        <v>Holdings Diversificadas</v>
      </c>
      <c r="F448" s="47">
        <f>IFERROR(__xludf.DUMMYFUNCTION("IFERROR((GOOGLEFINANCE(A448)),"""")"),41.0)</f>
        <v>41</v>
      </c>
      <c r="G448" s="48" t="str">
        <f>IFERROR(__xludf.DUMMYFUNCTION("IFERROR((sparkline(GOOGLEFINANCE($A448,""price"",TODAY()-30,TODAY(),""DAILY""),{""charttype"",""line"";""linewidth"",1;""color"",""#5f88cc""})),"""")"),"")</f>
        <v/>
      </c>
      <c r="H448" s="49" t="str">
        <f>IFERROR(__xludf.DUMMYFUNCTION("IFERROR((((GOOGLEFINANCE(A448))-(INDEX(GoogleFinance(A448,""PRICE"",$AQ$1),2,2)))/(INDEX(GoogleFinance(A448,""PRICE"",$AQ$1),2,2))),"""")"),"")</f>
        <v/>
      </c>
      <c r="I448" s="47">
        <f>IFERROR(__xludf.DUMMYFUNCTION("IFERROR((GOOGLEFINANCE($A448,""high52"")),"""")"),44.61)</f>
        <v>44.61</v>
      </c>
      <c r="J448" s="48" t="str">
        <f>IFERROR(__xludf.DUMMYFUNCTION("IFERROR((sparkline(GOOGLEFINANCE($A448,""price"",TODAY()-365,TODAY(),""DAILY""),{""charttype"",""line"";""linewidth"",1;""color"",""#5f88cc""})),"""")"),"")</f>
        <v/>
      </c>
      <c r="K448" s="50" t="str">
        <f>IFERROR(__xludf.DUMMYFUNCTION("IFERROR((((GOOGLEFINANCE(A448))-(INDEX(GoogleFinance(A448,""PRICE"",$AP$1),2,2)))/(INDEX(GoogleFinance(A448,""PRICE"",$AP$1),2,2))),"""")"),"")</f>
        <v/>
      </c>
      <c r="L448" s="51">
        <f t="shared" si="1"/>
        <v>-0.08092355974</v>
      </c>
      <c r="M448" s="52">
        <f>IFERROR((VLOOKUP($A448,'Dados StatusInvest'!$A:$AZ,COLUMN(M448)-$A$5,0)*VLOOKUP($A448,'Dados StatusInvest'!$A:$AZ,2,0)/$F448/100),0)</f>
        <v>0.2517</v>
      </c>
      <c r="N448" s="53">
        <f>IFERROR((VLOOKUP($A448,'Dados StatusInvest'!$A:$AZ,COLUMN(N448)-$A$5,0)/VLOOKUP($A448,'Dados StatusInvest'!$A:$AZ,2,0)*$F448),"")</f>
        <v>28.45</v>
      </c>
      <c r="O448" s="53">
        <f>IFERROR((VLOOKUP($A448,'Dados StatusInvest'!$A:$AZ,COLUMN(O448)-$A$5,0)/VLOOKUP($A448,'Dados StatusInvest'!$A:$AZ,2,0)*$F448),0)</f>
        <v>25.66</v>
      </c>
      <c r="P448" s="54">
        <f>IFERROR((VLOOKUP($A448,'Dados StatusInvest'!$A:$AZ,COLUMN(P448)-$A$5,0)/VLOOKUP($A448,'Dados StatusInvest'!$A:$AZ,2,0)*$F448),0)</f>
        <v>25.45</v>
      </c>
      <c r="Q448" s="55">
        <f>IFERROR((VLOOKUP($A448,'Dados StatusInvest'!$A:$AZ,COLUMN(Q448)-$A$5,0)/100),0)</f>
        <v>-0.0015</v>
      </c>
      <c r="R448" s="56">
        <f>VLOOKUP($A448,'Dados StatusInvest'!$A:$AZ,COLUMN(R448)-$A$5,0)</f>
        <v>0</v>
      </c>
      <c r="S448" s="56">
        <f>IFERROR((VLOOKUP($A448,'Dados StatusInvest'!$A:$AZ,COLUMN(S448)-$A$5,0)),0)</f>
        <v>6.46</v>
      </c>
      <c r="T448" s="53">
        <f>IFERROR((VLOOKUP($A448,'Dados StatusInvest'!$A:$AZ,COLUMN(T448)-$A$5,0)/VLOOKUP($A448,'Dados StatusInvest'!$A:$AZ,2,0)*$F448),0)</f>
        <v>4.19</v>
      </c>
      <c r="U448" s="53">
        <f>IFERROR((VLOOKUP($A448,'Dados StatusInvest'!$A:$AZ,COLUMN(U448)-$A$5,0)-VLOOKUP($A448,'Dados StatusInvest'!$A:$AZ,COLUMN(U448)-$A$5-1,0)+T448),0)</f>
        <v>-0.71</v>
      </c>
      <c r="V448" s="56">
        <f>IFERROR((VLOOKUP($A448,'Dados StatusInvest'!$A:$AZ,COLUMN(V448)-$A$5,0)),0)</f>
        <v>4.51</v>
      </c>
      <c r="W448" s="56">
        <f>IFERROR((VLOOKUP($A448,'Dados StatusInvest'!$A:$AZ,COLUMN(W448)-$A$5,0)),0)</f>
        <v>3.61</v>
      </c>
      <c r="X448" s="53">
        <f>IFERROR((VLOOKUP($A448,'Dados StatusInvest'!$A:$AZ,COLUMN(X448)-$A$5,0)/VLOOKUP($A448,'Dados StatusInvest'!$A:$AZ,2,0)*$F448),0)</f>
        <v>2.56</v>
      </c>
      <c r="Y448" s="54">
        <f>IFERROR((VLOOKUP($A448,'Dados StatusInvest'!$A:$AZ,COLUMN(Y448)-$A$5,0)/VLOOKUP($A448,'Dados StatusInvest'!$A:$AZ,2,0)*$F448),0)</f>
        <v>2.49</v>
      </c>
      <c r="Z448" s="56">
        <f>IFERROR((VLOOKUP($A448,'Dados StatusInvest'!$A:$AZ,COLUMN(Z448)-$A$5,0)),0)</f>
        <v>0.71</v>
      </c>
      <c r="AA448" s="57">
        <f>IFERROR((VLOOKUP($A448,'Dados StatusInvest'!$A:$AZ,COLUMN(AA448)-$A$5,0)),0)</f>
        <v>0.29</v>
      </c>
      <c r="AB448" s="57">
        <f>IFERROR((VLOOKUP($A448,'Dados StatusInvest'!$A:$AZ,COLUMN(AB448)-$A$5,0)),0)</f>
        <v>0.09</v>
      </c>
      <c r="AC448" s="58">
        <f>IFERROR((VLOOKUP($A448,'Dados StatusInvest'!$A:$AZ,COLUMN(AC448)-$A$5,0)),0)</f>
        <v>-26.42</v>
      </c>
      <c r="AD448" s="57">
        <f>IFERROR((VLOOKUP($A448,'Dados StatusInvest'!$A:$AZ,COLUMN(AD448)-$A$5,0)),0)</f>
        <v>-6.41</v>
      </c>
      <c r="AE448" s="56">
        <f>IFERROR((VLOOKUP($A448,'Dados StatusInvest'!$A:$AZ,COLUMN(AE448)-$A$5,0)),0)</f>
        <v>5620.2</v>
      </c>
      <c r="AF448" s="56">
        <f>IFERROR((VLOOKUP($A448,'Dados StatusInvest'!$A:$AZ,COLUMN(AF448)-$A$5,0)),0)</f>
        <v>50.03</v>
      </c>
      <c r="AG448" s="56">
        <f>IFERROR((VLOOKUP($A448,'Dados StatusInvest'!$A:$AZ,COLUMN(AG448)-$A$5,0)),0)</f>
        <v>1.81</v>
      </c>
      <c r="AH448" s="56">
        <f>IFERROR((VLOOKUP($A448,'Dados StatusInvest'!$A:$AZ,COLUMN(AH448)-$A$5,0)),0)</f>
        <v>-5.02</v>
      </c>
      <c r="AI448" s="57">
        <f>IFERROR((VLOOKUP($A448,'Dados StatusInvest'!$A:$AZ,COLUMN(AI448)-$A$5,0)),0)</f>
        <v>741933591.6</v>
      </c>
      <c r="AJ448" s="59" t="str">
        <f>IFERROR((VLOOKUP($A448,'Dados StatusInvest'!$A:$AZ,COLUMN(AJ448)-$A$5,0)),0)</f>
        <v/>
      </c>
      <c r="AK448" s="60" t="str">
        <f>IFERROR(__xludf.DUMMYFUNCTION("IFERROR(GOOGLEFINANCE($A448,""high""),"""")"),"")</f>
        <v/>
      </c>
      <c r="AL448" s="60" t="str">
        <f>IFERROR(__xludf.DUMMYFUNCTION("IFERROR(GOOGLEFINANCE($A448,""low""),"""")"),"")</f>
        <v/>
      </c>
      <c r="AM448" s="61">
        <f t="shared" si="2"/>
        <v>0</v>
      </c>
      <c r="AN448" s="62">
        <f>IFERROR(__xludf.DUMMYFUNCTION("IFERROR((GOOGLEFINANCE($A448,""volume"")),0)"),0.0)</f>
        <v>0</v>
      </c>
      <c r="AO448" s="60">
        <f>IFERROR(__xludf.DUMMYFUNCTION("IFERROR((GOOGLEFINANCE($A448,""closeyest"")),"""")"),41.0)</f>
        <v>41</v>
      </c>
      <c r="AP448" s="60">
        <f>IFERROR(__xludf.DUMMYFUNCTION("IFERROR((GOOGLEFINANCE($A448,""shares"")),"""")"),9317262.0)</f>
        <v>9317262</v>
      </c>
      <c r="AQ448" s="18"/>
    </row>
    <row r="449">
      <c r="A449" s="45" t="str">
        <f>'Dados StatusInvest'!A444:A1063</f>
        <v>PEAB4</v>
      </c>
      <c r="B449" s="46" t="str">
        <f>IFERROR(__xludf.DUMMYFUNCTION("IFERROR((GOOGLEFINANCE(A449,""name"")),"""")"),"Companhia de Participacoes Alianca Bahia Preference Shares")</f>
        <v>Companhia de Participacoes Alianca Bahia Preference Shares</v>
      </c>
      <c r="C449" s="46" t="str">
        <f>IFERROR((VLOOKUP(LEFT($A449,4),Setor!$A:$E,3,0)),"")</f>
        <v>Financeiro</v>
      </c>
      <c r="D449" s="46" t="str">
        <f>IFERROR((VLOOKUP(LEFT($A449,4),Setor!$A:$E,4,0)),"")</f>
        <v>Holdings Diversificadas</v>
      </c>
      <c r="E449" s="46" t="str">
        <f>IFERROR((VLOOKUP(LEFT($A449,4),Setor!$A:$E,5,0)),"")</f>
        <v>Holdings Diversificadas</v>
      </c>
      <c r="F449" s="47">
        <f>IFERROR(__xludf.DUMMYFUNCTION("IFERROR((GOOGLEFINANCE(A449)),"""")"),40.8)</f>
        <v>40.8</v>
      </c>
      <c r="G449" s="48" t="str">
        <f>IFERROR(__xludf.DUMMYFUNCTION("IFERROR((sparkline(GOOGLEFINANCE($A449,""price"",TODAY()-30,TODAY(),""DAILY""),{""charttype"",""line"";""linewidth"",1;""color"",""#5f88cc""})),"""")"),"")</f>
        <v/>
      </c>
      <c r="H449" s="49" t="str">
        <f>IFERROR(__xludf.DUMMYFUNCTION("IFERROR((((GOOGLEFINANCE(A449))-(INDEX(GoogleFinance(A449,""PRICE"",$AQ$1),2,2)))/(INDEX(GoogleFinance(A449,""PRICE"",$AQ$1),2,2))),"""")"),"")</f>
        <v/>
      </c>
      <c r="I449" s="47">
        <f>IFERROR(__xludf.DUMMYFUNCTION("IFERROR((GOOGLEFINANCE($A449,""high52"")),"""")"),49.34)</f>
        <v>49.34</v>
      </c>
      <c r="J449" s="48" t="str">
        <f>IFERROR(__xludf.DUMMYFUNCTION("IFERROR((sparkline(GOOGLEFINANCE($A449,""price"",TODAY()-365,TODAY(),""DAILY""),{""charttype"",""line"";""linewidth"",1;""color"",""#5f88cc""})),"""")"),"")</f>
        <v/>
      </c>
      <c r="K449" s="50" t="str">
        <f>IFERROR(__xludf.DUMMYFUNCTION("IFERROR((((GOOGLEFINANCE(A449))-(INDEX(GoogleFinance(A449,""PRICE"",$AP$1),2,2)))/(INDEX(GoogleFinance(A449,""PRICE"",$AP$1),2,2))),"""")"),"")</f>
        <v/>
      </c>
      <c r="L449" s="51">
        <f t="shared" si="1"/>
        <v>-0.1730847183</v>
      </c>
      <c r="M449" s="52">
        <f>IFERROR((VLOOKUP($A449,'Dados StatusInvest'!$A:$AZ,COLUMN(M449)-$A$5,0)*VLOOKUP($A449,'Dados StatusInvest'!$A:$AZ,2,0)/$F449/100),0)</f>
        <v>0.2517</v>
      </c>
      <c r="N449" s="53">
        <f>IFERROR((VLOOKUP($A449,'Dados StatusInvest'!$A:$AZ,COLUMN(N449)-$A$5,0)/VLOOKUP($A449,'Dados StatusInvest'!$A:$AZ,2,0)*$F449),"")</f>
        <v>28.45</v>
      </c>
      <c r="O449" s="53">
        <f>IFERROR((VLOOKUP($A449,'Dados StatusInvest'!$A:$AZ,COLUMN(O449)-$A$5,0)/VLOOKUP($A449,'Dados StatusInvest'!$A:$AZ,2,0)*$F449),0)</f>
        <v>25.54</v>
      </c>
      <c r="P449" s="54">
        <f>IFERROR((VLOOKUP($A449,'Dados StatusInvest'!$A:$AZ,COLUMN(P449)-$A$5,0)/VLOOKUP($A449,'Dados StatusInvest'!$A:$AZ,2,0)*$F449),0)</f>
        <v>25.45</v>
      </c>
      <c r="Q449" s="55">
        <f>IFERROR((VLOOKUP($A449,'Dados StatusInvest'!$A:$AZ,COLUMN(Q449)-$A$5,0)/100),0)</f>
        <v>-0.0015</v>
      </c>
      <c r="R449" s="56">
        <f>VLOOKUP($A449,'Dados StatusInvest'!$A:$AZ,COLUMN(R449)-$A$5,0)</f>
        <v>0</v>
      </c>
      <c r="S449" s="56">
        <f>IFERROR((VLOOKUP($A449,'Dados StatusInvest'!$A:$AZ,COLUMN(S449)-$A$5,0)),0)</f>
        <v>6.43</v>
      </c>
      <c r="T449" s="53">
        <f>IFERROR((VLOOKUP($A449,'Dados StatusInvest'!$A:$AZ,COLUMN(T449)-$A$5,0)/VLOOKUP($A449,'Dados StatusInvest'!$A:$AZ,2,0)*$F449),0)</f>
        <v>4.17</v>
      </c>
      <c r="U449" s="53">
        <f>IFERROR((VLOOKUP($A449,'Dados StatusInvest'!$A:$AZ,COLUMN(U449)-$A$5,0)-VLOOKUP($A449,'Dados StatusInvest'!$A:$AZ,COLUMN(U449)-$A$5-1,0)+T449),0)</f>
        <v>-0.7</v>
      </c>
      <c r="V449" s="56">
        <f>IFERROR((VLOOKUP($A449,'Dados StatusInvest'!$A:$AZ,COLUMN(V449)-$A$5,0)),0)</f>
        <v>4.51</v>
      </c>
      <c r="W449" s="56">
        <f>IFERROR((VLOOKUP($A449,'Dados StatusInvest'!$A:$AZ,COLUMN(W449)-$A$5,0)),0)</f>
        <v>3.61</v>
      </c>
      <c r="X449" s="53">
        <f>IFERROR((VLOOKUP($A449,'Dados StatusInvest'!$A:$AZ,COLUMN(X449)-$A$5,0)/VLOOKUP($A449,'Dados StatusInvest'!$A:$AZ,2,0)*$F449),0)</f>
        <v>2.56</v>
      </c>
      <c r="Y449" s="54">
        <f>IFERROR((VLOOKUP($A449,'Dados StatusInvest'!$A:$AZ,COLUMN(Y449)-$A$5,0)/VLOOKUP($A449,'Dados StatusInvest'!$A:$AZ,2,0)*$F449),0)</f>
        <v>2.49</v>
      </c>
      <c r="Z449" s="56">
        <f>IFERROR((VLOOKUP($A449,'Dados StatusInvest'!$A:$AZ,COLUMN(Z449)-$A$5,0)),0)</f>
        <v>0.71</v>
      </c>
      <c r="AA449" s="57">
        <f>IFERROR((VLOOKUP($A449,'Dados StatusInvest'!$A:$AZ,COLUMN(AA449)-$A$5,0)),0)</f>
        <v>0.29</v>
      </c>
      <c r="AB449" s="57">
        <f>IFERROR((VLOOKUP($A449,'Dados StatusInvest'!$A:$AZ,COLUMN(AB449)-$A$5,0)),0)</f>
        <v>0.09</v>
      </c>
      <c r="AC449" s="58">
        <f>IFERROR((VLOOKUP($A449,'Dados StatusInvest'!$A:$AZ,COLUMN(AC449)-$A$5,0)),0)</f>
        <v>-26.42</v>
      </c>
      <c r="AD449" s="57">
        <f>IFERROR((VLOOKUP($A449,'Dados StatusInvest'!$A:$AZ,COLUMN(AD449)-$A$5,0)),0)</f>
        <v>-6.41</v>
      </c>
      <c r="AE449" s="56">
        <f>IFERROR((VLOOKUP($A449,'Dados StatusInvest'!$A:$AZ,COLUMN(AE449)-$A$5,0)),0)</f>
        <v>16690.18</v>
      </c>
      <c r="AF449" s="56">
        <f>IFERROR((VLOOKUP($A449,'Dados StatusInvest'!$A:$AZ,COLUMN(AF449)-$A$5,0)),0)</f>
        <v>50.03</v>
      </c>
      <c r="AG449" s="56">
        <f>IFERROR((VLOOKUP($A449,'Dados StatusInvest'!$A:$AZ,COLUMN(AG449)-$A$5,0)),0)</f>
        <v>1.81</v>
      </c>
      <c r="AH449" s="56">
        <f>IFERROR((VLOOKUP($A449,'Dados StatusInvest'!$A:$AZ,COLUMN(AH449)-$A$5,0)),0)</f>
        <v>-4.99</v>
      </c>
      <c r="AI449" s="57">
        <f>IFERROR((VLOOKUP($A449,'Dados StatusInvest'!$A:$AZ,COLUMN(AI449)-$A$5,0)),0)</f>
        <v>741933591.6</v>
      </c>
      <c r="AJ449" s="59" t="str">
        <f>IFERROR((VLOOKUP($A449,'Dados StatusInvest'!$A:$AZ,COLUMN(AJ449)-$A$5,0)),0)</f>
        <v/>
      </c>
      <c r="AK449" s="60" t="str">
        <f>IFERROR(__xludf.DUMMYFUNCTION("IFERROR(GOOGLEFINANCE($A449,""high""),"""")"),"")</f>
        <v/>
      </c>
      <c r="AL449" s="60" t="str">
        <f>IFERROR(__xludf.DUMMYFUNCTION("IFERROR(GOOGLEFINANCE($A449,""low""),"""")"),"")</f>
        <v/>
      </c>
      <c r="AM449" s="61">
        <f t="shared" si="2"/>
        <v>0</v>
      </c>
      <c r="AN449" s="62">
        <f>IFERROR(__xludf.DUMMYFUNCTION("IFERROR((GOOGLEFINANCE($A449,""volume"")),0)"),0.0)</f>
        <v>0</v>
      </c>
      <c r="AO449" s="60">
        <f>IFERROR(__xludf.DUMMYFUNCTION("IFERROR((GOOGLEFINANCE($A449,""closeyest"")),"""")"),40.8)</f>
        <v>40.8</v>
      </c>
      <c r="AP449" s="60">
        <f>IFERROR(__xludf.DUMMYFUNCTION("IFERROR((GOOGLEFINANCE($A449,""shares"")),"""")"),8821712.0)</f>
        <v>8821712</v>
      </c>
      <c r="AQ449" s="18"/>
    </row>
    <row r="450">
      <c r="A450" s="45" t="str">
        <f>'Dados StatusInvest'!A445:A1064</f>
        <v>PETR3</v>
      </c>
      <c r="B450" s="46" t="str">
        <f>IFERROR(__xludf.DUMMYFUNCTION("IFERROR((GOOGLEFINANCE(A450,""name"")),"""")"),"Petrobras Brasileiro Cedear")</f>
        <v>Petrobras Brasileiro Cedear</v>
      </c>
      <c r="C450" s="46" t="str">
        <f>IFERROR((VLOOKUP(LEFT($A450,4),Setor!$A:$E,3,0)),"")</f>
        <v>Petróleo, Gás e Biocombustíveis</v>
      </c>
      <c r="D450" s="46" t="str">
        <f>IFERROR((VLOOKUP(LEFT($A450,4),Setor!$A:$E,4,0)),"")</f>
        <v>Petróleo, Gás e Biocombustíveis</v>
      </c>
      <c r="E450" s="46" t="str">
        <f>IFERROR((VLOOKUP(LEFT($A450,4),Setor!$A:$E,5,0)),"")</f>
        <v>Exploração, Refino e Distribuição</v>
      </c>
      <c r="F450" s="47">
        <f>IFERROR(__xludf.DUMMYFUNCTION("IFERROR((GOOGLEFINANCE(A450)),"""")"),11370.0)</f>
        <v>11370</v>
      </c>
      <c r="G450" s="48" t="str">
        <f>IFERROR(__xludf.DUMMYFUNCTION("IFERROR((sparkline(GOOGLEFINANCE($A450,""price"",TODAY()-30,TODAY(),""DAILY""),{""charttype"",""line"";""linewidth"",1;""color"",""#5f88cc""})),"""")"),"")</f>
        <v/>
      </c>
      <c r="H450" s="49">
        <f>IFERROR(__xludf.DUMMYFUNCTION("IFERROR((((GOOGLEFINANCE(A450))-(INDEX(GoogleFinance(A450,""PRICE"",$AQ$1),2,2)))/(INDEX(GoogleFinance(A450,""PRICE"",$AQ$1),2,2))),"""")"),0.11909448818897637)</f>
        <v>0.1190944882</v>
      </c>
      <c r="I450" s="47">
        <f>IFERROR(__xludf.DUMMYFUNCTION("IFERROR((GOOGLEFINANCE($A450,""high52"")),"""")"),12120.0)</f>
        <v>12120</v>
      </c>
      <c r="J450" s="48" t="str">
        <f>IFERROR(__xludf.DUMMYFUNCTION("IFERROR((sparkline(GOOGLEFINANCE($A450,""price"",TODAY()-365,TODAY(),""DAILY""),{""charttype"",""line"";""linewidth"",1;""color"",""#5f88cc""})),"""")"),"")</f>
        <v/>
      </c>
      <c r="K450" s="50">
        <f>IFERROR(__xludf.DUMMYFUNCTION("IFERROR((((GOOGLEFINANCE(A450))-(INDEX(GoogleFinance(A450,""PRICE"",$AP$1),2,2)))/(INDEX(GoogleFinance(A450,""PRICE"",$AP$1),2,2))),"""")"),0.24534501642935377)</f>
        <v>0.2453450164</v>
      </c>
      <c r="L450" s="51">
        <f t="shared" si="1"/>
        <v>-0.06188118812</v>
      </c>
      <c r="M450" s="52">
        <f>IFERROR((VLOOKUP($A450,'Dados StatusInvest'!$A:$AZ,COLUMN(M450)-$A$5,0)*VLOOKUP($A450,'Dados StatusInvest'!$A:$AZ,2,0)/$F450/100),0)</f>
        <v>0.0009607377309</v>
      </c>
      <c r="N450" s="53">
        <f>IFERROR((VLOOKUP($A450,'Dados StatusInvest'!$A:$AZ,COLUMN(N450)-$A$5,0)/VLOOKUP($A450,'Dados StatusInvest'!$A:$AZ,2,0)*$F450),"")</f>
        <v>4353.117261</v>
      </c>
      <c r="O450" s="53">
        <f>IFERROR((VLOOKUP($A450,'Dados StatusInvest'!$A:$AZ,COLUMN(O450)-$A$5,0)/VLOOKUP($A450,'Dados StatusInvest'!$A:$AZ,2,0)*$F450),0)</f>
        <v>1123.474144</v>
      </c>
      <c r="P450" s="54">
        <f>IFERROR((VLOOKUP($A450,'Dados StatusInvest'!$A:$AZ,COLUMN(P450)-$A$5,0)/VLOOKUP($A450,'Dados StatusInvest'!$A:$AZ,2,0)*$F450),0)</f>
        <v>1750.080117</v>
      </c>
      <c r="Q450" s="55">
        <f>IFERROR((VLOOKUP($A450,'Dados StatusInvest'!$A:$AZ,COLUMN(Q450)-$A$5,0)/100),0)</f>
        <v>0.0241</v>
      </c>
      <c r="R450" s="56">
        <f>VLOOKUP($A450,'Dados StatusInvest'!$A:$AZ,COLUMN(R450)-$A$5,0)</f>
        <v>0.74</v>
      </c>
      <c r="S450" s="56">
        <f>IFERROR((VLOOKUP($A450,'Dados StatusInvest'!$A:$AZ,COLUMN(S450)-$A$5,0)),0)</f>
        <v>1.08</v>
      </c>
      <c r="T450" s="53">
        <f>IFERROR((VLOOKUP($A450,'Dados StatusInvest'!$A:$AZ,COLUMN(T450)-$A$5,0)/VLOOKUP($A450,'Dados StatusInvest'!$A:$AZ,2,0)*$F450),0)</f>
        <v>-4438.689002</v>
      </c>
      <c r="U450" s="53">
        <f>IFERROR((VLOOKUP($A450,'Dados StatusInvest'!$A:$AZ,COLUMN(U450)-$A$5,0)-VLOOKUP($A450,'Dados StatusInvest'!$A:$AZ,COLUMN(U450)-$A$5-1,0)+T450),0)</f>
        <v>-4423.109002</v>
      </c>
      <c r="V450" s="56">
        <f>IFERROR((VLOOKUP($A450,'Dados StatusInvest'!$A:$AZ,COLUMN(V450)-$A$5,0)),0)</f>
        <v>0.82</v>
      </c>
      <c r="W450" s="56">
        <f>IFERROR((VLOOKUP($A450,'Dados StatusInvest'!$A:$AZ,COLUMN(W450)-$A$5,0)),0)</f>
        <v>18.33</v>
      </c>
      <c r="X450" s="53">
        <f>IFERROR((VLOOKUP($A450,'Dados StatusInvest'!$A:$AZ,COLUMN(X450)-$A$5,0)/VLOOKUP($A450,'Dados StatusInvest'!$A:$AZ,2,0)*$F450),0)</f>
        <v>1766.642389</v>
      </c>
      <c r="Y450" s="54">
        <f>IFERROR((VLOOKUP($A450,'Dados StatusInvest'!$A:$AZ,COLUMN(Y450)-$A$5,0)/VLOOKUP($A450,'Dados StatusInvest'!$A:$AZ,2,0)*$F450),0)</f>
        <v>1984.712309</v>
      </c>
      <c r="Z450" s="56">
        <f>IFERROR((VLOOKUP($A450,'Dados StatusInvest'!$A:$AZ,COLUMN(Z450)-$A$5,0)),0)</f>
        <v>0.35</v>
      </c>
      <c r="AA450" s="57">
        <f>IFERROR((VLOOKUP($A450,'Dados StatusInvest'!$A:$AZ,COLUMN(AA450)-$A$5,0)),0)</f>
        <v>0.65</v>
      </c>
      <c r="AB450" s="57">
        <f>IFERROR((VLOOKUP($A450,'Dados StatusInvest'!$A:$AZ,COLUMN(AB450)-$A$5,0)),0)</f>
        <v>0.41</v>
      </c>
      <c r="AC450" s="58">
        <f>IFERROR((VLOOKUP($A450,'Dados StatusInvest'!$A:$AZ,COLUMN(AC450)-$A$5,0)),0)</f>
        <v>10.18</v>
      </c>
      <c r="AD450" s="57">
        <f>IFERROR((VLOOKUP($A450,'Dados StatusInvest'!$A:$AZ,COLUMN(AD450)-$A$5,0)),0)</f>
        <v>14.07</v>
      </c>
      <c r="AE450" s="56">
        <f>IFERROR((VLOOKUP($A450,'Dados StatusInvest'!$A:$AZ,COLUMN(AE450)-$A$5,0)),0)</f>
        <v>557000000</v>
      </c>
      <c r="AF450" s="56">
        <f>IFERROR((VLOOKUP($A450,'Dados StatusInvest'!$A:$AZ,COLUMN(AF450)-$A$5,0)),0)</f>
        <v>32.81</v>
      </c>
      <c r="AG450" s="56">
        <f>IFERROR((VLOOKUP($A450,'Dados StatusInvest'!$A:$AZ,COLUMN(AG450)-$A$5,0)),0)</f>
        <v>6.01</v>
      </c>
      <c r="AH450" s="56">
        <f>IFERROR((VLOOKUP($A450,'Dados StatusInvest'!$A:$AZ,COLUMN(AH450)-$A$5,0)),0)</f>
        <v>-0.81</v>
      </c>
      <c r="AI450" s="57">
        <f>IFERROR((VLOOKUP($A450,'Dados StatusInvest'!$A:$AZ,COLUMN(AI450)-$A$5,0)),0)</f>
        <v>512478000000</v>
      </c>
      <c r="AJ450" s="59" t="str">
        <f>IFERROR((VLOOKUP($A450,'Dados StatusInvest'!$A:$AZ,COLUMN(AJ450)-$A$5,0)),0)</f>
        <v/>
      </c>
      <c r="AK450" s="60" t="str">
        <f>IFERROR(__xludf.DUMMYFUNCTION("IFERROR(GOOGLEFINANCE($A450,""high""),"""")"),"")</f>
        <v/>
      </c>
      <c r="AL450" s="60" t="str">
        <f>IFERROR(__xludf.DUMMYFUNCTION("IFERROR(GOOGLEFINANCE($A450,""low""),"""")"),"")</f>
        <v/>
      </c>
      <c r="AM450" s="61">
        <f t="shared" si="2"/>
        <v>0</v>
      </c>
      <c r="AN450" s="62">
        <f>IFERROR(__xludf.DUMMYFUNCTION("IFERROR((GOOGLEFINANCE($A450,""volume"")),0)"),0.0)</f>
        <v>0</v>
      </c>
      <c r="AO450" s="60">
        <f>IFERROR(__xludf.DUMMYFUNCTION("IFERROR((GOOGLEFINANCE($A450,""closeyest"")),"""")"),11370.0)</f>
        <v>11370</v>
      </c>
      <c r="AP450" s="60" t="str">
        <f>IFERROR(__xludf.DUMMYFUNCTION("IFERROR((GOOGLEFINANCE($A450,""shares"")),"""")"),"")</f>
        <v/>
      </c>
      <c r="AQ450" s="18"/>
    </row>
    <row r="451">
      <c r="A451" s="45" t="str">
        <f>'Dados StatusInvest'!A446:A1065</f>
        <v>PETR4</v>
      </c>
      <c r="B451" s="46" t="str">
        <f>IFERROR(__xludf.DUMMYFUNCTION("IFERROR((GOOGLEFINANCE(A451,""name"")),"""")"),"Petroleo Brasileiro SA Petrobras Preference Shares")</f>
        <v>Petroleo Brasileiro SA Petrobras Preference Shares</v>
      </c>
      <c r="C451" s="46" t="str">
        <f>IFERROR((VLOOKUP(LEFT($A451,4),Setor!$A:$E,3,0)),"")</f>
        <v>Petróleo, Gás e Biocombustíveis</v>
      </c>
      <c r="D451" s="46" t="str">
        <f>IFERROR((VLOOKUP(LEFT($A451,4),Setor!$A:$E,4,0)),"")</f>
        <v>Petróleo, Gás e Biocombustíveis</v>
      </c>
      <c r="E451" s="46" t="str">
        <f>IFERROR((VLOOKUP(LEFT($A451,4),Setor!$A:$E,5,0)),"")</f>
        <v>Exploração, Refino e Distribuição</v>
      </c>
      <c r="F451" s="47">
        <f>IFERROR(__xludf.DUMMYFUNCTION("IFERROR((GOOGLEFINANCE(A451)),"""")"),37.68)</f>
        <v>37.68</v>
      </c>
      <c r="G451" s="48" t="str">
        <f>IFERROR(__xludf.DUMMYFUNCTION("IFERROR((sparkline(GOOGLEFINANCE($A451,""price"",TODAY()-30,TODAY(),""DAILY""),{""charttype"",""line"";""linewidth"",1;""color"",""#5f88cc""})),"""")"),"")</f>
        <v/>
      </c>
      <c r="H451" s="49">
        <f>IFERROR(__xludf.DUMMYFUNCTION("IFERROR((((GOOGLEFINANCE(A451))-(INDEX(GoogleFinance(A451,""PRICE"",$AQ$1),2,2)))/(INDEX(GoogleFinance(A451,""PRICE"",$AQ$1),2,2))),"""")"),0.12713131917439427)</f>
        <v>0.1271313192</v>
      </c>
      <c r="I451" s="47">
        <f>IFERROR(__xludf.DUMMYFUNCTION("IFERROR((GOOGLEFINANCE($A451,""high52"")),"""")"),38.58)</f>
        <v>38.58</v>
      </c>
      <c r="J451" s="48" t="str">
        <f>IFERROR(__xludf.DUMMYFUNCTION("IFERROR((sparkline(GOOGLEFINANCE($A451,""price"",TODAY()-365,TODAY(),""DAILY""),{""charttype"",""line"";""linewidth"",1;""color"",""#5f88cc""})),"""")"),"")</f>
        <v/>
      </c>
      <c r="K451" s="50">
        <f>IFERROR(__xludf.DUMMYFUNCTION("IFERROR((((GOOGLEFINANCE(A451))-(INDEX(GoogleFinance(A451,""PRICE"",$AP$1),2,2)))/(INDEX(GoogleFinance(A451,""PRICE"",$AP$1),2,2))),"""")"),-0.021298701298701306)</f>
        <v>-0.0212987013</v>
      </c>
      <c r="L451" s="51">
        <f t="shared" si="1"/>
        <v>-0.0233281493</v>
      </c>
      <c r="M451" s="52">
        <f>IFERROR((VLOOKUP($A451,'Dados StatusInvest'!$A:$AZ,COLUMN(M451)-$A$5,0)*VLOOKUP($A451,'Dados StatusInvest'!$A:$AZ,2,0)/$F451/100),0)</f>
        <v>0.2661149682</v>
      </c>
      <c r="N451" s="53">
        <f>IFERROR((VLOOKUP($A451,'Dados StatusInvest'!$A:$AZ,COLUMN(N451)-$A$5,0)/VLOOKUP($A451,'Dados StatusInvest'!$A:$AZ,2,0)*$F451),"")</f>
        <v>15.71577889</v>
      </c>
      <c r="O451" s="53">
        <f>IFERROR((VLOOKUP($A451,'Dados StatusInvest'!$A:$AZ,COLUMN(O451)-$A$5,0)/VLOOKUP($A451,'Dados StatusInvest'!$A:$AZ,2,0)*$F451),0)</f>
        <v>3.727140968</v>
      </c>
      <c r="P451" s="54">
        <f>IFERROR((VLOOKUP($A451,'Dados StatusInvest'!$A:$AZ,COLUMN(P451)-$A$5,0)/VLOOKUP($A451,'Dados StatusInvest'!$A:$AZ,2,0)*$F451),0)</f>
        <v>6.318201534</v>
      </c>
      <c r="Q451" s="55">
        <f>IFERROR((VLOOKUP($A451,'Dados StatusInvest'!$A:$AZ,COLUMN(Q451)-$A$5,0)/100),0)</f>
        <v>0.0241</v>
      </c>
      <c r="R451" s="56">
        <f>VLOOKUP($A451,'Dados StatusInvest'!$A:$AZ,COLUMN(R451)-$A$5,0)</f>
        <v>0.74</v>
      </c>
      <c r="S451" s="56">
        <f>IFERROR((VLOOKUP($A451,'Dados StatusInvest'!$A:$AZ,COLUMN(S451)-$A$5,0)),0)</f>
        <v>0.99</v>
      </c>
      <c r="T451" s="53">
        <f>IFERROR((VLOOKUP($A451,'Dados StatusInvest'!$A:$AZ,COLUMN(T451)-$A$5,0)/VLOOKUP($A451,'Dados StatusInvest'!$A:$AZ,2,0)*$F451),0)</f>
        <v>-14.70925152</v>
      </c>
      <c r="U451" s="53">
        <f>IFERROR((VLOOKUP($A451,'Dados StatusInvest'!$A:$AZ,COLUMN(U451)-$A$5,0)-VLOOKUP($A451,'Dados StatusInvest'!$A:$AZ,COLUMN(U451)-$A$5-1,0)+T451),0)</f>
        <v>-0.4092515208</v>
      </c>
      <c r="V451" s="56">
        <f>IFERROR((VLOOKUP($A451,'Dados StatusInvest'!$A:$AZ,COLUMN(V451)-$A$5,0)),0)</f>
        <v>0.82</v>
      </c>
      <c r="W451" s="56">
        <f>IFERROR((VLOOKUP($A451,'Dados StatusInvest'!$A:$AZ,COLUMN(W451)-$A$5,0)),0)</f>
        <v>18.33</v>
      </c>
      <c r="X451" s="53">
        <f>IFERROR((VLOOKUP($A451,'Dados StatusInvest'!$A:$AZ,COLUMN(X451)-$A$5,0)/VLOOKUP($A451,'Dados StatusInvest'!$A:$AZ,2,0)*$F451),0)</f>
        <v>6.377995239</v>
      </c>
      <c r="Y451" s="54">
        <f>IFERROR((VLOOKUP($A451,'Dados StatusInvest'!$A:$AZ,COLUMN(Y451)-$A$5,0)/VLOOKUP($A451,'Dados StatusInvest'!$A:$AZ,2,0)*$F451),0)</f>
        <v>7.165279027</v>
      </c>
      <c r="Z451" s="56">
        <f>IFERROR((VLOOKUP($A451,'Dados StatusInvest'!$A:$AZ,COLUMN(Z451)-$A$5,0)),0)</f>
        <v>0.35</v>
      </c>
      <c r="AA451" s="57">
        <f>IFERROR((VLOOKUP($A451,'Dados StatusInvest'!$A:$AZ,COLUMN(AA451)-$A$5,0)),0)</f>
        <v>0.65</v>
      </c>
      <c r="AB451" s="57">
        <f>IFERROR((VLOOKUP($A451,'Dados StatusInvest'!$A:$AZ,COLUMN(AB451)-$A$5,0)),0)</f>
        <v>0.41</v>
      </c>
      <c r="AC451" s="58">
        <f>IFERROR((VLOOKUP($A451,'Dados StatusInvest'!$A:$AZ,COLUMN(AC451)-$A$5,0)),0)</f>
        <v>10.18</v>
      </c>
      <c r="AD451" s="57">
        <f>IFERROR((VLOOKUP($A451,'Dados StatusInvest'!$A:$AZ,COLUMN(AD451)-$A$5,0)),0)</f>
        <v>14.07</v>
      </c>
      <c r="AE451" s="56">
        <f>IFERROR((VLOOKUP($A451,'Dados StatusInvest'!$A:$AZ,COLUMN(AE451)-$A$5,0)),0)</f>
        <v>1570000000</v>
      </c>
      <c r="AF451" s="56">
        <f>IFERROR((VLOOKUP($A451,'Dados StatusInvest'!$A:$AZ,COLUMN(AF451)-$A$5,0)),0)</f>
        <v>32.81</v>
      </c>
      <c r="AG451" s="56">
        <f>IFERROR((VLOOKUP($A451,'Dados StatusInvest'!$A:$AZ,COLUMN(AG451)-$A$5,0)),0)</f>
        <v>6.01</v>
      </c>
      <c r="AH451" s="56">
        <f>IFERROR((VLOOKUP($A451,'Dados StatusInvest'!$A:$AZ,COLUMN(AH451)-$A$5,0)),0)</f>
        <v>-0.74</v>
      </c>
      <c r="AI451" s="57">
        <f>IFERROR((VLOOKUP($A451,'Dados StatusInvest'!$A:$AZ,COLUMN(AI451)-$A$5,0)),0)</f>
        <v>512478000000</v>
      </c>
      <c r="AJ451" s="59" t="str">
        <f>IFERROR((VLOOKUP($A451,'Dados StatusInvest'!$A:$AZ,COLUMN(AJ451)-$A$5,0)),0)</f>
        <v/>
      </c>
      <c r="AK451" s="60">
        <f>IFERROR(__xludf.DUMMYFUNCTION("IFERROR(GOOGLEFINANCE($A451,""high""),"""")"),37.78)</f>
        <v>37.78</v>
      </c>
      <c r="AL451" s="60">
        <f>IFERROR(__xludf.DUMMYFUNCTION("IFERROR(GOOGLEFINANCE($A451,""low""),"""")"),37.6)</f>
        <v>37.6</v>
      </c>
      <c r="AM451" s="61">
        <f t="shared" si="2"/>
        <v>0.004787234043</v>
      </c>
      <c r="AN451" s="62">
        <f>IFERROR(__xludf.DUMMYFUNCTION("IFERROR((GOOGLEFINANCE($A451,""volume"")),0)"),2450200.0)</f>
        <v>2450200</v>
      </c>
      <c r="AO451" s="60">
        <f>IFERROR(__xludf.DUMMYFUNCTION("IFERROR((GOOGLEFINANCE($A451,""closeyest"")),"""")"),37.81)</f>
        <v>37.81</v>
      </c>
      <c r="AP451" s="60">
        <f>IFERROR(__xludf.DUMMYFUNCTION("IFERROR((GOOGLEFINANCE($A451,""shares"")),"""")"),5.446501379E9)</f>
        <v>5446501379</v>
      </c>
      <c r="AQ451" s="18"/>
    </row>
    <row r="452">
      <c r="A452" s="45" t="str">
        <f>'Dados StatusInvest'!A447:A1066</f>
        <v>PETZ3</v>
      </c>
      <c r="B452" s="46" t="str">
        <f>IFERROR(__xludf.DUMMYFUNCTION("IFERROR((GOOGLEFINANCE(A452,""name"")),"""")"),"")</f>
        <v/>
      </c>
      <c r="C452" s="46" t="str">
        <f>IFERROR((VLOOKUP(LEFT($A452,4),Setor!$A:$E,3,0)),"")</f>
        <v>Consumo Cíclico</v>
      </c>
      <c r="D452" s="46" t="str">
        <f>IFERROR((VLOOKUP(LEFT($A452,4),Setor!$A:$E,4,0)),"")</f>
        <v>Comércio</v>
      </c>
      <c r="E452" s="46" t="str">
        <f>IFERROR((VLOOKUP(LEFT($A452,4),Setor!$A:$E,5,0)),"")</f>
        <v>Produtos Diversos</v>
      </c>
      <c r="F452" s="47" t="str">
        <f>IFERROR(__xludf.DUMMYFUNCTION("IFERROR((GOOGLEFINANCE(A452)),"""")"),"")</f>
        <v/>
      </c>
      <c r="G452" s="48" t="str">
        <f>IFERROR(__xludf.DUMMYFUNCTION("IFERROR((sparkline(GOOGLEFINANCE($A452,""price"",TODAY()-30,TODAY(),""DAILY""),{""charttype"",""line"";""linewidth"",1;""color"",""#5f88cc""})),"""")"),"")</f>
        <v/>
      </c>
      <c r="H452" s="49" t="str">
        <f>IFERROR(__xludf.DUMMYFUNCTION("IFERROR((((GOOGLEFINANCE(A452))-(INDEX(GoogleFinance(A452,""PRICE"",$AQ$1),2,2)))/(INDEX(GoogleFinance(A452,""PRICE"",$AQ$1),2,2))),"""")"),"")</f>
        <v/>
      </c>
      <c r="I452" s="47" t="str">
        <f>IFERROR(__xludf.DUMMYFUNCTION("IFERROR((GOOGLEFINANCE($A452,""high52"")),"""")"),"")</f>
        <v/>
      </c>
      <c r="J452" s="48" t="str">
        <f>IFERROR(__xludf.DUMMYFUNCTION("IFERROR((sparkline(GOOGLEFINANCE($A452,""price"",TODAY()-365,TODAY(),""DAILY""),{""charttype"",""line"";""linewidth"",1;""color"",""#5f88cc""})),"""")"),"")</f>
        <v/>
      </c>
      <c r="K452" s="50" t="str">
        <f>IFERROR(__xludf.DUMMYFUNCTION("IFERROR((((GOOGLEFINANCE(A452))-(INDEX(GoogleFinance(A452,""PRICE"",$AP$1),2,2)))/(INDEX(GoogleFinance(A452,""PRICE"",$AP$1),2,2))),"""")"),"")</f>
        <v/>
      </c>
      <c r="L452" s="51">
        <f t="shared" si="1"/>
        <v>0</v>
      </c>
      <c r="M452" s="52">
        <f>IFERROR((VLOOKUP($A452,'Dados StatusInvest'!$A:$AZ,COLUMN(M452)-$A$5,0)*VLOOKUP($A452,'Dados StatusInvest'!$A:$AZ,2,0)/$F452/100),0)</f>
        <v>0</v>
      </c>
      <c r="N452" s="53">
        <f>IFERROR((VLOOKUP($A452,'Dados StatusInvest'!$A:$AZ,COLUMN(N452)-$A$5,0)/VLOOKUP($A452,'Dados StatusInvest'!$A:$AZ,2,0)*$F452),"")</f>
        <v>0</v>
      </c>
      <c r="O452" s="53">
        <f>IFERROR((VLOOKUP($A452,'Dados StatusInvest'!$A:$AZ,COLUMN(O452)-$A$5,0)/VLOOKUP($A452,'Dados StatusInvest'!$A:$AZ,2,0)*$F452),0)</f>
        <v>0</v>
      </c>
      <c r="P452" s="54">
        <f>IFERROR((VLOOKUP($A452,'Dados StatusInvest'!$A:$AZ,COLUMN(P452)-$A$5,0)/VLOOKUP($A452,'Dados StatusInvest'!$A:$AZ,2,0)*$F452),0)</f>
        <v>0</v>
      </c>
      <c r="Q452" s="55">
        <f>IFERROR((VLOOKUP($A452,'Dados StatusInvest'!$A:$AZ,COLUMN(Q452)-$A$5,0)/100),0)</f>
        <v>-0.0066</v>
      </c>
      <c r="R452" s="56">
        <f>VLOOKUP($A452,'Dados StatusInvest'!$A:$AZ,COLUMN(R452)-$A$5,0)</f>
        <v>-0.05</v>
      </c>
      <c r="S452" s="56">
        <f>IFERROR((VLOOKUP($A452,'Dados StatusInvest'!$A:$AZ,COLUMN(S452)-$A$5,0)),0)</f>
        <v>0.56</v>
      </c>
      <c r="T452" s="53">
        <f>IFERROR((VLOOKUP($A452,'Dados StatusInvest'!$A:$AZ,COLUMN(T452)-$A$5,0)/VLOOKUP($A452,'Dados StatusInvest'!$A:$AZ,2,0)*$F452),0)</f>
        <v>0</v>
      </c>
      <c r="U452" s="53">
        <f>IFERROR((VLOOKUP($A452,'Dados StatusInvest'!$A:$AZ,COLUMN(U452)-$A$5,0)-VLOOKUP($A452,'Dados StatusInvest'!$A:$AZ,COLUMN(U452)-$A$5-1,0)+T452),0)</f>
        <v>-3.94</v>
      </c>
      <c r="V452" s="56">
        <f>IFERROR((VLOOKUP($A452,'Dados StatusInvest'!$A:$AZ,COLUMN(V452)-$A$5,0)),0)</f>
        <v>1.71</v>
      </c>
      <c r="W452" s="56">
        <f>IFERROR((VLOOKUP($A452,'Dados StatusInvest'!$A:$AZ,COLUMN(W452)-$A$5,0)),0)</f>
        <v>0.21</v>
      </c>
      <c r="X452" s="53">
        <f>IFERROR((VLOOKUP($A452,'Dados StatusInvest'!$A:$AZ,COLUMN(X452)-$A$5,0)/VLOOKUP($A452,'Dados StatusInvest'!$A:$AZ,2,0)*$F452),0)</f>
        <v>0</v>
      </c>
      <c r="Y452" s="54">
        <f>IFERROR((VLOOKUP($A452,'Dados StatusInvest'!$A:$AZ,COLUMN(Y452)-$A$5,0)/VLOOKUP($A452,'Dados StatusInvest'!$A:$AZ,2,0)*$F452),0)</f>
        <v>0</v>
      </c>
      <c r="Z452" s="56">
        <f>IFERROR((VLOOKUP($A452,'Dados StatusInvest'!$A:$AZ,COLUMN(Z452)-$A$5,0)),0)</f>
        <v>0.44</v>
      </c>
      <c r="AA452" s="57">
        <f>IFERROR((VLOOKUP($A452,'Dados StatusInvest'!$A:$AZ,COLUMN(AA452)-$A$5,0)),0)</f>
        <v>0.56</v>
      </c>
      <c r="AB452" s="57">
        <f>IFERROR((VLOOKUP($A452,'Dados StatusInvest'!$A:$AZ,COLUMN(AB452)-$A$5,0)),0)</f>
        <v>0.89</v>
      </c>
      <c r="AC452" s="58">
        <f>IFERROR((VLOOKUP($A452,'Dados StatusInvest'!$A:$AZ,COLUMN(AC452)-$A$5,0)),0)</f>
        <v>27.5</v>
      </c>
      <c r="AD452" s="57">
        <f>IFERROR((VLOOKUP($A452,'Dados StatusInvest'!$A:$AZ,COLUMN(AD452)-$A$5,0)),0)</f>
        <v>-31.16</v>
      </c>
      <c r="AE452" s="56">
        <f>IFERROR((VLOOKUP($A452,'Dados StatusInvest'!$A:$AZ,COLUMN(AE452)-$A$5,0)),0)</f>
        <v>23680881</v>
      </c>
      <c r="AF452" s="56">
        <f>IFERROR((VLOOKUP($A452,'Dados StatusInvest'!$A:$AZ,COLUMN(AF452)-$A$5,0)),0)</f>
        <v>3.8</v>
      </c>
      <c r="AG452" s="56">
        <f>IFERROR((VLOOKUP($A452,'Dados StatusInvest'!$A:$AZ,COLUMN(AG452)-$A$5,0)),0)</f>
        <v>0.01</v>
      </c>
      <c r="AH452" s="56">
        <f>IFERROR((VLOOKUP($A452,'Dados StatusInvest'!$A:$AZ,COLUMN(AH452)-$A$5,0)),0)</f>
        <v>-16.8</v>
      </c>
      <c r="AI452" s="57">
        <f>IFERROR((VLOOKUP($A452,'Dados StatusInvest'!$A:$AZ,COLUMN(AI452)-$A$5,0)),0)</f>
        <v>1980504205</v>
      </c>
      <c r="AJ452" s="59" t="str">
        <f>IFERROR((VLOOKUP($A452,'Dados StatusInvest'!$A:$AZ,COLUMN(AJ452)-$A$5,0)),0)</f>
        <v/>
      </c>
      <c r="AK452" s="60" t="str">
        <f>IFERROR(__xludf.DUMMYFUNCTION("IFERROR(GOOGLEFINANCE($A452,""high""),"""")"),"")</f>
        <v/>
      </c>
      <c r="AL452" s="60" t="str">
        <f>IFERROR(__xludf.DUMMYFUNCTION("IFERROR(GOOGLEFINANCE($A452,""low""),"""")"),"")</f>
        <v/>
      </c>
      <c r="AM452" s="61">
        <f t="shared" si="2"/>
        <v>0</v>
      </c>
      <c r="AN452" s="62">
        <f>IFERROR(__xludf.DUMMYFUNCTION("IFERROR((GOOGLEFINANCE($A452,""volume"")),0)"),0.0)</f>
        <v>0</v>
      </c>
      <c r="AO452" s="60" t="str">
        <f>IFERROR(__xludf.DUMMYFUNCTION("IFERROR((GOOGLEFINANCE($A452,""closeyest"")),"""")"),"")</f>
        <v/>
      </c>
      <c r="AP452" s="60" t="str">
        <f>IFERROR(__xludf.DUMMYFUNCTION("IFERROR((GOOGLEFINANCE($A452,""shares"")),"""")"),"")</f>
        <v/>
      </c>
      <c r="AQ452" s="18"/>
    </row>
    <row r="453">
      <c r="A453" s="45" t="str">
        <f>'Dados StatusInvest'!A448:A1067</f>
        <v>PFRM3</v>
      </c>
      <c r="B453" s="46" t="str">
        <f>IFERROR(__xludf.DUMMYFUNCTION("IFERROR((GOOGLEFINANCE(A453,""name"")),"""")"),"Profarma Distribuidora de Produts Frm SA")</f>
        <v>Profarma Distribuidora de Produts Frm SA</v>
      </c>
      <c r="C453" s="46" t="str">
        <f>IFERROR((VLOOKUP(LEFT($A453,4),Setor!$A:$E,3,0)),"")</f>
        <v>Saúde</v>
      </c>
      <c r="D453" s="46" t="str">
        <f>IFERROR((VLOOKUP(LEFT($A453,4),Setor!$A:$E,4,0)),"")</f>
        <v>Comércio e Distribuição</v>
      </c>
      <c r="E453" s="46" t="str">
        <f>IFERROR((VLOOKUP(LEFT($A453,4),Setor!$A:$E,5,0)),"")</f>
        <v>Medicamentos e Outros Produtos</v>
      </c>
      <c r="F453" s="47">
        <f>IFERROR(__xludf.DUMMYFUNCTION("IFERROR((GOOGLEFINANCE(A453)),"""")"),8.62)</f>
        <v>8.62</v>
      </c>
      <c r="G453" s="48" t="str">
        <f>IFERROR(__xludf.DUMMYFUNCTION("IFERROR((sparkline(GOOGLEFINANCE($A453,""price"",TODAY()-30,TODAY(),""DAILY""),{""charttype"",""line"";""linewidth"",1;""color"",""#5f88cc""})),"""")"),"")</f>
        <v/>
      </c>
      <c r="H453" s="49">
        <f>IFERROR(__xludf.DUMMYFUNCTION("IFERROR((((GOOGLEFINANCE(A453))-(INDEX(GoogleFinance(A453,""PRICE"",$AQ$1),2,2)))/(INDEX(GoogleFinance(A453,""PRICE"",$AQ$1),2,2))),"""")"),0.04611650485436881)</f>
        <v>0.04611650485</v>
      </c>
      <c r="I453" s="47">
        <f>IFERROR(__xludf.DUMMYFUNCTION("IFERROR((GOOGLEFINANCE($A453,""high52"")),"""")"),9.7)</f>
        <v>9.7</v>
      </c>
      <c r="J453" s="48" t="str">
        <f>IFERROR(__xludf.DUMMYFUNCTION("IFERROR((sparkline(GOOGLEFINANCE($A453,""price"",TODAY()-365,TODAY(),""DAILY""),{""charttype"",""line"";""linewidth"",1;""color"",""#5f88cc""})),"""")"),"")</f>
        <v/>
      </c>
      <c r="K453" s="50">
        <f>IFERROR(__xludf.DUMMYFUNCTION("IFERROR((((GOOGLEFINANCE(A453))-(INDEX(GoogleFinance(A453,""PRICE"",$AP$1),2,2)))/(INDEX(GoogleFinance(A453,""PRICE"",$AP$1),2,2))),"""")"),0.24566473988439297)</f>
        <v>0.2456647399</v>
      </c>
      <c r="L453" s="51">
        <f t="shared" si="1"/>
        <v>-0.1113402062</v>
      </c>
      <c r="M453" s="52">
        <f>IFERROR((VLOOKUP($A453,'Dados StatusInvest'!$A:$AZ,COLUMN(M453)-$A$5,0)*VLOOKUP($A453,'Dados StatusInvest'!$A:$AZ,2,0)/$F453/100),0)</f>
        <v>0.02825986079</v>
      </c>
      <c r="N453" s="53">
        <f>IFERROR((VLOOKUP($A453,'Dados StatusInvest'!$A:$AZ,COLUMN(N453)-$A$5,0)/VLOOKUP($A453,'Dados StatusInvest'!$A:$AZ,2,0)*$F453),"")</f>
        <v>1.020528736</v>
      </c>
      <c r="O453" s="53">
        <f>IFERROR((VLOOKUP($A453,'Dados StatusInvest'!$A:$AZ,COLUMN(O453)-$A$5,0)/VLOOKUP($A453,'Dados StatusInvest'!$A:$AZ,2,0)*$F453),0)</f>
        <v>3.378643678</v>
      </c>
      <c r="P453" s="54">
        <f>IFERROR((VLOOKUP($A453,'Dados StatusInvest'!$A:$AZ,COLUMN(P453)-$A$5,0)/VLOOKUP($A453,'Dados StatusInvest'!$A:$AZ,2,0)*$F453),0)</f>
        <v>5.033287356</v>
      </c>
      <c r="Q453" s="55">
        <f>IFERROR((VLOOKUP($A453,'Dados StatusInvest'!$A:$AZ,COLUMN(Q453)-$A$5,0)/100),0)</f>
        <v>0.0167</v>
      </c>
      <c r="R453" s="56">
        <f>VLOOKUP($A453,'Dados StatusInvest'!$A:$AZ,COLUMN(R453)-$A$5,0)</f>
        <v>0.38</v>
      </c>
      <c r="S453" s="56">
        <f>IFERROR((VLOOKUP($A453,'Dados StatusInvest'!$A:$AZ,COLUMN(S453)-$A$5,0)),0)</f>
        <v>0.1</v>
      </c>
      <c r="T453" s="53">
        <f>IFERROR((VLOOKUP($A453,'Dados StatusInvest'!$A:$AZ,COLUMN(T453)-$A$5,0)/VLOOKUP($A453,'Dados StatusInvest'!$A:$AZ,2,0)*$F453),0)</f>
        <v>1.188965517</v>
      </c>
      <c r="U453" s="53">
        <f>IFERROR((VLOOKUP($A453,'Dados StatusInvest'!$A:$AZ,COLUMN(U453)-$A$5,0)-VLOOKUP($A453,'Dados StatusInvest'!$A:$AZ,COLUMN(U453)-$A$5-1,0)+T453),0)</f>
        <v>-0.6510344828</v>
      </c>
      <c r="V453" s="56">
        <f>IFERROR((VLOOKUP($A453,'Dados StatusInvest'!$A:$AZ,COLUMN(V453)-$A$5,0)),0)</f>
        <v>1.29</v>
      </c>
      <c r="W453" s="56">
        <f>IFERROR((VLOOKUP($A453,'Dados StatusInvest'!$A:$AZ,COLUMN(W453)-$A$5,0)),0)</f>
        <v>8.35</v>
      </c>
      <c r="X453" s="53">
        <f>IFERROR((VLOOKUP($A453,'Dados StatusInvest'!$A:$AZ,COLUMN(X453)-$A$5,0)/VLOOKUP($A453,'Dados StatusInvest'!$A:$AZ,2,0)*$F453),0)</f>
        <v>2.031149425</v>
      </c>
      <c r="Y453" s="54">
        <f>IFERROR((VLOOKUP($A453,'Dados StatusInvest'!$A:$AZ,COLUMN(Y453)-$A$5,0)/VLOOKUP($A453,'Dados StatusInvest'!$A:$AZ,2,0)*$F453),0)</f>
        <v>11.52305747</v>
      </c>
      <c r="Z453" s="56">
        <f>IFERROR((VLOOKUP($A453,'Dados StatusInvest'!$A:$AZ,COLUMN(Z453)-$A$5,0)),0)</f>
        <v>0.25</v>
      </c>
      <c r="AA453" s="57">
        <f>IFERROR((VLOOKUP($A453,'Dados StatusInvest'!$A:$AZ,COLUMN(AA453)-$A$5,0)),0)</f>
        <v>0.7</v>
      </c>
      <c r="AB453" s="57">
        <f>IFERROR((VLOOKUP($A453,'Dados StatusInvest'!$A:$AZ,COLUMN(AB453)-$A$5,0)),0)</f>
        <v>2</v>
      </c>
      <c r="AC453" s="58">
        <f>IFERROR((VLOOKUP($A453,'Dados StatusInvest'!$A:$AZ,COLUMN(AC453)-$A$5,0)),0)</f>
        <v>16.16</v>
      </c>
      <c r="AD453" s="57">
        <f>IFERROR((VLOOKUP($A453,'Dados StatusInvest'!$A:$AZ,COLUMN(AD453)-$A$5,0)),0)</f>
        <v>57.39</v>
      </c>
      <c r="AE453" s="56">
        <f>IFERROR((VLOOKUP($A453,'Dados StatusInvest'!$A:$AZ,COLUMN(AE453)-$A$5,0)),0)</f>
        <v>2113426</v>
      </c>
      <c r="AF453" s="56">
        <f>IFERROR((VLOOKUP($A453,'Dados StatusInvest'!$A:$AZ,COLUMN(AF453)-$A$5,0)),0)</f>
        <v>11.19</v>
      </c>
      <c r="AG453" s="56">
        <f>IFERROR((VLOOKUP($A453,'Dados StatusInvest'!$A:$AZ,COLUMN(AG453)-$A$5,0)),0)</f>
        <v>0.93</v>
      </c>
      <c r="AH453" s="56">
        <f>IFERROR((VLOOKUP($A453,'Dados StatusInvest'!$A:$AZ,COLUMN(AH453)-$A$5,0)),0)</f>
        <v>1.22</v>
      </c>
      <c r="AI453" s="57">
        <f>IFERROR((VLOOKUP($A453,'Dados StatusInvest'!$A:$AZ,COLUMN(AI453)-$A$5,0)),0)</f>
        <v>1077171125</v>
      </c>
      <c r="AJ453" s="59" t="str">
        <f>IFERROR((VLOOKUP($A453,'Dados StatusInvest'!$A:$AZ,COLUMN(AJ453)-$A$5,0)),0)</f>
        <v/>
      </c>
      <c r="AK453" s="60">
        <f>IFERROR(__xludf.DUMMYFUNCTION("IFERROR(GOOGLEFINANCE($A453,""high""),"""")"),8.7)</f>
        <v>8.7</v>
      </c>
      <c r="AL453" s="60">
        <f>IFERROR(__xludf.DUMMYFUNCTION("IFERROR(GOOGLEFINANCE($A453,""low""),"""")"),8.58)</f>
        <v>8.58</v>
      </c>
      <c r="AM453" s="61">
        <f t="shared" si="2"/>
        <v>0.01398601399</v>
      </c>
      <c r="AN453" s="62">
        <f>IFERROR(__xludf.DUMMYFUNCTION("IFERROR((GOOGLEFINANCE($A453,""volume"")),0)"),7300.0)</f>
        <v>7300</v>
      </c>
      <c r="AO453" s="60">
        <f>IFERROR(__xludf.DUMMYFUNCTION("IFERROR((GOOGLEFINANCE($A453,""closeyest"")),"""")"),8.7)</f>
        <v>8.7</v>
      </c>
      <c r="AP453" s="60">
        <f>IFERROR(__xludf.DUMMYFUNCTION("IFERROR((GOOGLEFINANCE($A453,""shares"")),"""")"),1.23812773E8)</f>
        <v>123812773</v>
      </c>
      <c r="AQ453" s="18"/>
    </row>
    <row r="454">
      <c r="A454" s="45" t="str">
        <f>'Dados StatusInvest'!A449:A1068</f>
        <v>PGMN3</v>
      </c>
      <c r="B454" s="46" t="str">
        <f>IFERROR(__xludf.DUMMYFUNCTION("IFERROR((GOOGLEFINANCE(A454,""name"")),"""")"),"Empreendimentos Pague Menos SA")</f>
        <v>Empreendimentos Pague Menos SA</v>
      </c>
      <c r="C454" s="46" t="str">
        <f>IFERROR((VLOOKUP(LEFT($A454,4),Setor!$A:$E,3,0)),"")</f>
        <v>Saúde</v>
      </c>
      <c r="D454" s="46" t="str">
        <f>IFERROR((VLOOKUP(LEFT($A454,4),Setor!$A:$E,4,0)),"")</f>
        <v>Comércio e Distribuição</v>
      </c>
      <c r="E454" s="46" t="str">
        <f>IFERROR((VLOOKUP(LEFT($A454,4),Setor!$A:$E,5,0)),"")</f>
        <v>Medicamentos e Outros Produtos</v>
      </c>
      <c r="F454" s="47">
        <f>IFERROR(__xludf.DUMMYFUNCTION("IFERROR((GOOGLEFINANCE(A454)),"""")"),7.13)</f>
        <v>7.13</v>
      </c>
      <c r="G454" s="48" t="str">
        <f>IFERROR(__xludf.DUMMYFUNCTION("IFERROR((sparkline(GOOGLEFINANCE($A454,""price"",TODAY()-30,TODAY(),""DAILY""),{""charttype"",""line"";""linewidth"",1;""color"",""#5f88cc""})),"""")"),"")</f>
        <v/>
      </c>
      <c r="H454" s="49">
        <f>IFERROR(__xludf.DUMMYFUNCTION("IFERROR((((GOOGLEFINANCE(A454))-(INDEX(GoogleFinance(A454,""PRICE"",$AQ$1),2,2)))/(INDEX(GoogleFinance(A454,""PRICE"",$AQ$1),2,2))),"""")"),0.12106918238993704)</f>
        <v>0.1210691824</v>
      </c>
      <c r="I454" s="47">
        <f>IFERROR(__xludf.DUMMYFUNCTION("IFERROR((GOOGLEFINANCE($A454,""high52"")),"""")"),7.33)</f>
        <v>7.33</v>
      </c>
      <c r="J454" s="48" t="str">
        <f>IFERROR(__xludf.DUMMYFUNCTION("IFERROR((sparkline(GOOGLEFINANCE($A454,""price"",TODAY()-365,TODAY(),""DAILY""),{""charttype"",""line"";""linewidth"",1;""color"",""#5f88cc""})),"""")"),"")</f>
        <v/>
      </c>
      <c r="K454" s="50">
        <f>IFERROR(__xludf.DUMMYFUNCTION("IFERROR((((GOOGLEFINANCE(A454))-(INDEX(GoogleFinance(A454,""PRICE"",$AP$1),2,2)))/(INDEX(GoogleFinance(A454,""PRICE"",$AP$1),2,2))),"""")"),1.3224755700325734)</f>
        <v>1.32247557</v>
      </c>
      <c r="L454" s="51">
        <f t="shared" si="1"/>
        <v>-0.0272851296</v>
      </c>
      <c r="M454" s="52">
        <f>IFERROR((VLOOKUP($A454,'Dados StatusInvest'!$A:$AZ,COLUMN(M454)-$A$5,0)*VLOOKUP($A454,'Dados StatusInvest'!$A:$AZ,2,0)/$F454/100),0)</f>
        <v>0.05604488079</v>
      </c>
      <c r="N454" s="53">
        <f>IFERROR((VLOOKUP($A454,'Dados StatusInvest'!$A:$AZ,COLUMN(N454)-$A$5,0)/VLOOKUP($A454,'Dados StatusInvest'!$A:$AZ,2,0)*$F454),"")</f>
        <v>1.310378378</v>
      </c>
      <c r="O454" s="53">
        <f>IFERROR((VLOOKUP($A454,'Dados StatusInvest'!$A:$AZ,COLUMN(O454)-$A$5,0)/VLOOKUP($A454,'Dados StatusInvest'!$A:$AZ,2,0)*$F454),0)</f>
        <v>6.137581081</v>
      </c>
      <c r="P454" s="54">
        <f>IFERROR((VLOOKUP($A454,'Dados StatusInvest'!$A:$AZ,COLUMN(P454)-$A$5,0)/VLOOKUP($A454,'Dados StatusInvest'!$A:$AZ,2,0)*$F454),0)</f>
        <v>8.189864865</v>
      </c>
      <c r="Q454" s="55">
        <f>IFERROR((VLOOKUP($A454,'Dados StatusInvest'!$A:$AZ,COLUMN(Q454)-$A$5,0)/100),0)</f>
        <v>0.0213</v>
      </c>
      <c r="R454" s="56">
        <f>VLOOKUP($A454,'Dados StatusInvest'!$A:$AZ,COLUMN(R454)-$A$5,0)</f>
        <v>0.58</v>
      </c>
      <c r="S454" s="56">
        <f>IFERROR((VLOOKUP($A454,'Dados StatusInvest'!$A:$AZ,COLUMN(S454)-$A$5,0)),0)</f>
        <v>0.34</v>
      </c>
      <c r="T454" s="53">
        <f>IFERROR((VLOOKUP($A454,'Dados StatusInvest'!$A:$AZ,COLUMN(T454)-$A$5,0)/VLOOKUP($A454,'Dados StatusInvest'!$A:$AZ,2,0)*$F454),0)</f>
        <v>2.543675676</v>
      </c>
      <c r="U454" s="53">
        <f>IFERROR((VLOOKUP($A454,'Dados StatusInvest'!$A:$AZ,COLUMN(U454)-$A$5,0)-VLOOKUP($A454,'Dados StatusInvest'!$A:$AZ,COLUMN(U454)-$A$5-1,0)+T454),0)</f>
        <v>-1.286324324</v>
      </c>
      <c r="V454" s="56">
        <f>IFERROR((VLOOKUP($A454,'Dados StatusInvest'!$A:$AZ,COLUMN(V454)-$A$5,0)),0)</f>
        <v>1.57</v>
      </c>
      <c r="W454" s="56">
        <f>IFERROR((VLOOKUP($A454,'Dados StatusInvest'!$A:$AZ,COLUMN(W454)-$A$5,0)),0)</f>
        <v>6.78</v>
      </c>
      <c r="X454" s="53">
        <f>IFERROR((VLOOKUP($A454,'Dados StatusInvest'!$A:$AZ,COLUMN(X454)-$A$5,0)/VLOOKUP($A454,'Dados StatusInvest'!$A:$AZ,2,0)*$F454),0)</f>
        <v>2.013743243</v>
      </c>
      <c r="Y454" s="54">
        <f>IFERROR((VLOOKUP($A454,'Dados StatusInvest'!$A:$AZ,COLUMN(Y454)-$A$5,0)/VLOOKUP($A454,'Dados StatusInvest'!$A:$AZ,2,0)*$F454),0)</f>
        <v>13.80714865</v>
      </c>
      <c r="Z454" s="56">
        <f>IFERROR((VLOOKUP($A454,'Dados StatusInvest'!$A:$AZ,COLUMN(Z454)-$A$5,0)),0)</f>
        <v>0.31</v>
      </c>
      <c r="AA454" s="57">
        <f>IFERROR((VLOOKUP($A454,'Dados StatusInvest'!$A:$AZ,COLUMN(AA454)-$A$5,0)),0)</f>
        <v>0.69</v>
      </c>
      <c r="AB454" s="57">
        <f>IFERROR((VLOOKUP($A454,'Dados StatusInvest'!$A:$AZ,COLUMN(AB454)-$A$5,0)),0)</f>
        <v>1.54</v>
      </c>
      <c r="AC454" s="58">
        <f>IFERROR((VLOOKUP($A454,'Dados StatusInvest'!$A:$AZ,COLUMN(AC454)-$A$5,0)),0)</f>
        <v>14.51</v>
      </c>
      <c r="AD454" s="57">
        <f>IFERROR((VLOOKUP($A454,'Dados StatusInvest'!$A:$AZ,COLUMN(AD454)-$A$5,0)),0)</f>
        <v>0</v>
      </c>
      <c r="AE454" s="56">
        <f>IFERROR((VLOOKUP($A454,'Dados StatusInvest'!$A:$AZ,COLUMN(AE454)-$A$5,0)),0)</f>
        <v>38878065</v>
      </c>
      <c r="AF454" s="56">
        <f>IFERROR((VLOOKUP($A454,'Dados StatusInvest'!$A:$AZ,COLUMN(AF454)-$A$5,0)),0)</f>
        <v>4.3</v>
      </c>
      <c r="AG454" s="56">
        <f>IFERROR((VLOOKUP($A454,'Dados StatusInvest'!$A:$AZ,COLUMN(AG454)-$A$5,0)),0)</f>
        <v>0.29</v>
      </c>
      <c r="AH454" s="56">
        <f>IFERROR((VLOOKUP($A454,'Dados StatusInvest'!$A:$AZ,COLUMN(AH454)-$A$5,0)),0)</f>
        <v>1.46</v>
      </c>
      <c r="AI454" s="57">
        <f>IFERROR((VLOOKUP($A454,'Dados StatusInvest'!$A:$AZ,COLUMN(AI454)-$A$5,0)),0)</f>
        <v>4903781384</v>
      </c>
      <c r="AJ454" s="59" t="str">
        <f>IFERROR((VLOOKUP($A454,'Dados StatusInvest'!$A:$AZ,COLUMN(AJ454)-$A$5,0)),0)</f>
        <v/>
      </c>
      <c r="AK454" s="60">
        <f>IFERROR(__xludf.DUMMYFUNCTION("IFERROR(GOOGLEFINANCE($A454,""high""),"""")"),7.33)</f>
        <v>7.33</v>
      </c>
      <c r="AL454" s="60">
        <f>IFERROR(__xludf.DUMMYFUNCTION("IFERROR(GOOGLEFINANCE($A454,""low""),"""")"),7.05)</f>
        <v>7.05</v>
      </c>
      <c r="AM454" s="61">
        <f t="shared" si="2"/>
        <v>0.03971631206</v>
      </c>
      <c r="AN454" s="62">
        <f>IFERROR(__xludf.DUMMYFUNCTION("IFERROR((GOOGLEFINANCE($A454,""volume"")),0)"),793200.0)</f>
        <v>793200</v>
      </c>
      <c r="AO454" s="60">
        <f>IFERROR(__xludf.DUMMYFUNCTION("IFERROR((GOOGLEFINANCE($A454,""closeyest"")),"""")"),7.4)</f>
        <v>7.4</v>
      </c>
      <c r="AP454" s="60">
        <f>IFERROR(__xludf.DUMMYFUNCTION("IFERROR((GOOGLEFINANCE($A454,""shares"")),"""")"),6.6267316E8)</f>
        <v>662673160</v>
      </c>
      <c r="AQ454" s="18"/>
    </row>
    <row r="455">
      <c r="A455" s="45" t="str">
        <f>'Dados StatusInvest'!A450:A1069</f>
        <v>PINE3</v>
      </c>
      <c r="B455" s="46" t="str">
        <f>IFERROR(__xludf.DUMMYFUNCTION("IFERROR((GOOGLEFINANCE(A455,""name"")),"""")"),"Banco Pine SA")</f>
        <v>Banco Pine SA</v>
      </c>
      <c r="C455" s="46" t="str">
        <f>IFERROR((VLOOKUP(LEFT($A455,4),Setor!$A:$E,3,0)),"")</f>
        <v>Financeiro</v>
      </c>
      <c r="D455" s="46" t="str">
        <f>IFERROR((VLOOKUP(LEFT($A455,4),Setor!$A:$E,4,0)),"")</f>
        <v>Intermediários Financeiros</v>
      </c>
      <c r="E455" s="46" t="str">
        <f>IFERROR((VLOOKUP(LEFT($A455,4),Setor!$A:$E,5,0)),"")</f>
        <v>Bancos</v>
      </c>
      <c r="F455" s="47">
        <f>IFERROR(__xludf.DUMMYFUNCTION("IFERROR((GOOGLEFINANCE(A455)),"""")"),12.63)</f>
        <v>12.63</v>
      </c>
      <c r="G455" s="48" t="str">
        <f>IFERROR(__xludf.DUMMYFUNCTION("IFERROR((sparkline(GOOGLEFINANCE($A455,""price"",TODAY()-30,TODAY(),""DAILY""),{""charttype"",""line"";""linewidth"",1;""color"",""#5f88cc""})),"""")"),"")</f>
        <v/>
      </c>
      <c r="H455" s="49">
        <f>IFERROR(__xludf.DUMMYFUNCTION("IFERROR((((GOOGLEFINANCE(A455))-(INDEX(GoogleFinance(A455,""PRICE"",$AQ$1),2,2)))/(INDEX(GoogleFinance(A455,""PRICE"",$AQ$1),2,2))),"""")"),-0.03808073115003808)</f>
        <v>-0.03808073115</v>
      </c>
      <c r="I455" s="47">
        <f>IFERROR(__xludf.DUMMYFUNCTION("IFERROR((GOOGLEFINANCE($A455,""high52"")),"""")"),14.29)</f>
        <v>14.29</v>
      </c>
      <c r="J455" s="48" t="str">
        <f>IFERROR(__xludf.DUMMYFUNCTION("IFERROR((sparkline(GOOGLEFINANCE($A455,""price"",TODAY()-365,TODAY(),""DAILY""),{""charttype"",""line"";""linewidth"",1;""color"",""#5f88cc""})),"""")"),"")</f>
        <v/>
      </c>
      <c r="K455" s="50">
        <f>IFERROR(__xludf.DUMMYFUNCTION("IFERROR((((GOOGLEFINANCE(A455))-(INDEX(GoogleFinance(A455,""PRICE"",$AP$1),2,2)))/(INDEX(GoogleFinance(A455,""PRICE"",$AP$1),2,2))),"""")"),1.825503355704698)</f>
        <v>1.825503356</v>
      </c>
      <c r="L455" s="51">
        <f t="shared" si="1"/>
        <v>-0.1161651505</v>
      </c>
      <c r="M455" s="52">
        <f>IFERROR((VLOOKUP($A455,'Dados StatusInvest'!$A:$AZ,COLUMN(M455)-$A$5,0)*VLOOKUP($A455,'Dados StatusInvest'!$A:$AZ,2,0)/$F455/100),0)</f>
        <v>0.05584164687</v>
      </c>
      <c r="N455" s="53">
        <f>IFERROR((VLOOKUP($A455,'Dados StatusInvest'!$A:$AZ,COLUMN(N455)-$A$5,0)/VLOOKUP($A455,'Dados StatusInvest'!$A:$AZ,2,0)*$F455),"")</f>
        <v>5.36775</v>
      </c>
      <c r="O455" s="53">
        <f>IFERROR((VLOOKUP($A455,'Dados StatusInvest'!$A:$AZ,COLUMN(O455)-$A$5,0)/VLOOKUP($A455,'Dados StatusInvest'!$A:$AZ,2,0)*$F455),0)</f>
        <v>10.03492969</v>
      </c>
      <c r="P455" s="54">
        <f>IFERROR((VLOOKUP($A455,'Dados StatusInvest'!$A:$AZ,COLUMN(P455)-$A$5,0)/VLOOKUP($A455,'Dados StatusInvest'!$A:$AZ,2,0)*$F455),0)</f>
        <v>10.12373438</v>
      </c>
      <c r="Q455" s="55">
        <f>IFERROR((VLOOKUP($A455,'Dados StatusInvest'!$A:$AZ,COLUMN(Q455)-$A$5,0)/100),0)</f>
        <v>0</v>
      </c>
      <c r="R455" s="56">
        <f>VLOOKUP($A455,'Dados StatusInvest'!$A:$AZ,COLUMN(R455)-$A$5,0)</f>
        <v>0</v>
      </c>
      <c r="S455" s="56">
        <f>IFERROR((VLOOKUP($A455,'Dados StatusInvest'!$A:$AZ,COLUMN(S455)-$A$5,0)),0)</f>
        <v>0.56</v>
      </c>
      <c r="T455" s="53">
        <f>IFERROR((VLOOKUP($A455,'Dados StatusInvest'!$A:$AZ,COLUMN(T455)-$A$5,0)/VLOOKUP($A455,'Dados StatusInvest'!$A:$AZ,2,0)*$F455),0)</f>
        <v>-1.509679688</v>
      </c>
      <c r="U455" s="53">
        <f>IFERROR((VLOOKUP($A455,'Dados StatusInvest'!$A:$AZ,COLUMN(U455)-$A$5,0)-VLOOKUP($A455,'Dados StatusInvest'!$A:$AZ,COLUMN(U455)-$A$5-1,0)+T455),0)</f>
        <v>-0.0796796875</v>
      </c>
      <c r="V455" s="56">
        <f>IFERROR((VLOOKUP($A455,'Dados StatusInvest'!$A:$AZ,COLUMN(V455)-$A$5,0)),0)</f>
        <v>0.11</v>
      </c>
      <c r="W455" s="56">
        <f>IFERROR((VLOOKUP($A455,'Dados StatusInvest'!$A:$AZ,COLUMN(W455)-$A$5,0)),0)</f>
        <v>23.67</v>
      </c>
      <c r="X455" s="53">
        <f>IFERROR((VLOOKUP($A455,'Dados StatusInvest'!$A:$AZ,COLUMN(X455)-$A$5,0)/VLOOKUP($A455,'Dados StatusInvest'!$A:$AZ,2,0)*$F455),0)</f>
        <v>0.9965859375</v>
      </c>
      <c r="Y455" s="54">
        <f>IFERROR((VLOOKUP($A455,'Dados StatusInvest'!$A:$AZ,COLUMN(Y455)-$A$5,0)/VLOOKUP($A455,'Dados StatusInvest'!$A:$AZ,2,0)*$F455),0)</f>
        <v>0</v>
      </c>
      <c r="Z455" s="56">
        <f>IFERROR((VLOOKUP($A455,'Dados StatusInvest'!$A:$AZ,COLUMN(Z455)-$A$5,0)),0)</f>
        <v>0.04</v>
      </c>
      <c r="AA455" s="57">
        <f>IFERROR((VLOOKUP($A455,'Dados StatusInvest'!$A:$AZ,COLUMN(AA455)-$A$5,0)),0)</f>
        <v>0.96</v>
      </c>
      <c r="AB455" s="57">
        <f>IFERROR((VLOOKUP($A455,'Dados StatusInvest'!$A:$AZ,COLUMN(AB455)-$A$5,0)),0)</f>
        <v>0.19</v>
      </c>
      <c r="AC455" s="58">
        <f>IFERROR((VLOOKUP($A455,'Dados StatusInvest'!$A:$AZ,COLUMN(AC455)-$A$5,0)),0)</f>
        <v>25.71</v>
      </c>
      <c r="AD455" s="57">
        <f>IFERROR((VLOOKUP($A455,'Dados StatusInvest'!$A:$AZ,COLUMN(AD455)-$A$5,0)),0)</f>
        <v>0</v>
      </c>
      <c r="AE455" s="56">
        <f>IFERROR((VLOOKUP($A455,'Dados StatusInvest'!$A:$AZ,COLUMN(AE455)-$A$5,0)),0)</f>
        <v>182060.4</v>
      </c>
      <c r="AF455" s="56">
        <f>IFERROR((VLOOKUP($A455,'Dados StatusInvest'!$A:$AZ,COLUMN(AF455)-$A$5,0)),0)</f>
        <v>5.25</v>
      </c>
      <c r="AG455" s="56">
        <f>IFERROR((VLOOKUP($A455,'Dados StatusInvest'!$A:$AZ,COLUMN(AG455)-$A$5,0)),0)</f>
        <v>1.24</v>
      </c>
      <c r="AH455" s="56">
        <f>IFERROR((VLOOKUP($A455,'Dados StatusInvest'!$A:$AZ,COLUMN(AH455)-$A$5,0)),0)</f>
        <v>0.06</v>
      </c>
      <c r="AI455" s="57">
        <f>IFERROR((VLOOKUP($A455,'Dados StatusInvest'!$A:$AZ,COLUMN(AI455)-$A$5,0)),0)</f>
        <v>3068698471</v>
      </c>
      <c r="AJ455" s="59" t="str">
        <f>IFERROR((VLOOKUP($A455,'Dados StatusInvest'!$A:$AZ,COLUMN(AJ455)-$A$5,0)),0)</f>
        <v/>
      </c>
      <c r="AK455" s="60">
        <f>IFERROR(__xludf.DUMMYFUNCTION("IFERROR(GOOGLEFINANCE($A455,""high""),"""")"),12.71)</f>
        <v>12.71</v>
      </c>
      <c r="AL455" s="60">
        <f>IFERROR(__xludf.DUMMYFUNCTION("IFERROR(GOOGLEFINANCE($A455,""low""),"""")"),12.63)</f>
        <v>12.63</v>
      </c>
      <c r="AM455" s="61">
        <f t="shared" si="2"/>
        <v>0.006334125099</v>
      </c>
      <c r="AN455" s="62">
        <f>IFERROR(__xludf.DUMMYFUNCTION("IFERROR((GOOGLEFINANCE($A455,""volume"")),0)"),300.0)</f>
        <v>300</v>
      </c>
      <c r="AO455" s="60">
        <f>IFERROR(__xludf.DUMMYFUNCTION("IFERROR((GOOGLEFINANCE($A455,""closeyest"")),"""")"),12.8)</f>
        <v>12.8</v>
      </c>
      <c r="AP455" s="60">
        <f>IFERROR(__xludf.DUMMYFUNCTION("IFERROR((GOOGLEFINANCE($A455,""shares"")),"""")"),1.21687377E8)</f>
        <v>121687377</v>
      </c>
      <c r="AQ455" s="18"/>
    </row>
    <row r="456">
      <c r="A456" s="45" t="str">
        <f>'Dados StatusInvest'!A451:A1070</f>
        <v>PINE4</v>
      </c>
      <c r="B456" s="46" t="str">
        <f>IFERROR(__xludf.DUMMYFUNCTION("IFERROR((GOOGLEFINANCE(A456,""name"")),"""")"),"Banco Pine SA Preference Shares")</f>
        <v>Banco Pine SA Preference Shares</v>
      </c>
      <c r="C456" s="46" t="str">
        <f>IFERROR((VLOOKUP(LEFT($A456,4),Setor!$A:$E,3,0)),"")</f>
        <v>Financeiro</v>
      </c>
      <c r="D456" s="46" t="str">
        <f>IFERROR((VLOOKUP(LEFT($A456,4),Setor!$A:$E,4,0)),"")</f>
        <v>Intermediários Financeiros</v>
      </c>
      <c r="E456" s="46" t="str">
        <f>IFERROR((VLOOKUP(LEFT($A456,4),Setor!$A:$E,5,0)),"")</f>
        <v>Bancos</v>
      </c>
      <c r="F456" s="47">
        <f>IFERROR(__xludf.DUMMYFUNCTION("IFERROR((GOOGLEFINANCE(A456)),"""")"),12.61)</f>
        <v>12.61</v>
      </c>
      <c r="G456" s="48" t="str">
        <f>IFERROR(__xludf.DUMMYFUNCTION("IFERROR((sparkline(GOOGLEFINANCE($A456,""price"",TODAY()-30,TODAY(),""DAILY""),{""charttype"",""line"";""linewidth"",1;""color"",""#5f88cc""})),"""")"),"")</f>
        <v/>
      </c>
      <c r="H456" s="49">
        <f>IFERROR(__xludf.DUMMYFUNCTION("IFERROR((((GOOGLEFINANCE(A456))-(INDEX(GoogleFinance(A456,""PRICE"",$AQ$1),2,2)))/(INDEX(GoogleFinance(A456,""PRICE"",$AQ$1),2,2))),"""")"),-0.06868537666174297)</f>
        <v>-0.06868537666</v>
      </c>
      <c r="I456" s="47">
        <f>IFERROR(__xludf.DUMMYFUNCTION("IFERROR((GOOGLEFINANCE($A456,""high52"")),"""")"),14.99)</f>
        <v>14.99</v>
      </c>
      <c r="J456" s="48" t="str">
        <f>IFERROR(__xludf.DUMMYFUNCTION("IFERROR((sparkline(GOOGLEFINANCE($A456,""price"",TODAY()-365,TODAY(),""DAILY""),{""charttype"",""line"";""linewidth"",1;""color"",""#5f88cc""})),"""")"),"")</f>
        <v/>
      </c>
      <c r="K456" s="50">
        <f>IFERROR(__xludf.DUMMYFUNCTION("IFERROR((((GOOGLEFINANCE(A456))-(INDEX(GoogleFinance(A456,""PRICE"",$AP$1),2,2)))/(INDEX(GoogleFinance(A456,""PRICE"",$AP$1),2,2))),"""")"),1.9055299539170507)</f>
        <v>1.905529954</v>
      </c>
      <c r="L456" s="51">
        <f t="shared" si="1"/>
        <v>-0.158772515</v>
      </c>
      <c r="M456" s="52">
        <f>IFERROR((VLOOKUP($A456,'Dados StatusInvest'!$A:$AZ,COLUMN(M456)-$A$5,0)*VLOOKUP($A456,'Dados StatusInvest'!$A:$AZ,2,0)/$F456/100),0)</f>
        <v>0.05693521015</v>
      </c>
      <c r="N456" s="53">
        <f>IFERROR((VLOOKUP($A456,'Dados StatusInvest'!$A:$AZ,COLUMN(N456)-$A$5,0)/VLOOKUP($A456,'Dados StatusInvest'!$A:$AZ,2,0)*$F456),"")</f>
        <v>5.264650806</v>
      </c>
      <c r="O456" s="53">
        <f>IFERROR((VLOOKUP($A456,'Dados StatusInvest'!$A:$AZ,COLUMN(O456)-$A$5,0)/VLOOKUP($A456,'Dados StatusInvest'!$A:$AZ,2,0)*$F456),0)</f>
        <v>10.02606293</v>
      </c>
      <c r="P456" s="54">
        <f>IFERROR((VLOOKUP($A456,'Dados StatusInvest'!$A:$AZ,COLUMN(P456)-$A$5,0)/VLOOKUP($A456,'Dados StatusInvest'!$A:$AZ,2,0)*$F456),0)</f>
        <v>9.929286262</v>
      </c>
      <c r="Q456" s="55">
        <f>IFERROR((VLOOKUP($A456,'Dados StatusInvest'!$A:$AZ,COLUMN(Q456)-$A$5,0)/100),0)</f>
        <v>0</v>
      </c>
      <c r="R456" s="56">
        <f>VLOOKUP($A456,'Dados StatusInvest'!$A:$AZ,COLUMN(R456)-$A$5,0)</f>
        <v>0</v>
      </c>
      <c r="S456" s="56">
        <f>IFERROR((VLOOKUP($A456,'Dados StatusInvest'!$A:$AZ,COLUMN(S456)-$A$5,0)),0)</f>
        <v>0.57</v>
      </c>
      <c r="T456" s="53">
        <f>IFERROR((VLOOKUP($A456,'Dados StatusInvest'!$A:$AZ,COLUMN(T456)-$A$5,0)/VLOOKUP($A456,'Dados StatusInvest'!$A:$AZ,2,0)*$F456),0)</f>
        <v>-1.500038373</v>
      </c>
      <c r="U456" s="53">
        <f>IFERROR((VLOOKUP($A456,'Dados StatusInvest'!$A:$AZ,COLUMN(U456)-$A$5,0)-VLOOKUP($A456,'Dados StatusInvest'!$A:$AZ,COLUMN(U456)-$A$5-1,0)+T456),0)</f>
        <v>-0.06003837299</v>
      </c>
      <c r="V456" s="56">
        <f>IFERROR((VLOOKUP($A456,'Dados StatusInvest'!$A:$AZ,COLUMN(V456)-$A$5,0)),0)</f>
        <v>0.11</v>
      </c>
      <c r="W456" s="56">
        <f>IFERROR((VLOOKUP($A456,'Dados StatusInvest'!$A:$AZ,COLUMN(W456)-$A$5,0)),0)</f>
        <v>23.67</v>
      </c>
      <c r="X456" s="53">
        <f>IFERROR((VLOOKUP($A456,'Dados StatusInvest'!$A:$AZ,COLUMN(X456)-$A$5,0)/VLOOKUP($A456,'Dados StatusInvest'!$A:$AZ,2,0)*$F456),0)</f>
        <v>0.9774443592</v>
      </c>
      <c r="Y456" s="54">
        <f>IFERROR((VLOOKUP($A456,'Dados StatusInvest'!$A:$AZ,COLUMN(Y456)-$A$5,0)/VLOOKUP($A456,'Dados StatusInvest'!$A:$AZ,2,0)*$F456),0)</f>
        <v>0</v>
      </c>
      <c r="Z456" s="56">
        <f>IFERROR((VLOOKUP($A456,'Dados StatusInvest'!$A:$AZ,COLUMN(Z456)-$A$5,0)),0)</f>
        <v>0.04</v>
      </c>
      <c r="AA456" s="57">
        <f>IFERROR((VLOOKUP($A456,'Dados StatusInvest'!$A:$AZ,COLUMN(AA456)-$A$5,0)),0)</f>
        <v>0.96</v>
      </c>
      <c r="AB456" s="57">
        <f>IFERROR((VLOOKUP($A456,'Dados StatusInvest'!$A:$AZ,COLUMN(AB456)-$A$5,0)),0)</f>
        <v>0.19</v>
      </c>
      <c r="AC456" s="58">
        <f>IFERROR((VLOOKUP($A456,'Dados StatusInvest'!$A:$AZ,COLUMN(AC456)-$A$5,0)),0)</f>
        <v>25.71</v>
      </c>
      <c r="AD456" s="57">
        <f>IFERROR((VLOOKUP($A456,'Dados StatusInvest'!$A:$AZ,COLUMN(AD456)-$A$5,0)),0)</f>
        <v>0</v>
      </c>
      <c r="AE456" s="56">
        <f>IFERROR((VLOOKUP($A456,'Dados StatusInvest'!$A:$AZ,COLUMN(AE456)-$A$5,0)),0)</f>
        <v>6497650</v>
      </c>
      <c r="AF456" s="56">
        <f>IFERROR((VLOOKUP($A456,'Dados StatusInvest'!$A:$AZ,COLUMN(AF456)-$A$5,0)),0)</f>
        <v>5.25</v>
      </c>
      <c r="AG456" s="56">
        <f>IFERROR((VLOOKUP($A456,'Dados StatusInvest'!$A:$AZ,COLUMN(AG456)-$A$5,0)),0)</f>
        <v>1.24</v>
      </c>
      <c r="AH456" s="56">
        <f>IFERROR((VLOOKUP($A456,'Dados StatusInvest'!$A:$AZ,COLUMN(AH456)-$A$5,0)),0)</f>
        <v>0.06</v>
      </c>
      <c r="AI456" s="57">
        <f>IFERROR((VLOOKUP($A456,'Dados StatusInvest'!$A:$AZ,COLUMN(AI456)-$A$5,0)),0)</f>
        <v>3068698471</v>
      </c>
      <c r="AJ456" s="59" t="str">
        <f>IFERROR((VLOOKUP($A456,'Dados StatusInvest'!$A:$AZ,COLUMN(AJ456)-$A$5,0)),0)</f>
        <v/>
      </c>
      <c r="AK456" s="60">
        <f>IFERROR(__xludf.DUMMYFUNCTION("IFERROR(GOOGLEFINANCE($A456,""high""),"""")"),13.0)</f>
        <v>13</v>
      </c>
      <c r="AL456" s="60">
        <f>IFERROR(__xludf.DUMMYFUNCTION("IFERROR(GOOGLEFINANCE($A456,""low""),"""")"),12.61)</f>
        <v>12.61</v>
      </c>
      <c r="AM456" s="61">
        <f t="shared" si="2"/>
        <v>0.03092783505</v>
      </c>
      <c r="AN456" s="62">
        <f>IFERROR(__xludf.DUMMYFUNCTION("IFERROR((GOOGLEFINANCE($A456,""volume"")),0)"),72000.0)</f>
        <v>72000</v>
      </c>
      <c r="AO456" s="60">
        <f>IFERROR(__xludf.DUMMYFUNCTION("IFERROR((GOOGLEFINANCE($A456,""closeyest"")),"""")"),13.03)</f>
        <v>13.03</v>
      </c>
      <c r="AP456" s="60">
        <f>IFERROR(__xludf.DUMMYFUNCTION("IFERROR((GOOGLEFINANCE($A456,""shares"")),"""")"),1.1597084E8)</f>
        <v>115970840</v>
      </c>
      <c r="AQ456" s="18"/>
    </row>
    <row r="457">
      <c r="A457" s="45" t="str">
        <f>'Dados StatusInvest'!A452:A1071</f>
        <v>PLAS3</v>
      </c>
      <c r="B457" s="46" t="str">
        <f>IFERROR(__xludf.DUMMYFUNCTION("IFERROR((GOOGLEFINANCE(A457,""name"")),"""")"),"Plascar Participacoes Industriais SA")</f>
        <v>Plascar Participacoes Industriais SA</v>
      </c>
      <c r="C457" s="46" t="str">
        <f>IFERROR((VLOOKUP(LEFT($A457,4),Setor!$A:$E,3,0)),"")</f>
        <v>Consumo Cíclico</v>
      </c>
      <c r="D457" s="46" t="str">
        <f>IFERROR((VLOOKUP(LEFT($A457,4),Setor!$A:$E,4,0)),"")</f>
        <v>Automóveis e Motocicletas</v>
      </c>
      <c r="E457" s="46" t="str">
        <f>IFERROR((VLOOKUP(LEFT($A457,4),Setor!$A:$E,5,0)),"")</f>
        <v>Automóveis e Motocicletas</v>
      </c>
      <c r="F457" s="47">
        <f>IFERROR(__xludf.DUMMYFUNCTION("IFERROR((GOOGLEFINANCE(A457)),"""")"),4.65)</f>
        <v>4.65</v>
      </c>
      <c r="G457" s="48" t="str">
        <f>IFERROR(__xludf.DUMMYFUNCTION("IFERROR((sparkline(GOOGLEFINANCE($A457,""price"",TODAY()-30,TODAY(),""DAILY""),{""charttype"",""line"";""linewidth"",1;""color"",""#5f88cc""})),"""")"),"")</f>
        <v/>
      </c>
      <c r="H457" s="49">
        <f>IFERROR(__xludf.DUMMYFUNCTION("IFERROR((((GOOGLEFINANCE(A457))-(INDEX(GoogleFinance(A457,""PRICE"",$AQ$1),2,2)))/(INDEX(GoogleFinance(A457,""PRICE"",$AQ$1),2,2))),"""")"),-0.049079754601226856)</f>
        <v>-0.0490797546</v>
      </c>
      <c r="I457" s="47">
        <f>IFERROR(__xludf.DUMMYFUNCTION("IFERROR((GOOGLEFINANCE($A457,""high52"")),"""")"),7.3)</f>
        <v>7.3</v>
      </c>
      <c r="J457" s="48" t="str">
        <f>IFERROR(__xludf.DUMMYFUNCTION("IFERROR((sparkline(GOOGLEFINANCE($A457,""price"",TODAY()-365,TODAY(),""DAILY""),{""charttype"",""line"";""linewidth"",1;""color"",""#5f88cc""})),"""")"),"")</f>
        <v/>
      </c>
      <c r="K457" s="50">
        <f>IFERROR(__xludf.DUMMYFUNCTION("IFERROR((((GOOGLEFINANCE(A457))-(INDEX(GoogleFinance(A457,""PRICE"",$AP$1),2,2)))/(INDEX(GoogleFinance(A457,""PRICE"",$AP$1),2,2))),"""")"),-0.2288557213930348)</f>
        <v>-0.2288557214</v>
      </c>
      <c r="L457" s="51">
        <f t="shared" si="1"/>
        <v>-0.3630136986</v>
      </c>
      <c r="M457" s="52">
        <f>IFERROR((VLOOKUP($A457,'Dados StatusInvest'!$A:$AZ,COLUMN(M457)-$A$5,0)*VLOOKUP($A457,'Dados StatusInvest'!$A:$AZ,2,0)/$F457/100),0)</f>
        <v>-0.02060086022</v>
      </c>
      <c r="N457" s="53">
        <f>IFERROR((VLOOKUP($A457,'Dados StatusInvest'!$A:$AZ,COLUMN(N457)-$A$5,0)/VLOOKUP($A457,'Dados StatusInvest'!$A:$AZ,2,0)*$F457),"")</f>
        <v>-15.42488987</v>
      </c>
      <c r="O457" s="53">
        <f>IFERROR((VLOOKUP($A457,'Dados StatusInvest'!$A:$AZ,COLUMN(O457)-$A$5,0)/VLOOKUP($A457,'Dados StatusInvest'!$A:$AZ,2,0)*$F457),0)</f>
        <v>-2.335242291</v>
      </c>
      <c r="P457" s="54">
        <f>IFERROR((VLOOKUP($A457,'Dados StatusInvest'!$A:$AZ,COLUMN(P457)-$A$5,0)/VLOOKUP($A457,'Dados StatusInvest'!$A:$AZ,2,0)*$F457),0)</f>
        <v>-13.82709251</v>
      </c>
      <c r="Q457" s="55">
        <f>IFERROR((VLOOKUP($A457,'Dados StatusInvest'!$A:$AZ,COLUMN(Q457)-$A$5,0)/100),0)</f>
        <v>-0.1121</v>
      </c>
      <c r="R457" s="56">
        <f>VLOOKUP($A457,'Dados StatusInvest'!$A:$AZ,COLUMN(R457)-$A$5,0)</f>
        <v>0</v>
      </c>
      <c r="S457" s="56">
        <f>IFERROR((VLOOKUP($A457,'Dados StatusInvest'!$A:$AZ,COLUMN(S457)-$A$5,0)),0)</f>
        <v>0.05</v>
      </c>
      <c r="T457" s="53">
        <f>IFERROR((VLOOKUP($A457,'Dados StatusInvest'!$A:$AZ,COLUMN(T457)-$A$5,0)/VLOOKUP($A457,'Dados StatusInvest'!$A:$AZ,2,0)*$F457),0)</f>
        <v>-0.1331497797</v>
      </c>
      <c r="U457" s="53">
        <f>IFERROR((VLOOKUP($A457,'Dados StatusInvest'!$A:$AZ,COLUMN(U457)-$A$5,0)-VLOOKUP($A457,'Dados StatusInvest'!$A:$AZ,COLUMN(U457)-$A$5-1,0)+T457),0)</f>
        <v>-0.1331497797</v>
      </c>
      <c r="V457" s="56">
        <f>IFERROR((VLOOKUP($A457,'Dados StatusInvest'!$A:$AZ,COLUMN(V457)-$A$5,0)),0)</f>
        <v>0.32</v>
      </c>
      <c r="W457" s="56">
        <f>IFERROR((VLOOKUP($A457,'Dados StatusInvest'!$A:$AZ,COLUMN(W457)-$A$5,0)),0)</f>
        <v>-26.14</v>
      </c>
      <c r="X457" s="53">
        <f>IFERROR((VLOOKUP($A457,'Dados StatusInvest'!$A:$AZ,COLUMN(X457)-$A$5,0)/VLOOKUP($A457,'Dados StatusInvest'!$A:$AZ,2,0)*$F457),0)</f>
        <v>-28.5657489</v>
      </c>
      <c r="Y457" s="54">
        <f>IFERROR((VLOOKUP($A457,'Dados StatusInvest'!$A:$AZ,COLUMN(Y457)-$A$5,0)/VLOOKUP($A457,'Dados StatusInvest'!$A:$AZ,2,0)*$F457),0)</f>
        <v>12.97698238</v>
      </c>
      <c r="Z457" s="56">
        <f>IFERROR((VLOOKUP($A457,'Dados StatusInvest'!$A:$AZ,COLUMN(Z457)-$A$5,0)),0)</f>
        <v>-1.07</v>
      </c>
      <c r="AA457" s="57">
        <f>IFERROR((VLOOKUP($A457,'Dados StatusInvest'!$A:$AZ,COLUMN(AA457)-$A$5,0)),0)</f>
        <v>2.07</v>
      </c>
      <c r="AB457" s="57">
        <f>IFERROR((VLOOKUP($A457,'Dados StatusInvest'!$A:$AZ,COLUMN(AB457)-$A$5,0)),0)</f>
        <v>1.85</v>
      </c>
      <c r="AC457" s="58">
        <f>IFERROR((VLOOKUP($A457,'Dados StatusInvest'!$A:$AZ,COLUMN(AC457)-$A$5,0)),0)</f>
        <v>22.66</v>
      </c>
      <c r="AD457" s="57">
        <f>IFERROR((VLOOKUP($A457,'Dados StatusInvest'!$A:$AZ,COLUMN(AD457)-$A$5,0)),0)</f>
        <v>0</v>
      </c>
      <c r="AE457" s="56">
        <f>IFERROR((VLOOKUP($A457,'Dados StatusInvest'!$A:$AZ,COLUMN(AE457)-$A$5,0)),0)</f>
        <v>2066.24</v>
      </c>
      <c r="AF457" s="56">
        <f>IFERROR((VLOOKUP($A457,'Dados StatusInvest'!$A:$AZ,COLUMN(AF457)-$A$5,0)),0)</f>
        <v>-54.21</v>
      </c>
      <c r="AG457" s="56">
        <f>IFERROR((VLOOKUP($A457,'Dados StatusInvest'!$A:$AZ,COLUMN(AG457)-$A$5,0)),0)</f>
        <v>-14.17</v>
      </c>
      <c r="AH457" s="56">
        <f>IFERROR((VLOOKUP($A457,'Dados StatusInvest'!$A:$AZ,COLUMN(AH457)-$A$5,0)),0)</f>
        <v>-0.01</v>
      </c>
      <c r="AI457" s="57">
        <f>IFERROR((VLOOKUP($A457,'Dados StatusInvest'!$A:$AZ,COLUMN(AI457)-$A$5,0)),0)</f>
        <v>56411397.72</v>
      </c>
      <c r="AJ457" s="59" t="str">
        <f>IFERROR((VLOOKUP($A457,'Dados StatusInvest'!$A:$AZ,COLUMN(AJ457)-$A$5,0)),0)</f>
        <v/>
      </c>
      <c r="AK457" s="60">
        <f>IFERROR(__xludf.DUMMYFUNCTION("IFERROR(GOOGLEFINANCE($A457,""high""),"""")"),4.65)</f>
        <v>4.65</v>
      </c>
      <c r="AL457" s="60">
        <f>IFERROR(__xludf.DUMMYFUNCTION("IFERROR(GOOGLEFINANCE($A457,""low""),"""")"),4.65)</f>
        <v>4.65</v>
      </c>
      <c r="AM457" s="61">
        <f t="shared" si="2"/>
        <v>0</v>
      </c>
      <c r="AN457" s="62">
        <f>IFERROR(__xludf.DUMMYFUNCTION("IFERROR((GOOGLEFINANCE($A457,""volume"")),0)"),200.0)</f>
        <v>200</v>
      </c>
      <c r="AO457" s="60">
        <f>IFERROR(__xludf.DUMMYFUNCTION("IFERROR((GOOGLEFINANCE($A457,""closeyest"")),"""")"),4.54)</f>
        <v>4.54</v>
      </c>
      <c r="AP457" s="60">
        <f>IFERROR(__xludf.DUMMYFUNCTION("IFERROR((GOOGLEFINANCE($A457,""shares"")),"""")"),1.2425418E7)</f>
        <v>12425418</v>
      </c>
      <c r="AQ457" s="18"/>
    </row>
    <row r="458">
      <c r="A458" s="45" t="str">
        <f>'Dados StatusInvest'!A453:A1072</f>
        <v>PLPL3</v>
      </c>
      <c r="B458" s="46" t="str">
        <f>IFERROR(__xludf.DUMMYFUNCTION("IFERROR((GOOGLEFINANCE(A458,""name"")),"""")"),"Plano &amp; Plano Desenvolvimento Imblr SA")</f>
        <v>Plano &amp; Plano Desenvolvimento Imblr SA</v>
      </c>
      <c r="C458" s="46" t="str">
        <f>IFERROR((VLOOKUP(LEFT($A458,4),Setor!$A:$E,3,0)),"")</f>
        <v>Consumo Cíclico</v>
      </c>
      <c r="D458" s="46" t="str">
        <f>IFERROR((VLOOKUP(LEFT($A458,4),Setor!$A:$E,4,0)),"")</f>
        <v>Construção Civil</v>
      </c>
      <c r="E458" s="46" t="str">
        <f>IFERROR((VLOOKUP(LEFT($A458,4),Setor!$A:$E,5,0)),"")</f>
        <v>Incorporações</v>
      </c>
      <c r="F458" s="47">
        <f>IFERROR(__xludf.DUMMYFUNCTION("IFERROR((GOOGLEFINANCE(A458)),"""")"),15.98)</f>
        <v>15.98</v>
      </c>
      <c r="G458" s="48" t="str">
        <f>IFERROR(__xludf.DUMMYFUNCTION("IFERROR((sparkline(GOOGLEFINANCE($A458,""price"",TODAY()-30,TODAY(),""DAILY""),{""charttype"",""line"";""linewidth"",1;""color"",""#5f88cc""})),"""")"),"")</f>
        <v/>
      </c>
      <c r="H458" s="49">
        <f>IFERROR(__xludf.DUMMYFUNCTION("IFERROR((((GOOGLEFINANCE(A458))-(INDEX(GoogleFinance(A458,""PRICE"",$AQ$1),2,2)))/(INDEX(GoogleFinance(A458,""PRICE"",$AQ$1),2,2))),"""")"),0.11748251748251745)</f>
        <v>0.1174825175</v>
      </c>
      <c r="I458" s="47">
        <f>IFERROR(__xludf.DUMMYFUNCTION("IFERROR((GOOGLEFINANCE($A458,""high52"")),"""")"),17.38)</f>
        <v>17.38</v>
      </c>
      <c r="J458" s="48" t="str">
        <f>IFERROR(__xludf.DUMMYFUNCTION("IFERROR((sparkline(GOOGLEFINANCE($A458,""price"",TODAY()-365,TODAY(),""DAILY""),{""charttype"",""line"";""linewidth"",1;""color"",""#5f88cc""})),"""")"),"")</f>
        <v/>
      </c>
      <c r="K458" s="50">
        <f>IFERROR(__xludf.DUMMYFUNCTION("IFERROR((((GOOGLEFINANCE(A458))-(INDEX(GoogleFinance(A458,""PRICE"",$AP$1),2,2)))/(INDEX(GoogleFinance(A458,""PRICE"",$AP$1),2,2))),"""")"),0.5032925682031985)</f>
        <v>0.5032925682</v>
      </c>
      <c r="L458" s="51">
        <f t="shared" si="1"/>
        <v>-0.08055235903</v>
      </c>
      <c r="M458" s="52">
        <f>IFERROR((VLOOKUP($A458,'Dados StatusInvest'!$A:$AZ,COLUMN(M458)-$A$5,0)*VLOOKUP($A458,'Dados StatusInvest'!$A:$AZ,2,0)/$F458/100),0)</f>
        <v>0.161905632</v>
      </c>
      <c r="N458" s="53">
        <f>IFERROR((VLOOKUP($A458,'Dados StatusInvest'!$A:$AZ,COLUMN(N458)-$A$5,0)/VLOOKUP($A458,'Dados StatusInvest'!$A:$AZ,2,0)*$F458),"")</f>
        <v>10.87789213</v>
      </c>
      <c r="O458" s="53">
        <f>IFERROR((VLOOKUP($A458,'Dados StatusInvest'!$A:$AZ,COLUMN(O458)-$A$5,0)/VLOOKUP($A458,'Dados StatusInvest'!$A:$AZ,2,0)*$F458),0)</f>
        <v>7.053787973</v>
      </c>
      <c r="P458" s="54">
        <f>IFERROR((VLOOKUP($A458,'Dados StatusInvest'!$A:$AZ,COLUMN(P458)-$A$5,0)/VLOOKUP($A458,'Dados StatusInvest'!$A:$AZ,2,0)*$F458),0)</f>
        <v>7.212300062</v>
      </c>
      <c r="Q458" s="55">
        <f>IFERROR((VLOOKUP($A458,'Dados StatusInvest'!$A:$AZ,COLUMN(Q458)-$A$5,0)/100),0)</f>
        <v>0.0016</v>
      </c>
      <c r="R458" s="56">
        <f>VLOOKUP($A458,'Dados StatusInvest'!$A:$AZ,COLUMN(R458)-$A$5,0)</f>
        <v>0.08</v>
      </c>
      <c r="S458" s="56">
        <f>IFERROR((VLOOKUP($A458,'Dados StatusInvest'!$A:$AZ,COLUMN(S458)-$A$5,0)),0)</f>
        <v>1.14</v>
      </c>
      <c r="T458" s="53">
        <f>IFERROR((VLOOKUP($A458,'Dados StatusInvest'!$A:$AZ,COLUMN(T458)-$A$5,0)/VLOOKUP($A458,'Dados StatusInvest'!$A:$AZ,2,0)*$F458),0)</f>
        <v>1.347352759</v>
      </c>
      <c r="U458" s="53">
        <f>IFERROR((VLOOKUP($A458,'Dados StatusInvest'!$A:$AZ,COLUMN(U458)-$A$5,0)-VLOOKUP($A458,'Dados StatusInvest'!$A:$AZ,COLUMN(U458)-$A$5-1,0)+T458),0)</f>
        <v>-6.342647241</v>
      </c>
      <c r="V458" s="56">
        <f>IFERROR((VLOOKUP($A458,'Dados StatusInvest'!$A:$AZ,COLUMN(V458)-$A$5,0)),0)</f>
        <v>3.7</v>
      </c>
      <c r="W458" s="56">
        <f>IFERROR((VLOOKUP($A458,'Dados StatusInvest'!$A:$AZ,COLUMN(W458)-$A$5,0)),0)</f>
        <v>31.96</v>
      </c>
      <c r="X458" s="53">
        <f>IFERROR((VLOOKUP($A458,'Dados StatusInvest'!$A:$AZ,COLUMN(X458)-$A$5,0)/VLOOKUP($A458,'Dados StatusInvest'!$A:$AZ,2,0)*$F458),0)</f>
        <v>8.183186609</v>
      </c>
      <c r="Y458" s="54">
        <f>IFERROR((VLOOKUP($A458,'Dados StatusInvest'!$A:$AZ,COLUMN(Y458)-$A$5,0)/VLOOKUP($A458,'Dados StatusInvest'!$A:$AZ,2,0)*$F458),0)</f>
        <v>17.90195908</v>
      </c>
      <c r="Z458" s="56">
        <f>IFERROR((VLOOKUP($A458,'Dados StatusInvest'!$A:$AZ,COLUMN(Z458)-$A$5,0)),0)</f>
        <v>0.26</v>
      </c>
      <c r="AA458" s="57">
        <f>IFERROR((VLOOKUP($A458,'Dados StatusInvest'!$A:$AZ,COLUMN(AA458)-$A$5,0)),0)</f>
        <v>0.72</v>
      </c>
      <c r="AB458" s="57">
        <f>IFERROR((VLOOKUP($A458,'Dados StatusInvest'!$A:$AZ,COLUMN(AB458)-$A$5,0)),0)</f>
        <v>0.75</v>
      </c>
      <c r="AC458" s="58">
        <f>IFERROR((VLOOKUP($A458,'Dados StatusInvest'!$A:$AZ,COLUMN(AC458)-$A$5,0)),0)</f>
        <v>29.22</v>
      </c>
      <c r="AD458" s="57">
        <f>IFERROR((VLOOKUP($A458,'Dados StatusInvest'!$A:$AZ,COLUMN(AD458)-$A$5,0)),0)</f>
        <v>25.34</v>
      </c>
      <c r="AE458" s="56">
        <f>IFERROR((VLOOKUP($A458,'Dados StatusInvest'!$A:$AZ,COLUMN(AE458)-$A$5,0)),0)</f>
        <v>31612355</v>
      </c>
      <c r="AF458" s="56">
        <f>IFERROR((VLOOKUP($A458,'Dados StatusInvest'!$A:$AZ,COLUMN(AF458)-$A$5,0)),0)</f>
        <v>4.85</v>
      </c>
      <c r="AG458" s="56">
        <f>IFERROR((VLOOKUP($A458,'Dados StatusInvest'!$A:$AZ,COLUMN(AG458)-$A$5,0)),0)</f>
        <v>1.55</v>
      </c>
      <c r="AH458" s="56">
        <f>IFERROR((VLOOKUP($A458,'Dados StatusInvest'!$A:$AZ,COLUMN(AH458)-$A$5,0)),0)</f>
        <v>-1.53</v>
      </c>
      <c r="AI458" s="57">
        <f>IFERROR((VLOOKUP($A458,'Dados StatusInvest'!$A:$AZ,COLUMN(AI458)-$A$5,0)),0)</f>
        <v>3288923130</v>
      </c>
      <c r="AJ458" s="59" t="str">
        <f>IFERROR((VLOOKUP($A458,'Dados StatusInvest'!$A:$AZ,COLUMN(AJ458)-$A$5,0)),0)</f>
        <v/>
      </c>
      <c r="AK458" s="60">
        <f>IFERROR(__xludf.DUMMYFUNCTION("IFERROR(GOOGLEFINANCE($A458,""high""),"""")"),16.02)</f>
        <v>16.02</v>
      </c>
      <c r="AL458" s="60">
        <f>IFERROR(__xludf.DUMMYFUNCTION("IFERROR(GOOGLEFINANCE($A458,""low""),"""")"),15.8)</f>
        <v>15.8</v>
      </c>
      <c r="AM458" s="61">
        <f t="shared" si="2"/>
        <v>0.01392405063</v>
      </c>
      <c r="AN458" s="62">
        <f>IFERROR(__xludf.DUMMYFUNCTION("IFERROR((GOOGLEFINANCE($A458,""volume"")),0)"),55000.0)</f>
        <v>55000</v>
      </c>
      <c r="AO458" s="60">
        <f>IFERROR(__xludf.DUMMYFUNCTION("IFERROR((GOOGLEFINANCE($A458,""closeyest"")),"""")"),16.13)</f>
        <v>16.13</v>
      </c>
      <c r="AP458" s="60">
        <f>IFERROR(__xludf.DUMMYFUNCTION("IFERROR((GOOGLEFINANCE($A458,""shares"")),"""")"),2.03901E8)</f>
        <v>203901000</v>
      </c>
      <c r="AQ458" s="18"/>
    </row>
    <row r="459">
      <c r="A459" s="45" t="str">
        <f>'Dados StatusInvest'!A454:A1073</f>
        <v>PMAM3</v>
      </c>
      <c r="B459" s="46" t="str">
        <f>IFERROR(__xludf.DUMMYFUNCTION("IFERROR((GOOGLEFINANCE(A459,""name"")),"""")"),"Paranapanema SA Em Recuperacao Judicial")</f>
        <v>Paranapanema SA Em Recuperacao Judicial</v>
      </c>
      <c r="C459" s="46" t="str">
        <f>IFERROR((VLOOKUP(LEFT($A459,4),Setor!$A:$E,3,0)),"")</f>
        <v>Materiais Básicos</v>
      </c>
      <c r="D459" s="46" t="str">
        <f>IFERROR((VLOOKUP(LEFT($A459,4),Setor!$A:$E,4,0)),"")</f>
        <v>Siderurgia e Metalurgia</v>
      </c>
      <c r="E459" s="46" t="str">
        <f>IFERROR((VLOOKUP(LEFT($A459,4),Setor!$A:$E,5,0)),"")</f>
        <v>Artefatos de Cobre</v>
      </c>
      <c r="F459" s="47">
        <f>IFERROR(__xludf.DUMMYFUNCTION("IFERROR((GOOGLEFINANCE(A459)),"""")"),0.71)</f>
        <v>0.71</v>
      </c>
      <c r="G459" s="48" t="str">
        <f>IFERROR(__xludf.DUMMYFUNCTION("IFERROR((sparkline(GOOGLEFINANCE($A459,""price"",TODAY()-30,TODAY(),""DAILY""),{""charttype"",""line"";""linewidth"",1;""color"",""#5f88cc""})),"""")"),"")</f>
        <v/>
      </c>
      <c r="H459" s="49">
        <f>IFERROR(__xludf.DUMMYFUNCTION("IFERROR((((GOOGLEFINANCE(A459))-(INDEX(GoogleFinance(A459,""PRICE"",$AQ$1),2,2)))/(INDEX(GoogleFinance(A459,""PRICE"",$AQ$1),2,2))),"""")"),-0.29702970297029707)</f>
        <v>-0.297029703</v>
      </c>
      <c r="I459" s="47">
        <f>IFERROR(__xludf.DUMMYFUNCTION("IFERROR((GOOGLEFINANCE($A459,""high52"")),"""")"),2.53)</f>
        <v>2.53</v>
      </c>
      <c r="J459" s="48" t="str">
        <f>IFERROR(__xludf.DUMMYFUNCTION("IFERROR((sparkline(GOOGLEFINANCE($A459,""price"",TODAY()-365,TODAY(),""DAILY""),{""charttype"",""line"";""linewidth"",1;""color"",""#5f88cc""})),"""")"),"")</f>
        <v/>
      </c>
      <c r="K459" s="50">
        <f>IFERROR(__xludf.DUMMYFUNCTION("IFERROR((((GOOGLEFINANCE(A459))-(INDEX(GoogleFinance(A459,""PRICE"",$AP$1),2,2)))/(INDEX(GoogleFinance(A459,""PRICE"",$AP$1),2,2))),"""")"),-0.4892086330935252)</f>
        <v>-0.4892086331</v>
      </c>
      <c r="L459" s="51">
        <f t="shared" si="1"/>
        <v>-0.7193675889</v>
      </c>
      <c r="M459" s="52">
        <f>IFERROR((VLOOKUP($A459,'Dados StatusInvest'!$A:$AZ,COLUMN(M459)-$A$5,0)*VLOOKUP($A459,'Dados StatusInvest'!$A:$AZ,2,0)/$F459/100),0)</f>
        <v>-0.7593464789</v>
      </c>
      <c r="N459" s="53">
        <f>IFERROR((VLOOKUP($A459,'Dados StatusInvest'!$A:$AZ,COLUMN(N459)-$A$5,0)/VLOOKUP($A459,'Dados StatusInvest'!$A:$AZ,2,0)*$F459),"")</f>
        <v>-279.9470833</v>
      </c>
      <c r="O459" s="53">
        <f>IFERROR((VLOOKUP($A459,'Dados StatusInvest'!$A:$AZ,COLUMN(O459)-$A$5,0)/VLOOKUP($A459,'Dados StatusInvest'!$A:$AZ,2,0)*$F459),0)</f>
        <v>-0.2465277778</v>
      </c>
      <c r="P459" s="54">
        <f>IFERROR((VLOOKUP($A459,'Dados StatusInvest'!$A:$AZ,COLUMN(P459)-$A$5,0)/VLOOKUP($A459,'Dados StatusInvest'!$A:$AZ,2,0)*$F459),0)</f>
        <v>-13.02652778</v>
      </c>
      <c r="Q459" s="55">
        <f>IFERROR((VLOOKUP($A459,'Dados StatusInvest'!$A:$AZ,COLUMN(Q459)-$A$5,0)/100),0)</f>
        <v>-0.1296</v>
      </c>
      <c r="R459" s="56">
        <f>VLOOKUP($A459,'Dados StatusInvest'!$A:$AZ,COLUMN(R459)-$A$5,0)</f>
        <v>0</v>
      </c>
      <c r="S459" s="56">
        <f>IFERROR((VLOOKUP($A459,'Dados StatusInvest'!$A:$AZ,COLUMN(S459)-$A$5,0)),0)</f>
        <v>0.19</v>
      </c>
      <c r="T459" s="53">
        <f>IFERROR((VLOOKUP($A459,'Dados StatusInvest'!$A:$AZ,COLUMN(T459)-$A$5,0)/VLOOKUP($A459,'Dados StatusInvest'!$A:$AZ,2,0)*$F459),0)</f>
        <v>-0.01972222222</v>
      </c>
      <c r="U459" s="53">
        <f>IFERROR((VLOOKUP($A459,'Dados StatusInvest'!$A:$AZ,COLUMN(U459)-$A$5,0)-VLOOKUP($A459,'Dados StatusInvest'!$A:$AZ,COLUMN(U459)-$A$5-1,0)+T459),0)</f>
        <v>-0.07972222222</v>
      </c>
      <c r="V459" s="56">
        <f>IFERROR((VLOOKUP($A459,'Dados StatusInvest'!$A:$AZ,COLUMN(V459)-$A$5,0)),0)</f>
        <v>0.05</v>
      </c>
      <c r="W459" s="56">
        <f>IFERROR((VLOOKUP($A459,'Dados StatusInvest'!$A:$AZ,COLUMN(W459)-$A$5,0)),0)</f>
        <v>-23.04</v>
      </c>
      <c r="X459" s="53">
        <f>IFERROR((VLOOKUP($A459,'Dados StatusInvest'!$A:$AZ,COLUMN(X459)-$A$5,0)/VLOOKUP($A459,'Dados StatusInvest'!$A:$AZ,2,0)*$F459),0)</f>
        <v>-96.98402778</v>
      </c>
      <c r="Y459" s="54">
        <f>IFERROR((VLOOKUP($A459,'Dados StatusInvest'!$A:$AZ,COLUMN(Y459)-$A$5,0)/VLOOKUP($A459,'Dados StatusInvest'!$A:$AZ,2,0)*$F459),0)</f>
        <v>29.19875</v>
      </c>
      <c r="Z459" s="56">
        <f>IFERROR((VLOOKUP($A459,'Dados StatusInvest'!$A:$AZ,COLUMN(Z459)-$A$5,0)),0)</f>
        <v>-4.27</v>
      </c>
      <c r="AA459" s="57">
        <f>IFERROR((VLOOKUP($A459,'Dados StatusInvest'!$A:$AZ,COLUMN(AA459)-$A$5,0)),0)</f>
        <v>5.27</v>
      </c>
      <c r="AB459" s="57">
        <f>IFERROR((VLOOKUP($A459,'Dados StatusInvest'!$A:$AZ,COLUMN(AB459)-$A$5,0)),0)</f>
        <v>0.35</v>
      </c>
      <c r="AC459" s="58">
        <f>IFERROR((VLOOKUP($A459,'Dados StatusInvest'!$A:$AZ,COLUMN(AC459)-$A$5,0)),0)</f>
        <v>-38.5</v>
      </c>
      <c r="AD459" s="57">
        <f>IFERROR((VLOOKUP($A459,'Dados StatusInvest'!$A:$AZ,COLUMN(AD459)-$A$5,0)),0)</f>
        <v>0</v>
      </c>
      <c r="AE459" s="56">
        <f>IFERROR((VLOOKUP($A459,'Dados StatusInvest'!$A:$AZ,COLUMN(AE459)-$A$5,0)),0)</f>
        <v>3162417</v>
      </c>
      <c r="AF459" s="56">
        <f>IFERROR((VLOOKUP($A459,'Dados StatusInvest'!$A:$AZ,COLUMN(AF459)-$A$5,0)),0)</f>
        <v>-47.74</v>
      </c>
      <c r="AG459" s="56">
        <f>IFERROR((VLOOKUP($A459,'Dados StatusInvest'!$A:$AZ,COLUMN(AG459)-$A$5,0)),0)</f>
        <v>-11</v>
      </c>
      <c r="AH459" s="56">
        <f>IFERROR((VLOOKUP($A459,'Dados StatusInvest'!$A:$AZ,COLUMN(AH459)-$A$5,0)),0)</f>
        <v>0.02</v>
      </c>
      <c r="AI459" s="57">
        <f>IFERROR((VLOOKUP($A459,'Dados StatusInvest'!$A:$AZ,COLUMN(AI459)-$A$5,0)),0)</f>
        <v>100407342.2</v>
      </c>
      <c r="AJ459" s="59" t="str">
        <f>IFERROR((VLOOKUP($A459,'Dados StatusInvest'!$A:$AZ,COLUMN(AJ459)-$A$5,0)),0)</f>
        <v/>
      </c>
      <c r="AK459" s="60">
        <f>IFERROR(__xludf.DUMMYFUNCTION("IFERROR(GOOGLEFINANCE($A459,""high""),"""")"),0.73)</f>
        <v>0.73</v>
      </c>
      <c r="AL459" s="60">
        <f>IFERROR(__xludf.DUMMYFUNCTION("IFERROR(GOOGLEFINANCE($A459,""low""),"""")"),0.7)</f>
        <v>0.7</v>
      </c>
      <c r="AM459" s="61">
        <f t="shared" si="2"/>
        <v>0.04285714286</v>
      </c>
      <c r="AN459" s="62">
        <f>IFERROR(__xludf.DUMMYFUNCTION("IFERROR((GOOGLEFINANCE($A459,""volume"")),0)"),352600.0)</f>
        <v>352600</v>
      </c>
      <c r="AO459" s="60">
        <f>IFERROR(__xludf.DUMMYFUNCTION("IFERROR((GOOGLEFINANCE($A459,""closeyest"")),"""")"),0.72)</f>
        <v>0.72</v>
      </c>
      <c r="AP459" s="60">
        <f>IFERROR(__xludf.DUMMYFUNCTION("IFERROR((GOOGLEFINANCE($A459,""shares"")),"""")"),1.39454642E8)</f>
        <v>139454642</v>
      </c>
      <c r="AQ459" s="18"/>
    </row>
    <row r="460">
      <c r="A460" s="45" t="str">
        <f>'Dados StatusInvest'!A455:A1074</f>
        <v>PNVL3</v>
      </c>
      <c r="B460" s="46" t="str">
        <f>IFERROR(__xludf.DUMMYFUNCTION("IFERROR((GOOGLEFINANCE(A460,""name"")),"""")"),"Dimed SA Distribuidora de Medicamentos")</f>
        <v>Dimed SA Distribuidora de Medicamentos</v>
      </c>
      <c r="C460" s="46" t="str">
        <f>IFERROR((VLOOKUP(LEFT($A460,4),Setor!$A:$E,3,0)),"")</f>
        <v>Saúde</v>
      </c>
      <c r="D460" s="46" t="str">
        <f>IFERROR((VLOOKUP(LEFT($A460,4),Setor!$A:$E,4,0)),"")</f>
        <v>Comércio e Distribuição</v>
      </c>
      <c r="E460" s="46" t="str">
        <f>IFERROR((VLOOKUP(LEFT($A460,4),Setor!$A:$E,5,0)),"")</f>
        <v>Medicamentos e Outros Produtos</v>
      </c>
      <c r="F460" s="47">
        <f>IFERROR(__xludf.DUMMYFUNCTION("IFERROR((GOOGLEFINANCE(A460)),"""")"),15.91)</f>
        <v>15.91</v>
      </c>
      <c r="G460" s="48" t="str">
        <f>IFERROR(__xludf.DUMMYFUNCTION("IFERROR((sparkline(GOOGLEFINANCE($A460,""price"",TODAY()-30,TODAY(),""DAILY""),{""charttype"",""line"";""linewidth"",1;""color"",""#5f88cc""})),"""")"),"")</f>
        <v/>
      </c>
      <c r="H460" s="49">
        <f>IFERROR(__xludf.DUMMYFUNCTION("IFERROR((((GOOGLEFINANCE(A460))-(INDEX(GoogleFinance(A460,""PRICE"",$AQ$1),2,2)))/(INDEX(GoogleFinance(A460,""PRICE"",$AQ$1),2,2))),"""")"),0.2537431048069346)</f>
        <v>0.2537431048</v>
      </c>
      <c r="I460" s="47">
        <f>IFERROR(__xludf.DUMMYFUNCTION("IFERROR((GOOGLEFINANCE($A460,""high52"")),"""")"),15.75)</f>
        <v>15.75</v>
      </c>
      <c r="J460" s="48" t="str">
        <f>IFERROR(__xludf.DUMMYFUNCTION("IFERROR((sparkline(GOOGLEFINANCE($A460,""price"",TODAY()-365,TODAY(),""DAILY""),{""charttype"",""line"";""linewidth"",1;""color"",""#5f88cc""})),"""")"),"")</f>
        <v/>
      </c>
      <c r="K460" s="50">
        <f>IFERROR(__xludf.DUMMYFUNCTION("IFERROR((((GOOGLEFINANCE(A460))-(INDEX(GoogleFinance(A460,""PRICE"",$AP$1),2,2)))/(INDEX(GoogleFinance(A460,""PRICE"",$AP$1),2,2))),"""")"),0.9473684210526316)</f>
        <v>0.9473684211</v>
      </c>
      <c r="L460" s="51">
        <f t="shared" si="1"/>
        <v>0.01015873016</v>
      </c>
      <c r="M460" s="52">
        <f>IFERROR((VLOOKUP($A460,'Dados StatusInvest'!$A:$AZ,COLUMN(M460)-$A$5,0)*VLOOKUP($A460,'Dados StatusInvest'!$A:$AZ,2,0)/$F460/100),0)</f>
        <v>0.0447</v>
      </c>
      <c r="N460" s="53">
        <f>IFERROR((VLOOKUP($A460,'Dados StatusInvest'!$A:$AZ,COLUMN(N460)-$A$5,0)/VLOOKUP($A460,'Dados StatusInvest'!$A:$AZ,2,0)*$F460),"")</f>
        <v>2.13</v>
      </c>
      <c r="O460" s="53">
        <f>IFERROR((VLOOKUP($A460,'Dados StatusInvest'!$A:$AZ,COLUMN(O460)-$A$5,0)/VLOOKUP($A460,'Dados StatusInvest'!$A:$AZ,2,0)*$F460),0)</f>
        <v>10.12</v>
      </c>
      <c r="P460" s="54">
        <f>IFERROR((VLOOKUP($A460,'Dados StatusInvest'!$A:$AZ,COLUMN(P460)-$A$5,0)/VLOOKUP($A460,'Dados StatusInvest'!$A:$AZ,2,0)*$F460),0)</f>
        <v>14.4</v>
      </c>
      <c r="Q460" s="55">
        <f>IFERROR((VLOOKUP($A460,'Dados StatusInvest'!$A:$AZ,COLUMN(Q460)-$A$5,0)/100),0)</f>
        <v>0.0428</v>
      </c>
      <c r="R460" s="56">
        <f>VLOOKUP($A460,'Dados StatusInvest'!$A:$AZ,COLUMN(R460)-$A$5,0)</f>
        <v>0.8</v>
      </c>
      <c r="S460" s="56">
        <f>IFERROR((VLOOKUP($A460,'Dados StatusInvest'!$A:$AZ,COLUMN(S460)-$A$5,0)),0)</f>
        <v>0.45</v>
      </c>
      <c r="T460" s="53">
        <f>IFERROR((VLOOKUP($A460,'Dados StatusInvest'!$A:$AZ,COLUMN(T460)-$A$5,0)/VLOOKUP($A460,'Dados StatusInvest'!$A:$AZ,2,0)*$F460),0)</f>
        <v>2.34</v>
      </c>
      <c r="U460" s="53">
        <f>IFERROR((VLOOKUP($A460,'Dados StatusInvest'!$A:$AZ,COLUMN(U460)-$A$5,0)-VLOOKUP($A460,'Dados StatusInvest'!$A:$AZ,COLUMN(U460)-$A$5-1,0)+T460),0)</f>
        <v>-1.66</v>
      </c>
      <c r="V460" s="56">
        <f>IFERROR((VLOOKUP($A460,'Dados StatusInvest'!$A:$AZ,COLUMN(V460)-$A$5,0)),0)</f>
        <v>1.91</v>
      </c>
      <c r="W460" s="56">
        <f>IFERROR((VLOOKUP($A460,'Dados StatusInvest'!$A:$AZ,COLUMN(W460)-$A$5,0)),0)</f>
        <v>8.93</v>
      </c>
      <c r="X460" s="53">
        <f>IFERROR((VLOOKUP($A460,'Dados StatusInvest'!$A:$AZ,COLUMN(X460)-$A$5,0)/VLOOKUP($A460,'Dados StatusInvest'!$A:$AZ,2,0)*$F460),0)</f>
        <v>3.15</v>
      </c>
      <c r="Y460" s="54">
        <f>IFERROR((VLOOKUP($A460,'Dados StatusInvest'!$A:$AZ,COLUMN(Y460)-$A$5,0)/VLOOKUP($A460,'Dados StatusInvest'!$A:$AZ,2,0)*$F460),0)</f>
        <v>7.43</v>
      </c>
      <c r="Z460" s="56">
        <f>IFERROR((VLOOKUP($A460,'Dados StatusInvest'!$A:$AZ,COLUMN(Z460)-$A$5,0)),0)</f>
        <v>0.35</v>
      </c>
      <c r="AA460" s="57">
        <f>IFERROR((VLOOKUP($A460,'Dados StatusInvest'!$A:$AZ,COLUMN(AA460)-$A$5,0)),0)</f>
        <v>0.65</v>
      </c>
      <c r="AB460" s="57">
        <f>IFERROR((VLOOKUP($A460,'Dados StatusInvest'!$A:$AZ,COLUMN(AB460)-$A$5,0)),0)</f>
        <v>1.48</v>
      </c>
      <c r="AC460" s="58">
        <f>IFERROR((VLOOKUP($A460,'Dados StatusInvest'!$A:$AZ,COLUMN(AC460)-$A$5,0)),0)</f>
        <v>12.65</v>
      </c>
      <c r="AD460" s="57">
        <f>IFERROR((VLOOKUP($A460,'Dados StatusInvest'!$A:$AZ,COLUMN(AD460)-$A$5,0)),0)</f>
        <v>8.01</v>
      </c>
      <c r="AE460" s="56">
        <f>IFERROR((VLOOKUP($A460,'Dados StatusInvest'!$A:$AZ,COLUMN(AE460)-$A$5,0)),0)</f>
        <v>12591551</v>
      </c>
      <c r="AF460" s="56">
        <f>IFERROR((VLOOKUP($A460,'Dados StatusInvest'!$A:$AZ,COLUMN(AF460)-$A$5,0)),0)</f>
        <v>8.41</v>
      </c>
      <c r="AG460" s="56">
        <f>IFERROR((VLOOKUP($A460,'Dados StatusInvest'!$A:$AZ,COLUMN(AG460)-$A$5,0)),0)</f>
        <v>0.75</v>
      </c>
      <c r="AH460" s="56">
        <f>IFERROR((VLOOKUP($A460,'Dados StatusInvest'!$A:$AZ,COLUMN(AH460)-$A$5,0)),0)</f>
        <v>2.37</v>
      </c>
      <c r="AI460" s="57">
        <f>IFERROR((VLOOKUP($A460,'Dados StatusInvest'!$A:$AZ,COLUMN(AI460)-$A$5,0)),0)</f>
        <v>2392505723</v>
      </c>
      <c r="AJ460" s="59" t="str">
        <f>IFERROR((VLOOKUP($A460,'Dados StatusInvest'!$A:$AZ,COLUMN(AJ460)-$A$5,0)),0)</f>
        <v/>
      </c>
      <c r="AK460" s="60" t="str">
        <f>IFERROR(__xludf.DUMMYFUNCTION("IFERROR(GOOGLEFINANCE($A460,""high""),"""")"),"")</f>
        <v/>
      </c>
      <c r="AL460" s="60" t="str">
        <f>IFERROR(__xludf.DUMMYFUNCTION("IFERROR(GOOGLEFINANCE($A460,""low""),"""")"),"")</f>
        <v/>
      </c>
      <c r="AM460" s="61">
        <f t="shared" si="2"/>
        <v>0</v>
      </c>
      <c r="AN460" s="62">
        <f>IFERROR(__xludf.DUMMYFUNCTION("IFERROR((GOOGLEFINANCE($A460,""volume"")),0)"),0.0)</f>
        <v>0</v>
      </c>
      <c r="AO460" s="60">
        <f>IFERROR(__xludf.DUMMYFUNCTION("IFERROR((GOOGLEFINANCE($A460,""closeyest"")),"""")"),15.91)</f>
        <v>15.91</v>
      </c>
      <c r="AP460" s="60">
        <f>IFERROR(__xludf.DUMMYFUNCTION("IFERROR((GOOGLEFINANCE($A460,""shares"")),"""")"),1.50377481E8)</f>
        <v>150377481</v>
      </c>
      <c r="AQ460" s="18"/>
    </row>
    <row r="461">
      <c r="A461" s="45" t="str">
        <f>'Dados StatusInvest'!A456:A1075</f>
        <v>PNVL4</v>
      </c>
      <c r="B461" s="46" t="str">
        <f>IFERROR(__xludf.DUMMYFUNCTION("IFERROR((GOOGLEFINANCE(A461,""name"")),"""")"),"")</f>
        <v/>
      </c>
      <c r="C461" s="46" t="str">
        <f>IFERROR((VLOOKUP(LEFT($A461,4),Setor!$A:$E,3,0)),"")</f>
        <v>Saúde</v>
      </c>
      <c r="D461" s="46" t="str">
        <f>IFERROR((VLOOKUP(LEFT($A461,4),Setor!$A:$E,4,0)),"")</f>
        <v>Comércio e Distribuição</v>
      </c>
      <c r="E461" s="46" t="str">
        <f>IFERROR((VLOOKUP(LEFT($A461,4),Setor!$A:$E,5,0)),"")</f>
        <v>Medicamentos e Outros Produtos</v>
      </c>
      <c r="F461" s="47" t="str">
        <f>IFERROR(__xludf.DUMMYFUNCTION("IFERROR((GOOGLEFINANCE(A461)),"""")"),"")</f>
        <v/>
      </c>
      <c r="G461" s="48" t="str">
        <f>IFERROR(__xludf.DUMMYFUNCTION("IFERROR((sparkline(GOOGLEFINANCE($A461,""price"",TODAY()-30,TODAY(),""DAILY""),{""charttype"",""line"";""linewidth"",1;""color"",""#5f88cc""})),"""")"),"")</f>
        <v/>
      </c>
      <c r="H461" s="49" t="str">
        <f>IFERROR(__xludf.DUMMYFUNCTION("IFERROR((((GOOGLEFINANCE(A461))-(INDEX(GoogleFinance(A461,""PRICE"",$AQ$1),2,2)))/(INDEX(GoogleFinance(A461,""PRICE"",$AQ$1),2,2))),"""")"),"")</f>
        <v/>
      </c>
      <c r="I461" s="47" t="str">
        <f>IFERROR(__xludf.DUMMYFUNCTION("IFERROR((GOOGLEFINANCE($A461,""high52"")),"""")"),"")</f>
        <v/>
      </c>
      <c r="J461" s="48" t="str">
        <f>IFERROR(__xludf.DUMMYFUNCTION("IFERROR((sparkline(GOOGLEFINANCE($A461,""price"",TODAY()-365,TODAY(),""DAILY""),{""charttype"",""line"";""linewidth"",1;""color"",""#5f88cc""})),"""")"),"")</f>
        <v/>
      </c>
      <c r="K461" s="50" t="str">
        <f>IFERROR(__xludf.DUMMYFUNCTION("IFERROR((((GOOGLEFINANCE(A461))-(INDEX(GoogleFinance(A461,""PRICE"",$AP$1),2,2)))/(INDEX(GoogleFinance(A461,""PRICE"",$AP$1),2,2))),"""")"),"")</f>
        <v/>
      </c>
      <c r="L461" s="51">
        <f t="shared" si="1"/>
        <v>0</v>
      </c>
      <c r="M461" s="52">
        <f>IFERROR((VLOOKUP($A461,'Dados StatusInvest'!$A:$AZ,COLUMN(M461)-$A$5,0)*VLOOKUP($A461,'Dados StatusInvest'!$A:$AZ,2,0)/$F461/100),0)</f>
        <v>0</v>
      </c>
      <c r="N461" s="53">
        <f>IFERROR((VLOOKUP($A461,'Dados StatusInvest'!$A:$AZ,COLUMN(N461)-$A$5,0)/VLOOKUP($A461,'Dados StatusInvest'!$A:$AZ,2,0)*$F461),"")</f>
        <v>0</v>
      </c>
      <c r="O461" s="53">
        <f>IFERROR((VLOOKUP($A461,'Dados StatusInvest'!$A:$AZ,COLUMN(O461)-$A$5,0)/VLOOKUP($A461,'Dados StatusInvest'!$A:$AZ,2,0)*$F461),0)</f>
        <v>0</v>
      </c>
      <c r="P461" s="54">
        <f>IFERROR((VLOOKUP($A461,'Dados StatusInvest'!$A:$AZ,COLUMN(P461)-$A$5,0)/VLOOKUP($A461,'Dados StatusInvest'!$A:$AZ,2,0)*$F461),0)</f>
        <v>0</v>
      </c>
      <c r="Q461" s="55">
        <f>IFERROR((VLOOKUP($A461,'Dados StatusInvest'!$A:$AZ,COLUMN(Q461)-$A$5,0)/100),0)</f>
        <v>0.0428</v>
      </c>
      <c r="R461" s="56">
        <f>VLOOKUP($A461,'Dados StatusInvest'!$A:$AZ,COLUMN(R461)-$A$5,0)</f>
        <v>0.8</v>
      </c>
      <c r="S461" s="56">
        <f>IFERROR((VLOOKUP($A461,'Dados StatusInvest'!$A:$AZ,COLUMN(S461)-$A$5,0)),0)</f>
        <v>0.53</v>
      </c>
      <c r="T461" s="53">
        <f>IFERROR((VLOOKUP($A461,'Dados StatusInvest'!$A:$AZ,COLUMN(T461)-$A$5,0)/VLOOKUP($A461,'Dados StatusInvest'!$A:$AZ,2,0)*$F461),0)</f>
        <v>0</v>
      </c>
      <c r="U461" s="53">
        <f>IFERROR((VLOOKUP($A461,'Dados StatusInvest'!$A:$AZ,COLUMN(U461)-$A$5,0)-VLOOKUP($A461,'Dados StatusInvest'!$A:$AZ,COLUMN(U461)-$A$5-1,0)+T461),0)</f>
        <v>-4.69</v>
      </c>
      <c r="V461" s="56">
        <f>IFERROR((VLOOKUP($A461,'Dados StatusInvest'!$A:$AZ,COLUMN(V461)-$A$5,0)),0)</f>
        <v>1.91</v>
      </c>
      <c r="W461" s="56">
        <f>IFERROR((VLOOKUP($A461,'Dados StatusInvest'!$A:$AZ,COLUMN(W461)-$A$5,0)),0)</f>
        <v>8.93</v>
      </c>
      <c r="X461" s="53">
        <f>IFERROR((VLOOKUP($A461,'Dados StatusInvest'!$A:$AZ,COLUMN(X461)-$A$5,0)/VLOOKUP($A461,'Dados StatusInvest'!$A:$AZ,2,0)*$F461),0)</f>
        <v>0</v>
      </c>
      <c r="Y461" s="54">
        <f>IFERROR((VLOOKUP($A461,'Dados StatusInvest'!$A:$AZ,COLUMN(Y461)-$A$5,0)/VLOOKUP($A461,'Dados StatusInvest'!$A:$AZ,2,0)*$F461),0)</f>
        <v>0</v>
      </c>
      <c r="Z461" s="56">
        <f>IFERROR((VLOOKUP($A461,'Dados StatusInvest'!$A:$AZ,COLUMN(Z461)-$A$5,0)),0)</f>
        <v>0.35</v>
      </c>
      <c r="AA461" s="57">
        <f>IFERROR((VLOOKUP($A461,'Dados StatusInvest'!$A:$AZ,COLUMN(AA461)-$A$5,0)),0)</f>
        <v>0.65</v>
      </c>
      <c r="AB461" s="57">
        <f>IFERROR((VLOOKUP($A461,'Dados StatusInvest'!$A:$AZ,COLUMN(AB461)-$A$5,0)),0)</f>
        <v>1.48</v>
      </c>
      <c r="AC461" s="58">
        <f>IFERROR((VLOOKUP($A461,'Dados StatusInvest'!$A:$AZ,COLUMN(AC461)-$A$5,0)),0)</f>
        <v>12.65</v>
      </c>
      <c r="AD461" s="57">
        <f>IFERROR((VLOOKUP($A461,'Dados StatusInvest'!$A:$AZ,COLUMN(AD461)-$A$5,0)),0)</f>
        <v>8.01</v>
      </c>
      <c r="AE461" s="56">
        <f>IFERROR((VLOOKUP($A461,'Dados StatusInvest'!$A:$AZ,COLUMN(AE461)-$A$5,0)),0)</f>
        <v>0</v>
      </c>
      <c r="AF461" s="56">
        <f>IFERROR((VLOOKUP($A461,'Dados StatusInvest'!$A:$AZ,COLUMN(AF461)-$A$5,0)),0)</f>
        <v>8.41</v>
      </c>
      <c r="AG461" s="56">
        <f>IFERROR((VLOOKUP($A461,'Dados StatusInvest'!$A:$AZ,COLUMN(AG461)-$A$5,0)),0)</f>
        <v>0.75</v>
      </c>
      <c r="AH461" s="56">
        <f>IFERROR((VLOOKUP($A461,'Dados StatusInvest'!$A:$AZ,COLUMN(AH461)-$A$5,0)),0)</f>
        <v>2.77</v>
      </c>
      <c r="AI461" s="57">
        <f>IFERROR((VLOOKUP($A461,'Dados StatusInvest'!$A:$AZ,COLUMN(AI461)-$A$5,0)),0)</f>
        <v>2392505723</v>
      </c>
      <c r="AJ461" s="59" t="str">
        <f>IFERROR((VLOOKUP($A461,'Dados StatusInvest'!$A:$AZ,COLUMN(AJ461)-$A$5,0)),0)</f>
        <v/>
      </c>
      <c r="AK461" s="60" t="str">
        <f>IFERROR(__xludf.DUMMYFUNCTION("IFERROR(GOOGLEFINANCE($A461,""high""),"""")"),"")</f>
        <v/>
      </c>
      <c r="AL461" s="60" t="str">
        <f>IFERROR(__xludf.DUMMYFUNCTION("IFERROR(GOOGLEFINANCE($A461,""low""),"""")"),"")</f>
        <v/>
      </c>
      <c r="AM461" s="61">
        <f t="shared" si="2"/>
        <v>0</v>
      </c>
      <c r="AN461" s="62">
        <f>IFERROR(__xludf.DUMMYFUNCTION("IFERROR((GOOGLEFINANCE($A461,""volume"")),0)"),0.0)</f>
        <v>0</v>
      </c>
      <c r="AO461" s="60" t="str">
        <f>IFERROR(__xludf.DUMMYFUNCTION("IFERROR((GOOGLEFINANCE($A461,""closeyest"")),"""")"),"")</f>
        <v/>
      </c>
      <c r="AP461" s="60" t="str">
        <f>IFERROR(__xludf.DUMMYFUNCTION("IFERROR((GOOGLEFINANCE($A461,""shares"")),"""")"),"")</f>
        <v/>
      </c>
      <c r="AQ461" s="18"/>
    </row>
    <row r="462">
      <c r="A462" s="45" t="str">
        <f>'Dados StatusInvest'!A457:A1076</f>
        <v>POMO3</v>
      </c>
      <c r="B462" s="46" t="str">
        <f>IFERROR(__xludf.DUMMYFUNCTION("IFERROR((GOOGLEFINANCE(A462,""name"")),"""")"),"Marcopolo SA")</f>
        <v>Marcopolo SA</v>
      </c>
      <c r="C462" s="46" t="str">
        <f>IFERROR((VLOOKUP(LEFT($A462,4),Setor!$A:$E,3,0)),"")</f>
        <v>Bens Industriais</v>
      </c>
      <c r="D462" s="46" t="str">
        <f>IFERROR((VLOOKUP(LEFT($A462,4),Setor!$A:$E,4,0)),"")</f>
        <v>Material de Transporte</v>
      </c>
      <c r="E462" s="46" t="str">
        <f>IFERROR((VLOOKUP(LEFT($A462,4),Setor!$A:$E,5,0)),"")</f>
        <v>Material Rodoviário</v>
      </c>
      <c r="F462" s="47">
        <f>IFERROR(__xludf.DUMMYFUNCTION("IFERROR((GOOGLEFINANCE(A462)),"""")"),6.25)</f>
        <v>6.25</v>
      </c>
      <c r="G462" s="48" t="str">
        <f>IFERROR(__xludf.DUMMYFUNCTION("IFERROR((sparkline(GOOGLEFINANCE($A462,""price"",TODAY()-30,TODAY(),""DAILY""),{""charttype"",""line"";""linewidth"",1;""color"",""#5f88cc""})),"""")"),"")</f>
        <v/>
      </c>
      <c r="H462" s="49">
        <f>IFERROR(__xludf.DUMMYFUNCTION("IFERROR((((GOOGLEFINANCE(A462))-(INDEX(GoogleFinance(A462,""PRICE"",$AQ$1),2,2)))/(INDEX(GoogleFinance(A462,""PRICE"",$AQ$1),2,2))),"""")"),0.08695652173913043)</f>
        <v>0.08695652174</v>
      </c>
      <c r="I462" s="47">
        <f>IFERROR(__xludf.DUMMYFUNCTION("IFERROR((GOOGLEFINANCE($A462,""high52"")),"""")"),6.84)</f>
        <v>6.84</v>
      </c>
      <c r="J462" s="48" t="str">
        <f>IFERROR(__xludf.DUMMYFUNCTION("IFERROR((sparkline(GOOGLEFINANCE($A462,""price"",TODAY()-365,TODAY(),""DAILY""),{""charttype"",""line"";""linewidth"",1;""color"",""#5f88cc""})),"""")"),"")</f>
        <v/>
      </c>
      <c r="K462" s="50">
        <f>IFERROR(__xludf.DUMMYFUNCTION("IFERROR((((GOOGLEFINANCE(A462))-(INDEX(GoogleFinance(A462,""PRICE"",$AP$1),2,2)))/(INDEX(GoogleFinance(A462,""PRICE"",$AP$1),2,2))),"""")"),0.12612612612612617)</f>
        <v>0.1261261261</v>
      </c>
      <c r="L462" s="51">
        <f t="shared" si="1"/>
        <v>-0.08625730994</v>
      </c>
      <c r="M462" s="52">
        <f>IFERROR((VLOOKUP($A462,'Dados StatusInvest'!$A:$AZ,COLUMN(M462)-$A$5,0)*VLOOKUP($A462,'Dados StatusInvest'!$A:$AZ,2,0)/$F462/100),0)</f>
        <v>0.153416</v>
      </c>
      <c r="N462" s="53">
        <f>IFERROR((VLOOKUP($A462,'Dados StatusInvest'!$A:$AZ,COLUMN(N462)-$A$5,0)/VLOOKUP($A462,'Dados StatusInvest'!$A:$AZ,2,0)*$F462),"")</f>
        <v>12.93307087</v>
      </c>
      <c r="O462" s="53">
        <f>IFERROR((VLOOKUP($A462,'Dados StatusInvest'!$A:$AZ,COLUMN(O462)-$A$5,0)/VLOOKUP($A462,'Dados StatusInvest'!$A:$AZ,2,0)*$F462),0)</f>
        <v>5.649606299</v>
      </c>
      <c r="P462" s="54">
        <f>IFERROR((VLOOKUP($A462,'Dados StatusInvest'!$A:$AZ,COLUMN(P462)-$A$5,0)/VLOOKUP($A462,'Dados StatusInvest'!$A:$AZ,2,0)*$F462),0)</f>
        <v>6.653543307</v>
      </c>
      <c r="Q462" s="55">
        <f>IFERROR((VLOOKUP($A462,'Dados StatusInvest'!$A:$AZ,COLUMN(Q462)-$A$5,0)/100),0)</f>
        <v>0.0092</v>
      </c>
      <c r="R462" s="56">
        <f>VLOOKUP($A462,'Dados StatusInvest'!$A:$AZ,COLUMN(R462)-$A$5,0)</f>
        <v>0.29</v>
      </c>
      <c r="S462" s="56">
        <f>IFERROR((VLOOKUP($A462,'Dados StatusInvest'!$A:$AZ,COLUMN(S462)-$A$5,0)),0)</f>
        <v>0.87</v>
      </c>
      <c r="T462" s="53">
        <f>IFERROR((VLOOKUP($A462,'Dados StatusInvest'!$A:$AZ,COLUMN(T462)-$A$5,0)/VLOOKUP($A462,'Dados StatusInvest'!$A:$AZ,2,0)*$F462),0)</f>
        <v>2.726377953</v>
      </c>
      <c r="U462" s="53">
        <f>IFERROR((VLOOKUP($A462,'Dados StatusInvest'!$A:$AZ,COLUMN(U462)-$A$5,0)-VLOOKUP($A462,'Dados StatusInvest'!$A:$AZ,COLUMN(U462)-$A$5-1,0)+T462),0)</f>
        <v>-2.153622047</v>
      </c>
      <c r="V462" s="56">
        <f>IFERROR((VLOOKUP($A462,'Dados StatusInvest'!$A:$AZ,COLUMN(V462)-$A$5,0)),0)</f>
        <v>1.91</v>
      </c>
      <c r="W462" s="56">
        <f>IFERROR((VLOOKUP($A462,'Dados StatusInvest'!$A:$AZ,COLUMN(W462)-$A$5,0)),0)</f>
        <v>27.78</v>
      </c>
      <c r="X462" s="53">
        <f>IFERROR((VLOOKUP($A462,'Dados StatusInvest'!$A:$AZ,COLUMN(X462)-$A$5,0)/VLOOKUP($A462,'Dados StatusInvest'!$A:$AZ,2,0)*$F462),0)</f>
        <v>12.10629921</v>
      </c>
      <c r="Y462" s="54">
        <f>IFERROR((VLOOKUP($A462,'Dados StatusInvest'!$A:$AZ,COLUMN(Y462)-$A$5,0)/VLOOKUP($A462,'Dados StatusInvest'!$A:$AZ,2,0)*$F462),0)</f>
        <v>12.60826772</v>
      </c>
      <c r="Z462" s="56">
        <f>IFERROR((VLOOKUP($A462,'Dados StatusInvest'!$A:$AZ,COLUMN(Z462)-$A$5,0)),0)</f>
        <v>0.44</v>
      </c>
      <c r="AA462" s="57">
        <f>IFERROR((VLOOKUP($A462,'Dados StatusInvest'!$A:$AZ,COLUMN(AA462)-$A$5,0)),0)</f>
        <v>0.55</v>
      </c>
      <c r="AB462" s="57">
        <f>IFERROR((VLOOKUP($A462,'Dados StatusInvest'!$A:$AZ,COLUMN(AB462)-$A$5,0)),0)</f>
        <v>0.94</v>
      </c>
      <c r="AC462" s="58">
        <f>IFERROR((VLOOKUP($A462,'Dados StatusInvest'!$A:$AZ,COLUMN(AC462)-$A$5,0)),0)</f>
        <v>14.78</v>
      </c>
      <c r="AD462" s="57">
        <f>IFERROR((VLOOKUP($A462,'Dados StatusInvest'!$A:$AZ,COLUMN(AD462)-$A$5,0)),0)</f>
        <v>42.97</v>
      </c>
      <c r="AE462" s="56">
        <f>IFERROR((VLOOKUP($A462,'Dados StatusInvest'!$A:$AZ,COLUMN(AE462)-$A$5,0)),0)</f>
        <v>4419178</v>
      </c>
      <c r="AF462" s="56">
        <f>IFERROR((VLOOKUP($A462,'Dados StatusInvest'!$A:$AZ,COLUMN(AF462)-$A$5,0)),0)</f>
        <v>3.46</v>
      </c>
      <c r="AG462" s="56">
        <f>IFERROR((VLOOKUP($A462,'Dados StatusInvest'!$A:$AZ,COLUMN(AG462)-$A$5,0)),0)</f>
        <v>0.96</v>
      </c>
      <c r="AH462" s="56">
        <f>IFERROR((VLOOKUP($A462,'Dados StatusInvest'!$A:$AZ,COLUMN(AH462)-$A$5,0)),0)</f>
        <v>1.73</v>
      </c>
      <c r="AI462" s="57">
        <f>IFERROR((VLOOKUP($A462,'Dados StatusInvest'!$A:$AZ,COLUMN(AI462)-$A$5,0)),0)</f>
        <v>8080667601</v>
      </c>
      <c r="AJ462" s="59" t="str">
        <f>IFERROR((VLOOKUP($A462,'Dados StatusInvest'!$A:$AZ,COLUMN(AJ462)-$A$5,0)),0)</f>
        <v/>
      </c>
      <c r="AK462" s="60">
        <f>IFERROR(__xludf.DUMMYFUNCTION("IFERROR(GOOGLEFINANCE($A462,""high""),"""")"),6.36)</f>
        <v>6.36</v>
      </c>
      <c r="AL462" s="60">
        <f>IFERROR(__xludf.DUMMYFUNCTION("IFERROR(GOOGLEFINANCE($A462,""low""),"""")"),6.23)</f>
        <v>6.23</v>
      </c>
      <c r="AM462" s="61">
        <f t="shared" si="2"/>
        <v>0.02086677368</v>
      </c>
      <c r="AN462" s="62">
        <f>IFERROR(__xludf.DUMMYFUNCTION("IFERROR((GOOGLEFINANCE($A462,""volume"")),0)"),41500.0)</f>
        <v>41500</v>
      </c>
      <c r="AO462" s="60">
        <f>IFERROR(__xludf.DUMMYFUNCTION("IFERROR((GOOGLEFINANCE($A462,""closeyest"")),"""")"),6.35)</f>
        <v>6.35</v>
      </c>
      <c r="AP462" s="60">
        <f>IFERROR(__xludf.DUMMYFUNCTION("IFERROR((GOOGLEFINANCE($A462,""shares"")),"""")"),4.50945982E8)</f>
        <v>450945982</v>
      </c>
      <c r="AQ462" s="18"/>
    </row>
    <row r="463">
      <c r="A463" s="45" t="str">
        <f>'Dados StatusInvest'!A458:A1077</f>
        <v>POMO4</v>
      </c>
      <c r="B463" s="46" t="str">
        <f>IFERROR(__xludf.DUMMYFUNCTION("IFERROR((GOOGLEFINANCE(A463,""name"")),"""")"),"Marcopolo SA Preference Shares")</f>
        <v>Marcopolo SA Preference Shares</v>
      </c>
      <c r="C463" s="46" t="str">
        <f>IFERROR((VLOOKUP(LEFT($A463,4),Setor!$A:$E,3,0)),"")</f>
        <v>Bens Industriais</v>
      </c>
      <c r="D463" s="46" t="str">
        <f>IFERROR((VLOOKUP(LEFT($A463,4),Setor!$A:$E,4,0)),"")</f>
        <v>Material de Transporte</v>
      </c>
      <c r="E463" s="46" t="str">
        <f>IFERROR((VLOOKUP(LEFT($A463,4),Setor!$A:$E,5,0)),"")</f>
        <v>Material Rodoviário</v>
      </c>
      <c r="F463" s="47">
        <f>IFERROR(__xludf.DUMMYFUNCTION("IFERROR((GOOGLEFINANCE(A463)),"""")"),6.46)</f>
        <v>6.46</v>
      </c>
      <c r="G463" s="48" t="str">
        <f>IFERROR(__xludf.DUMMYFUNCTION("IFERROR((sparkline(GOOGLEFINANCE($A463,""price"",TODAY()-30,TODAY(),""DAILY""),{""charttype"",""line"";""linewidth"",1;""color"",""#5f88cc""})),"""")"),"")</f>
        <v/>
      </c>
      <c r="H463" s="49">
        <f>IFERROR(__xludf.DUMMYFUNCTION("IFERROR((((GOOGLEFINANCE(A463))-(INDEX(GoogleFinance(A463,""PRICE"",$AQ$1),2,2)))/(INDEX(GoogleFinance(A463,""PRICE"",$AQ$1),2,2))),"""")"),0.05040650406504058)</f>
        <v>0.05040650407</v>
      </c>
      <c r="I463" s="47">
        <f>IFERROR(__xludf.DUMMYFUNCTION("IFERROR((GOOGLEFINANCE($A463,""high52"")),"""")"),8.06)</f>
        <v>8.06</v>
      </c>
      <c r="J463" s="48" t="str">
        <f>IFERROR(__xludf.DUMMYFUNCTION("IFERROR((sparkline(GOOGLEFINANCE($A463,""price"",TODAY()-365,TODAY(),""DAILY""),{""charttype"",""line"";""linewidth"",1;""color"",""#5f88cc""})),"""")"),"")</f>
        <v/>
      </c>
      <c r="K463" s="50">
        <f>IFERROR(__xludf.DUMMYFUNCTION("IFERROR((((GOOGLEFINANCE(A463))-(INDEX(GoogleFinance(A463,""PRICE"",$AP$1),2,2)))/(INDEX(GoogleFinance(A463,""PRICE"",$AP$1),2,2))),"""")"),-0.12108843537414962)</f>
        <v>-0.1210884354</v>
      </c>
      <c r="L463" s="51">
        <f t="shared" si="1"/>
        <v>-0.1985111663</v>
      </c>
      <c r="M463" s="52">
        <f>IFERROR((VLOOKUP($A463,'Dados StatusInvest'!$A:$AZ,COLUMN(M463)-$A$5,0)*VLOOKUP($A463,'Dados StatusInvest'!$A:$AZ,2,0)/$F463/100),0)</f>
        <v>0.1526362229</v>
      </c>
      <c r="N463" s="53">
        <f>IFERROR((VLOOKUP($A463,'Dados StatusInvest'!$A:$AZ,COLUMN(N463)-$A$5,0)/VLOOKUP($A463,'Dados StatusInvest'!$A:$AZ,2,0)*$F463),"")</f>
        <v>12.99914242</v>
      </c>
      <c r="O463" s="53">
        <f>IFERROR((VLOOKUP($A463,'Dados StatusInvest'!$A:$AZ,COLUMN(O463)-$A$5,0)/VLOOKUP($A463,'Dados StatusInvest'!$A:$AZ,2,0)*$F463),0)</f>
        <v>5.836753446</v>
      </c>
      <c r="P463" s="54">
        <f>IFERROR((VLOOKUP($A463,'Dados StatusInvest'!$A:$AZ,COLUMN(P463)-$A$5,0)/VLOOKUP($A463,'Dados StatusInvest'!$A:$AZ,2,0)*$F463),0)</f>
        <v>6.687534456</v>
      </c>
      <c r="Q463" s="55">
        <f>IFERROR((VLOOKUP($A463,'Dados StatusInvest'!$A:$AZ,COLUMN(Q463)-$A$5,0)/100),0)</f>
        <v>0.0092</v>
      </c>
      <c r="R463" s="56">
        <f>VLOOKUP($A463,'Dados StatusInvest'!$A:$AZ,COLUMN(R463)-$A$5,0)</f>
        <v>0.29</v>
      </c>
      <c r="S463" s="56">
        <f>IFERROR((VLOOKUP($A463,'Dados StatusInvest'!$A:$AZ,COLUMN(S463)-$A$5,0)),0)</f>
        <v>0.89</v>
      </c>
      <c r="T463" s="53">
        <f>IFERROR((VLOOKUP($A463,'Dados StatusInvest'!$A:$AZ,COLUMN(T463)-$A$5,0)/VLOOKUP($A463,'Dados StatusInvest'!$A:$AZ,2,0)*$F463),0)</f>
        <v>2.819448698</v>
      </c>
      <c r="U463" s="53">
        <f>IFERROR((VLOOKUP($A463,'Dados StatusInvest'!$A:$AZ,COLUMN(U463)-$A$5,0)-VLOOKUP($A463,'Dados StatusInvest'!$A:$AZ,COLUMN(U463)-$A$5-1,0)+T463),0)</f>
        <v>-2.200551302</v>
      </c>
      <c r="V463" s="56">
        <f>IFERROR((VLOOKUP($A463,'Dados StatusInvest'!$A:$AZ,COLUMN(V463)-$A$5,0)),0)</f>
        <v>1.91</v>
      </c>
      <c r="W463" s="56">
        <f>IFERROR((VLOOKUP($A463,'Dados StatusInvest'!$A:$AZ,COLUMN(W463)-$A$5,0)),0)</f>
        <v>27.78</v>
      </c>
      <c r="X463" s="53">
        <f>IFERROR((VLOOKUP($A463,'Dados StatusInvest'!$A:$AZ,COLUMN(X463)-$A$5,0)/VLOOKUP($A463,'Dados StatusInvest'!$A:$AZ,2,0)*$F463),0)</f>
        <v>12.16814701</v>
      </c>
      <c r="Y463" s="54">
        <f>IFERROR((VLOOKUP($A463,'Dados StatusInvest'!$A:$AZ,COLUMN(Y463)-$A$5,0)/VLOOKUP($A463,'Dados StatusInvest'!$A:$AZ,2,0)*$F463),0)</f>
        <v>12.67267994</v>
      </c>
      <c r="Z463" s="56">
        <f>IFERROR((VLOOKUP($A463,'Dados StatusInvest'!$A:$AZ,COLUMN(Z463)-$A$5,0)),0)</f>
        <v>0.44</v>
      </c>
      <c r="AA463" s="57">
        <f>IFERROR((VLOOKUP($A463,'Dados StatusInvest'!$A:$AZ,COLUMN(AA463)-$A$5,0)),0)</f>
        <v>0.55</v>
      </c>
      <c r="AB463" s="57">
        <f>IFERROR((VLOOKUP($A463,'Dados StatusInvest'!$A:$AZ,COLUMN(AB463)-$A$5,0)),0)</f>
        <v>0.94</v>
      </c>
      <c r="AC463" s="58">
        <f>IFERROR((VLOOKUP($A463,'Dados StatusInvest'!$A:$AZ,COLUMN(AC463)-$A$5,0)),0)</f>
        <v>14.78</v>
      </c>
      <c r="AD463" s="57">
        <f>IFERROR((VLOOKUP($A463,'Dados StatusInvest'!$A:$AZ,COLUMN(AD463)-$A$5,0)),0)</f>
        <v>42.97</v>
      </c>
      <c r="AE463" s="56">
        <f>IFERROR((VLOOKUP($A463,'Dados StatusInvest'!$A:$AZ,COLUMN(AE463)-$A$5,0)),0)</f>
        <v>70129994</v>
      </c>
      <c r="AF463" s="56">
        <f>IFERROR((VLOOKUP($A463,'Dados StatusInvest'!$A:$AZ,COLUMN(AF463)-$A$5,0)),0)</f>
        <v>3.46</v>
      </c>
      <c r="AG463" s="56">
        <f>IFERROR((VLOOKUP($A463,'Dados StatusInvest'!$A:$AZ,COLUMN(AG463)-$A$5,0)),0)</f>
        <v>0.96</v>
      </c>
      <c r="AH463" s="56">
        <f>IFERROR((VLOOKUP($A463,'Dados StatusInvest'!$A:$AZ,COLUMN(AH463)-$A$5,0)),0)</f>
        <v>1.78</v>
      </c>
      <c r="AI463" s="57">
        <f>IFERROR((VLOOKUP($A463,'Dados StatusInvest'!$A:$AZ,COLUMN(AI463)-$A$5,0)),0)</f>
        <v>8080667601</v>
      </c>
      <c r="AJ463" s="59" t="str">
        <f>IFERROR((VLOOKUP($A463,'Dados StatusInvest'!$A:$AZ,COLUMN(AJ463)-$A$5,0)),0)</f>
        <v/>
      </c>
      <c r="AK463" s="60">
        <f>IFERROR(__xludf.DUMMYFUNCTION("IFERROR(GOOGLEFINANCE($A463,""high""),"""")"),6.5)</f>
        <v>6.5</v>
      </c>
      <c r="AL463" s="60">
        <f>IFERROR(__xludf.DUMMYFUNCTION("IFERROR(GOOGLEFINANCE($A463,""low""),"""")"),6.43)</f>
        <v>6.43</v>
      </c>
      <c r="AM463" s="61">
        <f t="shared" si="2"/>
        <v>0.01088646967</v>
      </c>
      <c r="AN463" s="62">
        <f>IFERROR(__xludf.DUMMYFUNCTION("IFERROR((GOOGLEFINANCE($A463,""volume"")),0)"),379700.0)</f>
        <v>379700</v>
      </c>
      <c r="AO463" s="60">
        <f>IFERROR(__xludf.DUMMYFUNCTION("IFERROR((GOOGLEFINANCE($A463,""closeyest"")),"""")"),6.53)</f>
        <v>6.53</v>
      </c>
      <c r="AP463" s="60">
        <f>IFERROR(__xludf.DUMMYFUNCTION("IFERROR((GOOGLEFINANCE($A463,""shares"")),"""")"),7.98952621E8)</f>
        <v>798952621</v>
      </c>
      <c r="AQ463" s="18"/>
    </row>
    <row r="464">
      <c r="A464" s="45" t="str">
        <f>'Dados StatusInvest'!A459:A1078</f>
        <v>PORT3</v>
      </c>
      <c r="B464" s="46" t="str">
        <f>IFERROR(__xludf.DUMMYFUNCTION("IFERROR((GOOGLEFINANCE(A464,""name"")),"""")"),"")</f>
        <v/>
      </c>
      <c r="C464" s="46" t="str">
        <f>IFERROR((VLOOKUP(LEFT($A464,4),Setor!$A:$E,3,0)),"")</f>
        <v>Outros</v>
      </c>
      <c r="D464" s="46" t="str">
        <f>IFERROR((VLOOKUP(LEFT($A464,4),Setor!$A:$E,4,0)),"")</f>
        <v>Transporte</v>
      </c>
      <c r="E464" s="46" t="str">
        <f>IFERROR((VLOOKUP(LEFT($A464,4),Setor!$A:$E,5,0)),"")</f>
        <v>Serviços de Apoio e Armazenagem</v>
      </c>
      <c r="F464" s="47" t="str">
        <f>IFERROR(__xludf.DUMMYFUNCTION("IFERROR((GOOGLEFINANCE(A464)),"""")"),"")</f>
        <v/>
      </c>
      <c r="G464" s="48" t="str">
        <f>IFERROR(__xludf.DUMMYFUNCTION("IFERROR((sparkline(GOOGLEFINANCE($A464,""price"",TODAY()-30,TODAY(),""DAILY""),{""charttype"",""line"";""linewidth"",1;""color"",""#5f88cc""})),"""")"),"")</f>
        <v/>
      </c>
      <c r="H464" s="49" t="str">
        <f>IFERROR(__xludf.DUMMYFUNCTION("IFERROR((((GOOGLEFINANCE(A464))-(INDEX(GoogleFinance(A464,""PRICE"",$AQ$1),2,2)))/(INDEX(GoogleFinance(A464,""PRICE"",$AQ$1),2,2))),"""")"),"")</f>
        <v/>
      </c>
      <c r="I464" s="47" t="str">
        <f>IFERROR(__xludf.DUMMYFUNCTION("IFERROR((GOOGLEFINANCE($A464,""high52"")),"""")"),"")</f>
        <v/>
      </c>
      <c r="J464" s="48" t="str">
        <f>IFERROR(__xludf.DUMMYFUNCTION("IFERROR((sparkline(GOOGLEFINANCE($A464,""price"",TODAY()-365,TODAY(),""DAILY""),{""charttype"",""line"";""linewidth"",1;""color"",""#5f88cc""})),"""")"),"")</f>
        <v/>
      </c>
      <c r="K464" s="50" t="str">
        <f>IFERROR(__xludf.DUMMYFUNCTION("IFERROR((((GOOGLEFINANCE(A464))-(INDEX(GoogleFinance(A464,""PRICE"",$AP$1),2,2)))/(INDEX(GoogleFinance(A464,""PRICE"",$AP$1),2,2))),"""")"),"")</f>
        <v/>
      </c>
      <c r="L464" s="51">
        <f t="shared" si="1"/>
        <v>0</v>
      </c>
      <c r="M464" s="52">
        <f>IFERROR((VLOOKUP($A464,'Dados StatusInvest'!$A:$AZ,COLUMN(M464)-$A$5,0)*VLOOKUP($A464,'Dados StatusInvest'!$A:$AZ,2,0)/$F464/100),0)</f>
        <v>0</v>
      </c>
      <c r="N464" s="53">
        <f>IFERROR((VLOOKUP($A464,'Dados StatusInvest'!$A:$AZ,COLUMN(N464)-$A$5,0)/VLOOKUP($A464,'Dados StatusInvest'!$A:$AZ,2,0)*$F464),"")</f>
        <v>0</v>
      </c>
      <c r="O464" s="53">
        <f>IFERROR((VLOOKUP($A464,'Dados StatusInvest'!$A:$AZ,COLUMN(O464)-$A$5,0)/VLOOKUP($A464,'Dados StatusInvest'!$A:$AZ,2,0)*$F464),0)</f>
        <v>0</v>
      </c>
      <c r="P464" s="54">
        <f>IFERROR((VLOOKUP($A464,'Dados StatusInvest'!$A:$AZ,COLUMN(P464)-$A$5,0)/VLOOKUP($A464,'Dados StatusInvest'!$A:$AZ,2,0)*$F464),0)</f>
        <v>0</v>
      </c>
      <c r="Q464" s="55">
        <f>IFERROR((VLOOKUP($A464,'Dados StatusInvest'!$A:$AZ,COLUMN(Q464)-$A$5,0)/100),0)</f>
        <v>0.0205</v>
      </c>
      <c r="R464" s="56">
        <f>VLOOKUP($A464,'Dados StatusInvest'!$A:$AZ,COLUMN(R464)-$A$5,0)</f>
        <v>0.8</v>
      </c>
      <c r="S464" s="56">
        <f>IFERROR((VLOOKUP($A464,'Dados StatusInvest'!$A:$AZ,COLUMN(S464)-$A$5,0)),0)</f>
        <v>2.62</v>
      </c>
      <c r="T464" s="53">
        <f>IFERROR((VLOOKUP($A464,'Dados StatusInvest'!$A:$AZ,COLUMN(T464)-$A$5,0)/VLOOKUP($A464,'Dados StatusInvest'!$A:$AZ,2,0)*$F464),0)</f>
        <v>0</v>
      </c>
      <c r="U464" s="53">
        <f>IFERROR((VLOOKUP($A464,'Dados StatusInvest'!$A:$AZ,COLUMN(U464)-$A$5,0)-VLOOKUP($A464,'Dados StatusInvest'!$A:$AZ,COLUMN(U464)-$A$5-1,0)+T464),0)</f>
        <v>298.25</v>
      </c>
      <c r="V464" s="56">
        <f>IFERROR((VLOOKUP($A464,'Dados StatusInvest'!$A:$AZ,COLUMN(V464)-$A$5,0)),0)</f>
        <v>0.97</v>
      </c>
      <c r="W464" s="56">
        <f>IFERROR((VLOOKUP($A464,'Dados StatusInvest'!$A:$AZ,COLUMN(W464)-$A$5,0)),0)</f>
        <v>24.37</v>
      </c>
      <c r="X464" s="53">
        <f>IFERROR((VLOOKUP($A464,'Dados StatusInvest'!$A:$AZ,COLUMN(X464)-$A$5,0)/VLOOKUP($A464,'Dados StatusInvest'!$A:$AZ,2,0)*$F464),0)</f>
        <v>0</v>
      </c>
      <c r="Y464" s="54">
        <f>IFERROR((VLOOKUP($A464,'Dados StatusInvest'!$A:$AZ,COLUMN(Y464)-$A$5,0)/VLOOKUP($A464,'Dados StatusInvest'!$A:$AZ,2,0)*$F464),0)</f>
        <v>0</v>
      </c>
      <c r="Z464" s="56">
        <f>IFERROR((VLOOKUP($A464,'Dados StatusInvest'!$A:$AZ,COLUMN(Z464)-$A$5,0)),0)</f>
        <v>0.43</v>
      </c>
      <c r="AA464" s="57">
        <f>IFERROR((VLOOKUP($A464,'Dados StatusInvest'!$A:$AZ,COLUMN(AA464)-$A$5,0)),0)</f>
        <v>0.57</v>
      </c>
      <c r="AB464" s="57">
        <f>IFERROR((VLOOKUP($A464,'Dados StatusInvest'!$A:$AZ,COLUMN(AB464)-$A$5,0)),0)</f>
        <v>0.5</v>
      </c>
      <c r="AC464" s="58">
        <f>IFERROR((VLOOKUP($A464,'Dados StatusInvest'!$A:$AZ,COLUMN(AC464)-$A$5,0)),0)</f>
        <v>12.8</v>
      </c>
      <c r="AD464" s="57">
        <f>IFERROR((VLOOKUP($A464,'Dados StatusInvest'!$A:$AZ,COLUMN(AD464)-$A$5,0)),0)</f>
        <v>42.19</v>
      </c>
      <c r="AE464" s="56">
        <f>IFERROR((VLOOKUP($A464,'Dados StatusInvest'!$A:$AZ,COLUMN(AE464)-$A$5,0)),0)</f>
        <v>1155515</v>
      </c>
      <c r="AF464" s="56">
        <f>IFERROR((VLOOKUP($A464,'Dados StatusInvest'!$A:$AZ,COLUMN(AF464)-$A$5,0)),0)</f>
        <v>6.23</v>
      </c>
      <c r="AG464" s="56">
        <f>IFERROR((VLOOKUP($A464,'Dados StatusInvest'!$A:$AZ,COLUMN(AG464)-$A$5,0)),0)</f>
        <v>1.52</v>
      </c>
      <c r="AH464" s="56">
        <f>IFERROR((VLOOKUP($A464,'Dados StatusInvest'!$A:$AZ,COLUMN(AH464)-$A$5,0)),0)</f>
        <v>0.3</v>
      </c>
      <c r="AI464" s="57">
        <f>IFERROR((VLOOKUP($A464,'Dados StatusInvest'!$A:$AZ,COLUMN(AI464)-$A$5,0)),0)</f>
        <v>8309402444</v>
      </c>
      <c r="AJ464" s="59" t="str">
        <f>IFERROR((VLOOKUP($A464,'Dados StatusInvest'!$A:$AZ,COLUMN(AJ464)-$A$5,0)),0)</f>
        <v/>
      </c>
      <c r="AK464" s="60" t="str">
        <f>IFERROR(__xludf.DUMMYFUNCTION("IFERROR(GOOGLEFINANCE($A464,""high""),"""")"),"")</f>
        <v/>
      </c>
      <c r="AL464" s="60" t="str">
        <f>IFERROR(__xludf.DUMMYFUNCTION("IFERROR(GOOGLEFINANCE($A464,""low""),"""")"),"")</f>
        <v/>
      </c>
      <c r="AM464" s="61">
        <f t="shared" si="2"/>
        <v>0</v>
      </c>
      <c r="AN464" s="62">
        <f>IFERROR(__xludf.DUMMYFUNCTION("IFERROR((GOOGLEFINANCE($A464,""volume"")),0)"),0.0)</f>
        <v>0</v>
      </c>
      <c r="AO464" s="60" t="str">
        <f>IFERROR(__xludf.DUMMYFUNCTION("IFERROR((GOOGLEFINANCE($A464,""closeyest"")),"""")"),"")</f>
        <v/>
      </c>
      <c r="AP464" s="60" t="str">
        <f>IFERROR(__xludf.DUMMYFUNCTION("IFERROR((GOOGLEFINANCE($A464,""shares"")),"""")"),"")</f>
        <v/>
      </c>
      <c r="AQ464" s="18"/>
    </row>
    <row r="465">
      <c r="A465" s="45" t="str">
        <f>'Dados StatusInvest'!A460:A1079</f>
        <v>POSI3</v>
      </c>
      <c r="B465" s="46" t="str">
        <f>IFERROR(__xludf.DUMMYFUNCTION("IFERROR((GOOGLEFINANCE(A465,""name"")),"""")"),"Positivo Tecnologia SA")</f>
        <v>Positivo Tecnologia SA</v>
      </c>
      <c r="C465" s="46" t="str">
        <f>IFERROR((VLOOKUP(LEFT($A465,4),Setor!$A:$E,3,0)),"")</f>
        <v>Tecnologia da Informação</v>
      </c>
      <c r="D465" s="46" t="str">
        <f>IFERROR((VLOOKUP(LEFT($A465,4),Setor!$A:$E,4,0)),"")</f>
        <v>Computadores e Equipamentos</v>
      </c>
      <c r="E465" s="46" t="str">
        <f>IFERROR((VLOOKUP(LEFT($A465,4),Setor!$A:$E,5,0)),"")</f>
        <v>Computadores e Equipamentos</v>
      </c>
      <c r="F465" s="47">
        <f>IFERROR(__xludf.DUMMYFUNCTION("IFERROR((GOOGLEFINANCE(A465)),"""")"),4.03)</f>
        <v>4.03</v>
      </c>
      <c r="G465" s="48" t="str">
        <f>IFERROR(__xludf.DUMMYFUNCTION("IFERROR((sparkline(GOOGLEFINANCE($A465,""price"",TODAY()-30,TODAY(),""DAILY""),{""charttype"",""line"";""linewidth"",1;""color"",""#5f88cc""})),"""")"),"")</f>
        <v/>
      </c>
      <c r="H465" s="49">
        <f>IFERROR(__xludf.DUMMYFUNCTION("IFERROR((((GOOGLEFINANCE(A465))-(INDEX(GoogleFinance(A465,""PRICE"",$AQ$1),2,2)))/(INDEX(GoogleFinance(A465,""PRICE"",$AQ$1),2,2))),"""")"),-0.04047619047619046)</f>
        <v>-0.04047619048</v>
      </c>
      <c r="I465" s="47">
        <f>IFERROR(__xludf.DUMMYFUNCTION("IFERROR((GOOGLEFINANCE($A465,""high52"")),"""")"),5.8)</f>
        <v>5.8</v>
      </c>
      <c r="J465" s="48" t="str">
        <f>IFERROR(__xludf.DUMMYFUNCTION("IFERROR((sparkline(GOOGLEFINANCE($A465,""price"",TODAY()-365,TODAY(),""DAILY""),{""charttype"",""line"";""linewidth"",1;""color"",""#5f88cc""})),"""")"),"")</f>
        <v/>
      </c>
      <c r="K465" s="50">
        <f>IFERROR(__xludf.DUMMYFUNCTION("IFERROR((((GOOGLEFINANCE(A465))-(INDEX(GoogleFinance(A465,""PRICE"",$AP$1),2,2)))/(INDEX(GoogleFinance(A465,""PRICE"",$AP$1),2,2))),"""")"),-0.26860254083484564)</f>
        <v>-0.2686025408</v>
      </c>
      <c r="L465" s="51">
        <f t="shared" si="1"/>
        <v>-0.3051724138</v>
      </c>
      <c r="M465" s="52">
        <f>IFERROR((VLOOKUP($A465,'Dados StatusInvest'!$A:$AZ,COLUMN(M465)-$A$5,0)*VLOOKUP($A465,'Dados StatusInvest'!$A:$AZ,2,0)/$F465/100),0)</f>
        <v>0.06466004963</v>
      </c>
      <c r="N465" s="53">
        <f>IFERROR((VLOOKUP($A465,'Dados StatusInvest'!$A:$AZ,COLUMN(N465)-$A$5,0)/VLOOKUP($A465,'Dados StatusInvest'!$A:$AZ,2,0)*$F465),"")</f>
        <v>-0.009975247525</v>
      </c>
      <c r="O465" s="53">
        <f>IFERROR((VLOOKUP($A465,'Dados StatusInvest'!$A:$AZ,COLUMN(O465)-$A$5,0)/VLOOKUP($A465,'Dados StatusInvest'!$A:$AZ,2,0)*$F465),0)</f>
        <v>2.583589109</v>
      </c>
      <c r="P465" s="54">
        <f>IFERROR((VLOOKUP($A465,'Dados StatusInvest'!$A:$AZ,COLUMN(P465)-$A$5,0)/VLOOKUP($A465,'Dados StatusInvest'!$A:$AZ,2,0)*$F465),0)</f>
        <v>5.027524752</v>
      </c>
      <c r="Q465" s="55">
        <f>IFERROR((VLOOKUP($A465,'Dados StatusInvest'!$A:$AZ,COLUMN(Q465)-$A$5,0)/100),0)</f>
        <v>0.0244</v>
      </c>
      <c r="R465" s="56">
        <f>VLOOKUP($A465,'Dados StatusInvest'!$A:$AZ,COLUMN(R465)-$A$5,0)</f>
        <v>0.34</v>
      </c>
      <c r="S465" s="56">
        <f>IFERROR((VLOOKUP($A465,'Dados StatusInvest'!$A:$AZ,COLUMN(S465)-$A$5,0)),0)</f>
        <v>0.17</v>
      </c>
      <c r="T465" s="53">
        <f>IFERROR((VLOOKUP($A465,'Dados StatusInvest'!$A:$AZ,COLUMN(T465)-$A$5,0)/VLOOKUP($A465,'Dados StatusInvest'!$A:$AZ,2,0)*$F465),0)</f>
        <v>0.4788118812</v>
      </c>
      <c r="U465" s="53">
        <f>IFERROR((VLOOKUP($A465,'Dados StatusInvest'!$A:$AZ,COLUMN(U465)-$A$5,0)-VLOOKUP($A465,'Dados StatusInvest'!$A:$AZ,COLUMN(U465)-$A$5-1,0)+T465),0)</f>
        <v>-0.3811881188</v>
      </c>
      <c r="V465" s="56">
        <f>IFERROR((VLOOKUP($A465,'Dados StatusInvest'!$A:$AZ,COLUMN(V465)-$A$5,0)),0)</f>
        <v>1.69</v>
      </c>
      <c r="W465" s="56">
        <f>IFERROR((VLOOKUP($A465,'Dados StatusInvest'!$A:$AZ,COLUMN(W465)-$A$5,0)),0)</f>
        <v>-0.02</v>
      </c>
      <c r="X465" s="53">
        <f>IFERROR((VLOOKUP($A465,'Dados StatusInvest'!$A:$AZ,COLUMN(X465)-$A$5,0)/VLOOKUP($A465,'Dados StatusInvest'!$A:$AZ,2,0)*$F465),0)</f>
        <v>-0.009975247525</v>
      </c>
      <c r="Y465" s="54">
        <f>IFERROR((VLOOKUP($A465,'Dados StatusInvest'!$A:$AZ,COLUMN(Y465)-$A$5,0)/VLOOKUP($A465,'Dados StatusInvest'!$A:$AZ,2,0)*$F465),0)</f>
        <v>6.882920792</v>
      </c>
      <c r="Z465" s="56">
        <f>IFERROR((VLOOKUP($A465,'Dados StatusInvest'!$A:$AZ,COLUMN(Z465)-$A$5,0)),0)</f>
        <v>0.36</v>
      </c>
      <c r="AA465" s="57">
        <f>IFERROR((VLOOKUP($A465,'Dados StatusInvest'!$A:$AZ,COLUMN(AA465)-$A$5,0)),0)</f>
        <v>0.64</v>
      </c>
      <c r="AB465" s="57">
        <f>IFERROR((VLOOKUP($A465,'Dados StatusInvest'!$A:$AZ,COLUMN(AB465)-$A$5,0)),0)</f>
        <v>0.77</v>
      </c>
      <c r="AC465" s="58">
        <f>IFERROR((VLOOKUP($A465,'Dados StatusInvest'!$A:$AZ,COLUMN(AC465)-$A$5,0)),0)</f>
        <v>14</v>
      </c>
      <c r="AD465" s="57">
        <f>IFERROR((VLOOKUP($A465,'Dados StatusInvest'!$A:$AZ,COLUMN(AD465)-$A$5,0)),0)</f>
        <v>0</v>
      </c>
      <c r="AE465" s="56">
        <f>IFERROR((VLOOKUP($A465,'Dados StatusInvest'!$A:$AZ,COLUMN(AE465)-$A$5,0)),0)</f>
        <v>6662684</v>
      </c>
      <c r="AF465" s="56">
        <f>IFERROR((VLOOKUP($A465,'Dados StatusInvest'!$A:$AZ,COLUMN(AF465)-$A$5,0)),0)</f>
        <v>11.26</v>
      </c>
      <c r="AG465" s="56">
        <f>IFERROR((VLOOKUP($A465,'Dados StatusInvest'!$A:$AZ,COLUMN(AG465)-$A$5,0)),0)</f>
        <v>0</v>
      </c>
      <c r="AH465" s="56">
        <f>IFERROR((VLOOKUP($A465,'Dados StatusInvest'!$A:$AZ,COLUMN(AH465)-$A$5,0)),0)</f>
        <v>14.44</v>
      </c>
      <c r="AI465" s="57">
        <f>IFERROR((VLOOKUP($A465,'Dados StatusInvest'!$A:$AZ,COLUMN(AI465)-$A$5,0)),0)</f>
        <v>572872000</v>
      </c>
      <c r="AJ465" s="59" t="str">
        <f>IFERROR((VLOOKUP($A465,'Dados StatusInvest'!$A:$AZ,COLUMN(AJ465)-$A$5,0)),0)</f>
        <v/>
      </c>
      <c r="AK465" s="60">
        <f>IFERROR(__xludf.DUMMYFUNCTION("IFERROR(GOOGLEFINANCE($A465,""high""),"""")"),4.05)</f>
        <v>4.05</v>
      </c>
      <c r="AL465" s="60">
        <f>IFERROR(__xludf.DUMMYFUNCTION("IFERROR(GOOGLEFINANCE($A465,""low""),"""")"),4.0)</f>
        <v>4</v>
      </c>
      <c r="AM465" s="61">
        <f t="shared" si="2"/>
        <v>0.0125</v>
      </c>
      <c r="AN465" s="62">
        <f>IFERROR(__xludf.DUMMYFUNCTION("IFERROR((GOOGLEFINANCE($A465,""volume"")),0)"),90600.0)</f>
        <v>90600</v>
      </c>
      <c r="AO465" s="60">
        <f>IFERROR(__xludf.DUMMYFUNCTION("IFERROR((GOOGLEFINANCE($A465,""closeyest"")),"""")"),4.04)</f>
        <v>4.04</v>
      </c>
      <c r="AP465" s="60">
        <f>IFERROR(__xludf.DUMMYFUNCTION("IFERROR((GOOGLEFINANCE($A465,""shares"")),"""")"),1.418E8)</f>
        <v>141800000</v>
      </c>
      <c r="AQ465" s="18"/>
    </row>
    <row r="466">
      <c r="A466" s="45" t="str">
        <f>'Dados StatusInvest'!A461:A1080</f>
        <v>POWE3</v>
      </c>
      <c r="B466" s="46" t="str">
        <f>IFERROR(__xludf.DUMMYFUNCTION("IFERROR((GOOGLEFINANCE(A466,""name"")),"""")"),"")</f>
        <v/>
      </c>
      <c r="C466" s="46" t="str">
        <f>IFERROR((VLOOKUP(LEFT($A466,4),Setor!$A:$E,3,0)),"")</f>
        <v/>
      </c>
      <c r="D466" s="46" t="str">
        <f>IFERROR((VLOOKUP(LEFT($A466,4),Setor!$A:$E,4,0)),"")</f>
        <v/>
      </c>
      <c r="E466" s="46" t="str">
        <f>IFERROR((VLOOKUP(LEFT($A466,4),Setor!$A:$E,5,0)),"")</f>
        <v/>
      </c>
      <c r="F466" s="47" t="str">
        <f>IFERROR(__xludf.DUMMYFUNCTION("IFERROR((GOOGLEFINANCE(A466)),"""")"),"")</f>
        <v/>
      </c>
      <c r="G466" s="48" t="str">
        <f>IFERROR(__xludf.DUMMYFUNCTION("IFERROR((sparkline(GOOGLEFINANCE($A466,""price"",TODAY()-30,TODAY(),""DAILY""),{""charttype"",""line"";""linewidth"",1;""color"",""#5f88cc""})),"""")"),"")</f>
        <v/>
      </c>
      <c r="H466" s="49" t="str">
        <f>IFERROR(__xludf.DUMMYFUNCTION("IFERROR((((GOOGLEFINANCE(A466))-(INDEX(GoogleFinance(A466,""PRICE"",$AQ$1),2,2)))/(INDEX(GoogleFinance(A466,""PRICE"",$AQ$1),2,2))),"""")"),"")</f>
        <v/>
      </c>
      <c r="I466" s="47" t="str">
        <f>IFERROR(__xludf.DUMMYFUNCTION("IFERROR((GOOGLEFINANCE($A466,""high52"")),"""")"),"")</f>
        <v/>
      </c>
      <c r="J466" s="48" t="str">
        <f>IFERROR(__xludf.DUMMYFUNCTION("IFERROR((sparkline(GOOGLEFINANCE($A466,""price"",TODAY()-365,TODAY(),""DAILY""),{""charttype"",""line"";""linewidth"",1;""color"",""#5f88cc""})),"""")"),"")</f>
        <v/>
      </c>
      <c r="K466" s="50" t="str">
        <f>IFERROR(__xludf.DUMMYFUNCTION("IFERROR((((GOOGLEFINANCE(A466))-(INDEX(GoogleFinance(A466,""PRICE"",$AP$1),2,2)))/(INDEX(GoogleFinance(A466,""PRICE"",$AP$1),2,2))),"""")"),"")</f>
        <v/>
      </c>
      <c r="L466" s="51">
        <f t="shared" si="1"/>
        <v>0</v>
      </c>
      <c r="M466" s="52">
        <f>IFERROR((VLOOKUP($A466,'Dados StatusInvest'!$A:$AZ,COLUMN(M466)-$A$5,0)*VLOOKUP($A466,'Dados StatusInvest'!$A:$AZ,2,0)/$F466/100),0)</f>
        <v>0</v>
      </c>
      <c r="N466" s="53">
        <f>IFERROR((VLOOKUP($A466,'Dados StatusInvest'!$A:$AZ,COLUMN(N466)-$A$5,0)/VLOOKUP($A466,'Dados StatusInvest'!$A:$AZ,2,0)*$F466),"")</f>
        <v>0</v>
      </c>
      <c r="O466" s="53">
        <f>IFERROR((VLOOKUP($A466,'Dados StatusInvest'!$A:$AZ,COLUMN(O466)-$A$5,0)/VLOOKUP($A466,'Dados StatusInvest'!$A:$AZ,2,0)*$F466),0)</f>
        <v>0</v>
      </c>
      <c r="P466" s="54">
        <f>IFERROR((VLOOKUP($A466,'Dados StatusInvest'!$A:$AZ,COLUMN(P466)-$A$5,0)/VLOOKUP($A466,'Dados StatusInvest'!$A:$AZ,2,0)*$F466),0)</f>
        <v>0</v>
      </c>
      <c r="Q466" s="55">
        <f>IFERROR((VLOOKUP($A466,'Dados StatusInvest'!$A:$AZ,COLUMN(Q466)-$A$5,0)/100),0)</f>
        <v>-0.0696</v>
      </c>
      <c r="R466" s="56">
        <f>VLOOKUP($A466,'Dados StatusInvest'!$A:$AZ,COLUMN(R466)-$A$5,0)</f>
        <v>-0.39</v>
      </c>
      <c r="S466" s="56">
        <f>IFERROR((VLOOKUP($A466,'Dados StatusInvest'!$A:$AZ,COLUMN(S466)-$A$5,0)),0)</f>
        <v>0.62</v>
      </c>
      <c r="T466" s="53">
        <f>IFERROR((VLOOKUP($A466,'Dados StatusInvest'!$A:$AZ,COLUMN(T466)-$A$5,0)/VLOOKUP($A466,'Dados StatusInvest'!$A:$AZ,2,0)*$F466),0)</f>
        <v>0</v>
      </c>
      <c r="U466" s="53">
        <f>IFERROR((VLOOKUP($A466,'Dados StatusInvest'!$A:$AZ,COLUMN(U466)-$A$5,0)-VLOOKUP($A466,'Dados StatusInvest'!$A:$AZ,COLUMN(U466)-$A$5-1,0)+T466),0)</f>
        <v>-7.31</v>
      </c>
      <c r="V466" s="56">
        <f>IFERROR((VLOOKUP($A466,'Dados StatusInvest'!$A:$AZ,COLUMN(V466)-$A$5,0)),0)</f>
        <v>1.13</v>
      </c>
      <c r="W466" s="56">
        <f>IFERROR((VLOOKUP($A466,'Dados StatusInvest'!$A:$AZ,COLUMN(W466)-$A$5,0)),0)</f>
        <v>4.13</v>
      </c>
      <c r="X466" s="53">
        <f>IFERROR((VLOOKUP($A466,'Dados StatusInvest'!$A:$AZ,COLUMN(X466)-$A$5,0)/VLOOKUP($A466,'Dados StatusInvest'!$A:$AZ,2,0)*$F466),0)</f>
        <v>0</v>
      </c>
      <c r="Y466" s="54">
        <f>IFERROR((VLOOKUP($A466,'Dados StatusInvest'!$A:$AZ,COLUMN(Y466)-$A$5,0)/VLOOKUP($A466,'Dados StatusInvest'!$A:$AZ,2,0)*$F466),0)</f>
        <v>0</v>
      </c>
      <c r="Z466" s="56">
        <f>IFERROR((VLOOKUP($A466,'Dados StatusInvest'!$A:$AZ,COLUMN(Z466)-$A$5,0)),0)</f>
        <v>0.38</v>
      </c>
      <c r="AA466" s="57">
        <f>IFERROR((VLOOKUP($A466,'Dados StatusInvest'!$A:$AZ,COLUMN(AA466)-$A$5,0)),0)</f>
        <v>0.62</v>
      </c>
      <c r="AB466" s="57">
        <f>IFERROR((VLOOKUP($A466,'Dados StatusInvest'!$A:$AZ,COLUMN(AB466)-$A$5,0)),0)</f>
        <v>0.61</v>
      </c>
      <c r="AC466" s="58">
        <f>IFERROR((VLOOKUP($A466,'Dados StatusInvest'!$A:$AZ,COLUMN(AC466)-$A$5,0)),0)</f>
        <v>0</v>
      </c>
      <c r="AD466" s="57">
        <f>IFERROR((VLOOKUP($A466,'Dados StatusInvest'!$A:$AZ,COLUMN(AD466)-$A$5,0)),0)</f>
        <v>0</v>
      </c>
      <c r="AE466" s="56">
        <f>IFERROR((VLOOKUP($A466,'Dados StatusInvest'!$A:$AZ,COLUMN(AE466)-$A$5,0)),0)</f>
        <v>0</v>
      </c>
      <c r="AF466" s="56">
        <f>IFERROR((VLOOKUP($A466,'Dados StatusInvest'!$A:$AZ,COLUMN(AF466)-$A$5,0)),0)</f>
        <v>11.02</v>
      </c>
      <c r="AG466" s="56">
        <f>IFERROR((VLOOKUP($A466,'Dados StatusInvest'!$A:$AZ,COLUMN(AG466)-$A$5,0)),0)</f>
        <v>0.46</v>
      </c>
      <c r="AH466" s="56">
        <f>IFERROR((VLOOKUP($A466,'Dados StatusInvest'!$A:$AZ,COLUMN(AH466)-$A$5,0)),0)</f>
        <v>-1.77</v>
      </c>
      <c r="AI466" s="57">
        <f>IFERROR((VLOOKUP($A466,'Dados StatusInvest'!$A:$AZ,COLUMN(AI466)-$A$5,0)),0)</f>
        <v>977237930.4</v>
      </c>
      <c r="AJ466" s="59" t="str">
        <f>IFERROR((VLOOKUP($A466,'Dados StatusInvest'!$A:$AZ,COLUMN(AJ466)-$A$5,0)),0)</f>
        <v/>
      </c>
      <c r="AK466" s="60" t="str">
        <f>IFERROR(__xludf.DUMMYFUNCTION("IFERROR(GOOGLEFINANCE($A466,""high""),"""")"),"")</f>
        <v/>
      </c>
      <c r="AL466" s="60" t="str">
        <f>IFERROR(__xludf.DUMMYFUNCTION("IFERROR(GOOGLEFINANCE($A466,""low""),"""")"),"")</f>
        <v/>
      </c>
      <c r="AM466" s="61">
        <f t="shared" si="2"/>
        <v>0</v>
      </c>
      <c r="AN466" s="62">
        <f>IFERROR(__xludf.DUMMYFUNCTION("IFERROR((GOOGLEFINANCE($A466,""volume"")),0)"),0.0)</f>
        <v>0</v>
      </c>
      <c r="AO466" s="60" t="str">
        <f>IFERROR(__xludf.DUMMYFUNCTION("IFERROR((GOOGLEFINANCE($A466,""closeyest"")),"""")"),"")</f>
        <v/>
      </c>
      <c r="AP466" s="60" t="str">
        <f>IFERROR(__xludf.DUMMYFUNCTION("IFERROR((GOOGLEFINANCE($A466,""shares"")),"""")"),"")</f>
        <v/>
      </c>
      <c r="AQ466" s="18"/>
    </row>
    <row r="467">
      <c r="A467" s="45" t="str">
        <f>'Dados StatusInvest'!A462:A1081</f>
        <v>PPAR3</v>
      </c>
      <c r="B467" s="46" t="str">
        <f>IFERROR(__xludf.DUMMYFUNCTION("IFERROR((GOOGLEFINANCE(A467,""name"")),"""")"),"Polpar SA")</f>
        <v>Polpar SA</v>
      </c>
      <c r="C467" s="46" t="str">
        <f>IFERROR((VLOOKUP(LEFT($A467,4),Setor!$A:$E,3,0)),"")</f>
        <v>Outros</v>
      </c>
      <c r="D467" s="46" t="str">
        <f>IFERROR((VLOOKUP(LEFT($A467,4),Setor!$A:$E,4,0)),"")</f>
        <v>Outros</v>
      </c>
      <c r="E467" s="46" t="str">
        <f>IFERROR((VLOOKUP(LEFT($A467,4),Setor!$A:$E,5,0)),"")</f>
        <v>Outros</v>
      </c>
      <c r="F467" s="47">
        <f>IFERROR(__xludf.DUMMYFUNCTION("IFERROR((GOOGLEFINANCE(A467)),"""")"),0.0)</f>
        <v>0</v>
      </c>
      <c r="G467" s="48" t="str">
        <f>IFERROR(__xludf.DUMMYFUNCTION("IFERROR((sparkline(GOOGLEFINANCE($A467,""price"",TODAY()-30,TODAY(),""DAILY""),{""charttype"",""line"";""linewidth"",1;""color"",""#5f88cc""})),"""")"),"")</f>
        <v/>
      </c>
      <c r="H467" s="49" t="str">
        <f>IFERROR(__xludf.DUMMYFUNCTION("IFERROR((((GOOGLEFINANCE(A467))-(INDEX(GoogleFinance(A467,""PRICE"",$AQ$1),2,2)))/(INDEX(GoogleFinance(A467,""PRICE"",$AQ$1),2,2))),"""")"),"")</f>
        <v/>
      </c>
      <c r="I467" s="47" t="str">
        <f>IFERROR(__xludf.DUMMYFUNCTION("IFERROR((GOOGLEFINANCE($A467,""high52"")),"""")"),"")</f>
        <v/>
      </c>
      <c r="J467" s="48" t="str">
        <f>IFERROR(__xludf.DUMMYFUNCTION("IFERROR((sparkline(GOOGLEFINANCE($A467,""price"",TODAY()-365,TODAY(),""DAILY""),{""charttype"",""line"";""linewidth"",1;""color"",""#5f88cc""})),"""")"),"")</f>
        <v/>
      </c>
      <c r="K467" s="50" t="str">
        <f>IFERROR(__xludf.DUMMYFUNCTION("IFERROR((((GOOGLEFINANCE(A467))-(INDEX(GoogleFinance(A467,""PRICE"",$AP$1),2,2)))/(INDEX(GoogleFinance(A467,""PRICE"",$AP$1),2,2))),"""")"),"")</f>
        <v/>
      </c>
      <c r="L467" s="51">
        <f t="shared" si="1"/>
        <v>0</v>
      </c>
      <c r="M467" s="52">
        <f>IFERROR((VLOOKUP($A467,'Dados StatusInvest'!$A:$AZ,COLUMN(M467)-$A$5,0)*VLOOKUP($A467,'Dados StatusInvest'!$A:$AZ,2,0)/$F467/100),0)</f>
        <v>0</v>
      </c>
      <c r="N467" s="53">
        <f>IFERROR((VLOOKUP($A467,'Dados StatusInvest'!$A:$AZ,COLUMN(N467)-$A$5,0)/VLOOKUP($A467,'Dados StatusInvest'!$A:$AZ,2,0)*$F467),"")</f>
        <v>0</v>
      </c>
      <c r="O467" s="53">
        <f>IFERROR((VLOOKUP($A467,'Dados StatusInvest'!$A:$AZ,COLUMN(O467)-$A$5,0)/VLOOKUP($A467,'Dados StatusInvest'!$A:$AZ,2,0)*$F467),0)</f>
        <v>0</v>
      </c>
      <c r="P467" s="54">
        <f>IFERROR((VLOOKUP($A467,'Dados StatusInvest'!$A:$AZ,COLUMN(P467)-$A$5,0)/VLOOKUP($A467,'Dados StatusInvest'!$A:$AZ,2,0)*$F467),0)</f>
        <v>0</v>
      </c>
      <c r="Q467" s="55">
        <f>IFERROR((VLOOKUP($A467,'Dados StatusInvest'!$A:$AZ,COLUMN(Q467)-$A$5,0)/100),0)</f>
        <v>-0.0185</v>
      </c>
      <c r="R467" s="56">
        <f>VLOOKUP($A467,'Dados StatusInvest'!$A:$AZ,COLUMN(R467)-$A$5,0)</f>
        <v>-0.09</v>
      </c>
      <c r="S467" s="56">
        <f>IFERROR((VLOOKUP($A467,'Dados StatusInvest'!$A:$AZ,COLUMN(S467)-$A$5,0)),0)</f>
        <v>0</v>
      </c>
      <c r="T467" s="53">
        <f>IFERROR((VLOOKUP($A467,'Dados StatusInvest'!$A:$AZ,COLUMN(T467)-$A$5,0)/VLOOKUP($A467,'Dados StatusInvest'!$A:$AZ,2,0)*$F467),0)</f>
        <v>0</v>
      </c>
      <c r="U467" s="53">
        <f>IFERROR((VLOOKUP($A467,'Dados StatusInvest'!$A:$AZ,COLUMN(U467)-$A$5,0)-VLOOKUP($A467,'Dados StatusInvest'!$A:$AZ,COLUMN(U467)-$A$5-1,0)+T467),0)</f>
        <v>-0.82</v>
      </c>
      <c r="V467" s="56">
        <f>IFERROR((VLOOKUP($A467,'Dados StatusInvest'!$A:$AZ,COLUMN(V467)-$A$5,0)),0)</f>
        <v>80.81</v>
      </c>
      <c r="W467" s="56">
        <f>IFERROR((VLOOKUP($A467,'Dados StatusInvest'!$A:$AZ,COLUMN(W467)-$A$5,0)),0)</f>
        <v>4.38</v>
      </c>
      <c r="X467" s="53">
        <f>IFERROR((VLOOKUP($A467,'Dados StatusInvest'!$A:$AZ,COLUMN(X467)-$A$5,0)/VLOOKUP($A467,'Dados StatusInvest'!$A:$AZ,2,0)*$F467),0)</f>
        <v>0</v>
      </c>
      <c r="Y467" s="54">
        <f>IFERROR((VLOOKUP($A467,'Dados StatusInvest'!$A:$AZ,COLUMN(Y467)-$A$5,0)/VLOOKUP($A467,'Dados StatusInvest'!$A:$AZ,2,0)*$F467),0)</f>
        <v>0</v>
      </c>
      <c r="Z467" s="56">
        <f>IFERROR((VLOOKUP($A467,'Dados StatusInvest'!$A:$AZ,COLUMN(Z467)-$A$5,0)),0)</f>
        <v>0.72</v>
      </c>
      <c r="AA467" s="57">
        <f>IFERROR((VLOOKUP($A467,'Dados StatusInvest'!$A:$AZ,COLUMN(AA467)-$A$5,0)),0)</f>
        <v>0.28</v>
      </c>
      <c r="AB467" s="57">
        <f>IFERROR((VLOOKUP($A467,'Dados StatusInvest'!$A:$AZ,COLUMN(AB467)-$A$5,0)),0)</f>
        <v>0</v>
      </c>
      <c r="AC467" s="58">
        <f>IFERROR((VLOOKUP($A467,'Dados StatusInvest'!$A:$AZ,COLUMN(AC467)-$A$5,0)),0)</f>
        <v>0</v>
      </c>
      <c r="AD467" s="57">
        <f>IFERROR((VLOOKUP($A467,'Dados StatusInvest'!$A:$AZ,COLUMN(AD467)-$A$5,0)),0)</f>
        <v>35.18</v>
      </c>
      <c r="AE467" s="56">
        <f>IFERROR((VLOOKUP($A467,'Dados StatusInvest'!$A:$AZ,COLUMN(AE467)-$A$5,0)),0)</f>
        <v>0</v>
      </c>
      <c r="AF467" s="56">
        <f>IFERROR((VLOOKUP($A467,'Dados StatusInvest'!$A:$AZ,COLUMN(AF467)-$A$5,0)),0)</f>
        <v>211.21</v>
      </c>
      <c r="AG467" s="56">
        <f>IFERROR((VLOOKUP($A467,'Dados StatusInvest'!$A:$AZ,COLUMN(AG467)-$A$5,0)),0)</f>
        <v>9.25</v>
      </c>
      <c r="AH467" s="56">
        <f>IFERROR((VLOOKUP($A467,'Dados StatusInvest'!$A:$AZ,COLUMN(AH467)-$A$5,0)),0)</f>
        <v>0.06</v>
      </c>
      <c r="AI467" s="57">
        <f>IFERROR((VLOOKUP($A467,'Dados StatusInvest'!$A:$AZ,COLUMN(AI467)-$A$5,0)),0)</f>
        <v>3241214.6</v>
      </c>
      <c r="AJ467" s="59" t="str">
        <f>IFERROR((VLOOKUP($A467,'Dados StatusInvest'!$A:$AZ,COLUMN(AJ467)-$A$5,0)),0)</f>
        <v/>
      </c>
      <c r="AK467" s="60" t="str">
        <f>IFERROR(__xludf.DUMMYFUNCTION("IFERROR(GOOGLEFINANCE($A467,""high""),"""")"),"")</f>
        <v/>
      </c>
      <c r="AL467" s="60" t="str">
        <f>IFERROR(__xludf.DUMMYFUNCTION("IFERROR(GOOGLEFINANCE($A467,""low""),"""")"),"")</f>
        <v/>
      </c>
      <c r="AM467" s="61">
        <f t="shared" si="2"/>
        <v>0</v>
      </c>
      <c r="AN467" s="62">
        <f>IFERROR(__xludf.DUMMYFUNCTION("IFERROR((GOOGLEFINANCE($A467,""volume"")),0)"),0.0)</f>
        <v>0</v>
      </c>
      <c r="AO467" s="60" t="str">
        <f>IFERROR(__xludf.DUMMYFUNCTION("IFERROR((GOOGLEFINANCE($A467,""closeyest"")),"""")"),"")</f>
        <v/>
      </c>
      <c r="AP467" s="60">
        <f>IFERROR(__xludf.DUMMYFUNCTION("IFERROR((GOOGLEFINANCE($A467,""shares"")),"""")"),102001.0)</f>
        <v>102001</v>
      </c>
      <c r="AQ467" s="18"/>
    </row>
    <row r="468">
      <c r="A468" s="45" t="str">
        <f>'Dados StatusInvest'!A463:A1082</f>
        <v>PPAR4</v>
      </c>
      <c r="B468" s="46" t="str">
        <f>IFERROR(__xludf.DUMMYFUNCTION("IFERROR((GOOGLEFINANCE(A468,""name"")),"""")"),"")</f>
        <v/>
      </c>
      <c r="C468" s="46" t="str">
        <f>IFERROR((VLOOKUP(LEFT($A468,4),Setor!$A:$E,3,0)),"")</f>
        <v>Outros</v>
      </c>
      <c r="D468" s="46" t="str">
        <f>IFERROR((VLOOKUP(LEFT($A468,4),Setor!$A:$E,4,0)),"")</f>
        <v>Outros</v>
      </c>
      <c r="E468" s="46" t="str">
        <f>IFERROR((VLOOKUP(LEFT($A468,4),Setor!$A:$E,5,0)),"")</f>
        <v>Outros</v>
      </c>
      <c r="F468" s="47" t="str">
        <f>IFERROR(__xludf.DUMMYFUNCTION("IFERROR((GOOGLEFINANCE(A468)),"""")"),"")</f>
        <v/>
      </c>
      <c r="G468" s="48" t="str">
        <f>IFERROR(__xludf.DUMMYFUNCTION("IFERROR((sparkline(GOOGLEFINANCE($A468,""price"",TODAY()-30,TODAY(),""DAILY""),{""charttype"",""line"";""linewidth"",1;""color"",""#5f88cc""})),"""")"),"")</f>
        <v/>
      </c>
      <c r="H468" s="49" t="str">
        <f>IFERROR(__xludf.DUMMYFUNCTION("IFERROR((((GOOGLEFINANCE(A468))-(INDEX(GoogleFinance(A468,""PRICE"",$AQ$1),2,2)))/(INDEX(GoogleFinance(A468,""PRICE"",$AQ$1),2,2))),"""")"),"")</f>
        <v/>
      </c>
      <c r="I468" s="47" t="str">
        <f>IFERROR(__xludf.DUMMYFUNCTION("IFERROR((GOOGLEFINANCE($A468,""high52"")),"""")"),"")</f>
        <v/>
      </c>
      <c r="J468" s="48" t="str">
        <f>IFERROR(__xludf.DUMMYFUNCTION("IFERROR((sparkline(GOOGLEFINANCE($A468,""price"",TODAY()-365,TODAY(),""DAILY""),{""charttype"",""line"";""linewidth"",1;""color"",""#5f88cc""})),"""")"),"")</f>
        <v/>
      </c>
      <c r="K468" s="50" t="str">
        <f>IFERROR(__xludf.DUMMYFUNCTION("IFERROR((((GOOGLEFINANCE(A468))-(INDEX(GoogleFinance(A468,""PRICE"",$AP$1),2,2)))/(INDEX(GoogleFinance(A468,""PRICE"",$AP$1),2,2))),"""")"),"")</f>
        <v/>
      </c>
      <c r="L468" s="51">
        <f t="shared" si="1"/>
        <v>0</v>
      </c>
      <c r="M468" s="52">
        <f>IFERROR((VLOOKUP($A468,'Dados StatusInvest'!$A:$AZ,COLUMN(M468)-$A$5,0)*VLOOKUP($A468,'Dados StatusInvest'!$A:$AZ,2,0)/$F468/100),0)</f>
        <v>0</v>
      </c>
      <c r="N468" s="53" t="str">
        <f>IFERROR((VLOOKUP($A468,'Dados StatusInvest'!$A:$AZ,COLUMN(N468)-$A$5,0)/VLOOKUP($A468,'Dados StatusInvest'!$A:$AZ,2,0)*$F468),"")</f>
        <v/>
      </c>
      <c r="O468" s="53">
        <f>IFERROR((VLOOKUP($A468,'Dados StatusInvest'!$A:$AZ,COLUMN(O468)-$A$5,0)/VLOOKUP($A468,'Dados StatusInvest'!$A:$AZ,2,0)*$F468),0)</f>
        <v>0</v>
      </c>
      <c r="P468" s="54">
        <f>IFERROR((VLOOKUP($A468,'Dados StatusInvest'!$A:$AZ,COLUMN(P468)-$A$5,0)/VLOOKUP($A468,'Dados StatusInvest'!$A:$AZ,2,0)*$F468),0)</f>
        <v>0</v>
      </c>
      <c r="Q468" s="55">
        <f>IFERROR((VLOOKUP($A468,'Dados StatusInvest'!$A:$AZ,COLUMN(Q468)-$A$5,0)/100),0)</f>
        <v>-0.0185</v>
      </c>
      <c r="R468" s="56">
        <f>VLOOKUP($A468,'Dados StatusInvest'!$A:$AZ,COLUMN(R468)-$A$5,0)</f>
        <v>-0.09</v>
      </c>
      <c r="S468" s="56">
        <f>IFERROR((VLOOKUP($A468,'Dados StatusInvest'!$A:$AZ,COLUMN(S468)-$A$5,0)),0)</f>
        <v>0</v>
      </c>
      <c r="T468" s="53">
        <f>IFERROR((VLOOKUP($A468,'Dados StatusInvest'!$A:$AZ,COLUMN(T468)-$A$5,0)/VLOOKUP($A468,'Dados StatusInvest'!$A:$AZ,2,0)*$F468),0)</f>
        <v>0</v>
      </c>
      <c r="U468" s="53">
        <f>IFERROR((VLOOKUP($A468,'Dados StatusInvest'!$A:$AZ,COLUMN(U468)-$A$5,0)-VLOOKUP($A468,'Dados StatusInvest'!$A:$AZ,COLUMN(U468)-$A$5-1,0)+T468),0)</f>
        <v>0</v>
      </c>
      <c r="V468" s="56">
        <f>IFERROR((VLOOKUP($A468,'Dados StatusInvest'!$A:$AZ,COLUMN(V468)-$A$5,0)),0)</f>
        <v>80.81</v>
      </c>
      <c r="W468" s="56">
        <f>IFERROR((VLOOKUP($A468,'Dados StatusInvest'!$A:$AZ,COLUMN(W468)-$A$5,0)),0)</f>
        <v>4.38</v>
      </c>
      <c r="X468" s="53">
        <f>IFERROR((VLOOKUP($A468,'Dados StatusInvest'!$A:$AZ,COLUMN(X468)-$A$5,0)/VLOOKUP($A468,'Dados StatusInvest'!$A:$AZ,2,0)*$F468),0)</f>
        <v>0</v>
      </c>
      <c r="Y468" s="54">
        <f>IFERROR((VLOOKUP($A468,'Dados StatusInvest'!$A:$AZ,COLUMN(Y468)-$A$5,0)/VLOOKUP($A468,'Dados StatusInvest'!$A:$AZ,2,0)*$F468),0)</f>
        <v>0</v>
      </c>
      <c r="Z468" s="56">
        <f>IFERROR((VLOOKUP($A468,'Dados StatusInvest'!$A:$AZ,COLUMN(Z468)-$A$5,0)),0)</f>
        <v>0.72</v>
      </c>
      <c r="AA468" s="57">
        <f>IFERROR((VLOOKUP($A468,'Dados StatusInvest'!$A:$AZ,COLUMN(AA468)-$A$5,0)),0)</f>
        <v>0.28</v>
      </c>
      <c r="AB468" s="57">
        <f>IFERROR((VLOOKUP($A468,'Dados StatusInvest'!$A:$AZ,COLUMN(AB468)-$A$5,0)),0)</f>
        <v>0</v>
      </c>
      <c r="AC468" s="58">
        <f>IFERROR((VLOOKUP($A468,'Dados StatusInvest'!$A:$AZ,COLUMN(AC468)-$A$5,0)),0)</f>
        <v>0</v>
      </c>
      <c r="AD468" s="57">
        <f>IFERROR((VLOOKUP($A468,'Dados StatusInvest'!$A:$AZ,COLUMN(AD468)-$A$5,0)),0)</f>
        <v>35.18</v>
      </c>
      <c r="AE468" s="56">
        <f>IFERROR((VLOOKUP($A468,'Dados StatusInvest'!$A:$AZ,COLUMN(AE468)-$A$5,0)),0)</f>
        <v>0</v>
      </c>
      <c r="AF468" s="56">
        <f>IFERROR((VLOOKUP($A468,'Dados StatusInvest'!$A:$AZ,COLUMN(AF468)-$A$5,0)),0)</f>
        <v>211.21</v>
      </c>
      <c r="AG468" s="56">
        <f>IFERROR((VLOOKUP($A468,'Dados StatusInvest'!$A:$AZ,COLUMN(AG468)-$A$5,0)),0)</f>
        <v>9.25</v>
      </c>
      <c r="AH468" s="56">
        <f>IFERROR((VLOOKUP($A468,'Dados StatusInvest'!$A:$AZ,COLUMN(AH468)-$A$5,0)),0)</f>
        <v>0</v>
      </c>
      <c r="AI468" s="57">
        <f>IFERROR((VLOOKUP($A468,'Dados StatusInvest'!$A:$AZ,COLUMN(AI468)-$A$5,0)),0)</f>
        <v>3241214.6</v>
      </c>
      <c r="AJ468" s="59" t="str">
        <f>IFERROR((VLOOKUP($A468,'Dados StatusInvest'!$A:$AZ,COLUMN(AJ468)-$A$5,0)),0)</f>
        <v/>
      </c>
      <c r="AK468" s="60" t="str">
        <f>IFERROR(__xludf.DUMMYFUNCTION("IFERROR(GOOGLEFINANCE($A468,""high""),"""")"),"")</f>
        <v/>
      </c>
      <c r="AL468" s="60" t="str">
        <f>IFERROR(__xludf.DUMMYFUNCTION("IFERROR(GOOGLEFINANCE($A468,""low""),"""")"),"")</f>
        <v/>
      </c>
      <c r="AM468" s="61">
        <f t="shared" si="2"/>
        <v>0</v>
      </c>
      <c r="AN468" s="62">
        <f>IFERROR(__xludf.DUMMYFUNCTION("IFERROR((GOOGLEFINANCE($A468,""volume"")),0)"),0.0)</f>
        <v>0</v>
      </c>
      <c r="AO468" s="60" t="str">
        <f>IFERROR(__xludf.DUMMYFUNCTION("IFERROR((GOOGLEFINANCE($A468,""closeyest"")),"""")"),"")</f>
        <v/>
      </c>
      <c r="AP468" s="60" t="str">
        <f>IFERROR(__xludf.DUMMYFUNCTION("IFERROR((GOOGLEFINANCE($A468,""shares"")),"""")"),"")</f>
        <v/>
      </c>
      <c r="AQ468" s="18"/>
    </row>
    <row r="469">
      <c r="A469" s="45" t="str">
        <f>'Dados StatusInvest'!A464:A1083</f>
        <v>PPLA11</v>
      </c>
      <c r="B469" s="46" t="str">
        <f>IFERROR(__xludf.DUMMYFUNCTION("IFERROR((GOOGLEFINANCE(A469,""name"")),"""")"),"PPLA Participations Ltd Unit")</f>
        <v>PPLA Participations Ltd Unit</v>
      </c>
      <c r="C469" s="46" t="str">
        <f>IFERROR((VLOOKUP(LEFT($A469,4),Setor!$A:$E,3,0)),"")</f>
        <v>Financeiro</v>
      </c>
      <c r="D469" s="46" t="str">
        <f>IFERROR((VLOOKUP(LEFT($A469,4),Setor!$A:$E,4,0)),"")</f>
        <v>Serviços Financeiros Diversos</v>
      </c>
      <c r="E469" s="46" t="str">
        <f>IFERROR((VLOOKUP(LEFT($A469,4),Setor!$A:$E,5,0)),"")</f>
        <v>Gestão de Recursos e Investimentos</v>
      </c>
      <c r="F469" s="47">
        <f>IFERROR(__xludf.DUMMYFUNCTION("IFERROR((GOOGLEFINANCE(A469)),"""")"),0.47)</f>
        <v>0.47</v>
      </c>
      <c r="G469" s="48" t="str">
        <f>IFERROR(__xludf.DUMMYFUNCTION("IFERROR((sparkline(GOOGLEFINANCE($A469,""price"",TODAY()-30,TODAY(),""DAILY""),{""charttype"",""line"";""linewidth"",1;""color"",""#5f88cc""})),"""")"),"")</f>
        <v/>
      </c>
      <c r="H469" s="49">
        <f>IFERROR(__xludf.DUMMYFUNCTION("IFERROR((((GOOGLEFINANCE(A469))-(INDEX(GoogleFinance(A469,""PRICE"",$AQ$1),2,2)))/(INDEX(GoogleFinance(A469,""PRICE"",$AQ$1),2,2))),"""")"),-0.06000000000000005)</f>
        <v>-0.06</v>
      </c>
      <c r="I469" s="47">
        <f>IFERROR(__xludf.DUMMYFUNCTION("IFERROR((GOOGLEFINANCE($A469,""high52"")),"""")"),1.24)</f>
        <v>1.24</v>
      </c>
      <c r="J469" s="48" t="str">
        <f>IFERROR(__xludf.DUMMYFUNCTION("IFERROR((sparkline(GOOGLEFINANCE($A469,""price"",TODAY()-365,TODAY(),""DAILY""),{""charttype"",""line"";""linewidth"",1;""color"",""#5f88cc""})),"""")"),"")</f>
        <v/>
      </c>
      <c r="K469" s="50">
        <f>IFERROR(__xludf.DUMMYFUNCTION("IFERROR((((GOOGLEFINANCE(A469))-(INDEX(GoogleFinance(A469,""PRICE"",$AP$1),2,2)))/(INDEX(GoogleFinance(A469,""PRICE"",$AP$1),2,2))),"""")"),-0.5982905982905983)</f>
        <v>-0.5982905983</v>
      </c>
      <c r="L469" s="51">
        <f t="shared" si="1"/>
        <v>-0.6209677419</v>
      </c>
      <c r="M469" s="52">
        <f>IFERROR((VLOOKUP($A469,'Dados StatusInvest'!$A:$AZ,COLUMN(M469)-$A$5,0)*VLOOKUP($A469,'Dados StatusInvest'!$A:$AZ,2,0)/$F469/100),0)</f>
        <v>0</v>
      </c>
      <c r="N469" s="53">
        <f>IFERROR((VLOOKUP($A469,'Dados StatusInvest'!$A:$AZ,COLUMN(N469)-$A$5,0)/VLOOKUP($A469,'Dados StatusInvest'!$A:$AZ,2,0)*$F469),"")</f>
        <v>0</v>
      </c>
      <c r="O469" s="53">
        <f>IFERROR((VLOOKUP($A469,'Dados StatusInvest'!$A:$AZ,COLUMN(O469)-$A$5,0)/VLOOKUP($A469,'Dados StatusInvest'!$A:$AZ,2,0)*$F469),0)</f>
        <v>0.2211764706</v>
      </c>
      <c r="P469" s="54">
        <f>IFERROR((VLOOKUP($A469,'Dados StatusInvest'!$A:$AZ,COLUMN(P469)-$A$5,0)/VLOOKUP($A469,'Dados StatusInvest'!$A:$AZ,2,0)*$F469),0)</f>
        <v>0.2211764706</v>
      </c>
      <c r="Q469" s="55">
        <f>IFERROR((VLOOKUP($A469,'Dados StatusInvest'!$A:$AZ,COLUMN(Q469)-$A$5,0)/100),0)</f>
        <v>0</v>
      </c>
      <c r="R469" s="56">
        <f>VLOOKUP($A469,'Dados StatusInvest'!$A:$AZ,COLUMN(R469)-$A$5,0)</f>
        <v>0</v>
      </c>
      <c r="S469" s="56">
        <f>IFERROR((VLOOKUP($A469,'Dados StatusInvest'!$A:$AZ,COLUMN(S469)-$A$5,0)),0)</f>
        <v>0</v>
      </c>
      <c r="T469" s="53">
        <f>IFERROR((VLOOKUP($A469,'Dados StatusInvest'!$A:$AZ,COLUMN(T469)-$A$5,0)/VLOOKUP($A469,'Dados StatusInvest'!$A:$AZ,2,0)*$F469),0)</f>
        <v>0</v>
      </c>
      <c r="U469" s="53">
        <f>IFERROR((VLOOKUP($A469,'Dados StatusInvest'!$A:$AZ,COLUMN(U469)-$A$5,0)-VLOOKUP($A469,'Dados StatusInvest'!$A:$AZ,COLUMN(U469)-$A$5-1,0)+T469),0)</f>
        <v>-143.55</v>
      </c>
      <c r="V469" s="56">
        <f>IFERROR((VLOOKUP($A469,'Dados StatusInvest'!$A:$AZ,COLUMN(V469)-$A$5,0)),0)</f>
        <v>1</v>
      </c>
      <c r="W469" s="56">
        <f>IFERROR((VLOOKUP($A469,'Dados StatusInvest'!$A:$AZ,COLUMN(W469)-$A$5,0)),0)</f>
        <v>59960</v>
      </c>
      <c r="X469" s="53">
        <f>IFERROR((VLOOKUP($A469,'Dados StatusInvest'!$A:$AZ,COLUMN(X469)-$A$5,0)/VLOOKUP($A469,'Dados StatusInvest'!$A:$AZ,2,0)*$F469),0)</f>
        <v>674.6896078</v>
      </c>
      <c r="Y469" s="54">
        <f>IFERROR((VLOOKUP($A469,'Dados StatusInvest'!$A:$AZ,COLUMN(Y469)-$A$5,0)/VLOOKUP($A469,'Dados StatusInvest'!$A:$AZ,2,0)*$F469),0)</f>
        <v>55257.2549</v>
      </c>
      <c r="Z469" s="56">
        <f>IFERROR((VLOOKUP($A469,'Dados StatusInvest'!$A:$AZ,COLUMN(Z469)-$A$5,0)),0)</f>
        <v>0.01</v>
      </c>
      <c r="AA469" s="57">
        <f>IFERROR((VLOOKUP($A469,'Dados StatusInvest'!$A:$AZ,COLUMN(AA469)-$A$5,0)),0)</f>
        <v>0.99</v>
      </c>
      <c r="AB469" s="57">
        <f>IFERROR((VLOOKUP($A469,'Dados StatusInvest'!$A:$AZ,COLUMN(AB469)-$A$5,0)),0)</f>
        <v>0</v>
      </c>
      <c r="AC469" s="58">
        <f>IFERROR((VLOOKUP($A469,'Dados StatusInvest'!$A:$AZ,COLUMN(AC469)-$A$5,0)),0)</f>
        <v>0</v>
      </c>
      <c r="AD469" s="57">
        <f>IFERROR((VLOOKUP($A469,'Dados StatusInvest'!$A:$AZ,COLUMN(AD469)-$A$5,0)),0)</f>
        <v>0</v>
      </c>
      <c r="AE469" s="56">
        <f>IFERROR((VLOOKUP($A469,'Dados StatusInvest'!$A:$AZ,COLUMN(AE469)-$A$5,0)),0)</f>
        <v>1872.24</v>
      </c>
      <c r="AF469" s="56">
        <f>IFERROR((VLOOKUP($A469,'Dados StatusInvest'!$A:$AZ,COLUMN(AF469)-$A$5,0)),0)</f>
        <v>0</v>
      </c>
      <c r="AG469" s="56">
        <f>IFERROR((VLOOKUP($A469,'Dados StatusInvest'!$A:$AZ,COLUMN(AG469)-$A$5,0)),0)</f>
        <v>2.13</v>
      </c>
      <c r="AH469" s="56">
        <f>IFERROR((VLOOKUP($A469,'Dados StatusInvest'!$A:$AZ,COLUMN(AH469)-$A$5,0)),0)</f>
        <v>0</v>
      </c>
      <c r="AI469" s="57">
        <f>IFERROR((VLOOKUP($A469,'Dados StatusInvest'!$A:$AZ,COLUMN(AI469)-$A$5,0)),0)</f>
        <v>1435479.66</v>
      </c>
      <c r="AJ469" s="59" t="str">
        <f>IFERROR((VLOOKUP($A469,'Dados StatusInvest'!$A:$AZ,COLUMN(AJ469)-$A$5,0)),0)</f>
        <v/>
      </c>
      <c r="AK469" s="60">
        <f>IFERROR(__xludf.DUMMYFUNCTION("IFERROR(GOOGLEFINANCE($A469,""high""),"""")"),0.55)</f>
        <v>0.55</v>
      </c>
      <c r="AL469" s="60">
        <f>IFERROR(__xludf.DUMMYFUNCTION("IFERROR(GOOGLEFINANCE($A469,""low""),"""")"),0.47)</f>
        <v>0.47</v>
      </c>
      <c r="AM469" s="61">
        <f t="shared" si="2"/>
        <v>0.170212766</v>
      </c>
      <c r="AN469" s="62">
        <f>IFERROR(__xludf.DUMMYFUNCTION("IFERROR((GOOGLEFINANCE($A469,""volume"")),0)"),1454.0)</f>
        <v>1454</v>
      </c>
      <c r="AO469" s="60">
        <f>IFERROR(__xludf.DUMMYFUNCTION("IFERROR((GOOGLEFINANCE($A469,""closeyest"")),"""")"),0.51)</f>
        <v>0.51</v>
      </c>
      <c r="AP469" s="60">
        <f>IFERROR(__xludf.DUMMYFUNCTION("IFERROR((GOOGLEFINANCE($A469,""shares"")),"""")"),0.0)</f>
        <v>0</v>
      </c>
      <c r="AQ469" s="18"/>
    </row>
    <row r="470">
      <c r="A470" s="45" t="str">
        <f>'Dados StatusInvest'!A465:A1084</f>
        <v>PRIO3</v>
      </c>
      <c r="B470" s="46" t="str">
        <f>IFERROR(__xludf.DUMMYFUNCTION("IFERROR((GOOGLEFINANCE(A470,""name"")),"""")"),"Prio Cedar")</f>
        <v>Prio Cedar</v>
      </c>
      <c r="C470" s="46" t="str">
        <f>IFERROR((VLOOKUP(LEFT($A470,4),Setor!$A:$E,3,0)),"")</f>
        <v>Petróleo, Gás e Biocombustíveis</v>
      </c>
      <c r="D470" s="46" t="str">
        <f>IFERROR((VLOOKUP(LEFT($A470,4),Setor!$A:$E,4,0)),"")</f>
        <v>Petróleo, Gás e Biocombustíveis</v>
      </c>
      <c r="E470" s="46" t="str">
        <f>IFERROR((VLOOKUP(LEFT($A470,4),Setor!$A:$E,5,0)),"")</f>
        <v>Exploração, Refino e Distribuição</v>
      </c>
      <c r="F470" s="47">
        <f>IFERROR(__xludf.DUMMYFUNCTION("IFERROR((GOOGLEFINANCE(A470)),"""")"),7715.0)</f>
        <v>7715</v>
      </c>
      <c r="G470" s="48" t="str">
        <f>IFERROR(__xludf.DUMMYFUNCTION("IFERROR((sparkline(GOOGLEFINANCE($A470,""price"",TODAY()-30,TODAY(),""DAILY""),{""charttype"",""line"";""linewidth"",1;""color"",""#5f88cc""})),"""")"),"")</f>
        <v/>
      </c>
      <c r="H470" s="49">
        <f>IFERROR(__xludf.DUMMYFUNCTION("IFERROR((((GOOGLEFINANCE(A470))-(INDEX(GoogleFinance(A470,""PRICE"",$AQ$1),2,2)))/(INDEX(GoogleFinance(A470,""PRICE"",$AQ$1),2,2))),"""")"),0.1636500754147813)</f>
        <v>0.1636500754</v>
      </c>
      <c r="I470" s="47">
        <f>IFERROR(__xludf.DUMMYFUNCTION("IFERROR((GOOGLEFINANCE($A470,""high52"")),"""")"),7800.0)</f>
        <v>7800</v>
      </c>
      <c r="J470" s="48" t="str">
        <f>IFERROR(__xludf.DUMMYFUNCTION("IFERROR((sparkline(GOOGLEFINANCE($A470,""price"",TODAY()-365,TODAY(),""DAILY""),{""charttype"",""line"";""linewidth"",1;""color"",""#5f88cc""})),"""")"),"")</f>
        <v/>
      </c>
      <c r="K470" s="50">
        <f>IFERROR(__xludf.DUMMYFUNCTION("IFERROR((((GOOGLEFINANCE(A470))-(INDEX(GoogleFinance(A470,""PRICE"",$AP$1),2,2)))/(INDEX(GoogleFinance(A470,""PRICE"",$AP$1),2,2))),"""")"),0.8771289537712895)</f>
        <v>0.8771289538</v>
      </c>
      <c r="L470" s="51">
        <f t="shared" si="1"/>
        <v>-0.0108974359</v>
      </c>
      <c r="M470" s="52">
        <f>IFERROR((VLOOKUP($A470,'Dados StatusInvest'!$A:$AZ,COLUMN(M470)-$A$5,0)*VLOOKUP($A470,'Dados StatusInvest'!$A:$AZ,2,0)/$F470/100),0)</f>
        <v>0.001589872845</v>
      </c>
      <c r="N470" s="53">
        <f>IFERROR((VLOOKUP($A470,'Dados StatusInvest'!$A:$AZ,COLUMN(N470)-$A$5,0)/VLOOKUP($A470,'Dados StatusInvest'!$A:$AZ,2,0)*$F470),"")</f>
        <v>9858.289641</v>
      </c>
      <c r="O470" s="53">
        <f>IFERROR((VLOOKUP($A470,'Dados StatusInvest'!$A:$AZ,COLUMN(O470)-$A$5,0)/VLOOKUP($A470,'Dados StatusInvest'!$A:$AZ,2,0)*$F470),0)</f>
        <v>2105.367741</v>
      </c>
      <c r="P470" s="54">
        <f>IFERROR((VLOOKUP($A470,'Dados StatusInvest'!$A:$AZ,COLUMN(P470)-$A$5,0)/VLOOKUP($A470,'Dados StatusInvest'!$A:$AZ,2,0)*$F470),0)</f>
        <v>2891.89605</v>
      </c>
      <c r="Q470" s="55">
        <f>IFERROR((VLOOKUP($A470,'Dados StatusInvest'!$A:$AZ,COLUMN(Q470)-$A$5,0)/100),0)</f>
        <v>0.056</v>
      </c>
      <c r="R470" s="56">
        <f>VLOOKUP($A470,'Dados StatusInvest'!$A:$AZ,COLUMN(R470)-$A$5,0)</f>
        <v>0.69</v>
      </c>
      <c r="S470" s="56">
        <f>IFERROR((VLOOKUP($A470,'Dados StatusInvest'!$A:$AZ,COLUMN(S470)-$A$5,0)),0)</f>
        <v>3.35</v>
      </c>
      <c r="T470" s="53">
        <f>IFERROR((VLOOKUP($A470,'Dados StatusInvest'!$A:$AZ,COLUMN(T470)-$A$5,0)/VLOOKUP($A470,'Dados StatusInvest'!$A:$AZ,2,0)*$F470),0)</f>
        <v>903.1030402</v>
      </c>
      <c r="U470" s="53">
        <f>IFERROR((VLOOKUP($A470,'Dados StatusInvest'!$A:$AZ,COLUMN(U470)-$A$5,0)-VLOOKUP($A470,'Dados StatusInvest'!$A:$AZ,COLUMN(U470)-$A$5-1,0)+T470),0)</f>
        <v>895.6330402</v>
      </c>
      <c r="V470" s="56">
        <f>IFERROR((VLOOKUP($A470,'Dados StatusInvest'!$A:$AZ,COLUMN(V470)-$A$5,0)),0)</f>
        <v>2.21</v>
      </c>
      <c r="W470" s="56">
        <f>IFERROR((VLOOKUP($A470,'Dados StatusInvest'!$A:$AZ,COLUMN(W470)-$A$5,0)),0)</f>
        <v>38.74</v>
      </c>
      <c r="X470" s="53">
        <f>IFERROR((VLOOKUP($A470,'Dados StatusInvest'!$A:$AZ,COLUMN(X470)-$A$5,0)/VLOOKUP($A470,'Dados StatusInvest'!$A:$AZ,2,0)*$F470),0)</f>
        <v>2363.798471</v>
      </c>
      <c r="Y470" s="54">
        <f>IFERROR((VLOOKUP($A470,'Dados StatusInvest'!$A:$AZ,COLUMN(Y470)-$A$5,0)/VLOOKUP($A470,'Dados StatusInvest'!$A:$AZ,2,0)*$F470),0)</f>
        <v>-1455.077371</v>
      </c>
      <c r="Z470" s="56">
        <f>IFERROR((VLOOKUP($A470,'Dados StatusInvest'!$A:$AZ,COLUMN(Z470)-$A$5,0)),0)</f>
        <v>0.43</v>
      </c>
      <c r="AA470" s="57">
        <f>IFERROR((VLOOKUP($A470,'Dados StatusInvest'!$A:$AZ,COLUMN(AA470)-$A$5,0)),0)</f>
        <v>0.57</v>
      </c>
      <c r="AB470" s="57">
        <f>IFERROR((VLOOKUP($A470,'Dados StatusInvest'!$A:$AZ,COLUMN(AB470)-$A$5,0)),0)</f>
        <v>0.24</v>
      </c>
      <c r="AC470" s="58">
        <f>IFERROR((VLOOKUP($A470,'Dados StatusInvest'!$A:$AZ,COLUMN(AC470)-$A$5,0)),0)</f>
        <v>54.25</v>
      </c>
      <c r="AD470" s="57">
        <f>IFERROR((VLOOKUP($A470,'Dados StatusInvest'!$A:$AZ,COLUMN(AD470)-$A$5,0)),0)</f>
        <v>73.69</v>
      </c>
      <c r="AE470" s="56">
        <f>IFERROR((VLOOKUP($A470,'Dados StatusInvest'!$A:$AZ,COLUMN(AE470)-$A$5,0)),0)</f>
        <v>581000000</v>
      </c>
      <c r="AF470" s="56">
        <f>IFERROR((VLOOKUP($A470,'Dados StatusInvest'!$A:$AZ,COLUMN(AF470)-$A$5,0)),0)</f>
        <v>29.74</v>
      </c>
      <c r="AG470" s="56">
        <f>IFERROR((VLOOKUP($A470,'Dados StatusInvest'!$A:$AZ,COLUMN(AG470)-$A$5,0)),0)</f>
        <v>11.52</v>
      </c>
      <c r="AH470" s="56">
        <f>IFERROR((VLOOKUP($A470,'Dados StatusInvest'!$A:$AZ,COLUMN(AH470)-$A$5,0)),0)</f>
        <v>0.05</v>
      </c>
      <c r="AI470" s="57">
        <f>IFERROR((VLOOKUP($A470,'Dados StatusInvest'!$A:$AZ,COLUMN(AI470)-$A$5,0)),0)</f>
        <v>47926164797</v>
      </c>
      <c r="AJ470" s="59" t="str">
        <f>IFERROR((VLOOKUP($A470,'Dados StatusInvest'!$A:$AZ,COLUMN(AJ470)-$A$5,0)),0)</f>
        <v/>
      </c>
      <c r="AK470" s="60" t="str">
        <f>IFERROR(__xludf.DUMMYFUNCTION("IFERROR(GOOGLEFINANCE($A470,""high""),"""")"),"")</f>
        <v/>
      </c>
      <c r="AL470" s="60" t="str">
        <f>IFERROR(__xludf.DUMMYFUNCTION("IFERROR(GOOGLEFINANCE($A470,""low""),"""")"),"")</f>
        <v/>
      </c>
      <c r="AM470" s="61">
        <f t="shared" si="2"/>
        <v>0</v>
      </c>
      <c r="AN470" s="62">
        <f>IFERROR(__xludf.DUMMYFUNCTION("IFERROR((GOOGLEFINANCE($A470,""volume"")),0)"),0.0)</f>
        <v>0</v>
      </c>
      <c r="AO470" s="60">
        <f>IFERROR(__xludf.DUMMYFUNCTION("IFERROR((GOOGLEFINANCE($A470,""closeyest"")),"""")"),7690.0)</f>
        <v>7690</v>
      </c>
      <c r="AP470" s="60">
        <f>IFERROR(__xludf.DUMMYFUNCTION("IFERROR((GOOGLEFINANCE($A470,""shares"")),"""")"),8.72495263E8)</f>
        <v>872495263</v>
      </c>
      <c r="AQ470" s="18"/>
    </row>
    <row r="471">
      <c r="A471" s="45" t="str">
        <f>'Dados StatusInvest'!A466:A1085</f>
        <v>PRNR3</v>
      </c>
      <c r="B471" s="46" t="str">
        <f>IFERROR(__xludf.DUMMYFUNCTION("IFERROR((GOOGLEFINANCE(A471,""name"")),"""")"),"Priner Servicos Industriais SA")</f>
        <v>Priner Servicos Industriais SA</v>
      </c>
      <c r="C471" s="46" t="str">
        <f>IFERROR((VLOOKUP(LEFT($A471,4),Setor!$A:$E,3,0)),"")</f>
        <v>Bens Industriais</v>
      </c>
      <c r="D471" s="46" t="str">
        <f>IFERROR((VLOOKUP(LEFT($A471,4),Setor!$A:$E,4,0)),"")</f>
        <v>Serviços Diversos</v>
      </c>
      <c r="E471" s="46" t="str">
        <f>IFERROR((VLOOKUP(LEFT($A471,4),Setor!$A:$E,5,0)),"")</f>
        <v>Serviços Diversos</v>
      </c>
      <c r="F471" s="47">
        <f>IFERROR(__xludf.DUMMYFUNCTION("IFERROR((GOOGLEFINANCE(A471)),"""")"),21.5)</f>
        <v>21.5</v>
      </c>
      <c r="G471" s="48" t="str">
        <f>IFERROR(__xludf.DUMMYFUNCTION("IFERROR((sparkline(GOOGLEFINANCE($A471,""price"",TODAY()-30,TODAY(),""DAILY""),{""charttype"",""line"";""linewidth"",1;""color"",""#5f88cc""})),"""")"),"")</f>
        <v/>
      </c>
      <c r="H471" s="49">
        <f>IFERROR(__xludf.DUMMYFUNCTION("IFERROR((((GOOGLEFINANCE(A471))-(INDEX(GoogleFinance(A471,""PRICE"",$AQ$1),2,2)))/(INDEX(GoogleFinance(A471,""PRICE"",$AQ$1),2,2))),"""")"),0.3214505224339275)</f>
        <v>0.3214505224</v>
      </c>
      <c r="I471" s="47">
        <f>IFERROR(__xludf.DUMMYFUNCTION("IFERROR((GOOGLEFINANCE($A471,""high52"")),"""")"),21.6)</f>
        <v>21.6</v>
      </c>
      <c r="J471" s="48" t="str">
        <f>IFERROR(__xludf.DUMMYFUNCTION("IFERROR((sparkline(GOOGLEFINANCE($A471,""price"",TODAY()-365,TODAY(),""DAILY""),{""charttype"",""line"";""linewidth"",1;""color"",""#5f88cc""})),"""")"),"")</f>
        <v/>
      </c>
      <c r="K471" s="50">
        <f>IFERROR(__xludf.DUMMYFUNCTION("IFERROR((((GOOGLEFINANCE(A471))-(INDEX(GoogleFinance(A471,""PRICE"",$AP$1),2,2)))/(INDEX(GoogleFinance(A471,""PRICE"",$AP$1),2,2))),"""")"),0.2573099415204677)</f>
        <v>0.2573099415</v>
      </c>
      <c r="L471" s="51">
        <f t="shared" si="1"/>
        <v>-0.00462962963</v>
      </c>
      <c r="M471" s="52">
        <f>IFERROR((VLOOKUP($A471,'Dados StatusInvest'!$A:$AZ,COLUMN(M471)-$A$5,0)*VLOOKUP($A471,'Dados StatusInvest'!$A:$AZ,2,0)/$F471/100),0)</f>
        <v>0.0748</v>
      </c>
      <c r="N471" s="53">
        <f>IFERROR((VLOOKUP($A471,'Dados StatusInvest'!$A:$AZ,COLUMN(N471)-$A$5,0)/VLOOKUP($A471,'Dados StatusInvest'!$A:$AZ,2,0)*$F471),"")</f>
        <v>0.38</v>
      </c>
      <c r="O471" s="53">
        <f>IFERROR((VLOOKUP($A471,'Dados StatusInvest'!$A:$AZ,COLUMN(O471)-$A$5,0)/VLOOKUP($A471,'Dados StatusInvest'!$A:$AZ,2,0)*$F471),0)</f>
        <v>10.79</v>
      </c>
      <c r="P471" s="54">
        <f>IFERROR((VLOOKUP($A471,'Dados StatusInvest'!$A:$AZ,COLUMN(P471)-$A$5,0)/VLOOKUP($A471,'Dados StatusInvest'!$A:$AZ,2,0)*$F471),0)</f>
        <v>12.6</v>
      </c>
      <c r="Q471" s="55">
        <f>IFERROR((VLOOKUP($A471,'Dados StatusInvest'!$A:$AZ,COLUMN(Q471)-$A$5,0)/100),0)</f>
        <v>0.018</v>
      </c>
      <c r="R471" s="56">
        <f>VLOOKUP($A471,'Dados StatusInvest'!$A:$AZ,COLUMN(R471)-$A$5,0)</f>
        <v>0.42</v>
      </c>
      <c r="S471" s="56">
        <f>IFERROR((VLOOKUP($A471,'Dados StatusInvest'!$A:$AZ,COLUMN(S471)-$A$5,0)),0)</f>
        <v>0.81</v>
      </c>
      <c r="T471" s="53">
        <f>IFERROR((VLOOKUP($A471,'Dados StatusInvest'!$A:$AZ,COLUMN(T471)-$A$5,0)/VLOOKUP($A471,'Dados StatusInvest'!$A:$AZ,2,0)*$F471),0)</f>
        <v>2.23</v>
      </c>
      <c r="U471" s="53">
        <f>IFERROR((VLOOKUP($A471,'Dados StatusInvest'!$A:$AZ,COLUMN(U471)-$A$5,0)-VLOOKUP($A471,'Dados StatusInvest'!$A:$AZ,COLUMN(U471)-$A$5-1,0)+T471),0)</f>
        <v>-1.96</v>
      </c>
      <c r="V471" s="56">
        <f>IFERROR((VLOOKUP($A471,'Dados StatusInvest'!$A:$AZ,COLUMN(V471)-$A$5,0)),0)</f>
        <v>2.42</v>
      </c>
      <c r="W471" s="56">
        <f>IFERROR((VLOOKUP($A471,'Dados StatusInvest'!$A:$AZ,COLUMN(W471)-$A$5,0)),0)</f>
        <v>1.17</v>
      </c>
      <c r="X471" s="53">
        <f>IFERROR((VLOOKUP($A471,'Dados StatusInvest'!$A:$AZ,COLUMN(X471)-$A$5,0)/VLOOKUP($A471,'Dados StatusInvest'!$A:$AZ,2,0)*$F471),0)</f>
        <v>0.37</v>
      </c>
      <c r="Y471" s="54">
        <f>IFERROR((VLOOKUP($A471,'Dados StatusInvest'!$A:$AZ,COLUMN(Y471)-$A$5,0)/VLOOKUP($A471,'Dados StatusInvest'!$A:$AZ,2,0)*$F471),0)</f>
        <v>8.24</v>
      </c>
      <c r="Z471" s="56">
        <f>IFERROR((VLOOKUP($A471,'Dados StatusInvest'!$A:$AZ,COLUMN(Z471)-$A$5,0)),0)</f>
        <v>0.32</v>
      </c>
      <c r="AA471" s="57">
        <f>IFERROR((VLOOKUP($A471,'Dados StatusInvest'!$A:$AZ,COLUMN(AA471)-$A$5,0)),0)</f>
        <v>0.67</v>
      </c>
      <c r="AB471" s="57">
        <f>IFERROR((VLOOKUP($A471,'Dados StatusInvest'!$A:$AZ,COLUMN(AB471)-$A$5,0)),0)</f>
        <v>0.97</v>
      </c>
      <c r="AC471" s="58">
        <f>IFERROR((VLOOKUP($A471,'Dados StatusInvest'!$A:$AZ,COLUMN(AC471)-$A$5,0)),0)</f>
        <v>25.85</v>
      </c>
      <c r="AD471" s="57">
        <f>IFERROR((VLOOKUP($A471,'Dados StatusInvest'!$A:$AZ,COLUMN(AD471)-$A$5,0)),0)</f>
        <v>0</v>
      </c>
      <c r="AE471" s="56">
        <f>IFERROR((VLOOKUP($A471,'Dados StatusInvest'!$A:$AZ,COLUMN(AE471)-$A$5,0)),0)</f>
        <v>9836445</v>
      </c>
      <c r="AF471" s="56">
        <f>IFERROR((VLOOKUP($A471,'Dados StatusInvest'!$A:$AZ,COLUMN(AF471)-$A$5,0)),0)</f>
        <v>8.64</v>
      </c>
      <c r="AG471" s="56">
        <f>IFERROR((VLOOKUP($A471,'Dados StatusInvest'!$A:$AZ,COLUMN(AG471)-$A$5,0)),0)</f>
        <v>0.1</v>
      </c>
      <c r="AH471" s="56">
        <f>IFERROR((VLOOKUP($A471,'Dados StatusInvest'!$A:$AZ,COLUMN(AH471)-$A$5,0)),0)</f>
        <v>0.99</v>
      </c>
      <c r="AI471" s="57">
        <f>IFERROR((VLOOKUP($A471,'Dados StatusInvest'!$A:$AZ,COLUMN(AI471)-$A$5,0)),0)</f>
        <v>1219496276</v>
      </c>
      <c r="AJ471" s="59" t="str">
        <f>IFERROR((VLOOKUP($A471,'Dados StatusInvest'!$A:$AZ,COLUMN(AJ471)-$A$5,0)),0)</f>
        <v/>
      </c>
      <c r="AK471" s="60">
        <f>IFERROR(__xludf.DUMMYFUNCTION("IFERROR(GOOGLEFINANCE($A471,""high""),"""")"),21.6)</f>
        <v>21.6</v>
      </c>
      <c r="AL471" s="60">
        <f>IFERROR(__xludf.DUMMYFUNCTION("IFERROR(GOOGLEFINANCE($A471,""low""),"""")"),21.39)</f>
        <v>21.39</v>
      </c>
      <c r="AM471" s="61">
        <f t="shared" si="2"/>
        <v>0.009817671809</v>
      </c>
      <c r="AN471" s="62">
        <f>IFERROR(__xludf.DUMMYFUNCTION("IFERROR((GOOGLEFINANCE($A471,""volume"")),0)"),40200.0)</f>
        <v>40200</v>
      </c>
      <c r="AO471" s="60">
        <f>IFERROR(__xludf.DUMMYFUNCTION("IFERROR((GOOGLEFINANCE($A471,""closeyest"")),"""")"),21.5)</f>
        <v>21.5</v>
      </c>
      <c r="AP471" s="60">
        <f>IFERROR(__xludf.DUMMYFUNCTION("IFERROR((GOOGLEFINANCE($A471,""shares"")),"""")"),5.6720757E7)</f>
        <v>56720757</v>
      </c>
      <c r="AQ471" s="18"/>
    </row>
    <row r="472">
      <c r="A472" s="45" t="str">
        <f>'Dados StatusInvest'!A467:A1086</f>
        <v>PSSA3</v>
      </c>
      <c r="B472" s="46" t="str">
        <f>IFERROR(__xludf.DUMMYFUNCTION("IFERROR((GOOGLEFINANCE(A472,""name"")),"""")"),"Porto Seguro SA")</f>
        <v>Porto Seguro SA</v>
      </c>
      <c r="C472" s="46" t="str">
        <f>IFERROR((VLOOKUP(LEFT($A472,4),Setor!$A:$E,3,0)),"")</f>
        <v>Financeiro</v>
      </c>
      <c r="D472" s="46" t="str">
        <f>IFERROR((VLOOKUP(LEFT($A472,4),Setor!$A:$E,4,0)),"")</f>
        <v>Previdência e Seguros</v>
      </c>
      <c r="E472" s="46" t="str">
        <f>IFERROR((VLOOKUP(LEFT($A472,4),Setor!$A:$E,5,0)),"")</f>
        <v>Seguradoras</v>
      </c>
      <c r="F472" s="47">
        <f>IFERROR(__xludf.DUMMYFUNCTION("IFERROR((GOOGLEFINANCE(A472)),"""")"),51.17)</f>
        <v>51.17</v>
      </c>
      <c r="G472" s="48" t="str">
        <f>IFERROR(__xludf.DUMMYFUNCTION("IFERROR((sparkline(GOOGLEFINANCE($A472,""price"",TODAY()-30,TODAY(),""DAILY""),{""charttype"",""line"";""linewidth"",1;""color"",""#5f88cc""})),"""")"),"")</f>
        <v/>
      </c>
      <c r="H472" s="49">
        <f>IFERROR(__xludf.DUMMYFUNCTION("IFERROR((((GOOGLEFINANCE(A472))-(INDEX(GoogleFinance(A472,""PRICE"",$AQ$1),2,2)))/(INDEX(GoogleFinance(A472,""PRICE"",$AQ$1),2,2))),"""")"),0.08479966080135679)</f>
        <v>0.0847996608</v>
      </c>
      <c r="I472" s="47">
        <f>IFERROR(__xludf.DUMMYFUNCTION("IFERROR((GOOGLEFINANCE($A472,""high52"")),"""")"),56.06)</f>
        <v>56.06</v>
      </c>
      <c r="J472" s="48" t="str">
        <f>IFERROR(__xludf.DUMMYFUNCTION("IFERROR((sparkline(GOOGLEFINANCE($A472,""price"",TODAY()-365,TODAY(),""DAILY""),{""charttype"",""line"";""linewidth"",1;""color"",""#5f88cc""})),"""")"),"")</f>
        <v/>
      </c>
      <c r="K472" s="50">
        <f>IFERROR(__xludf.DUMMYFUNCTION("IFERROR((((GOOGLEFINANCE(A472))-(INDEX(GoogleFinance(A472,""PRICE"",$AP$1),2,2)))/(INDEX(GoogleFinance(A472,""PRICE"",$AP$1),2,2))),"""")"),0.3073582013285642)</f>
        <v>0.3073582013</v>
      </c>
      <c r="L472" s="51">
        <f t="shared" si="1"/>
        <v>-0.08722797003</v>
      </c>
      <c r="M472" s="52">
        <f>IFERROR((VLOOKUP($A472,'Dados StatusInvest'!$A:$AZ,COLUMN(M472)-$A$5,0)*VLOOKUP($A472,'Dados StatusInvest'!$A:$AZ,2,0)/$F472/100),0)</f>
        <v>0.07630220833</v>
      </c>
      <c r="N472" s="53">
        <f>IFERROR((VLOOKUP($A472,'Dados StatusInvest'!$A:$AZ,COLUMN(N472)-$A$5,0)/VLOOKUP($A472,'Dados StatusInvest'!$A:$AZ,2,0)*$F472),"")</f>
        <v>8.150537365</v>
      </c>
      <c r="O472" s="53">
        <f>IFERROR((VLOOKUP($A472,'Dados StatusInvest'!$A:$AZ,COLUMN(O472)-$A$5,0)/VLOOKUP($A472,'Dados StatusInvest'!$A:$AZ,2,0)*$F472),0)</f>
        <v>10.76225732</v>
      </c>
      <c r="P472" s="54">
        <f>IFERROR((VLOOKUP($A472,'Dados StatusInvest'!$A:$AZ,COLUMN(P472)-$A$5,0)/VLOOKUP($A472,'Dados StatusInvest'!$A:$AZ,2,0)*$F472),0)</f>
        <v>6.780616333</v>
      </c>
      <c r="Q472" s="55">
        <f>IFERROR((VLOOKUP($A472,'Dados StatusInvest'!$A:$AZ,COLUMN(Q472)-$A$5,0)/100),0)</f>
        <v>-0.0405</v>
      </c>
      <c r="R472" s="56">
        <f>VLOOKUP($A472,'Dados StatusInvest'!$A:$AZ,COLUMN(R472)-$A$5,0)</f>
        <v>-0.78</v>
      </c>
      <c r="S472" s="56">
        <f>IFERROR((VLOOKUP($A472,'Dados StatusInvest'!$A:$AZ,COLUMN(S472)-$A$5,0)),0)</f>
        <v>0.82</v>
      </c>
      <c r="T472" s="53">
        <f>IFERROR((VLOOKUP($A472,'Dados StatusInvest'!$A:$AZ,COLUMN(T472)-$A$5,0)/VLOOKUP($A472,'Dados StatusInvest'!$A:$AZ,2,0)*$F472),0)</f>
        <v>4.908062404</v>
      </c>
      <c r="U472" s="53">
        <f>IFERROR((VLOOKUP($A472,'Dados StatusInvest'!$A:$AZ,COLUMN(U472)-$A$5,0)-VLOOKUP($A472,'Dados StatusInvest'!$A:$AZ,COLUMN(U472)-$A$5-1,0)+T472),0)</f>
        <v>-1.561937596</v>
      </c>
      <c r="V472" s="56">
        <f>IFERROR((VLOOKUP($A472,'Dados StatusInvest'!$A:$AZ,COLUMN(V472)-$A$5,0)),0)</f>
        <v>1.25</v>
      </c>
      <c r="W472" s="56">
        <f>IFERROR((VLOOKUP($A472,'Dados StatusInvest'!$A:$AZ,COLUMN(W472)-$A$5,0)),0)</f>
        <v>21.3</v>
      </c>
      <c r="X472" s="53">
        <f>IFERROR((VLOOKUP($A472,'Dados StatusInvest'!$A:$AZ,COLUMN(X472)-$A$5,0)/VLOOKUP($A472,'Dados StatusInvest'!$A:$AZ,2,0)*$F472),0)</f>
        <v>5.962605932</v>
      </c>
      <c r="Y472" s="54">
        <f>IFERROR((VLOOKUP($A472,'Dados StatusInvest'!$A:$AZ,COLUMN(Y472)-$A$5,0)/VLOOKUP($A472,'Dados StatusInvest'!$A:$AZ,2,0)*$F472),0)</f>
        <v>11.55070108</v>
      </c>
      <c r="Z472" s="56">
        <f>IFERROR((VLOOKUP($A472,'Dados StatusInvest'!$A:$AZ,COLUMN(Z472)-$A$5,0)),0)</f>
        <v>0.28</v>
      </c>
      <c r="AA472" s="57">
        <f>IFERROR((VLOOKUP($A472,'Dados StatusInvest'!$A:$AZ,COLUMN(AA472)-$A$5,0)),0)</f>
        <v>0.72</v>
      </c>
      <c r="AB472" s="57">
        <f>IFERROR((VLOOKUP($A472,'Dados StatusInvest'!$A:$AZ,COLUMN(AB472)-$A$5,0)),0)</f>
        <v>0.73</v>
      </c>
      <c r="AC472" s="58">
        <f>IFERROR((VLOOKUP($A472,'Dados StatusInvest'!$A:$AZ,COLUMN(AC472)-$A$5,0)),0)</f>
        <v>17.03</v>
      </c>
      <c r="AD472" s="57">
        <f>IFERROR((VLOOKUP($A472,'Dados StatusInvest'!$A:$AZ,COLUMN(AD472)-$A$5,0)),0)</f>
        <v>14.9</v>
      </c>
      <c r="AE472" s="56">
        <f>IFERROR((VLOOKUP($A472,'Dados StatusInvest'!$A:$AZ,COLUMN(AE472)-$A$5,0)),0)</f>
        <v>119000000</v>
      </c>
      <c r="AF472" s="56">
        <f>IFERROR((VLOOKUP($A472,'Dados StatusInvest'!$A:$AZ,COLUMN(AF472)-$A$5,0)),0)</f>
        <v>24.55</v>
      </c>
      <c r="AG472" s="56">
        <f>IFERROR((VLOOKUP($A472,'Dados StatusInvest'!$A:$AZ,COLUMN(AG472)-$A$5,0)),0)</f>
        <v>5.23</v>
      </c>
      <c r="AH472" s="56">
        <f>IFERROR((VLOOKUP($A472,'Dados StatusInvest'!$A:$AZ,COLUMN(AH472)-$A$5,0)),0)</f>
        <v>0.36</v>
      </c>
      <c r="AI472" s="57">
        <f>IFERROR((VLOOKUP($A472,'Dados StatusInvest'!$A:$AZ,COLUMN(AI472)-$A$5,0)),0)</f>
        <v>33570748235</v>
      </c>
      <c r="AJ472" s="59" t="str">
        <f>IFERROR((VLOOKUP($A472,'Dados StatusInvest'!$A:$AZ,COLUMN(AJ472)-$A$5,0)),0)</f>
        <v/>
      </c>
      <c r="AK472" s="60">
        <f>IFERROR(__xludf.DUMMYFUNCTION("IFERROR(GOOGLEFINANCE($A472,""high""),"""")"),51.92)</f>
        <v>51.92</v>
      </c>
      <c r="AL472" s="60">
        <f>IFERROR(__xludf.DUMMYFUNCTION("IFERROR(GOOGLEFINANCE($A472,""low""),"""")"),50.92)</f>
        <v>50.92</v>
      </c>
      <c r="AM472" s="61">
        <f t="shared" si="2"/>
        <v>0.01963864886</v>
      </c>
      <c r="AN472" s="62">
        <f>IFERROR(__xludf.DUMMYFUNCTION("IFERROR((GOOGLEFINANCE($A472,""volume"")),0)"),149600.0)</f>
        <v>149600</v>
      </c>
      <c r="AO472" s="60">
        <f>IFERROR(__xludf.DUMMYFUNCTION("IFERROR((GOOGLEFINANCE($A472,""closeyest"")),"""")"),51.92)</f>
        <v>51.92</v>
      </c>
      <c r="AP472" s="60">
        <f>IFERROR(__xludf.DUMMYFUNCTION("IFERROR((GOOGLEFINANCE($A472,""shares"")),"""")"),6.4658606E8)</f>
        <v>646586060</v>
      </c>
      <c r="AQ472" s="18"/>
    </row>
    <row r="473">
      <c r="A473" s="45" t="str">
        <f>'Dados StatusInvest'!A468:A1087</f>
        <v>PTBL3</v>
      </c>
      <c r="B473" s="46" t="str">
        <f>IFERROR(__xludf.DUMMYFUNCTION("IFERROR((GOOGLEFINANCE(A473,""name"")),"""")"),"PBG SA")</f>
        <v>PBG SA</v>
      </c>
      <c r="C473" s="46" t="str">
        <f>IFERROR((VLOOKUP(LEFT($A473,4),Setor!$A:$E,3,0)),"")</f>
        <v>Bens Industriais</v>
      </c>
      <c r="D473" s="46" t="str">
        <f>IFERROR((VLOOKUP(LEFT($A473,4),Setor!$A:$E,4,0)),"")</f>
        <v>Construção e Engenharia</v>
      </c>
      <c r="E473" s="46" t="str">
        <f>IFERROR((VLOOKUP(LEFT($A473,4),Setor!$A:$E,5,0)),"")</f>
        <v>Produtos para Construção</v>
      </c>
      <c r="F473" s="47">
        <f>IFERROR(__xludf.DUMMYFUNCTION("IFERROR((GOOGLEFINANCE(A473)),"""")"),3.26)</f>
        <v>3.26</v>
      </c>
      <c r="G473" s="48" t="str">
        <f>IFERROR(__xludf.DUMMYFUNCTION("IFERROR((sparkline(GOOGLEFINANCE($A473,""price"",TODAY()-30,TODAY(),""DAILY""),{""charttype"",""line"";""linewidth"",1;""color"",""#5f88cc""})),"""")"),"")</f>
        <v/>
      </c>
      <c r="H473" s="49">
        <f>IFERROR(__xludf.DUMMYFUNCTION("IFERROR((((GOOGLEFINANCE(A473))-(INDEX(GoogleFinance(A473,""PRICE"",$AQ$1),2,2)))/(INDEX(GoogleFinance(A473,""PRICE"",$AQ$1),2,2))),"""")"),0.018749999999999878)</f>
        <v>0.01875</v>
      </c>
      <c r="I473" s="47">
        <f>IFERROR(__xludf.DUMMYFUNCTION("IFERROR((GOOGLEFINANCE($A473,""high52"")),"""")"),5.55)</f>
        <v>5.55</v>
      </c>
      <c r="J473" s="48" t="str">
        <f>IFERROR(__xludf.DUMMYFUNCTION("IFERROR((sparkline(GOOGLEFINANCE($A473,""price"",TODAY()-365,TODAY(),""DAILY""),{""charttype"",""line"";""linewidth"",1;""color"",""#5f88cc""})),"""")"),"")</f>
        <v/>
      </c>
      <c r="K473" s="50">
        <f>IFERROR(__xludf.DUMMYFUNCTION("IFERROR((((GOOGLEFINANCE(A473))-(INDEX(GoogleFinance(A473,""PRICE"",$AP$1),2,2)))/(INDEX(GoogleFinance(A473,""PRICE"",$AP$1),2,2))),"""")"),-0.19506172839506175)</f>
        <v>-0.1950617284</v>
      </c>
      <c r="L473" s="51">
        <f t="shared" si="1"/>
        <v>-0.4126126126</v>
      </c>
      <c r="M473" s="52">
        <f>IFERROR((VLOOKUP($A473,'Dados StatusInvest'!$A:$AZ,COLUMN(M473)-$A$5,0)*VLOOKUP($A473,'Dados StatusInvest'!$A:$AZ,2,0)/$F473/100),0)</f>
        <v>0.04077453988</v>
      </c>
      <c r="N473" s="53">
        <f>IFERROR((VLOOKUP($A473,'Dados StatusInvest'!$A:$AZ,COLUMN(N473)-$A$5,0)/VLOOKUP($A473,'Dados StatusInvest'!$A:$AZ,2,0)*$F473),"")</f>
        <v>-7.362584615</v>
      </c>
      <c r="O473" s="53">
        <f>IFERROR((VLOOKUP($A473,'Dados StatusInvest'!$A:$AZ,COLUMN(O473)-$A$5,0)/VLOOKUP($A473,'Dados StatusInvest'!$A:$AZ,2,0)*$F473),0)</f>
        <v>4.323261538</v>
      </c>
      <c r="P473" s="54">
        <f>IFERROR((VLOOKUP($A473,'Dados StatusInvest'!$A:$AZ,COLUMN(P473)-$A$5,0)/VLOOKUP($A473,'Dados StatusInvest'!$A:$AZ,2,0)*$F473),0)</f>
        <v>14.0832</v>
      </c>
      <c r="Q473" s="55">
        <f>IFERROR((VLOOKUP($A473,'Dados StatusInvest'!$A:$AZ,COLUMN(Q473)-$A$5,0)/100),0)</f>
        <v>0.0973</v>
      </c>
      <c r="R473" s="56">
        <f>VLOOKUP($A473,'Dados StatusInvest'!$A:$AZ,COLUMN(R473)-$A$5,0)</f>
        <v>5.31</v>
      </c>
      <c r="S473" s="56">
        <f>IFERROR((VLOOKUP($A473,'Dados StatusInvest'!$A:$AZ,COLUMN(S473)-$A$5,0)),0)</f>
        <v>0.18</v>
      </c>
      <c r="T473" s="53">
        <f>IFERROR((VLOOKUP($A473,'Dados StatusInvest'!$A:$AZ,COLUMN(T473)-$A$5,0)/VLOOKUP($A473,'Dados StatusInvest'!$A:$AZ,2,0)*$F473),0)</f>
        <v>-7.743753846</v>
      </c>
      <c r="U473" s="53">
        <f>IFERROR((VLOOKUP($A473,'Dados StatusInvest'!$A:$AZ,COLUMN(U473)-$A$5,0)-VLOOKUP($A473,'Dados StatusInvest'!$A:$AZ,COLUMN(U473)-$A$5-1,0)+T473),0)</f>
        <v>-0.2237538462</v>
      </c>
      <c r="V473" s="56">
        <f>IFERROR((VLOOKUP($A473,'Dados StatusInvest'!$A:$AZ,COLUMN(V473)-$A$5,0)),0)</f>
        <v>0.96</v>
      </c>
      <c r="W473" s="56">
        <f>IFERROR((VLOOKUP($A473,'Dados StatusInvest'!$A:$AZ,COLUMN(W473)-$A$5,0)),0)</f>
        <v>-97.87</v>
      </c>
      <c r="X473" s="53">
        <f>IFERROR((VLOOKUP($A473,'Dados StatusInvest'!$A:$AZ,COLUMN(X473)-$A$5,0)/VLOOKUP($A473,'Dados StatusInvest'!$A:$AZ,2,0)*$F473),0)</f>
        <v>-5.356430769</v>
      </c>
      <c r="Y473" s="54">
        <f>IFERROR((VLOOKUP($A473,'Dados StatusInvest'!$A:$AZ,COLUMN(Y473)-$A$5,0)/VLOOKUP($A473,'Dados StatusInvest'!$A:$AZ,2,0)*$F473),0)</f>
        <v>5.888061538</v>
      </c>
      <c r="Z473" s="56">
        <f>IFERROR((VLOOKUP($A473,'Dados StatusInvest'!$A:$AZ,COLUMN(Z473)-$A$5,0)),0)</f>
        <v>0.05</v>
      </c>
      <c r="AA473" s="57">
        <f>IFERROR((VLOOKUP($A473,'Dados StatusInvest'!$A:$AZ,COLUMN(AA473)-$A$5,0)),0)</f>
        <v>0.95</v>
      </c>
      <c r="AB473" s="57">
        <f>IFERROR((VLOOKUP($A473,'Dados StatusInvest'!$A:$AZ,COLUMN(AB473)-$A$5,0)),0)</f>
        <v>0.73</v>
      </c>
      <c r="AC473" s="58">
        <f>IFERROR((VLOOKUP($A473,'Dados StatusInvest'!$A:$AZ,COLUMN(AC473)-$A$5,0)),0)</f>
        <v>16.66</v>
      </c>
      <c r="AD473" s="57">
        <f>IFERROR((VLOOKUP($A473,'Dados StatusInvest'!$A:$AZ,COLUMN(AD473)-$A$5,0)),0)</f>
        <v>0</v>
      </c>
      <c r="AE473" s="56">
        <f>IFERROR((VLOOKUP($A473,'Dados StatusInvest'!$A:$AZ,COLUMN(AE473)-$A$5,0)),0)</f>
        <v>887835.4</v>
      </c>
      <c r="AF473" s="56">
        <f>IFERROR((VLOOKUP($A473,'Dados StatusInvest'!$A:$AZ,COLUMN(AF473)-$A$5,0)),0)</f>
        <v>1.38</v>
      </c>
      <c r="AG473" s="56">
        <f>IFERROR((VLOOKUP($A473,'Dados StatusInvest'!$A:$AZ,COLUMN(AG473)-$A$5,0)),0)</f>
        <v>-1.35</v>
      </c>
      <c r="AH473" s="56">
        <f>IFERROR((VLOOKUP($A473,'Dados StatusInvest'!$A:$AZ,COLUMN(AH473)-$A$5,0)),0)</f>
        <v>0</v>
      </c>
      <c r="AI473" s="57">
        <f>IFERROR((VLOOKUP($A473,'Dados StatusInvest'!$A:$AZ,COLUMN(AI473)-$A$5,0)),0)</f>
        <v>458207379.5</v>
      </c>
      <c r="AJ473" s="59" t="str">
        <f>IFERROR((VLOOKUP($A473,'Dados StatusInvest'!$A:$AZ,COLUMN(AJ473)-$A$5,0)),0)</f>
        <v/>
      </c>
      <c r="AK473" s="60">
        <f>IFERROR(__xludf.DUMMYFUNCTION("IFERROR(GOOGLEFINANCE($A473,""high""),"""")"),3.28)</f>
        <v>3.28</v>
      </c>
      <c r="AL473" s="60">
        <f>IFERROR(__xludf.DUMMYFUNCTION("IFERROR(GOOGLEFINANCE($A473,""low""),"""")"),3.21)</f>
        <v>3.21</v>
      </c>
      <c r="AM473" s="61">
        <f t="shared" si="2"/>
        <v>0.02180685358</v>
      </c>
      <c r="AN473" s="62">
        <f>IFERROR(__xludf.DUMMYFUNCTION("IFERROR((GOOGLEFINANCE($A473,""volume"")),0)"),8500.0)</f>
        <v>8500</v>
      </c>
      <c r="AO473" s="60">
        <f>IFERROR(__xludf.DUMMYFUNCTION("IFERROR((GOOGLEFINANCE($A473,""closeyest"")),"""")"),3.25)</f>
        <v>3.25</v>
      </c>
      <c r="AP473" s="60">
        <f>IFERROR(__xludf.DUMMYFUNCTION("IFERROR((GOOGLEFINANCE($A473,""shares"")),"""")"),1.40986886E8)</f>
        <v>140986886</v>
      </c>
      <c r="AQ473" s="18"/>
    </row>
    <row r="474">
      <c r="A474" s="45" t="str">
        <f>'Dados StatusInvest'!A469:A1088</f>
        <v>PTCA11</v>
      </c>
      <c r="B474" s="46" t="str">
        <f>IFERROR(__xludf.DUMMYFUNCTION("IFERROR((GOOGLEFINANCE(A474,""name"")),"""")"),"")</f>
        <v/>
      </c>
      <c r="C474" s="46" t="str">
        <f>IFERROR((VLOOKUP(LEFT($A474,4),Setor!$A:$E,3,0)),"")</f>
        <v>Bens Industriais</v>
      </c>
      <c r="D474" s="46" t="str">
        <f>IFERROR((VLOOKUP(LEFT($A474,4),Setor!$A:$E,4,0)),"")</f>
        <v>Máquinas e Equipamentos</v>
      </c>
      <c r="E474" s="46" t="str">
        <f>IFERROR((VLOOKUP(LEFT($A474,4),Setor!$A:$E,5,0)),"")</f>
        <v>Máq. e Equip. Industriais</v>
      </c>
      <c r="F474" s="47" t="str">
        <f>IFERROR(__xludf.DUMMYFUNCTION("IFERROR((GOOGLEFINANCE(A474)),"""")"),"")</f>
        <v/>
      </c>
      <c r="G474" s="48" t="str">
        <f>IFERROR(__xludf.DUMMYFUNCTION("IFERROR((sparkline(GOOGLEFINANCE($A474,""price"",TODAY()-30,TODAY(),""DAILY""),{""charttype"",""line"";""linewidth"",1;""color"",""#5f88cc""})),"""")"),"")</f>
        <v/>
      </c>
      <c r="H474" s="49" t="str">
        <f>IFERROR(__xludf.DUMMYFUNCTION("IFERROR((((GOOGLEFINANCE(A474))-(INDEX(GoogleFinance(A474,""PRICE"",$AQ$1),2,2)))/(INDEX(GoogleFinance(A474,""PRICE"",$AQ$1),2,2))),"""")"),"")</f>
        <v/>
      </c>
      <c r="I474" s="47" t="str">
        <f>IFERROR(__xludf.DUMMYFUNCTION("IFERROR((GOOGLEFINANCE($A474,""high52"")),"""")"),"")</f>
        <v/>
      </c>
      <c r="J474" s="48" t="str">
        <f>IFERROR(__xludf.DUMMYFUNCTION("IFERROR((sparkline(GOOGLEFINANCE($A474,""price"",TODAY()-365,TODAY(),""DAILY""),{""charttype"",""line"";""linewidth"",1;""color"",""#5f88cc""})),"""")"),"")</f>
        <v/>
      </c>
      <c r="K474" s="50" t="str">
        <f>IFERROR(__xludf.DUMMYFUNCTION("IFERROR((((GOOGLEFINANCE(A474))-(INDEX(GoogleFinance(A474,""PRICE"",$AP$1),2,2)))/(INDEX(GoogleFinance(A474,""PRICE"",$AP$1),2,2))),"""")"),"")</f>
        <v/>
      </c>
      <c r="L474" s="51">
        <f t="shared" si="1"/>
        <v>0</v>
      </c>
      <c r="M474" s="52">
        <f>IFERROR((VLOOKUP($A474,'Dados StatusInvest'!$A:$AZ,COLUMN(M474)-$A$5,0)*VLOOKUP($A474,'Dados StatusInvest'!$A:$AZ,2,0)/$F474/100),0)</f>
        <v>0</v>
      </c>
      <c r="N474" s="53" t="str">
        <f>IFERROR((VLOOKUP($A474,'Dados StatusInvest'!$A:$AZ,COLUMN(N474)-$A$5,0)/VLOOKUP($A474,'Dados StatusInvest'!$A:$AZ,2,0)*$F474),"")</f>
        <v/>
      </c>
      <c r="O474" s="53">
        <f>IFERROR((VLOOKUP($A474,'Dados StatusInvest'!$A:$AZ,COLUMN(O474)-$A$5,0)/VLOOKUP($A474,'Dados StatusInvest'!$A:$AZ,2,0)*$F474),0)</f>
        <v>0</v>
      </c>
      <c r="P474" s="54">
        <f>IFERROR((VLOOKUP($A474,'Dados StatusInvest'!$A:$AZ,COLUMN(P474)-$A$5,0)/VLOOKUP($A474,'Dados StatusInvest'!$A:$AZ,2,0)*$F474),0)</f>
        <v>0</v>
      </c>
      <c r="Q474" s="55">
        <f>IFERROR((VLOOKUP($A474,'Dados StatusInvest'!$A:$AZ,COLUMN(Q474)-$A$5,0)/100),0)</f>
        <v>0.0172</v>
      </c>
      <c r="R474" s="56">
        <f>VLOOKUP($A474,'Dados StatusInvest'!$A:$AZ,COLUMN(R474)-$A$5,0)</f>
        <v>0.56</v>
      </c>
      <c r="S474" s="56">
        <f>IFERROR((VLOOKUP($A474,'Dados StatusInvest'!$A:$AZ,COLUMN(S474)-$A$5,0)),0)</f>
        <v>0</v>
      </c>
      <c r="T474" s="53">
        <f>IFERROR((VLOOKUP($A474,'Dados StatusInvest'!$A:$AZ,COLUMN(T474)-$A$5,0)/VLOOKUP($A474,'Dados StatusInvest'!$A:$AZ,2,0)*$F474),0)</f>
        <v>0</v>
      </c>
      <c r="U474" s="53">
        <f>IFERROR((VLOOKUP($A474,'Dados StatusInvest'!$A:$AZ,COLUMN(U474)-$A$5,0)-VLOOKUP($A474,'Dados StatusInvest'!$A:$AZ,COLUMN(U474)-$A$5-1,0)+T474),0)</f>
        <v>0</v>
      </c>
      <c r="V474" s="56">
        <f>IFERROR((VLOOKUP($A474,'Dados StatusInvest'!$A:$AZ,COLUMN(V474)-$A$5,0)),0)</f>
        <v>1.95</v>
      </c>
      <c r="W474" s="56">
        <f>IFERROR((VLOOKUP($A474,'Dados StatusInvest'!$A:$AZ,COLUMN(W474)-$A$5,0)),0)</f>
        <v>21.49</v>
      </c>
      <c r="X474" s="53">
        <f>IFERROR((VLOOKUP($A474,'Dados StatusInvest'!$A:$AZ,COLUMN(X474)-$A$5,0)/VLOOKUP($A474,'Dados StatusInvest'!$A:$AZ,2,0)*$F474),0)</f>
        <v>0</v>
      </c>
      <c r="Y474" s="54">
        <f>IFERROR((VLOOKUP($A474,'Dados StatusInvest'!$A:$AZ,COLUMN(Y474)-$A$5,0)/VLOOKUP($A474,'Dados StatusInvest'!$A:$AZ,2,0)*$F474),0)</f>
        <v>0</v>
      </c>
      <c r="Z474" s="56">
        <f>IFERROR((VLOOKUP($A474,'Dados StatusInvest'!$A:$AZ,COLUMN(Z474)-$A$5,0)),0)</f>
        <v>0.4</v>
      </c>
      <c r="AA474" s="57">
        <f>IFERROR((VLOOKUP($A474,'Dados StatusInvest'!$A:$AZ,COLUMN(AA474)-$A$5,0)),0)</f>
        <v>0.6</v>
      </c>
      <c r="AB474" s="57">
        <f>IFERROR((VLOOKUP($A474,'Dados StatusInvest'!$A:$AZ,COLUMN(AB474)-$A$5,0)),0)</f>
        <v>1.28</v>
      </c>
      <c r="AC474" s="58">
        <f>IFERROR((VLOOKUP($A474,'Dados StatusInvest'!$A:$AZ,COLUMN(AC474)-$A$5,0)),0)</f>
        <v>19.72</v>
      </c>
      <c r="AD474" s="57">
        <f>IFERROR((VLOOKUP($A474,'Dados StatusInvest'!$A:$AZ,COLUMN(AD474)-$A$5,0)),0)</f>
        <v>24.8</v>
      </c>
      <c r="AE474" s="56">
        <f>IFERROR((VLOOKUP($A474,'Dados StatusInvest'!$A:$AZ,COLUMN(AE474)-$A$5,0)),0)</f>
        <v>0</v>
      </c>
      <c r="AF474" s="56">
        <f>IFERROR((VLOOKUP($A474,'Dados StatusInvest'!$A:$AZ,COLUMN(AF474)-$A$5,0)),0)</f>
        <v>33.71</v>
      </c>
      <c r="AG474" s="56">
        <f>IFERROR((VLOOKUP($A474,'Dados StatusInvest'!$A:$AZ,COLUMN(AG474)-$A$5,0)),0)</f>
        <v>7.25</v>
      </c>
      <c r="AH474" s="56">
        <f>IFERROR((VLOOKUP($A474,'Dados StatusInvest'!$A:$AZ,COLUMN(AH474)-$A$5,0)),0)</f>
        <v>0</v>
      </c>
      <c r="AI474" s="57">
        <f>IFERROR((VLOOKUP($A474,'Dados StatusInvest'!$A:$AZ,COLUMN(AI474)-$A$5,0)),0)</f>
        <v>0</v>
      </c>
      <c r="AJ474" s="59" t="str">
        <f>IFERROR((VLOOKUP($A474,'Dados StatusInvest'!$A:$AZ,COLUMN(AJ474)-$A$5,0)),0)</f>
        <v/>
      </c>
      <c r="AK474" s="60" t="str">
        <f>IFERROR(__xludf.DUMMYFUNCTION("IFERROR(GOOGLEFINANCE($A474,""high""),"""")"),"")</f>
        <v/>
      </c>
      <c r="AL474" s="60" t="str">
        <f>IFERROR(__xludf.DUMMYFUNCTION("IFERROR(GOOGLEFINANCE($A474,""low""),"""")"),"")</f>
        <v/>
      </c>
      <c r="AM474" s="61">
        <f t="shared" si="2"/>
        <v>0</v>
      </c>
      <c r="AN474" s="62">
        <f>IFERROR(__xludf.DUMMYFUNCTION("IFERROR((GOOGLEFINANCE($A474,""volume"")),0)"),0.0)</f>
        <v>0</v>
      </c>
      <c r="AO474" s="60" t="str">
        <f>IFERROR(__xludf.DUMMYFUNCTION("IFERROR((GOOGLEFINANCE($A474,""closeyest"")),"""")"),"")</f>
        <v/>
      </c>
      <c r="AP474" s="60" t="str">
        <f>IFERROR(__xludf.DUMMYFUNCTION("IFERROR((GOOGLEFINANCE($A474,""shares"")),"""")"),"")</f>
        <v/>
      </c>
      <c r="AQ474" s="18"/>
    </row>
    <row r="475">
      <c r="A475" s="45" t="str">
        <f>'Dados StatusInvest'!A470:A1089</f>
        <v>PTCA3</v>
      </c>
      <c r="B475" s="46" t="str">
        <f>IFERROR(__xludf.DUMMYFUNCTION("IFERROR((GOOGLEFINANCE(A475,""name"")),"""")"),"Pratica Produtos SA")</f>
        <v>Pratica Produtos SA</v>
      </c>
      <c r="C475" s="46" t="str">
        <f>IFERROR((VLOOKUP(LEFT($A475,4),Setor!$A:$E,3,0)),"")</f>
        <v>Bens Industriais</v>
      </c>
      <c r="D475" s="46" t="str">
        <f>IFERROR((VLOOKUP(LEFT($A475,4),Setor!$A:$E,4,0)),"")</f>
        <v>Máquinas e Equipamentos</v>
      </c>
      <c r="E475" s="46" t="str">
        <f>IFERROR((VLOOKUP(LEFT($A475,4),Setor!$A:$E,5,0)),"")</f>
        <v>Máq. e Equip. Industriais</v>
      </c>
      <c r="F475" s="47">
        <f>IFERROR(__xludf.DUMMYFUNCTION("IFERROR((GOOGLEFINANCE(A475)),"""")"),0.0)</f>
        <v>0</v>
      </c>
      <c r="G475" s="48" t="str">
        <f>IFERROR(__xludf.DUMMYFUNCTION("IFERROR((sparkline(GOOGLEFINANCE($A475,""price"",TODAY()-30,TODAY(),""DAILY""),{""charttype"",""line"";""linewidth"",1;""color"",""#5f88cc""})),"""")"),"")</f>
        <v/>
      </c>
      <c r="H475" s="49" t="str">
        <f>IFERROR(__xludf.DUMMYFUNCTION("IFERROR((((GOOGLEFINANCE(A475))-(INDEX(GoogleFinance(A475,""PRICE"",$AQ$1),2,2)))/(INDEX(GoogleFinance(A475,""PRICE"",$AQ$1),2,2))),"""")"),"")</f>
        <v/>
      </c>
      <c r="I475" s="47" t="str">
        <f>IFERROR(__xludf.DUMMYFUNCTION("IFERROR((GOOGLEFINANCE($A475,""high52"")),"""")"),"")</f>
        <v/>
      </c>
      <c r="J475" s="48" t="str">
        <f>IFERROR(__xludf.DUMMYFUNCTION("IFERROR((sparkline(GOOGLEFINANCE($A475,""price"",TODAY()-365,TODAY(),""DAILY""),{""charttype"",""line"";""linewidth"",1;""color"",""#5f88cc""})),"""")"),"")</f>
        <v/>
      </c>
      <c r="K475" s="50" t="str">
        <f>IFERROR(__xludf.DUMMYFUNCTION("IFERROR((((GOOGLEFINANCE(A475))-(INDEX(GoogleFinance(A475,""PRICE"",$AP$1),2,2)))/(INDEX(GoogleFinance(A475,""PRICE"",$AP$1),2,2))),"""")"),"")</f>
        <v/>
      </c>
      <c r="L475" s="51">
        <f t="shared" si="1"/>
        <v>0</v>
      </c>
      <c r="M475" s="52">
        <f>IFERROR((VLOOKUP($A475,'Dados StatusInvest'!$A:$AZ,COLUMN(M475)-$A$5,0)*VLOOKUP($A475,'Dados StatusInvest'!$A:$AZ,2,0)/$F475/100),0)</f>
        <v>0</v>
      </c>
      <c r="N475" s="53" t="str">
        <f>IFERROR((VLOOKUP($A475,'Dados StatusInvest'!$A:$AZ,COLUMN(N475)-$A$5,0)/VLOOKUP($A475,'Dados StatusInvest'!$A:$AZ,2,0)*$F475),"")</f>
        <v/>
      </c>
      <c r="O475" s="53">
        <f>IFERROR((VLOOKUP($A475,'Dados StatusInvest'!$A:$AZ,COLUMN(O475)-$A$5,0)/VLOOKUP($A475,'Dados StatusInvest'!$A:$AZ,2,0)*$F475),0)</f>
        <v>0</v>
      </c>
      <c r="P475" s="54">
        <f>IFERROR((VLOOKUP($A475,'Dados StatusInvest'!$A:$AZ,COLUMN(P475)-$A$5,0)/VLOOKUP($A475,'Dados StatusInvest'!$A:$AZ,2,0)*$F475),0)</f>
        <v>0</v>
      </c>
      <c r="Q475" s="55">
        <f>IFERROR((VLOOKUP($A475,'Dados StatusInvest'!$A:$AZ,COLUMN(Q475)-$A$5,0)/100),0)</f>
        <v>0.0172</v>
      </c>
      <c r="R475" s="56">
        <f>VLOOKUP($A475,'Dados StatusInvest'!$A:$AZ,COLUMN(R475)-$A$5,0)</f>
        <v>0.56</v>
      </c>
      <c r="S475" s="56">
        <f>IFERROR((VLOOKUP($A475,'Dados StatusInvest'!$A:$AZ,COLUMN(S475)-$A$5,0)),0)</f>
        <v>0</v>
      </c>
      <c r="T475" s="53">
        <f>IFERROR((VLOOKUP($A475,'Dados StatusInvest'!$A:$AZ,COLUMN(T475)-$A$5,0)/VLOOKUP($A475,'Dados StatusInvest'!$A:$AZ,2,0)*$F475),0)</f>
        <v>0</v>
      </c>
      <c r="U475" s="53">
        <f>IFERROR((VLOOKUP($A475,'Dados StatusInvest'!$A:$AZ,COLUMN(U475)-$A$5,0)-VLOOKUP($A475,'Dados StatusInvest'!$A:$AZ,COLUMN(U475)-$A$5-1,0)+T475),0)</f>
        <v>0</v>
      </c>
      <c r="V475" s="56">
        <f>IFERROR((VLOOKUP($A475,'Dados StatusInvest'!$A:$AZ,COLUMN(V475)-$A$5,0)),0)</f>
        <v>1.95</v>
      </c>
      <c r="W475" s="56">
        <f>IFERROR((VLOOKUP($A475,'Dados StatusInvest'!$A:$AZ,COLUMN(W475)-$A$5,0)),0)</f>
        <v>21.49</v>
      </c>
      <c r="X475" s="53">
        <f>IFERROR((VLOOKUP($A475,'Dados StatusInvest'!$A:$AZ,COLUMN(X475)-$A$5,0)/VLOOKUP($A475,'Dados StatusInvest'!$A:$AZ,2,0)*$F475),0)</f>
        <v>0</v>
      </c>
      <c r="Y475" s="54">
        <f>IFERROR((VLOOKUP($A475,'Dados StatusInvest'!$A:$AZ,COLUMN(Y475)-$A$5,0)/VLOOKUP($A475,'Dados StatusInvest'!$A:$AZ,2,0)*$F475),0)</f>
        <v>0</v>
      </c>
      <c r="Z475" s="56">
        <f>IFERROR((VLOOKUP($A475,'Dados StatusInvest'!$A:$AZ,COLUMN(Z475)-$A$5,0)),0)</f>
        <v>0.4</v>
      </c>
      <c r="AA475" s="57">
        <f>IFERROR((VLOOKUP($A475,'Dados StatusInvest'!$A:$AZ,COLUMN(AA475)-$A$5,0)),0)</f>
        <v>0.6</v>
      </c>
      <c r="AB475" s="57">
        <f>IFERROR((VLOOKUP($A475,'Dados StatusInvest'!$A:$AZ,COLUMN(AB475)-$A$5,0)),0)</f>
        <v>1.28</v>
      </c>
      <c r="AC475" s="58">
        <f>IFERROR((VLOOKUP($A475,'Dados StatusInvest'!$A:$AZ,COLUMN(AC475)-$A$5,0)),0)</f>
        <v>19.72</v>
      </c>
      <c r="AD475" s="57">
        <f>IFERROR((VLOOKUP($A475,'Dados StatusInvest'!$A:$AZ,COLUMN(AD475)-$A$5,0)),0)</f>
        <v>24.8</v>
      </c>
      <c r="AE475" s="56">
        <f>IFERROR((VLOOKUP($A475,'Dados StatusInvest'!$A:$AZ,COLUMN(AE475)-$A$5,0)),0)</f>
        <v>0</v>
      </c>
      <c r="AF475" s="56">
        <f>IFERROR((VLOOKUP($A475,'Dados StatusInvest'!$A:$AZ,COLUMN(AF475)-$A$5,0)),0)</f>
        <v>33.71</v>
      </c>
      <c r="AG475" s="56">
        <f>IFERROR((VLOOKUP($A475,'Dados StatusInvest'!$A:$AZ,COLUMN(AG475)-$A$5,0)),0)</f>
        <v>7.25</v>
      </c>
      <c r="AH475" s="56">
        <f>IFERROR((VLOOKUP($A475,'Dados StatusInvest'!$A:$AZ,COLUMN(AH475)-$A$5,0)),0)</f>
        <v>0</v>
      </c>
      <c r="AI475" s="57">
        <f>IFERROR((VLOOKUP($A475,'Dados StatusInvest'!$A:$AZ,COLUMN(AI475)-$A$5,0)),0)</f>
        <v>0</v>
      </c>
      <c r="AJ475" s="59" t="str">
        <f>IFERROR((VLOOKUP($A475,'Dados StatusInvest'!$A:$AZ,COLUMN(AJ475)-$A$5,0)),0)</f>
        <v/>
      </c>
      <c r="AK475" s="60" t="str">
        <f>IFERROR(__xludf.DUMMYFUNCTION("IFERROR(GOOGLEFINANCE($A475,""high""),"""")"),"")</f>
        <v/>
      </c>
      <c r="AL475" s="60" t="str">
        <f>IFERROR(__xludf.DUMMYFUNCTION("IFERROR(GOOGLEFINANCE($A475,""low""),"""")"),"")</f>
        <v/>
      </c>
      <c r="AM475" s="61">
        <f t="shared" si="2"/>
        <v>0</v>
      </c>
      <c r="AN475" s="62">
        <f>IFERROR(__xludf.DUMMYFUNCTION("IFERROR((GOOGLEFINANCE($A475,""volume"")),0)"),0.0)</f>
        <v>0</v>
      </c>
      <c r="AO475" s="60" t="str">
        <f>IFERROR(__xludf.DUMMYFUNCTION("IFERROR((GOOGLEFINANCE($A475,""closeyest"")),"""")"),"")</f>
        <v/>
      </c>
      <c r="AP475" s="60">
        <f>IFERROR(__xludf.DUMMYFUNCTION("IFERROR((GOOGLEFINANCE($A475,""shares"")),"""")"),3355031.0)</f>
        <v>3355031</v>
      </c>
      <c r="AQ475" s="18"/>
    </row>
    <row r="476">
      <c r="A476" s="45" t="str">
        <f>'Dados StatusInvest'!A471:A1090</f>
        <v>PTNT3</v>
      </c>
      <c r="B476" s="46" t="str">
        <f>IFERROR(__xludf.DUMMYFUNCTION("IFERROR((GOOGLEFINANCE(A476,""name"")),"""")"),"Pettenati SA Industria Textil")</f>
        <v>Pettenati SA Industria Textil</v>
      </c>
      <c r="C476" s="46" t="str">
        <f>IFERROR((VLOOKUP(LEFT($A476,4),Setor!$A:$E,3,0)),"")</f>
        <v>Consumo Cíclico</v>
      </c>
      <c r="D476" s="46" t="str">
        <f>IFERROR((VLOOKUP(LEFT($A476,4),Setor!$A:$E,4,0)),"")</f>
        <v>Tecidos, Vestuário e Calçados</v>
      </c>
      <c r="E476" s="46" t="str">
        <f>IFERROR((VLOOKUP(LEFT($A476,4),Setor!$A:$E,5,0)),"")</f>
        <v>Fios e Tecidos</v>
      </c>
      <c r="F476" s="47">
        <f>IFERROR(__xludf.DUMMYFUNCTION("IFERROR((GOOGLEFINANCE(A476)),"""")"),8.44)</f>
        <v>8.44</v>
      </c>
      <c r="G476" s="48" t="str">
        <f>IFERROR(__xludf.DUMMYFUNCTION("IFERROR((sparkline(GOOGLEFINANCE($A476,""price"",TODAY()-30,TODAY(),""DAILY""),{""charttype"",""line"";""linewidth"",1;""color"",""#5f88cc""})),"""")"),"")</f>
        <v/>
      </c>
      <c r="H476" s="49">
        <f>IFERROR(__xludf.DUMMYFUNCTION("IFERROR((((GOOGLEFINANCE(A476))-(INDEX(GoogleFinance(A476,""PRICE"",$AQ$1),2,2)))/(INDEX(GoogleFinance(A476,""PRICE"",$AQ$1),2,2))),"""")"),0.01932367149758456)</f>
        <v>0.0193236715</v>
      </c>
      <c r="I476" s="47">
        <f>IFERROR(__xludf.DUMMYFUNCTION("IFERROR((GOOGLEFINANCE($A476,""high52"")),"""")"),9.88)</f>
        <v>9.88</v>
      </c>
      <c r="J476" s="48" t="str">
        <f>IFERROR(__xludf.DUMMYFUNCTION("IFERROR((sparkline(GOOGLEFINANCE($A476,""price"",TODAY()-365,TODAY(),""DAILY""),{""charttype"",""line"";""linewidth"",1;""color"",""#5f88cc""})),"""")"),"")</f>
        <v/>
      </c>
      <c r="K476" s="50">
        <f>IFERROR(__xludf.DUMMYFUNCTION("IFERROR((((GOOGLEFINANCE(A476))-(INDEX(GoogleFinance(A476,""PRICE"",$AP$1),2,2)))/(INDEX(GoogleFinance(A476,""PRICE"",$AP$1),2,2))),"""")"),-0.0684326710816778)</f>
        <v>-0.06843267108</v>
      </c>
      <c r="L476" s="51">
        <f t="shared" si="1"/>
        <v>-0.1457489879</v>
      </c>
      <c r="M476" s="52">
        <f>IFERROR((VLOOKUP($A476,'Dados StatusInvest'!$A:$AZ,COLUMN(M476)-$A$5,0)*VLOOKUP($A476,'Dados StatusInvest'!$A:$AZ,2,0)/$F476/100),0)</f>
        <v>0.0481</v>
      </c>
      <c r="N476" s="53">
        <f>IFERROR((VLOOKUP($A476,'Dados StatusInvest'!$A:$AZ,COLUMN(N476)-$A$5,0)/VLOOKUP($A476,'Dados StatusInvest'!$A:$AZ,2,0)*$F476),"")</f>
        <v>4.96</v>
      </c>
      <c r="O476" s="53">
        <f>IFERROR((VLOOKUP($A476,'Dados StatusInvest'!$A:$AZ,COLUMN(O476)-$A$5,0)/VLOOKUP($A476,'Dados StatusInvest'!$A:$AZ,2,0)*$F476),0)</f>
        <v>10.06</v>
      </c>
      <c r="P476" s="54">
        <f>IFERROR((VLOOKUP($A476,'Dados StatusInvest'!$A:$AZ,COLUMN(P476)-$A$5,0)/VLOOKUP($A476,'Dados StatusInvest'!$A:$AZ,2,0)*$F476),0)</f>
        <v>13.27</v>
      </c>
      <c r="Q476" s="55">
        <f>IFERROR((VLOOKUP($A476,'Dados StatusInvest'!$A:$AZ,COLUMN(Q476)-$A$5,0)/100),0)</f>
        <v>0.0324</v>
      </c>
      <c r="R476" s="56">
        <f>VLOOKUP($A476,'Dados StatusInvest'!$A:$AZ,COLUMN(R476)-$A$5,0)</f>
        <v>0.26</v>
      </c>
      <c r="S476" s="56">
        <f>IFERROR((VLOOKUP($A476,'Dados StatusInvest'!$A:$AZ,COLUMN(S476)-$A$5,0)),0)</f>
        <v>0.48</v>
      </c>
      <c r="T476" s="53">
        <f>IFERROR((VLOOKUP($A476,'Dados StatusInvest'!$A:$AZ,COLUMN(T476)-$A$5,0)/VLOOKUP($A476,'Dados StatusInvest'!$A:$AZ,2,0)*$F476),0)</f>
        <v>1.19</v>
      </c>
      <c r="U476" s="53">
        <f>IFERROR((VLOOKUP($A476,'Dados StatusInvest'!$A:$AZ,COLUMN(U476)-$A$5,0)-VLOOKUP($A476,'Dados StatusInvest'!$A:$AZ,COLUMN(U476)-$A$5-1,0)+T476),0)</f>
        <v>-0.89</v>
      </c>
      <c r="V476" s="56">
        <f>IFERROR((VLOOKUP($A476,'Dados StatusInvest'!$A:$AZ,COLUMN(V476)-$A$5,0)),0)</f>
        <v>2.48</v>
      </c>
      <c r="W476" s="56">
        <f>IFERROR((VLOOKUP($A476,'Dados StatusInvest'!$A:$AZ,COLUMN(W476)-$A$5,0)),0)</f>
        <v>8.13</v>
      </c>
      <c r="X476" s="53">
        <f>IFERROR((VLOOKUP($A476,'Dados StatusInvest'!$A:$AZ,COLUMN(X476)-$A$5,0)/VLOOKUP($A476,'Dados StatusInvest'!$A:$AZ,2,0)*$F476),0)</f>
        <v>4.05</v>
      </c>
      <c r="Y476" s="54">
        <f>IFERROR((VLOOKUP($A476,'Dados StatusInvest'!$A:$AZ,COLUMN(Y476)-$A$5,0)/VLOOKUP($A476,'Dados StatusInvest'!$A:$AZ,2,0)*$F476),0)</f>
        <v>-0.07</v>
      </c>
      <c r="Z476" s="56">
        <f>IFERROR((VLOOKUP($A476,'Dados StatusInvest'!$A:$AZ,COLUMN(Z476)-$A$5,0)),0)</f>
        <v>0.5</v>
      </c>
      <c r="AA476" s="57">
        <f>IFERROR((VLOOKUP($A476,'Dados StatusInvest'!$A:$AZ,COLUMN(AA476)-$A$5,0)),0)</f>
        <v>0.5</v>
      </c>
      <c r="AB476" s="57">
        <f>IFERROR((VLOOKUP($A476,'Dados StatusInvest'!$A:$AZ,COLUMN(AB476)-$A$5,0)),0)</f>
        <v>0.82</v>
      </c>
      <c r="AC476" s="58">
        <f>IFERROR((VLOOKUP($A476,'Dados StatusInvest'!$A:$AZ,COLUMN(AC476)-$A$5,0)),0)</f>
        <v>12.5</v>
      </c>
      <c r="AD476" s="57">
        <f>IFERROR((VLOOKUP($A476,'Dados StatusInvest'!$A:$AZ,COLUMN(AD476)-$A$5,0)),0)</f>
        <v>0</v>
      </c>
      <c r="AE476" s="56">
        <f>IFERROR((VLOOKUP($A476,'Dados StatusInvest'!$A:$AZ,COLUMN(AE476)-$A$5,0)),0)</f>
        <v>21160.16</v>
      </c>
      <c r="AF476" s="56">
        <f>IFERROR((VLOOKUP($A476,'Dados StatusInvest'!$A:$AZ,COLUMN(AF476)-$A$5,0)),0)</f>
        <v>10.62</v>
      </c>
      <c r="AG476" s="56">
        <f>IFERROR((VLOOKUP($A476,'Dados StatusInvest'!$A:$AZ,COLUMN(AG476)-$A$5,0)),0)</f>
        <v>0.86</v>
      </c>
      <c r="AH476" s="56">
        <f>IFERROR((VLOOKUP($A476,'Dados StatusInvest'!$A:$AZ,COLUMN(AH476)-$A$5,0)),0)</f>
        <v>0.19</v>
      </c>
      <c r="AI476" s="57">
        <f>IFERROR((VLOOKUP($A476,'Dados StatusInvest'!$A:$AZ,COLUMN(AI476)-$A$5,0)),0)</f>
        <v>404231176.2</v>
      </c>
      <c r="AJ476" s="59" t="str">
        <f>IFERROR((VLOOKUP($A476,'Dados StatusInvest'!$A:$AZ,COLUMN(AJ476)-$A$5,0)),0)</f>
        <v/>
      </c>
      <c r="AK476" s="60" t="str">
        <f>IFERROR(__xludf.DUMMYFUNCTION("IFERROR(GOOGLEFINANCE($A476,""high""),"""")"),"")</f>
        <v/>
      </c>
      <c r="AL476" s="60" t="str">
        <f>IFERROR(__xludf.DUMMYFUNCTION("IFERROR(GOOGLEFINANCE($A476,""low""),"""")"),"")</f>
        <v/>
      </c>
      <c r="AM476" s="61">
        <f t="shared" si="2"/>
        <v>0</v>
      </c>
      <c r="AN476" s="62">
        <f>IFERROR(__xludf.DUMMYFUNCTION("IFERROR((GOOGLEFINANCE($A476,""volume"")),0)"),0.0)</f>
        <v>0</v>
      </c>
      <c r="AO476" s="60">
        <f>IFERROR(__xludf.DUMMYFUNCTION("IFERROR((GOOGLEFINANCE($A476,""closeyest"")),"""")"),8.44)</f>
        <v>8.44</v>
      </c>
      <c r="AP476" s="60">
        <f>IFERROR(__xludf.DUMMYFUNCTION("IFERROR((GOOGLEFINANCE($A476,""shares"")),"""")"),1.6016924E7)</f>
        <v>16016924</v>
      </c>
      <c r="AQ476" s="18"/>
    </row>
    <row r="477">
      <c r="A477" s="45" t="str">
        <f>'Dados StatusInvest'!A472:A1091</f>
        <v>PTNT4</v>
      </c>
      <c r="B477" s="46" t="str">
        <f>IFERROR(__xludf.DUMMYFUNCTION("IFERROR((GOOGLEFINANCE(A477,""name"")),"""")"),"Pettenati SA Industria Textil Preference Shares")</f>
        <v>Pettenati SA Industria Textil Preference Shares</v>
      </c>
      <c r="C477" s="46" t="str">
        <f>IFERROR((VLOOKUP(LEFT($A477,4),Setor!$A:$E,3,0)),"")</f>
        <v>Consumo Cíclico</v>
      </c>
      <c r="D477" s="46" t="str">
        <f>IFERROR((VLOOKUP(LEFT($A477,4),Setor!$A:$E,4,0)),"")</f>
        <v>Tecidos, Vestuário e Calçados</v>
      </c>
      <c r="E477" s="46" t="str">
        <f>IFERROR((VLOOKUP(LEFT($A477,4),Setor!$A:$E,5,0)),"")</f>
        <v>Fios e Tecidos</v>
      </c>
      <c r="F477" s="47">
        <f>IFERROR(__xludf.DUMMYFUNCTION("IFERROR((GOOGLEFINANCE(A477)),"""")"),8.45)</f>
        <v>8.45</v>
      </c>
      <c r="G477" s="48" t="str">
        <f>IFERROR(__xludf.DUMMYFUNCTION("IFERROR((sparkline(GOOGLEFINANCE($A477,""price"",TODAY()-30,TODAY(),""DAILY""),{""charttype"",""line"";""linewidth"",1;""color"",""#5f88cc""})),"""")"),"")</f>
        <v/>
      </c>
      <c r="H477" s="49">
        <f>IFERROR(__xludf.DUMMYFUNCTION("IFERROR((((GOOGLEFINANCE(A477))-(INDEX(GoogleFinance(A477,""PRICE"",$AQ$1),2,2)))/(INDEX(GoogleFinance(A477,""PRICE"",$AQ$1),2,2))),"""")"),0.04320987654320983)</f>
        <v>0.04320987654</v>
      </c>
      <c r="I477" s="47">
        <f>IFERROR(__xludf.DUMMYFUNCTION("IFERROR((GOOGLEFINANCE($A477,""high52"")),"""")"),8.45)</f>
        <v>8.45</v>
      </c>
      <c r="J477" s="48" t="str">
        <f>IFERROR(__xludf.DUMMYFUNCTION("IFERROR((sparkline(GOOGLEFINANCE($A477,""price"",TODAY()-365,TODAY(),""DAILY""),{""charttype"",""line"";""linewidth"",1;""color"",""#5f88cc""})),"""")"),"")</f>
        <v/>
      </c>
      <c r="K477" s="50">
        <f>IFERROR(__xludf.DUMMYFUNCTION("IFERROR((((GOOGLEFINANCE(A477))-(INDEX(GoogleFinance(A477,""PRICE"",$AP$1),2,2)))/(INDEX(GoogleFinance(A477,""PRICE"",$AP$1),2,2))),"""")"),0.14343707713125842)</f>
        <v>0.1434370771</v>
      </c>
      <c r="L477" s="51">
        <f t="shared" si="1"/>
        <v>0</v>
      </c>
      <c r="M477" s="52">
        <f>IFERROR((VLOOKUP($A477,'Dados StatusInvest'!$A:$AZ,COLUMN(M477)-$A$5,0)*VLOOKUP($A477,'Dados StatusInvest'!$A:$AZ,2,0)/$F477/100),0)</f>
        <v>0.04781538462</v>
      </c>
      <c r="N477" s="53">
        <f>IFERROR((VLOOKUP($A477,'Dados StatusInvest'!$A:$AZ,COLUMN(N477)-$A$5,0)/VLOOKUP($A477,'Dados StatusInvest'!$A:$AZ,2,0)*$F477),"")</f>
        <v>4.98952381</v>
      </c>
      <c r="O477" s="53">
        <f>IFERROR((VLOOKUP($A477,'Dados StatusInvest'!$A:$AZ,COLUMN(O477)-$A$5,0)/VLOOKUP($A477,'Dados StatusInvest'!$A:$AZ,2,0)*$F477),0)</f>
        <v>10.06958333</v>
      </c>
      <c r="P477" s="54">
        <f>IFERROR((VLOOKUP($A477,'Dados StatusInvest'!$A:$AZ,COLUMN(P477)-$A$5,0)/VLOOKUP($A477,'Dados StatusInvest'!$A:$AZ,2,0)*$F477),0)</f>
        <v>13.3489881</v>
      </c>
      <c r="Q477" s="55">
        <f>IFERROR((VLOOKUP($A477,'Dados StatusInvest'!$A:$AZ,COLUMN(Q477)-$A$5,0)/100),0)</f>
        <v>0.0324</v>
      </c>
      <c r="R477" s="56">
        <f>VLOOKUP($A477,'Dados StatusInvest'!$A:$AZ,COLUMN(R477)-$A$5,0)</f>
        <v>0.26</v>
      </c>
      <c r="S477" s="56">
        <f>IFERROR((VLOOKUP($A477,'Dados StatusInvest'!$A:$AZ,COLUMN(S477)-$A$5,0)),0)</f>
        <v>0.48</v>
      </c>
      <c r="T477" s="53">
        <f>IFERROR((VLOOKUP($A477,'Dados StatusInvest'!$A:$AZ,COLUMN(T477)-$A$5,0)/VLOOKUP($A477,'Dados StatusInvest'!$A:$AZ,2,0)*$F477),0)</f>
        <v>1.197083333</v>
      </c>
      <c r="U477" s="53">
        <f>IFERROR((VLOOKUP($A477,'Dados StatusInvest'!$A:$AZ,COLUMN(U477)-$A$5,0)-VLOOKUP($A477,'Dados StatusInvest'!$A:$AZ,COLUMN(U477)-$A$5-1,0)+T477),0)</f>
        <v>-0.8829166667</v>
      </c>
      <c r="V477" s="56">
        <f>IFERROR((VLOOKUP($A477,'Dados StatusInvest'!$A:$AZ,COLUMN(V477)-$A$5,0)),0)</f>
        <v>2.48</v>
      </c>
      <c r="W477" s="56">
        <f>IFERROR((VLOOKUP($A477,'Dados StatusInvest'!$A:$AZ,COLUMN(W477)-$A$5,0)),0)</f>
        <v>8.13</v>
      </c>
      <c r="X477" s="53">
        <f>IFERROR((VLOOKUP($A477,'Dados StatusInvest'!$A:$AZ,COLUMN(X477)-$A$5,0)/VLOOKUP($A477,'Dados StatusInvest'!$A:$AZ,2,0)*$F477),0)</f>
        <v>4.074107143</v>
      </c>
      <c r="Y477" s="54">
        <f>IFERROR((VLOOKUP($A477,'Dados StatusInvest'!$A:$AZ,COLUMN(Y477)-$A$5,0)/VLOOKUP($A477,'Dados StatusInvest'!$A:$AZ,2,0)*$F477),0)</f>
        <v>-0.07041666667</v>
      </c>
      <c r="Z477" s="56">
        <f>IFERROR((VLOOKUP($A477,'Dados StatusInvest'!$A:$AZ,COLUMN(Z477)-$A$5,0)),0)</f>
        <v>0.5</v>
      </c>
      <c r="AA477" s="57">
        <f>IFERROR((VLOOKUP($A477,'Dados StatusInvest'!$A:$AZ,COLUMN(AA477)-$A$5,0)),0)</f>
        <v>0.5</v>
      </c>
      <c r="AB477" s="57">
        <f>IFERROR((VLOOKUP($A477,'Dados StatusInvest'!$A:$AZ,COLUMN(AB477)-$A$5,0)),0)</f>
        <v>0.82</v>
      </c>
      <c r="AC477" s="58">
        <f>IFERROR((VLOOKUP($A477,'Dados StatusInvest'!$A:$AZ,COLUMN(AC477)-$A$5,0)),0)</f>
        <v>12.5</v>
      </c>
      <c r="AD477" s="57">
        <f>IFERROR((VLOOKUP($A477,'Dados StatusInvest'!$A:$AZ,COLUMN(AD477)-$A$5,0)),0)</f>
        <v>0</v>
      </c>
      <c r="AE477" s="56">
        <f>IFERROR((VLOOKUP($A477,'Dados StatusInvest'!$A:$AZ,COLUMN(AE477)-$A$5,0)),0)</f>
        <v>254005.9</v>
      </c>
      <c r="AF477" s="56">
        <f>IFERROR((VLOOKUP($A477,'Dados StatusInvest'!$A:$AZ,COLUMN(AF477)-$A$5,0)),0)</f>
        <v>10.62</v>
      </c>
      <c r="AG477" s="56">
        <f>IFERROR((VLOOKUP($A477,'Dados StatusInvest'!$A:$AZ,COLUMN(AG477)-$A$5,0)),0)</f>
        <v>0.86</v>
      </c>
      <c r="AH477" s="56">
        <f>IFERROR((VLOOKUP($A477,'Dados StatusInvest'!$A:$AZ,COLUMN(AH477)-$A$5,0)),0)</f>
        <v>0.19</v>
      </c>
      <c r="AI477" s="57">
        <f>IFERROR((VLOOKUP($A477,'Dados StatusInvest'!$A:$AZ,COLUMN(AI477)-$A$5,0)),0)</f>
        <v>404231176.2</v>
      </c>
      <c r="AJ477" s="59" t="str">
        <f>IFERROR((VLOOKUP($A477,'Dados StatusInvest'!$A:$AZ,COLUMN(AJ477)-$A$5,0)),0)</f>
        <v/>
      </c>
      <c r="AK477" s="60">
        <f>IFERROR(__xludf.DUMMYFUNCTION("IFERROR(GOOGLEFINANCE($A477,""high""),"""")"),8.45)</f>
        <v>8.45</v>
      </c>
      <c r="AL477" s="60">
        <f>IFERROR(__xludf.DUMMYFUNCTION("IFERROR(GOOGLEFINANCE($A477,""low""),"""")"),8.38)</f>
        <v>8.38</v>
      </c>
      <c r="AM477" s="61">
        <f t="shared" si="2"/>
        <v>0.008353221957</v>
      </c>
      <c r="AN477" s="62">
        <f>IFERROR(__xludf.DUMMYFUNCTION("IFERROR((GOOGLEFINANCE($A477,""volume"")),0)"),1200.0)</f>
        <v>1200</v>
      </c>
      <c r="AO477" s="60">
        <f>IFERROR(__xludf.DUMMYFUNCTION("IFERROR((GOOGLEFINANCE($A477,""closeyest"")),"""")"),8.4)</f>
        <v>8.4</v>
      </c>
      <c r="AP477" s="60">
        <f>IFERROR(__xludf.DUMMYFUNCTION("IFERROR((GOOGLEFINANCE($A477,""shares"")),"""")"),3.2029564E7)</f>
        <v>32029564</v>
      </c>
      <c r="AQ477" s="18"/>
    </row>
    <row r="478">
      <c r="A478" s="45" t="str">
        <f>'Dados StatusInvest'!A473:A1092</f>
        <v>QUAL3</v>
      </c>
      <c r="B478" s="46" t="str">
        <f>IFERROR(__xludf.DUMMYFUNCTION("IFERROR((GOOGLEFINANCE(A478,""name"")),"""")"),"Qualicorp Consultoria e Cra de Ses SA")</f>
        <v>Qualicorp Consultoria e Cra de Ses SA</v>
      </c>
      <c r="C478" s="46" t="str">
        <f>IFERROR((VLOOKUP(LEFT($A478,4),Setor!$A:$E,3,0)),"")</f>
        <v>Saúde</v>
      </c>
      <c r="D478" s="46" t="str">
        <f>IFERROR((VLOOKUP(LEFT($A478,4),Setor!$A:$E,4,0)),"")</f>
        <v>Análises e Diagnósticos</v>
      </c>
      <c r="E478" s="46" t="str">
        <f>IFERROR((VLOOKUP(LEFT($A478,4),Setor!$A:$E,5,0)),"")</f>
        <v>Análises e Diagnósticos</v>
      </c>
      <c r="F478" s="47">
        <f>IFERROR(__xludf.DUMMYFUNCTION("IFERROR((GOOGLEFINANCE(A478)),"""")"),2.46)</f>
        <v>2.46</v>
      </c>
      <c r="G478" s="48" t="str">
        <f>IFERROR(__xludf.DUMMYFUNCTION("IFERROR((sparkline(GOOGLEFINANCE($A478,""price"",TODAY()-30,TODAY(),""DAILY""),{""charttype"",""line"";""linewidth"",1;""color"",""#5f88cc""})),"""")"),"")</f>
        <v/>
      </c>
      <c r="H478" s="49">
        <f>IFERROR(__xludf.DUMMYFUNCTION("IFERROR((((GOOGLEFINANCE(A478))-(INDEX(GoogleFinance(A478,""PRICE"",$AQ$1),2,2)))/(INDEX(GoogleFinance(A478,""PRICE"",$AQ$1),2,2))),"""")"),0.06956521739130442)</f>
        <v>0.06956521739</v>
      </c>
      <c r="I478" s="47">
        <f>IFERROR(__xludf.DUMMYFUNCTION("IFERROR((GOOGLEFINANCE($A478,""high52"")),"""")"),2.82)</f>
        <v>2.82</v>
      </c>
      <c r="J478" s="48" t="str">
        <f>IFERROR(__xludf.DUMMYFUNCTION("IFERROR((sparkline(GOOGLEFINANCE($A478,""price"",TODAY()-365,TODAY(),""DAILY""),{""charttype"",""line"";""linewidth"",1;""color"",""#5f88cc""})),"""")"),"")</f>
        <v/>
      </c>
      <c r="K478" s="50">
        <f>IFERROR(__xludf.DUMMYFUNCTION("IFERROR((((GOOGLEFINANCE(A478))-(INDEX(GoogleFinance(A478,""PRICE"",$AP$1),2,2)))/(INDEX(GoogleFinance(A478,""PRICE"",$AP$1),2,2))),"""")"),0.2238805970149255)</f>
        <v>0.223880597</v>
      </c>
      <c r="L478" s="51">
        <f t="shared" si="1"/>
        <v>-0.1276595745</v>
      </c>
      <c r="M478" s="52">
        <f>IFERROR((VLOOKUP($A478,'Dados StatusInvest'!$A:$AZ,COLUMN(M478)-$A$5,0)*VLOOKUP($A478,'Dados StatusInvest'!$A:$AZ,2,0)/$F478/100),0)</f>
        <v>0.1383439024</v>
      </c>
      <c r="N478" s="53">
        <f>IFERROR((VLOOKUP($A478,'Dados StatusInvest'!$A:$AZ,COLUMN(N478)-$A$5,0)/VLOOKUP($A478,'Dados StatusInvest'!$A:$AZ,2,0)*$F478),"")</f>
        <v>0.6268725869</v>
      </c>
      <c r="O478" s="53">
        <f>IFERROR((VLOOKUP($A478,'Dados StatusInvest'!$A:$AZ,COLUMN(O478)-$A$5,0)/VLOOKUP($A478,'Dados StatusInvest'!$A:$AZ,2,0)*$F478),0)</f>
        <v>3.59976834</v>
      </c>
      <c r="P478" s="54">
        <f>IFERROR((VLOOKUP($A478,'Dados StatusInvest'!$A:$AZ,COLUMN(P478)-$A$5,0)/VLOOKUP($A478,'Dados StatusInvest'!$A:$AZ,2,0)*$F478),0)</f>
        <v>8.158841699</v>
      </c>
      <c r="Q478" s="55">
        <f>IFERROR((VLOOKUP($A478,'Dados StatusInvest'!$A:$AZ,COLUMN(Q478)-$A$5,0)/100),0)</f>
        <v>0.0479</v>
      </c>
      <c r="R478" s="56">
        <f>VLOOKUP($A478,'Dados StatusInvest'!$A:$AZ,COLUMN(R478)-$A$5,0)</f>
        <v>0.7</v>
      </c>
      <c r="S478" s="56">
        <f>IFERROR((VLOOKUP($A478,'Dados StatusInvest'!$A:$AZ,COLUMN(S478)-$A$5,0)),0)</f>
        <v>0.5</v>
      </c>
      <c r="T478" s="53">
        <f>IFERROR((VLOOKUP($A478,'Dados StatusInvest'!$A:$AZ,COLUMN(T478)-$A$5,0)/VLOOKUP($A478,'Dados StatusInvest'!$A:$AZ,2,0)*$F478),0)</f>
        <v>-2.232046332</v>
      </c>
      <c r="U478" s="53">
        <f>IFERROR((VLOOKUP($A478,'Dados StatusInvest'!$A:$AZ,COLUMN(U478)-$A$5,0)-VLOOKUP($A478,'Dados StatusInvest'!$A:$AZ,COLUMN(U478)-$A$5-1,0)+T478),0)</f>
        <v>-0.172046332</v>
      </c>
      <c r="V478" s="56">
        <f>IFERROR((VLOOKUP($A478,'Dados StatusInvest'!$A:$AZ,COLUMN(V478)-$A$5,0)),0)</f>
        <v>0.81</v>
      </c>
      <c r="W478" s="56">
        <f>IFERROR((VLOOKUP($A478,'Dados StatusInvest'!$A:$AZ,COLUMN(W478)-$A$5,0)),0)</f>
        <v>0.74</v>
      </c>
      <c r="X478" s="53">
        <f>IFERROR((VLOOKUP($A478,'Dados StatusInvest'!$A:$AZ,COLUMN(X478)-$A$5,0)/VLOOKUP($A478,'Dados StatusInvest'!$A:$AZ,2,0)*$F478),0)</f>
        <v>0.2374517375</v>
      </c>
      <c r="Y478" s="54">
        <f>IFERROR((VLOOKUP($A478,'Dados StatusInvest'!$A:$AZ,COLUMN(Y478)-$A$5,0)/VLOOKUP($A478,'Dados StatusInvest'!$A:$AZ,2,0)*$F478),0)</f>
        <v>6.496679537</v>
      </c>
      <c r="Z478" s="56">
        <f>IFERROR((VLOOKUP($A478,'Dados StatusInvest'!$A:$AZ,COLUMN(Z478)-$A$5,0)),0)</f>
        <v>0.34</v>
      </c>
      <c r="AA478" s="57">
        <f>IFERROR((VLOOKUP($A478,'Dados StatusInvest'!$A:$AZ,COLUMN(AA478)-$A$5,0)),0)</f>
        <v>0.66</v>
      </c>
      <c r="AB478" s="57">
        <f>IFERROR((VLOOKUP($A478,'Dados StatusInvest'!$A:$AZ,COLUMN(AB478)-$A$5,0)),0)</f>
        <v>0.38</v>
      </c>
      <c r="AC478" s="58">
        <f>IFERROR((VLOOKUP($A478,'Dados StatusInvest'!$A:$AZ,COLUMN(AC478)-$A$5,0)),0)</f>
        <v>-4.63</v>
      </c>
      <c r="AD478" s="57">
        <f>IFERROR((VLOOKUP($A478,'Dados StatusInvest'!$A:$AZ,COLUMN(AD478)-$A$5,0)),0)</f>
        <v>-52.24</v>
      </c>
      <c r="AE478" s="56">
        <f>IFERROR((VLOOKUP($A478,'Dados StatusInvest'!$A:$AZ,COLUMN(AE478)-$A$5,0)),0)</f>
        <v>8377166</v>
      </c>
      <c r="AF478" s="56">
        <f>IFERROR((VLOOKUP($A478,'Dados StatusInvest'!$A:$AZ,COLUMN(AF478)-$A$5,0)),0)</f>
        <v>4.67</v>
      </c>
      <c r="AG478" s="56">
        <f>IFERROR((VLOOKUP($A478,'Dados StatusInvest'!$A:$AZ,COLUMN(AG478)-$A$5,0)),0)</f>
        <v>0.03</v>
      </c>
      <c r="AH478" s="56">
        <f>IFERROR((VLOOKUP($A478,'Dados StatusInvest'!$A:$AZ,COLUMN(AH478)-$A$5,0)),0)</f>
        <v>-0.67</v>
      </c>
      <c r="AI478" s="57">
        <f>IFERROR((VLOOKUP($A478,'Dados StatusInvest'!$A:$AZ,COLUMN(AI478)-$A$5,0)),0)</f>
        <v>735597101.8</v>
      </c>
      <c r="AJ478" s="59" t="str">
        <f>IFERROR((VLOOKUP($A478,'Dados StatusInvest'!$A:$AZ,COLUMN(AJ478)-$A$5,0)),0)</f>
        <v/>
      </c>
      <c r="AK478" s="60">
        <f>IFERROR(__xludf.DUMMYFUNCTION("IFERROR(GOOGLEFINANCE($A478,""high""),"""")"),2.58)</f>
        <v>2.58</v>
      </c>
      <c r="AL478" s="60">
        <f>IFERROR(__xludf.DUMMYFUNCTION("IFERROR(GOOGLEFINANCE($A478,""low""),"""")"),2.45)</f>
        <v>2.45</v>
      </c>
      <c r="AM478" s="61">
        <f t="shared" si="2"/>
        <v>0.05306122449</v>
      </c>
      <c r="AN478" s="62">
        <f>IFERROR(__xludf.DUMMYFUNCTION("IFERROR((GOOGLEFINANCE($A478,""volume"")),0)"),569200.0)</f>
        <v>569200</v>
      </c>
      <c r="AO478" s="60">
        <f>IFERROR(__xludf.DUMMYFUNCTION("IFERROR((GOOGLEFINANCE($A478,""closeyest"")),"""")"),2.59)</f>
        <v>2.59</v>
      </c>
      <c r="AP478" s="60">
        <f>IFERROR(__xludf.DUMMYFUNCTION("IFERROR((GOOGLEFINANCE($A478,""shares"")),"""")"),2.84014325E8)</f>
        <v>284014325</v>
      </c>
      <c r="AQ478" s="18"/>
    </row>
    <row r="479">
      <c r="A479" s="45" t="str">
        <f>'Dados StatusInvest'!A474:A1093</f>
        <v>QUSW3</v>
      </c>
      <c r="B479" s="46" t="str">
        <f>IFERROR(__xludf.DUMMYFUNCTION("IFERROR((GOOGLEFINANCE(A479,""name"")),"""")"),"Quality Software SA")</f>
        <v>Quality Software SA</v>
      </c>
      <c r="C479" s="46" t="str">
        <f>IFERROR((VLOOKUP(LEFT($A479,4),Setor!$A:$E,3,0)),"")</f>
        <v>Tecnologia da Informação</v>
      </c>
      <c r="D479" s="46" t="str">
        <f>IFERROR((VLOOKUP(LEFT($A479,4),Setor!$A:$E,4,0)),"")</f>
        <v>Programas e Serviços</v>
      </c>
      <c r="E479" s="46" t="str">
        <f>IFERROR((VLOOKUP(LEFT($A479,4),Setor!$A:$E,5,0)),"")</f>
        <v>Programas e Serviços</v>
      </c>
      <c r="F479" s="47">
        <f>IFERROR(__xludf.DUMMYFUNCTION("IFERROR((GOOGLEFINANCE(A479)),"""")"),0.0)</f>
        <v>0</v>
      </c>
      <c r="G479" s="48" t="str">
        <f>IFERROR(__xludf.DUMMYFUNCTION("IFERROR((sparkline(GOOGLEFINANCE($A479,""price"",TODAY()-30,TODAY(),""DAILY""),{""charttype"",""line"";""linewidth"",1;""color"",""#5f88cc""})),"""")"),"")</f>
        <v/>
      </c>
      <c r="H479" s="49" t="str">
        <f>IFERROR(__xludf.DUMMYFUNCTION("IFERROR((((GOOGLEFINANCE(A479))-(INDEX(GoogleFinance(A479,""PRICE"",$AQ$1),2,2)))/(INDEX(GoogleFinance(A479,""PRICE"",$AQ$1),2,2))),"""")"),"")</f>
        <v/>
      </c>
      <c r="I479" s="47" t="str">
        <f>IFERROR(__xludf.DUMMYFUNCTION("IFERROR((GOOGLEFINANCE($A479,""high52"")),"""")"),"")</f>
        <v/>
      </c>
      <c r="J479" s="48" t="str">
        <f>IFERROR(__xludf.DUMMYFUNCTION("IFERROR((sparkline(GOOGLEFINANCE($A479,""price"",TODAY()-365,TODAY(),""DAILY""),{""charttype"",""line"";""linewidth"",1;""color"",""#5f88cc""})),"""")"),"")</f>
        <v/>
      </c>
      <c r="K479" s="50" t="str">
        <f>IFERROR(__xludf.DUMMYFUNCTION("IFERROR((((GOOGLEFINANCE(A479))-(INDEX(GoogleFinance(A479,""PRICE"",$AP$1),2,2)))/(INDEX(GoogleFinance(A479,""PRICE"",$AP$1),2,2))),"""")"),"")</f>
        <v/>
      </c>
      <c r="L479" s="51">
        <f t="shared" si="1"/>
        <v>0</v>
      </c>
      <c r="M479" s="52">
        <f>IFERROR((VLOOKUP($A479,'Dados StatusInvest'!$A:$AZ,COLUMN(M479)-$A$5,0)*VLOOKUP($A479,'Dados StatusInvest'!$A:$AZ,2,0)/$F479/100),0)</f>
        <v>0</v>
      </c>
      <c r="N479" s="53" t="str">
        <f>IFERROR((VLOOKUP($A479,'Dados StatusInvest'!$A:$AZ,COLUMN(N479)-$A$5,0)/VLOOKUP($A479,'Dados StatusInvest'!$A:$AZ,2,0)*$F479),"")</f>
        <v/>
      </c>
      <c r="O479" s="53">
        <f>IFERROR((VLOOKUP($A479,'Dados StatusInvest'!$A:$AZ,COLUMN(O479)-$A$5,0)/VLOOKUP($A479,'Dados StatusInvest'!$A:$AZ,2,0)*$F479),0)</f>
        <v>0</v>
      </c>
      <c r="P479" s="54">
        <f>IFERROR((VLOOKUP($A479,'Dados StatusInvest'!$A:$AZ,COLUMN(P479)-$A$5,0)/VLOOKUP($A479,'Dados StatusInvest'!$A:$AZ,2,0)*$F479),0)</f>
        <v>0</v>
      </c>
      <c r="Q479" s="55">
        <f>IFERROR((VLOOKUP($A479,'Dados StatusInvest'!$A:$AZ,COLUMN(Q479)-$A$5,0)/100),0)</f>
        <v>0.0116</v>
      </c>
      <c r="R479" s="56">
        <f>VLOOKUP($A479,'Dados StatusInvest'!$A:$AZ,COLUMN(R479)-$A$5,0)</f>
        <v>0.38</v>
      </c>
      <c r="S479" s="56">
        <f>IFERROR((VLOOKUP($A479,'Dados StatusInvest'!$A:$AZ,COLUMN(S479)-$A$5,0)),0)</f>
        <v>0</v>
      </c>
      <c r="T479" s="53">
        <f>IFERROR((VLOOKUP($A479,'Dados StatusInvest'!$A:$AZ,COLUMN(T479)-$A$5,0)/VLOOKUP($A479,'Dados StatusInvest'!$A:$AZ,2,0)*$F479),0)</f>
        <v>0</v>
      </c>
      <c r="U479" s="53">
        <f>IFERROR((VLOOKUP($A479,'Dados StatusInvest'!$A:$AZ,COLUMN(U479)-$A$5,0)-VLOOKUP($A479,'Dados StatusInvest'!$A:$AZ,COLUMN(U479)-$A$5-1,0)+T479),0)</f>
        <v>0</v>
      </c>
      <c r="V479" s="56">
        <f>IFERROR((VLOOKUP($A479,'Dados StatusInvest'!$A:$AZ,COLUMN(V479)-$A$5,0)),0)</f>
        <v>1.09</v>
      </c>
      <c r="W479" s="56">
        <f>IFERROR((VLOOKUP($A479,'Dados StatusInvest'!$A:$AZ,COLUMN(W479)-$A$5,0)),0)</f>
        <v>23.38</v>
      </c>
      <c r="X479" s="53">
        <f>IFERROR((VLOOKUP($A479,'Dados StatusInvest'!$A:$AZ,COLUMN(X479)-$A$5,0)/VLOOKUP($A479,'Dados StatusInvest'!$A:$AZ,2,0)*$F479),0)</f>
        <v>0</v>
      </c>
      <c r="Y479" s="54">
        <f>IFERROR((VLOOKUP($A479,'Dados StatusInvest'!$A:$AZ,COLUMN(Y479)-$A$5,0)/VLOOKUP($A479,'Dados StatusInvest'!$A:$AZ,2,0)*$F479),0)</f>
        <v>0</v>
      </c>
      <c r="Z479" s="56">
        <f>IFERROR((VLOOKUP($A479,'Dados StatusInvest'!$A:$AZ,COLUMN(Z479)-$A$5,0)),0)</f>
        <v>0.41</v>
      </c>
      <c r="AA479" s="57">
        <f>IFERROR((VLOOKUP($A479,'Dados StatusInvest'!$A:$AZ,COLUMN(AA479)-$A$5,0)),0)</f>
        <v>0.59</v>
      </c>
      <c r="AB479" s="57">
        <f>IFERROR((VLOOKUP($A479,'Dados StatusInvest'!$A:$AZ,COLUMN(AB479)-$A$5,0)),0)</f>
        <v>0.28</v>
      </c>
      <c r="AC479" s="58">
        <f>IFERROR((VLOOKUP($A479,'Dados StatusInvest'!$A:$AZ,COLUMN(AC479)-$A$5,0)),0)</f>
        <v>-12.03</v>
      </c>
      <c r="AD479" s="57">
        <f>IFERROR((VLOOKUP($A479,'Dados StatusInvest'!$A:$AZ,COLUMN(AD479)-$A$5,0)),0)</f>
        <v>66.13</v>
      </c>
      <c r="AE479" s="56">
        <f>IFERROR((VLOOKUP($A479,'Dados StatusInvest'!$A:$AZ,COLUMN(AE479)-$A$5,0)),0)</f>
        <v>0</v>
      </c>
      <c r="AF479" s="56">
        <f>IFERROR((VLOOKUP($A479,'Dados StatusInvest'!$A:$AZ,COLUMN(AF479)-$A$5,0)),0)</f>
        <v>138.25</v>
      </c>
      <c r="AG479" s="56">
        <f>IFERROR((VLOOKUP($A479,'Dados StatusInvest'!$A:$AZ,COLUMN(AG479)-$A$5,0)),0)</f>
        <v>32.33</v>
      </c>
      <c r="AH479" s="56">
        <f>IFERROR((VLOOKUP($A479,'Dados StatusInvest'!$A:$AZ,COLUMN(AH479)-$A$5,0)),0)</f>
        <v>0</v>
      </c>
      <c r="AI479" s="57">
        <f>IFERROR((VLOOKUP($A479,'Dados StatusInvest'!$A:$AZ,COLUMN(AI479)-$A$5,0)),0)</f>
        <v>0</v>
      </c>
      <c r="AJ479" s="59" t="str">
        <f>IFERROR((VLOOKUP($A479,'Dados StatusInvest'!$A:$AZ,COLUMN(AJ479)-$A$5,0)),0)</f>
        <v/>
      </c>
      <c r="AK479" s="60" t="str">
        <f>IFERROR(__xludf.DUMMYFUNCTION("IFERROR(GOOGLEFINANCE($A479,""high""),"""")"),"")</f>
        <v/>
      </c>
      <c r="AL479" s="60" t="str">
        <f>IFERROR(__xludf.DUMMYFUNCTION("IFERROR(GOOGLEFINANCE($A479,""low""),"""")"),"")</f>
        <v/>
      </c>
      <c r="AM479" s="61">
        <f t="shared" si="2"/>
        <v>0</v>
      </c>
      <c r="AN479" s="62">
        <f>IFERROR(__xludf.DUMMYFUNCTION("IFERROR((GOOGLEFINANCE($A479,""volume"")),0)"),0.0)</f>
        <v>0</v>
      </c>
      <c r="AO479" s="60" t="str">
        <f>IFERROR(__xludf.DUMMYFUNCTION("IFERROR((GOOGLEFINANCE($A479,""closeyest"")),"""")"),"")</f>
        <v/>
      </c>
      <c r="AP479" s="60">
        <f>IFERROR(__xludf.DUMMYFUNCTION("IFERROR((GOOGLEFINANCE($A479,""shares"")),"""")"),861605.0)</f>
        <v>861605</v>
      </c>
      <c r="AQ479" s="18"/>
    </row>
    <row r="480">
      <c r="A480" s="45" t="str">
        <f>'Dados StatusInvest'!A475:A1094</f>
        <v>QVQP3B</v>
      </c>
      <c r="B480" s="46" t="str">
        <f>IFERROR(__xludf.DUMMYFUNCTION("IFERROR((GOOGLEFINANCE(A480,""name"")),"""")"),"")</f>
        <v/>
      </c>
      <c r="C480" s="46" t="str">
        <f>IFERROR((VLOOKUP(LEFT($A480,4),Setor!$A:$E,3,0)),"")</f>
        <v>Outros</v>
      </c>
      <c r="D480" s="46" t="str">
        <f>IFERROR((VLOOKUP(LEFT($A480,4),Setor!$A:$E,4,0)),"")</f>
        <v>Outros</v>
      </c>
      <c r="E480" s="46" t="str">
        <f>IFERROR((VLOOKUP(LEFT($A480,4),Setor!$A:$E,5,0)),"")</f>
        <v>Outros</v>
      </c>
      <c r="F480" s="47" t="str">
        <f>IFERROR(__xludf.DUMMYFUNCTION("IFERROR((GOOGLEFINANCE(A480)),"""")"),"")</f>
        <v/>
      </c>
      <c r="G480" s="48" t="str">
        <f>IFERROR(__xludf.DUMMYFUNCTION("IFERROR((sparkline(GOOGLEFINANCE($A480,""price"",TODAY()-30,TODAY(),""DAILY""),{""charttype"",""line"";""linewidth"",1;""color"",""#5f88cc""})),"""")"),"")</f>
        <v/>
      </c>
      <c r="H480" s="49" t="str">
        <f>IFERROR(__xludf.DUMMYFUNCTION("IFERROR((((GOOGLEFINANCE(A480))-(INDEX(GoogleFinance(A480,""PRICE"",$AQ$1),2,2)))/(INDEX(GoogleFinance(A480,""PRICE"",$AQ$1),2,2))),"""")"),"")</f>
        <v/>
      </c>
      <c r="I480" s="47" t="str">
        <f>IFERROR(__xludf.DUMMYFUNCTION("IFERROR((GOOGLEFINANCE($A480,""high52"")),"""")"),"")</f>
        <v/>
      </c>
      <c r="J480" s="48" t="str">
        <f>IFERROR(__xludf.DUMMYFUNCTION("IFERROR((sparkline(GOOGLEFINANCE($A480,""price"",TODAY()-365,TODAY(),""DAILY""),{""charttype"",""line"";""linewidth"",1;""color"",""#5f88cc""})),"""")"),"")</f>
        <v/>
      </c>
      <c r="K480" s="50" t="str">
        <f>IFERROR(__xludf.DUMMYFUNCTION("IFERROR((((GOOGLEFINANCE(A480))-(INDEX(GoogleFinance(A480,""PRICE"",$AP$1),2,2)))/(INDEX(GoogleFinance(A480,""PRICE"",$AP$1),2,2))),"""")"),"")</f>
        <v/>
      </c>
      <c r="L480" s="51">
        <f t="shared" si="1"/>
        <v>0</v>
      </c>
      <c r="M480" s="52">
        <f>IFERROR((VLOOKUP($A480,'Dados StatusInvest'!$A:$AZ,COLUMN(M480)-$A$5,0)*VLOOKUP($A480,'Dados StatusInvest'!$A:$AZ,2,0)/$F480/100),0)</f>
        <v>0</v>
      </c>
      <c r="N480" s="53">
        <f>IFERROR((VLOOKUP($A480,'Dados StatusInvest'!$A:$AZ,COLUMN(N480)-$A$5,0)/VLOOKUP($A480,'Dados StatusInvest'!$A:$AZ,2,0)*$F480),"")</f>
        <v>0</v>
      </c>
      <c r="O480" s="53">
        <f>IFERROR((VLOOKUP($A480,'Dados StatusInvest'!$A:$AZ,COLUMN(O480)-$A$5,0)/VLOOKUP($A480,'Dados StatusInvest'!$A:$AZ,2,0)*$F480),0)</f>
        <v>0</v>
      </c>
      <c r="P480" s="54">
        <f>IFERROR((VLOOKUP($A480,'Dados StatusInvest'!$A:$AZ,COLUMN(P480)-$A$5,0)/VLOOKUP($A480,'Dados StatusInvest'!$A:$AZ,2,0)*$F480),0)</f>
        <v>0</v>
      </c>
      <c r="Q480" s="55">
        <f>IFERROR((VLOOKUP($A480,'Dados StatusInvest'!$A:$AZ,COLUMN(Q480)-$A$5,0)/100),0)</f>
        <v>0.0056</v>
      </c>
      <c r="R480" s="56">
        <f>VLOOKUP($A480,'Dados StatusInvest'!$A:$AZ,COLUMN(R480)-$A$5,0)</f>
        <v>-0.94</v>
      </c>
      <c r="S480" s="56">
        <f>IFERROR((VLOOKUP($A480,'Dados StatusInvest'!$A:$AZ,COLUMN(S480)-$A$5,0)),0)</f>
        <v>0</v>
      </c>
      <c r="T480" s="53">
        <f>IFERROR((VLOOKUP($A480,'Dados StatusInvest'!$A:$AZ,COLUMN(T480)-$A$5,0)/VLOOKUP($A480,'Dados StatusInvest'!$A:$AZ,2,0)*$F480),0)</f>
        <v>0</v>
      </c>
      <c r="U480" s="53">
        <f>IFERROR((VLOOKUP($A480,'Dados StatusInvest'!$A:$AZ,COLUMN(U480)-$A$5,0)-VLOOKUP($A480,'Dados StatusInvest'!$A:$AZ,COLUMN(U480)-$A$5-1,0)+T480),0)</f>
        <v>-100388.5</v>
      </c>
      <c r="V480" s="56">
        <f>IFERROR((VLOOKUP($A480,'Dados StatusInvest'!$A:$AZ,COLUMN(V480)-$A$5,0)),0)</f>
        <v>0</v>
      </c>
      <c r="W480" s="56">
        <f>IFERROR((VLOOKUP($A480,'Dados StatusInvest'!$A:$AZ,COLUMN(W480)-$A$5,0)),0)</f>
        <v>-157.14</v>
      </c>
      <c r="X480" s="53">
        <f>IFERROR((VLOOKUP($A480,'Dados StatusInvest'!$A:$AZ,COLUMN(X480)-$A$5,0)/VLOOKUP($A480,'Dados StatusInvest'!$A:$AZ,2,0)*$F480),0)</f>
        <v>0</v>
      </c>
      <c r="Y480" s="54">
        <f>IFERROR((VLOOKUP($A480,'Dados StatusInvest'!$A:$AZ,COLUMN(Y480)-$A$5,0)/VLOOKUP($A480,'Dados StatusInvest'!$A:$AZ,2,0)*$F480),0)</f>
        <v>0</v>
      </c>
      <c r="Z480" s="56">
        <f>IFERROR((VLOOKUP($A480,'Dados StatusInvest'!$A:$AZ,COLUMN(Z480)-$A$5,0)),0)</f>
        <v>1</v>
      </c>
      <c r="AA480" s="57">
        <f>IFERROR((VLOOKUP($A480,'Dados StatusInvest'!$A:$AZ,COLUMN(AA480)-$A$5,0)),0)</f>
        <v>0</v>
      </c>
      <c r="AB480" s="57">
        <f>IFERROR((VLOOKUP($A480,'Dados StatusInvest'!$A:$AZ,COLUMN(AB480)-$A$5,0)),0)</f>
        <v>0</v>
      </c>
      <c r="AC480" s="58">
        <f>IFERROR((VLOOKUP($A480,'Dados StatusInvest'!$A:$AZ,COLUMN(AC480)-$A$5,0)),0)</f>
        <v>0</v>
      </c>
      <c r="AD480" s="57">
        <f>IFERROR((VLOOKUP($A480,'Dados StatusInvest'!$A:$AZ,COLUMN(AD480)-$A$5,0)),0)</f>
        <v>0</v>
      </c>
      <c r="AE480" s="56">
        <f>IFERROR((VLOOKUP($A480,'Dados StatusInvest'!$A:$AZ,COLUMN(AE480)-$A$5,0)),0)</f>
        <v>0</v>
      </c>
      <c r="AF480" s="56">
        <f>IFERROR((VLOOKUP($A480,'Dados StatusInvest'!$A:$AZ,COLUMN(AF480)-$A$5,0)),0)</f>
        <v>0</v>
      </c>
      <c r="AG480" s="56">
        <f>IFERROR((VLOOKUP($A480,'Dados StatusInvest'!$A:$AZ,COLUMN(AG480)-$A$5,0)),0)</f>
        <v>0</v>
      </c>
      <c r="AH480" s="56">
        <f>IFERROR((VLOOKUP($A480,'Dados StatusInvest'!$A:$AZ,COLUMN(AH480)-$A$5,0)),0)</f>
        <v>-20442.7</v>
      </c>
      <c r="AI480" s="57">
        <f>IFERROR((VLOOKUP($A480,'Dados StatusInvest'!$A:$AZ,COLUMN(AI480)-$A$5,0)),0)</f>
        <v>8432630321</v>
      </c>
      <c r="AJ480" s="59" t="str">
        <f>IFERROR((VLOOKUP($A480,'Dados StatusInvest'!$A:$AZ,COLUMN(AJ480)-$A$5,0)),0)</f>
        <v/>
      </c>
      <c r="AK480" s="60" t="str">
        <f>IFERROR(__xludf.DUMMYFUNCTION("IFERROR(GOOGLEFINANCE($A480,""high""),"""")"),"")</f>
        <v/>
      </c>
      <c r="AL480" s="60" t="str">
        <f>IFERROR(__xludf.DUMMYFUNCTION("IFERROR(GOOGLEFINANCE($A480,""low""),"""")"),"")</f>
        <v/>
      </c>
      <c r="AM480" s="61">
        <f t="shared" si="2"/>
        <v>0</v>
      </c>
      <c r="AN480" s="62">
        <f>IFERROR(__xludf.DUMMYFUNCTION("IFERROR((GOOGLEFINANCE($A480,""volume"")),0)"),0.0)</f>
        <v>0</v>
      </c>
      <c r="AO480" s="60" t="str">
        <f>IFERROR(__xludf.DUMMYFUNCTION("IFERROR((GOOGLEFINANCE($A480,""closeyest"")),"""")"),"")</f>
        <v/>
      </c>
      <c r="AP480" s="60" t="str">
        <f>IFERROR(__xludf.DUMMYFUNCTION("IFERROR((GOOGLEFINANCE($A480,""shares"")),"""")"),"")</f>
        <v/>
      </c>
      <c r="AQ480" s="18"/>
    </row>
    <row r="481">
      <c r="A481" s="45" t="str">
        <f>'Dados StatusInvest'!A476:A1095</f>
        <v>RADL3</v>
      </c>
      <c r="B481" s="46" t="str">
        <f>IFERROR(__xludf.DUMMYFUNCTION("IFERROR((GOOGLEFINANCE(A481,""name"")),"""")"),"Raia Drogasil S/A")</f>
        <v>Raia Drogasil S/A</v>
      </c>
      <c r="C481" s="46" t="str">
        <f>IFERROR((VLOOKUP(LEFT($A481,4),Setor!$A:$E,3,0)),"")</f>
        <v>Saúde</v>
      </c>
      <c r="D481" s="46" t="str">
        <f>IFERROR((VLOOKUP(LEFT($A481,4),Setor!$A:$E,4,0)),"")</f>
        <v>Comércio e Distribuição</v>
      </c>
      <c r="E481" s="46" t="str">
        <f>IFERROR((VLOOKUP(LEFT($A481,4),Setor!$A:$E,5,0)),"")</f>
        <v>Medicamentos e Outros Produtos</v>
      </c>
      <c r="F481" s="47">
        <f>IFERROR(__xludf.DUMMYFUNCTION("IFERROR((GOOGLEFINANCE(A481)),"""")"),25.99)</f>
        <v>25.99</v>
      </c>
      <c r="G481" s="48" t="str">
        <f>IFERROR(__xludf.DUMMYFUNCTION("IFERROR((sparkline(GOOGLEFINANCE($A481,""price"",TODAY()-30,TODAY(),""DAILY""),{""charttype"",""line"";""linewidth"",1;""color"",""#5f88cc""})),"""")"),"")</f>
        <v/>
      </c>
      <c r="H481" s="49">
        <f>IFERROR(__xludf.DUMMYFUNCTION("IFERROR((((GOOGLEFINANCE(A481))-(INDEX(GoogleFinance(A481,""PRICE"",$AQ$1),2,2)))/(INDEX(GoogleFinance(A481,""PRICE"",$AQ$1),2,2))),"""")"),0.01365054602184079)</f>
        <v>0.01365054602</v>
      </c>
      <c r="I481" s="47">
        <f>IFERROR(__xludf.DUMMYFUNCTION("IFERROR((GOOGLEFINANCE($A481,""high52"")),"""")"),27.42)</f>
        <v>27.42</v>
      </c>
      <c r="J481" s="48" t="str">
        <f>IFERROR(__xludf.DUMMYFUNCTION("IFERROR((sparkline(GOOGLEFINANCE($A481,""price"",TODAY()-365,TODAY(),""DAILY""),{""charttype"",""line"";""linewidth"",1;""color"",""#5f88cc""})),"""")"),"")</f>
        <v/>
      </c>
      <c r="K481" s="50">
        <f>IFERROR(__xludf.DUMMYFUNCTION("IFERROR((((GOOGLEFINANCE(A481))-(INDEX(GoogleFinance(A481,""PRICE"",$AP$1),2,2)))/(INDEX(GoogleFinance(A481,""PRICE"",$AP$1),2,2))),"""")"),0.3693361433087459)</f>
        <v>0.3693361433</v>
      </c>
      <c r="L481" s="51">
        <f t="shared" si="1"/>
        <v>-0.05215171408</v>
      </c>
      <c r="M481" s="52">
        <f>IFERROR((VLOOKUP($A481,'Dados StatusInvest'!$A:$AZ,COLUMN(M481)-$A$5,0)*VLOOKUP($A481,'Dados StatusInvest'!$A:$AZ,2,0)/$F481/100),0)</f>
        <v>0.0610712197</v>
      </c>
      <c r="N481" s="53">
        <f>IFERROR((VLOOKUP($A481,'Dados StatusInvest'!$A:$AZ,COLUMN(N481)-$A$5,0)/VLOOKUP($A481,'Dados StatusInvest'!$A:$AZ,2,0)*$F481),"")</f>
        <v>3.129428247</v>
      </c>
      <c r="O481" s="53">
        <f>IFERROR((VLOOKUP($A481,'Dados StatusInvest'!$A:$AZ,COLUMN(O481)-$A$5,0)/VLOOKUP($A481,'Dados StatusInvest'!$A:$AZ,2,0)*$F481),0)</f>
        <v>17.93024612</v>
      </c>
      <c r="P481" s="54">
        <f>IFERROR((VLOOKUP($A481,'Dados StatusInvest'!$A:$AZ,COLUMN(P481)-$A$5,0)/VLOOKUP($A481,'Dados StatusInvest'!$A:$AZ,2,0)*$F481),0)</f>
        <v>18.99307081</v>
      </c>
      <c r="Q481" s="55">
        <f>IFERROR((VLOOKUP($A481,'Dados StatusInvest'!$A:$AZ,COLUMN(Q481)-$A$5,0)/100),0)</f>
        <v>0.0108</v>
      </c>
      <c r="R481" s="56">
        <f>VLOOKUP($A481,'Dados StatusInvest'!$A:$AZ,COLUMN(R481)-$A$5,0)</f>
        <v>0.39</v>
      </c>
      <c r="S481" s="56">
        <f>IFERROR((VLOOKUP($A481,'Dados StatusInvest'!$A:$AZ,COLUMN(S481)-$A$5,0)),0)</f>
        <v>1.1</v>
      </c>
      <c r="T481" s="53">
        <f>IFERROR((VLOOKUP($A481,'Dados StatusInvest'!$A:$AZ,COLUMN(T481)-$A$5,0)/VLOOKUP($A481,'Dados StatusInvest'!$A:$AZ,2,0)*$F481),0)</f>
        <v>11.73043544</v>
      </c>
      <c r="U481" s="53">
        <f>IFERROR((VLOOKUP($A481,'Dados StatusInvest'!$A:$AZ,COLUMN(U481)-$A$5,0)-VLOOKUP($A481,'Dados StatusInvest'!$A:$AZ,COLUMN(U481)-$A$5-1,0)+T481),0)</f>
        <v>-4.779564559</v>
      </c>
      <c r="V481" s="56">
        <f>IFERROR((VLOOKUP($A481,'Dados StatusInvest'!$A:$AZ,COLUMN(V481)-$A$5,0)),0)</f>
        <v>1.39</v>
      </c>
      <c r="W481" s="56">
        <f>IFERROR((VLOOKUP($A481,'Dados StatusInvest'!$A:$AZ,COLUMN(W481)-$A$5,0)),0)</f>
        <v>19.19</v>
      </c>
      <c r="X481" s="53">
        <f>IFERROR((VLOOKUP($A481,'Dados StatusInvest'!$A:$AZ,COLUMN(X481)-$A$5,0)/VLOOKUP($A481,'Dados StatusInvest'!$A:$AZ,2,0)*$F481),0)</f>
        <v>5.540465733</v>
      </c>
      <c r="Y481" s="54">
        <f>IFERROR((VLOOKUP($A481,'Dados StatusInvest'!$A:$AZ,COLUMN(Y481)-$A$5,0)/VLOOKUP($A481,'Dados StatusInvest'!$A:$AZ,2,0)*$F481),0)</f>
        <v>22.20122681</v>
      </c>
      <c r="Z481" s="56">
        <f>IFERROR((VLOOKUP($A481,'Dados StatusInvest'!$A:$AZ,COLUMN(Z481)-$A$5,0)),0)</f>
        <v>0.29</v>
      </c>
      <c r="AA481" s="57">
        <f>IFERROR((VLOOKUP($A481,'Dados StatusInvest'!$A:$AZ,COLUMN(AA481)-$A$5,0)),0)</f>
        <v>0.71</v>
      </c>
      <c r="AB481" s="57">
        <f>IFERROR((VLOOKUP($A481,'Dados StatusInvest'!$A:$AZ,COLUMN(AB481)-$A$5,0)),0)</f>
        <v>1.77</v>
      </c>
      <c r="AC481" s="58">
        <f>IFERROR((VLOOKUP($A481,'Dados StatusInvest'!$A:$AZ,COLUMN(AC481)-$A$5,0)),0)</f>
        <v>17.22</v>
      </c>
      <c r="AD481" s="57">
        <f>IFERROR((VLOOKUP($A481,'Dados StatusInvest'!$A:$AZ,COLUMN(AD481)-$A$5,0)),0)</f>
        <v>11.69</v>
      </c>
      <c r="AE481" s="56">
        <f>IFERROR((VLOOKUP($A481,'Dados StatusInvest'!$A:$AZ,COLUMN(AE481)-$A$5,0)),0)</f>
        <v>276000000</v>
      </c>
      <c r="AF481" s="56">
        <f>IFERROR((VLOOKUP($A481,'Dados StatusInvest'!$A:$AZ,COLUMN(AF481)-$A$5,0)),0)</f>
        <v>3.99</v>
      </c>
      <c r="AG481" s="56">
        <f>IFERROR((VLOOKUP($A481,'Dados StatusInvest'!$A:$AZ,COLUMN(AG481)-$A$5,0)),0)</f>
        <v>0.77</v>
      </c>
      <c r="AH481" s="56">
        <f>IFERROR((VLOOKUP($A481,'Dados StatusInvest'!$A:$AZ,COLUMN(AH481)-$A$5,0)),0)</f>
        <v>1.65</v>
      </c>
      <c r="AI481" s="57">
        <f>IFERROR((VLOOKUP($A481,'Dados StatusInvest'!$A:$AZ,COLUMN(AI481)-$A$5,0)),0)</f>
        <v>46280021555</v>
      </c>
      <c r="AJ481" s="59" t="str">
        <f>IFERROR((VLOOKUP($A481,'Dados StatusInvest'!$A:$AZ,COLUMN(AJ481)-$A$5,0)),0)</f>
        <v/>
      </c>
      <c r="AK481" s="60">
        <f>IFERROR(__xludf.DUMMYFUNCTION("IFERROR(GOOGLEFINANCE($A481,""high""),"""")"),26.14)</f>
        <v>26.14</v>
      </c>
      <c r="AL481" s="60">
        <f>IFERROR(__xludf.DUMMYFUNCTION("IFERROR(GOOGLEFINANCE($A481,""low""),"""")"),25.86)</f>
        <v>25.86</v>
      </c>
      <c r="AM481" s="61">
        <f t="shared" si="2"/>
        <v>0.01082753287</v>
      </c>
      <c r="AN481" s="62">
        <f>IFERROR(__xludf.DUMMYFUNCTION("IFERROR((GOOGLEFINANCE($A481,""volume"")),0)"),272300.0)</f>
        <v>272300</v>
      </c>
      <c r="AO481" s="60">
        <f>IFERROR(__xludf.DUMMYFUNCTION("IFERROR((GOOGLEFINANCE($A481,""closeyest"")),"""")"),26.41)</f>
        <v>26.41</v>
      </c>
      <c r="AP481" s="60">
        <f>IFERROR(__xludf.DUMMYFUNCTION("IFERROR((GOOGLEFINANCE($A481,""shares"")),"""")"),1.752367344E9)</f>
        <v>1752367344</v>
      </c>
      <c r="AQ481" s="18"/>
    </row>
    <row r="482">
      <c r="A482" s="45" t="str">
        <f>'Dados StatusInvest'!A477:A1096</f>
        <v>RAIL3</v>
      </c>
      <c r="B482" s="46" t="str">
        <f>IFERROR(__xludf.DUMMYFUNCTION("IFERROR((GOOGLEFINANCE(A482,""name"")),"""")"),"Rumo SA")</f>
        <v>Rumo SA</v>
      </c>
      <c r="C482" s="46" t="str">
        <f>IFERROR((VLOOKUP(LEFT($A482,4),Setor!$A:$E,3,0)),"")</f>
        <v>Bens Industriais</v>
      </c>
      <c r="D482" s="46" t="str">
        <f>IFERROR((VLOOKUP(LEFT($A482,4),Setor!$A:$E,4,0)),"")</f>
        <v>Transporte</v>
      </c>
      <c r="E482" s="46" t="str">
        <f>IFERROR((VLOOKUP(LEFT($A482,4),Setor!$A:$E,5,0)),"")</f>
        <v>Transporte Ferroviário</v>
      </c>
      <c r="F482" s="47">
        <f>IFERROR(__xludf.DUMMYFUNCTION("IFERROR((GOOGLEFINANCE(A482)),"""")"),16.36)</f>
        <v>16.36</v>
      </c>
      <c r="G482" s="48" t="str">
        <f>IFERROR(__xludf.DUMMYFUNCTION("IFERROR((sparkline(GOOGLEFINANCE($A482,""price"",TODAY()-30,TODAY(),""DAILY""),{""charttype"",""line"";""linewidth"",1;""color"",""#5f88cc""})),"""")"),"")</f>
        <v/>
      </c>
      <c r="H482" s="49">
        <f>IFERROR(__xludf.DUMMYFUNCTION("IFERROR((((GOOGLEFINANCE(A482))-(INDEX(GoogleFinance(A482,""PRICE"",$AQ$1),2,2)))/(INDEX(GoogleFinance(A482,""PRICE"",$AQ$1),2,2))),"""")"),0.16441281138790026)</f>
        <v>0.1644128114</v>
      </c>
      <c r="I482" s="47">
        <f>IFERROR(__xludf.DUMMYFUNCTION("IFERROR((GOOGLEFINANCE($A482,""high52"")),"""")"),19.68)</f>
        <v>19.68</v>
      </c>
      <c r="J482" s="48" t="str">
        <f>IFERROR(__xludf.DUMMYFUNCTION("IFERROR((sparkline(GOOGLEFINANCE($A482,""price"",TODAY()-365,TODAY(),""DAILY""),{""charttype"",""line"";""linewidth"",1;""color"",""#5f88cc""})),"""")"),"")</f>
        <v/>
      </c>
      <c r="K482" s="50">
        <f>IFERROR(__xludf.DUMMYFUNCTION("IFERROR((((GOOGLEFINANCE(A482))-(INDEX(GoogleFinance(A482,""PRICE"",$AP$1),2,2)))/(INDEX(GoogleFinance(A482,""PRICE"",$AP$1),2,2))),"""")"),-0.11519740400216329)</f>
        <v>-0.115197404</v>
      </c>
      <c r="L482" s="51">
        <f t="shared" si="1"/>
        <v>-0.168699187</v>
      </c>
      <c r="M482" s="52">
        <f>IFERROR((VLOOKUP($A482,'Dados StatusInvest'!$A:$AZ,COLUMN(M482)-$A$5,0)*VLOOKUP($A482,'Dados StatusInvest'!$A:$AZ,2,0)/$F482/100),0)</f>
        <v>0.3004437653</v>
      </c>
      <c r="N482" s="53">
        <f>IFERROR((VLOOKUP($A482,'Dados StatusInvest'!$A:$AZ,COLUMN(N482)-$A$5,0)/VLOOKUP($A482,'Dados StatusInvest'!$A:$AZ,2,0)*$F482),"")</f>
        <v>2.665337386</v>
      </c>
      <c r="O482" s="53">
        <f>IFERROR((VLOOKUP($A482,'Dados StatusInvest'!$A:$AZ,COLUMN(O482)-$A$5,0)/VLOOKUP($A482,'Dados StatusInvest'!$A:$AZ,2,0)*$F482),0)</f>
        <v>7.289896657</v>
      </c>
      <c r="P482" s="54">
        <f>IFERROR((VLOOKUP($A482,'Dados StatusInvest'!$A:$AZ,COLUMN(P482)-$A$5,0)/VLOOKUP($A482,'Dados StatusInvest'!$A:$AZ,2,0)*$F482),0)</f>
        <v>11.17850456</v>
      </c>
      <c r="Q482" s="55">
        <f>IFERROR((VLOOKUP($A482,'Dados StatusInvest'!$A:$AZ,COLUMN(Q482)-$A$5,0)/100),0)</f>
        <v>0.0391</v>
      </c>
      <c r="R482" s="56">
        <f>VLOOKUP($A482,'Dados StatusInvest'!$A:$AZ,COLUMN(R482)-$A$5,0)</f>
        <v>1.18</v>
      </c>
      <c r="S482" s="56">
        <f>IFERROR((VLOOKUP($A482,'Dados StatusInvest'!$A:$AZ,COLUMN(S482)-$A$5,0)),0)</f>
        <v>2.19</v>
      </c>
      <c r="T482" s="53">
        <f>IFERROR((VLOOKUP($A482,'Dados StatusInvest'!$A:$AZ,COLUMN(T482)-$A$5,0)/VLOOKUP($A482,'Dados StatusInvest'!$A:$AZ,2,0)*$F482),0)</f>
        <v>8.443550152</v>
      </c>
      <c r="U482" s="53">
        <f>IFERROR((VLOOKUP($A482,'Dados StatusInvest'!$A:$AZ,COLUMN(U482)-$A$5,0)-VLOOKUP($A482,'Dados StatusInvest'!$A:$AZ,COLUMN(U482)-$A$5-1,0)+T482),0)</f>
        <v>-0.766449848</v>
      </c>
      <c r="V482" s="56">
        <f>IFERROR((VLOOKUP($A482,'Dados StatusInvest'!$A:$AZ,COLUMN(V482)-$A$5,0)),0)</f>
        <v>1.66</v>
      </c>
      <c r="W482" s="56">
        <f>IFERROR((VLOOKUP($A482,'Dados StatusInvest'!$A:$AZ,COLUMN(W482)-$A$5,0)),0)</f>
        <v>2.71</v>
      </c>
      <c r="X482" s="53">
        <f>IFERROR((VLOOKUP($A482,'Dados StatusInvest'!$A:$AZ,COLUMN(X482)-$A$5,0)/VLOOKUP($A482,'Dados StatusInvest'!$A:$AZ,2,0)*$F482),0)</f>
        <v>0.7160607903</v>
      </c>
      <c r="Y482" s="54">
        <f>IFERROR((VLOOKUP($A482,'Dados StatusInvest'!$A:$AZ,COLUMN(Y482)-$A$5,0)/VLOOKUP($A482,'Dados StatusInvest'!$A:$AZ,2,0)*$F482),0)</f>
        <v>9.288899696</v>
      </c>
      <c r="Z482" s="56">
        <f>IFERROR((VLOOKUP($A482,'Dados StatusInvest'!$A:$AZ,COLUMN(Z482)-$A$5,0)),0)</f>
        <v>0.27</v>
      </c>
      <c r="AA482" s="57">
        <f>IFERROR((VLOOKUP($A482,'Dados StatusInvest'!$A:$AZ,COLUMN(AA482)-$A$5,0)),0)</f>
        <v>0.73</v>
      </c>
      <c r="AB482" s="57">
        <f>IFERROR((VLOOKUP($A482,'Dados StatusInvest'!$A:$AZ,COLUMN(AB482)-$A$5,0)),0)</f>
        <v>0.27</v>
      </c>
      <c r="AC482" s="58">
        <f>IFERROR((VLOOKUP($A482,'Dados StatusInvest'!$A:$AZ,COLUMN(AC482)-$A$5,0)),0)</f>
        <v>14.48</v>
      </c>
      <c r="AD482" s="57">
        <f>IFERROR((VLOOKUP($A482,'Dados StatusInvest'!$A:$AZ,COLUMN(AD482)-$A$5,0)),0)</f>
        <v>-13.65</v>
      </c>
      <c r="AE482" s="56">
        <f>IFERROR((VLOOKUP($A482,'Dados StatusInvest'!$A:$AZ,COLUMN(AE482)-$A$5,0)),0)</f>
        <v>202000000</v>
      </c>
      <c r="AF482" s="56">
        <f>IFERROR((VLOOKUP($A482,'Dados StatusInvest'!$A:$AZ,COLUMN(AF482)-$A$5,0)),0)</f>
        <v>7.43</v>
      </c>
      <c r="AG482" s="56">
        <f>IFERROR((VLOOKUP($A482,'Dados StatusInvest'!$A:$AZ,COLUMN(AG482)-$A$5,0)),0)</f>
        <v>0.2</v>
      </c>
      <c r="AH482" s="56">
        <f>IFERROR((VLOOKUP($A482,'Dados StatusInvest'!$A:$AZ,COLUMN(AH482)-$A$5,0)),0)</f>
        <v>-0.53</v>
      </c>
      <c r="AI482" s="57">
        <f>IFERROR((VLOOKUP($A482,'Dados StatusInvest'!$A:$AZ,COLUMN(AI482)-$A$5,0)),0)</f>
        <v>30577730750</v>
      </c>
      <c r="AJ482" s="59" t="str">
        <f>IFERROR((VLOOKUP($A482,'Dados StatusInvest'!$A:$AZ,COLUMN(AJ482)-$A$5,0)),0)</f>
        <v/>
      </c>
      <c r="AK482" s="60">
        <f>IFERROR(__xludf.DUMMYFUNCTION("IFERROR(GOOGLEFINANCE($A482,""high""),"""")"),16.34)</f>
        <v>16.34</v>
      </c>
      <c r="AL482" s="60">
        <f>IFERROR(__xludf.DUMMYFUNCTION("IFERROR(GOOGLEFINANCE($A482,""low""),"""")"),16.27)</f>
        <v>16.27</v>
      </c>
      <c r="AM482" s="61">
        <f t="shared" si="2"/>
        <v>0.00430239705</v>
      </c>
      <c r="AN482" s="62">
        <f>IFERROR(__xludf.DUMMYFUNCTION("IFERROR((GOOGLEFINANCE($A482,""volume"")),0)"),187100.0)</f>
        <v>187100</v>
      </c>
      <c r="AO482" s="60">
        <f>IFERROR(__xludf.DUMMYFUNCTION("IFERROR((GOOGLEFINANCE($A482,""closeyest"")),"""")"),16.45)</f>
        <v>16.45</v>
      </c>
      <c r="AP482" s="60">
        <f>IFERROR(__xludf.DUMMYFUNCTION("IFERROR((GOOGLEFINANCE($A482,""shares"")),"""")"),1.858828617E9)</f>
        <v>1858828617</v>
      </c>
      <c r="AQ482" s="18"/>
    </row>
    <row r="483">
      <c r="A483" s="45" t="str">
        <f>'Dados StatusInvest'!A478:A1097</f>
        <v>RAIZ4</v>
      </c>
      <c r="B483" s="46" t="str">
        <f>IFERROR(__xludf.DUMMYFUNCTION("IFERROR((GOOGLEFINANCE(A483,""name"")),"""")"),"Raizen SA")</f>
        <v>Raizen SA</v>
      </c>
      <c r="C483" s="46" t="str">
        <f>IFERROR((VLOOKUP(LEFT($A483,4),Setor!$A:$E,3,0)),"")</f>
        <v>Petróleo, Gás e Biocombustíveis</v>
      </c>
      <c r="D483" s="46" t="str">
        <f>IFERROR((VLOOKUP(LEFT($A483,4),Setor!$A:$E,4,0)),"")</f>
        <v>Petróleo, Gás e Biocombustíveis</v>
      </c>
      <c r="E483" s="46" t="str">
        <f>IFERROR((VLOOKUP(LEFT($A483,4),Setor!$A:$E,5,0)),"")</f>
        <v>Petroquímicos</v>
      </c>
      <c r="F483" s="47">
        <f>IFERROR(__xludf.DUMMYFUNCTION("IFERROR((GOOGLEFINANCE(A483)),"""")"),0.59)</f>
        <v>0.59</v>
      </c>
      <c r="G483" s="48" t="str">
        <f>IFERROR(__xludf.DUMMYFUNCTION("IFERROR((sparkline(GOOGLEFINANCE($A483,""price"",TODAY()-30,TODAY(),""DAILY""),{""charttype"",""line"";""linewidth"",1;""color"",""#5f88cc""})),"""")"),"")</f>
        <v/>
      </c>
      <c r="H483" s="49">
        <f>IFERROR(__xludf.DUMMYFUNCTION("IFERROR((((GOOGLEFINANCE(A483))-(INDEX(GoogleFinance(A483,""PRICE"",$AQ$1),2,2)))/(INDEX(GoogleFinance(A483,""PRICE"",$AQ$1),2,2))),"""")"),-0.27160493827160503)</f>
        <v>-0.2716049383</v>
      </c>
      <c r="I483" s="47">
        <f>IFERROR(__xludf.DUMMYFUNCTION("IFERROR((GOOGLEFINANCE($A483,""high52"")),"""")"),2.23)</f>
        <v>2.23</v>
      </c>
      <c r="J483" s="48" t="str">
        <f>IFERROR(__xludf.DUMMYFUNCTION("IFERROR((sparkline(GOOGLEFINANCE($A483,""price"",TODAY()-365,TODAY(),""DAILY""),{""charttype"",""line"";""linewidth"",1;""color"",""#5f88cc""})),"""")"),"")</f>
        <v/>
      </c>
      <c r="K483" s="50">
        <f>IFERROR(__xludf.DUMMYFUNCTION("IFERROR((((GOOGLEFINANCE(A483))-(INDEX(GoogleFinance(A483,""PRICE"",$AP$1),2,2)))/(INDEX(GoogleFinance(A483,""PRICE"",$AP$1),2,2))),"""")"),-0.6628571428571429)</f>
        <v>-0.6628571429</v>
      </c>
      <c r="L483" s="51">
        <f t="shared" si="1"/>
        <v>-0.735426009</v>
      </c>
      <c r="M483" s="52">
        <f>IFERROR((VLOOKUP($A483,'Dados StatusInvest'!$A:$AZ,COLUMN(M483)-$A$5,0)*VLOOKUP($A483,'Dados StatusInvest'!$A:$AZ,2,0)/$F483/100),0)</f>
        <v>-0.0005254237288</v>
      </c>
      <c r="N483" s="53">
        <f>IFERROR((VLOOKUP($A483,'Dados StatusInvest'!$A:$AZ,COLUMN(N483)-$A$5,0)/VLOOKUP($A483,'Dados StatusInvest'!$A:$AZ,2,0)*$F483),"")</f>
        <v>-3.701774194</v>
      </c>
      <c r="O483" s="53">
        <f>IFERROR((VLOOKUP($A483,'Dados StatusInvest'!$A:$AZ,COLUMN(O483)-$A$5,0)/VLOOKUP($A483,'Dados StatusInvest'!$A:$AZ,2,0)*$F483),0)</f>
        <v>-55.50758065</v>
      </c>
      <c r="P483" s="54">
        <f>IFERROR((VLOOKUP($A483,'Dados StatusInvest'!$A:$AZ,COLUMN(P483)-$A$5,0)/VLOOKUP($A483,'Dados StatusInvest'!$A:$AZ,2,0)*$F483),0)</f>
        <v>-459.2959677</v>
      </c>
      <c r="Q483" s="55">
        <f>IFERROR((VLOOKUP($A483,'Dados StatusInvest'!$A:$AZ,COLUMN(Q483)-$A$5,0)/100),0)</f>
        <v>-4.2433</v>
      </c>
      <c r="R483" s="56">
        <f>VLOOKUP($A483,'Dados StatusInvest'!$A:$AZ,COLUMN(R483)-$A$5,0)</f>
        <v>2.57</v>
      </c>
      <c r="S483" s="56">
        <f>IFERROR((VLOOKUP($A483,'Dados StatusInvest'!$A:$AZ,COLUMN(S483)-$A$5,0)),0)</f>
        <v>0.03</v>
      </c>
      <c r="T483" s="53">
        <f>IFERROR((VLOOKUP($A483,'Dados StatusInvest'!$A:$AZ,COLUMN(T483)-$A$5,0)/VLOOKUP($A483,'Dados StatusInvest'!$A:$AZ,2,0)*$F483),0)</f>
        <v>0.3996774194</v>
      </c>
      <c r="U483" s="53">
        <f>IFERROR((VLOOKUP($A483,'Dados StatusInvest'!$A:$AZ,COLUMN(U483)-$A$5,0)-VLOOKUP($A483,'Dados StatusInvest'!$A:$AZ,COLUMN(U483)-$A$5-1,0)+T483),0)</f>
        <v>-0.1003225806</v>
      </c>
      <c r="V483" s="56">
        <f>IFERROR((VLOOKUP($A483,'Dados StatusInvest'!$A:$AZ,COLUMN(V483)-$A$5,0)),0)</f>
        <v>1.33</v>
      </c>
      <c r="W483" s="56">
        <f>IFERROR((VLOOKUP($A483,'Dados StatusInvest'!$A:$AZ,COLUMN(W483)-$A$5,0)),0)</f>
        <v>-51.13</v>
      </c>
      <c r="X483" s="53">
        <f>IFERROR((VLOOKUP($A483,'Dados StatusInvest'!$A:$AZ,COLUMN(X483)-$A$5,0)/VLOOKUP($A483,'Dados StatusInvest'!$A:$AZ,2,0)*$F483),0)</f>
        <v>-6.271129032</v>
      </c>
      <c r="Y483" s="54">
        <f>IFERROR((VLOOKUP($A483,'Dados StatusInvest'!$A:$AZ,COLUMN(Y483)-$A$5,0)/VLOOKUP($A483,'Dados StatusInvest'!$A:$AZ,2,0)*$F483),0)</f>
        <v>-0.6280645161</v>
      </c>
      <c r="Z483" s="56">
        <f>IFERROR((VLOOKUP($A483,'Dados StatusInvest'!$A:$AZ,COLUMN(Z483)-$A$5,0)),0)</f>
        <v>0.13</v>
      </c>
      <c r="AA483" s="57">
        <f>IFERROR((VLOOKUP($A483,'Dados StatusInvest'!$A:$AZ,COLUMN(AA483)-$A$5,0)),0)</f>
        <v>0.87</v>
      </c>
      <c r="AB483" s="57">
        <f>IFERROR((VLOOKUP($A483,'Dados StatusInvest'!$A:$AZ,COLUMN(AB483)-$A$5,0)),0)</f>
        <v>1.69</v>
      </c>
      <c r="AC483" s="58">
        <f>IFERROR((VLOOKUP($A483,'Dados StatusInvest'!$A:$AZ,COLUMN(AC483)-$A$5,0)),0)</f>
        <v>20.39</v>
      </c>
      <c r="AD483" s="57">
        <f>IFERROR((VLOOKUP($A483,'Dados StatusInvest'!$A:$AZ,COLUMN(AD483)-$A$5,0)),0)</f>
        <v>0</v>
      </c>
      <c r="AE483" s="56">
        <f>IFERROR((VLOOKUP($A483,'Dados StatusInvest'!$A:$AZ,COLUMN(AE483)-$A$5,0)),0)</f>
        <v>43964509</v>
      </c>
      <c r="AF483" s="56">
        <f>IFERROR((VLOOKUP($A483,'Dados StatusInvest'!$A:$AZ,COLUMN(AF483)-$A$5,0)),0)</f>
        <v>1.76</v>
      </c>
      <c r="AG483" s="56">
        <f>IFERROR((VLOOKUP($A483,'Dados StatusInvest'!$A:$AZ,COLUMN(AG483)-$A$5,0)),0)</f>
        <v>-0.9</v>
      </c>
      <c r="AH483" s="56">
        <f>IFERROR((VLOOKUP($A483,'Dados StatusInvest'!$A:$AZ,COLUMN(AH483)-$A$5,0)),0)</f>
        <v>0</v>
      </c>
      <c r="AI483" s="57">
        <f>IFERROR((VLOOKUP($A483,'Dados StatusInvest'!$A:$AZ,COLUMN(AI483)-$A$5,0)),0)</f>
        <v>6418555880</v>
      </c>
      <c r="AJ483" s="59" t="str">
        <f>IFERROR((VLOOKUP($A483,'Dados StatusInvest'!$A:$AZ,COLUMN(AJ483)-$A$5,0)),0)</f>
        <v/>
      </c>
      <c r="AK483" s="60">
        <f>IFERROR(__xludf.DUMMYFUNCTION("IFERROR(GOOGLEFINANCE($A483,""high""),"""")"),0.63)</f>
        <v>0.63</v>
      </c>
      <c r="AL483" s="60">
        <f>IFERROR(__xludf.DUMMYFUNCTION("IFERROR(GOOGLEFINANCE($A483,""low""),"""")"),0.6)</f>
        <v>0.6</v>
      </c>
      <c r="AM483" s="61">
        <f t="shared" si="2"/>
        <v>0.05</v>
      </c>
      <c r="AN483" s="62">
        <f>IFERROR(__xludf.DUMMYFUNCTION("IFERROR((GOOGLEFINANCE($A483,""volume"")),0)"),8763400.0)</f>
        <v>8763400</v>
      </c>
      <c r="AO483" s="60">
        <f>IFERROR(__xludf.DUMMYFUNCTION("IFERROR((GOOGLEFINANCE($A483,""closeyest"")),"""")"),0.62)</f>
        <v>0.62</v>
      </c>
      <c r="AP483" s="60">
        <f>IFERROR(__xludf.DUMMYFUNCTION("IFERROR((GOOGLEFINANCE($A483,""shares"")),"""")"),1.3589369E9)</f>
        <v>1358936900</v>
      </c>
      <c r="AQ483" s="18"/>
    </row>
    <row r="484">
      <c r="A484" s="45" t="str">
        <f>'Dados StatusInvest'!A479:A1098</f>
        <v>RANI3</v>
      </c>
      <c r="B484" s="46" t="str">
        <f>IFERROR(__xludf.DUMMYFUNCTION("IFERROR((GOOGLEFINANCE(A484,""name"")),"""")"),"Irani Papel e Embalagem SA")</f>
        <v>Irani Papel e Embalagem SA</v>
      </c>
      <c r="C484" s="46" t="str">
        <f>IFERROR((VLOOKUP(LEFT($A484,4),Setor!$A:$E,3,0)),"")</f>
        <v>Materiais Básicos</v>
      </c>
      <c r="D484" s="46" t="str">
        <f>IFERROR((VLOOKUP(LEFT($A484,4),Setor!$A:$E,4,0)),"")</f>
        <v>Madeira e Papel</v>
      </c>
      <c r="E484" s="46" t="str">
        <f>IFERROR((VLOOKUP(LEFT($A484,4),Setor!$A:$E,5,0)),"")</f>
        <v>Papel e Celulose</v>
      </c>
      <c r="F484" s="47">
        <f>IFERROR(__xludf.DUMMYFUNCTION("IFERROR((GOOGLEFINANCE(A484)),"""")"),9.37)</f>
        <v>9.37</v>
      </c>
      <c r="G484" s="48" t="str">
        <f>IFERROR(__xludf.DUMMYFUNCTION("IFERROR((sparkline(GOOGLEFINANCE($A484,""price"",TODAY()-30,TODAY(),""DAILY""),{""charttype"",""line"";""linewidth"",1;""color"",""#5f88cc""})),"""")"),"")</f>
        <v/>
      </c>
      <c r="H484" s="49">
        <f>IFERROR(__xludf.DUMMYFUNCTION("IFERROR((((GOOGLEFINANCE(A484))-(INDEX(GoogleFinance(A484,""PRICE"",$AQ$1),2,2)))/(INDEX(GoogleFinance(A484,""PRICE"",$AQ$1),2,2))),"""")"),0.026286966046002017)</f>
        <v>0.02628696605</v>
      </c>
      <c r="I484" s="47">
        <f>IFERROR(__xludf.DUMMYFUNCTION("IFERROR((GOOGLEFINANCE($A484,""high52"")),"""")"),9.62)</f>
        <v>9.62</v>
      </c>
      <c r="J484" s="48" t="str">
        <f>IFERROR(__xludf.DUMMYFUNCTION("IFERROR((sparkline(GOOGLEFINANCE($A484,""price"",TODAY()-365,TODAY(),""DAILY""),{""charttype"",""line"";""linewidth"",1;""color"",""#5f88cc""})),"""")"),"")</f>
        <v/>
      </c>
      <c r="K484" s="50">
        <f>IFERROR(__xludf.DUMMYFUNCTION("IFERROR((((GOOGLEFINANCE(A484))-(INDEX(GoogleFinance(A484,""PRICE"",$AP$1),2,2)))/(INDEX(GoogleFinance(A484,""PRICE"",$AP$1),2,2))),"""")"),0.306834030683403)</f>
        <v>0.3068340307</v>
      </c>
      <c r="L484" s="51">
        <f t="shared" si="1"/>
        <v>-0.02598752599</v>
      </c>
      <c r="M484" s="52">
        <f>IFERROR((VLOOKUP($A484,'Dados StatusInvest'!$A:$AZ,COLUMN(M484)-$A$5,0)*VLOOKUP($A484,'Dados StatusInvest'!$A:$AZ,2,0)/$F484/100),0)</f>
        <v>0.2571184632</v>
      </c>
      <c r="N484" s="53">
        <f>IFERROR((VLOOKUP($A484,'Dados StatusInvest'!$A:$AZ,COLUMN(N484)-$A$5,0)/VLOOKUP($A484,'Dados StatusInvest'!$A:$AZ,2,0)*$F484),"")</f>
        <v>22.71485263</v>
      </c>
      <c r="O484" s="53">
        <f>IFERROR((VLOOKUP($A484,'Dados StatusInvest'!$A:$AZ,COLUMN(O484)-$A$5,0)/VLOOKUP($A484,'Dados StatusInvest'!$A:$AZ,2,0)*$F484),0)</f>
        <v>5.030210526</v>
      </c>
      <c r="P484" s="54">
        <f>IFERROR((VLOOKUP($A484,'Dados StatusInvest'!$A:$AZ,COLUMN(P484)-$A$5,0)/VLOOKUP($A484,'Dados StatusInvest'!$A:$AZ,2,0)*$F484),0)</f>
        <v>7.505863158</v>
      </c>
      <c r="Q484" s="55">
        <f>IFERROR((VLOOKUP($A484,'Dados StatusInvest'!$A:$AZ,COLUMN(Q484)-$A$5,0)/100),0)</f>
        <v>0.0251</v>
      </c>
      <c r="R484" s="56">
        <f>VLOOKUP($A484,'Dados StatusInvest'!$A:$AZ,COLUMN(R484)-$A$5,0)</f>
        <v>0.75</v>
      </c>
      <c r="S484" s="56">
        <f>IFERROR((VLOOKUP($A484,'Dados StatusInvest'!$A:$AZ,COLUMN(S484)-$A$5,0)),0)</f>
        <v>1.29</v>
      </c>
      <c r="T484" s="53">
        <f>IFERROR((VLOOKUP($A484,'Dados StatusInvest'!$A:$AZ,COLUMN(T484)-$A$5,0)/VLOOKUP($A484,'Dados StatusInvest'!$A:$AZ,2,0)*$F484),0)</f>
        <v>2.633463158</v>
      </c>
      <c r="U484" s="53">
        <f>IFERROR((VLOOKUP($A484,'Dados StatusInvest'!$A:$AZ,COLUMN(U484)-$A$5,0)-VLOOKUP($A484,'Dados StatusInvest'!$A:$AZ,COLUMN(U484)-$A$5-1,0)+T484),0)</f>
        <v>-0.9065368421</v>
      </c>
      <c r="V484" s="56">
        <f>IFERROR((VLOOKUP($A484,'Dados StatusInvest'!$A:$AZ,COLUMN(V484)-$A$5,0)),0)</f>
        <v>2.85</v>
      </c>
      <c r="W484" s="56">
        <f>IFERROR((VLOOKUP($A484,'Dados StatusInvest'!$A:$AZ,COLUMN(W484)-$A$5,0)),0)</f>
        <v>27.22</v>
      </c>
      <c r="X484" s="53">
        <f>IFERROR((VLOOKUP($A484,'Dados StatusInvest'!$A:$AZ,COLUMN(X484)-$A$5,0)/VLOOKUP($A484,'Dados StatusInvest'!$A:$AZ,2,0)*$F484),0)</f>
        <v>10.17877895</v>
      </c>
      <c r="Y484" s="54">
        <f>IFERROR((VLOOKUP($A484,'Dados StatusInvest'!$A:$AZ,COLUMN(Y484)-$A$5,0)/VLOOKUP($A484,'Dados StatusInvest'!$A:$AZ,2,0)*$F484),0)</f>
        <v>11.85551579</v>
      </c>
      <c r="Z484" s="56">
        <f>IFERROR((VLOOKUP($A484,'Dados StatusInvest'!$A:$AZ,COLUMN(Z484)-$A$5,0)),0)</f>
        <v>0.38</v>
      </c>
      <c r="AA484" s="57">
        <f>IFERROR((VLOOKUP($A484,'Dados StatusInvest'!$A:$AZ,COLUMN(AA484)-$A$5,0)),0)</f>
        <v>0.62</v>
      </c>
      <c r="AB484" s="57">
        <f>IFERROR((VLOOKUP($A484,'Dados StatusInvest'!$A:$AZ,COLUMN(AB484)-$A$5,0)),0)</f>
        <v>0.45</v>
      </c>
      <c r="AC484" s="58">
        <f>IFERROR((VLOOKUP($A484,'Dados StatusInvest'!$A:$AZ,COLUMN(AC484)-$A$5,0)),0)</f>
        <v>12.61</v>
      </c>
      <c r="AD484" s="57">
        <f>IFERROR((VLOOKUP($A484,'Dados StatusInvest'!$A:$AZ,COLUMN(AD484)-$A$5,0)),0)</f>
        <v>0</v>
      </c>
      <c r="AE484" s="56">
        <f>IFERROR((VLOOKUP($A484,'Dados StatusInvest'!$A:$AZ,COLUMN(AE484)-$A$5,0)),0)</f>
        <v>6159140</v>
      </c>
      <c r="AF484" s="56">
        <f>IFERROR((VLOOKUP($A484,'Dados StatusInvest'!$A:$AZ,COLUMN(AF484)-$A$5,0)),0)</f>
        <v>6.22</v>
      </c>
      <c r="AG484" s="56">
        <f>IFERROR((VLOOKUP($A484,'Dados StatusInvest'!$A:$AZ,COLUMN(AG484)-$A$5,0)),0)</f>
        <v>1.69</v>
      </c>
      <c r="AH484" s="56">
        <f>IFERROR((VLOOKUP($A484,'Dados StatusInvest'!$A:$AZ,COLUMN(AH484)-$A$5,0)),0)</f>
        <v>0.03</v>
      </c>
      <c r="AI484" s="57">
        <f>IFERROR((VLOOKUP($A484,'Dados StatusInvest'!$A:$AZ,COLUMN(AI484)-$A$5,0)),0)</f>
        <v>2189761581</v>
      </c>
      <c r="AJ484" s="59" t="str">
        <f>IFERROR((VLOOKUP($A484,'Dados StatusInvest'!$A:$AZ,COLUMN(AJ484)-$A$5,0)),0)</f>
        <v/>
      </c>
      <c r="AK484" s="60">
        <f>IFERROR(__xludf.DUMMYFUNCTION("IFERROR(GOOGLEFINANCE($A484,""high""),"""")"),9.48)</f>
        <v>9.48</v>
      </c>
      <c r="AL484" s="60">
        <f>IFERROR(__xludf.DUMMYFUNCTION("IFERROR(GOOGLEFINANCE($A484,""low""),"""")"),9.38)</f>
        <v>9.38</v>
      </c>
      <c r="AM484" s="61">
        <f t="shared" si="2"/>
        <v>0.01066098081</v>
      </c>
      <c r="AN484" s="62">
        <f>IFERROR(__xludf.DUMMYFUNCTION("IFERROR((GOOGLEFINANCE($A484,""volume"")),0)"),31200.0)</f>
        <v>31200</v>
      </c>
      <c r="AO484" s="60">
        <f>IFERROR(__xludf.DUMMYFUNCTION("IFERROR((GOOGLEFINANCE($A484,""closeyest"")),"""")"),9.5)</f>
        <v>9.5</v>
      </c>
      <c r="AP484" s="60">
        <f>IFERROR(__xludf.DUMMYFUNCTION("IFERROR((GOOGLEFINANCE($A484,""shares"")),"""")"),2.30501219E8)</f>
        <v>230501219</v>
      </c>
      <c r="AQ484" s="18"/>
    </row>
    <row r="485">
      <c r="A485" s="45" t="str">
        <f>'Dados StatusInvest'!A480:A1099</f>
        <v>RANI4</v>
      </c>
      <c r="B485" s="46" t="str">
        <f>IFERROR(__xludf.DUMMYFUNCTION("IFERROR((GOOGLEFINANCE(A485,""name"")),"""")"),"")</f>
        <v/>
      </c>
      <c r="C485" s="46" t="str">
        <f>IFERROR((VLOOKUP(LEFT($A485,4),Setor!$A:$E,3,0)),"")</f>
        <v>Materiais Básicos</v>
      </c>
      <c r="D485" s="46" t="str">
        <f>IFERROR((VLOOKUP(LEFT($A485,4),Setor!$A:$E,4,0)),"")</f>
        <v>Madeira e Papel</v>
      </c>
      <c r="E485" s="46" t="str">
        <f>IFERROR((VLOOKUP(LEFT($A485,4),Setor!$A:$E,5,0)),"")</f>
        <v>Papel e Celulose</v>
      </c>
      <c r="F485" s="47" t="str">
        <f>IFERROR(__xludf.DUMMYFUNCTION("IFERROR((GOOGLEFINANCE(A485)),"""")"),"")</f>
        <v/>
      </c>
      <c r="G485" s="48" t="str">
        <f>IFERROR(__xludf.DUMMYFUNCTION("IFERROR((sparkline(GOOGLEFINANCE($A485,""price"",TODAY()-30,TODAY(),""DAILY""),{""charttype"",""line"";""linewidth"",1;""color"",""#5f88cc""})),"""")"),"")</f>
        <v/>
      </c>
      <c r="H485" s="49" t="str">
        <f>IFERROR(__xludf.DUMMYFUNCTION("IFERROR((((GOOGLEFINANCE(A485))-(INDEX(GoogleFinance(A485,""PRICE"",$AQ$1),2,2)))/(INDEX(GoogleFinance(A485,""PRICE"",$AQ$1),2,2))),"""")"),"")</f>
        <v/>
      </c>
      <c r="I485" s="47" t="str">
        <f>IFERROR(__xludf.DUMMYFUNCTION("IFERROR((GOOGLEFINANCE($A485,""high52"")),"""")"),"")</f>
        <v/>
      </c>
      <c r="J485" s="48" t="str">
        <f>IFERROR(__xludf.DUMMYFUNCTION("IFERROR((sparkline(GOOGLEFINANCE($A485,""price"",TODAY()-365,TODAY(),""DAILY""),{""charttype"",""line"";""linewidth"",1;""color"",""#5f88cc""})),"""")"),"")</f>
        <v/>
      </c>
      <c r="K485" s="50" t="str">
        <f>IFERROR(__xludf.DUMMYFUNCTION("IFERROR((((GOOGLEFINANCE(A485))-(INDEX(GoogleFinance(A485,""PRICE"",$AP$1),2,2)))/(INDEX(GoogleFinance(A485,""PRICE"",$AP$1),2,2))),"""")"),"")</f>
        <v/>
      </c>
      <c r="L485" s="51">
        <f t="shared" si="1"/>
        <v>0</v>
      </c>
      <c r="M485" s="52">
        <f>IFERROR((VLOOKUP($A485,'Dados StatusInvest'!$A:$AZ,COLUMN(M485)-$A$5,0)*VLOOKUP($A485,'Dados StatusInvest'!$A:$AZ,2,0)/$F485/100),0)</f>
        <v>0</v>
      </c>
      <c r="N485" s="53">
        <f>IFERROR((VLOOKUP($A485,'Dados StatusInvest'!$A:$AZ,COLUMN(N485)-$A$5,0)/VLOOKUP($A485,'Dados StatusInvest'!$A:$AZ,2,0)*$F485),"")</f>
        <v>0</v>
      </c>
      <c r="O485" s="53">
        <f>IFERROR((VLOOKUP($A485,'Dados StatusInvest'!$A:$AZ,COLUMN(O485)-$A$5,0)/VLOOKUP($A485,'Dados StatusInvest'!$A:$AZ,2,0)*$F485),0)</f>
        <v>0</v>
      </c>
      <c r="P485" s="54">
        <f>IFERROR((VLOOKUP($A485,'Dados StatusInvest'!$A:$AZ,COLUMN(P485)-$A$5,0)/VLOOKUP($A485,'Dados StatusInvest'!$A:$AZ,2,0)*$F485),0)</f>
        <v>0</v>
      </c>
      <c r="Q485" s="55">
        <f>IFERROR((VLOOKUP($A485,'Dados StatusInvest'!$A:$AZ,COLUMN(Q485)-$A$5,0)/100),0)</f>
        <v>0.0251</v>
      </c>
      <c r="R485" s="56">
        <f>VLOOKUP($A485,'Dados StatusInvest'!$A:$AZ,COLUMN(R485)-$A$5,0)</f>
        <v>0.75</v>
      </c>
      <c r="S485" s="56">
        <f>IFERROR((VLOOKUP($A485,'Dados StatusInvest'!$A:$AZ,COLUMN(S485)-$A$5,0)),0)</f>
        <v>0.75</v>
      </c>
      <c r="T485" s="53">
        <f>IFERROR((VLOOKUP($A485,'Dados StatusInvest'!$A:$AZ,COLUMN(T485)-$A$5,0)/VLOOKUP($A485,'Dados StatusInvest'!$A:$AZ,2,0)*$F485),0)</f>
        <v>0</v>
      </c>
      <c r="U485" s="53">
        <f>IFERROR((VLOOKUP($A485,'Dados StatusInvest'!$A:$AZ,COLUMN(U485)-$A$5,0)-VLOOKUP($A485,'Dados StatusInvest'!$A:$AZ,COLUMN(U485)-$A$5-1,0)+T485),0)</f>
        <v>-2.05</v>
      </c>
      <c r="V485" s="56">
        <f>IFERROR((VLOOKUP($A485,'Dados StatusInvest'!$A:$AZ,COLUMN(V485)-$A$5,0)),0)</f>
        <v>2.85</v>
      </c>
      <c r="W485" s="56">
        <f>IFERROR((VLOOKUP($A485,'Dados StatusInvest'!$A:$AZ,COLUMN(W485)-$A$5,0)),0)</f>
        <v>27.22</v>
      </c>
      <c r="X485" s="53">
        <f>IFERROR((VLOOKUP($A485,'Dados StatusInvest'!$A:$AZ,COLUMN(X485)-$A$5,0)/VLOOKUP($A485,'Dados StatusInvest'!$A:$AZ,2,0)*$F485),0)</f>
        <v>0</v>
      </c>
      <c r="Y485" s="54">
        <f>IFERROR((VLOOKUP($A485,'Dados StatusInvest'!$A:$AZ,COLUMN(Y485)-$A$5,0)/VLOOKUP($A485,'Dados StatusInvest'!$A:$AZ,2,0)*$F485),0)</f>
        <v>0</v>
      </c>
      <c r="Z485" s="56">
        <f>IFERROR((VLOOKUP($A485,'Dados StatusInvest'!$A:$AZ,COLUMN(Z485)-$A$5,0)),0)</f>
        <v>0.38</v>
      </c>
      <c r="AA485" s="57">
        <f>IFERROR((VLOOKUP($A485,'Dados StatusInvest'!$A:$AZ,COLUMN(AA485)-$A$5,0)),0)</f>
        <v>0.62</v>
      </c>
      <c r="AB485" s="57">
        <f>IFERROR((VLOOKUP($A485,'Dados StatusInvest'!$A:$AZ,COLUMN(AB485)-$A$5,0)),0)</f>
        <v>0.45</v>
      </c>
      <c r="AC485" s="58">
        <f>IFERROR((VLOOKUP($A485,'Dados StatusInvest'!$A:$AZ,COLUMN(AC485)-$A$5,0)),0)</f>
        <v>12.61</v>
      </c>
      <c r="AD485" s="57">
        <f>IFERROR((VLOOKUP($A485,'Dados StatusInvest'!$A:$AZ,COLUMN(AD485)-$A$5,0)),0)</f>
        <v>0</v>
      </c>
      <c r="AE485" s="56">
        <f>IFERROR((VLOOKUP($A485,'Dados StatusInvest'!$A:$AZ,COLUMN(AE485)-$A$5,0)),0)</f>
        <v>0</v>
      </c>
      <c r="AF485" s="56">
        <f>IFERROR((VLOOKUP($A485,'Dados StatusInvest'!$A:$AZ,COLUMN(AF485)-$A$5,0)),0)</f>
        <v>6.22</v>
      </c>
      <c r="AG485" s="56">
        <f>IFERROR((VLOOKUP($A485,'Dados StatusInvest'!$A:$AZ,COLUMN(AG485)-$A$5,0)),0)</f>
        <v>1.69</v>
      </c>
      <c r="AH485" s="56">
        <f>IFERROR((VLOOKUP($A485,'Dados StatusInvest'!$A:$AZ,COLUMN(AH485)-$A$5,0)),0)</f>
        <v>0.02</v>
      </c>
      <c r="AI485" s="57">
        <f>IFERROR((VLOOKUP($A485,'Dados StatusInvest'!$A:$AZ,COLUMN(AI485)-$A$5,0)),0)</f>
        <v>2189761581</v>
      </c>
      <c r="AJ485" s="59" t="str">
        <f>IFERROR((VLOOKUP($A485,'Dados StatusInvest'!$A:$AZ,COLUMN(AJ485)-$A$5,0)),0)</f>
        <v/>
      </c>
      <c r="AK485" s="60" t="str">
        <f>IFERROR(__xludf.DUMMYFUNCTION("IFERROR(GOOGLEFINANCE($A485,""high""),"""")"),"")</f>
        <v/>
      </c>
      <c r="AL485" s="60" t="str">
        <f>IFERROR(__xludf.DUMMYFUNCTION("IFERROR(GOOGLEFINANCE($A485,""low""),"""")"),"")</f>
        <v/>
      </c>
      <c r="AM485" s="61">
        <f t="shared" si="2"/>
        <v>0</v>
      </c>
      <c r="AN485" s="62">
        <f>IFERROR(__xludf.DUMMYFUNCTION("IFERROR((GOOGLEFINANCE($A485,""volume"")),0)"),0.0)</f>
        <v>0</v>
      </c>
      <c r="AO485" s="60" t="str">
        <f>IFERROR(__xludf.DUMMYFUNCTION("IFERROR((GOOGLEFINANCE($A485,""closeyest"")),"""")"),"")</f>
        <v/>
      </c>
      <c r="AP485" s="60" t="str">
        <f>IFERROR(__xludf.DUMMYFUNCTION("IFERROR((GOOGLEFINANCE($A485,""shares"")),"""")"),"")</f>
        <v/>
      </c>
      <c r="AQ485" s="18"/>
    </row>
    <row r="486">
      <c r="A486" s="45" t="str">
        <f>'Dados StatusInvest'!A481:A1100</f>
        <v>RAPT3</v>
      </c>
      <c r="B486" s="46" t="str">
        <f>IFERROR(__xludf.DUMMYFUNCTION("IFERROR((GOOGLEFINANCE(A486,""name"")),"""")"),"Randoncorp SA")</f>
        <v>Randoncorp SA</v>
      </c>
      <c r="C486" s="46" t="str">
        <f>IFERROR((VLOOKUP(LEFT($A486,4),Setor!$A:$E,3,0)),"")</f>
        <v>Bens Industriais</v>
      </c>
      <c r="D486" s="46" t="str">
        <f>IFERROR((VLOOKUP(LEFT($A486,4),Setor!$A:$E,4,0)),"")</f>
        <v>Material de Transporte</v>
      </c>
      <c r="E486" s="46" t="str">
        <f>IFERROR((VLOOKUP(LEFT($A486,4),Setor!$A:$E,5,0)),"")</f>
        <v>Material Rodoviário</v>
      </c>
      <c r="F486" s="47">
        <f>IFERROR(__xludf.DUMMYFUNCTION("IFERROR((GOOGLEFINANCE(A486)),"""")"),6.39)</f>
        <v>6.39</v>
      </c>
      <c r="G486" s="48" t="str">
        <f>IFERROR(__xludf.DUMMYFUNCTION("IFERROR((sparkline(GOOGLEFINANCE($A486,""price"",TODAY()-30,TODAY(),""DAILY""),{""charttype"",""line"";""linewidth"",1;""color"",""#5f88cc""})),"""")"),"")</f>
        <v/>
      </c>
      <c r="H486" s="49">
        <f>IFERROR(__xludf.DUMMYFUNCTION("IFERROR((((GOOGLEFINANCE(A486))-(INDEX(GoogleFinance(A486,""PRICE"",$AQ$1),2,2)))/(INDEX(GoogleFinance(A486,""PRICE"",$AQ$1),2,2))),"""")"),-0.04484304932735436)</f>
        <v>-0.04484304933</v>
      </c>
      <c r="I486" s="47">
        <f>IFERROR(__xludf.DUMMYFUNCTION("IFERROR((GOOGLEFINANCE($A486,""high52"")),"""")"),8.91)</f>
        <v>8.91</v>
      </c>
      <c r="J486" s="48" t="str">
        <f>IFERROR(__xludf.DUMMYFUNCTION("IFERROR((sparkline(GOOGLEFINANCE($A486,""price"",TODAY()-365,TODAY(),""DAILY""),{""charttype"",""line"";""linewidth"",1;""color"",""#5f88cc""})),"""")"),"")</f>
        <v/>
      </c>
      <c r="K486" s="50">
        <f>IFERROR(__xludf.DUMMYFUNCTION("IFERROR((((GOOGLEFINANCE(A486))-(INDEX(GoogleFinance(A486,""PRICE"",$AP$1),2,2)))/(INDEX(GoogleFinance(A486,""PRICE"",$AP$1),2,2))),"""")"),-0.2319711538461539)</f>
        <v>-0.2319711538</v>
      </c>
      <c r="L486" s="51">
        <f t="shared" si="1"/>
        <v>-0.2828282828</v>
      </c>
      <c r="M486" s="52">
        <f>IFERROR((VLOOKUP($A486,'Dados StatusInvest'!$A:$AZ,COLUMN(M486)-$A$5,0)*VLOOKUP($A486,'Dados StatusInvest'!$A:$AZ,2,0)/$F486/100),0)</f>
        <v>0.08849765258</v>
      </c>
      <c r="N486" s="53">
        <f>IFERROR((VLOOKUP($A486,'Dados StatusInvest'!$A:$AZ,COLUMN(N486)-$A$5,0)/VLOOKUP($A486,'Dados StatusInvest'!$A:$AZ,2,0)*$F486),"")</f>
        <v>0.7373076923</v>
      </c>
      <c r="O486" s="53">
        <f>IFERROR((VLOOKUP($A486,'Dados StatusInvest'!$A:$AZ,COLUMN(O486)-$A$5,0)/VLOOKUP($A486,'Dados StatusInvest'!$A:$AZ,2,0)*$F486),0)</f>
        <v>1.946492308</v>
      </c>
      <c r="P486" s="54">
        <f>IFERROR((VLOOKUP($A486,'Dados StatusInvest'!$A:$AZ,COLUMN(P486)-$A$5,0)/VLOOKUP($A486,'Dados StatusInvest'!$A:$AZ,2,0)*$F486),0)</f>
        <v>7.697492308</v>
      </c>
      <c r="Q486" s="55">
        <f>IFERROR((VLOOKUP($A486,'Dados StatusInvest'!$A:$AZ,COLUMN(Q486)-$A$5,0)/100),0)</f>
        <v>0.0584</v>
      </c>
      <c r="R486" s="56">
        <f>VLOOKUP($A486,'Dados StatusInvest'!$A:$AZ,COLUMN(R486)-$A$5,0)</f>
        <v>2.04</v>
      </c>
      <c r="S486" s="56">
        <f>IFERROR((VLOOKUP($A486,'Dados StatusInvest'!$A:$AZ,COLUMN(S486)-$A$5,0)),0)</f>
        <v>0.17</v>
      </c>
      <c r="T486" s="53">
        <f>IFERROR((VLOOKUP($A486,'Dados StatusInvest'!$A:$AZ,COLUMN(T486)-$A$5,0)/VLOOKUP($A486,'Dados StatusInvest'!$A:$AZ,2,0)*$F486),0)</f>
        <v>0.4030615385</v>
      </c>
      <c r="U486" s="53">
        <f>IFERROR((VLOOKUP($A486,'Dados StatusInvest'!$A:$AZ,COLUMN(U486)-$A$5,0)-VLOOKUP($A486,'Dados StatusInvest'!$A:$AZ,COLUMN(U486)-$A$5-1,0)+T486),0)</f>
        <v>-0.2769384615</v>
      </c>
      <c r="V486" s="56">
        <f>IFERROR((VLOOKUP($A486,'Dados StatusInvest'!$A:$AZ,COLUMN(V486)-$A$5,0)),0)</f>
        <v>2.23</v>
      </c>
      <c r="W486" s="56">
        <f>IFERROR((VLOOKUP($A486,'Dados StatusInvest'!$A:$AZ,COLUMN(W486)-$A$5,0)),0)</f>
        <v>2.99</v>
      </c>
      <c r="X486" s="53">
        <f>IFERROR((VLOOKUP($A486,'Dados StatusInvest'!$A:$AZ,COLUMN(X486)-$A$5,0)/VLOOKUP($A486,'Dados StatusInvest'!$A:$AZ,2,0)*$F486),0)</f>
        <v>0.5210307692</v>
      </c>
      <c r="Y486" s="54">
        <f>IFERROR((VLOOKUP($A486,'Dados StatusInvest'!$A:$AZ,COLUMN(Y486)-$A$5,0)/VLOOKUP($A486,'Dados StatusInvest'!$A:$AZ,2,0)*$F486),0)</f>
        <v>8.041569231</v>
      </c>
      <c r="Z486" s="56">
        <f>IFERROR((VLOOKUP($A486,'Dados StatusInvest'!$A:$AZ,COLUMN(Z486)-$A$5,0)),0)</f>
        <v>0.18</v>
      </c>
      <c r="AA486" s="57">
        <f>IFERROR((VLOOKUP($A486,'Dados StatusInvest'!$A:$AZ,COLUMN(AA486)-$A$5,0)),0)</f>
        <v>0.74</v>
      </c>
      <c r="AB486" s="57">
        <f>IFERROR((VLOOKUP($A486,'Dados StatusInvest'!$A:$AZ,COLUMN(AB486)-$A$5,0)),0)</f>
        <v>0.72</v>
      </c>
      <c r="AC486" s="58">
        <f>IFERROR((VLOOKUP($A486,'Dados StatusInvest'!$A:$AZ,COLUMN(AC486)-$A$5,0)),0)</f>
        <v>18.53</v>
      </c>
      <c r="AD486" s="57">
        <f>IFERROR((VLOOKUP($A486,'Dados StatusInvest'!$A:$AZ,COLUMN(AD486)-$A$5,0)),0)</f>
        <v>-16.86</v>
      </c>
      <c r="AE486" s="56">
        <f>IFERROR((VLOOKUP($A486,'Dados StatusInvest'!$A:$AZ,COLUMN(AE486)-$A$5,0)),0)</f>
        <v>105623.1</v>
      </c>
      <c r="AF486" s="56">
        <f>IFERROR((VLOOKUP($A486,'Dados StatusInvest'!$A:$AZ,COLUMN(AF486)-$A$5,0)),0)</f>
        <v>9.39</v>
      </c>
      <c r="AG486" s="56">
        <f>IFERROR((VLOOKUP($A486,'Dados StatusInvest'!$A:$AZ,COLUMN(AG486)-$A$5,0)),0)</f>
        <v>0.28</v>
      </c>
      <c r="AH486" s="56">
        <f>IFERROR((VLOOKUP($A486,'Dados StatusInvest'!$A:$AZ,COLUMN(AH486)-$A$5,0)),0)</f>
        <v>-0.32</v>
      </c>
      <c r="AI486" s="57">
        <f>IFERROR((VLOOKUP($A486,'Dados StatusInvest'!$A:$AZ,COLUMN(AI486)-$A$5,0)),0)</f>
        <v>2284404498</v>
      </c>
      <c r="AJ486" s="59" t="str">
        <f>IFERROR((VLOOKUP($A486,'Dados StatusInvest'!$A:$AZ,COLUMN(AJ486)-$A$5,0)),0)</f>
        <v/>
      </c>
      <c r="AK486" s="60">
        <f>IFERROR(__xludf.DUMMYFUNCTION("IFERROR(GOOGLEFINANCE($A486,""high""),"""")"),6.5)</f>
        <v>6.5</v>
      </c>
      <c r="AL486" s="60">
        <f>IFERROR(__xludf.DUMMYFUNCTION("IFERROR(GOOGLEFINANCE($A486,""low""),"""")"),6.39)</f>
        <v>6.39</v>
      </c>
      <c r="AM486" s="61">
        <f t="shared" si="2"/>
        <v>0.0172143975</v>
      </c>
      <c r="AN486" s="62">
        <f>IFERROR(__xludf.DUMMYFUNCTION("IFERROR((GOOGLEFINANCE($A486,""volume"")),0)"),10200.0)</f>
        <v>10200</v>
      </c>
      <c r="AO486" s="60">
        <f>IFERROR(__xludf.DUMMYFUNCTION("IFERROR((GOOGLEFINANCE($A486,""closeyest"")),"""")"),6.5)</f>
        <v>6.5</v>
      </c>
      <c r="AP486" s="60">
        <f>IFERROR(__xludf.DUMMYFUNCTION("IFERROR((GOOGLEFINANCE($A486,""shares"")),"""")"),1.25841938E8)</f>
        <v>125841938</v>
      </c>
      <c r="AQ486" s="18"/>
    </row>
    <row r="487">
      <c r="A487" s="45" t="str">
        <f>'Dados StatusInvest'!A482:A1101</f>
        <v>RAPT4</v>
      </c>
      <c r="B487" s="46" t="str">
        <f>IFERROR(__xludf.DUMMYFUNCTION("IFERROR((GOOGLEFINANCE(A487,""name"")),"""")"),"Randoncorp SA Preference Shares")</f>
        <v>Randoncorp SA Preference Shares</v>
      </c>
      <c r="C487" s="46" t="str">
        <f>IFERROR((VLOOKUP(LEFT($A487,4),Setor!$A:$E,3,0)),"")</f>
        <v>Bens Industriais</v>
      </c>
      <c r="D487" s="46" t="str">
        <f>IFERROR((VLOOKUP(LEFT($A487,4),Setor!$A:$E,4,0)),"")</f>
        <v>Material de Transporte</v>
      </c>
      <c r="E487" s="46" t="str">
        <f>IFERROR((VLOOKUP(LEFT($A487,4),Setor!$A:$E,5,0)),"")</f>
        <v>Material Rodoviário</v>
      </c>
      <c r="F487" s="47">
        <f>IFERROR(__xludf.DUMMYFUNCTION("IFERROR((GOOGLEFINANCE(A487)),"""")"),6.45)</f>
        <v>6.45</v>
      </c>
      <c r="G487" s="48" t="str">
        <f>IFERROR(__xludf.DUMMYFUNCTION("IFERROR((sparkline(GOOGLEFINANCE($A487,""price"",TODAY()-30,TODAY(),""DAILY""),{""charttype"",""line"";""linewidth"",1;""color"",""#5f88cc""})),"""")"),"")</f>
        <v/>
      </c>
      <c r="H487" s="49">
        <f>IFERROR(__xludf.DUMMYFUNCTION("IFERROR((((GOOGLEFINANCE(A487))-(INDEX(GoogleFinance(A487,""PRICE"",$AQ$1),2,2)))/(INDEX(GoogleFinance(A487,""PRICE"",$AQ$1),2,2))),"""")"),-0.04444444444444442)</f>
        <v>-0.04444444444</v>
      </c>
      <c r="I487" s="47">
        <f>IFERROR(__xludf.DUMMYFUNCTION("IFERROR((GOOGLEFINANCE($A487,""high52"")),"""")"),9.68)</f>
        <v>9.68</v>
      </c>
      <c r="J487" s="48" t="str">
        <f>IFERROR(__xludf.DUMMYFUNCTION("IFERROR((sparkline(GOOGLEFINANCE($A487,""price"",TODAY()-365,TODAY(),""DAILY""),{""charttype"",""line"";""linewidth"",1;""color"",""#5f88cc""})),"""")"),"")</f>
        <v/>
      </c>
      <c r="K487" s="50">
        <f>IFERROR(__xludf.DUMMYFUNCTION("IFERROR((((GOOGLEFINANCE(A487))-(INDEX(GoogleFinance(A487,""PRICE"",$AP$1),2,2)))/(INDEX(GoogleFinance(A487,""PRICE"",$AP$1),2,2))),"""")"),-0.3049568965517241)</f>
        <v>-0.3049568966</v>
      </c>
      <c r="L487" s="51">
        <f t="shared" si="1"/>
        <v>-0.333677686</v>
      </c>
      <c r="M487" s="52">
        <f>IFERROR((VLOOKUP($A487,'Dados StatusInvest'!$A:$AZ,COLUMN(M487)-$A$5,0)*VLOOKUP($A487,'Dados StatusInvest'!$A:$AZ,2,0)/$F487/100),0)</f>
        <v>0.08834883721</v>
      </c>
      <c r="N487" s="53">
        <f>IFERROR((VLOOKUP($A487,'Dados StatusInvest'!$A:$AZ,COLUMN(N487)-$A$5,0)/VLOOKUP($A487,'Dados StatusInvest'!$A:$AZ,2,0)*$F487),"")</f>
        <v>0.7385496183</v>
      </c>
      <c r="O487" s="53">
        <f>IFERROR((VLOOKUP($A487,'Dados StatusInvest'!$A:$AZ,COLUMN(O487)-$A$5,0)/VLOOKUP($A487,'Dados StatusInvest'!$A:$AZ,2,0)*$F487),0)</f>
        <v>1.969465649</v>
      </c>
      <c r="P487" s="54">
        <f>IFERROR((VLOOKUP($A487,'Dados StatusInvest'!$A:$AZ,COLUMN(P487)-$A$5,0)/VLOOKUP($A487,'Dados StatusInvest'!$A:$AZ,2,0)*$F487),0)</f>
        <v>7.710458015</v>
      </c>
      <c r="Q487" s="55">
        <f>IFERROR((VLOOKUP($A487,'Dados StatusInvest'!$A:$AZ,COLUMN(Q487)-$A$5,0)/100),0)</f>
        <v>0.0584</v>
      </c>
      <c r="R487" s="56">
        <f>VLOOKUP($A487,'Dados StatusInvest'!$A:$AZ,COLUMN(R487)-$A$5,0)</f>
        <v>2.04</v>
      </c>
      <c r="S487" s="56">
        <f>IFERROR((VLOOKUP($A487,'Dados StatusInvest'!$A:$AZ,COLUMN(S487)-$A$5,0)),0)</f>
        <v>0.17</v>
      </c>
      <c r="T487" s="53">
        <f>IFERROR((VLOOKUP($A487,'Dados StatusInvest'!$A:$AZ,COLUMN(T487)-$A$5,0)/VLOOKUP($A487,'Dados StatusInvest'!$A:$AZ,2,0)*$F487),0)</f>
        <v>0.4135877863</v>
      </c>
      <c r="U487" s="53">
        <f>IFERROR((VLOOKUP($A487,'Dados StatusInvest'!$A:$AZ,COLUMN(U487)-$A$5,0)-VLOOKUP($A487,'Dados StatusInvest'!$A:$AZ,COLUMN(U487)-$A$5-1,0)+T487),0)</f>
        <v>-0.2764122137</v>
      </c>
      <c r="V487" s="56">
        <f>IFERROR((VLOOKUP($A487,'Dados StatusInvest'!$A:$AZ,COLUMN(V487)-$A$5,0)),0)</f>
        <v>2.23</v>
      </c>
      <c r="W487" s="56">
        <f>IFERROR((VLOOKUP($A487,'Dados StatusInvest'!$A:$AZ,COLUMN(W487)-$A$5,0)),0)</f>
        <v>2.99</v>
      </c>
      <c r="X487" s="53">
        <f>IFERROR((VLOOKUP($A487,'Dados StatusInvest'!$A:$AZ,COLUMN(X487)-$A$5,0)/VLOOKUP($A487,'Dados StatusInvest'!$A:$AZ,2,0)*$F487),0)</f>
        <v>0.5219083969</v>
      </c>
      <c r="Y487" s="54">
        <f>IFERROR((VLOOKUP($A487,'Dados StatusInvest'!$A:$AZ,COLUMN(Y487)-$A$5,0)/VLOOKUP($A487,'Dados StatusInvest'!$A:$AZ,2,0)*$F487),0)</f>
        <v>8.055114504</v>
      </c>
      <c r="Z487" s="56">
        <f>IFERROR((VLOOKUP($A487,'Dados StatusInvest'!$A:$AZ,COLUMN(Z487)-$A$5,0)),0)</f>
        <v>0.18</v>
      </c>
      <c r="AA487" s="57">
        <f>IFERROR((VLOOKUP($A487,'Dados StatusInvest'!$A:$AZ,COLUMN(AA487)-$A$5,0)),0)</f>
        <v>0.74</v>
      </c>
      <c r="AB487" s="57">
        <f>IFERROR((VLOOKUP($A487,'Dados StatusInvest'!$A:$AZ,COLUMN(AB487)-$A$5,0)),0)</f>
        <v>0.72</v>
      </c>
      <c r="AC487" s="58">
        <f>IFERROR((VLOOKUP($A487,'Dados StatusInvest'!$A:$AZ,COLUMN(AC487)-$A$5,0)),0)</f>
        <v>18.53</v>
      </c>
      <c r="AD487" s="57">
        <f>IFERROR((VLOOKUP($A487,'Dados StatusInvest'!$A:$AZ,COLUMN(AD487)-$A$5,0)),0)</f>
        <v>-16.86</v>
      </c>
      <c r="AE487" s="56">
        <f>IFERROR((VLOOKUP($A487,'Dados StatusInvest'!$A:$AZ,COLUMN(AE487)-$A$5,0)),0)</f>
        <v>32680537</v>
      </c>
      <c r="AF487" s="56">
        <f>IFERROR((VLOOKUP($A487,'Dados StatusInvest'!$A:$AZ,COLUMN(AF487)-$A$5,0)),0)</f>
        <v>9.39</v>
      </c>
      <c r="AG487" s="56">
        <f>IFERROR((VLOOKUP($A487,'Dados StatusInvest'!$A:$AZ,COLUMN(AG487)-$A$5,0)),0)</f>
        <v>0.28</v>
      </c>
      <c r="AH487" s="56">
        <f>IFERROR((VLOOKUP($A487,'Dados StatusInvest'!$A:$AZ,COLUMN(AH487)-$A$5,0)),0)</f>
        <v>-0.33</v>
      </c>
      <c r="AI487" s="57">
        <f>IFERROR((VLOOKUP($A487,'Dados StatusInvest'!$A:$AZ,COLUMN(AI487)-$A$5,0)),0)</f>
        <v>2284404498</v>
      </c>
      <c r="AJ487" s="59" t="str">
        <f>IFERROR((VLOOKUP($A487,'Dados StatusInvest'!$A:$AZ,COLUMN(AJ487)-$A$5,0)),0)</f>
        <v/>
      </c>
      <c r="AK487" s="60">
        <f>IFERROR(__xludf.DUMMYFUNCTION("IFERROR(GOOGLEFINANCE($A487,""high""),"""")"),6.54)</f>
        <v>6.54</v>
      </c>
      <c r="AL487" s="60">
        <f>IFERROR(__xludf.DUMMYFUNCTION("IFERROR(GOOGLEFINANCE($A487,""low""),"""")"),6.42)</f>
        <v>6.42</v>
      </c>
      <c r="AM487" s="61">
        <f t="shared" si="2"/>
        <v>0.01869158879</v>
      </c>
      <c r="AN487" s="62">
        <f>IFERROR(__xludf.DUMMYFUNCTION("IFERROR((GOOGLEFINANCE($A487,""volume"")),0)"),291500.0)</f>
        <v>291500</v>
      </c>
      <c r="AO487" s="60">
        <f>IFERROR(__xludf.DUMMYFUNCTION("IFERROR((GOOGLEFINANCE($A487,""closeyest"")),"""")"),6.55)</f>
        <v>6.55</v>
      </c>
      <c r="AP487" s="60">
        <f>IFERROR(__xludf.DUMMYFUNCTION("IFERROR((GOOGLEFINANCE($A487,""shares"")),"""")"),2.23882733E8)</f>
        <v>223882733</v>
      </c>
      <c r="AQ487" s="18"/>
    </row>
    <row r="488">
      <c r="A488" s="45" t="str">
        <f>'Dados StatusInvest'!A483:A1102</f>
        <v>RCSL3</v>
      </c>
      <c r="B488" s="46" t="str">
        <f>IFERROR(__xludf.DUMMYFUNCTION("IFERROR((GOOGLEFINANCE(A488,""name"")),"""")"),"Recrusul SA")</f>
        <v>Recrusul SA</v>
      </c>
      <c r="C488" s="46" t="str">
        <f>IFERROR((VLOOKUP(LEFT($A488,4),Setor!$A:$E,3,0)),"")</f>
        <v>Bens Industriais</v>
      </c>
      <c r="D488" s="46" t="str">
        <f>IFERROR((VLOOKUP(LEFT($A488,4),Setor!$A:$E,4,0)),"")</f>
        <v>Material de Transporte</v>
      </c>
      <c r="E488" s="46" t="str">
        <f>IFERROR((VLOOKUP(LEFT($A488,4),Setor!$A:$E,5,0)),"")</f>
        <v>Material Rodoviário</v>
      </c>
      <c r="F488" s="47">
        <f>IFERROR(__xludf.DUMMYFUNCTION("IFERROR((GOOGLEFINANCE(A488)),"""")"),3.02)</f>
        <v>3.02</v>
      </c>
      <c r="G488" s="48" t="str">
        <f>IFERROR(__xludf.DUMMYFUNCTION("IFERROR((sparkline(GOOGLEFINANCE($A488,""price"",TODAY()-30,TODAY(),""DAILY""),{""charttype"",""line"";""linewidth"",1;""color"",""#5f88cc""})),"""")"),"")</f>
        <v/>
      </c>
      <c r="H488" s="49">
        <f>IFERROR(__xludf.DUMMYFUNCTION("IFERROR((((GOOGLEFINANCE(A488))-(INDEX(GoogleFinance(A488,""PRICE"",$AQ$1),2,2)))/(INDEX(GoogleFinance(A488,""PRICE"",$AQ$1),2,2))),"""")"),-0.032051282051282076)</f>
        <v>-0.03205128205</v>
      </c>
      <c r="I488" s="47">
        <f>IFERROR(__xludf.DUMMYFUNCTION("IFERROR((GOOGLEFINANCE($A488,""high52"")),"""")"),4.68)</f>
        <v>4.68</v>
      </c>
      <c r="J488" s="48" t="str">
        <f>IFERROR(__xludf.DUMMYFUNCTION("IFERROR((sparkline(GOOGLEFINANCE($A488,""price"",TODAY()-365,TODAY(),""DAILY""),{""charttype"",""line"";""linewidth"",1;""color"",""#5f88cc""})),"""")"),"")</f>
        <v/>
      </c>
      <c r="K488" s="50">
        <f>IFERROR(__xludf.DUMMYFUNCTION("IFERROR((((GOOGLEFINANCE(A488))-(INDEX(GoogleFinance(A488,""PRICE"",$AP$1),2,2)))/(INDEX(GoogleFinance(A488,""PRICE"",$AP$1),2,2))),"""")"),-0.17260273972602738)</f>
        <v>-0.1726027397</v>
      </c>
      <c r="L488" s="51">
        <f t="shared" si="1"/>
        <v>-0.3547008547</v>
      </c>
      <c r="M488" s="52">
        <f>IFERROR((VLOOKUP($A488,'Dados StatusInvest'!$A:$AZ,COLUMN(M488)-$A$5,0)*VLOOKUP($A488,'Dados StatusInvest'!$A:$AZ,2,0)/$F488/100),0)</f>
        <v>-4.563377483</v>
      </c>
      <c r="N488" s="53">
        <f>IFERROR((VLOOKUP($A488,'Dados StatusInvest'!$A:$AZ,COLUMN(N488)-$A$5,0)/VLOOKUP($A488,'Dados StatusInvest'!$A:$AZ,2,0)*$F488),"")</f>
        <v>-631.3914</v>
      </c>
      <c r="O488" s="53">
        <f>IFERROR((VLOOKUP($A488,'Dados StatusInvest'!$A:$AZ,COLUMN(O488)-$A$5,0)/VLOOKUP($A488,'Dados StatusInvest'!$A:$AZ,2,0)*$F488),0)</f>
        <v>-6.4024</v>
      </c>
      <c r="P488" s="54">
        <f>IFERROR((VLOOKUP($A488,'Dados StatusInvest'!$A:$AZ,COLUMN(P488)-$A$5,0)/VLOOKUP($A488,'Dados StatusInvest'!$A:$AZ,2,0)*$F488),0)</f>
        <v>-11.7478</v>
      </c>
      <c r="Q488" s="55">
        <f>IFERROR((VLOOKUP($A488,'Dados StatusInvest'!$A:$AZ,COLUMN(Q488)-$A$5,0)/100),0)</f>
        <v>0.0001</v>
      </c>
      <c r="R488" s="56">
        <f>VLOOKUP($A488,'Dados StatusInvest'!$A:$AZ,COLUMN(R488)-$A$5,0)</f>
        <v>0</v>
      </c>
      <c r="S488" s="56">
        <f>IFERROR((VLOOKUP($A488,'Dados StatusInvest'!$A:$AZ,COLUMN(S488)-$A$5,0)),0)</f>
        <v>29.22</v>
      </c>
      <c r="T488" s="53">
        <f>IFERROR((VLOOKUP($A488,'Dados StatusInvest'!$A:$AZ,COLUMN(T488)-$A$5,0)/VLOOKUP($A488,'Dados StatusInvest'!$A:$AZ,2,0)*$F488),0)</f>
        <v>-4.117266667</v>
      </c>
      <c r="U488" s="53">
        <f>IFERROR((VLOOKUP($A488,'Dados StatusInvest'!$A:$AZ,COLUMN(U488)-$A$5,0)-VLOOKUP($A488,'Dados StatusInvest'!$A:$AZ,COLUMN(U488)-$A$5-1,0)+T488),0)</f>
        <v>-3.847266667</v>
      </c>
      <c r="V488" s="56">
        <f>IFERROR((VLOOKUP($A488,'Dados StatusInvest'!$A:$AZ,COLUMN(V488)-$A$5,0)),0)</f>
        <v>0.37</v>
      </c>
      <c r="W488" s="56">
        <f>IFERROR((VLOOKUP($A488,'Dados StatusInvest'!$A:$AZ,COLUMN(W488)-$A$5,0)),0)</f>
        <v>-75.38</v>
      </c>
      <c r="X488" s="53">
        <f>IFERROR((VLOOKUP($A488,'Dados StatusInvest'!$A:$AZ,COLUMN(X488)-$A$5,0)/VLOOKUP($A488,'Dados StatusInvest'!$A:$AZ,2,0)*$F488),0)</f>
        <v>-53.4842</v>
      </c>
      <c r="Y488" s="54">
        <f>IFERROR((VLOOKUP($A488,'Dados StatusInvest'!$A:$AZ,COLUMN(Y488)-$A$5,0)/VLOOKUP($A488,'Dados StatusInvest'!$A:$AZ,2,0)*$F488),0)</f>
        <v>55.568</v>
      </c>
      <c r="Z488" s="56">
        <f>IFERROR((VLOOKUP($A488,'Dados StatusInvest'!$A:$AZ,COLUMN(Z488)-$A$5,0)),0)</f>
        <v>-0.7</v>
      </c>
      <c r="AA488" s="57">
        <f>IFERROR((VLOOKUP($A488,'Dados StatusInvest'!$A:$AZ,COLUMN(AA488)-$A$5,0)),0)</f>
        <v>1.7</v>
      </c>
      <c r="AB488" s="57">
        <f>IFERROR((VLOOKUP($A488,'Dados StatusInvest'!$A:$AZ,COLUMN(AB488)-$A$5,0)),0)</f>
        <v>0.08</v>
      </c>
      <c r="AC488" s="58">
        <f>IFERROR((VLOOKUP($A488,'Dados StatusInvest'!$A:$AZ,COLUMN(AC488)-$A$5,0)),0)</f>
        <v>1.25</v>
      </c>
      <c r="AD488" s="57">
        <f>IFERROR((VLOOKUP($A488,'Dados StatusInvest'!$A:$AZ,COLUMN(AD488)-$A$5,0)),0)</f>
        <v>0</v>
      </c>
      <c r="AE488" s="56">
        <f>IFERROR((VLOOKUP($A488,'Dados StatusInvest'!$A:$AZ,COLUMN(AE488)-$A$5,0)),0)</f>
        <v>1245132</v>
      </c>
      <c r="AF488" s="56">
        <f>IFERROR((VLOOKUP($A488,'Dados StatusInvest'!$A:$AZ,COLUMN(AF488)-$A$5,0)),0)</f>
        <v>-0.85</v>
      </c>
      <c r="AG488" s="56">
        <f>IFERROR((VLOOKUP($A488,'Dados StatusInvest'!$A:$AZ,COLUMN(AG488)-$A$5,0)),0)</f>
        <v>-0.64</v>
      </c>
      <c r="AH488" s="56">
        <f>IFERROR((VLOOKUP($A488,'Dados StatusInvest'!$A:$AZ,COLUMN(AH488)-$A$5,0)),0)</f>
        <v>-0.07</v>
      </c>
      <c r="AI488" s="57">
        <f>IFERROR((VLOOKUP($A488,'Dados StatusInvest'!$A:$AZ,COLUMN(AI488)-$A$5,0)),0)</f>
        <v>175234117.9</v>
      </c>
      <c r="AJ488" s="59" t="str">
        <f>IFERROR((VLOOKUP($A488,'Dados StatusInvest'!$A:$AZ,COLUMN(AJ488)-$A$5,0)),0)</f>
        <v/>
      </c>
      <c r="AK488" s="60">
        <f>IFERROR(__xludf.DUMMYFUNCTION("IFERROR(GOOGLEFINANCE($A488,""high""),"""")"),3.02)</f>
        <v>3.02</v>
      </c>
      <c r="AL488" s="60">
        <f>IFERROR(__xludf.DUMMYFUNCTION("IFERROR(GOOGLEFINANCE($A488,""low""),"""")"),2.98)</f>
        <v>2.98</v>
      </c>
      <c r="AM488" s="61">
        <f t="shared" si="2"/>
        <v>0.01342281879</v>
      </c>
      <c r="AN488" s="62">
        <f>IFERROR(__xludf.DUMMYFUNCTION("IFERROR((GOOGLEFINANCE($A488,""volume"")),0)"),8000.0)</f>
        <v>8000</v>
      </c>
      <c r="AO488" s="60">
        <f>IFERROR(__xludf.DUMMYFUNCTION("IFERROR((GOOGLEFINANCE($A488,""closeyest"")),"""")"),3.0)</f>
        <v>3</v>
      </c>
      <c r="AP488" s="60">
        <f>IFERROR(__xludf.DUMMYFUNCTION("IFERROR((GOOGLEFINANCE($A488,""shares"")),"""")"),1.0663876E7)</f>
        <v>10663876</v>
      </c>
      <c r="AQ488" s="18"/>
    </row>
    <row r="489">
      <c r="A489" s="45" t="str">
        <f>'Dados StatusInvest'!A484:A1103</f>
        <v>RCSL4</v>
      </c>
      <c r="B489" s="46" t="str">
        <f>IFERROR(__xludf.DUMMYFUNCTION("IFERROR((GOOGLEFINANCE(A489,""name"")),"""")"),"Recrusul SA Preference Shares")</f>
        <v>Recrusul SA Preference Shares</v>
      </c>
      <c r="C489" s="46" t="str">
        <f>IFERROR((VLOOKUP(LEFT($A489,4),Setor!$A:$E,3,0)),"")</f>
        <v>Bens Industriais</v>
      </c>
      <c r="D489" s="46" t="str">
        <f>IFERROR((VLOOKUP(LEFT($A489,4),Setor!$A:$E,4,0)),"")</f>
        <v>Material de Transporte</v>
      </c>
      <c r="E489" s="46" t="str">
        <f>IFERROR((VLOOKUP(LEFT($A489,4),Setor!$A:$E,5,0)),"")</f>
        <v>Material Rodoviário</v>
      </c>
      <c r="F489" s="47">
        <f>IFERROR(__xludf.DUMMYFUNCTION("IFERROR((GOOGLEFINANCE(A489)),"""")"),6.92)</f>
        <v>6.92</v>
      </c>
      <c r="G489" s="48" t="str">
        <f>IFERROR(__xludf.DUMMYFUNCTION("IFERROR((sparkline(GOOGLEFINANCE($A489,""price"",TODAY()-30,TODAY(),""DAILY""),{""charttype"",""line"";""linewidth"",1;""color"",""#5f88cc""})),"""")"),"")</f>
        <v/>
      </c>
      <c r="H489" s="49">
        <f>IFERROR(__xludf.DUMMYFUNCTION("IFERROR((((GOOGLEFINANCE(A489))-(INDEX(GoogleFinance(A489,""PRICE"",$AQ$1),2,2)))/(INDEX(GoogleFinance(A489,""PRICE"",$AQ$1),2,2))),"""")"),-0.16926770708283315)</f>
        <v>-0.1692677071</v>
      </c>
      <c r="I489" s="47">
        <f>IFERROR(__xludf.DUMMYFUNCTION("IFERROR((GOOGLEFINANCE($A489,""high52"")),"""")"),11.09)</f>
        <v>11.09</v>
      </c>
      <c r="J489" s="48" t="str">
        <f>IFERROR(__xludf.DUMMYFUNCTION("IFERROR((sparkline(GOOGLEFINANCE($A489,""price"",TODAY()-365,TODAY(),""DAILY""),{""charttype"",""line"";""linewidth"",1;""color"",""#5f88cc""})),"""")"),"")</f>
        <v/>
      </c>
      <c r="K489" s="50">
        <f>IFERROR(__xludf.DUMMYFUNCTION("IFERROR((((GOOGLEFINANCE(A489))-(INDEX(GoogleFinance(A489,""PRICE"",$AP$1),2,2)))/(INDEX(GoogleFinance(A489,""PRICE"",$AP$1),2,2))),"""")"),8.611111111111112)</f>
        <v>8.611111111</v>
      </c>
      <c r="L489" s="51">
        <f t="shared" si="1"/>
        <v>-0.3760144274</v>
      </c>
      <c r="M489" s="52">
        <f>IFERROR((VLOOKUP($A489,'Dados StatusInvest'!$A:$AZ,COLUMN(M489)-$A$5,0)*VLOOKUP($A489,'Dados StatusInvest'!$A:$AZ,2,0)/$F489/100),0)</f>
        <v>-4.49422341</v>
      </c>
      <c r="N489" s="53">
        <f>IFERROR((VLOOKUP($A489,'Dados StatusInvest'!$A:$AZ,COLUMN(N489)-$A$5,0)/VLOOKUP($A489,'Dados StatusInvest'!$A:$AZ,2,0)*$F489),"")</f>
        <v>-641.1068242</v>
      </c>
      <c r="O489" s="53">
        <f>IFERROR((VLOOKUP($A489,'Dados StatusInvest'!$A:$AZ,COLUMN(O489)-$A$5,0)/VLOOKUP($A489,'Dados StatusInvest'!$A:$AZ,2,0)*$F489),0)</f>
        <v>-14.66794682</v>
      </c>
      <c r="P489" s="54">
        <f>IFERROR((VLOOKUP($A489,'Dados StatusInvest'!$A:$AZ,COLUMN(P489)-$A$5,0)/VLOOKUP($A489,'Dados StatusInvest'!$A:$AZ,2,0)*$F489),0)</f>
        <v>-11.92856721</v>
      </c>
      <c r="Q489" s="55">
        <f>IFERROR((VLOOKUP($A489,'Dados StatusInvest'!$A:$AZ,COLUMN(Q489)-$A$5,0)/100),0)</f>
        <v>0.0001</v>
      </c>
      <c r="R489" s="56">
        <f>VLOOKUP($A489,'Dados StatusInvest'!$A:$AZ,COLUMN(R489)-$A$5,0)</f>
        <v>0</v>
      </c>
      <c r="S489" s="56">
        <f>IFERROR((VLOOKUP($A489,'Dados StatusInvest'!$A:$AZ,COLUMN(S489)-$A$5,0)),0)</f>
        <v>65.94</v>
      </c>
      <c r="T489" s="53">
        <f>IFERROR((VLOOKUP($A489,'Dados StatusInvest'!$A:$AZ,COLUMN(T489)-$A$5,0)/VLOOKUP($A489,'Dados StatusInvest'!$A:$AZ,2,0)*$F489),0)</f>
        <v>-9.43450517</v>
      </c>
      <c r="U489" s="53">
        <f>IFERROR((VLOOKUP($A489,'Dados StatusInvest'!$A:$AZ,COLUMN(U489)-$A$5,0)-VLOOKUP($A489,'Dados StatusInvest'!$A:$AZ,COLUMN(U489)-$A$5-1,0)+T489),0)</f>
        <v>-8.83450517</v>
      </c>
      <c r="V489" s="56">
        <f>IFERROR((VLOOKUP($A489,'Dados StatusInvest'!$A:$AZ,COLUMN(V489)-$A$5,0)),0)</f>
        <v>0.37</v>
      </c>
      <c r="W489" s="56">
        <f>IFERROR((VLOOKUP($A489,'Dados StatusInvest'!$A:$AZ,COLUMN(W489)-$A$5,0)),0)</f>
        <v>-75.38</v>
      </c>
      <c r="X489" s="53">
        <f>IFERROR((VLOOKUP($A489,'Dados StatusInvest'!$A:$AZ,COLUMN(X489)-$A$5,0)/VLOOKUP($A489,'Dados StatusInvest'!$A:$AZ,2,0)*$F489),0)</f>
        <v>-54.30717873</v>
      </c>
      <c r="Y489" s="54">
        <f>IFERROR((VLOOKUP($A489,'Dados StatusInvest'!$A:$AZ,COLUMN(Y489)-$A$5,0)/VLOOKUP($A489,'Dados StatusInvest'!$A:$AZ,2,0)*$F489),0)</f>
        <v>56.42304284</v>
      </c>
      <c r="Z489" s="56">
        <f>IFERROR((VLOOKUP($A489,'Dados StatusInvest'!$A:$AZ,COLUMN(Z489)-$A$5,0)),0)</f>
        <v>-0.7</v>
      </c>
      <c r="AA489" s="57">
        <f>IFERROR((VLOOKUP($A489,'Dados StatusInvest'!$A:$AZ,COLUMN(AA489)-$A$5,0)),0)</f>
        <v>1.7</v>
      </c>
      <c r="AB489" s="57">
        <f>IFERROR((VLOOKUP($A489,'Dados StatusInvest'!$A:$AZ,COLUMN(AB489)-$A$5,0)),0)</f>
        <v>0.08</v>
      </c>
      <c r="AC489" s="58">
        <f>IFERROR((VLOOKUP($A489,'Dados StatusInvest'!$A:$AZ,COLUMN(AC489)-$A$5,0)),0)</f>
        <v>1.25</v>
      </c>
      <c r="AD489" s="57">
        <f>IFERROR((VLOOKUP($A489,'Dados StatusInvest'!$A:$AZ,COLUMN(AD489)-$A$5,0)),0)</f>
        <v>0</v>
      </c>
      <c r="AE489" s="56">
        <f>IFERROR((VLOOKUP($A489,'Dados StatusInvest'!$A:$AZ,COLUMN(AE489)-$A$5,0)),0)</f>
        <v>36834759</v>
      </c>
      <c r="AF489" s="56">
        <f>IFERROR((VLOOKUP($A489,'Dados StatusInvest'!$A:$AZ,COLUMN(AF489)-$A$5,0)),0)</f>
        <v>-0.85</v>
      </c>
      <c r="AG489" s="56">
        <f>IFERROR((VLOOKUP($A489,'Dados StatusInvest'!$A:$AZ,COLUMN(AG489)-$A$5,0)),0)</f>
        <v>-0.64</v>
      </c>
      <c r="AH489" s="56">
        <f>IFERROR((VLOOKUP($A489,'Dados StatusInvest'!$A:$AZ,COLUMN(AH489)-$A$5,0)),0)</f>
        <v>-0.17</v>
      </c>
      <c r="AI489" s="57">
        <f>IFERROR((VLOOKUP($A489,'Dados StatusInvest'!$A:$AZ,COLUMN(AI489)-$A$5,0)),0)</f>
        <v>175234117.9</v>
      </c>
      <c r="AJ489" s="59" t="str">
        <f>IFERROR((VLOOKUP($A489,'Dados StatusInvest'!$A:$AZ,COLUMN(AJ489)-$A$5,0)),0)</f>
        <v/>
      </c>
      <c r="AK489" s="60">
        <f>IFERROR(__xludf.DUMMYFUNCTION("IFERROR(GOOGLEFINANCE($A489,""high""),"""")"),7.06)</f>
        <v>7.06</v>
      </c>
      <c r="AL489" s="60">
        <f>IFERROR(__xludf.DUMMYFUNCTION("IFERROR(GOOGLEFINANCE($A489,""low""),"""")"),6.75)</f>
        <v>6.75</v>
      </c>
      <c r="AM489" s="61">
        <f t="shared" si="2"/>
        <v>0.04592592593</v>
      </c>
      <c r="AN489" s="62">
        <f>IFERROR(__xludf.DUMMYFUNCTION("IFERROR((GOOGLEFINANCE($A489,""volume"")),0)"),262300.0)</f>
        <v>262300</v>
      </c>
      <c r="AO489" s="60">
        <f>IFERROR(__xludf.DUMMYFUNCTION("IFERROR((GOOGLEFINANCE($A489,""closeyest"")),"""")"),6.77)</f>
        <v>6.77</v>
      </c>
      <c r="AP489" s="60">
        <f>IFERROR(__xludf.DUMMYFUNCTION("IFERROR((GOOGLEFINANCE($A489,""shares"")),"""")"),2.1158417E7)</f>
        <v>21158417</v>
      </c>
      <c r="AQ489" s="18"/>
    </row>
    <row r="490">
      <c r="A490" s="45" t="str">
        <f>'Dados StatusInvest'!A485:A1104</f>
        <v>RDNI3</v>
      </c>
      <c r="B490" s="46" t="str">
        <f>IFERROR(__xludf.DUMMYFUNCTION("IFERROR((GOOGLEFINANCE(A490,""name"")),"""")"),"")</f>
        <v/>
      </c>
      <c r="C490" s="46" t="str">
        <f>IFERROR((VLOOKUP(LEFT($A490,4),Setor!$A:$E,3,0)),"")</f>
        <v>Consumo Cíclico</v>
      </c>
      <c r="D490" s="46" t="str">
        <f>IFERROR((VLOOKUP(LEFT($A490,4),Setor!$A:$E,4,0)),"")</f>
        <v>Construção Civil</v>
      </c>
      <c r="E490" s="46" t="str">
        <f>IFERROR((VLOOKUP(LEFT($A490,4),Setor!$A:$E,5,0)),"")</f>
        <v>Incorporações</v>
      </c>
      <c r="F490" s="47" t="str">
        <f>IFERROR(__xludf.DUMMYFUNCTION("IFERROR((GOOGLEFINANCE(A490)),"""")"),"")</f>
        <v/>
      </c>
      <c r="G490" s="48" t="str">
        <f>IFERROR(__xludf.DUMMYFUNCTION("IFERROR((sparkline(GOOGLEFINANCE($A490,""price"",TODAY()-30,TODAY(),""DAILY""),{""charttype"",""line"";""linewidth"",1;""color"",""#5f88cc""})),"""")"),"")</f>
        <v/>
      </c>
      <c r="H490" s="49" t="str">
        <f>IFERROR(__xludf.DUMMYFUNCTION("IFERROR((((GOOGLEFINANCE(A490))-(INDEX(GoogleFinance(A490,""PRICE"",$AQ$1),2,2)))/(INDEX(GoogleFinance(A490,""PRICE"",$AQ$1),2,2))),"""")"),"")</f>
        <v/>
      </c>
      <c r="I490" s="47" t="str">
        <f>IFERROR(__xludf.DUMMYFUNCTION("IFERROR((GOOGLEFINANCE($A490,""high52"")),"""")"),"")</f>
        <v/>
      </c>
      <c r="J490" s="48" t="str">
        <f>IFERROR(__xludf.DUMMYFUNCTION("IFERROR((sparkline(GOOGLEFINANCE($A490,""price"",TODAY()-365,TODAY(),""DAILY""),{""charttype"",""line"";""linewidth"",1;""color"",""#5f88cc""})),"""")"),"")</f>
        <v/>
      </c>
      <c r="K490" s="50" t="str">
        <f>IFERROR(__xludf.DUMMYFUNCTION("IFERROR((((GOOGLEFINANCE(A490))-(INDEX(GoogleFinance(A490,""PRICE"",$AP$1),2,2)))/(INDEX(GoogleFinance(A490,""PRICE"",$AP$1),2,2))),"""")"),"")</f>
        <v/>
      </c>
      <c r="L490" s="51">
        <f t="shared" si="1"/>
        <v>0</v>
      </c>
      <c r="M490" s="52">
        <f>IFERROR((VLOOKUP($A490,'Dados StatusInvest'!$A:$AZ,COLUMN(M490)-$A$5,0)*VLOOKUP($A490,'Dados StatusInvest'!$A:$AZ,2,0)/$F490/100),0)</f>
        <v>0</v>
      </c>
      <c r="N490" s="53">
        <f>IFERROR((VLOOKUP($A490,'Dados StatusInvest'!$A:$AZ,COLUMN(N490)-$A$5,0)/VLOOKUP($A490,'Dados StatusInvest'!$A:$AZ,2,0)*$F490),"")</f>
        <v>0</v>
      </c>
      <c r="O490" s="53">
        <f>IFERROR((VLOOKUP($A490,'Dados StatusInvest'!$A:$AZ,COLUMN(O490)-$A$5,0)/VLOOKUP($A490,'Dados StatusInvest'!$A:$AZ,2,0)*$F490),0)</f>
        <v>0</v>
      </c>
      <c r="P490" s="54">
        <f>IFERROR((VLOOKUP($A490,'Dados StatusInvest'!$A:$AZ,COLUMN(P490)-$A$5,0)/VLOOKUP($A490,'Dados StatusInvest'!$A:$AZ,2,0)*$F490),0)</f>
        <v>0</v>
      </c>
      <c r="Q490" s="55">
        <f>IFERROR((VLOOKUP($A490,'Dados StatusInvest'!$A:$AZ,COLUMN(Q490)-$A$5,0)/100),0)</f>
        <v>-0.0496</v>
      </c>
      <c r="R490" s="56">
        <f>VLOOKUP($A490,'Dados StatusInvest'!$A:$AZ,COLUMN(R490)-$A$5,0)</f>
        <v>2.77</v>
      </c>
      <c r="S490" s="56">
        <f>IFERROR((VLOOKUP($A490,'Dados StatusInvest'!$A:$AZ,COLUMN(S490)-$A$5,0)),0)</f>
        <v>0.25</v>
      </c>
      <c r="T490" s="53">
        <f>IFERROR((VLOOKUP($A490,'Dados StatusInvest'!$A:$AZ,COLUMN(T490)-$A$5,0)/VLOOKUP($A490,'Dados StatusInvest'!$A:$AZ,2,0)*$F490),0)</f>
        <v>0</v>
      </c>
      <c r="U490" s="53">
        <f>IFERROR((VLOOKUP($A490,'Dados StatusInvest'!$A:$AZ,COLUMN(U490)-$A$5,0)-VLOOKUP($A490,'Dados StatusInvest'!$A:$AZ,COLUMN(U490)-$A$5-1,0)+T490),0)</f>
        <v>-0.57</v>
      </c>
      <c r="V490" s="56">
        <f>IFERROR((VLOOKUP($A490,'Dados StatusInvest'!$A:$AZ,COLUMN(V490)-$A$5,0)),0)</f>
        <v>1.61</v>
      </c>
      <c r="W490" s="56">
        <f>IFERROR((VLOOKUP($A490,'Dados StatusInvest'!$A:$AZ,COLUMN(W490)-$A$5,0)),0)</f>
        <v>-94.52</v>
      </c>
      <c r="X490" s="53">
        <f>IFERROR((VLOOKUP($A490,'Dados StatusInvest'!$A:$AZ,COLUMN(X490)-$A$5,0)/VLOOKUP($A490,'Dados StatusInvest'!$A:$AZ,2,0)*$F490),0)</f>
        <v>0</v>
      </c>
      <c r="Y490" s="54">
        <f>IFERROR((VLOOKUP($A490,'Dados StatusInvest'!$A:$AZ,COLUMN(Y490)-$A$5,0)/VLOOKUP($A490,'Dados StatusInvest'!$A:$AZ,2,0)*$F490),0)</f>
        <v>0</v>
      </c>
      <c r="Z490" s="56">
        <f>IFERROR((VLOOKUP($A490,'Dados StatusInvest'!$A:$AZ,COLUMN(Z490)-$A$5,0)),0)</f>
        <v>0.14</v>
      </c>
      <c r="AA490" s="57">
        <f>IFERROR((VLOOKUP($A490,'Dados StatusInvest'!$A:$AZ,COLUMN(AA490)-$A$5,0)),0)</f>
        <v>0.84</v>
      </c>
      <c r="AB490" s="57">
        <f>IFERROR((VLOOKUP($A490,'Dados StatusInvest'!$A:$AZ,COLUMN(AB490)-$A$5,0)),0)</f>
        <v>0.31</v>
      </c>
      <c r="AC490" s="58">
        <f>IFERROR((VLOOKUP($A490,'Dados StatusInvest'!$A:$AZ,COLUMN(AC490)-$A$5,0)),0)</f>
        <v>11.1</v>
      </c>
      <c r="AD490" s="57">
        <f>IFERROR((VLOOKUP($A490,'Dados StatusInvest'!$A:$AZ,COLUMN(AD490)-$A$5,0)),0)</f>
        <v>0</v>
      </c>
      <c r="AE490" s="56">
        <f>IFERROR((VLOOKUP($A490,'Dados StatusInvest'!$A:$AZ,COLUMN(AE490)-$A$5,0)),0)</f>
        <v>3199</v>
      </c>
      <c r="AF490" s="56">
        <f>IFERROR((VLOOKUP($A490,'Dados StatusInvest'!$A:$AZ,COLUMN(AF490)-$A$5,0)),0)</f>
        <v>3.79</v>
      </c>
      <c r="AG490" s="56">
        <f>IFERROR((VLOOKUP($A490,'Dados StatusInvest'!$A:$AZ,COLUMN(AG490)-$A$5,0)),0)</f>
        <v>-3.58</v>
      </c>
      <c r="AH490" s="56">
        <f>IFERROR((VLOOKUP($A490,'Dados StatusInvest'!$A:$AZ,COLUMN(AH490)-$A$5,0)),0)</f>
        <v>0.01</v>
      </c>
      <c r="AI490" s="57">
        <f>IFERROR((VLOOKUP($A490,'Dados StatusInvest'!$A:$AZ,COLUMN(AI490)-$A$5,0)),0)</f>
        <v>93667389.12</v>
      </c>
      <c r="AJ490" s="59" t="str">
        <f>IFERROR((VLOOKUP($A490,'Dados StatusInvest'!$A:$AZ,COLUMN(AJ490)-$A$5,0)),0)</f>
        <v/>
      </c>
      <c r="AK490" s="60" t="str">
        <f>IFERROR(__xludf.DUMMYFUNCTION("IFERROR(GOOGLEFINANCE($A490,""high""),"""")"),"")</f>
        <v/>
      </c>
      <c r="AL490" s="60" t="str">
        <f>IFERROR(__xludf.DUMMYFUNCTION("IFERROR(GOOGLEFINANCE($A490,""low""),"""")"),"")</f>
        <v/>
      </c>
      <c r="AM490" s="61">
        <f t="shared" si="2"/>
        <v>0</v>
      </c>
      <c r="AN490" s="62">
        <f>IFERROR(__xludf.DUMMYFUNCTION("IFERROR((GOOGLEFINANCE($A490,""volume"")),0)"),0.0)</f>
        <v>0</v>
      </c>
      <c r="AO490" s="60" t="str">
        <f>IFERROR(__xludf.DUMMYFUNCTION("IFERROR((GOOGLEFINANCE($A490,""closeyest"")),"""")"),"")</f>
        <v/>
      </c>
      <c r="AP490" s="60" t="str">
        <f>IFERROR(__xludf.DUMMYFUNCTION("IFERROR((GOOGLEFINANCE($A490,""shares"")),"""")"),"")</f>
        <v/>
      </c>
      <c r="AQ490" s="18"/>
    </row>
    <row r="491">
      <c r="A491" s="45" t="str">
        <f>'Dados StatusInvest'!A486:A1105</f>
        <v>RDOR3</v>
      </c>
      <c r="B491" s="46" t="str">
        <f>IFERROR(__xludf.DUMMYFUNCTION("IFERROR((GOOGLEFINANCE(A491,""name"")),"""")"),"Rede D'Or Sao Luiz SA")</f>
        <v>Rede D'Or Sao Luiz SA</v>
      </c>
      <c r="C491" s="46" t="str">
        <f>IFERROR((VLOOKUP(LEFT($A491,4),Setor!$A:$E,3,0)),"")</f>
        <v/>
      </c>
      <c r="D491" s="46" t="str">
        <f>IFERROR((VLOOKUP(LEFT($A491,4),Setor!$A:$E,4,0)),"")</f>
        <v/>
      </c>
      <c r="E491" s="46" t="str">
        <f>IFERROR((VLOOKUP(LEFT($A491,4),Setor!$A:$E,5,0)),"")</f>
        <v/>
      </c>
      <c r="F491" s="47">
        <f>IFERROR(__xludf.DUMMYFUNCTION("IFERROR((GOOGLEFINANCE(A491)),"""")"),44.18)</f>
        <v>44.18</v>
      </c>
      <c r="G491" s="48" t="str">
        <f>IFERROR(__xludf.DUMMYFUNCTION("IFERROR((sparkline(GOOGLEFINANCE($A491,""price"",TODAY()-30,TODAY(),""DAILY""),{""charttype"",""line"";""linewidth"",1;""color"",""#5f88cc""})),"""")"),"")</f>
        <v/>
      </c>
      <c r="H491" s="49">
        <f>IFERROR(__xludf.DUMMYFUNCTION("IFERROR((((GOOGLEFINANCE(A491))-(INDEX(GoogleFinance(A491,""PRICE"",$AQ$1),2,2)))/(INDEX(GoogleFinance(A491,""PRICE"",$AQ$1),2,2))),"""")"),0.07624847746650433)</f>
        <v>0.07624847747</v>
      </c>
      <c r="I491" s="47">
        <f>IFERROR(__xludf.DUMMYFUNCTION("IFERROR((GOOGLEFINANCE($A491,""high52"")),"""")"),45.1)</f>
        <v>45.1</v>
      </c>
      <c r="J491" s="48" t="str">
        <f>IFERROR(__xludf.DUMMYFUNCTION("IFERROR((sparkline(GOOGLEFINANCE($A491,""price"",TODAY()-365,TODAY(),""DAILY""),{""charttype"",""line"";""linewidth"",1;""color"",""#5f88cc""})),"""")"),"")</f>
        <v/>
      </c>
      <c r="K491" s="50">
        <f>IFERROR(__xludf.DUMMYFUNCTION("IFERROR((((GOOGLEFINANCE(A491))-(INDEX(GoogleFinance(A491,""PRICE"",$AP$1),2,2)))/(INDEX(GoogleFinance(A491,""PRICE"",$AP$1),2,2))),"""")"),0.46875000000000006)</f>
        <v>0.46875</v>
      </c>
      <c r="L491" s="51">
        <f t="shared" si="1"/>
        <v>-0.02039911308</v>
      </c>
      <c r="M491" s="52">
        <f>IFERROR((VLOOKUP($A491,'Dados StatusInvest'!$A:$AZ,COLUMN(M491)-$A$5,0)*VLOOKUP($A491,'Dados StatusInvest'!$A:$AZ,2,0)/$F491/100),0)</f>
        <v>0.1675263015</v>
      </c>
      <c r="N491" s="53">
        <f>IFERROR((VLOOKUP($A491,'Dados StatusInvest'!$A:$AZ,COLUMN(N491)-$A$5,0)/VLOOKUP($A491,'Dados StatusInvest'!$A:$AZ,2,0)*$F491),"")</f>
        <v>8.105604839</v>
      </c>
      <c r="O491" s="53">
        <f>IFERROR((VLOOKUP($A491,'Dados StatusInvest'!$A:$AZ,COLUMN(O491)-$A$5,0)/VLOOKUP($A491,'Dados StatusInvest'!$A:$AZ,2,0)*$F491),0)</f>
        <v>11.25283602</v>
      </c>
      <c r="P491" s="54">
        <f>IFERROR((VLOOKUP($A491,'Dados StatusInvest'!$A:$AZ,COLUMN(P491)-$A$5,0)/VLOOKUP($A491,'Dados StatusInvest'!$A:$AZ,2,0)*$F491),0)</f>
        <v>11.22314516</v>
      </c>
      <c r="Q491" s="55">
        <f>IFERROR((VLOOKUP($A491,'Dados StatusInvest'!$A:$AZ,COLUMN(Q491)-$A$5,0)/100),0)</f>
        <v>-0.0003</v>
      </c>
      <c r="R491" s="56">
        <f>VLOOKUP($A491,'Dados StatusInvest'!$A:$AZ,COLUMN(R491)-$A$5,0)</f>
        <v>-0.01</v>
      </c>
      <c r="S491" s="56">
        <f>IFERROR((VLOOKUP($A491,'Dados StatusInvest'!$A:$AZ,COLUMN(S491)-$A$5,0)),0)</f>
        <v>1.89</v>
      </c>
      <c r="T491" s="53">
        <f>IFERROR((VLOOKUP($A491,'Dados StatusInvest'!$A:$AZ,COLUMN(T491)-$A$5,0)/VLOOKUP($A491,'Dados StatusInvest'!$A:$AZ,2,0)*$F491),0)</f>
        <v>2.563310932</v>
      </c>
      <c r="U491" s="53">
        <f>IFERROR((VLOOKUP($A491,'Dados StatusInvest'!$A:$AZ,COLUMN(U491)-$A$5,0)-VLOOKUP($A491,'Dados StatusInvest'!$A:$AZ,COLUMN(U491)-$A$5-1,0)+T491),0)</f>
        <v>-1.996689068</v>
      </c>
      <c r="V491" s="56">
        <f>IFERROR((VLOOKUP($A491,'Dados StatusInvest'!$A:$AZ,COLUMN(V491)-$A$5,0)),0)</f>
        <v>3.11</v>
      </c>
      <c r="W491" s="56">
        <f>IFERROR((VLOOKUP($A491,'Dados StatusInvest'!$A:$AZ,COLUMN(W491)-$A$5,0)),0)</f>
        <v>16.87</v>
      </c>
      <c r="X491" s="53">
        <f>IFERROR((VLOOKUP($A491,'Dados StatusInvest'!$A:$AZ,COLUMN(X491)-$A$5,0)/VLOOKUP($A491,'Dados StatusInvest'!$A:$AZ,2,0)*$F491),0)</f>
        <v>3.998369176</v>
      </c>
      <c r="Y491" s="54">
        <f>IFERROR((VLOOKUP($A491,'Dados StatusInvest'!$A:$AZ,COLUMN(Y491)-$A$5,0)/VLOOKUP($A491,'Dados StatusInvest'!$A:$AZ,2,0)*$F491),0)</f>
        <v>11.6388172</v>
      </c>
      <c r="Z491" s="56">
        <f>IFERROR((VLOOKUP($A491,'Dados StatusInvest'!$A:$AZ,COLUMN(Z491)-$A$5,0)),0)</f>
        <v>0.24</v>
      </c>
      <c r="AA491" s="57">
        <f>IFERROR((VLOOKUP($A491,'Dados StatusInvest'!$A:$AZ,COLUMN(AA491)-$A$5,0)),0)</f>
        <v>0.74</v>
      </c>
      <c r="AB491" s="57">
        <f>IFERROR((VLOOKUP($A491,'Dados StatusInvest'!$A:$AZ,COLUMN(AB491)-$A$5,0)),0)</f>
        <v>0.49</v>
      </c>
      <c r="AC491" s="58">
        <f>IFERROR((VLOOKUP($A491,'Dados StatusInvest'!$A:$AZ,COLUMN(AC491)-$A$5,0)),0)</f>
        <v>30.58</v>
      </c>
      <c r="AD491" s="57">
        <f>IFERROR((VLOOKUP($A491,'Dados StatusInvest'!$A:$AZ,COLUMN(AD491)-$A$5,0)),0)</f>
        <v>30.64</v>
      </c>
      <c r="AE491" s="56">
        <f>IFERROR((VLOOKUP($A491,'Dados StatusInvest'!$A:$AZ,COLUMN(AE491)-$A$5,0)),0)</f>
        <v>248000000</v>
      </c>
      <c r="AF491" s="56">
        <f>IFERROR((VLOOKUP($A491,'Dados StatusInvest'!$A:$AZ,COLUMN(AF491)-$A$5,0)),0)</f>
        <v>11.5</v>
      </c>
      <c r="AG491" s="56">
        <f>IFERROR((VLOOKUP($A491,'Dados StatusInvest'!$A:$AZ,COLUMN(AG491)-$A$5,0)),0)</f>
        <v>1.94</v>
      </c>
      <c r="AH491" s="56">
        <f>IFERROR((VLOOKUP($A491,'Dados StatusInvest'!$A:$AZ,COLUMN(AH491)-$A$5,0)),0)</f>
        <v>1.13</v>
      </c>
      <c r="AI491" s="57">
        <f>IFERROR((VLOOKUP($A491,'Dados StatusInvest'!$A:$AZ,COLUMN(AI491)-$A$5,0)),0)</f>
        <v>102194000000</v>
      </c>
      <c r="AJ491" s="59" t="str">
        <f>IFERROR((VLOOKUP($A491,'Dados StatusInvest'!$A:$AZ,COLUMN(AJ491)-$A$5,0)),0)</f>
        <v/>
      </c>
      <c r="AK491" s="60">
        <f>IFERROR(__xludf.DUMMYFUNCTION("IFERROR(GOOGLEFINANCE($A491,""high""),"""")"),44.46)</f>
        <v>44.46</v>
      </c>
      <c r="AL491" s="60">
        <f>IFERROR(__xludf.DUMMYFUNCTION("IFERROR(GOOGLEFINANCE($A491,""low""),"""")"),44.05)</f>
        <v>44.05</v>
      </c>
      <c r="AM491" s="61">
        <f t="shared" si="2"/>
        <v>0.009307604994</v>
      </c>
      <c r="AN491" s="62">
        <f>IFERROR(__xludf.DUMMYFUNCTION("IFERROR((GOOGLEFINANCE($A491,""volume"")),0)"),96300.0)</f>
        <v>96300</v>
      </c>
      <c r="AO491" s="60">
        <f>IFERROR(__xludf.DUMMYFUNCTION("IFERROR((GOOGLEFINANCE($A491,""closeyest"")),"""")"),44.64)</f>
        <v>44.64</v>
      </c>
      <c r="AP491" s="60">
        <f>IFERROR(__xludf.DUMMYFUNCTION("IFERROR((GOOGLEFINANCE($A491,""shares"")),"""")"),2.28929259E9)</f>
        <v>2289292590</v>
      </c>
      <c r="AQ491" s="18"/>
    </row>
    <row r="492">
      <c r="A492" s="45" t="str">
        <f>'Dados StatusInvest'!A487:A1106</f>
        <v>RECV3</v>
      </c>
      <c r="B492" s="46" t="str">
        <f>IFERROR(__xludf.DUMMYFUNCTION("IFERROR((GOOGLEFINANCE(A492,""name"")),"""")"),"Petroreconcavo SA")</f>
        <v>Petroreconcavo SA</v>
      </c>
      <c r="C492" s="46" t="str">
        <f>IFERROR((VLOOKUP(LEFT($A492,4),Setor!$A:$E,3,0)),"")</f>
        <v/>
      </c>
      <c r="D492" s="46" t="str">
        <f>IFERROR((VLOOKUP(LEFT($A492,4),Setor!$A:$E,4,0)),"")</f>
        <v/>
      </c>
      <c r="E492" s="46" t="str">
        <f>IFERROR((VLOOKUP(LEFT($A492,4),Setor!$A:$E,5,0)),"")</f>
        <v/>
      </c>
      <c r="F492" s="47">
        <f>IFERROR(__xludf.DUMMYFUNCTION("IFERROR((GOOGLEFINANCE(A492)),"""")"),11.46)</f>
        <v>11.46</v>
      </c>
      <c r="G492" s="48" t="str">
        <f>IFERROR(__xludf.DUMMYFUNCTION("IFERROR((sparkline(GOOGLEFINANCE($A492,""price"",TODAY()-30,TODAY(),""DAILY""),{""charttype"",""line"";""linewidth"",1;""color"",""#5f88cc""})),"""")"),"")</f>
        <v/>
      </c>
      <c r="H492" s="49">
        <f>IFERROR(__xludf.DUMMYFUNCTION("IFERROR((((GOOGLEFINANCE(A492))-(INDEX(GoogleFinance(A492,""PRICE"",$AQ$1),2,2)))/(INDEX(GoogleFinance(A492,""PRICE"",$AQ$1),2,2))),"""")"),0.043715846994535554)</f>
        <v>0.04371584699</v>
      </c>
      <c r="I492" s="47">
        <f>IFERROR(__xludf.DUMMYFUNCTION("IFERROR((GOOGLEFINANCE($A492,""high52"")),"""")"),14.68)</f>
        <v>14.68</v>
      </c>
      <c r="J492" s="48" t="str">
        <f>IFERROR(__xludf.DUMMYFUNCTION("IFERROR((sparkline(GOOGLEFINANCE($A492,""price"",TODAY()-365,TODAY(),""DAILY""),{""charttype"",""line"";""linewidth"",1;""color"",""#5f88cc""})),"""")"),"")</f>
        <v/>
      </c>
      <c r="K492" s="50">
        <f>IFERROR(__xludf.DUMMYFUNCTION("IFERROR((((GOOGLEFINANCE(A492))-(INDEX(GoogleFinance(A492,""PRICE"",$AP$1),2,2)))/(INDEX(GoogleFinance(A492,""PRICE"",$AP$1),2,2))),"""")"),-0.32389380530973444)</f>
        <v>-0.3238938053</v>
      </c>
      <c r="L492" s="51">
        <f t="shared" si="1"/>
        <v>-0.219346049</v>
      </c>
      <c r="M492" s="52">
        <f>IFERROR((VLOOKUP($A492,'Dados StatusInvest'!$A:$AZ,COLUMN(M492)-$A$5,0)*VLOOKUP($A492,'Dados StatusInvest'!$A:$AZ,2,0)/$F492/100),0)</f>
        <v>0.2525013089</v>
      </c>
      <c r="N492" s="53">
        <f>IFERROR((VLOOKUP($A492,'Dados StatusInvest'!$A:$AZ,COLUMN(N492)-$A$5,0)/VLOOKUP($A492,'Dados StatusInvest'!$A:$AZ,2,0)*$F492),"")</f>
        <v>18.95889182</v>
      </c>
      <c r="O492" s="53">
        <f>IFERROR((VLOOKUP($A492,'Dados StatusInvest'!$A:$AZ,COLUMN(O492)-$A$5,0)/VLOOKUP($A492,'Dados StatusInvest'!$A:$AZ,2,0)*$F492),0)</f>
        <v>4.011503958</v>
      </c>
      <c r="P492" s="54">
        <f>IFERROR((VLOOKUP($A492,'Dados StatusInvest'!$A:$AZ,COLUMN(P492)-$A$5,0)/VLOOKUP($A492,'Dados StatusInvest'!$A:$AZ,2,0)*$F492),0)</f>
        <v>5.775356201</v>
      </c>
      <c r="Q492" s="55">
        <f>IFERROR((VLOOKUP($A492,'Dados StatusInvest'!$A:$AZ,COLUMN(Q492)-$A$5,0)/100),0)</f>
        <v>0.0175</v>
      </c>
      <c r="R492" s="56">
        <f>VLOOKUP($A492,'Dados StatusInvest'!$A:$AZ,COLUMN(R492)-$A$5,0)</f>
        <v>0.32</v>
      </c>
      <c r="S492" s="56">
        <f>IFERROR((VLOOKUP($A492,'Dados StatusInvest'!$A:$AZ,COLUMN(S492)-$A$5,0)),0)</f>
        <v>1.01</v>
      </c>
      <c r="T492" s="53">
        <f>IFERROR((VLOOKUP($A492,'Dados StatusInvest'!$A:$AZ,COLUMN(T492)-$A$5,0)/VLOOKUP($A492,'Dados StatusInvest'!$A:$AZ,2,0)*$F492),0)</f>
        <v>4.515461741</v>
      </c>
      <c r="U492" s="53">
        <f>IFERROR((VLOOKUP($A492,'Dados StatusInvest'!$A:$AZ,COLUMN(U492)-$A$5,0)-VLOOKUP($A492,'Dados StatusInvest'!$A:$AZ,COLUMN(U492)-$A$5-1,0)+T492),0)</f>
        <v>-0.4745382586</v>
      </c>
      <c r="V492" s="56">
        <f>IFERROR((VLOOKUP($A492,'Dados StatusInvest'!$A:$AZ,COLUMN(V492)-$A$5,0)),0)</f>
        <v>2.16</v>
      </c>
      <c r="W492" s="56">
        <f>IFERROR((VLOOKUP($A492,'Dados StatusInvest'!$A:$AZ,COLUMN(W492)-$A$5,0)),0)</f>
        <v>13.59</v>
      </c>
      <c r="X492" s="53">
        <f>IFERROR((VLOOKUP($A492,'Dados StatusInvest'!$A:$AZ,COLUMN(X492)-$A$5,0)/VLOOKUP($A492,'Dados StatusInvest'!$A:$AZ,2,0)*$F492),0)</f>
        <v>7.912137203</v>
      </c>
      <c r="Y492" s="54">
        <f>IFERROR((VLOOKUP($A492,'Dados StatusInvest'!$A:$AZ,COLUMN(Y492)-$A$5,0)/VLOOKUP($A492,'Dados StatusInvest'!$A:$AZ,2,0)*$F492),0)</f>
        <v>9.504643799</v>
      </c>
      <c r="Z492" s="56">
        <f>IFERROR((VLOOKUP($A492,'Dados StatusInvest'!$A:$AZ,COLUMN(Z492)-$A$5,0)),0)</f>
        <v>0.58</v>
      </c>
      <c r="AA492" s="57">
        <f>IFERROR((VLOOKUP($A492,'Dados StatusInvest'!$A:$AZ,COLUMN(AA492)-$A$5,0)),0)</f>
        <v>0.42</v>
      </c>
      <c r="AB492" s="57">
        <f>IFERROR((VLOOKUP($A492,'Dados StatusInvest'!$A:$AZ,COLUMN(AB492)-$A$5,0)),0)</f>
        <v>0.42</v>
      </c>
      <c r="AC492" s="58">
        <f>IFERROR((VLOOKUP($A492,'Dados StatusInvest'!$A:$AZ,COLUMN(AC492)-$A$5,0)),0)</f>
        <v>57.21</v>
      </c>
      <c r="AD492" s="57">
        <f>IFERROR((VLOOKUP($A492,'Dados StatusInvest'!$A:$AZ,COLUMN(AD492)-$A$5,0)),0)</f>
        <v>57.65</v>
      </c>
      <c r="AE492" s="56">
        <f>IFERROR((VLOOKUP($A492,'Dados StatusInvest'!$A:$AZ,COLUMN(AE492)-$A$5,0)),0)</f>
        <v>39374635</v>
      </c>
      <c r="AF492" s="56">
        <f>IFERROR((VLOOKUP($A492,'Dados StatusInvest'!$A:$AZ,COLUMN(AF492)-$A$5,0)),0)</f>
        <v>15.55</v>
      </c>
      <c r="AG492" s="56">
        <f>IFERROR((VLOOKUP($A492,'Dados StatusInvest'!$A:$AZ,COLUMN(AG492)-$A$5,0)),0)</f>
        <v>2.11</v>
      </c>
      <c r="AH492" s="56">
        <f>IFERROR((VLOOKUP($A492,'Dados StatusInvest'!$A:$AZ,COLUMN(AH492)-$A$5,0)),0)</f>
        <v>1.12</v>
      </c>
      <c r="AI492" s="57">
        <f>IFERROR((VLOOKUP($A492,'Dados StatusInvest'!$A:$AZ,COLUMN(AI492)-$A$5,0)),0)</f>
        <v>3336778073</v>
      </c>
      <c r="AJ492" s="59" t="str">
        <f>IFERROR((VLOOKUP($A492,'Dados StatusInvest'!$A:$AZ,COLUMN(AJ492)-$A$5,0)),0)</f>
        <v/>
      </c>
      <c r="AK492" s="60">
        <f>IFERROR(__xludf.DUMMYFUNCTION("IFERROR(GOOGLEFINANCE($A492,""high""),"""")"),11.55)</f>
        <v>11.55</v>
      </c>
      <c r="AL492" s="60">
        <f>IFERROR(__xludf.DUMMYFUNCTION("IFERROR(GOOGLEFINANCE($A492,""low""),"""")"),11.3)</f>
        <v>11.3</v>
      </c>
      <c r="AM492" s="61">
        <f t="shared" si="2"/>
        <v>0.02212389381</v>
      </c>
      <c r="AN492" s="62">
        <f>IFERROR(__xludf.DUMMYFUNCTION("IFERROR((GOOGLEFINANCE($A492,""volume"")),0)"),441100.0)</f>
        <v>441100</v>
      </c>
      <c r="AO492" s="60">
        <f>IFERROR(__xludf.DUMMYFUNCTION("IFERROR((GOOGLEFINANCE($A492,""closeyest"")),"""")"),11.37)</f>
        <v>11.37</v>
      </c>
      <c r="AP492" s="60">
        <f>IFERROR(__xludf.DUMMYFUNCTION("IFERROR((GOOGLEFINANCE($A492,""shares"")),"""")"),2.93472126E8)</f>
        <v>293472126</v>
      </c>
      <c r="AQ492" s="18"/>
    </row>
    <row r="493">
      <c r="A493" s="45" t="str">
        <f>'Dados StatusInvest'!A488:A1107</f>
        <v>REDE3</v>
      </c>
      <c r="B493" s="46" t="str">
        <f>IFERROR(__xludf.DUMMYFUNCTION("IFERROR((GOOGLEFINANCE(A493,""name"")),"""")"),"Rede Energia Participacoes SA")</f>
        <v>Rede Energia Participacoes SA</v>
      </c>
      <c r="C493" s="46" t="str">
        <f>IFERROR((VLOOKUP(LEFT($A493,4),Setor!$A:$E,3,0)),"")</f>
        <v>Utilidade Pública</v>
      </c>
      <c r="D493" s="46" t="str">
        <f>IFERROR((VLOOKUP(LEFT($A493,4),Setor!$A:$E,4,0)),"")</f>
        <v>Energia Elétrica</v>
      </c>
      <c r="E493" s="46" t="str">
        <f>IFERROR((VLOOKUP(LEFT($A493,4),Setor!$A:$E,5,0)),"")</f>
        <v>Energia Elétrica</v>
      </c>
      <c r="F493" s="47">
        <f>IFERROR(__xludf.DUMMYFUNCTION("IFERROR((GOOGLEFINANCE(A493)),"""")"),6.27)</f>
        <v>6.27</v>
      </c>
      <c r="G493" s="48" t="str">
        <f>IFERROR(__xludf.DUMMYFUNCTION("IFERROR((sparkline(GOOGLEFINANCE($A493,""price"",TODAY()-30,TODAY(),""DAILY""),{""charttype"",""line"";""linewidth"",1;""color"",""#5f88cc""})),"""")"),"")</f>
        <v/>
      </c>
      <c r="H493" s="49">
        <f>IFERROR(__xludf.DUMMYFUNCTION("IFERROR((((GOOGLEFINANCE(A493))-(INDEX(GoogleFinance(A493,""PRICE"",$AQ$1),2,2)))/(INDEX(GoogleFinance(A493,""PRICE"",$AQ$1),2,2))),"""")"),0.011290322580645063)</f>
        <v>0.01129032258</v>
      </c>
      <c r="I493" s="47">
        <f>IFERROR(__xludf.DUMMYFUNCTION("IFERROR((GOOGLEFINANCE($A493,""high52"")),"""")"),6.44)</f>
        <v>6.44</v>
      </c>
      <c r="J493" s="48" t="str">
        <f>IFERROR(__xludf.DUMMYFUNCTION("IFERROR((sparkline(GOOGLEFINANCE($A493,""price"",TODAY()-365,TODAY(),""DAILY""),{""charttype"",""line"";""linewidth"",1;""color"",""#5f88cc""})),"""")"),"")</f>
        <v/>
      </c>
      <c r="K493" s="50">
        <f>IFERROR(__xludf.DUMMYFUNCTION("IFERROR((((GOOGLEFINANCE(A493))-(INDEX(GoogleFinance(A493,""PRICE"",$AP$1),2,2)))/(INDEX(GoogleFinance(A493,""PRICE"",$AP$1),2,2))),"""")"),0.01292407108239082)</f>
        <v>0.01292407108</v>
      </c>
      <c r="L493" s="51">
        <f t="shared" si="1"/>
        <v>-0.02639751553</v>
      </c>
      <c r="M493" s="52">
        <f>IFERROR((VLOOKUP($A493,'Dados StatusInvest'!$A:$AZ,COLUMN(M493)-$A$5,0)*VLOOKUP($A493,'Dados StatusInvest'!$A:$AZ,2,0)/$F493/100),0)</f>
        <v>0.1829</v>
      </c>
      <c r="N493" s="53">
        <f>IFERROR((VLOOKUP($A493,'Dados StatusInvest'!$A:$AZ,COLUMN(N493)-$A$5,0)/VLOOKUP($A493,'Dados StatusInvest'!$A:$AZ,2,0)*$F493),"")</f>
        <v>7.28</v>
      </c>
      <c r="O493" s="53">
        <f>IFERROR((VLOOKUP($A493,'Dados StatusInvest'!$A:$AZ,COLUMN(O493)-$A$5,0)/VLOOKUP($A493,'Dados StatusInvest'!$A:$AZ,2,0)*$F493),0)</f>
        <v>4.53</v>
      </c>
      <c r="P493" s="54">
        <f>IFERROR((VLOOKUP($A493,'Dados StatusInvest'!$A:$AZ,COLUMN(P493)-$A$5,0)/VLOOKUP($A493,'Dados StatusInvest'!$A:$AZ,2,0)*$F493),0)</f>
        <v>8.75</v>
      </c>
      <c r="Q493" s="55">
        <f>IFERROR((VLOOKUP($A493,'Dados StatusInvest'!$A:$AZ,COLUMN(Q493)-$A$5,0)/100),0)</f>
        <v>0.0422</v>
      </c>
      <c r="R493" s="56">
        <f>VLOOKUP($A493,'Dados StatusInvest'!$A:$AZ,COLUMN(R493)-$A$5,0)</f>
        <v>3.61</v>
      </c>
      <c r="S493" s="56">
        <f>IFERROR((VLOOKUP($A493,'Dados StatusInvest'!$A:$AZ,COLUMN(S493)-$A$5,0)),0)</f>
        <v>0.83</v>
      </c>
      <c r="T493" s="53">
        <f>IFERROR((VLOOKUP($A493,'Dados StatusInvest'!$A:$AZ,COLUMN(T493)-$A$5,0)/VLOOKUP($A493,'Dados StatusInvest'!$A:$AZ,2,0)*$F493),0)</f>
        <v>6.86</v>
      </c>
      <c r="U493" s="53">
        <f>IFERROR((VLOOKUP($A493,'Dados StatusInvest'!$A:$AZ,COLUMN(U493)-$A$5,0)-VLOOKUP($A493,'Dados StatusInvest'!$A:$AZ,COLUMN(U493)-$A$5-1,0)+T493),0)</f>
        <v>-0.66</v>
      </c>
      <c r="V493" s="56">
        <f>IFERROR((VLOOKUP($A493,'Dados StatusInvest'!$A:$AZ,COLUMN(V493)-$A$5,0)),0)</f>
        <v>1.38</v>
      </c>
      <c r="W493" s="56">
        <f>IFERROR((VLOOKUP($A493,'Dados StatusInvest'!$A:$AZ,COLUMN(W493)-$A$5,0)),0)</f>
        <v>34.03</v>
      </c>
      <c r="X493" s="53">
        <f>IFERROR((VLOOKUP($A493,'Dados StatusInvest'!$A:$AZ,COLUMN(X493)-$A$5,0)/VLOOKUP($A493,'Dados StatusInvest'!$A:$AZ,2,0)*$F493),0)</f>
        <v>4.32</v>
      </c>
      <c r="Y493" s="54">
        <f>IFERROR((VLOOKUP($A493,'Dados StatusInvest'!$A:$AZ,COLUMN(Y493)-$A$5,0)/VLOOKUP($A493,'Dados StatusInvest'!$A:$AZ,2,0)*$F493),0)</f>
        <v>13.82</v>
      </c>
      <c r="Z493" s="56">
        <f>IFERROR((VLOOKUP($A493,'Dados StatusInvest'!$A:$AZ,COLUMN(Z493)-$A$5,0)),0)</f>
        <v>0.13</v>
      </c>
      <c r="AA493" s="57">
        <f>IFERROR((VLOOKUP($A493,'Dados StatusInvest'!$A:$AZ,COLUMN(AA493)-$A$5,0)),0)</f>
        <v>0.81</v>
      </c>
      <c r="AB493" s="57">
        <f>IFERROR((VLOOKUP($A493,'Dados StatusInvest'!$A:$AZ,COLUMN(AB493)-$A$5,0)),0)</f>
        <v>0.59</v>
      </c>
      <c r="AC493" s="58">
        <f>IFERROR((VLOOKUP($A493,'Dados StatusInvest'!$A:$AZ,COLUMN(AC493)-$A$5,0)),0)</f>
        <v>9.82</v>
      </c>
      <c r="AD493" s="57">
        <f>IFERROR((VLOOKUP($A493,'Dados StatusInvest'!$A:$AZ,COLUMN(AD493)-$A$5,0)),0)</f>
        <v>14.75</v>
      </c>
      <c r="AE493" s="56">
        <f>IFERROR((VLOOKUP($A493,'Dados StatusInvest'!$A:$AZ,COLUMN(AE493)-$A$5,0)),0)</f>
        <v>12953.14</v>
      </c>
      <c r="AF493" s="56">
        <f>IFERROR((VLOOKUP($A493,'Dados StatusInvest'!$A:$AZ,COLUMN(AF493)-$A$5,0)),0)</f>
        <v>1.62</v>
      </c>
      <c r="AG493" s="56">
        <f>IFERROR((VLOOKUP($A493,'Dados StatusInvest'!$A:$AZ,COLUMN(AG493)-$A$5,0)),0)</f>
        <v>0.55</v>
      </c>
      <c r="AH493" s="56">
        <f>IFERROR((VLOOKUP($A493,'Dados StatusInvest'!$A:$AZ,COLUMN(AH493)-$A$5,0)),0)</f>
        <v>-1.22</v>
      </c>
      <c r="AI493" s="57">
        <f>IFERROR((VLOOKUP($A493,'Dados StatusInvest'!$A:$AZ,COLUMN(AI493)-$A$5,0)),0)</f>
        <v>16102640579</v>
      </c>
      <c r="AJ493" s="59" t="str">
        <f>IFERROR((VLOOKUP($A493,'Dados StatusInvest'!$A:$AZ,COLUMN(AJ493)-$A$5,0)),0)</f>
        <v/>
      </c>
      <c r="AK493" s="60" t="str">
        <f>IFERROR(__xludf.DUMMYFUNCTION("IFERROR(GOOGLEFINANCE($A493,""high""),"""")"),"")</f>
        <v/>
      </c>
      <c r="AL493" s="60" t="str">
        <f>IFERROR(__xludf.DUMMYFUNCTION("IFERROR(GOOGLEFINANCE($A493,""low""),"""")"),"")</f>
        <v/>
      </c>
      <c r="AM493" s="61">
        <f t="shared" si="2"/>
        <v>0</v>
      </c>
      <c r="AN493" s="62">
        <f>IFERROR(__xludf.DUMMYFUNCTION("IFERROR((GOOGLEFINANCE($A493,""volume"")),0)"),0.0)</f>
        <v>0</v>
      </c>
      <c r="AO493" s="60">
        <f>IFERROR(__xludf.DUMMYFUNCTION("IFERROR((GOOGLEFINANCE($A493,""closeyest"")),"""")"),6.27)</f>
        <v>6.27</v>
      </c>
      <c r="AP493" s="60">
        <f>IFERROR(__xludf.DUMMYFUNCTION("IFERROR((GOOGLEFINANCE($A493,""shares"")),"""")"),2.568204239E9)</f>
        <v>2568204239</v>
      </c>
      <c r="AQ493" s="18"/>
    </row>
    <row r="494">
      <c r="A494" s="45" t="str">
        <f>'Dados StatusInvest'!A489:A1108</f>
        <v>RENT3</v>
      </c>
      <c r="B494" s="46" t="str">
        <f>IFERROR(__xludf.DUMMYFUNCTION("IFERROR((GOOGLEFINANCE(A494,""name"")),"""")"),"Localiza Rent a Car Cedar")</f>
        <v>Localiza Rent a Car Cedar</v>
      </c>
      <c r="C494" s="46" t="str">
        <f>IFERROR((VLOOKUP(LEFT($A494,4),Setor!$A:$E,3,0)),"")</f>
        <v>Consumo Cíclico</v>
      </c>
      <c r="D494" s="46" t="str">
        <f>IFERROR((VLOOKUP(LEFT($A494,4),Setor!$A:$E,4,0)),"")</f>
        <v>Diversos</v>
      </c>
      <c r="E494" s="46" t="str">
        <f>IFERROR((VLOOKUP(LEFT($A494,4),Setor!$A:$E,5,0)),"")</f>
        <v>Aluguel de carros</v>
      </c>
      <c r="F494" s="47">
        <f>IFERROR(__xludf.DUMMYFUNCTION("IFERROR((GOOGLEFINANCE(A494)),"""")"),7290.0)</f>
        <v>7290</v>
      </c>
      <c r="G494" s="48" t="str">
        <f>IFERROR(__xludf.DUMMYFUNCTION("IFERROR((sparkline(GOOGLEFINANCE($A494,""price"",TODAY()-30,TODAY(),""DAILY""),{""charttype"",""line"";""linewidth"",1;""color"",""#5f88cc""})),"""")"),"")</f>
        <v/>
      </c>
      <c r="H494" s="49">
        <f>IFERROR(__xludf.DUMMYFUNCTION("IFERROR((((GOOGLEFINANCE(A494))-(INDEX(GoogleFinance(A494,""PRICE"",$AQ$1),2,2)))/(INDEX(GoogleFinance(A494,""PRICE"",$AQ$1),2,2))),"""")"),0.19704433497536947)</f>
        <v>0.197044335</v>
      </c>
      <c r="I494" s="47">
        <f>IFERROR(__xludf.DUMMYFUNCTION("IFERROR((GOOGLEFINANCE($A494,""high52"")),"""")"),7385.0)</f>
        <v>7385</v>
      </c>
      <c r="J494" s="48" t="str">
        <f>IFERROR(__xludf.DUMMYFUNCTION("IFERROR((sparkline(GOOGLEFINANCE($A494,""price"",TODAY()-365,TODAY(),""DAILY""),{""charttype"",""line"";""linewidth"",1;""color"",""#5f88cc""})),"""")"),"")</f>
        <v/>
      </c>
      <c r="K494" s="50">
        <f>IFERROR(__xludf.DUMMYFUNCTION("IFERROR((((GOOGLEFINANCE(A494))-(INDEX(GoogleFinance(A494,""PRICE"",$AP$1),2,2)))/(INDEX(GoogleFinance(A494,""PRICE"",$AP$1),2,2))),"""")"),1.2259541984732825)</f>
        <v>1.225954198</v>
      </c>
      <c r="L494" s="51">
        <f t="shared" si="1"/>
        <v>-0.01286391334</v>
      </c>
      <c r="M494" s="52">
        <f>IFERROR((VLOOKUP($A494,'Dados StatusInvest'!$A:$AZ,COLUMN(M494)-$A$5,0)*VLOOKUP($A494,'Dados StatusInvest'!$A:$AZ,2,0)/$F494/100),0)</f>
        <v>0.00131902085</v>
      </c>
      <c r="N494" s="53">
        <f>IFERROR((VLOOKUP($A494,'Dados StatusInvest'!$A:$AZ,COLUMN(N494)-$A$5,0)/VLOOKUP($A494,'Dados StatusInvest'!$A:$AZ,2,0)*$F494),"")</f>
        <v>607.6158688</v>
      </c>
      <c r="O494" s="53">
        <f>IFERROR((VLOOKUP($A494,'Dados StatusInvest'!$A:$AZ,COLUMN(O494)-$A$5,0)/VLOOKUP($A494,'Dados StatusInvest'!$A:$AZ,2,0)*$F494),0)</f>
        <v>1099.826435</v>
      </c>
      <c r="P494" s="54">
        <f>IFERROR((VLOOKUP($A494,'Dados StatusInvest'!$A:$AZ,COLUMN(P494)-$A$5,0)/VLOOKUP($A494,'Dados StatusInvest'!$A:$AZ,2,0)*$F494),0)</f>
        <v>1713.004005</v>
      </c>
      <c r="Q494" s="55">
        <f>IFERROR((VLOOKUP($A494,'Dados StatusInvest'!$A:$AZ,COLUMN(Q494)-$A$5,0)/100),0)</f>
        <v>0.0441</v>
      </c>
      <c r="R494" s="56">
        <f>VLOOKUP($A494,'Dados StatusInvest'!$A:$AZ,COLUMN(R494)-$A$5,0)</f>
        <v>1.31</v>
      </c>
      <c r="S494" s="56">
        <f>IFERROR((VLOOKUP($A494,'Dados StatusInvest'!$A:$AZ,COLUMN(S494)-$A$5,0)),0)</f>
        <v>1.45</v>
      </c>
      <c r="T494" s="53">
        <f>IFERROR((VLOOKUP($A494,'Dados StatusInvest'!$A:$AZ,COLUMN(T494)-$A$5,0)/VLOOKUP($A494,'Dados StatusInvest'!$A:$AZ,2,0)*$F494),0)</f>
        <v>1322.294488</v>
      </c>
      <c r="U494" s="53">
        <f>IFERROR((VLOOKUP($A494,'Dados StatusInvest'!$A:$AZ,COLUMN(U494)-$A$5,0)-VLOOKUP($A494,'Dados StatusInvest'!$A:$AZ,COLUMN(U494)-$A$5-1,0)+T494),0)</f>
        <v>1311.844488</v>
      </c>
      <c r="V494" s="56">
        <f>IFERROR((VLOOKUP($A494,'Dados StatusInvest'!$A:$AZ,COLUMN(V494)-$A$5,0)),0)</f>
        <v>1.45</v>
      </c>
      <c r="W494" s="56">
        <f>IFERROR((VLOOKUP($A494,'Dados StatusInvest'!$A:$AZ,COLUMN(W494)-$A$5,0)),0)</f>
        <v>7.06</v>
      </c>
      <c r="X494" s="53">
        <f>IFERROR((VLOOKUP($A494,'Dados StatusInvest'!$A:$AZ,COLUMN(X494)-$A$5,0)/VLOOKUP($A494,'Dados StatusInvest'!$A:$AZ,2,0)*$F494),0)</f>
        <v>296.1605951</v>
      </c>
      <c r="Y494" s="54">
        <f>IFERROR((VLOOKUP($A494,'Dados StatusInvest'!$A:$AZ,COLUMN(Y494)-$A$5,0)/VLOOKUP($A494,'Dados StatusInvest'!$A:$AZ,2,0)*$F494),0)</f>
        <v>1351.49342</v>
      </c>
      <c r="Z494" s="56">
        <f>IFERROR((VLOOKUP($A494,'Dados StatusInvest'!$A:$AZ,COLUMN(Z494)-$A$5,0)),0)</f>
        <v>0.3</v>
      </c>
      <c r="AA494" s="57">
        <f>IFERROR((VLOOKUP($A494,'Dados StatusInvest'!$A:$AZ,COLUMN(AA494)-$A$5,0)),0)</f>
        <v>0.7</v>
      </c>
      <c r="AB494" s="57">
        <f>IFERROR((VLOOKUP($A494,'Dados StatusInvest'!$A:$AZ,COLUMN(AB494)-$A$5,0)),0)</f>
        <v>0.49</v>
      </c>
      <c r="AC494" s="58">
        <f>IFERROR((VLOOKUP($A494,'Dados StatusInvest'!$A:$AZ,COLUMN(AC494)-$A$5,0)),0)</f>
        <v>29.6</v>
      </c>
      <c r="AD494" s="57">
        <f>IFERROR((VLOOKUP($A494,'Dados StatusInvest'!$A:$AZ,COLUMN(AD494)-$A$5,0)),0)</f>
        <v>16.29</v>
      </c>
      <c r="AE494" s="56">
        <f>IFERROR((VLOOKUP($A494,'Dados StatusInvest'!$A:$AZ,COLUMN(AE494)-$A$5,0)),0)</f>
        <v>445000000</v>
      </c>
      <c r="AF494" s="56">
        <f>IFERROR((VLOOKUP($A494,'Dados StatusInvest'!$A:$AZ,COLUMN(AF494)-$A$5,0)),0)</f>
        <v>22.36</v>
      </c>
      <c r="AG494" s="56">
        <f>IFERROR((VLOOKUP($A494,'Dados StatusInvest'!$A:$AZ,COLUMN(AG494)-$A$5,0)),0)</f>
        <v>1.58</v>
      </c>
      <c r="AH494" s="56">
        <f>IFERROR((VLOOKUP($A494,'Dados StatusInvest'!$A:$AZ,COLUMN(AH494)-$A$5,0)),0)</f>
        <v>6.05</v>
      </c>
      <c r="AI494" s="57">
        <f>IFERROR((VLOOKUP($A494,'Dados StatusInvest'!$A:$AZ,COLUMN(AI494)-$A$5,0)),0)</f>
        <v>58944917458</v>
      </c>
      <c r="AJ494" s="59" t="str">
        <f>IFERROR((VLOOKUP($A494,'Dados StatusInvest'!$A:$AZ,COLUMN(AJ494)-$A$5,0)),0)</f>
        <v/>
      </c>
      <c r="AK494" s="60" t="str">
        <f>IFERROR(__xludf.DUMMYFUNCTION("IFERROR(GOOGLEFINANCE($A494,""high""),"""")"),"")</f>
        <v/>
      </c>
      <c r="AL494" s="60" t="str">
        <f>IFERROR(__xludf.DUMMYFUNCTION("IFERROR(GOOGLEFINANCE($A494,""low""),"""")"),"")</f>
        <v/>
      </c>
      <c r="AM494" s="61">
        <f t="shared" si="2"/>
        <v>0</v>
      </c>
      <c r="AN494" s="62">
        <f>IFERROR(__xludf.DUMMYFUNCTION("IFERROR((GOOGLEFINANCE($A494,""volume"")),0)"),0.0)</f>
        <v>0</v>
      </c>
      <c r="AO494" s="60">
        <f>IFERROR(__xludf.DUMMYFUNCTION("IFERROR((GOOGLEFINANCE($A494,""closeyest"")),"""")"),7290.0)</f>
        <v>7290</v>
      </c>
      <c r="AP494" s="60">
        <f>IFERROR(__xludf.DUMMYFUNCTION("IFERROR((GOOGLEFINANCE($A494,""shares"")),"""")"),1.08262072E9)</f>
        <v>1082620720</v>
      </c>
      <c r="AQ494" s="18"/>
    </row>
    <row r="495">
      <c r="A495" s="45" t="str">
        <f>'Dados StatusInvest'!A490:A1109</f>
        <v>RENT4</v>
      </c>
      <c r="B495" s="46" t="str">
        <f>IFERROR(__xludf.DUMMYFUNCTION("IFERROR((GOOGLEFINANCE(A495,""name"")),"""")"),"Localiza Rent A Car Prf Shs")</f>
        <v>Localiza Rent A Car Prf Shs</v>
      </c>
      <c r="C495" s="46" t="str">
        <f>IFERROR((VLOOKUP(LEFT($A495,4),Setor!$A:$E,3,0)),"")</f>
        <v>Consumo Cíclico</v>
      </c>
      <c r="D495" s="46" t="str">
        <f>IFERROR((VLOOKUP(LEFT($A495,4),Setor!$A:$E,4,0)),"")</f>
        <v>Diversos</v>
      </c>
      <c r="E495" s="46" t="str">
        <f>IFERROR((VLOOKUP(LEFT($A495,4),Setor!$A:$E,5,0)),"")</f>
        <v>Aluguel de carros</v>
      </c>
      <c r="F495" s="47">
        <f>IFERROR(__xludf.DUMMYFUNCTION("IFERROR((GOOGLEFINANCE(A495)),"""")"),50.29)</f>
        <v>50.29</v>
      </c>
      <c r="G495" s="48" t="str">
        <f>IFERROR(__xludf.DUMMYFUNCTION("IFERROR((sparkline(GOOGLEFINANCE($A495,""price"",TODAY()-30,TODAY(),""DAILY""),{""charttype"",""line"";""linewidth"",1;""color"",""#5f88cc""})),"""")"),"")</f>
        <v/>
      </c>
      <c r="H495" s="49">
        <f>IFERROR(__xludf.DUMMYFUNCTION("IFERROR((((GOOGLEFINANCE(A495))-(INDEX(GoogleFinance(A495,""PRICE"",$AQ$1),2,2)))/(INDEX(GoogleFinance(A495,""PRICE"",$AQ$1),2,2))),"""")"),0.2036859741503111)</f>
        <v>0.2036859742</v>
      </c>
      <c r="I495" s="47">
        <f>IFERROR(__xludf.DUMMYFUNCTION("IFERROR((GOOGLEFINANCE($A495,""high52"")),"""")"),51.13)</f>
        <v>51.13</v>
      </c>
      <c r="J495" s="48" t="str">
        <f>IFERROR(__xludf.DUMMYFUNCTION("IFERROR((sparkline(GOOGLEFINANCE($A495,""price"",TODAY()-365,TODAY(),""DAILY""),{""charttype"",""line"";""linewidth"",1;""color"",""#5f88cc""})),"""")"),"")</f>
        <v/>
      </c>
      <c r="K495" s="50" t="str">
        <f>IFERROR(__xludf.DUMMYFUNCTION("IFERROR((((GOOGLEFINANCE(A495))-(INDEX(GoogleFinance(A495,""PRICE"",$AP$1),2,2)))/(INDEX(GoogleFinance(A495,""PRICE"",$AP$1),2,2))),"""")"),"")</f>
        <v/>
      </c>
      <c r="L495" s="51">
        <f t="shared" si="1"/>
        <v>-0.01642871113</v>
      </c>
      <c r="M495" s="52">
        <f>IFERROR((VLOOKUP($A495,'Dados StatusInvest'!$A:$AZ,COLUMN(M495)-$A$5,0)*VLOOKUP($A495,'Dados StatusInvest'!$A:$AZ,2,0)/$F495/100),0)</f>
        <v>0.1853328296</v>
      </c>
      <c r="N495" s="53">
        <f>IFERROR((VLOOKUP($A495,'Dados StatusInvest'!$A:$AZ,COLUMN(N495)-$A$5,0)/VLOOKUP($A495,'Dados StatusInvest'!$A:$AZ,2,0)*$F495),"")</f>
        <v>4.324425423</v>
      </c>
      <c r="O495" s="53">
        <f>IFERROR((VLOOKUP($A495,'Dados StatusInvest'!$A:$AZ,COLUMN(O495)-$A$5,0)/VLOOKUP($A495,'Dados StatusInvest'!$A:$AZ,2,0)*$F495),0)</f>
        <v>7.590009839</v>
      </c>
      <c r="P495" s="54">
        <f>IFERROR((VLOOKUP($A495,'Dados StatusInvest'!$A:$AZ,COLUMN(P495)-$A$5,0)/VLOOKUP($A495,'Dados StatusInvest'!$A:$AZ,2,0)*$F495),0)</f>
        <v>12.19151515</v>
      </c>
      <c r="Q495" s="55">
        <f>IFERROR((VLOOKUP($A495,'Dados StatusInvest'!$A:$AZ,COLUMN(Q495)-$A$5,0)/100),0)</f>
        <v>0.0441</v>
      </c>
      <c r="R495" s="56">
        <f>VLOOKUP($A495,'Dados StatusInvest'!$A:$AZ,COLUMN(R495)-$A$5,0)</f>
        <v>1.31</v>
      </c>
      <c r="S495" s="56">
        <f>IFERROR((VLOOKUP($A495,'Dados StatusInvest'!$A:$AZ,COLUMN(S495)-$A$5,0)),0)</f>
        <v>1.41</v>
      </c>
      <c r="T495" s="53">
        <f>IFERROR((VLOOKUP($A495,'Dados StatusInvest'!$A:$AZ,COLUMN(T495)-$A$5,0)/VLOOKUP($A495,'Dados StatusInvest'!$A:$AZ,2,0)*$F495),0)</f>
        <v>9.123844943</v>
      </c>
      <c r="U495" s="53">
        <f>IFERROR((VLOOKUP($A495,'Dados StatusInvest'!$A:$AZ,COLUMN(U495)-$A$5,0)-VLOOKUP($A495,'Dados StatusInvest'!$A:$AZ,COLUMN(U495)-$A$5-1,0)+T495),0)</f>
        <v>-1.006155057</v>
      </c>
      <c r="V495" s="56">
        <f>IFERROR((VLOOKUP($A495,'Dados StatusInvest'!$A:$AZ,COLUMN(V495)-$A$5,0)),0)</f>
        <v>1.45</v>
      </c>
      <c r="W495" s="56">
        <f>IFERROR((VLOOKUP($A495,'Dados StatusInvest'!$A:$AZ,COLUMN(W495)-$A$5,0)),0)</f>
        <v>7.06</v>
      </c>
      <c r="X495" s="53">
        <f>IFERROR((VLOOKUP($A495,'Dados StatusInvest'!$A:$AZ,COLUMN(X495)-$A$5,0)/VLOOKUP($A495,'Dados StatusInvest'!$A:$AZ,2,0)*$F495),0)</f>
        <v>2.107786305</v>
      </c>
      <c r="Y495" s="54">
        <f>IFERROR((VLOOKUP($A495,'Dados StatusInvest'!$A:$AZ,COLUMN(Y495)-$A$5,0)/VLOOKUP($A495,'Dados StatusInvest'!$A:$AZ,2,0)*$F495),0)</f>
        <v>9.61863046</v>
      </c>
      <c r="Z495" s="56">
        <f>IFERROR((VLOOKUP($A495,'Dados StatusInvest'!$A:$AZ,COLUMN(Z495)-$A$5,0)),0)</f>
        <v>0.3</v>
      </c>
      <c r="AA495" s="57">
        <f>IFERROR((VLOOKUP($A495,'Dados StatusInvest'!$A:$AZ,COLUMN(AA495)-$A$5,0)),0)</f>
        <v>0.7</v>
      </c>
      <c r="AB495" s="57">
        <f>IFERROR((VLOOKUP($A495,'Dados StatusInvest'!$A:$AZ,COLUMN(AB495)-$A$5,0)),0)</f>
        <v>0.49</v>
      </c>
      <c r="AC495" s="58">
        <f>IFERROR((VLOOKUP($A495,'Dados StatusInvest'!$A:$AZ,COLUMN(AC495)-$A$5,0)),0)</f>
        <v>29.6</v>
      </c>
      <c r="AD495" s="57">
        <f>IFERROR((VLOOKUP($A495,'Dados StatusInvest'!$A:$AZ,COLUMN(AD495)-$A$5,0)),0)</f>
        <v>16.29</v>
      </c>
      <c r="AE495" s="56">
        <f>IFERROR((VLOOKUP($A495,'Dados StatusInvest'!$A:$AZ,COLUMN(AE495)-$A$5,0)),0)</f>
        <v>13411857</v>
      </c>
      <c r="AF495" s="56">
        <f>IFERROR((VLOOKUP($A495,'Dados StatusInvest'!$A:$AZ,COLUMN(AF495)-$A$5,0)),0)</f>
        <v>22.36</v>
      </c>
      <c r="AG495" s="56">
        <f>IFERROR((VLOOKUP($A495,'Dados StatusInvest'!$A:$AZ,COLUMN(AG495)-$A$5,0)),0)</f>
        <v>1.58</v>
      </c>
      <c r="AH495" s="56">
        <f>IFERROR((VLOOKUP($A495,'Dados StatusInvest'!$A:$AZ,COLUMN(AH495)-$A$5,0)),0)</f>
        <v>5.87</v>
      </c>
      <c r="AI495" s="57">
        <f>IFERROR((VLOOKUP($A495,'Dados StatusInvest'!$A:$AZ,COLUMN(AI495)-$A$5,0)),0)</f>
        <v>58944917458</v>
      </c>
      <c r="AJ495" s="59" t="str">
        <f>IFERROR((VLOOKUP($A495,'Dados StatusInvest'!$A:$AZ,COLUMN(AJ495)-$A$5,0)),0)</f>
        <v/>
      </c>
      <c r="AK495" s="60">
        <f>IFERROR(__xludf.DUMMYFUNCTION("IFERROR(GOOGLEFINANCE($A495,""high""),"""")"),50.79)</f>
        <v>50.79</v>
      </c>
      <c r="AL495" s="60">
        <f>IFERROR(__xludf.DUMMYFUNCTION("IFERROR(GOOGLEFINANCE($A495,""low""),"""")"),49.72)</f>
        <v>49.72</v>
      </c>
      <c r="AM495" s="61">
        <f t="shared" si="2"/>
        <v>0.02152051488</v>
      </c>
      <c r="AN495" s="62">
        <f>IFERROR(__xludf.DUMMYFUNCTION("IFERROR((GOOGLEFINANCE($A495,""volume"")),0)"),2700.0)</f>
        <v>2700</v>
      </c>
      <c r="AO495" s="60">
        <f>IFERROR(__xludf.DUMMYFUNCTION("IFERROR((GOOGLEFINANCE($A495,""closeyest"")),"""")"),50.82)</f>
        <v>50.82</v>
      </c>
      <c r="AP495" s="60">
        <f>IFERROR(__xludf.DUMMYFUNCTION("IFERROR((GOOGLEFINANCE($A495,""shares"")),"""")"),4.1638625E7)</f>
        <v>41638625</v>
      </c>
      <c r="AQ495" s="18"/>
    </row>
    <row r="496">
      <c r="A496" s="45" t="str">
        <f>'Dados StatusInvest'!A491:A1110</f>
        <v>RIAA3</v>
      </c>
      <c r="B496" s="46" t="str">
        <f>IFERROR(__xludf.DUMMYFUNCTION("IFERROR((GOOGLEFINANCE(A496,""name"")),"""")"),"Guararapes Confeccoes SA")</f>
        <v>Guararapes Confeccoes SA</v>
      </c>
      <c r="C496" s="46" t="str">
        <f>IFERROR((VLOOKUP(LEFT($A496,4),Setor!$A:$E,3,0)),"")</f>
        <v/>
      </c>
      <c r="D496" s="46" t="str">
        <f>IFERROR((VLOOKUP(LEFT($A496,4),Setor!$A:$E,4,0)),"")</f>
        <v/>
      </c>
      <c r="E496" s="46" t="str">
        <f>IFERROR((VLOOKUP(LEFT($A496,4),Setor!$A:$E,5,0)),"")</f>
        <v/>
      </c>
      <c r="F496" s="47">
        <f>IFERROR(__xludf.DUMMYFUNCTION("IFERROR((GOOGLEFINANCE(A496)),"""")"),10.42)</f>
        <v>10.42</v>
      </c>
      <c r="G496" s="48" t="str">
        <f>IFERROR(__xludf.DUMMYFUNCTION("IFERROR((sparkline(GOOGLEFINANCE($A496,""price"",TODAY()-30,TODAY(),""DAILY""),{""charttype"",""line"";""linewidth"",1;""color"",""#5f88cc""})),"""")"),"")</f>
        <v/>
      </c>
      <c r="H496" s="49" t="str">
        <f>IFERROR(__xludf.DUMMYFUNCTION("IFERROR((((GOOGLEFINANCE(A496))-(INDEX(GoogleFinance(A496,""PRICE"",$AQ$1),2,2)))/(INDEX(GoogleFinance(A496,""PRICE"",$AQ$1),2,2))),"""")"),"")</f>
        <v/>
      </c>
      <c r="I496" s="47">
        <f>IFERROR(__xludf.DUMMYFUNCTION("IFERROR((GOOGLEFINANCE($A496,""high52"")),"""")"),10.52)</f>
        <v>10.52</v>
      </c>
      <c r="J496" s="48" t="str">
        <f>IFERROR(__xludf.DUMMYFUNCTION("IFERROR((sparkline(GOOGLEFINANCE($A496,""price"",TODAY()-365,TODAY(),""DAILY""),{""charttype"",""line"";""linewidth"",1;""color"",""#5f88cc""})),"""")"),"")</f>
        <v/>
      </c>
      <c r="K496" s="50" t="str">
        <f>IFERROR(__xludf.DUMMYFUNCTION("IFERROR((((GOOGLEFINANCE(A496))-(INDEX(GoogleFinance(A496,""PRICE"",$AP$1),2,2)))/(INDEX(GoogleFinance(A496,""PRICE"",$AP$1),2,2))),"""")"),"")</f>
        <v/>
      </c>
      <c r="L496" s="51">
        <f t="shared" si="1"/>
        <v>-0.009505703422</v>
      </c>
      <c r="M496" s="52">
        <f>IFERROR((VLOOKUP($A496,'Dados StatusInvest'!$A:$AZ,COLUMN(M496)-$A$5,0)*VLOOKUP($A496,'Dados StatusInvest'!$A:$AZ,2,0)/$F496/100),0)</f>
        <v>0.08928138196</v>
      </c>
      <c r="N496" s="53">
        <f>IFERROR((VLOOKUP($A496,'Dados StatusInvest'!$A:$AZ,COLUMN(N496)-$A$5,0)/VLOOKUP($A496,'Dados StatusInvest'!$A:$AZ,2,0)*$F496),"")</f>
        <v>4.189585687</v>
      </c>
      <c r="O496" s="53">
        <f>IFERROR((VLOOKUP($A496,'Dados StatusInvest'!$A:$AZ,COLUMN(O496)-$A$5,0)/VLOOKUP($A496,'Dados StatusInvest'!$A:$AZ,2,0)*$F496),0)</f>
        <v>5.769265537</v>
      </c>
      <c r="P496" s="54">
        <f>IFERROR((VLOOKUP($A496,'Dados StatusInvest'!$A:$AZ,COLUMN(P496)-$A$5,0)/VLOOKUP($A496,'Dados StatusInvest'!$A:$AZ,2,0)*$F496),0)</f>
        <v>6.671939736</v>
      </c>
      <c r="Q496" s="55">
        <f>IFERROR((VLOOKUP($A496,'Dados StatusInvest'!$A:$AZ,COLUMN(Q496)-$A$5,0)/100),0)</f>
        <v>0.0093</v>
      </c>
      <c r="R496" s="56">
        <f>VLOOKUP($A496,'Dados StatusInvest'!$A:$AZ,COLUMN(R496)-$A$5,0)</f>
        <v>0.15</v>
      </c>
      <c r="S496" s="56">
        <f>IFERROR((VLOOKUP($A496,'Dados StatusInvest'!$A:$AZ,COLUMN(S496)-$A$5,0)),0)</f>
        <v>0.51</v>
      </c>
      <c r="T496" s="53">
        <f>IFERROR((VLOOKUP($A496,'Dados StatusInvest'!$A:$AZ,COLUMN(T496)-$A$5,0)/VLOOKUP($A496,'Dados StatusInvest'!$A:$AZ,2,0)*$F496),0)</f>
        <v>1.85440678</v>
      </c>
      <c r="U496" s="53">
        <f>IFERROR((VLOOKUP($A496,'Dados StatusInvest'!$A:$AZ,COLUMN(U496)-$A$5,0)-VLOOKUP($A496,'Dados StatusInvest'!$A:$AZ,COLUMN(U496)-$A$5-1,0)+T496),0)</f>
        <v>-1.08559322</v>
      </c>
      <c r="V496" s="56">
        <f>IFERROR((VLOOKUP($A496,'Dados StatusInvest'!$A:$AZ,COLUMN(V496)-$A$5,0)),0)</f>
        <v>1.49</v>
      </c>
      <c r="W496" s="56">
        <f>IFERROR((VLOOKUP($A496,'Dados StatusInvest'!$A:$AZ,COLUMN(W496)-$A$5,0)),0)</f>
        <v>7.94</v>
      </c>
      <c r="X496" s="53">
        <f>IFERROR((VLOOKUP($A496,'Dados StatusInvest'!$A:$AZ,COLUMN(X496)-$A$5,0)/VLOOKUP($A496,'Dados StatusInvest'!$A:$AZ,2,0)*$F496),0)</f>
        <v>3.188794727</v>
      </c>
      <c r="Y496" s="54">
        <f>IFERROR((VLOOKUP($A496,'Dados StatusInvest'!$A:$AZ,COLUMN(Y496)-$A$5,0)/VLOOKUP($A496,'Dados StatusInvest'!$A:$AZ,2,0)*$F496),0)</f>
        <v>9.173917137</v>
      </c>
      <c r="Z496" s="56">
        <f>IFERROR((VLOOKUP($A496,'Dados StatusInvest'!$A:$AZ,COLUMN(Z496)-$A$5,0)),0)</f>
        <v>0.41</v>
      </c>
      <c r="AA496" s="57">
        <f>IFERROR((VLOOKUP($A496,'Dados StatusInvest'!$A:$AZ,COLUMN(AA496)-$A$5,0)),0)</f>
        <v>0.59</v>
      </c>
      <c r="AB496" s="57">
        <f>IFERROR((VLOOKUP($A496,'Dados StatusInvest'!$A:$AZ,COLUMN(AB496)-$A$5,0)),0)</f>
        <v>0.76</v>
      </c>
      <c r="AC496" s="58">
        <f>IFERROR((VLOOKUP($A496,'Dados StatusInvest'!$A:$AZ,COLUMN(AC496)-$A$5,0)),0)</f>
        <v>4.29</v>
      </c>
      <c r="AD496" s="57">
        <f>IFERROR((VLOOKUP($A496,'Dados StatusInvest'!$A:$AZ,COLUMN(AD496)-$A$5,0)),0)</f>
        <v>-5.78</v>
      </c>
      <c r="AE496" s="56">
        <f>IFERROR((VLOOKUP($A496,'Dados StatusInvest'!$A:$AZ,COLUMN(AE496)-$A$5,0)),0)</f>
        <v>23604637</v>
      </c>
      <c r="AF496" s="56">
        <f>IFERROR((VLOOKUP($A496,'Dados StatusInvest'!$A:$AZ,COLUMN(AF496)-$A$5,0)),0)</f>
        <v>11.09</v>
      </c>
      <c r="AG496" s="56">
        <f>IFERROR((VLOOKUP($A496,'Dados StatusInvest'!$A:$AZ,COLUMN(AG496)-$A$5,0)),0)</f>
        <v>0.88</v>
      </c>
      <c r="AH496" s="56">
        <f>IFERROR((VLOOKUP($A496,'Dados StatusInvest'!$A:$AZ,COLUMN(AH496)-$A$5,0)),0)</f>
        <v>0.12</v>
      </c>
      <c r="AI496" s="57">
        <f>IFERROR((VLOOKUP($A496,'Dados StatusInvest'!$A:$AZ,COLUMN(AI496)-$A$5,0)),0)</f>
        <v>5310618488</v>
      </c>
      <c r="AJ496" s="59" t="str">
        <f>IFERROR((VLOOKUP($A496,'Dados StatusInvest'!$A:$AZ,COLUMN(AJ496)-$A$5,0)),0)</f>
        <v/>
      </c>
      <c r="AK496" s="60">
        <f>IFERROR(__xludf.DUMMYFUNCTION("IFERROR(GOOGLEFINANCE($A496,""high""),"""")"),10.52)</f>
        <v>10.52</v>
      </c>
      <c r="AL496" s="60">
        <f>IFERROR(__xludf.DUMMYFUNCTION("IFERROR(GOOGLEFINANCE($A496,""low""),"""")"),10.27)</f>
        <v>10.27</v>
      </c>
      <c r="AM496" s="61">
        <f t="shared" si="2"/>
        <v>0.02434274586</v>
      </c>
      <c r="AN496" s="62">
        <f>IFERROR(__xludf.DUMMYFUNCTION("IFERROR((GOOGLEFINANCE($A496,""volume"")),0)"),60400.0)</f>
        <v>60400</v>
      </c>
      <c r="AO496" s="60">
        <f>IFERROR(__xludf.DUMMYFUNCTION("IFERROR((GOOGLEFINANCE($A496,""closeyest"")),"""")"),10.62)</f>
        <v>10.62</v>
      </c>
      <c r="AP496" s="60">
        <f>IFERROR(__xludf.DUMMYFUNCTION("IFERROR((GOOGLEFINANCE($A496,""shares"")),"""")"),5.00058238E8)</f>
        <v>500058238</v>
      </c>
      <c r="AQ496" s="18"/>
    </row>
    <row r="497">
      <c r="A497" s="45" t="str">
        <f>'Dados StatusInvest'!A492:A1111</f>
        <v>RLOG3</v>
      </c>
      <c r="B497" s="46" t="str">
        <f>IFERROR(__xludf.DUMMYFUNCTION("IFERROR((GOOGLEFINANCE(A497,""name"")),"""")"),"")</f>
        <v/>
      </c>
      <c r="C497" s="46" t="str">
        <f>IFERROR((VLOOKUP(LEFT($A497,4),Setor!$A:$E,3,0)),"")</f>
        <v>Bens Industriais</v>
      </c>
      <c r="D497" s="46" t="str">
        <f>IFERROR((VLOOKUP(LEFT($A497,4),Setor!$A:$E,4,0)),"")</f>
        <v>Transporte</v>
      </c>
      <c r="E497" s="46" t="str">
        <f>IFERROR((VLOOKUP(LEFT($A497,4),Setor!$A:$E,5,0)),"")</f>
        <v>Transporte Ferroviário</v>
      </c>
      <c r="F497" s="47" t="str">
        <f>IFERROR(__xludf.DUMMYFUNCTION("IFERROR((GOOGLEFINANCE(A497)),"""")"),"")</f>
        <v/>
      </c>
      <c r="G497" s="48" t="str">
        <f>IFERROR(__xludf.DUMMYFUNCTION("IFERROR((sparkline(GOOGLEFINANCE($A497,""price"",TODAY()-30,TODAY(),""DAILY""),{""charttype"",""line"";""linewidth"",1;""color"",""#5f88cc""})),"""")"),"")</f>
        <v/>
      </c>
      <c r="H497" s="49" t="str">
        <f>IFERROR(__xludf.DUMMYFUNCTION("IFERROR((((GOOGLEFINANCE(A497))-(INDEX(GoogleFinance(A497,""PRICE"",$AQ$1),2,2)))/(INDEX(GoogleFinance(A497,""PRICE"",$AQ$1),2,2))),"""")"),"")</f>
        <v/>
      </c>
      <c r="I497" s="47" t="str">
        <f>IFERROR(__xludf.DUMMYFUNCTION("IFERROR((GOOGLEFINANCE($A497,""high52"")),"""")"),"")</f>
        <v/>
      </c>
      <c r="J497" s="48" t="str">
        <f>IFERROR(__xludf.DUMMYFUNCTION("IFERROR((sparkline(GOOGLEFINANCE($A497,""price"",TODAY()-365,TODAY(),""DAILY""),{""charttype"",""line"";""linewidth"",1;""color"",""#5f88cc""})),"""")"),"")</f>
        <v/>
      </c>
      <c r="K497" s="50" t="str">
        <f>IFERROR(__xludf.DUMMYFUNCTION("IFERROR((((GOOGLEFINANCE(A497))-(INDEX(GoogleFinance(A497,""PRICE"",$AP$1),2,2)))/(INDEX(GoogleFinance(A497,""PRICE"",$AP$1),2,2))),"""")"),"")</f>
        <v/>
      </c>
      <c r="L497" s="51">
        <f t="shared" si="1"/>
        <v>0</v>
      </c>
      <c r="M497" s="52">
        <f>IFERROR((VLOOKUP($A497,'Dados StatusInvest'!$A:$AZ,COLUMN(M497)-$A$5,0)*VLOOKUP($A497,'Dados StatusInvest'!$A:$AZ,2,0)/$F497/100),0)</f>
        <v>0</v>
      </c>
      <c r="N497" s="53">
        <f>IFERROR((VLOOKUP($A497,'Dados StatusInvest'!$A:$AZ,COLUMN(N497)-$A$5,0)/VLOOKUP($A497,'Dados StatusInvest'!$A:$AZ,2,0)*$F497),"")</f>
        <v>0</v>
      </c>
      <c r="O497" s="53">
        <f>IFERROR((VLOOKUP($A497,'Dados StatusInvest'!$A:$AZ,COLUMN(O497)-$A$5,0)/VLOOKUP($A497,'Dados StatusInvest'!$A:$AZ,2,0)*$F497),0)</f>
        <v>0</v>
      </c>
      <c r="P497" s="54">
        <f>IFERROR((VLOOKUP($A497,'Dados StatusInvest'!$A:$AZ,COLUMN(P497)-$A$5,0)/VLOOKUP($A497,'Dados StatusInvest'!$A:$AZ,2,0)*$F497),0)</f>
        <v>0</v>
      </c>
      <c r="Q497" s="55">
        <f>IFERROR((VLOOKUP($A497,'Dados StatusInvest'!$A:$AZ,COLUMN(Q497)-$A$5,0)/100),0)</f>
        <v>0.0692</v>
      </c>
      <c r="R497" s="56">
        <f>VLOOKUP($A497,'Dados StatusInvest'!$A:$AZ,COLUMN(R497)-$A$5,0)</f>
        <v>5.71</v>
      </c>
      <c r="S497" s="56">
        <f>IFERROR((VLOOKUP($A497,'Dados StatusInvest'!$A:$AZ,COLUMN(S497)-$A$5,0)),0)</f>
        <v>1.53</v>
      </c>
      <c r="T497" s="53">
        <f>IFERROR((VLOOKUP($A497,'Dados StatusInvest'!$A:$AZ,COLUMN(T497)-$A$5,0)/VLOOKUP($A497,'Dados StatusInvest'!$A:$AZ,2,0)*$F497),0)</f>
        <v>0</v>
      </c>
      <c r="U497" s="53">
        <f>IFERROR((VLOOKUP($A497,'Dados StatusInvest'!$A:$AZ,COLUMN(U497)-$A$5,0)-VLOOKUP($A497,'Dados StatusInvest'!$A:$AZ,COLUMN(U497)-$A$5-1,0)+T497),0)</f>
        <v>-1.8</v>
      </c>
      <c r="V497" s="56">
        <f>IFERROR((VLOOKUP($A497,'Dados StatusInvest'!$A:$AZ,COLUMN(V497)-$A$5,0)),0)</f>
        <v>2.64</v>
      </c>
      <c r="W497" s="56">
        <f>IFERROR((VLOOKUP($A497,'Dados StatusInvest'!$A:$AZ,COLUMN(W497)-$A$5,0)),0)</f>
        <v>5.15</v>
      </c>
      <c r="X497" s="53">
        <f>IFERROR((VLOOKUP($A497,'Dados StatusInvest'!$A:$AZ,COLUMN(X497)-$A$5,0)/VLOOKUP($A497,'Dados StatusInvest'!$A:$AZ,2,0)*$F497),0)</f>
        <v>0</v>
      </c>
      <c r="Y497" s="54">
        <f>IFERROR((VLOOKUP($A497,'Dados StatusInvest'!$A:$AZ,COLUMN(Y497)-$A$5,0)/VLOOKUP($A497,'Dados StatusInvest'!$A:$AZ,2,0)*$F497),0)</f>
        <v>0</v>
      </c>
      <c r="Z497" s="56">
        <f>IFERROR((VLOOKUP($A497,'Dados StatusInvest'!$A:$AZ,COLUMN(Z497)-$A$5,0)),0)</f>
        <v>0.05</v>
      </c>
      <c r="AA497" s="57">
        <f>IFERROR((VLOOKUP($A497,'Dados StatusInvest'!$A:$AZ,COLUMN(AA497)-$A$5,0)),0)</f>
        <v>0.71</v>
      </c>
      <c r="AB497" s="57">
        <f>IFERROR((VLOOKUP($A497,'Dados StatusInvest'!$A:$AZ,COLUMN(AB497)-$A$5,0)),0)</f>
        <v>0.15</v>
      </c>
      <c r="AC497" s="58">
        <f>IFERROR((VLOOKUP($A497,'Dados StatusInvest'!$A:$AZ,COLUMN(AC497)-$A$5,0)),0)</f>
        <v>50.58</v>
      </c>
      <c r="AD497" s="57">
        <f>IFERROR((VLOOKUP($A497,'Dados StatusInvest'!$A:$AZ,COLUMN(AD497)-$A$5,0)),0)</f>
        <v>4.37</v>
      </c>
      <c r="AE497" s="56">
        <f>IFERROR((VLOOKUP($A497,'Dados StatusInvest'!$A:$AZ,COLUMN(AE497)-$A$5,0)),0)</f>
        <v>0</v>
      </c>
      <c r="AF497" s="56">
        <f>IFERROR((VLOOKUP($A497,'Dados StatusInvest'!$A:$AZ,COLUMN(AF497)-$A$5,0)),0)</f>
        <v>5.41</v>
      </c>
      <c r="AG497" s="56">
        <f>IFERROR((VLOOKUP($A497,'Dados StatusInvest'!$A:$AZ,COLUMN(AG497)-$A$5,0)),0)</f>
        <v>0.28</v>
      </c>
      <c r="AH497" s="56">
        <f>IFERROR((VLOOKUP($A497,'Dados StatusInvest'!$A:$AZ,COLUMN(AH497)-$A$5,0)),0)</f>
        <v>-2.42</v>
      </c>
      <c r="AI497" s="57">
        <f>IFERROR((VLOOKUP($A497,'Dados StatusInvest'!$A:$AZ,COLUMN(AI497)-$A$5,0)),0)</f>
        <v>10691215482</v>
      </c>
      <c r="AJ497" s="59" t="str">
        <f>IFERROR((VLOOKUP($A497,'Dados StatusInvest'!$A:$AZ,COLUMN(AJ497)-$A$5,0)),0)</f>
        <v/>
      </c>
      <c r="AK497" s="60" t="str">
        <f>IFERROR(__xludf.DUMMYFUNCTION("IFERROR(GOOGLEFINANCE($A497,""high""),"""")"),"")</f>
        <v/>
      </c>
      <c r="AL497" s="60" t="str">
        <f>IFERROR(__xludf.DUMMYFUNCTION("IFERROR(GOOGLEFINANCE($A497,""low""),"""")"),"")</f>
        <v/>
      </c>
      <c r="AM497" s="61">
        <f t="shared" si="2"/>
        <v>0</v>
      </c>
      <c r="AN497" s="62">
        <f>IFERROR(__xludf.DUMMYFUNCTION("IFERROR((GOOGLEFINANCE($A497,""volume"")),0)"),0.0)</f>
        <v>0</v>
      </c>
      <c r="AO497" s="60" t="str">
        <f>IFERROR(__xludf.DUMMYFUNCTION("IFERROR((GOOGLEFINANCE($A497,""closeyest"")),"""")"),"")</f>
        <v/>
      </c>
      <c r="AP497" s="60" t="str">
        <f>IFERROR(__xludf.DUMMYFUNCTION("IFERROR((GOOGLEFINANCE($A497,""shares"")),"""")"),"")</f>
        <v/>
      </c>
      <c r="AQ497" s="18"/>
    </row>
    <row r="498">
      <c r="A498" s="45" t="str">
        <f>'Dados StatusInvest'!A493:A1112</f>
        <v>RNEW11</v>
      </c>
      <c r="B498" s="46" t="str">
        <f>IFERROR(__xludf.DUMMYFUNCTION("IFERROR((GOOGLEFINANCE(A498,""name"")),"""")"),"")</f>
        <v/>
      </c>
      <c r="C498" s="46" t="str">
        <f>IFERROR((VLOOKUP(LEFT($A498,4),Setor!$A:$E,3,0)),"")</f>
        <v>Utilidade Pública</v>
      </c>
      <c r="D498" s="46" t="str">
        <f>IFERROR((VLOOKUP(LEFT($A498,4),Setor!$A:$E,4,0)),"")</f>
        <v>Energia Elétrica</v>
      </c>
      <c r="E498" s="46" t="str">
        <f>IFERROR((VLOOKUP(LEFT($A498,4),Setor!$A:$E,5,0)),"")</f>
        <v>Energia Elétrica</v>
      </c>
      <c r="F498" s="47" t="str">
        <f>IFERROR(__xludf.DUMMYFUNCTION("IFERROR((GOOGLEFINANCE(A498)),"""")"),"")</f>
        <v/>
      </c>
      <c r="G498" s="48" t="str">
        <f>IFERROR(__xludf.DUMMYFUNCTION("IFERROR((sparkline(GOOGLEFINANCE($A498,""price"",TODAY()-30,TODAY(),""DAILY""),{""charttype"",""line"";""linewidth"",1;""color"",""#5f88cc""})),"""")"),"")</f>
        <v/>
      </c>
      <c r="H498" s="49" t="str">
        <f>IFERROR(__xludf.DUMMYFUNCTION("IFERROR((((GOOGLEFINANCE(A498))-(INDEX(GoogleFinance(A498,""PRICE"",$AQ$1),2,2)))/(INDEX(GoogleFinance(A498,""PRICE"",$AQ$1),2,2))),"""")"),"")</f>
        <v/>
      </c>
      <c r="I498" s="47" t="str">
        <f>IFERROR(__xludf.DUMMYFUNCTION("IFERROR((GOOGLEFINANCE($A498,""high52"")),"""")"),"")</f>
        <v/>
      </c>
      <c r="J498" s="48" t="str">
        <f>IFERROR(__xludf.DUMMYFUNCTION("IFERROR((sparkline(GOOGLEFINANCE($A498,""price"",TODAY()-365,TODAY(),""DAILY""),{""charttype"",""line"";""linewidth"",1;""color"",""#5f88cc""})),"""")"),"")</f>
        <v/>
      </c>
      <c r="K498" s="50" t="str">
        <f>IFERROR(__xludf.DUMMYFUNCTION("IFERROR((((GOOGLEFINANCE(A498))-(INDEX(GoogleFinance(A498,""PRICE"",$AP$1),2,2)))/(INDEX(GoogleFinance(A498,""PRICE"",$AP$1),2,2))),"""")"),"")</f>
        <v/>
      </c>
      <c r="L498" s="51">
        <f t="shared" si="1"/>
        <v>0</v>
      </c>
      <c r="M498" s="52">
        <f>IFERROR((VLOOKUP($A498,'Dados StatusInvest'!$A:$AZ,COLUMN(M498)-$A$5,0)*VLOOKUP($A498,'Dados StatusInvest'!$A:$AZ,2,0)/$F498/100),0)</f>
        <v>0</v>
      </c>
      <c r="N498" s="53">
        <f>IFERROR((VLOOKUP($A498,'Dados StatusInvest'!$A:$AZ,COLUMN(N498)-$A$5,0)/VLOOKUP($A498,'Dados StatusInvest'!$A:$AZ,2,0)*$F498),"")</f>
        <v>0</v>
      </c>
      <c r="O498" s="53">
        <f>IFERROR((VLOOKUP($A498,'Dados StatusInvest'!$A:$AZ,COLUMN(O498)-$A$5,0)/VLOOKUP($A498,'Dados StatusInvest'!$A:$AZ,2,0)*$F498),0)</f>
        <v>0</v>
      </c>
      <c r="P498" s="54">
        <f>IFERROR((VLOOKUP($A498,'Dados StatusInvest'!$A:$AZ,COLUMN(P498)-$A$5,0)/VLOOKUP($A498,'Dados StatusInvest'!$A:$AZ,2,0)*$F498),0)</f>
        <v>0</v>
      </c>
      <c r="Q498" s="55">
        <f>IFERROR((VLOOKUP($A498,'Dados StatusInvest'!$A:$AZ,COLUMN(Q498)-$A$5,0)/100),0)</f>
        <v>-0.2119</v>
      </c>
      <c r="R498" s="56">
        <f>VLOOKUP($A498,'Dados StatusInvest'!$A:$AZ,COLUMN(R498)-$A$5,0)</f>
        <v>0.52</v>
      </c>
      <c r="S498" s="56">
        <f>IFERROR((VLOOKUP($A498,'Dados StatusInvest'!$A:$AZ,COLUMN(S498)-$A$5,0)),0)</f>
        <v>0.86</v>
      </c>
      <c r="T498" s="53">
        <f>IFERROR((VLOOKUP($A498,'Dados StatusInvest'!$A:$AZ,COLUMN(T498)-$A$5,0)/VLOOKUP($A498,'Dados StatusInvest'!$A:$AZ,2,0)*$F498),0)</f>
        <v>0</v>
      </c>
      <c r="U498" s="53">
        <f>IFERROR((VLOOKUP($A498,'Dados StatusInvest'!$A:$AZ,COLUMN(U498)-$A$5,0)-VLOOKUP($A498,'Dados StatusInvest'!$A:$AZ,COLUMN(U498)-$A$5-1,0)+T498),0)</f>
        <v>2.17</v>
      </c>
      <c r="V498" s="56">
        <f>IFERROR((VLOOKUP($A498,'Dados StatusInvest'!$A:$AZ,COLUMN(V498)-$A$5,0)),0)</f>
        <v>0.58</v>
      </c>
      <c r="W498" s="56">
        <f>IFERROR((VLOOKUP($A498,'Dados StatusInvest'!$A:$AZ,COLUMN(W498)-$A$5,0)),0)</f>
        <v>-13.6</v>
      </c>
      <c r="X498" s="53">
        <f>IFERROR((VLOOKUP($A498,'Dados StatusInvest'!$A:$AZ,COLUMN(X498)-$A$5,0)/VLOOKUP($A498,'Dados StatusInvest'!$A:$AZ,2,0)*$F498),0)</f>
        <v>0</v>
      </c>
      <c r="Y498" s="54">
        <f>IFERROR((VLOOKUP($A498,'Dados StatusInvest'!$A:$AZ,COLUMN(Y498)-$A$5,0)/VLOOKUP($A498,'Dados StatusInvest'!$A:$AZ,2,0)*$F498),0)</f>
        <v>0</v>
      </c>
      <c r="Z498" s="56">
        <f>IFERROR((VLOOKUP($A498,'Dados StatusInvest'!$A:$AZ,COLUMN(Z498)-$A$5,0)),0)</f>
        <v>0.42</v>
      </c>
      <c r="AA498" s="57">
        <f>IFERROR((VLOOKUP($A498,'Dados StatusInvest'!$A:$AZ,COLUMN(AA498)-$A$5,0)),0)</f>
        <v>0.58</v>
      </c>
      <c r="AB498" s="57">
        <f>IFERROR((VLOOKUP($A498,'Dados StatusInvest'!$A:$AZ,COLUMN(AB498)-$A$5,0)),0)</f>
        <v>0.16</v>
      </c>
      <c r="AC498" s="58">
        <f>IFERROR((VLOOKUP($A498,'Dados StatusInvest'!$A:$AZ,COLUMN(AC498)-$A$5,0)),0)</f>
        <v>21.43</v>
      </c>
      <c r="AD498" s="57">
        <f>IFERROR((VLOOKUP($A498,'Dados StatusInvest'!$A:$AZ,COLUMN(AD498)-$A$5,0)),0)</f>
        <v>0</v>
      </c>
      <c r="AE498" s="56">
        <f>IFERROR((VLOOKUP($A498,'Dados StatusInvest'!$A:$AZ,COLUMN(AE498)-$A$5,0)),0)</f>
        <v>1615</v>
      </c>
      <c r="AF498" s="56">
        <f>IFERROR((VLOOKUP($A498,'Dados StatusInvest'!$A:$AZ,COLUMN(AF498)-$A$5,0)),0)</f>
        <v>10.05</v>
      </c>
      <c r="AG498" s="56">
        <f>IFERROR((VLOOKUP($A498,'Dados StatusInvest'!$A:$AZ,COLUMN(AG498)-$A$5,0)),0)</f>
        <v>-1.37</v>
      </c>
      <c r="AH498" s="56">
        <f>IFERROR((VLOOKUP($A498,'Dados StatusInvest'!$A:$AZ,COLUMN(AH498)-$A$5,0)),0)</f>
        <v>0.01</v>
      </c>
      <c r="AI498" s="57">
        <f>IFERROR((VLOOKUP($A498,'Dados StatusInvest'!$A:$AZ,COLUMN(AI498)-$A$5,0)),0)</f>
        <v>401720052.7</v>
      </c>
      <c r="AJ498" s="59" t="str">
        <f>IFERROR((VLOOKUP($A498,'Dados StatusInvest'!$A:$AZ,COLUMN(AJ498)-$A$5,0)),0)</f>
        <v/>
      </c>
      <c r="AK498" s="60" t="str">
        <f>IFERROR(__xludf.DUMMYFUNCTION("IFERROR(GOOGLEFINANCE($A498,""high""),"""")"),"")</f>
        <v/>
      </c>
      <c r="AL498" s="60" t="str">
        <f>IFERROR(__xludf.DUMMYFUNCTION("IFERROR(GOOGLEFINANCE($A498,""low""),"""")"),"")</f>
        <v/>
      </c>
      <c r="AM498" s="61">
        <f t="shared" si="2"/>
        <v>0</v>
      </c>
      <c r="AN498" s="62">
        <f>IFERROR(__xludf.DUMMYFUNCTION("IFERROR((GOOGLEFINANCE($A498,""volume"")),0)"),0.0)</f>
        <v>0</v>
      </c>
      <c r="AO498" s="60" t="str">
        <f>IFERROR(__xludf.DUMMYFUNCTION("IFERROR((GOOGLEFINANCE($A498,""closeyest"")),"""")"),"")</f>
        <v/>
      </c>
      <c r="AP498" s="60" t="str">
        <f>IFERROR(__xludf.DUMMYFUNCTION("IFERROR((GOOGLEFINANCE($A498,""shares"")),"""")"),"")</f>
        <v/>
      </c>
      <c r="AQ498" s="18"/>
    </row>
    <row r="499">
      <c r="A499" s="45" t="str">
        <f>'Dados StatusInvest'!A494:A1113</f>
        <v>RNEW3</v>
      </c>
      <c r="B499" s="46" t="str">
        <f>IFERROR(__xludf.DUMMYFUNCTION("IFERROR((GOOGLEFINANCE(A499,""name"")),"""")"),"Renova Energia SA Em Recuperaco Judicial")</f>
        <v>Renova Energia SA Em Recuperaco Judicial</v>
      </c>
      <c r="C499" s="46" t="str">
        <f>IFERROR((VLOOKUP(LEFT($A499,4),Setor!$A:$E,3,0)),"")</f>
        <v>Utilidade Pública</v>
      </c>
      <c r="D499" s="46" t="str">
        <f>IFERROR((VLOOKUP(LEFT($A499,4),Setor!$A:$E,4,0)),"")</f>
        <v>Energia Elétrica</v>
      </c>
      <c r="E499" s="46" t="str">
        <f>IFERROR((VLOOKUP(LEFT($A499,4),Setor!$A:$E,5,0)),"")</f>
        <v>Energia Elétrica</v>
      </c>
      <c r="F499" s="47">
        <f>IFERROR(__xludf.DUMMYFUNCTION("IFERROR((GOOGLEFINANCE(A499)),"""")"),1.22)</f>
        <v>1.22</v>
      </c>
      <c r="G499" s="48" t="str">
        <f>IFERROR(__xludf.DUMMYFUNCTION("IFERROR((sparkline(GOOGLEFINANCE($A499,""price"",TODAY()-30,TODAY(),""DAILY""),{""charttype"",""line"";""linewidth"",1;""color"",""#5f88cc""})),"""")"),"")</f>
        <v/>
      </c>
      <c r="H499" s="49">
        <f>IFERROR(__xludf.DUMMYFUNCTION("IFERROR((((GOOGLEFINANCE(A499))-(INDEX(GoogleFinance(A499,""PRICE"",$AQ$1),2,2)))/(INDEX(GoogleFinance(A499,""PRICE"",$AQ$1),2,2))),"""")"),0.20792079207920788)</f>
        <v>0.2079207921</v>
      </c>
      <c r="I499" s="47">
        <f>IFERROR(__xludf.DUMMYFUNCTION("IFERROR((GOOGLEFINANCE($A499,""high52"")),"""")"),2.14)</f>
        <v>2.14</v>
      </c>
      <c r="J499" s="48" t="str">
        <f>IFERROR(__xludf.DUMMYFUNCTION("IFERROR((sparkline(GOOGLEFINANCE($A499,""price"",TODAY()-365,TODAY(),""DAILY""),{""charttype"",""line"";""linewidth"",1;""color"",""#5f88cc""})),"""")"),"")</f>
        <v/>
      </c>
      <c r="K499" s="50">
        <f>IFERROR(__xludf.DUMMYFUNCTION("IFERROR((((GOOGLEFINANCE(A499))-(INDEX(GoogleFinance(A499,""PRICE"",$AP$1),2,2)))/(INDEX(GoogleFinance(A499,""PRICE"",$AP$1),2,2))),"""")"),-0.42452830188679247)</f>
        <v>-0.4245283019</v>
      </c>
      <c r="L499" s="51">
        <f t="shared" si="1"/>
        <v>-0.4299065421</v>
      </c>
      <c r="M499" s="52">
        <f>IFERROR((VLOOKUP($A499,'Dados StatusInvest'!$A:$AZ,COLUMN(M499)-$A$5,0)*VLOOKUP($A499,'Dados StatusInvest'!$A:$AZ,2,0)/$F499/100),0)</f>
        <v>-0.06262377049</v>
      </c>
      <c r="N499" s="53">
        <f>IFERROR((VLOOKUP($A499,'Dados StatusInvest'!$A:$AZ,COLUMN(N499)-$A$5,0)/VLOOKUP($A499,'Dados StatusInvest'!$A:$AZ,2,0)*$F499),"")</f>
        <v>-37.7782906</v>
      </c>
      <c r="O499" s="53">
        <f>IFERROR((VLOOKUP($A499,'Dados StatusInvest'!$A:$AZ,COLUMN(O499)-$A$5,0)/VLOOKUP($A499,'Dados StatusInvest'!$A:$AZ,2,0)*$F499),0)</f>
        <v>-14.85897436</v>
      </c>
      <c r="P499" s="54">
        <f>IFERROR((VLOOKUP($A499,'Dados StatusInvest'!$A:$AZ,COLUMN(P499)-$A$5,0)/VLOOKUP($A499,'Dados StatusInvest'!$A:$AZ,2,0)*$F499),0)</f>
        <v>-35.77623932</v>
      </c>
      <c r="Q499" s="55">
        <f>IFERROR((VLOOKUP($A499,'Dados StatusInvest'!$A:$AZ,COLUMN(Q499)-$A$5,0)/100),0)</f>
        <v>-0.2119</v>
      </c>
      <c r="R499" s="56">
        <f>VLOOKUP($A499,'Dados StatusInvest'!$A:$AZ,COLUMN(R499)-$A$5,0)</f>
        <v>0.52</v>
      </c>
      <c r="S499" s="56">
        <f>IFERROR((VLOOKUP($A499,'Dados StatusInvest'!$A:$AZ,COLUMN(S499)-$A$5,0)),0)</f>
        <v>0.93</v>
      </c>
      <c r="T499" s="53">
        <f>IFERROR((VLOOKUP($A499,'Dados StatusInvest'!$A:$AZ,COLUMN(T499)-$A$5,0)/VLOOKUP($A499,'Dados StatusInvest'!$A:$AZ,2,0)*$F499),0)</f>
        <v>-2.627692308</v>
      </c>
      <c r="U499" s="53">
        <f>IFERROR((VLOOKUP($A499,'Dados StatusInvest'!$A:$AZ,COLUMN(U499)-$A$5,0)-VLOOKUP($A499,'Dados StatusInvest'!$A:$AZ,COLUMN(U499)-$A$5-1,0)+T499),0)</f>
        <v>-0.2676923077</v>
      </c>
      <c r="V499" s="56">
        <f>IFERROR((VLOOKUP($A499,'Dados StatusInvest'!$A:$AZ,COLUMN(V499)-$A$5,0)),0)</f>
        <v>0.58</v>
      </c>
      <c r="W499" s="56">
        <f>IFERROR((VLOOKUP($A499,'Dados StatusInvest'!$A:$AZ,COLUMN(W499)-$A$5,0)),0)</f>
        <v>-13.6</v>
      </c>
      <c r="X499" s="53">
        <f>IFERROR((VLOOKUP($A499,'Dados StatusInvest'!$A:$AZ,COLUMN(X499)-$A$5,0)/VLOOKUP($A499,'Dados StatusInvest'!$A:$AZ,2,0)*$F499),0)</f>
        <v>-5.954017094</v>
      </c>
      <c r="Y499" s="54">
        <f>IFERROR((VLOOKUP($A499,'Dados StatusInvest'!$A:$AZ,COLUMN(Y499)-$A$5,0)/VLOOKUP($A499,'Dados StatusInvest'!$A:$AZ,2,0)*$F499),0)</f>
        <v>-2.742393162</v>
      </c>
      <c r="Z499" s="56">
        <f>IFERROR((VLOOKUP($A499,'Dados StatusInvest'!$A:$AZ,COLUMN(Z499)-$A$5,0)),0)</f>
        <v>0.42</v>
      </c>
      <c r="AA499" s="57">
        <f>IFERROR((VLOOKUP($A499,'Dados StatusInvest'!$A:$AZ,COLUMN(AA499)-$A$5,0)),0)</f>
        <v>0.58</v>
      </c>
      <c r="AB499" s="57">
        <f>IFERROR((VLOOKUP($A499,'Dados StatusInvest'!$A:$AZ,COLUMN(AB499)-$A$5,0)),0)</f>
        <v>0.16</v>
      </c>
      <c r="AC499" s="58">
        <f>IFERROR((VLOOKUP($A499,'Dados StatusInvest'!$A:$AZ,COLUMN(AC499)-$A$5,0)),0)</f>
        <v>21.43</v>
      </c>
      <c r="AD499" s="57">
        <f>IFERROR((VLOOKUP($A499,'Dados StatusInvest'!$A:$AZ,COLUMN(AD499)-$A$5,0)),0)</f>
        <v>0</v>
      </c>
      <c r="AE499" s="56">
        <f>IFERROR((VLOOKUP($A499,'Dados StatusInvest'!$A:$AZ,COLUMN(AE499)-$A$5,0)),0)</f>
        <v>95957.14</v>
      </c>
      <c r="AF499" s="56">
        <f>IFERROR((VLOOKUP($A499,'Dados StatusInvest'!$A:$AZ,COLUMN(AF499)-$A$5,0)),0)</f>
        <v>3.35</v>
      </c>
      <c r="AG499" s="56">
        <f>IFERROR((VLOOKUP($A499,'Dados StatusInvest'!$A:$AZ,COLUMN(AG499)-$A$5,0)),0)</f>
        <v>-0.46</v>
      </c>
      <c r="AH499" s="56">
        <f>IFERROR((VLOOKUP($A499,'Dados StatusInvest'!$A:$AZ,COLUMN(AH499)-$A$5,0)),0)</f>
        <v>0.01</v>
      </c>
      <c r="AI499" s="57">
        <f>IFERROR((VLOOKUP($A499,'Dados StatusInvest'!$A:$AZ,COLUMN(AI499)-$A$5,0)),0)</f>
        <v>401720052.7</v>
      </c>
      <c r="AJ499" s="59" t="str">
        <f>IFERROR((VLOOKUP($A499,'Dados StatusInvest'!$A:$AZ,COLUMN(AJ499)-$A$5,0)),0)</f>
        <v/>
      </c>
      <c r="AK499" s="60">
        <f>IFERROR(__xludf.DUMMYFUNCTION("IFERROR(GOOGLEFINANCE($A499,""high""),"""")"),1.27)</f>
        <v>1.27</v>
      </c>
      <c r="AL499" s="60">
        <f>IFERROR(__xludf.DUMMYFUNCTION("IFERROR(GOOGLEFINANCE($A499,""low""),"""")"),1.18)</f>
        <v>1.18</v>
      </c>
      <c r="AM499" s="61">
        <f t="shared" si="2"/>
        <v>0.07627118644</v>
      </c>
      <c r="AN499" s="62">
        <f>IFERROR(__xludf.DUMMYFUNCTION("IFERROR((GOOGLEFINANCE($A499,""volume"")),0)"),15000.0)</f>
        <v>15000</v>
      </c>
      <c r="AO499" s="60">
        <f>IFERROR(__xludf.DUMMYFUNCTION("IFERROR((GOOGLEFINANCE($A499,""closeyest"")),"""")"),1.17)</f>
        <v>1.17</v>
      </c>
      <c r="AP499" s="60">
        <f>IFERROR(__xludf.DUMMYFUNCTION("IFERROR((GOOGLEFINANCE($A499,""shares"")),"""")"),3.10743613E8)</f>
        <v>310743613</v>
      </c>
      <c r="AQ499" s="18"/>
    </row>
    <row r="500">
      <c r="A500" s="45" t="str">
        <f>'Dados StatusInvest'!A495:A1114</f>
        <v>RNEW4</v>
      </c>
      <c r="B500" s="46" t="str">
        <f>IFERROR(__xludf.DUMMYFUNCTION("IFERROR((GOOGLEFINANCE(A500,""name"")),"""")"),"Renova Energia SA Em Recuperaco Judicial Preference Shares")</f>
        <v>Renova Energia SA Em Recuperaco Judicial Preference Shares</v>
      </c>
      <c r="C500" s="46" t="str">
        <f>IFERROR((VLOOKUP(LEFT($A500,4),Setor!$A:$E,3,0)),"")</f>
        <v>Utilidade Pública</v>
      </c>
      <c r="D500" s="46" t="str">
        <f>IFERROR((VLOOKUP(LEFT($A500,4),Setor!$A:$E,4,0)),"")</f>
        <v>Energia Elétrica</v>
      </c>
      <c r="E500" s="46" t="str">
        <f>IFERROR((VLOOKUP(LEFT($A500,4),Setor!$A:$E,5,0)),"")</f>
        <v>Energia Elétrica</v>
      </c>
      <c r="F500" s="47">
        <f>IFERROR(__xludf.DUMMYFUNCTION("IFERROR((GOOGLEFINANCE(A500)),"""")"),1.0)</f>
        <v>1</v>
      </c>
      <c r="G500" s="48" t="str">
        <f>IFERROR(__xludf.DUMMYFUNCTION("IFERROR((sparkline(GOOGLEFINANCE($A500,""price"",TODAY()-30,TODAY(),""DAILY""),{""charttype"",""line"";""linewidth"",1;""color"",""#5f88cc""})),"""")"),"")</f>
        <v/>
      </c>
      <c r="H500" s="49">
        <f>IFERROR(__xludf.DUMMYFUNCTION("IFERROR((((GOOGLEFINANCE(A500))-(INDEX(GoogleFinance(A500,""PRICE"",$AQ$1),2,2)))/(INDEX(GoogleFinance(A500,""PRICE"",$AQ$1),2,2))),"""")"),0.11111111111111108)</f>
        <v>0.1111111111</v>
      </c>
      <c r="I500" s="47">
        <f>IFERROR(__xludf.DUMMYFUNCTION("IFERROR((GOOGLEFINANCE($A500,""high52"")),"""")"),2.12)</f>
        <v>2.12</v>
      </c>
      <c r="J500" s="48" t="str">
        <f>IFERROR(__xludf.DUMMYFUNCTION("IFERROR((sparkline(GOOGLEFINANCE($A500,""price"",TODAY()-365,TODAY(),""DAILY""),{""charttype"",""line"";""linewidth"",1;""color"",""#5f88cc""})),"""")"),"")</f>
        <v/>
      </c>
      <c r="K500" s="50">
        <f>IFERROR(__xludf.DUMMYFUNCTION("IFERROR((((GOOGLEFINANCE(A500))-(INDEX(GoogleFinance(A500,""PRICE"",$AP$1),2,2)))/(INDEX(GoogleFinance(A500,""PRICE"",$AP$1),2,2))),"""")"),-0.5024875621890547)</f>
        <v>-0.5024875622</v>
      </c>
      <c r="L500" s="51">
        <f t="shared" si="1"/>
        <v>-0.5283018868</v>
      </c>
      <c r="M500" s="52">
        <f>IFERROR((VLOOKUP($A500,'Dados StatusInvest'!$A:$AZ,COLUMN(M500)-$A$5,0)*VLOOKUP($A500,'Dados StatusInvest'!$A:$AZ,2,0)/$F500/100),0)</f>
        <v>-0.0653</v>
      </c>
      <c r="N500" s="53">
        <f>IFERROR((VLOOKUP($A500,'Dados StatusInvest'!$A:$AZ,COLUMN(N500)-$A$5,0)/VLOOKUP($A500,'Dados StatusInvest'!$A:$AZ,2,0)*$F500),"")</f>
        <v>-36.23</v>
      </c>
      <c r="O500" s="53">
        <f>IFERROR((VLOOKUP($A500,'Dados StatusInvest'!$A:$AZ,COLUMN(O500)-$A$5,0)/VLOOKUP($A500,'Dados StatusInvest'!$A:$AZ,2,0)*$F500),0)</f>
        <v>-12.18</v>
      </c>
      <c r="P500" s="54">
        <f>IFERROR((VLOOKUP($A500,'Dados StatusInvest'!$A:$AZ,COLUMN(P500)-$A$5,0)/VLOOKUP($A500,'Dados StatusInvest'!$A:$AZ,2,0)*$F500),0)</f>
        <v>-34.31</v>
      </c>
      <c r="Q500" s="55">
        <f>IFERROR((VLOOKUP($A500,'Dados StatusInvest'!$A:$AZ,COLUMN(Q500)-$A$5,0)/100),0)</f>
        <v>-0.2119</v>
      </c>
      <c r="R500" s="56">
        <f>VLOOKUP($A500,'Dados StatusInvest'!$A:$AZ,COLUMN(R500)-$A$5,0)</f>
        <v>0.52</v>
      </c>
      <c r="S500" s="56">
        <f>IFERROR((VLOOKUP($A500,'Dados StatusInvest'!$A:$AZ,COLUMN(S500)-$A$5,0)),0)</f>
        <v>0.8</v>
      </c>
      <c r="T500" s="53">
        <f>IFERROR((VLOOKUP($A500,'Dados StatusInvest'!$A:$AZ,COLUMN(T500)-$A$5,0)/VLOOKUP($A500,'Dados StatusInvest'!$A:$AZ,2,0)*$F500),0)</f>
        <v>-2.15</v>
      </c>
      <c r="U500" s="53">
        <f>IFERROR((VLOOKUP($A500,'Dados StatusInvest'!$A:$AZ,COLUMN(U500)-$A$5,0)-VLOOKUP($A500,'Dados StatusInvest'!$A:$AZ,COLUMN(U500)-$A$5-1,0)+T500),0)</f>
        <v>-0.14</v>
      </c>
      <c r="V500" s="56">
        <f>IFERROR((VLOOKUP($A500,'Dados StatusInvest'!$A:$AZ,COLUMN(V500)-$A$5,0)),0)</f>
        <v>0.58</v>
      </c>
      <c r="W500" s="56">
        <f>IFERROR((VLOOKUP($A500,'Dados StatusInvest'!$A:$AZ,COLUMN(W500)-$A$5,0)),0)</f>
        <v>-13.6</v>
      </c>
      <c r="X500" s="53">
        <f>IFERROR((VLOOKUP($A500,'Dados StatusInvest'!$A:$AZ,COLUMN(X500)-$A$5,0)/VLOOKUP($A500,'Dados StatusInvest'!$A:$AZ,2,0)*$F500),0)</f>
        <v>-5.71</v>
      </c>
      <c r="Y500" s="54">
        <f>IFERROR((VLOOKUP($A500,'Dados StatusInvest'!$A:$AZ,COLUMN(Y500)-$A$5,0)/VLOOKUP($A500,'Dados StatusInvest'!$A:$AZ,2,0)*$F500),0)</f>
        <v>-2.63</v>
      </c>
      <c r="Z500" s="56">
        <f>IFERROR((VLOOKUP($A500,'Dados StatusInvest'!$A:$AZ,COLUMN(Z500)-$A$5,0)),0)</f>
        <v>0.42</v>
      </c>
      <c r="AA500" s="57">
        <f>IFERROR((VLOOKUP($A500,'Dados StatusInvest'!$A:$AZ,COLUMN(AA500)-$A$5,0)),0)</f>
        <v>0.58</v>
      </c>
      <c r="AB500" s="57">
        <f>IFERROR((VLOOKUP($A500,'Dados StatusInvest'!$A:$AZ,COLUMN(AB500)-$A$5,0)),0)</f>
        <v>0.16</v>
      </c>
      <c r="AC500" s="58">
        <f>IFERROR((VLOOKUP($A500,'Dados StatusInvest'!$A:$AZ,COLUMN(AC500)-$A$5,0)),0)</f>
        <v>21.43</v>
      </c>
      <c r="AD500" s="57">
        <f>IFERROR((VLOOKUP($A500,'Dados StatusInvest'!$A:$AZ,COLUMN(AD500)-$A$5,0)),0)</f>
        <v>0</v>
      </c>
      <c r="AE500" s="56">
        <f>IFERROR((VLOOKUP($A500,'Dados StatusInvest'!$A:$AZ,COLUMN(AE500)-$A$5,0)),0)</f>
        <v>81851.05</v>
      </c>
      <c r="AF500" s="56">
        <f>IFERROR((VLOOKUP($A500,'Dados StatusInvest'!$A:$AZ,COLUMN(AF500)-$A$5,0)),0)</f>
        <v>3.35</v>
      </c>
      <c r="AG500" s="56">
        <f>IFERROR((VLOOKUP($A500,'Dados StatusInvest'!$A:$AZ,COLUMN(AG500)-$A$5,0)),0)</f>
        <v>-0.46</v>
      </c>
      <c r="AH500" s="56">
        <f>IFERROR((VLOOKUP($A500,'Dados StatusInvest'!$A:$AZ,COLUMN(AH500)-$A$5,0)),0)</f>
        <v>0.01</v>
      </c>
      <c r="AI500" s="57">
        <f>IFERROR((VLOOKUP($A500,'Dados StatusInvest'!$A:$AZ,COLUMN(AI500)-$A$5,0)),0)</f>
        <v>401720052.7</v>
      </c>
      <c r="AJ500" s="59" t="str">
        <f>IFERROR((VLOOKUP($A500,'Dados StatusInvest'!$A:$AZ,COLUMN(AJ500)-$A$5,0)),0)</f>
        <v/>
      </c>
      <c r="AK500" s="60">
        <f>IFERROR(__xludf.DUMMYFUNCTION("IFERROR(GOOGLEFINANCE($A500,""high""),"""")"),1.04)</f>
        <v>1.04</v>
      </c>
      <c r="AL500" s="60">
        <f>IFERROR(__xludf.DUMMYFUNCTION("IFERROR(GOOGLEFINANCE($A500,""low""),"""")"),1.0)</f>
        <v>1</v>
      </c>
      <c r="AM500" s="61">
        <f t="shared" si="2"/>
        <v>0.04</v>
      </c>
      <c r="AN500" s="62">
        <f>IFERROR(__xludf.DUMMYFUNCTION("IFERROR((GOOGLEFINANCE($A500,""volume"")),0)"),15500.0)</f>
        <v>15500</v>
      </c>
      <c r="AO500" s="60">
        <f>IFERROR(__xludf.DUMMYFUNCTION("IFERROR((GOOGLEFINANCE($A500,""closeyest"")),"""")"),1.0)</f>
        <v>1</v>
      </c>
      <c r="AP500" s="60">
        <f>IFERROR(__xludf.DUMMYFUNCTION("IFERROR((GOOGLEFINANCE($A500,""shares"")),"""")"),6.2370987E7)</f>
        <v>62370987</v>
      </c>
      <c r="AQ500" s="18"/>
    </row>
    <row r="501">
      <c r="A501" s="45" t="str">
        <f>'Dados StatusInvest'!A496:A1115</f>
        <v>ROMI3</v>
      </c>
      <c r="B501" s="46" t="str">
        <f>IFERROR(__xludf.DUMMYFUNCTION("IFERROR((GOOGLEFINANCE(A501,""name"")),"""")"),"Romi SA")</f>
        <v>Romi SA</v>
      </c>
      <c r="C501" s="46" t="str">
        <f>IFERROR((VLOOKUP(LEFT($A501,4),Setor!$A:$E,3,0)),"")</f>
        <v>Bens Industriais</v>
      </c>
      <c r="D501" s="46" t="str">
        <f>IFERROR((VLOOKUP(LEFT($A501,4),Setor!$A:$E,4,0)),"")</f>
        <v>Máquinas e Equipamentos</v>
      </c>
      <c r="E501" s="46" t="str">
        <f>IFERROR((VLOOKUP(LEFT($A501,4),Setor!$A:$E,5,0)),"")</f>
        <v>Máq. e Equip. Industriais</v>
      </c>
      <c r="F501" s="47">
        <f>IFERROR(__xludf.DUMMYFUNCTION("IFERROR((GOOGLEFINANCE(A501)),"""")"),8.2)</f>
        <v>8.2</v>
      </c>
      <c r="G501" s="48" t="str">
        <f>IFERROR(__xludf.DUMMYFUNCTION("IFERROR((sparkline(GOOGLEFINANCE($A501,""price"",TODAY()-30,TODAY(),""DAILY""),{""charttype"",""line"";""linewidth"",1;""color"",""#5f88cc""})),"""")"),"")</f>
        <v/>
      </c>
      <c r="H501" s="49">
        <f>IFERROR(__xludf.DUMMYFUNCTION("IFERROR((((GOOGLEFINANCE(A501))-(INDEX(GoogleFinance(A501,""PRICE"",$AQ$1),2,2)))/(INDEX(GoogleFinance(A501,""PRICE"",$AQ$1),2,2))),"""")"),0.013597033374536395)</f>
        <v>0.01359703337</v>
      </c>
      <c r="I501" s="47">
        <f>IFERROR(__xludf.DUMMYFUNCTION("IFERROR((GOOGLEFINANCE($A501,""high52"")),"""")"),9.27)</f>
        <v>9.27</v>
      </c>
      <c r="J501" s="48" t="str">
        <f>IFERROR(__xludf.DUMMYFUNCTION("IFERROR((sparkline(GOOGLEFINANCE($A501,""price"",TODAY()-365,TODAY(),""DAILY""),{""charttype"",""line"";""linewidth"",1;""color"",""#5f88cc""})),"""")"),"")</f>
        <v/>
      </c>
      <c r="K501" s="50">
        <f>IFERROR(__xludf.DUMMYFUNCTION("IFERROR((((GOOGLEFINANCE(A501))-(INDEX(GoogleFinance(A501,""PRICE"",$AP$1),2,2)))/(INDEX(GoogleFinance(A501,""PRICE"",$AP$1),2,2))),"""")"),-0.11542610571736789)</f>
        <v>-0.1154261057</v>
      </c>
      <c r="L501" s="51">
        <f t="shared" si="1"/>
        <v>-0.1154261057</v>
      </c>
      <c r="M501" s="52">
        <f>IFERROR((VLOOKUP($A501,'Dados StatusInvest'!$A:$AZ,COLUMN(M501)-$A$5,0)*VLOOKUP($A501,'Dados StatusInvest'!$A:$AZ,2,0)/$F501/100),0)</f>
        <v>0.07074341463</v>
      </c>
      <c r="N501" s="53">
        <f>IFERROR((VLOOKUP($A501,'Dados StatusInvest'!$A:$AZ,COLUMN(N501)-$A$5,0)/VLOOKUP($A501,'Dados StatusInvest'!$A:$AZ,2,0)*$F501),"")</f>
        <v>6.388834951</v>
      </c>
      <c r="O501" s="53">
        <f>IFERROR((VLOOKUP($A501,'Dados StatusInvest'!$A:$AZ,COLUMN(O501)-$A$5,0)/VLOOKUP($A501,'Dados StatusInvest'!$A:$AZ,2,0)*$F501),0)</f>
        <v>8.180097087</v>
      </c>
      <c r="P501" s="54">
        <f>IFERROR((VLOOKUP($A501,'Dados StatusInvest'!$A:$AZ,COLUMN(P501)-$A$5,0)/VLOOKUP($A501,'Dados StatusInvest'!$A:$AZ,2,0)*$F501),0)</f>
        <v>13.99174757</v>
      </c>
      <c r="Q501" s="55">
        <f>IFERROR((VLOOKUP($A501,'Dados StatusInvest'!$A:$AZ,COLUMN(Q501)-$A$5,0)/100),0)</f>
        <v>0.0584</v>
      </c>
      <c r="R501" s="56">
        <f>VLOOKUP($A501,'Dados StatusInvest'!$A:$AZ,COLUMN(R501)-$A$5,0)</f>
        <v>0.44</v>
      </c>
      <c r="S501" s="56">
        <f>IFERROR((VLOOKUP($A501,'Dados StatusInvest'!$A:$AZ,COLUMN(S501)-$A$5,0)),0)</f>
        <v>0.58</v>
      </c>
      <c r="T501" s="53">
        <f>IFERROR((VLOOKUP($A501,'Dados StatusInvest'!$A:$AZ,COLUMN(T501)-$A$5,0)/VLOOKUP($A501,'Dados StatusInvest'!$A:$AZ,2,0)*$F501),0)</f>
        <v>0.7762135922</v>
      </c>
      <c r="U501" s="53">
        <f>IFERROR((VLOOKUP($A501,'Dados StatusInvest'!$A:$AZ,COLUMN(U501)-$A$5,0)-VLOOKUP($A501,'Dados StatusInvest'!$A:$AZ,COLUMN(U501)-$A$5-1,0)+T501),0)</f>
        <v>-0.7437864078</v>
      </c>
      <c r="V501" s="56">
        <f>IFERROR((VLOOKUP($A501,'Dados StatusInvest'!$A:$AZ,COLUMN(V501)-$A$5,0)),0)</f>
        <v>2.35</v>
      </c>
      <c r="W501" s="56">
        <f>IFERROR((VLOOKUP($A501,'Dados StatusInvest'!$A:$AZ,COLUMN(W501)-$A$5,0)),0)</f>
        <v>6.82</v>
      </c>
      <c r="X501" s="53">
        <f>IFERROR((VLOOKUP($A501,'Dados StatusInvest'!$A:$AZ,COLUMN(X501)-$A$5,0)/VLOOKUP($A501,'Dados StatusInvest'!$A:$AZ,2,0)*$F501),0)</f>
        <v>3.065048544</v>
      </c>
      <c r="Y501" s="54">
        <f>IFERROR((VLOOKUP($A501,'Dados StatusInvest'!$A:$AZ,COLUMN(Y501)-$A$5,0)/VLOOKUP($A501,'Dados StatusInvest'!$A:$AZ,2,0)*$F501),0)</f>
        <v>2.458009709</v>
      </c>
      <c r="Z501" s="56">
        <f>IFERROR((VLOOKUP($A501,'Dados StatusInvest'!$A:$AZ,COLUMN(Z501)-$A$5,0)),0)</f>
        <v>0.45</v>
      </c>
      <c r="AA501" s="57">
        <f>IFERROR((VLOOKUP($A501,'Dados StatusInvest'!$A:$AZ,COLUMN(AA501)-$A$5,0)),0)</f>
        <v>0.55</v>
      </c>
      <c r="AB501" s="57">
        <f>IFERROR((VLOOKUP($A501,'Dados StatusInvest'!$A:$AZ,COLUMN(AB501)-$A$5,0)),0)</f>
        <v>0.48</v>
      </c>
      <c r="AC501" s="58">
        <f>IFERROR((VLOOKUP($A501,'Dados StatusInvest'!$A:$AZ,COLUMN(AC501)-$A$5,0)),0)</f>
        <v>6.39</v>
      </c>
      <c r="AD501" s="57">
        <f>IFERROR((VLOOKUP($A501,'Dados StatusInvest'!$A:$AZ,COLUMN(AD501)-$A$5,0)),0)</f>
        <v>-13.37</v>
      </c>
      <c r="AE501" s="56">
        <f>IFERROR((VLOOKUP($A501,'Dados StatusInvest'!$A:$AZ,COLUMN(AE501)-$A$5,0)),0)</f>
        <v>2316491</v>
      </c>
      <c r="AF501" s="56">
        <f>IFERROR((VLOOKUP($A501,'Dados StatusInvest'!$A:$AZ,COLUMN(AF501)-$A$5,0)),0)</f>
        <v>13.4</v>
      </c>
      <c r="AG501" s="56">
        <f>IFERROR((VLOOKUP($A501,'Dados StatusInvest'!$A:$AZ,COLUMN(AG501)-$A$5,0)),0)</f>
        <v>0.91</v>
      </c>
      <c r="AH501" s="56">
        <f>IFERROR((VLOOKUP($A501,'Dados StatusInvest'!$A:$AZ,COLUMN(AH501)-$A$5,0)),0)</f>
        <v>-0.36</v>
      </c>
      <c r="AI501" s="57">
        <f>IFERROR((VLOOKUP($A501,'Dados StatusInvest'!$A:$AZ,COLUMN(AI501)-$A$5,0)),0)</f>
        <v>767726955.3</v>
      </c>
      <c r="AJ501" s="59" t="str">
        <f>IFERROR((VLOOKUP($A501,'Dados StatusInvest'!$A:$AZ,COLUMN(AJ501)-$A$5,0)),0)</f>
        <v/>
      </c>
      <c r="AK501" s="60">
        <f>IFERROR(__xludf.DUMMYFUNCTION("IFERROR(GOOGLEFINANCE($A501,""high""),"""")"),8.27)</f>
        <v>8.27</v>
      </c>
      <c r="AL501" s="60">
        <f>IFERROR(__xludf.DUMMYFUNCTION("IFERROR(GOOGLEFINANCE($A501,""low""),"""")"),8.13)</f>
        <v>8.13</v>
      </c>
      <c r="AM501" s="61">
        <f t="shared" si="2"/>
        <v>0.0172201722</v>
      </c>
      <c r="AN501" s="62">
        <f>IFERROR(__xludf.DUMMYFUNCTION("IFERROR((GOOGLEFINANCE($A501,""volume"")),0)"),19500.0)</f>
        <v>19500</v>
      </c>
      <c r="AO501" s="60">
        <f>IFERROR(__xludf.DUMMYFUNCTION("IFERROR((GOOGLEFINANCE($A501,""closeyest"")),"""")"),8.24)</f>
        <v>8.24</v>
      </c>
      <c r="AP501" s="60">
        <f>IFERROR(__xludf.DUMMYFUNCTION("IFERROR((GOOGLEFINANCE($A501,""shares"")),"""")"),9.3170747E7)</f>
        <v>93170747</v>
      </c>
      <c r="AQ501" s="18"/>
    </row>
    <row r="502">
      <c r="A502" s="45" t="str">
        <f>'Dados StatusInvest'!A497:A1116</f>
        <v>RPAD3</v>
      </c>
      <c r="B502" s="46" t="str">
        <f>IFERROR(__xludf.DUMMYFUNCTION("IFERROR((GOOGLEFINANCE(A502,""name"")),"""")"),"Alfa Holdings SA")</f>
        <v>Alfa Holdings SA</v>
      </c>
      <c r="C502" s="46" t="str">
        <f>IFERROR((VLOOKUP(LEFT($A502,4),Setor!$A:$E,3,0)),"")</f>
        <v>Financeiro</v>
      </c>
      <c r="D502" s="46" t="str">
        <f>IFERROR((VLOOKUP(LEFT($A502,4),Setor!$A:$E,4,0)),"")</f>
        <v>Intermediários Financeiros</v>
      </c>
      <c r="E502" s="46" t="str">
        <f>IFERROR((VLOOKUP(LEFT($A502,4),Setor!$A:$E,5,0)),"")</f>
        <v>Bancos</v>
      </c>
      <c r="F502" s="47">
        <f>IFERROR(__xludf.DUMMYFUNCTION("IFERROR((GOOGLEFINANCE(A502)),"""")"),5.32)</f>
        <v>5.32</v>
      </c>
      <c r="G502" s="48" t="str">
        <f>IFERROR(__xludf.DUMMYFUNCTION("IFERROR((sparkline(GOOGLEFINANCE($A502,""price"",TODAY()-30,TODAY(),""DAILY""),{""charttype"",""line"";""linewidth"",1;""color"",""#5f88cc""})),"""")"),"")</f>
        <v/>
      </c>
      <c r="H502" s="49">
        <f>IFERROR(__xludf.DUMMYFUNCTION("IFERROR((((GOOGLEFINANCE(A502))-(INDEX(GoogleFinance(A502,""PRICE"",$AQ$1),2,2)))/(INDEX(GoogleFinance(A502,""PRICE"",$AQ$1),2,2))),"""")"),-0.19271623672230648)</f>
        <v>-0.1927162367</v>
      </c>
      <c r="I502" s="47">
        <f>IFERROR(__xludf.DUMMYFUNCTION("IFERROR((GOOGLEFINANCE($A502,""high52"")),"""")"),5.38)</f>
        <v>5.38</v>
      </c>
      <c r="J502" s="48" t="str">
        <f>IFERROR(__xludf.DUMMYFUNCTION("IFERROR((sparkline(GOOGLEFINANCE($A502,""price"",TODAY()-365,TODAY(),""DAILY""),{""charttype"",""line"";""linewidth"",1;""color"",""#5f88cc""})),"""")"),"")</f>
        <v/>
      </c>
      <c r="K502" s="50">
        <f>IFERROR(__xludf.DUMMYFUNCTION("IFERROR((((GOOGLEFINANCE(A502))-(INDEX(GoogleFinance(A502,""PRICE"",$AP$1),2,2)))/(INDEX(GoogleFinance(A502,""PRICE"",$AP$1),2,2))),"""")"),0.23148148148148145)</f>
        <v>0.2314814815</v>
      </c>
      <c r="L502" s="51">
        <f t="shared" si="1"/>
        <v>-0.01115241636</v>
      </c>
      <c r="M502" s="52">
        <f>IFERROR((VLOOKUP($A502,'Dados StatusInvest'!$A:$AZ,COLUMN(M502)-$A$5,0)*VLOOKUP($A502,'Dados StatusInvest'!$A:$AZ,2,0)/$F502/100),0)</f>
        <v>0</v>
      </c>
      <c r="N502" s="53">
        <f>IFERROR((VLOOKUP($A502,'Dados StatusInvest'!$A:$AZ,COLUMN(N502)-$A$5,0)/VLOOKUP($A502,'Dados StatusInvest'!$A:$AZ,2,0)*$F502),"")</f>
        <v>0</v>
      </c>
      <c r="O502" s="53">
        <f>IFERROR((VLOOKUP($A502,'Dados StatusInvest'!$A:$AZ,COLUMN(O502)-$A$5,0)/VLOOKUP($A502,'Dados StatusInvest'!$A:$AZ,2,0)*$F502),0)</f>
        <v>87.09</v>
      </c>
      <c r="P502" s="54">
        <f>IFERROR((VLOOKUP($A502,'Dados StatusInvest'!$A:$AZ,COLUMN(P502)-$A$5,0)/VLOOKUP($A502,'Dados StatusInvest'!$A:$AZ,2,0)*$F502),0)</f>
        <v>55.48</v>
      </c>
      <c r="Q502" s="55">
        <f>IFERROR((VLOOKUP($A502,'Dados StatusInvest'!$A:$AZ,COLUMN(Q502)-$A$5,0)/100),0)</f>
        <v>-0.2511</v>
      </c>
      <c r="R502" s="56">
        <f>VLOOKUP($A502,'Dados StatusInvest'!$A:$AZ,COLUMN(R502)-$A$5,0)</f>
        <v>-0.13</v>
      </c>
      <c r="S502" s="56">
        <f>IFERROR((VLOOKUP($A502,'Dados StatusInvest'!$A:$AZ,COLUMN(S502)-$A$5,0)),0)</f>
        <v>0</v>
      </c>
      <c r="T502" s="53">
        <f>IFERROR((VLOOKUP($A502,'Dados StatusInvest'!$A:$AZ,COLUMN(T502)-$A$5,0)/VLOOKUP($A502,'Dados StatusInvest'!$A:$AZ,2,0)*$F502),0)</f>
        <v>3.55</v>
      </c>
      <c r="U502" s="53">
        <f>IFERROR((VLOOKUP($A502,'Dados StatusInvest'!$A:$AZ,COLUMN(U502)-$A$5,0)-VLOOKUP($A502,'Dados StatusInvest'!$A:$AZ,COLUMN(U502)-$A$5-1,0)+T502),0)</f>
        <v>-0.51</v>
      </c>
      <c r="V502" s="56">
        <f>IFERROR((VLOOKUP($A502,'Dados StatusInvest'!$A:$AZ,COLUMN(V502)-$A$5,0)),0)</f>
        <v>20.16</v>
      </c>
      <c r="W502" s="56">
        <f>IFERROR((VLOOKUP($A502,'Dados StatusInvest'!$A:$AZ,COLUMN(W502)-$A$5,0)),0)</f>
        <v>1.6</v>
      </c>
      <c r="X502" s="53">
        <f>IFERROR((VLOOKUP($A502,'Dados StatusInvest'!$A:$AZ,COLUMN(X502)-$A$5,0)/VLOOKUP($A502,'Dados StatusInvest'!$A:$AZ,2,0)*$F502),0)</f>
        <v>1.58</v>
      </c>
      <c r="Y502" s="54">
        <f>IFERROR((VLOOKUP($A502,'Dados StatusInvest'!$A:$AZ,COLUMN(Y502)-$A$5,0)/VLOOKUP($A502,'Dados StatusInvest'!$A:$AZ,2,0)*$F502),0)</f>
        <v>0.03</v>
      </c>
      <c r="Z502" s="56">
        <f>IFERROR((VLOOKUP($A502,'Dados StatusInvest'!$A:$AZ,COLUMN(Z502)-$A$5,0)),0)</f>
        <v>0.99</v>
      </c>
      <c r="AA502" s="57">
        <f>IFERROR((VLOOKUP($A502,'Dados StatusInvest'!$A:$AZ,COLUMN(AA502)-$A$5,0)),0)</f>
        <v>0.01</v>
      </c>
      <c r="AB502" s="57">
        <f>IFERROR((VLOOKUP($A502,'Dados StatusInvest'!$A:$AZ,COLUMN(AB502)-$A$5,0)),0)</f>
        <v>0</v>
      </c>
      <c r="AC502" s="58">
        <f>IFERROR((VLOOKUP($A502,'Dados StatusInvest'!$A:$AZ,COLUMN(AC502)-$A$5,0)),0)</f>
        <v>0</v>
      </c>
      <c r="AD502" s="57">
        <f>IFERROR((VLOOKUP($A502,'Dados StatusInvest'!$A:$AZ,COLUMN(AD502)-$A$5,0)),0)</f>
        <v>-17.01</v>
      </c>
      <c r="AE502" s="56">
        <f>IFERROR((VLOOKUP($A502,'Dados StatusInvest'!$A:$AZ,COLUMN(AE502)-$A$5,0)),0)</f>
        <v>531.6</v>
      </c>
      <c r="AF502" s="56">
        <f>IFERROR((VLOOKUP($A502,'Dados StatusInvest'!$A:$AZ,COLUMN(AF502)-$A$5,0)),0)</f>
        <v>11.87</v>
      </c>
      <c r="AG502" s="56">
        <f>IFERROR((VLOOKUP($A502,'Dados StatusInvest'!$A:$AZ,COLUMN(AG502)-$A$5,0)),0)</f>
        <v>0.19</v>
      </c>
      <c r="AH502" s="56">
        <f>IFERROR((VLOOKUP($A502,'Dados StatusInvest'!$A:$AZ,COLUMN(AH502)-$A$5,0)),0)</f>
        <v>-0.23</v>
      </c>
      <c r="AI502" s="57">
        <f>IFERROR((VLOOKUP($A502,'Dados StatusInvest'!$A:$AZ,COLUMN(AI502)-$A$5,0)),0)</f>
        <v>416866216.9</v>
      </c>
      <c r="AJ502" s="59" t="str">
        <f>IFERROR((VLOOKUP($A502,'Dados StatusInvest'!$A:$AZ,COLUMN(AJ502)-$A$5,0)),0)</f>
        <v/>
      </c>
      <c r="AK502" s="60" t="str">
        <f>IFERROR(__xludf.DUMMYFUNCTION("IFERROR(GOOGLEFINANCE($A502,""high""),"""")"),"")</f>
        <v/>
      </c>
      <c r="AL502" s="60" t="str">
        <f>IFERROR(__xludf.DUMMYFUNCTION("IFERROR(GOOGLEFINANCE($A502,""low""),"""")"),"")</f>
        <v/>
      </c>
      <c r="AM502" s="61">
        <f t="shared" si="2"/>
        <v>0</v>
      </c>
      <c r="AN502" s="62">
        <f>IFERROR(__xludf.DUMMYFUNCTION("IFERROR((GOOGLEFINANCE($A502,""volume"")),0)"),0.0)</f>
        <v>0</v>
      </c>
      <c r="AO502" s="60">
        <f>IFERROR(__xludf.DUMMYFUNCTION("IFERROR((GOOGLEFINANCE($A502,""closeyest"")),"""")"),5.32)</f>
        <v>5.32</v>
      </c>
      <c r="AP502" s="60">
        <f>IFERROR(__xludf.DUMMYFUNCTION("IFERROR((GOOGLEFINANCE($A502,""shares"")),"""")"),4.6011632E7)</f>
        <v>46011632</v>
      </c>
      <c r="AQ502" s="18"/>
    </row>
    <row r="503">
      <c r="A503" s="45" t="str">
        <f>'Dados StatusInvest'!A498:A1117</f>
        <v>RPAD5</v>
      </c>
      <c r="B503" s="46" t="str">
        <f>IFERROR(__xludf.DUMMYFUNCTION("IFERROR((GOOGLEFINANCE(A503,""name"")),"""")"),"Alfa Holdings SA Preference Shares Class A")</f>
        <v>Alfa Holdings SA Preference Shares Class A</v>
      </c>
      <c r="C503" s="46" t="str">
        <f>IFERROR((VLOOKUP(LEFT($A503,4),Setor!$A:$E,3,0)),"")</f>
        <v>Financeiro</v>
      </c>
      <c r="D503" s="46" t="str">
        <f>IFERROR((VLOOKUP(LEFT($A503,4),Setor!$A:$E,4,0)),"")</f>
        <v>Intermediários Financeiros</v>
      </c>
      <c r="E503" s="46" t="str">
        <f>IFERROR((VLOOKUP(LEFT($A503,4),Setor!$A:$E,5,0)),"")</f>
        <v>Bancos</v>
      </c>
      <c r="F503" s="47">
        <f>IFERROR(__xludf.DUMMYFUNCTION("IFERROR((GOOGLEFINANCE(A503)),"""")"),6.2)</f>
        <v>6.2</v>
      </c>
      <c r="G503" s="48" t="str">
        <f>IFERROR(__xludf.DUMMYFUNCTION("IFERROR((sparkline(GOOGLEFINANCE($A503,""price"",TODAY()-30,TODAY(),""DAILY""),{""charttype"",""line"";""linewidth"",1;""color"",""#5f88cc""})),"""")"),"")</f>
        <v/>
      </c>
      <c r="H503" s="49">
        <f>IFERROR(__xludf.DUMMYFUNCTION("IFERROR((((GOOGLEFINANCE(A503))-(INDEX(GoogleFinance(A503,""PRICE"",$AQ$1),2,2)))/(INDEX(GoogleFinance(A503,""PRICE"",$AQ$1),2,2))),"""")"),-0.07875185735512633)</f>
        <v>-0.07875185736</v>
      </c>
      <c r="I503" s="47">
        <f>IFERROR(__xludf.DUMMYFUNCTION("IFERROR((GOOGLEFINANCE($A503,""high52"")),"""")"),7.39)</f>
        <v>7.39</v>
      </c>
      <c r="J503" s="48" t="str">
        <f>IFERROR(__xludf.DUMMYFUNCTION("IFERROR((sparkline(GOOGLEFINANCE($A503,""price"",TODAY()-365,TODAY(),""DAILY""),{""charttype"",""line"";""linewidth"",1;""color"",""#5f88cc""})),"""")"),"")</f>
        <v/>
      </c>
      <c r="K503" s="50">
        <f>IFERROR(__xludf.DUMMYFUNCTION("IFERROR((((GOOGLEFINANCE(A503))-(INDEX(GoogleFinance(A503,""PRICE"",$AP$1),2,2)))/(INDEX(GoogleFinance(A503,""PRICE"",$AP$1),2,2))),"""")"),-0.004815409309791372)</f>
        <v>-0.00481540931</v>
      </c>
      <c r="L503" s="51">
        <f t="shared" si="1"/>
        <v>-0.1610284168</v>
      </c>
      <c r="M503" s="52">
        <f>IFERROR((VLOOKUP($A503,'Dados StatusInvest'!$A:$AZ,COLUMN(M503)-$A$5,0)*VLOOKUP($A503,'Dados StatusInvest'!$A:$AZ,2,0)/$F503/100),0)</f>
        <v>0</v>
      </c>
      <c r="N503" s="53">
        <f>IFERROR((VLOOKUP($A503,'Dados StatusInvest'!$A:$AZ,COLUMN(N503)-$A$5,0)/VLOOKUP($A503,'Dados StatusInvest'!$A:$AZ,2,0)*$F503),"")</f>
        <v>0</v>
      </c>
      <c r="O503" s="53">
        <f>IFERROR((VLOOKUP($A503,'Dados StatusInvest'!$A:$AZ,COLUMN(O503)-$A$5,0)/VLOOKUP($A503,'Dados StatusInvest'!$A:$AZ,2,0)*$F503),0)</f>
        <v>101.49</v>
      </c>
      <c r="P503" s="54">
        <f>IFERROR((VLOOKUP($A503,'Dados StatusInvest'!$A:$AZ,COLUMN(P503)-$A$5,0)/VLOOKUP($A503,'Dados StatusInvest'!$A:$AZ,2,0)*$F503),0)</f>
        <v>55.48</v>
      </c>
      <c r="Q503" s="55">
        <f>IFERROR((VLOOKUP($A503,'Dados StatusInvest'!$A:$AZ,COLUMN(Q503)-$A$5,0)/100),0)</f>
        <v>-0.2511</v>
      </c>
      <c r="R503" s="56">
        <f>VLOOKUP($A503,'Dados StatusInvest'!$A:$AZ,COLUMN(R503)-$A$5,0)</f>
        <v>-0.13</v>
      </c>
      <c r="S503" s="56">
        <f>IFERROR((VLOOKUP($A503,'Dados StatusInvest'!$A:$AZ,COLUMN(S503)-$A$5,0)),0)</f>
        <v>0</v>
      </c>
      <c r="T503" s="53">
        <f>IFERROR((VLOOKUP($A503,'Dados StatusInvest'!$A:$AZ,COLUMN(T503)-$A$5,0)/VLOOKUP($A503,'Dados StatusInvest'!$A:$AZ,2,0)*$F503),0)</f>
        <v>4.14</v>
      </c>
      <c r="U503" s="53">
        <f>IFERROR((VLOOKUP($A503,'Dados StatusInvest'!$A:$AZ,COLUMN(U503)-$A$5,0)-VLOOKUP($A503,'Dados StatusInvest'!$A:$AZ,COLUMN(U503)-$A$5-1,0)+T503),0)</f>
        <v>-0.59</v>
      </c>
      <c r="V503" s="56">
        <f>IFERROR((VLOOKUP($A503,'Dados StatusInvest'!$A:$AZ,COLUMN(V503)-$A$5,0)),0)</f>
        <v>20.16</v>
      </c>
      <c r="W503" s="56">
        <f>IFERROR((VLOOKUP($A503,'Dados StatusInvest'!$A:$AZ,COLUMN(W503)-$A$5,0)),0)</f>
        <v>1.6</v>
      </c>
      <c r="X503" s="53">
        <f>IFERROR((VLOOKUP($A503,'Dados StatusInvest'!$A:$AZ,COLUMN(X503)-$A$5,0)/VLOOKUP($A503,'Dados StatusInvest'!$A:$AZ,2,0)*$F503),0)</f>
        <v>1.58</v>
      </c>
      <c r="Y503" s="54">
        <f>IFERROR((VLOOKUP($A503,'Dados StatusInvest'!$A:$AZ,COLUMN(Y503)-$A$5,0)/VLOOKUP($A503,'Dados StatusInvest'!$A:$AZ,2,0)*$F503),0)</f>
        <v>0.03</v>
      </c>
      <c r="Z503" s="56">
        <f>IFERROR((VLOOKUP($A503,'Dados StatusInvest'!$A:$AZ,COLUMN(Z503)-$A$5,0)),0)</f>
        <v>0.99</v>
      </c>
      <c r="AA503" s="57">
        <f>IFERROR((VLOOKUP($A503,'Dados StatusInvest'!$A:$AZ,COLUMN(AA503)-$A$5,0)),0)</f>
        <v>0.01</v>
      </c>
      <c r="AB503" s="57">
        <f>IFERROR((VLOOKUP($A503,'Dados StatusInvest'!$A:$AZ,COLUMN(AB503)-$A$5,0)),0)</f>
        <v>0</v>
      </c>
      <c r="AC503" s="58">
        <f>IFERROR((VLOOKUP($A503,'Dados StatusInvest'!$A:$AZ,COLUMN(AC503)-$A$5,0)),0)</f>
        <v>0</v>
      </c>
      <c r="AD503" s="57">
        <f>IFERROR((VLOOKUP($A503,'Dados StatusInvest'!$A:$AZ,COLUMN(AD503)-$A$5,0)),0)</f>
        <v>-17.01</v>
      </c>
      <c r="AE503" s="56">
        <f>IFERROR((VLOOKUP($A503,'Dados StatusInvest'!$A:$AZ,COLUMN(AE503)-$A$5,0)),0)</f>
        <v>1033.92</v>
      </c>
      <c r="AF503" s="56">
        <f>IFERROR((VLOOKUP($A503,'Dados StatusInvest'!$A:$AZ,COLUMN(AF503)-$A$5,0)),0)</f>
        <v>11.87</v>
      </c>
      <c r="AG503" s="56">
        <f>IFERROR((VLOOKUP($A503,'Dados StatusInvest'!$A:$AZ,COLUMN(AG503)-$A$5,0)),0)</f>
        <v>0.19</v>
      </c>
      <c r="AH503" s="56">
        <f>IFERROR((VLOOKUP($A503,'Dados StatusInvest'!$A:$AZ,COLUMN(AH503)-$A$5,0)),0)</f>
        <v>-0.27</v>
      </c>
      <c r="AI503" s="57">
        <f>IFERROR((VLOOKUP($A503,'Dados StatusInvest'!$A:$AZ,COLUMN(AI503)-$A$5,0)),0)</f>
        <v>416866216.9</v>
      </c>
      <c r="AJ503" s="59" t="str">
        <f>IFERROR((VLOOKUP($A503,'Dados StatusInvest'!$A:$AZ,COLUMN(AJ503)-$A$5,0)),0)</f>
        <v/>
      </c>
      <c r="AK503" s="60" t="str">
        <f>IFERROR(__xludf.DUMMYFUNCTION("IFERROR(GOOGLEFINANCE($A503,""high""),"""")"),"")</f>
        <v/>
      </c>
      <c r="AL503" s="60" t="str">
        <f>IFERROR(__xludf.DUMMYFUNCTION("IFERROR(GOOGLEFINANCE($A503,""low""),"""")"),"")</f>
        <v/>
      </c>
      <c r="AM503" s="61">
        <f t="shared" si="2"/>
        <v>0</v>
      </c>
      <c r="AN503" s="62">
        <f>IFERROR(__xludf.DUMMYFUNCTION("IFERROR((GOOGLEFINANCE($A503,""volume"")),0)"),0.0)</f>
        <v>0</v>
      </c>
      <c r="AO503" s="60">
        <f>IFERROR(__xludf.DUMMYFUNCTION("IFERROR((GOOGLEFINANCE($A503,""closeyest"")),"""")"),6.2)</f>
        <v>6.2</v>
      </c>
      <c r="AP503" s="60">
        <f>IFERROR(__xludf.DUMMYFUNCTION("IFERROR((GOOGLEFINANCE($A503,""shares"")),"""")"),1.4313881E7)</f>
        <v>14313881</v>
      </c>
      <c r="AQ503" s="18"/>
    </row>
    <row r="504">
      <c r="A504" s="45" t="str">
        <f>'Dados StatusInvest'!A499:A1118</f>
        <v>RPAD6</v>
      </c>
      <c r="B504" s="46" t="str">
        <f>IFERROR(__xludf.DUMMYFUNCTION("IFERROR((GOOGLEFINANCE(A504,""name"")),"""")"),"Alfa Holdings SA Preference Shares Class B")</f>
        <v>Alfa Holdings SA Preference Shares Class B</v>
      </c>
      <c r="C504" s="46" t="str">
        <f>IFERROR((VLOOKUP(LEFT($A504,4),Setor!$A:$E,3,0)),"")</f>
        <v>Financeiro</v>
      </c>
      <c r="D504" s="46" t="str">
        <f>IFERROR((VLOOKUP(LEFT($A504,4),Setor!$A:$E,4,0)),"")</f>
        <v>Intermediários Financeiros</v>
      </c>
      <c r="E504" s="46" t="str">
        <f>IFERROR((VLOOKUP(LEFT($A504,4),Setor!$A:$E,5,0)),"")</f>
        <v>Bancos</v>
      </c>
      <c r="F504" s="47">
        <f>IFERROR(__xludf.DUMMYFUNCTION("IFERROR((GOOGLEFINANCE(A504)),"""")"),4.45)</f>
        <v>4.45</v>
      </c>
      <c r="G504" s="48" t="str">
        <f>IFERROR(__xludf.DUMMYFUNCTION("IFERROR((sparkline(GOOGLEFINANCE($A504,""price"",TODAY()-30,TODAY(),""DAILY""),{""charttype"",""line"";""linewidth"",1;""color"",""#5f88cc""})),"""")"),"")</f>
        <v/>
      </c>
      <c r="H504" s="49" t="str">
        <f>IFERROR(__xludf.DUMMYFUNCTION("IFERROR((((GOOGLEFINANCE(A504))-(INDEX(GoogleFinance(A504,""PRICE"",$AQ$1),2,2)))/(INDEX(GoogleFinance(A504,""PRICE"",$AQ$1),2,2))),"""")"),"")</f>
        <v/>
      </c>
      <c r="I504" s="47">
        <f>IFERROR(__xludf.DUMMYFUNCTION("IFERROR((GOOGLEFINANCE($A504,""high52"")),"""")"),5.0)</f>
        <v>5</v>
      </c>
      <c r="J504" s="48" t="str">
        <f>IFERROR(__xludf.DUMMYFUNCTION("IFERROR((sparkline(GOOGLEFINANCE($A504,""price"",TODAY()-365,TODAY(),""DAILY""),{""charttype"",""line"";""linewidth"",1;""color"",""#5f88cc""})),"""")"),"")</f>
        <v/>
      </c>
      <c r="K504" s="50" t="str">
        <f>IFERROR(__xludf.DUMMYFUNCTION("IFERROR((((GOOGLEFINANCE(A504))-(INDEX(GoogleFinance(A504,""PRICE"",$AP$1),2,2)))/(INDEX(GoogleFinance(A504,""PRICE"",$AP$1),2,2))),"""")"),"")</f>
        <v/>
      </c>
      <c r="L504" s="51">
        <f t="shared" si="1"/>
        <v>-0.11</v>
      </c>
      <c r="M504" s="52">
        <f>IFERROR((VLOOKUP($A504,'Dados StatusInvest'!$A:$AZ,COLUMN(M504)-$A$5,0)*VLOOKUP($A504,'Dados StatusInvest'!$A:$AZ,2,0)/$F504/100),0)</f>
        <v>0</v>
      </c>
      <c r="N504" s="53">
        <f>IFERROR((VLOOKUP($A504,'Dados StatusInvest'!$A:$AZ,COLUMN(N504)-$A$5,0)/VLOOKUP($A504,'Dados StatusInvest'!$A:$AZ,2,0)*$F504),"")</f>
        <v>0</v>
      </c>
      <c r="O504" s="53">
        <f>IFERROR((VLOOKUP($A504,'Dados StatusInvest'!$A:$AZ,COLUMN(O504)-$A$5,0)/VLOOKUP($A504,'Dados StatusInvest'!$A:$AZ,2,0)*$F504),0)</f>
        <v>72.85</v>
      </c>
      <c r="P504" s="54">
        <f>IFERROR((VLOOKUP($A504,'Dados StatusInvest'!$A:$AZ,COLUMN(P504)-$A$5,0)/VLOOKUP($A504,'Dados StatusInvest'!$A:$AZ,2,0)*$F504),0)</f>
        <v>55.48</v>
      </c>
      <c r="Q504" s="55">
        <f>IFERROR((VLOOKUP($A504,'Dados StatusInvest'!$A:$AZ,COLUMN(Q504)-$A$5,0)/100),0)</f>
        <v>-0.2511</v>
      </c>
      <c r="R504" s="56">
        <f>VLOOKUP($A504,'Dados StatusInvest'!$A:$AZ,COLUMN(R504)-$A$5,0)</f>
        <v>-0.13</v>
      </c>
      <c r="S504" s="56">
        <f>IFERROR((VLOOKUP($A504,'Dados StatusInvest'!$A:$AZ,COLUMN(S504)-$A$5,0)),0)</f>
        <v>0</v>
      </c>
      <c r="T504" s="53">
        <f>IFERROR((VLOOKUP($A504,'Dados StatusInvest'!$A:$AZ,COLUMN(T504)-$A$5,0)/VLOOKUP($A504,'Dados StatusInvest'!$A:$AZ,2,0)*$F504),0)</f>
        <v>2.97</v>
      </c>
      <c r="U504" s="53">
        <f>IFERROR((VLOOKUP($A504,'Dados StatusInvest'!$A:$AZ,COLUMN(U504)-$A$5,0)-VLOOKUP($A504,'Dados StatusInvest'!$A:$AZ,COLUMN(U504)-$A$5-1,0)+T504),0)</f>
        <v>-0.43</v>
      </c>
      <c r="V504" s="56">
        <f>IFERROR((VLOOKUP($A504,'Dados StatusInvest'!$A:$AZ,COLUMN(V504)-$A$5,0)),0)</f>
        <v>20.16</v>
      </c>
      <c r="W504" s="56">
        <f>IFERROR((VLOOKUP($A504,'Dados StatusInvest'!$A:$AZ,COLUMN(W504)-$A$5,0)),0)</f>
        <v>1.6</v>
      </c>
      <c r="X504" s="53">
        <f>IFERROR((VLOOKUP($A504,'Dados StatusInvest'!$A:$AZ,COLUMN(X504)-$A$5,0)/VLOOKUP($A504,'Dados StatusInvest'!$A:$AZ,2,0)*$F504),0)</f>
        <v>1.58</v>
      </c>
      <c r="Y504" s="54">
        <f>IFERROR((VLOOKUP($A504,'Dados StatusInvest'!$A:$AZ,COLUMN(Y504)-$A$5,0)/VLOOKUP($A504,'Dados StatusInvest'!$A:$AZ,2,0)*$F504),0)</f>
        <v>0.03</v>
      </c>
      <c r="Z504" s="56">
        <f>IFERROR((VLOOKUP($A504,'Dados StatusInvest'!$A:$AZ,COLUMN(Z504)-$A$5,0)),0)</f>
        <v>0.99</v>
      </c>
      <c r="AA504" s="57">
        <f>IFERROR((VLOOKUP($A504,'Dados StatusInvest'!$A:$AZ,COLUMN(AA504)-$A$5,0)),0)</f>
        <v>0.01</v>
      </c>
      <c r="AB504" s="57">
        <f>IFERROR((VLOOKUP($A504,'Dados StatusInvest'!$A:$AZ,COLUMN(AB504)-$A$5,0)),0)</f>
        <v>0</v>
      </c>
      <c r="AC504" s="58">
        <f>IFERROR((VLOOKUP($A504,'Dados StatusInvest'!$A:$AZ,COLUMN(AC504)-$A$5,0)),0)</f>
        <v>0</v>
      </c>
      <c r="AD504" s="57">
        <f>IFERROR((VLOOKUP($A504,'Dados StatusInvest'!$A:$AZ,COLUMN(AD504)-$A$5,0)),0)</f>
        <v>-17.01</v>
      </c>
      <c r="AE504" s="56">
        <f>IFERROR((VLOOKUP($A504,'Dados StatusInvest'!$A:$AZ,COLUMN(AE504)-$A$5,0)),0)</f>
        <v>5340</v>
      </c>
      <c r="AF504" s="56">
        <f>IFERROR((VLOOKUP($A504,'Dados StatusInvest'!$A:$AZ,COLUMN(AF504)-$A$5,0)),0)</f>
        <v>11.87</v>
      </c>
      <c r="AG504" s="56">
        <f>IFERROR((VLOOKUP($A504,'Dados StatusInvest'!$A:$AZ,COLUMN(AG504)-$A$5,0)),0)</f>
        <v>0.19</v>
      </c>
      <c r="AH504" s="56">
        <f>IFERROR((VLOOKUP($A504,'Dados StatusInvest'!$A:$AZ,COLUMN(AH504)-$A$5,0)),0)</f>
        <v>-0.2</v>
      </c>
      <c r="AI504" s="57">
        <f>IFERROR((VLOOKUP($A504,'Dados StatusInvest'!$A:$AZ,COLUMN(AI504)-$A$5,0)),0)</f>
        <v>416866216.9</v>
      </c>
      <c r="AJ504" s="59" t="str">
        <f>IFERROR((VLOOKUP($A504,'Dados StatusInvest'!$A:$AZ,COLUMN(AJ504)-$A$5,0)),0)</f>
        <v/>
      </c>
      <c r="AK504" s="60" t="str">
        <f>IFERROR(__xludf.DUMMYFUNCTION("IFERROR(GOOGLEFINANCE($A504,""high""),"""")"),"")</f>
        <v/>
      </c>
      <c r="AL504" s="60" t="str">
        <f>IFERROR(__xludf.DUMMYFUNCTION("IFERROR(GOOGLEFINANCE($A504,""low""),"""")"),"")</f>
        <v/>
      </c>
      <c r="AM504" s="61">
        <f t="shared" si="2"/>
        <v>0</v>
      </c>
      <c r="AN504" s="62">
        <f>IFERROR(__xludf.DUMMYFUNCTION("IFERROR((GOOGLEFINANCE($A504,""volume"")),0)"),0.0)</f>
        <v>0</v>
      </c>
      <c r="AO504" s="60">
        <f>IFERROR(__xludf.DUMMYFUNCTION("IFERROR((GOOGLEFINANCE($A504,""closeyest"")),"""")"),4.45)</f>
        <v>4.45</v>
      </c>
      <c r="AP504" s="60">
        <f>IFERROR(__xludf.DUMMYFUNCTION("IFERROR((GOOGLEFINANCE($A504,""shares"")),"""")"),2.4356756E7)</f>
        <v>24356756</v>
      </c>
      <c r="AQ504" s="18"/>
    </row>
    <row r="505">
      <c r="A505" s="45" t="str">
        <f>'Dados StatusInvest'!A500:A1119</f>
        <v>RPMG3</v>
      </c>
      <c r="B505" s="46" t="str">
        <f>IFERROR(__xludf.DUMMYFUNCTION("IFERROR((GOOGLEFINANCE(A505,""name"")),"""")"),"Refinaria de Petroleos d Mng S em Rcp Jd")</f>
        <v>Refinaria de Petroleos d Mng S em Rcp Jd</v>
      </c>
      <c r="C505" s="46" t="str">
        <f>IFERROR((VLOOKUP(LEFT($A505,4),Setor!$A:$E,3,0)),"")</f>
        <v>Petróleo, Gás e Biocombustíveis</v>
      </c>
      <c r="D505" s="46" t="str">
        <f>IFERROR((VLOOKUP(LEFT($A505,4),Setor!$A:$E,4,0)),"")</f>
        <v>Petróleo, Gás e Biocombustíveis</v>
      </c>
      <c r="E505" s="46" t="str">
        <f>IFERROR((VLOOKUP(LEFT($A505,4),Setor!$A:$E,5,0)),"")</f>
        <v>Exploração, Refino e Distribuição</v>
      </c>
      <c r="F505" s="47">
        <f>IFERROR(__xludf.DUMMYFUNCTION("IFERROR((GOOGLEFINANCE(A505)),"""")"),2.28)</f>
        <v>2.28</v>
      </c>
      <c r="G505" s="48" t="str">
        <f>IFERROR(__xludf.DUMMYFUNCTION("IFERROR((sparkline(GOOGLEFINANCE($A505,""price"",TODAY()-30,TODAY(),""DAILY""),{""charttype"",""line"";""linewidth"",1;""color"",""#5f88cc""})),"""")"),"")</f>
        <v/>
      </c>
      <c r="H505" s="49">
        <f>IFERROR(__xludf.DUMMYFUNCTION("IFERROR((((GOOGLEFINANCE(A505))-(INDEX(GoogleFinance(A505,""PRICE"",$AQ$1),2,2)))/(INDEX(GoogleFinance(A505,""PRICE"",$AQ$1),2,2))),"""")"),0.09615384615384602)</f>
        <v>0.09615384615</v>
      </c>
      <c r="I505" s="47">
        <f>IFERROR(__xludf.DUMMYFUNCTION("IFERROR((GOOGLEFINANCE($A505,""high52"")),"""")"),3.1)</f>
        <v>3.1</v>
      </c>
      <c r="J505" s="48" t="str">
        <f>IFERROR(__xludf.DUMMYFUNCTION("IFERROR((sparkline(GOOGLEFINANCE($A505,""price"",TODAY()-365,TODAY(),""DAILY""),{""charttype"",""line"";""linewidth"",1;""color"",""#5f88cc""})),"""")"),"")</f>
        <v/>
      </c>
      <c r="K505" s="50">
        <f>IFERROR(__xludf.DUMMYFUNCTION("IFERROR((((GOOGLEFINANCE(A505))-(INDEX(GoogleFinance(A505,""PRICE"",$AP$1),2,2)))/(INDEX(GoogleFinance(A505,""PRICE"",$AP$1),2,2))),"""")"),-0.20557491289198615)</f>
        <v>-0.2055749129</v>
      </c>
      <c r="L505" s="51">
        <f t="shared" si="1"/>
        <v>-0.264516129</v>
      </c>
      <c r="M505" s="52">
        <f>IFERROR((VLOOKUP($A505,'Dados StatusInvest'!$A:$AZ,COLUMN(M505)-$A$5,0)*VLOOKUP($A505,'Dados StatusInvest'!$A:$AZ,2,0)/$F505/100),0)</f>
        <v>-0.2096</v>
      </c>
      <c r="N505" s="53">
        <f>IFERROR((VLOOKUP($A505,'Dados StatusInvest'!$A:$AZ,COLUMN(N505)-$A$5,0)/VLOOKUP($A505,'Dados StatusInvest'!$A:$AZ,2,0)*$F505),"")</f>
        <v>-19.19</v>
      </c>
      <c r="O505" s="53">
        <f>IFERROR((VLOOKUP($A505,'Dados StatusInvest'!$A:$AZ,COLUMN(O505)-$A$5,0)/VLOOKUP($A505,'Dados StatusInvest'!$A:$AZ,2,0)*$F505),0)</f>
        <v>-0.09</v>
      </c>
      <c r="P505" s="54">
        <f>IFERROR((VLOOKUP($A505,'Dados StatusInvest'!$A:$AZ,COLUMN(P505)-$A$5,0)/VLOOKUP($A505,'Dados StatusInvest'!$A:$AZ,2,0)*$F505),0)</f>
        <v>-0.06</v>
      </c>
      <c r="Q505" s="55">
        <f>IFERROR((VLOOKUP($A505,'Dados StatusInvest'!$A:$AZ,COLUMN(Q505)-$A$5,0)/100),0)</f>
        <v>0.0003</v>
      </c>
      <c r="R505" s="56">
        <f>VLOOKUP($A505,'Dados StatusInvest'!$A:$AZ,COLUMN(R505)-$A$5,0)</f>
        <v>0</v>
      </c>
      <c r="S505" s="56">
        <f>IFERROR((VLOOKUP($A505,'Dados StatusInvest'!$A:$AZ,COLUMN(S505)-$A$5,0)),0)</f>
        <v>0.02</v>
      </c>
      <c r="T505" s="53">
        <f>IFERROR((VLOOKUP($A505,'Dados StatusInvest'!$A:$AZ,COLUMN(T505)-$A$5,0)/VLOOKUP($A505,'Dados StatusInvest'!$A:$AZ,2,0)*$F505),0)</f>
        <v>-0.05</v>
      </c>
      <c r="U505" s="53">
        <f>IFERROR((VLOOKUP($A505,'Dados StatusInvest'!$A:$AZ,COLUMN(U505)-$A$5,0)-VLOOKUP($A505,'Dados StatusInvest'!$A:$AZ,COLUMN(U505)-$A$5-1,0)+T505),0)</f>
        <v>-0.33</v>
      </c>
      <c r="V505" s="56">
        <f>IFERROR((VLOOKUP($A505,'Dados StatusInvest'!$A:$AZ,COLUMN(V505)-$A$5,0)),0)</f>
        <v>0.76</v>
      </c>
      <c r="W505" s="56">
        <f>IFERROR((VLOOKUP($A505,'Dados StatusInvest'!$A:$AZ,COLUMN(W505)-$A$5,0)),0)</f>
        <v>-22.32</v>
      </c>
      <c r="X505" s="53">
        <f>IFERROR((VLOOKUP($A505,'Dados StatusInvest'!$A:$AZ,COLUMN(X505)-$A$5,0)/VLOOKUP($A505,'Dados StatusInvest'!$A:$AZ,2,0)*$F505),0)</f>
        <v>-16.12</v>
      </c>
      <c r="Y505" s="54">
        <f>IFERROR((VLOOKUP($A505,'Dados StatusInvest'!$A:$AZ,COLUMN(Y505)-$A$5,0)/VLOOKUP($A505,'Dados StatusInvest'!$A:$AZ,2,0)*$F505),0)</f>
        <v>24.36</v>
      </c>
      <c r="Z505" s="56">
        <f>IFERROR((VLOOKUP($A505,'Dados StatusInvest'!$A:$AZ,COLUMN(Z505)-$A$5,0)),0)</f>
        <v>-0.72</v>
      </c>
      <c r="AA505" s="57">
        <f>IFERROR((VLOOKUP($A505,'Dados StatusInvest'!$A:$AZ,COLUMN(AA505)-$A$5,0)),0)</f>
        <v>1.72</v>
      </c>
      <c r="AB505" s="57">
        <f>IFERROR((VLOOKUP($A505,'Dados StatusInvest'!$A:$AZ,COLUMN(AB505)-$A$5,0)),0)</f>
        <v>0.84</v>
      </c>
      <c r="AC505" s="58">
        <f>IFERROR((VLOOKUP($A505,'Dados StatusInvest'!$A:$AZ,COLUMN(AC505)-$A$5,0)),0)</f>
        <v>42.58</v>
      </c>
      <c r="AD505" s="57">
        <f>IFERROR((VLOOKUP($A505,'Dados StatusInvest'!$A:$AZ,COLUMN(AD505)-$A$5,0)),0)</f>
        <v>0</v>
      </c>
      <c r="AE505" s="56">
        <f>IFERROR((VLOOKUP($A505,'Dados StatusInvest'!$A:$AZ,COLUMN(AE505)-$A$5,0)),0)</f>
        <v>9988.85</v>
      </c>
      <c r="AF505" s="56">
        <f>IFERROR((VLOOKUP($A505,'Dados StatusInvest'!$A:$AZ,COLUMN(AF505)-$A$5,0)),0)</f>
        <v>-109.81</v>
      </c>
      <c r="AG505" s="56">
        <f>IFERROR((VLOOKUP($A505,'Dados StatusInvest'!$A:$AZ,COLUMN(AG505)-$A$5,0)),0)</f>
        <v>-24.51</v>
      </c>
      <c r="AH505" s="56">
        <f>IFERROR((VLOOKUP($A505,'Dados StatusInvest'!$A:$AZ,COLUMN(AH505)-$A$5,0)),0)</f>
        <v>0</v>
      </c>
      <c r="AI505" s="57">
        <f>IFERROR((VLOOKUP($A505,'Dados StatusInvest'!$A:$AZ,COLUMN(AI505)-$A$5,0)),0)</f>
        <v>154336914.1</v>
      </c>
      <c r="AJ505" s="59" t="str">
        <f>IFERROR((VLOOKUP($A505,'Dados StatusInvest'!$A:$AZ,COLUMN(AJ505)-$A$5,0)),0)</f>
        <v/>
      </c>
      <c r="AK505" s="60" t="str">
        <f>IFERROR(__xludf.DUMMYFUNCTION("IFERROR(GOOGLEFINANCE($A505,""high""),"""")"),"")</f>
        <v/>
      </c>
      <c r="AL505" s="60" t="str">
        <f>IFERROR(__xludf.DUMMYFUNCTION("IFERROR(GOOGLEFINANCE($A505,""low""),"""")"),"")</f>
        <v/>
      </c>
      <c r="AM505" s="61">
        <f t="shared" si="2"/>
        <v>0</v>
      </c>
      <c r="AN505" s="62">
        <f>IFERROR(__xludf.DUMMYFUNCTION("IFERROR((GOOGLEFINANCE($A505,""volume"")),0)"),0.0)</f>
        <v>0</v>
      </c>
      <c r="AO505" s="60">
        <f>IFERROR(__xludf.DUMMYFUNCTION("IFERROR((GOOGLEFINANCE($A505,""closeyest"")),"""")"),2.28)</f>
        <v>2.28</v>
      </c>
      <c r="AP505" s="60">
        <f>IFERROR(__xludf.DUMMYFUNCTION("IFERROR((GOOGLEFINANCE($A505,""shares"")),"""")"),6.7691629E7)</f>
        <v>67691629</v>
      </c>
      <c r="AQ505" s="18"/>
    </row>
    <row r="506">
      <c r="A506" s="45" t="str">
        <f>'Dados StatusInvest'!A501:A1120</f>
        <v>RSID3</v>
      </c>
      <c r="B506" s="46" t="str">
        <f>IFERROR(__xludf.DUMMYFUNCTION("IFERROR((GOOGLEFINANCE(A506,""name"")),"""")"),"Rossi Residencal SA - em Recuprco Judicl")</f>
        <v>Rossi Residencal SA - em Recuprco Judicl</v>
      </c>
      <c r="C506" s="46" t="str">
        <f>IFERROR((VLOOKUP(LEFT($A506,4),Setor!$A:$E,3,0)),"")</f>
        <v>Consumo Cíclico</v>
      </c>
      <c r="D506" s="46" t="str">
        <f>IFERROR((VLOOKUP(LEFT($A506,4),Setor!$A:$E,4,0)),"")</f>
        <v>Construção Civil</v>
      </c>
      <c r="E506" s="46" t="str">
        <f>IFERROR((VLOOKUP(LEFT($A506,4),Setor!$A:$E,5,0)),"")</f>
        <v>Incorporações</v>
      </c>
      <c r="F506" s="47">
        <f>IFERROR(__xludf.DUMMYFUNCTION("IFERROR((GOOGLEFINANCE(A506)),"""")"),1.65)</f>
        <v>1.65</v>
      </c>
      <c r="G506" s="48" t="str">
        <f>IFERROR(__xludf.DUMMYFUNCTION("IFERROR((sparkline(GOOGLEFINANCE($A506,""price"",TODAY()-30,TODAY(),""DAILY""),{""charttype"",""line"";""linewidth"",1;""color"",""#5f88cc""})),"""")"),"")</f>
        <v/>
      </c>
      <c r="H506" s="49">
        <f>IFERROR(__xludf.DUMMYFUNCTION("IFERROR((((GOOGLEFINANCE(A506))-(INDEX(GoogleFinance(A506,""PRICE"",$AQ$1),2,2)))/(INDEX(GoogleFinance(A506,""PRICE"",$AQ$1),2,2))),"""")"),-0.1129032258064517)</f>
        <v>-0.1129032258</v>
      </c>
      <c r="I506" s="47">
        <f>IFERROR(__xludf.DUMMYFUNCTION("IFERROR((GOOGLEFINANCE($A506,""high52"")),"""")"),3.4)</f>
        <v>3.4</v>
      </c>
      <c r="J506" s="48" t="str">
        <f>IFERROR(__xludf.DUMMYFUNCTION("IFERROR((sparkline(GOOGLEFINANCE($A506,""price"",TODAY()-365,TODAY(),""DAILY""),{""charttype"",""line"";""linewidth"",1;""color"",""#5f88cc""})),"""")"),"")</f>
        <v/>
      </c>
      <c r="K506" s="50">
        <f>IFERROR(__xludf.DUMMYFUNCTION("IFERROR((((GOOGLEFINANCE(A506))-(INDEX(GoogleFinance(A506,""PRICE"",$AP$1),2,2)))/(INDEX(GoogleFinance(A506,""PRICE"",$AP$1),2,2))),"""")"),-0.4761904761904762)</f>
        <v>-0.4761904762</v>
      </c>
      <c r="L506" s="51">
        <f t="shared" si="1"/>
        <v>-0.5147058824</v>
      </c>
      <c r="M506" s="52">
        <f>IFERROR((VLOOKUP($A506,'Dados StatusInvest'!$A:$AZ,COLUMN(M506)-$A$5,0)*VLOOKUP($A506,'Dados StatusInvest'!$A:$AZ,2,0)/$F506/100),0)</f>
        <v>-3.1191</v>
      </c>
      <c r="N506" s="53">
        <f>IFERROR((VLOOKUP($A506,'Dados StatusInvest'!$A:$AZ,COLUMN(N506)-$A$5,0)/VLOOKUP($A506,'Dados StatusInvest'!$A:$AZ,2,0)*$F506),"")</f>
        <v>327.6</v>
      </c>
      <c r="O506" s="53">
        <f>IFERROR((VLOOKUP($A506,'Dados StatusInvest'!$A:$AZ,COLUMN(O506)-$A$5,0)/VLOOKUP($A506,'Dados StatusInvest'!$A:$AZ,2,0)*$F506),0)</f>
        <v>-0.13</v>
      </c>
      <c r="P506" s="54">
        <f>IFERROR((VLOOKUP($A506,'Dados StatusInvest'!$A:$AZ,COLUMN(P506)-$A$5,0)/VLOOKUP($A506,'Dados StatusInvest'!$A:$AZ,2,0)*$F506),0)</f>
        <v>-1.46</v>
      </c>
      <c r="Q506" s="55">
        <f>IFERROR((VLOOKUP($A506,'Dados StatusInvest'!$A:$AZ,COLUMN(Q506)-$A$5,0)/100),0)</f>
        <v>-0.0134</v>
      </c>
      <c r="R506" s="56">
        <f>VLOOKUP($A506,'Dados StatusInvest'!$A:$AZ,COLUMN(R506)-$A$5,0)</f>
        <v>0</v>
      </c>
      <c r="S506" s="56">
        <f>IFERROR((VLOOKUP($A506,'Dados StatusInvest'!$A:$AZ,COLUMN(S506)-$A$5,0)),0)</f>
        <v>0.4</v>
      </c>
      <c r="T506" s="53">
        <f>IFERROR((VLOOKUP($A506,'Dados StatusInvest'!$A:$AZ,COLUMN(T506)-$A$5,0)/VLOOKUP($A506,'Dados StatusInvest'!$A:$AZ,2,0)*$F506),0)</f>
        <v>-0.11</v>
      </c>
      <c r="U506" s="53">
        <f>IFERROR((VLOOKUP($A506,'Dados StatusInvest'!$A:$AZ,COLUMN(U506)-$A$5,0)-VLOOKUP($A506,'Dados StatusInvest'!$A:$AZ,COLUMN(U506)-$A$5-1,0)+T506),0)</f>
        <v>-0.13</v>
      </c>
      <c r="V506" s="56">
        <f>IFERROR((VLOOKUP($A506,'Dados StatusInvest'!$A:$AZ,COLUMN(V506)-$A$5,0)),0)</f>
        <v>0.45</v>
      </c>
      <c r="W506" s="56">
        <f>IFERROR((VLOOKUP($A506,'Dados StatusInvest'!$A:$AZ,COLUMN(W506)-$A$5,0)),0)</f>
        <v>-28.42</v>
      </c>
      <c r="X506" s="53">
        <f>IFERROR((VLOOKUP($A506,'Dados StatusInvest'!$A:$AZ,COLUMN(X506)-$A$5,0)/VLOOKUP($A506,'Dados StatusInvest'!$A:$AZ,2,0)*$F506),0)</f>
        <v>54.91</v>
      </c>
      <c r="Y506" s="54">
        <f>IFERROR((VLOOKUP($A506,'Dados StatusInvest'!$A:$AZ,COLUMN(Y506)-$A$5,0)/VLOOKUP($A506,'Dados StatusInvest'!$A:$AZ,2,0)*$F506),0)</f>
        <v>101.17</v>
      </c>
      <c r="Z506" s="56">
        <f>IFERROR((VLOOKUP($A506,'Dados StatusInvest'!$A:$AZ,COLUMN(Z506)-$A$5,0)),0)</f>
        <v>-1.93</v>
      </c>
      <c r="AA506" s="57">
        <f>IFERROR((VLOOKUP($A506,'Dados StatusInvest'!$A:$AZ,COLUMN(AA506)-$A$5,0)),0)</f>
        <v>2.93</v>
      </c>
      <c r="AB506" s="57">
        <f>IFERROR((VLOOKUP($A506,'Dados StatusInvest'!$A:$AZ,COLUMN(AB506)-$A$5,0)),0)</f>
        <v>0.17</v>
      </c>
      <c r="AC506" s="58">
        <f>IFERROR((VLOOKUP($A506,'Dados StatusInvest'!$A:$AZ,COLUMN(AC506)-$A$5,0)),0)</f>
        <v>-41.82</v>
      </c>
      <c r="AD506" s="57">
        <f>IFERROR((VLOOKUP($A506,'Dados StatusInvest'!$A:$AZ,COLUMN(AD506)-$A$5,0)),0)</f>
        <v>0</v>
      </c>
      <c r="AE506" s="56">
        <f>IFERROR((VLOOKUP($A506,'Dados StatusInvest'!$A:$AZ,COLUMN(AE506)-$A$5,0)),0)</f>
        <v>6829.53</v>
      </c>
      <c r="AF506" s="56">
        <f>IFERROR((VLOOKUP($A506,'Dados StatusInvest'!$A:$AZ,COLUMN(AF506)-$A$5,0)),0)</f>
        <v>-47.95</v>
      </c>
      <c r="AG506" s="56">
        <f>IFERROR((VLOOKUP($A506,'Dados StatusInvest'!$A:$AZ,COLUMN(AG506)-$A$5,0)),0)</f>
        <v>13.63</v>
      </c>
      <c r="AH506" s="56">
        <f>IFERROR((VLOOKUP($A506,'Dados StatusInvest'!$A:$AZ,COLUMN(AH506)-$A$5,0)),0)</f>
        <v>0</v>
      </c>
      <c r="AI506" s="57">
        <f>IFERROR((VLOOKUP($A506,'Dados StatusInvest'!$A:$AZ,COLUMN(AI506)-$A$5,0)),0)</f>
        <v>33449136.6</v>
      </c>
      <c r="AJ506" s="59" t="str">
        <f>IFERROR((VLOOKUP($A506,'Dados StatusInvest'!$A:$AZ,COLUMN(AJ506)-$A$5,0)),0)</f>
        <v/>
      </c>
      <c r="AK506" s="60" t="str">
        <f>IFERROR(__xludf.DUMMYFUNCTION("IFERROR(GOOGLEFINANCE($A506,""high""),"""")"),"")</f>
        <v/>
      </c>
      <c r="AL506" s="60" t="str">
        <f>IFERROR(__xludf.DUMMYFUNCTION("IFERROR(GOOGLEFINANCE($A506,""low""),"""")"),"")</f>
        <v/>
      </c>
      <c r="AM506" s="61">
        <f t="shared" si="2"/>
        <v>0</v>
      </c>
      <c r="AN506" s="62">
        <f>IFERROR(__xludf.DUMMYFUNCTION("IFERROR((GOOGLEFINANCE($A506,""volume"")),0)"),0.0)</f>
        <v>0</v>
      </c>
      <c r="AO506" s="60">
        <f>IFERROR(__xludf.DUMMYFUNCTION("IFERROR((GOOGLEFINANCE($A506,""closeyest"")),"""")"),1.65)</f>
        <v>1.65</v>
      </c>
      <c r="AP506" s="60">
        <f>IFERROR(__xludf.DUMMYFUNCTION("IFERROR((GOOGLEFINANCE($A506,""shares"")),"""")"),2.0272204E7)</f>
        <v>20272204</v>
      </c>
      <c r="AQ506" s="18"/>
    </row>
    <row r="507">
      <c r="A507" s="45" t="str">
        <f>'Dados StatusInvest'!A502:A1121</f>
        <v>RSUL3</v>
      </c>
      <c r="B507" s="46" t="str">
        <f>IFERROR(__xludf.DUMMYFUNCTION("IFERROR((GOOGLEFINANCE(A507,""name"")),"""")"),"Metalurgica Riosulense SA")</f>
        <v>Metalurgica Riosulense SA</v>
      </c>
      <c r="C507" s="46" t="str">
        <f>IFERROR((VLOOKUP(LEFT($A507,4),Setor!$A:$E,3,0)),"")</f>
        <v>Bens Industriais</v>
      </c>
      <c r="D507" s="46" t="str">
        <f>IFERROR((VLOOKUP(LEFT($A507,4),Setor!$A:$E,4,0)),"")</f>
        <v>Material de Transporte</v>
      </c>
      <c r="E507" s="46" t="str">
        <f>IFERROR((VLOOKUP(LEFT($A507,4),Setor!$A:$E,5,0)),"")</f>
        <v>Material Rodoviário</v>
      </c>
      <c r="F507" s="47">
        <f>IFERROR(__xludf.DUMMYFUNCTION("IFERROR((GOOGLEFINANCE(A507)),"""")"),0.0)</f>
        <v>0</v>
      </c>
      <c r="G507" s="48" t="str">
        <f>IFERROR(__xludf.DUMMYFUNCTION("IFERROR((sparkline(GOOGLEFINANCE($A507,""price"",TODAY()-30,TODAY(),""DAILY""),{""charttype"",""line"";""linewidth"",1;""color"",""#5f88cc""})),"""")"),"")</f>
        <v/>
      </c>
      <c r="H507" s="49" t="str">
        <f>IFERROR(__xludf.DUMMYFUNCTION("IFERROR((((GOOGLEFINANCE(A507))-(INDEX(GoogleFinance(A507,""PRICE"",$AQ$1),2,2)))/(INDEX(GoogleFinance(A507,""PRICE"",$AQ$1),2,2))),"""")"),"")</f>
        <v/>
      </c>
      <c r="I507" s="47" t="str">
        <f>IFERROR(__xludf.DUMMYFUNCTION("IFERROR((GOOGLEFINANCE($A507,""high52"")),"""")"),"")</f>
        <v/>
      </c>
      <c r="J507" s="48" t="str">
        <f>IFERROR(__xludf.DUMMYFUNCTION("IFERROR((sparkline(GOOGLEFINANCE($A507,""price"",TODAY()-365,TODAY(),""DAILY""),{""charttype"",""line"";""linewidth"",1;""color"",""#5f88cc""})),"""")"),"")</f>
        <v/>
      </c>
      <c r="K507" s="50" t="str">
        <f>IFERROR(__xludf.DUMMYFUNCTION("IFERROR((((GOOGLEFINANCE(A507))-(INDEX(GoogleFinance(A507,""PRICE"",$AP$1),2,2)))/(INDEX(GoogleFinance(A507,""PRICE"",$AP$1),2,2))),"""")"),"")</f>
        <v/>
      </c>
      <c r="L507" s="51">
        <f t="shared" si="1"/>
        <v>0</v>
      </c>
      <c r="M507" s="52">
        <f>IFERROR((VLOOKUP($A507,'Dados StatusInvest'!$A:$AZ,COLUMN(M507)-$A$5,0)*VLOOKUP($A507,'Dados StatusInvest'!$A:$AZ,2,0)/$F507/100),0)</f>
        <v>0</v>
      </c>
      <c r="N507" s="53" t="str">
        <f>IFERROR((VLOOKUP($A507,'Dados StatusInvest'!$A:$AZ,COLUMN(N507)-$A$5,0)/VLOOKUP($A507,'Dados StatusInvest'!$A:$AZ,2,0)*$F507),"")</f>
        <v/>
      </c>
      <c r="O507" s="53">
        <f>IFERROR((VLOOKUP($A507,'Dados StatusInvest'!$A:$AZ,COLUMN(O507)-$A$5,0)/VLOOKUP($A507,'Dados StatusInvest'!$A:$AZ,2,0)*$F507),0)</f>
        <v>0</v>
      </c>
      <c r="P507" s="54">
        <f>IFERROR((VLOOKUP($A507,'Dados StatusInvest'!$A:$AZ,COLUMN(P507)-$A$5,0)/VLOOKUP($A507,'Dados StatusInvest'!$A:$AZ,2,0)*$F507),0)</f>
        <v>0</v>
      </c>
      <c r="Q507" s="55">
        <f>IFERROR((VLOOKUP($A507,'Dados StatusInvest'!$A:$AZ,COLUMN(Q507)-$A$5,0)/100),0)</f>
        <v>-0.0053</v>
      </c>
      <c r="R507" s="56">
        <f>VLOOKUP($A507,'Dados StatusInvest'!$A:$AZ,COLUMN(R507)-$A$5,0)</f>
        <v>-0.18</v>
      </c>
      <c r="S507" s="56">
        <f>IFERROR((VLOOKUP($A507,'Dados StatusInvest'!$A:$AZ,COLUMN(S507)-$A$5,0)),0)</f>
        <v>0</v>
      </c>
      <c r="T507" s="53">
        <f>IFERROR((VLOOKUP($A507,'Dados StatusInvest'!$A:$AZ,COLUMN(T507)-$A$5,0)/VLOOKUP($A507,'Dados StatusInvest'!$A:$AZ,2,0)*$F507),0)</f>
        <v>0</v>
      </c>
      <c r="U507" s="53">
        <f>IFERROR((VLOOKUP($A507,'Dados StatusInvest'!$A:$AZ,COLUMN(U507)-$A$5,0)-VLOOKUP($A507,'Dados StatusInvest'!$A:$AZ,COLUMN(U507)-$A$5-1,0)+T507),0)</f>
        <v>0</v>
      </c>
      <c r="V507" s="56">
        <f>IFERROR((VLOOKUP($A507,'Dados StatusInvest'!$A:$AZ,COLUMN(V507)-$A$5,0)),0)</f>
        <v>2.6</v>
      </c>
      <c r="W507" s="56">
        <f>IFERROR((VLOOKUP($A507,'Dados StatusInvest'!$A:$AZ,COLUMN(W507)-$A$5,0)),0)</f>
        <v>23.91</v>
      </c>
      <c r="X507" s="53">
        <f>IFERROR((VLOOKUP($A507,'Dados StatusInvest'!$A:$AZ,COLUMN(X507)-$A$5,0)/VLOOKUP($A507,'Dados StatusInvest'!$A:$AZ,2,0)*$F507),0)</f>
        <v>0</v>
      </c>
      <c r="Y507" s="54">
        <f>IFERROR((VLOOKUP($A507,'Dados StatusInvest'!$A:$AZ,COLUMN(Y507)-$A$5,0)/VLOOKUP($A507,'Dados StatusInvest'!$A:$AZ,2,0)*$F507),0)</f>
        <v>0</v>
      </c>
      <c r="Z507" s="56">
        <f>IFERROR((VLOOKUP($A507,'Dados StatusInvest'!$A:$AZ,COLUMN(Z507)-$A$5,0)),0)</f>
        <v>0.62</v>
      </c>
      <c r="AA507" s="57">
        <f>IFERROR((VLOOKUP($A507,'Dados StatusInvest'!$A:$AZ,COLUMN(AA507)-$A$5,0)),0)</f>
        <v>0.38</v>
      </c>
      <c r="AB507" s="57">
        <f>IFERROR((VLOOKUP($A507,'Dados StatusInvest'!$A:$AZ,COLUMN(AB507)-$A$5,0)),0)</f>
        <v>0.96</v>
      </c>
      <c r="AC507" s="58">
        <f>IFERROR((VLOOKUP($A507,'Dados StatusInvest'!$A:$AZ,COLUMN(AC507)-$A$5,0)),0)</f>
        <v>17.77</v>
      </c>
      <c r="AD507" s="57">
        <f>IFERROR((VLOOKUP($A507,'Dados StatusInvest'!$A:$AZ,COLUMN(AD507)-$A$5,0)),0)</f>
        <v>30.5</v>
      </c>
      <c r="AE507" s="56">
        <f>IFERROR((VLOOKUP($A507,'Dados StatusInvest'!$A:$AZ,COLUMN(AE507)-$A$5,0)),0)</f>
        <v>0</v>
      </c>
      <c r="AF507" s="56">
        <f>IFERROR((VLOOKUP($A507,'Dados StatusInvest'!$A:$AZ,COLUMN(AF507)-$A$5,0)),0)</f>
        <v>45.12</v>
      </c>
      <c r="AG507" s="56">
        <f>IFERROR((VLOOKUP($A507,'Dados StatusInvest'!$A:$AZ,COLUMN(AG507)-$A$5,0)),0)</f>
        <v>10.79</v>
      </c>
      <c r="AH507" s="56">
        <f>IFERROR((VLOOKUP($A507,'Dados StatusInvest'!$A:$AZ,COLUMN(AH507)-$A$5,0)),0)</f>
        <v>0</v>
      </c>
      <c r="AI507" s="57">
        <f>IFERROR((VLOOKUP($A507,'Dados StatusInvest'!$A:$AZ,COLUMN(AI507)-$A$5,0)),0)</f>
        <v>175314508.5</v>
      </c>
      <c r="AJ507" s="59" t="str">
        <f>IFERROR((VLOOKUP($A507,'Dados StatusInvest'!$A:$AZ,COLUMN(AJ507)-$A$5,0)),0)</f>
        <v/>
      </c>
      <c r="AK507" s="60" t="str">
        <f>IFERROR(__xludf.DUMMYFUNCTION("IFERROR(GOOGLEFINANCE($A507,""high""),"""")"),"")</f>
        <v/>
      </c>
      <c r="AL507" s="60" t="str">
        <f>IFERROR(__xludf.DUMMYFUNCTION("IFERROR(GOOGLEFINANCE($A507,""low""),"""")"),"")</f>
        <v/>
      </c>
      <c r="AM507" s="61">
        <f t="shared" si="2"/>
        <v>0</v>
      </c>
      <c r="AN507" s="62">
        <f>IFERROR(__xludf.DUMMYFUNCTION("IFERROR((GOOGLEFINANCE($A507,""volume"")),0)"),0.0)</f>
        <v>0</v>
      </c>
      <c r="AO507" s="60" t="str">
        <f>IFERROR(__xludf.DUMMYFUNCTION("IFERROR((GOOGLEFINANCE($A507,""closeyest"")),"""")"),"")</f>
        <v/>
      </c>
      <c r="AP507" s="60">
        <f>IFERROR(__xludf.DUMMYFUNCTION("IFERROR((GOOGLEFINANCE($A507,""shares"")),"""")"),3576903.0)</f>
        <v>3576903</v>
      </c>
      <c r="AQ507" s="18"/>
    </row>
    <row r="508">
      <c r="A508" s="45" t="str">
        <f>'Dados StatusInvest'!A503:A1122</f>
        <v>RSUL4</v>
      </c>
      <c r="B508" s="46" t="str">
        <f>IFERROR(__xludf.DUMMYFUNCTION("IFERROR((GOOGLEFINANCE(A508,""name"")),"""")"),"Metalurgica Riosulense SA Preference Shares")</f>
        <v>Metalurgica Riosulense SA Preference Shares</v>
      </c>
      <c r="C508" s="46" t="str">
        <f>IFERROR((VLOOKUP(LEFT($A508,4),Setor!$A:$E,3,0)),"")</f>
        <v>Bens Industriais</v>
      </c>
      <c r="D508" s="46" t="str">
        <f>IFERROR((VLOOKUP(LEFT($A508,4),Setor!$A:$E,4,0)),"")</f>
        <v>Material de Transporte</v>
      </c>
      <c r="E508" s="46" t="str">
        <f>IFERROR((VLOOKUP(LEFT($A508,4),Setor!$A:$E,5,0)),"")</f>
        <v>Material Rodoviário</v>
      </c>
      <c r="F508" s="47">
        <f>IFERROR(__xludf.DUMMYFUNCTION("IFERROR((GOOGLEFINANCE(A508)),"""")"),70.26)</f>
        <v>70.26</v>
      </c>
      <c r="G508" s="48" t="str">
        <f>IFERROR(__xludf.DUMMYFUNCTION("IFERROR((sparkline(GOOGLEFINANCE($A508,""price"",TODAY()-30,TODAY(),""DAILY""),{""charttype"",""line"";""linewidth"",1;""color"",""#5f88cc""})),"""")"),"")</f>
        <v/>
      </c>
      <c r="H508" s="49">
        <f>IFERROR(__xludf.DUMMYFUNCTION("IFERROR((((GOOGLEFINANCE(A508))-(INDEX(GoogleFinance(A508,""PRICE"",$AQ$1),2,2)))/(INDEX(GoogleFinance(A508,""PRICE"",$AQ$1),2,2))),"""")"),0.07316328089201171)</f>
        <v>0.07316328089</v>
      </c>
      <c r="I508" s="47">
        <f>IFERROR(__xludf.DUMMYFUNCTION("IFERROR((GOOGLEFINANCE($A508,""high52"")),"""")"),71.0)</f>
        <v>71</v>
      </c>
      <c r="J508" s="48" t="str">
        <f>IFERROR(__xludf.DUMMYFUNCTION("IFERROR((sparkline(GOOGLEFINANCE($A508,""price"",TODAY()-365,TODAY(),""DAILY""),{""charttype"",""line"";""linewidth"",1;""color"",""#5f88cc""})),"""")"),"")</f>
        <v/>
      </c>
      <c r="K508" s="50">
        <f>IFERROR(__xludf.DUMMYFUNCTION("IFERROR((((GOOGLEFINANCE(A508))-(INDEX(GoogleFinance(A508,""PRICE"",$AP$1),2,2)))/(INDEX(GoogleFinance(A508,""PRICE"",$AP$1),2,2))),"""")"),0.1166560712015258)</f>
        <v>0.1166560712</v>
      </c>
      <c r="L508" s="51">
        <f t="shared" si="1"/>
        <v>-0.01042253521</v>
      </c>
      <c r="M508" s="52">
        <f>IFERROR((VLOOKUP($A508,'Dados StatusInvest'!$A:$AZ,COLUMN(M508)-$A$5,0)*VLOOKUP($A508,'Dados StatusInvest'!$A:$AZ,2,0)/$F508/100),0)</f>
        <v>0.2229</v>
      </c>
      <c r="N508" s="53">
        <f>IFERROR((VLOOKUP($A508,'Dados StatusInvest'!$A:$AZ,COLUMN(N508)-$A$5,0)/VLOOKUP($A508,'Dados StatusInvest'!$A:$AZ,2,0)*$F508),"")</f>
        <v>15.48</v>
      </c>
      <c r="O508" s="53">
        <f>IFERROR((VLOOKUP($A508,'Dados StatusInvest'!$A:$AZ,COLUMN(O508)-$A$5,0)/VLOOKUP($A508,'Dados StatusInvest'!$A:$AZ,2,0)*$F508),0)</f>
        <v>4.52</v>
      </c>
      <c r="P508" s="54">
        <f>IFERROR((VLOOKUP($A508,'Dados StatusInvest'!$A:$AZ,COLUMN(P508)-$A$5,0)/VLOOKUP($A508,'Dados StatusInvest'!$A:$AZ,2,0)*$F508),0)</f>
        <v>1.33</v>
      </c>
      <c r="Q508" s="55">
        <f>IFERROR((VLOOKUP($A508,'Dados StatusInvest'!$A:$AZ,COLUMN(Q508)-$A$5,0)/100),0)</f>
        <v>-0.0053</v>
      </c>
      <c r="R508" s="56">
        <f>VLOOKUP($A508,'Dados StatusInvest'!$A:$AZ,COLUMN(R508)-$A$5,0)</f>
        <v>-0.18</v>
      </c>
      <c r="S508" s="56">
        <f>IFERROR((VLOOKUP($A508,'Dados StatusInvest'!$A:$AZ,COLUMN(S508)-$A$5,0)),0)</f>
        <v>1.01</v>
      </c>
      <c r="T508" s="53">
        <f>IFERROR((VLOOKUP($A508,'Dados StatusInvest'!$A:$AZ,COLUMN(T508)-$A$5,0)/VLOOKUP($A508,'Dados StatusInvest'!$A:$AZ,2,0)*$F508),0)</f>
        <v>2.76</v>
      </c>
      <c r="U508" s="53">
        <f>IFERROR((VLOOKUP($A508,'Dados StatusInvest'!$A:$AZ,COLUMN(U508)-$A$5,0)-VLOOKUP($A508,'Dados StatusInvest'!$A:$AZ,COLUMN(U508)-$A$5-1,0)+T508),0)</f>
        <v>-2.27</v>
      </c>
      <c r="V508" s="56">
        <f>IFERROR((VLOOKUP($A508,'Dados StatusInvest'!$A:$AZ,COLUMN(V508)-$A$5,0)),0)</f>
        <v>2.6</v>
      </c>
      <c r="W508" s="56">
        <f>IFERROR((VLOOKUP($A508,'Dados StatusInvest'!$A:$AZ,COLUMN(W508)-$A$5,0)),0)</f>
        <v>23.91</v>
      </c>
      <c r="X508" s="53">
        <f>IFERROR((VLOOKUP($A508,'Dados StatusInvest'!$A:$AZ,COLUMN(X508)-$A$5,0)/VLOOKUP($A508,'Dados StatusInvest'!$A:$AZ,2,0)*$F508),0)</f>
        <v>14.93</v>
      </c>
      <c r="Y508" s="54">
        <f>IFERROR((VLOOKUP($A508,'Dados StatusInvest'!$A:$AZ,COLUMN(Y508)-$A$5,0)/VLOOKUP($A508,'Dados StatusInvest'!$A:$AZ,2,0)*$F508),0)</f>
        <v>13.41</v>
      </c>
      <c r="Z508" s="56">
        <f>IFERROR((VLOOKUP($A508,'Dados StatusInvest'!$A:$AZ,COLUMN(Z508)-$A$5,0)),0)</f>
        <v>0.62</v>
      </c>
      <c r="AA508" s="57">
        <f>IFERROR((VLOOKUP($A508,'Dados StatusInvest'!$A:$AZ,COLUMN(AA508)-$A$5,0)),0)</f>
        <v>0.38</v>
      </c>
      <c r="AB508" s="57">
        <f>IFERROR((VLOOKUP($A508,'Dados StatusInvest'!$A:$AZ,COLUMN(AB508)-$A$5,0)),0)</f>
        <v>0.96</v>
      </c>
      <c r="AC508" s="58">
        <f>IFERROR((VLOOKUP($A508,'Dados StatusInvest'!$A:$AZ,COLUMN(AC508)-$A$5,0)),0)</f>
        <v>17.77</v>
      </c>
      <c r="AD508" s="57">
        <f>IFERROR((VLOOKUP($A508,'Dados StatusInvest'!$A:$AZ,COLUMN(AD508)-$A$5,0)),0)</f>
        <v>30.5</v>
      </c>
      <c r="AE508" s="56">
        <f>IFERROR((VLOOKUP($A508,'Dados StatusInvest'!$A:$AZ,COLUMN(AE508)-$A$5,0)),0)</f>
        <v>205151.1</v>
      </c>
      <c r="AF508" s="56">
        <f>IFERROR((VLOOKUP($A508,'Dados StatusInvest'!$A:$AZ,COLUMN(AF508)-$A$5,0)),0)</f>
        <v>45.12</v>
      </c>
      <c r="AG508" s="56">
        <f>IFERROR((VLOOKUP($A508,'Dados StatusInvest'!$A:$AZ,COLUMN(AG508)-$A$5,0)),0)</f>
        <v>10.79</v>
      </c>
      <c r="AH508" s="56">
        <f>IFERROR((VLOOKUP($A508,'Dados StatusInvest'!$A:$AZ,COLUMN(AH508)-$A$5,0)),0)</f>
        <v>0.36</v>
      </c>
      <c r="AI508" s="57">
        <f>IFERROR((VLOOKUP($A508,'Dados StatusInvest'!$A:$AZ,COLUMN(AI508)-$A$5,0)),0)</f>
        <v>175314508.5</v>
      </c>
      <c r="AJ508" s="59" t="str">
        <f>IFERROR((VLOOKUP($A508,'Dados StatusInvest'!$A:$AZ,COLUMN(AJ508)-$A$5,0)),0)</f>
        <v/>
      </c>
      <c r="AK508" s="60" t="str">
        <f>IFERROR(__xludf.DUMMYFUNCTION("IFERROR(GOOGLEFINANCE($A508,""high""),"""")"),"")</f>
        <v/>
      </c>
      <c r="AL508" s="60" t="str">
        <f>IFERROR(__xludf.DUMMYFUNCTION("IFERROR(GOOGLEFINANCE($A508,""low""),"""")"),"")</f>
        <v/>
      </c>
      <c r="AM508" s="61">
        <f t="shared" si="2"/>
        <v>0</v>
      </c>
      <c r="AN508" s="62">
        <f>IFERROR(__xludf.DUMMYFUNCTION("IFERROR((GOOGLEFINANCE($A508,""volume"")),0)"),0.0)</f>
        <v>0</v>
      </c>
      <c r="AO508" s="60">
        <f>IFERROR(__xludf.DUMMYFUNCTION("IFERROR((GOOGLEFINANCE($A508,""closeyest"")),"""")"),70.26)</f>
        <v>70.26</v>
      </c>
      <c r="AP508" s="60">
        <f>IFERROR(__xludf.DUMMYFUNCTION("IFERROR((GOOGLEFINANCE($A508,""shares"")),"""")"),2495225.0)</f>
        <v>2495225</v>
      </c>
      <c r="AQ508" s="18"/>
    </row>
    <row r="509">
      <c r="A509" s="45" t="str">
        <f>'Dados StatusInvest'!A504:A1123</f>
        <v>SANB11</v>
      </c>
      <c r="B509" s="46" t="str">
        <f>IFERROR(__xludf.DUMMYFUNCTION("IFERROR((GOOGLEFINANCE(A509,""name"")),"""")"),"Banco Santander Brasil SA Unit")</f>
        <v>Banco Santander Brasil SA Unit</v>
      </c>
      <c r="C509" s="46" t="str">
        <f>IFERROR((VLOOKUP(LEFT($A509,4),Setor!$A:$E,3,0)),"")</f>
        <v>Financeiro</v>
      </c>
      <c r="D509" s="46" t="str">
        <f>IFERROR((VLOOKUP(LEFT($A509,4),Setor!$A:$E,4,0)),"")</f>
        <v>Intermediários Financeiros</v>
      </c>
      <c r="E509" s="46" t="str">
        <f>IFERROR((VLOOKUP(LEFT($A509,4),Setor!$A:$E,5,0)),"")</f>
        <v>Bancos</v>
      </c>
      <c r="F509" s="47">
        <f>IFERROR(__xludf.DUMMYFUNCTION("IFERROR((GOOGLEFINANCE(A509)),"""")"),35.35)</f>
        <v>35.35</v>
      </c>
      <c r="G509" s="48" t="str">
        <f>IFERROR(__xludf.DUMMYFUNCTION("IFERROR((sparkline(GOOGLEFINANCE($A509,""price"",TODAY()-30,TODAY(),""DAILY""),{""charttype"",""line"";""linewidth"",1;""color"",""#5f88cc""})),"""")"),"")</f>
        <v/>
      </c>
      <c r="H509" s="49">
        <f>IFERROR(__xludf.DUMMYFUNCTION("IFERROR((((GOOGLEFINANCE(A509))-(INDEX(GoogleFinance(A509,""PRICE"",$AQ$1),2,2)))/(INDEX(GoogleFinance(A509,""PRICE"",$AQ$1),2,2))),"""")"),0.022562915822967922)</f>
        <v>0.02256291582</v>
      </c>
      <c r="I509" s="47">
        <f>IFERROR(__xludf.DUMMYFUNCTION("IFERROR((GOOGLEFINANCE($A509,""high52"")),"""")"),37.83)</f>
        <v>37.83</v>
      </c>
      <c r="J509" s="48" t="str">
        <f>IFERROR(__xludf.DUMMYFUNCTION("IFERROR((sparkline(GOOGLEFINANCE($A509,""price"",TODAY()-365,TODAY(),""DAILY""),{""charttype"",""line"";""linewidth"",1;""color"",""#5f88cc""})),"""")"),"")</f>
        <v/>
      </c>
      <c r="K509" s="50">
        <f>IFERROR(__xludf.DUMMYFUNCTION("IFERROR((((GOOGLEFINANCE(A509))-(INDEX(GoogleFinance(A509,""PRICE"",$AP$1),2,2)))/(INDEX(GoogleFinance(A509,""PRICE"",$AP$1),2,2))),"""")"),0.3425750094948729)</f>
        <v>0.3425750095</v>
      </c>
      <c r="L509" s="51">
        <f t="shared" si="1"/>
        <v>-0.06555643669</v>
      </c>
      <c r="M509" s="52">
        <f>IFERROR((VLOOKUP($A509,'Dados StatusInvest'!$A:$AZ,COLUMN(M509)-$A$5,0)*VLOOKUP($A509,'Dados StatusInvest'!$A:$AZ,2,0)/$F509/100),0)</f>
        <v>0.1016857143</v>
      </c>
      <c r="N509" s="53">
        <f>IFERROR((VLOOKUP($A509,'Dados StatusInvest'!$A:$AZ,COLUMN(N509)-$A$5,0)/VLOOKUP($A509,'Dados StatusInvest'!$A:$AZ,2,0)*$F509),"")</f>
        <v>7.369963473</v>
      </c>
      <c r="O509" s="53">
        <f>IFERROR((VLOOKUP($A509,'Dados StatusInvest'!$A:$AZ,COLUMN(O509)-$A$5,0)/VLOOKUP($A509,'Dados StatusInvest'!$A:$AZ,2,0)*$F509),0)</f>
        <v>8.383085136</v>
      </c>
      <c r="P509" s="54">
        <f>IFERROR((VLOOKUP($A509,'Dados StatusInvest'!$A:$AZ,COLUMN(P509)-$A$5,0)/VLOOKUP($A509,'Dados StatusInvest'!$A:$AZ,2,0)*$F509),0)</f>
        <v>8.383085136</v>
      </c>
      <c r="Q509" s="55">
        <f>IFERROR((VLOOKUP($A509,'Dados StatusInvest'!$A:$AZ,COLUMN(Q509)-$A$5,0)/100),0)</f>
        <v>0</v>
      </c>
      <c r="R509" s="56">
        <f>VLOOKUP($A509,'Dados StatusInvest'!$A:$AZ,COLUMN(R509)-$A$5,0)</f>
        <v>0</v>
      </c>
      <c r="S509" s="56">
        <f>IFERROR((VLOOKUP($A509,'Dados StatusInvest'!$A:$AZ,COLUMN(S509)-$A$5,0)),0)</f>
        <v>0.85</v>
      </c>
      <c r="T509" s="53">
        <f>IFERROR((VLOOKUP($A509,'Dados StatusInvest'!$A:$AZ,COLUMN(T509)-$A$5,0)/VLOOKUP($A509,'Dados StatusInvest'!$A:$AZ,2,0)*$F509),0)</f>
        <v>0</v>
      </c>
      <c r="U509" s="53">
        <f>IFERROR((VLOOKUP($A509,'Dados StatusInvest'!$A:$AZ,COLUMN(U509)-$A$5,0)-VLOOKUP($A509,'Dados StatusInvest'!$A:$AZ,COLUMN(U509)-$A$5-1,0)+T509),0)</f>
        <v>0</v>
      </c>
      <c r="V509" s="56">
        <f>IFERROR((VLOOKUP($A509,'Dados StatusInvest'!$A:$AZ,COLUMN(V509)-$A$5,0)),0)</f>
        <v>0</v>
      </c>
      <c r="W509" s="56">
        <f>IFERROR((VLOOKUP($A509,'Dados StatusInvest'!$A:$AZ,COLUMN(W509)-$A$5,0)),0)</f>
        <v>0</v>
      </c>
      <c r="X509" s="53">
        <f>IFERROR((VLOOKUP($A509,'Dados StatusInvest'!$A:$AZ,COLUMN(X509)-$A$5,0)/VLOOKUP($A509,'Dados StatusInvest'!$A:$AZ,2,0)*$F509),0)</f>
        <v>0</v>
      </c>
      <c r="Y509" s="54">
        <f>IFERROR((VLOOKUP($A509,'Dados StatusInvest'!$A:$AZ,COLUMN(Y509)-$A$5,0)/VLOOKUP($A509,'Dados StatusInvest'!$A:$AZ,2,0)*$F509),0)</f>
        <v>0</v>
      </c>
      <c r="Z509" s="56">
        <f>IFERROR((VLOOKUP($A509,'Dados StatusInvest'!$A:$AZ,COLUMN(Z509)-$A$5,0)),0)</f>
        <v>0</v>
      </c>
      <c r="AA509" s="57">
        <f>IFERROR((VLOOKUP($A509,'Dados StatusInvest'!$A:$AZ,COLUMN(AA509)-$A$5,0)),0)</f>
        <v>0</v>
      </c>
      <c r="AB509" s="57">
        <f>IFERROR((VLOOKUP($A509,'Dados StatusInvest'!$A:$AZ,COLUMN(AB509)-$A$5,0)),0)</f>
        <v>0</v>
      </c>
      <c r="AC509" s="58">
        <f>IFERROR((VLOOKUP($A509,'Dados StatusInvest'!$A:$AZ,COLUMN(AC509)-$A$5,0)),0)</f>
        <v>13.5</v>
      </c>
      <c r="AD509" s="57">
        <f>IFERROR((VLOOKUP($A509,'Dados StatusInvest'!$A:$AZ,COLUMN(AD509)-$A$5,0)),0)</f>
        <v>-6.94</v>
      </c>
      <c r="AE509" s="56">
        <f>IFERROR((VLOOKUP($A509,'Dados StatusInvest'!$A:$AZ,COLUMN(AE509)-$A$5,0)),0)</f>
        <v>178000000</v>
      </c>
      <c r="AF509" s="56">
        <f>IFERROR((VLOOKUP($A509,'Dados StatusInvest'!$A:$AZ,COLUMN(AF509)-$A$5,0)),0)</f>
        <v>0</v>
      </c>
      <c r="AG509" s="56">
        <f>IFERROR((VLOOKUP($A509,'Dados StatusInvest'!$A:$AZ,COLUMN(AG509)-$A$5,0)),0)</f>
        <v>3.1</v>
      </c>
      <c r="AH509" s="56">
        <f>IFERROR((VLOOKUP($A509,'Dados StatusInvest'!$A:$AZ,COLUMN(AH509)-$A$5,0)),0)</f>
        <v>6.28</v>
      </c>
      <c r="AI509" s="57">
        <f>IFERROR((VLOOKUP($A509,'Dados StatusInvest'!$A:$AZ,COLUMN(AI509)-$A$5,0)),0)</f>
        <v>133436000000</v>
      </c>
      <c r="AJ509" s="59" t="str">
        <f>IFERROR((VLOOKUP($A509,'Dados StatusInvest'!$A:$AZ,COLUMN(AJ509)-$A$5,0)),0)</f>
        <v/>
      </c>
      <c r="AK509" s="60">
        <f>IFERROR(__xludf.DUMMYFUNCTION("IFERROR(GOOGLEFINANCE($A509,""high""),"""")"),35.42)</f>
        <v>35.42</v>
      </c>
      <c r="AL509" s="60">
        <f>IFERROR(__xludf.DUMMYFUNCTION("IFERROR(GOOGLEFINANCE($A509,""low""),"""")"),35.21)</f>
        <v>35.21</v>
      </c>
      <c r="AM509" s="61">
        <f t="shared" si="2"/>
        <v>0.005964214712</v>
      </c>
      <c r="AN509" s="62">
        <f>IFERROR(__xludf.DUMMYFUNCTION("IFERROR((GOOGLEFINANCE($A509,""volume"")),0)"),93600.0)</f>
        <v>93600</v>
      </c>
      <c r="AO509" s="60">
        <f>IFERROR(__xludf.DUMMYFUNCTION("IFERROR((GOOGLEFINANCE($A509,""closeyest"")),"""")"),35.59)</f>
        <v>35.59</v>
      </c>
      <c r="AP509" s="60">
        <f>IFERROR(__xludf.DUMMYFUNCTION("IFERROR((GOOGLEFINANCE($A509,""shares"")),"""")"),0.0)</f>
        <v>0</v>
      </c>
      <c r="AQ509" s="18"/>
    </row>
    <row r="510">
      <c r="A510" s="45" t="str">
        <f>'Dados StatusInvest'!A505:A1124</f>
        <v>SANB3</v>
      </c>
      <c r="B510" s="63" t="str">
        <f>IFERROR(__xludf.DUMMYFUNCTION("IFERROR((GOOGLEFINANCE(A510,""name"")),"""")"),"Banco Santander Brasil SA")</f>
        <v>Banco Santander Brasil SA</v>
      </c>
      <c r="C510" s="63" t="str">
        <f>IFERROR((VLOOKUP(LEFT($A510,4),Setor!$A:$E,3,0)),"")</f>
        <v>Financeiro</v>
      </c>
      <c r="D510" s="63" t="str">
        <f>IFERROR((VLOOKUP(LEFT($A510,4),Setor!$A:$E,4,0)),"")</f>
        <v>Intermediários Financeiros</v>
      </c>
      <c r="E510" s="63" t="str">
        <f>IFERROR((VLOOKUP(LEFT($A510,4),Setor!$A:$E,5,0)),"")</f>
        <v>Bancos</v>
      </c>
      <c r="F510" s="64">
        <f>IFERROR(__xludf.DUMMYFUNCTION("IFERROR((GOOGLEFINANCE(A510)),"""")"),17.6)</f>
        <v>17.6</v>
      </c>
      <c r="G510" s="65" t="str">
        <f>IFERROR(__xludf.DUMMYFUNCTION("IFERROR((sparkline(GOOGLEFINANCE($A510,""price"",TODAY()-30,TODAY(),""DAILY""),{""charttype"",""line"";""linewidth"",1;""color"",""#5f88cc""})),"""")"),"")</f>
        <v/>
      </c>
      <c r="H510" s="66">
        <f>IFERROR(__xludf.DUMMYFUNCTION("IFERROR((((GOOGLEFINANCE(A510))-(INDEX(GoogleFinance(A510,""PRICE"",$AQ$1),2,2)))/(INDEX(GoogleFinance(A510,""PRICE"",$AQ$1),2,2))),"""")"),0.050746268656716505)</f>
        <v>0.05074626866</v>
      </c>
      <c r="I510" s="67">
        <f>IFERROR(__xludf.DUMMYFUNCTION("IFERROR((GOOGLEFINANCE($A510,""high52"")),"""")"),18.68)</f>
        <v>18.68</v>
      </c>
      <c r="J510" s="68" t="str">
        <f>IFERROR(__xludf.DUMMYFUNCTION("IFERROR((sparkline(GOOGLEFINANCE($A510,""price"",TODAY()-365,TODAY(),""DAILY""),{""charttype"",""line"";""linewidth"",1;""color"",""#5f88cc""})),"""")"),"")</f>
        <v/>
      </c>
      <c r="K510" s="66">
        <f>IFERROR(__xludf.DUMMYFUNCTION("IFERROR((((GOOGLEFINANCE(A510))-(INDEX(GoogleFinance(A510,""PRICE"",$AP$1),2,2)))/(INDEX(GoogleFinance(A510,""PRICE"",$AP$1),2,2))),"""")"),0.3979348689436062)</f>
        <v>0.3979348689</v>
      </c>
      <c r="L510" s="69">
        <f t="shared" si="1"/>
        <v>-0.05781584582</v>
      </c>
      <c r="M510" s="52">
        <f>IFERROR((VLOOKUP($A510,'Dados StatusInvest'!$A:$AZ,COLUMN(M510)-$A$5,0)*VLOOKUP($A510,'Dados StatusInvest'!$A:$AZ,2,0)/$F510/100),0)</f>
        <v>0.1014017045</v>
      </c>
      <c r="N510" s="53">
        <f>IFERROR((VLOOKUP($A510,'Dados StatusInvest'!$A:$AZ,COLUMN(N510)-$A$5,0)/VLOOKUP($A510,'Dados StatusInvest'!$A:$AZ,2,0)*$F510),"")</f>
        <v>7.390605546</v>
      </c>
      <c r="O510" s="53">
        <f>IFERROR((VLOOKUP($A510,'Dados StatusInvest'!$A:$AZ,COLUMN(O510)-$A$5,0)/VLOOKUP($A510,'Dados StatusInvest'!$A:$AZ,2,0)*$F510),0)</f>
        <v>8.34680249</v>
      </c>
      <c r="P510" s="54">
        <f>IFERROR((VLOOKUP($A510,'Dados StatusInvest'!$A:$AZ,COLUMN(P510)-$A$5,0)/VLOOKUP($A510,'Dados StatusInvest'!$A:$AZ,2,0)*$F510),0)</f>
        <v>8.406564799</v>
      </c>
      <c r="Q510" s="55">
        <f>IFERROR((VLOOKUP($A510,'Dados StatusInvest'!$A:$AZ,COLUMN(Q510)-$A$5,0)/100),0)</f>
        <v>0</v>
      </c>
      <c r="R510" s="56">
        <f>VLOOKUP($A510,'Dados StatusInvest'!$A:$AZ,COLUMN(R510)-$A$5,0)</f>
        <v>0</v>
      </c>
      <c r="S510" s="56">
        <f>IFERROR((VLOOKUP($A510,'Dados StatusInvest'!$A:$AZ,COLUMN(S510)-$A$5,0)),0)</f>
        <v>0.85</v>
      </c>
      <c r="T510" s="53">
        <f>IFERROR((VLOOKUP($A510,'Dados StatusInvest'!$A:$AZ,COLUMN(T510)-$A$5,0)/VLOOKUP($A510,'Dados StatusInvest'!$A:$AZ,2,0)*$F510),0)</f>
        <v>0</v>
      </c>
      <c r="U510" s="53">
        <f>IFERROR((VLOOKUP($A510,'Dados StatusInvest'!$A:$AZ,COLUMN(U510)-$A$5,0)-VLOOKUP($A510,'Dados StatusInvest'!$A:$AZ,COLUMN(U510)-$A$5-1,0)+T510),0)</f>
        <v>0</v>
      </c>
      <c r="V510" s="56">
        <f>IFERROR((VLOOKUP($A510,'Dados StatusInvest'!$A:$AZ,COLUMN(V510)-$A$5,0)),0)</f>
        <v>0</v>
      </c>
      <c r="W510" s="56">
        <f>IFERROR((VLOOKUP($A510,'Dados StatusInvest'!$A:$AZ,COLUMN(W510)-$A$5,0)),0)</f>
        <v>0</v>
      </c>
      <c r="X510" s="53">
        <f>IFERROR((VLOOKUP($A510,'Dados StatusInvest'!$A:$AZ,COLUMN(X510)-$A$5,0)/VLOOKUP($A510,'Dados StatusInvest'!$A:$AZ,2,0)*$F510),0)</f>
        <v>0</v>
      </c>
      <c r="Y510" s="54">
        <f>IFERROR((VLOOKUP($A510,'Dados StatusInvest'!$A:$AZ,COLUMN(Y510)-$A$5,0)/VLOOKUP($A510,'Dados StatusInvest'!$A:$AZ,2,0)*$F510),0)</f>
        <v>0</v>
      </c>
      <c r="Z510" s="56">
        <f>IFERROR((VLOOKUP($A510,'Dados StatusInvest'!$A:$AZ,COLUMN(Z510)-$A$5,0)),0)</f>
        <v>0</v>
      </c>
      <c r="AA510" s="57">
        <f>IFERROR((VLOOKUP($A510,'Dados StatusInvest'!$A:$AZ,COLUMN(AA510)-$A$5,0)),0)</f>
        <v>0</v>
      </c>
      <c r="AB510" s="57">
        <f>IFERROR((VLOOKUP($A510,'Dados StatusInvest'!$A:$AZ,COLUMN(AB510)-$A$5,0)),0)</f>
        <v>0</v>
      </c>
      <c r="AC510" s="58">
        <f>IFERROR((VLOOKUP($A510,'Dados StatusInvest'!$A:$AZ,COLUMN(AC510)-$A$5,0)),0)</f>
        <v>13.5</v>
      </c>
      <c r="AD510" s="57">
        <f>IFERROR((VLOOKUP($A510,'Dados StatusInvest'!$A:$AZ,COLUMN(AD510)-$A$5,0)),0)</f>
        <v>-6.94</v>
      </c>
      <c r="AE510" s="56">
        <f>IFERROR((VLOOKUP($A510,'Dados StatusInvest'!$A:$AZ,COLUMN(AE510)-$A$5,0)),0)</f>
        <v>1459605</v>
      </c>
      <c r="AF510" s="56">
        <f>IFERROR((VLOOKUP($A510,'Dados StatusInvest'!$A:$AZ,COLUMN(AF510)-$A$5,0)),0)</f>
        <v>0</v>
      </c>
      <c r="AG510" s="56">
        <f>IFERROR((VLOOKUP($A510,'Dados StatusInvest'!$A:$AZ,COLUMN(AG510)-$A$5,0)),0)</f>
        <v>1.55</v>
      </c>
      <c r="AH510" s="56">
        <f>IFERROR((VLOOKUP($A510,'Dados StatusInvest'!$A:$AZ,COLUMN(AH510)-$A$5,0)),0)</f>
        <v>6.24</v>
      </c>
      <c r="AI510" s="57">
        <f>IFERROR((VLOOKUP($A510,'Dados StatusInvest'!$A:$AZ,COLUMN(AI510)-$A$5,0)),0)</f>
        <v>133436000000</v>
      </c>
      <c r="AJ510" s="59" t="str">
        <f>IFERROR((VLOOKUP($A510,'Dados StatusInvest'!$A:$AZ,COLUMN(AJ510)-$A$5,0)),0)</f>
        <v/>
      </c>
      <c r="AK510" s="67">
        <f>IFERROR(__xludf.DUMMYFUNCTION("IFERROR(GOOGLEFINANCE($A510,""high""),"""")"),17.6)</f>
        <v>17.6</v>
      </c>
      <c r="AL510" s="67">
        <f>IFERROR(__xludf.DUMMYFUNCTION("IFERROR(GOOGLEFINANCE($A510,""low""),"""")"),17.4)</f>
        <v>17.4</v>
      </c>
      <c r="AM510" s="70">
        <f t="shared" si="2"/>
        <v>0.01149425287</v>
      </c>
      <c r="AN510" s="71">
        <f>IFERROR(__xludf.DUMMYFUNCTION("IFERROR((GOOGLEFINANCE($A510,""volume"")),0)"),4500.0)</f>
        <v>4500</v>
      </c>
      <c r="AO510" s="67">
        <f>IFERROR(__xludf.DUMMYFUNCTION("IFERROR((GOOGLEFINANCE($A510,""closeyest"")),"""")"),17.67)</f>
        <v>17.67</v>
      </c>
      <c r="AP510" s="67">
        <f>IFERROR(__xludf.DUMMYFUNCTION("IFERROR((GOOGLEFINANCE($A510,""shares"")),"""")"),3.818695031E9)</f>
        <v>3818695031</v>
      </c>
      <c r="AQ510" s="60"/>
    </row>
    <row r="511">
      <c r="A511" s="45" t="str">
        <f>'Dados StatusInvest'!A506:A1125</f>
        <v>SANB4</v>
      </c>
      <c r="B511" s="63" t="str">
        <f>IFERROR(__xludf.DUMMYFUNCTION("IFERROR((GOOGLEFINANCE(A511,""name"")),"""")"),"Banco Santander Brasil SA Preference Shares")</f>
        <v>Banco Santander Brasil SA Preference Shares</v>
      </c>
      <c r="C511" s="63" t="str">
        <f>IFERROR((VLOOKUP(LEFT($A511,4),Setor!$A:$E,3,0)),"")</f>
        <v>Financeiro</v>
      </c>
      <c r="D511" s="63" t="str">
        <f>IFERROR((VLOOKUP(LEFT($A511,4),Setor!$A:$E,4,0)),"")</f>
        <v>Intermediários Financeiros</v>
      </c>
      <c r="E511" s="63" t="str">
        <f>IFERROR((VLOOKUP(LEFT($A511,4),Setor!$A:$E,5,0)),"")</f>
        <v>Bancos</v>
      </c>
      <c r="F511" s="64">
        <f>IFERROR(__xludf.DUMMYFUNCTION("IFERROR((GOOGLEFINANCE(A511)),"""")"),17.78)</f>
        <v>17.78</v>
      </c>
      <c r="G511" s="65" t="str">
        <f>IFERROR(__xludf.DUMMYFUNCTION("IFERROR((sparkline(GOOGLEFINANCE($A511,""price"",TODAY()-30,TODAY(),""DAILY""),{""charttype"",""line"";""linewidth"",1;""color"",""#5f88cc""})),"""")"),"")</f>
        <v/>
      </c>
      <c r="H511" s="66">
        <f>IFERROR(__xludf.DUMMYFUNCTION("IFERROR((((GOOGLEFINANCE(A511))-(INDEX(GoogleFinance(A511,""PRICE"",$AQ$1),2,2)))/(INDEX(GoogleFinance(A511,""PRICE"",$AQ$1),2,2))),"""")"),0.007365439093484564)</f>
        <v>0.007365439093</v>
      </c>
      <c r="I511" s="47">
        <f>IFERROR(__xludf.DUMMYFUNCTION("IFERROR((GOOGLEFINANCE($A511,""high52"")),"""")"),19.2)</f>
        <v>19.2</v>
      </c>
      <c r="J511" s="68" t="str">
        <f>IFERROR(__xludf.DUMMYFUNCTION("IFERROR((sparkline(GOOGLEFINANCE($A511,""price"",TODAY()-365,TODAY(),""DAILY""),{""charttype"",""line"";""linewidth"",1;""color"",""#5f88cc""})),"""")"),"")</f>
        <v/>
      </c>
      <c r="K511" s="66">
        <f>IFERROR(__xludf.DUMMYFUNCTION("IFERROR((((GOOGLEFINANCE(A511))-(INDEX(GoogleFinance(A511,""PRICE"",$AP$1),2,2)))/(INDEX(GoogleFinance(A511,""PRICE"",$AP$1),2,2))),"""")"),0.2921511627906978)</f>
        <v>0.2921511628</v>
      </c>
      <c r="L511" s="69">
        <f t="shared" si="1"/>
        <v>-0.07395833333</v>
      </c>
      <c r="M511" s="52">
        <f>IFERROR((VLOOKUP($A511,'Dados StatusInvest'!$A:$AZ,COLUMN(M511)-$A$5,0)*VLOOKUP($A511,'Dados StatusInvest'!$A:$AZ,2,0)/$F511/100),0)</f>
        <v>0.1019088864</v>
      </c>
      <c r="N511" s="53">
        <f>IFERROR((VLOOKUP($A511,'Dados StatusInvest'!$A:$AZ,COLUMN(N511)-$A$5,0)/VLOOKUP($A511,'Dados StatusInvest'!$A:$AZ,2,0)*$F511),"")</f>
        <v>7.353823857</v>
      </c>
      <c r="O511" s="53">
        <f>IFERROR((VLOOKUP($A511,'Dados StatusInvest'!$A:$AZ,COLUMN(O511)-$A$5,0)/VLOOKUP($A511,'Dados StatusInvest'!$A:$AZ,2,0)*$F511),0)</f>
        <v>8.434102564</v>
      </c>
      <c r="P511" s="54">
        <f>IFERROR((VLOOKUP($A511,'Dados StatusInvest'!$A:$AZ,COLUMN(P511)-$A$5,0)/VLOOKUP($A511,'Dados StatusInvest'!$A:$AZ,2,0)*$F511),0)</f>
        <v>8.364726867</v>
      </c>
      <c r="Q511" s="55">
        <f>IFERROR((VLOOKUP($A511,'Dados StatusInvest'!$A:$AZ,COLUMN(Q511)-$A$5,0)/100),0)</f>
        <v>0</v>
      </c>
      <c r="R511" s="56">
        <f>VLOOKUP($A511,'Dados StatusInvest'!$A:$AZ,COLUMN(R511)-$A$5,0)</f>
        <v>0</v>
      </c>
      <c r="S511" s="56">
        <f>IFERROR((VLOOKUP($A511,'Dados StatusInvest'!$A:$AZ,COLUMN(S511)-$A$5,0)),0)</f>
        <v>0.86</v>
      </c>
      <c r="T511" s="53">
        <f>IFERROR((VLOOKUP($A511,'Dados StatusInvest'!$A:$AZ,COLUMN(T511)-$A$5,0)/VLOOKUP($A511,'Dados StatusInvest'!$A:$AZ,2,0)*$F511),0)</f>
        <v>0</v>
      </c>
      <c r="U511" s="53">
        <f>IFERROR((VLOOKUP($A511,'Dados StatusInvest'!$A:$AZ,COLUMN(U511)-$A$5,0)-VLOOKUP($A511,'Dados StatusInvest'!$A:$AZ,COLUMN(U511)-$A$5-1,0)+T511),0)</f>
        <v>0</v>
      </c>
      <c r="V511" s="56">
        <f>IFERROR((VLOOKUP($A511,'Dados StatusInvest'!$A:$AZ,COLUMN(V511)-$A$5,0)),0)</f>
        <v>0</v>
      </c>
      <c r="W511" s="56">
        <f>IFERROR((VLOOKUP($A511,'Dados StatusInvest'!$A:$AZ,COLUMN(W511)-$A$5,0)),0)</f>
        <v>0</v>
      </c>
      <c r="X511" s="53">
        <f>IFERROR((VLOOKUP($A511,'Dados StatusInvest'!$A:$AZ,COLUMN(X511)-$A$5,0)/VLOOKUP($A511,'Dados StatusInvest'!$A:$AZ,2,0)*$F511),0)</f>
        <v>0</v>
      </c>
      <c r="Y511" s="54">
        <f>IFERROR((VLOOKUP($A511,'Dados StatusInvest'!$A:$AZ,COLUMN(Y511)-$A$5,0)/VLOOKUP($A511,'Dados StatusInvest'!$A:$AZ,2,0)*$F511),0)</f>
        <v>0</v>
      </c>
      <c r="Z511" s="56">
        <f>IFERROR((VLOOKUP($A511,'Dados StatusInvest'!$A:$AZ,COLUMN(Z511)-$A$5,0)),0)</f>
        <v>0</v>
      </c>
      <c r="AA511" s="57">
        <f>IFERROR((VLOOKUP($A511,'Dados StatusInvest'!$A:$AZ,COLUMN(AA511)-$A$5,0)),0)</f>
        <v>0</v>
      </c>
      <c r="AB511" s="57">
        <f>IFERROR((VLOOKUP($A511,'Dados StatusInvest'!$A:$AZ,COLUMN(AB511)-$A$5,0)),0)</f>
        <v>0</v>
      </c>
      <c r="AC511" s="58">
        <f>IFERROR((VLOOKUP($A511,'Dados StatusInvest'!$A:$AZ,COLUMN(AC511)-$A$5,0)),0)</f>
        <v>13.5</v>
      </c>
      <c r="AD511" s="57">
        <f>IFERROR((VLOOKUP($A511,'Dados StatusInvest'!$A:$AZ,COLUMN(AD511)-$A$5,0)),0)</f>
        <v>-6.94</v>
      </c>
      <c r="AE511" s="56">
        <f>IFERROR((VLOOKUP($A511,'Dados StatusInvest'!$A:$AZ,COLUMN(AE511)-$A$5,0)),0)</f>
        <v>1824570</v>
      </c>
      <c r="AF511" s="56">
        <f>IFERROR((VLOOKUP($A511,'Dados StatusInvest'!$A:$AZ,COLUMN(AF511)-$A$5,0)),0)</f>
        <v>0</v>
      </c>
      <c r="AG511" s="56">
        <f>IFERROR((VLOOKUP($A511,'Dados StatusInvest'!$A:$AZ,COLUMN(AG511)-$A$5,0)),0)</f>
        <v>1.55</v>
      </c>
      <c r="AH511" s="56">
        <f>IFERROR((VLOOKUP($A511,'Dados StatusInvest'!$A:$AZ,COLUMN(AH511)-$A$5,0)),0)</f>
        <v>6.33</v>
      </c>
      <c r="AI511" s="57">
        <f>IFERROR((VLOOKUP($A511,'Dados StatusInvest'!$A:$AZ,COLUMN(AI511)-$A$5,0)),0)</f>
        <v>133436000000</v>
      </c>
      <c r="AJ511" s="59" t="str">
        <f>IFERROR((VLOOKUP($A511,'Dados StatusInvest'!$A:$AZ,COLUMN(AJ511)-$A$5,0)),0)</f>
        <v/>
      </c>
      <c r="AK511" s="67">
        <f>IFERROR(__xludf.DUMMYFUNCTION("IFERROR(GOOGLEFINANCE($A511,""high""),"""")"),17.9)</f>
        <v>17.9</v>
      </c>
      <c r="AL511" s="67">
        <f>IFERROR(__xludf.DUMMYFUNCTION("IFERROR(GOOGLEFINANCE($A511,""low""),"""")"),17.6)</f>
        <v>17.6</v>
      </c>
      <c r="AM511" s="70">
        <f t="shared" si="2"/>
        <v>0.01704545455</v>
      </c>
      <c r="AN511" s="71">
        <f>IFERROR(__xludf.DUMMYFUNCTION("IFERROR((GOOGLEFINANCE($A511,""volume"")),0)"),3100.0)</f>
        <v>3100</v>
      </c>
      <c r="AO511" s="67">
        <f>IFERROR(__xludf.DUMMYFUNCTION("IFERROR((GOOGLEFINANCE($A511,""closeyest"")),"""")"),17.94)</f>
        <v>17.94</v>
      </c>
      <c r="AP511" s="67">
        <f>IFERROR(__xludf.DUMMYFUNCTION("IFERROR((GOOGLEFINANCE($A511,""shares"")),"""")"),3.67983602E9)</f>
        <v>3679836020</v>
      </c>
      <c r="AQ511" s="60"/>
    </row>
    <row r="512">
      <c r="A512" s="45" t="str">
        <f>'Dados StatusInvest'!A507:A1126</f>
        <v>SAPR11</v>
      </c>
      <c r="B512" s="63" t="str">
        <f>IFERROR(__xludf.DUMMYFUNCTION("IFERROR((GOOGLEFINANCE(A512,""name"")),"""")"),"Companhia de Saneamento Parana SANEPAR Unit")</f>
        <v>Companhia de Saneamento Parana SANEPAR Unit</v>
      </c>
      <c r="C512" s="63" t="str">
        <f>IFERROR((VLOOKUP(LEFT($A512,4),Setor!$A:$E,3,0)),"")</f>
        <v>Utilidade Pública</v>
      </c>
      <c r="D512" s="63" t="str">
        <f>IFERROR((VLOOKUP(LEFT($A512,4),Setor!$A:$E,4,0)),"")</f>
        <v>Água e Saneamento</v>
      </c>
      <c r="E512" s="63" t="str">
        <f>IFERROR((VLOOKUP(LEFT($A512,4),Setor!$A:$E,5,0)),"")</f>
        <v>Água e Saneamento</v>
      </c>
      <c r="F512" s="64">
        <f>IFERROR(__xludf.DUMMYFUNCTION("IFERROR((GOOGLEFINANCE(A512)),"""")"),45.91)</f>
        <v>45.91</v>
      </c>
      <c r="G512" s="65" t="str">
        <f>IFERROR(__xludf.DUMMYFUNCTION("IFERROR((sparkline(GOOGLEFINANCE($A512,""price"",TODAY()-30,TODAY(),""DAILY""),{""charttype"",""line"";""linewidth"",1;""color"",""#5f88cc""})),"""")"),"")</f>
        <v/>
      </c>
      <c r="H512" s="66">
        <f>IFERROR(__xludf.DUMMYFUNCTION("IFERROR((((GOOGLEFINANCE(A512))-(INDEX(GoogleFinance(A512,""PRICE"",$AQ$1),2,2)))/(INDEX(GoogleFinance(A512,""PRICE"",$AQ$1),2,2))),"""")"),0.0396286231884058)</f>
        <v>0.03962862319</v>
      </c>
      <c r="I512" s="47">
        <f>IFERROR(__xludf.DUMMYFUNCTION("IFERROR((GOOGLEFINANCE($A512,""high52"")),"""")"),48.72)</f>
        <v>48.72</v>
      </c>
      <c r="J512" s="68" t="str">
        <f>IFERROR(__xludf.DUMMYFUNCTION("IFERROR((sparkline(GOOGLEFINANCE($A512,""price"",TODAY()-365,TODAY(),""DAILY""),{""charttype"",""line"";""linewidth"",1;""color"",""#5f88cc""})),"""")"),"")</f>
        <v/>
      </c>
      <c r="K512" s="66">
        <f>IFERROR(__xludf.DUMMYFUNCTION("IFERROR((((GOOGLEFINANCE(A512))-(INDEX(GoogleFinance(A512,""PRICE"",$AP$1),2,2)))/(INDEX(GoogleFinance(A512,""PRICE"",$AP$1),2,2))),"""")"),0.6652158142908957)</f>
        <v>0.6652158143</v>
      </c>
      <c r="L512" s="69">
        <f t="shared" si="1"/>
        <v>-0.05767651888</v>
      </c>
      <c r="M512" s="52">
        <f>IFERROR((VLOOKUP($A512,'Dados StatusInvest'!$A:$AZ,COLUMN(M512)-$A$5,0)*VLOOKUP($A512,'Dados StatusInvest'!$A:$AZ,2,0)/$F512/100),0)</f>
        <v>0.3385991723</v>
      </c>
      <c r="N512" s="53">
        <f>IFERROR((VLOOKUP($A512,'Dados StatusInvest'!$A:$AZ,COLUMN(N512)-$A$5,0)/VLOOKUP($A512,'Dados StatusInvest'!$A:$AZ,2,0)*$F512),"")</f>
        <v>29.53533505</v>
      </c>
      <c r="O512" s="53">
        <f>IFERROR((VLOOKUP($A512,'Dados StatusInvest'!$A:$AZ,COLUMN(O512)-$A$5,0)/VLOOKUP($A512,'Dados StatusInvest'!$A:$AZ,2,0)*$F512),0)</f>
        <v>5.877580818</v>
      </c>
      <c r="P512" s="54">
        <f>IFERROR((VLOOKUP($A512,'Dados StatusInvest'!$A:$AZ,COLUMN(P512)-$A$5,0)/VLOOKUP($A512,'Dados StatusInvest'!$A:$AZ,2,0)*$F512),0)</f>
        <v>6.457475915</v>
      </c>
      <c r="Q512" s="55">
        <f>IFERROR((VLOOKUP($A512,'Dados StatusInvest'!$A:$AZ,COLUMN(Q512)-$A$5,0)/100),0)</f>
        <v>0.0058</v>
      </c>
      <c r="R512" s="56">
        <f>VLOOKUP($A512,'Dados StatusInvest'!$A:$AZ,COLUMN(R512)-$A$5,0)</f>
        <v>0.11</v>
      </c>
      <c r="S512" s="56">
        <f>IFERROR((VLOOKUP($A512,'Dados StatusInvest'!$A:$AZ,COLUMN(S512)-$A$5,0)),0)</f>
        <v>1.99</v>
      </c>
      <c r="T512" s="53">
        <f>IFERROR((VLOOKUP($A512,'Dados StatusInvest'!$A:$AZ,COLUMN(T512)-$A$5,0)/VLOOKUP($A512,'Dados StatusInvest'!$A:$AZ,2,0)*$F512),0)</f>
        <v>8.580481696</v>
      </c>
      <c r="U512" s="53">
        <f>IFERROR((VLOOKUP($A512,'Dados StatusInvest'!$A:$AZ,COLUMN(U512)-$A$5,0)-VLOOKUP($A512,'Dados StatusInvest'!$A:$AZ,COLUMN(U512)-$A$5-1,0)+T512),0)</f>
        <v>-0.9095183044</v>
      </c>
      <c r="V512" s="56">
        <f>IFERROR((VLOOKUP($A512,'Dados StatusInvest'!$A:$AZ,COLUMN(V512)-$A$5,0)),0)</f>
        <v>1.28</v>
      </c>
      <c r="W512" s="56">
        <f>IFERROR((VLOOKUP($A512,'Dados StatusInvest'!$A:$AZ,COLUMN(W512)-$A$5,0)),0)</f>
        <v>17.71</v>
      </c>
      <c r="X512" s="53">
        <f>IFERROR((VLOOKUP($A512,'Dados StatusInvest'!$A:$AZ,COLUMN(X512)-$A$5,0)/VLOOKUP($A512,'Dados StatusInvest'!$A:$AZ,2,0)*$F512),0)</f>
        <v>8.059558981</v>
      </c>
      <c r="Y512" s="54">
        <f>IFERROR((VLOOKUP($A512,'Dados StatusInvest'!$A:$AZ,COLUMN(Y512)-$A$5,0)/VLOOKUP($A512,'Dados StatusInvest'!$A:$AZ,2,0)*$F512),0)</f>
        <v>11.90259259</v>
      </c>
      <c r="Z512" s="56">
        <f>IFERROR((VLOOKUP($A512,'Dados StatusInvest'!$A:$AZ,COLUMN(Z512)-$A$5,0)),0)</f>
        <v>0.46</v>
      </c>
      <c r="AA512" s="57">
        <f>IFERROR((VLOOKUP($A512,'Dados StatusInvest'!$A:$AZ,COLUMN(AA512)-$A$5,0)),0)</f>
        <v>0.54</v>
      </c>
      <c r="AB512" s="57">
        <f>IFERROR((VLOOKUP($A512,'Dados StatusInvest'!$A:$AZ,COLUMN(AB512)-$A$5,0)),0)</f>
        <v>0.27</v>
      </c>
      <c r="AC512" s="58">
        <f>IFERROR((VLOOKUP($A512,'Dados StatusInvest'!$A:$AZ,COLUMN(AC512)-$A$5,0)),0)</f>
        <v>7.71</v>
      </c>
      <c r="AD512" s="57">
        <f>IFERROR((VLOOKUP($A512,'Dados StatusInvest'!$A:$AZ,COLUMN(AD512)-$A$5,0)),0)</f>
        <v>14.56</v>
      </c>
      <c r="AE512" s="56">
        <f>IFERROR((VLOOKUP($A512,'Dados StatusInvest'!$A:$AZ,COLUMN(AE512)-$A$5,0)),0)</f>
        <v>61269908</v>
      </c>
      <c r="AF512" s="56">
        <f>IFERROR((VLOOKUP($A512,'Dados StatusInvest'!$A:$AZ,COLUMN(AF512)-$A$5,0)),0)</f>
        <v>39.81</v>
      </c>
      <c r="AG512" s="56">
        <f>IFERROR((VLOOKUP($A512,'Dados StatusInvest'!$A:$AZ,COLUMN(AG512)-$A$5,0)),0)</f>
        <v>7.05</v>
      </c>
      <c r="AH512" s="56">
        <f>IFERROR((VLOOKUP($A512,'Dados StatusInvest'!$A:$AZ,COLUMN(AH512)-$A$5,0)),0)</f>
        <v>0.16</v>
      </c>
      <c r="AI512" s="57">
        <f>IFERROR((VLOOKUP($A512,'Dados StatusInvest'!$A:$AZ,COLUMN(AI512)-$A$5,0)),0)</f>
        <v>14117681959</v>
      </c>
      <c r="AJ512" s="59" t="str">
        <f>IFERROR((VLOOKUP($A512,'Dados StatusInvest'!$A:$AZ,COLUMN(AJ512)-$A$5,0)),0)</f>
        <v/>
      </c>
      <c r="AK512" s="67">
        <f>IFERROR(__xludf.DUMMYFUNCTION("IFERROR(GOOGLEFINANCE($A512,""high""),"""")"),46.78)</f>
        <v>46.78</v>
      </c>
      <c r="AL512" s="67">
        <f>IFERROR(__xludf.DUMMYFUNCTION("IFERROR(GOOGLEFINANCE($A512,""low""),"""")"),45.81)</f>
        <v>45.81</v>
      </c>
      <c r="AM512" s="70">
        <f t="shared" si="2"/>
        <v>0.02117441607</v>
      </c>
      <c r="AN512" s="71">
        <f>IFERROR(__xludf.DUMMYFUNCTION("IFERROR((GOOGLEFINANCE($A512,""volume"")),0)"),56400.0)</f>
        <v>56400</v>
      </c>
      <c r="AO512" s="67">
        <f>IFERROR(__xludf.DUMMYFUNCTION("IFERROR((GOOGLEFINANCE($A512,""closeyest"")),"""")"),46.71)</f>
        <v>46.71</v>
      </c>
      <c r="AP512" s="67" t="str">
        <f>IFERROR(__xludf.DUMMYFUNCTION("IFERROR((GOOGLEFINANCE($A512,""shares"")),"""")"),"")</f>
        <v/>
      </c>
      <c r="AQ512" s="60"/>
    </row>
    <row r="513">
      <c r="A513" s="45" t="str">
        <f>'Dados StatusInvest'!A508:A1127</f>
        <v>SAPR3</v>
      </c>
      <c r="B513" s="63" t="str">
        <f>IFERROR(__xludf.DUMMYFUNCTION("IFERROR((GOOGLEFINANCE(A513,""name"")),"""")"),"Companhia de Saneamento Parana SANEPAR")</f>
        <v>Companhia de Saneamento Parana SANEPAR</v>
      </c>
      <c r="C513" s="63" t="str">
        <f>IFERROR((VLOOKUP(LEFT($A513,4),Setor!$A:$E,3,0)),"")</f>
        <v>Utilidade Pública</v>
      </c>
      <c r="D513" s="63" t="str">
        <f>IFERROR((VLOOKUP(LEFT($A513,4),Setor!$A:$E,4,0)),"")</f>
        <v>Água e Saneamento</v>
      </c>
      <c r="E513" s="63" t="str">
        <f>IFERROR((VLOOKUP(LEFT($A513,4),Setor!$A:$E,5,0)),"")</f>
        <v>Água e Saneamento</v>
      </c>
      <c r="F513" s="64">
        <f>IFERROR(__xludf.DUMMYFUNCTION("IFERROR((GOOGLEFINANCE(A513)),"""")"),11.04)</f>
        <v>11.04</v>
      </c>
      <c r="G513" s="65" t="str">
        <f>IFERROR(__xludf.DUMMYFUNCTION("IFERROR((sparkline(GOOGLEFINANCE($A513,""price"",TODAY()-30,TODAY(),""DAILY""),{""charttype"",""line"";""linewidth"",1;""color"",""#5f88cc""})),"""")"),"")</f>
        <v/>
      </c>
      <c r="H513" s="66">
        <f>IFERROR(__xludf.DUMMYFUNCTION("IFERROR((((GOOGLEFINANCE(A513))-(INDEX(GoogleFinance(A513,""PRICE"",$AQ$1),2,2)))/(INDEX(GoogleFinance(A513,""PRICE"",$AQ$1),2,2))),"""")"),0.09415262636273532)</f>
        <v>0.09415262636</v>
      </c>
      <c r="I513" s="47">
        <f>IFERROR(__xludf.DUMMYFUNCTION("IFERROR((GOOGLEFINANCE($A513,""high52"")),"""")"),11.79)</f>
        <v>11.79</v>
      </c>
      <c r="J513" s="68" t="str">
        <f>IFERROR(__xludf.DUMMYFUNCTION("IFERROR((sparkline(GOOGLEFINANCE($A513,""price"",TODAY()-365,TODAY(),""DAILY""),{""charttype"",""line"";""linewidth"",1;""color"",""#5f88cc""})),"""")"),"")</f>
        <v/>
      </c>
      <c r="K513" s="66">
        <f>IFERROR(__xludf.DUMMYFUNCTION("IFERROR((((GOOGLEFINANCE(A513))-(INDEX(GoogleFinance(A513,""PRICE"",$AP$1),2,2)))/(INDEX(GoogleFinance(A513,""PRICE"",$AP$1),2,2))),"""")"),0.9334500875656742)</f>
        <v>0.9334500876</v>
      </c>
      <c r="L513" s="69">
        <f t="shared" si="1"/>
        <v>-0.06361323155</v>
      </c>
      <c r="M513" s="52">
        <f>IFERROR((VLOOKUP($A513,'Dados StatusInvest'!$A:$AZ,COLUMN(M513)-$A$5,0)*VLOOKUP($A513,'Dados StatusInvest'!$A:$AZ,2,0)/$F513/100),0)</f>
        <v>0.3406376812</v>
      </c>
      <c r="N513" s="53">
        <f>IFERROR((VLOOKUP($A513,'Dados StatusInvest'!$A:$AZ,COLUMN(N513)-$A$5,0)/VLOOKUP($A513,'Dados StatusInvest'!$A:$AZ,2,0)*$F513),"")</f>
        <v>29.35858407</v>
      </c>
      <c r="O513" s="53">
        <f>IFERROR((VLOOKUP($A513,'Dados StatusInvest'!$A:$AZ,COLUMN(O513)-$A$5,0)/VLOOKUP($A513,'Dados StatusInvest'!$A:$AZ,2,0)*$F513),0)</f>
        <v>7.073415929</v>
      </c>
      <c r="P513" s="54">
        <f>IFERROR((VLOOKUP($A513,'Dados StatusInvest'!$A:$AZ,COLUMN(P513)-$A$5,0)/VLOOKUP($A513,'Dados StatusInvest'!$A:$AZ,2,0)*$F513),0)</f>
        <v>6.418831858</v>
      </c>
      <c r="Q513" s="55">
        <f>IFERROR((VLOOKUP($A513,'Dados StatusInvest'!$A:$AZ,COLUMN(Q513)-$A$5,0)/100),0)</f>
        <v>0.0058</v>
      </c>
      <c r="R513" s="56">
        <f>VLOOKUP($A513,'Dados StatusInvest'!$A:$AZ,COLUMN(R513)-$A$5,0)</f>
        <v>0.11</v>
      </c>
      <c r="S513" s="56">
        <f>IFERROR((VLOOKUP($A513,'Dados StatusInvest'!$A:$AZ,COLUMN(S513)-$A$5,0)),0)</f>
        <v>2.41</v>
      </c>
      <c r="T513" s="53">
        <f>IFERROR((VLOOKUP($A513,'Dados StatusInvest'!$A:$AZ,COLUMN(T513)-$A$5,0)/VLOOKUP($A513,'Dados StatusInvest'!$A:$AZ,2,0)*$F513),0)</f>
        <v>10.30725664</v>
      </c>
      <c r="U513" s="53">
        <f>IFERROR((VLOOKUP($A513,'Dados StatusInvest'!$A:$AZ,COLUMN(U513)-$A$5,0)-VLOOKUP($A513,'Dados StatusInvest'!$A:$AZ,COLUMN(U513)-$A$5-1,0)+T513),0)</f>
        <v>-1.162743363</v>
      </c>
      <c r="V513" s="56">
        <f>IFERROR((VLOOKUP($A513,'Dados StatusInvest'!$A:$AZ,COLUMN(V513)-$A$5,0)),0)</f>
        <v>1.28</v>
      </c>
      <c r="W513" s="56">
        <f>IFERROR((VLOOKUP($A513,'Dados StatusInvest'!$A:$AZ,COLUMN(W513)-$A$5,0)),0)</f>
        <v>17.71</v>
      </c>
      <c r="X513" s="53">
        <f>IFERROR((VLOOKUP($A513,'Dados StatusInvest'!$A:$AZ,COLUMN(X513)-$A$5,0)/VLOOKUP($A513,'Dados StatusInvest'!$A:$AZ,2,0)*$F513),0)</f>
        <v>8.011327434</v>
      </c>
      <c r="Y513" s="54">
        <f>IFERROR((VLOOKUP($A513,'Dados StatusInvest'!$A:$AZ,COLUMN(Y513)-$A$5,0)/VLOOKUP($A513,'Dados StatusInvest'!$A:$AZ,2,0)*$F513),0)</f>
        <v>11.83136283</v>
      </c>
      <c r="Z513" s="56">
        <f>IFERROR((VLOOKUP($A513,'Dados StatusInvest'!$A:$AZ,COLUMN(Z513)-$A$5,0)),0)</f>
        <v>0.46</v>
      </c>
      <c r="AA513" s="57">
        <f>IFERROR((VLOOKUP($A513,'Dados StatusInvest'!$A:$AZ,COLUMN(AA513)-$A$5,0)),0)</f>
        <v>0.54</v>
      </c>
      <c r="AB513" s="57">
        <f>IFERROR((VLOOKUP($A513,'Dados StatusInvest'!$A:$AZ,COLUMN(AB513)-$A$5,0)),0)</f>
        <v>0.27</v>
      </c>
      <c r="AC513" s="58">
        <f>IFERROR((VLOOKUP($A513,'Dados StatusInvest'!$A:$AZ,COLUMN(AC513)-$A$5,0)),0)</f>
        <v>7.71</v>
      </c>
      <c r="AD513" s="57">
        <f>IFERROR((VLOOKUP($A513,'Dados StatusInvest'!$A:$AZ,COLUMN(AD513)-$A$5,0)),0)</f>
        <v>14.56</v>
      </c>
      <c r="AE513" s="56">
        <f>IFERROR((VLOOKUP($A513,'Dados StatusInvest'!$A:$AZ,COLUMN(AE513)-$A$5,0)),0)</f>
        <v>2301775</v>
      </c>
      <c r="AF513" s="56">
        <f>IFERROR((VLOOKUP($A513,'Dados StatusInvest'!$A:$AZ,COLUMN(AF513)-$A$5,0)),0)</f>
        <v>7.96</v>
      </c>
      <c r="AG513" s="56">
        <f>IFERROR((VLOOKUP($A513,'Dados StatusInvest'!$A:$AZ,COLUMN(AG513)-$A$5,0)),0)</f>
        <v>1.41</v>
      </c>
      <c r="AH513" s="56">
        <f>IFERROR((VLOOKUP($A513,'Dados StatusInvest'!$A:$AZ,COLUMN(AH513)-$A$5,0)),0)</f>
        <v>0.19</v>
      </c>
      <c r="AI513" s="57">
        <f>IFERROR((VLOOKUP($A513,'Dados StatusInvest'!$A:$AZ,COLUMN(AI513)-$A$5,0)),0)</f>
        <v>14117681959</v>
      </c>
      <c r="AJ513" s="59" t="str">
        <f>IFERROR((VLOOKUP($A513,'Dados StatusInvest'!$A:$AZ,COLUMN(AJ513)-$A$5,0)),0)</f>
        <v/>
      </c>
      <c r="AK513" s="67">
        <f>IFERROR(__xludf.DUMMYFUNCTION("IFERROR(GOOGLEFINANCE($A513,""high""),"""")"),11.29)</f>
        <v>11.29</v>
      </c>
      <c r="AL513" s="67">
        <f>IFERROR(__xludf.DUMMYFUNCTION("IFERROR(GOOGLEFINANCE($A513,""low""),"""")"),11.0)</f>
        <v>11</v>
      </c>
      <c r="AM513" s="70">
        <f t="shared" si="2"/>
        <v>0.02636363636</v>
      </c>
      <c r="AN513" s="71">
        <f>IFERROR(__xludf.DUMMYFUNCTION("IFERROR((GOOGLEFINANCE($A513,""volume"")),0)"),40000.0)</f>
        <v>40000</v>
      </c>
      <c r="AO513" s="67">
        <f>IFERROR(__xludf.DUMMYFUNCTION("IFERROR((GOOGLEFINANCE($A513,""closeyest"")),"""")"),11.3)</f>
        <v>11.3</v>
      </c>
      <c r="AP513" s="67">
        <f>IFERROR(__xludf.DUMMYFUNCTION("IFERROR((GOOGLEFINANCE($A513,""shares"")),"""")"),5.03735259E8)</f>
        <v>503735259</v>
      </c>
      <c r="AQ513" s="60"/>
    </row>
    <row r="514">
      <c r="A514" s="45" t="str">
        <f>'Dados StatusInvest'!A509:A1128</f>
        <v>SAPR4</v>
      </c>
      <c r="B514" s="63" t="str">
        <f>IFERROR(__xludf.DUMMYFUNCTION("IFERROR((GOOGLEFINANCE(A514,""name"")),"""")"),"Companhia de Saneamento Parana SANEPAR Preference Shares")</f>
        <v>Companhia de Saneamento Parana SANEPAR Preference Shares</v>
      </c>
      <c r="C514" s="63" t="str">
        <f>IFERROR((VLOOKUP(LEFT($A514,4),Setor!$A:$E,3,0)),"")</f>
        <v>Utilidade Pública</v>
      </c>
      <c r="D514" s="63" t="str">
        <f>IFERROR((VLOOKUP(LEFT($A514,4),Setor!$A:$E,4,0)),"")</f>
        <v>Água e Saneamento</v>
      </c>
      <c r="E514" s="63" t="str">
        <f>IFERROR((VLOOKUP(LEFT($A514,4),Setor!$A:$E,5,0)),"")</f>
        <v>Água e Saneamento</v>
      </c>
      <c r="F514" s="64">
        <f>IFERROR(__xludf.DUMMYFUNCTION("IFERROR((GOOGLEFINANCE(A514)),"""")"),8.72)</f>
        <v>8.72</v>
      </c>
      <c r="G514" s="65" t="str">
        <f>IFERROR(__xludf.DUMMYFUNCTION("IFERROR((sparkline(GOOGLEFINANCE($A514,""price"",TODAY()-30,TODAY(),""DAILY""),{""charttype"",""line"";""linewidth"",1;""color"",""#5f88cc""})),"""")"),"")</f>
        <v/>
      </c>
      <c r="H514" s="66">
        <f>IFERROR(__xludf.DUMMYFUNCTION("IFERROR((((GOOGLEFINANCE(A514))-(INDEX(GoogleFinance(A514,""PRICE"",$AQ$1),2,2)))/(INDEX(GoogleFinance(A514,""PRICE"",$AQ$1),2,2))),"""")"),0.027090694935217954)</f>
        <v>0.02709069494</v>
      </c>
      <c r="I514" s="47">
        <f>IFERROR(__xludf.DUMMYFUNCTION("IFERROR((GOOGLEFINANCE($A514,""high52"")),"""")"),9.23)</f>
        <v>9.23</v>
      </c>
      <c r="J514" s="68" t="str">
        <f>IFERROR(__xludf.DUMMYFUNCTION("IFERROR((sparkline(GOOGLEFINANCE($A514,""price"",TODAY()-365,TODAY(),""DAILY""),{""charttype"",""line"";""linewidth"",1;""color"",""#5f88cc""})),"""")"),"")</f>
        <v/>
      </c>
      <c r="K514" s="66">
        <f>IFERROR(__xludf.DUMMYFUNCTION("IFERROR((((GOOGLEFINANCE(A514))-(INDEX(GoogleFinance(A514,""PRICE"",$AP$1),2,2)))/(INDEX(GoogleFinance(A514,""PRICE"",$AP$1),2,2))),"""")"),0.6088560885608858)</f>
        <v>0.6088560886</v>
      </c>
      <c r="L514" s="69">
        <f t="shared" si="1"/>
        <v>-0.05525460455</v>
      </c>
      <c r="M514" s="52">
        <f>IFERROR((VLOOKUP($A514,'Dados StatusInvest'!$A:$AZ,COLUMN(M514)-$A$5,0)*VLOOKUP($A514,'Dados StatusInvest'!$A:$AZ,2,0)/$F514/100),0)</f>
        <v>0.3381431193</v>
      </c>
      <c r="N514" s="53">
        <f>IFERROR((VLOOKUP($A514,'Dados StatusInvest'!$A:$AZ,COLUMN(N514)-$A$5,0)/VLOOKUP($A514,'Dados StatusInvest'!$A:$AZ,2,0)*$F514),"")</f>
        <v>29.5751693</v>
      </c>
      <c r="O514" s="53">
        <f>IFERROR((VLOOKUP($A514,'Dados StatusInvest'!$A:$AZ,COLUMN(O514)-$A$5,0)/VLOOKUP($A514,'Dados StatusInvest'!$A:$AZ,2,0)*$F514),0)</f>
        <v>5.580406321</v>
      </c>
      <c r="P514" s="54">
        <f>IFERROR((VLOOKUP($A514,'Dados StatusInvest'!$A:$AZ,COLUMN(P514)-$A$5,0)/VLOOKUP($A514,'Dados StatusInvest'!$A:$AZ,2,0)*$F514),0)</f>
        <v>6.466185102</v>
      </c>
      <c r="Q514" s="55">
        <f>IFERROR((VLOOKUP($A514,'Dados StatusInvest'!$A:$AZ,COLUMN(Q514)-$A$5,0)/100),0)</f>
        <v>0.0058</v>
      </c>
      <c r="R514" s="56">
        <f>VLOOKUP($A514,'Dados StatusInvest'!$A:$AZ,COLUMN(R514)-$A$5,0)</f>
        <v>0.11</v>
      </c>
      <c r="S514" s="56">
        <f>IFERROR((VLOOKUP($A514,'Dados StatusInvest'!$A:$AZ,COLUMN(S514)-$A$5,0)),0)</f>
        <v>1.89</v>
      </c>
      <c r="T514" s="53">
        <f>IFERROR((VLOOKUP($A514,'Dados StatusInvest'!$A:$AZ,COLUMN(T514)-$A$5,0)/VLOOKUP($A514,'Dados StatusInvest'!$A:$AZ,2,0)*$F514),0)</f>
        <v>8.149164786</v>
      </c>
      <c r="U514" s="53">
        <f>IFERROR((VLOOKUP($A514,'Dados StatusInvest'!$A:$AZ,COLUMN(U514)-$A$5,0)-VLOOKUP($A514,'Dados StatusInvest'!$A:$AZ,COLUMN(U514)-$A$5-1,0)+T514),0)</f>
        <v>-0.8508352144</v>
      </c>
      <c r="V514" s="56">
        <f>IFERROR((VLOOKUP($A514,'Dados StatusInvest'!$A:$AZ,COLUMN(V514)-$A$5,0)),0)</f>
        <v>1.28</v>
      </c>
      <c r="W514" s="56">
        <f>IFERROR((VLOOKUP($A514,'Dados StatusInvest'!$A:$AZ,COLUMN(W514)-$A$5,0)),0)</f>
        <v>17.71</v>
      </c>
      <c r="X514" s="53">
        <f>IFERROR((VLOOKUP($A514,'Dados StatusInvest'!$A:$AZ,COLUMN(X514)-$A$5,0)/VLOOKUP($A514,'Dados StatusInvest'!$A:$AZ,2,0)*$F514),0)</f>
        <v>8.070428894</v>
      </c>
      <c r="Y514" s="54">
        <f>IFERROR((VLOOKUP($A514,'Dados StatusInvest'!$A:$AZ,COLUMN(Y514)-$A$5,0)/VLOOKUP($A514,'Dados StatusInvest'!$A:$AZ,2,0)*$F514),0)</f>
        <v>11.9186456</v>
      </c>
      <c r="Z514" s="56">
        <f>IFERROR((VLOOKUP($A514,'Dados StatusInvest'!$A:$AZ,COLUMN(Z514)-$A$5,0)),0)</f>
        <v>0.46</v>
      </c>
      <c r="AA514" s="57">
        <f>IFERROR((VLOOKUP($A514,'Dados StatusInvest'!$A:$AZ,COLUMN(AA514)-$A$5,0)),0)</f>
        <v>0.54</v>
      </c>
      <c r="AB514" s="57">
        <f>IFERROR((VLOOKUP($A514,'Dados StatusInvest'!$A:$AZ,COLUMN(AB514)-$A$5,0)),0)</f>
        <v>0.27</v>
      </c>
      <c r="AC514" s="58">
        <f>IFERROR((VLOOKUP($A514,'Dados StatusInvest'!$A:$AZ,COLUMN(AC514)-$A$5,0)),0)</f>
        <v>7.71</v>
      </c>
      <c r="AD514" s="57">
        <f>IFERROR((VLOOKUP($A514,'Dados StatusInvest'!$A:$AZ,COLUMN(AD514)-$A$5,0)),0)</f>
        <v>14.56</v>
      </c>
      <c r="AE514" s="56">
        <f>IFERROR((VLOOKUP($A514,'Dados StatusInvest'!$A:$AZ,COLUMN(AE514)-$A$5,0)),0)</f>
        <v>10479448</v>
      </c>
      <c r="AF514" s="56">
        <f>IFERROR((VLOOKUP($A514,'Dados StatusInvest'!$A:$AZ,COLUMN(AF514)-$A$5,0)),0)</f>
        <v>7.96</v>
      </c>
      <c r="AG514" s="56">
        <f>IFERROR((VLOOKUP($A514,'Dados StatusInvest'!$A:$AZ,COLUMN(AG514)-$A$5,0)),0)</f>
        <v>1.41</v>
      </c>
      <c r="AH514" s="56">
        <f>IFERROR((VLOOKUP($A514,'Dados StatusInvest'!$A:$AZ,COLUMN(AH514)-$A$5,0)),0)</f>
        <v>0.15</v>
      </c>
      <c r="AI514" s="57">
        <f>IFERROR((VLOOKUP($A514,'Dados StatusInvest'!$A:$AZ,COLUMN(AI514)-$A$5,0)),0)</f>
        <v>14117681959</v>
      </c>
      <c r="AJ514" s="59" t="str">
        <f>IFERROR((VLOOKUP($A514,'Dados StatusInvest'!$A:$AZ,COLUMN(AJ514)-$A$5,0)),0)</f>
        <v/>
      </c>
      <c r="AK514" s="67">
        <f>IFERROR(__xludf.DUMMYFUNCTION("IFERROR(GOOGLEFINANCE($A514,""high""),"""")"),8.82)</f>
        <v>8.82</v>
      </c>
      <c r="AL514" s="67">
        <f>IFERROR(__xludf.DUMMYFUNCTION("IFERROR(GOOGLEFINANCE($A514,""low""),"""")"),8.68)</f>
        <v>8.68</v>
      </c>
      <c r="AM514" s="70">
        <f t="shared" si="2"/>
        <v>0.01612903226</v>
      </c>
      <c r="AN514" s="71">
        <f>IFERROR(__xludf.DUMMYFUNCTION("IFERROR((GOOGLEFINANCE($A514,""volume"")),0)"),57900.0)</f>
        <v>57900</v>
      </c>
      <c r="AO514" s="67">
        <f>IFERROR(__xludf.DUMMYFUNCTION("IFERROR((GOOGLEFINANCE($A514,""closeyest"")),"""")"),8.86)</f>
        <v>8.86</v>
      </c>
      <c r="AP514" s="67">
        <f>IFERROR(__xludf.DUMMYFUNCTION("IFERROR((GOOGLEFINANCE($A514,""shares"")),"""")"),1.00747026E9)</f>
        <v>1007470260</v>
      </c>
      <c r="AQ514" s="60"/>
    </row>
    <row r="515">
      <c r="A515" s="45" t="str">
        <f>'Dados StatusInvest'!A510:A1129</f>
        <v>SBFG3</v>
      </c>
      <c r="B515" s="63" t="str">
        <f>IFERROR(__xludf.DUMMYFUNCTION("IFERROR((GOOGLEFINANCE(A515,""name"")),"""")"),"Grupo SBF SA")</f>
        <v>Grupo SBF SA</v>
      </c>
      <c r="C515" s="63" t="str">
        <f>IFERROR((VLOOKUP(LEFT($A515,4),Setor!$A:$E,3,0)),"")</f>
        <v/>
      </c>
      <c r="D515" s="63" t="str">
        <f>IFERROR((VLOOKUP(LEFT($A515,4),Setor!$A:$E,4,0)),"")</f>
        <v/>
      </c>
      <c r="E515" s="63" t="str">
        <f>IFERROR((VLOOKUP(LEFT($A515,4),Setor!$A:$E,5,0)),"")</f>
        <v/>
      </c>
      <c r="F515" s="64">
        <f>IFERROR(__xludf.DUMMYFUNCTION("IFERROR((GOOGLEFINANCE(A515)),"""")"),12.4)</f>
        <v>12.4</v>
      </c>
      <c r="G515" s="65" t="str">
        <f>IFERROR(__xludf.DUMMYFUNCTION("IFERROR((sparkline(GOOGLEFINANCE($A515,""price"",TODAY()-30,TODAY(),""DAILY""),{""charttype"",""line"";""linewidth"",1;""color"",""#5f88cc""})),"""")"),"")</f>
        <v/>
      </c>
      <c r="H515" s="66">
        <f>IFERROR(__xludf.DUMMYFUNCTION("IFERROR((((GOOGLEFINANCE(A515))-(INDEX(GoogleFinance(A515,""PRICE"",$AQ$1),2,2)))/(INDEX(GoogleFinance(A515,""PRICE"",$AQ$1),2,2))),"""")"),-0.10598413842826236)</f>
        <v>-0.1059841384</v>
      </c>
      <c r="I515" s="47">
        <f>IFERROR(__xludf.DUMMYFUNCTION("IFERROR((GOOGLEFINANCE($A515,""high52"")),"""")"),16.0)</f>
        <v>16</v>
      </c>
      <c r="J515" s="68" t="str">
        <f>IFERROR(__xludf.DUMMYFUNCTION("IFERROR((sparkline(GOOGLEFINANCE($A515,""price"",TODAY()-365,TODAY(),""DAILY""),{""charttype"",""line"";""linewidth"",1;""color"",""#5f88cc""})),"""")"),"")</f>
        <v/>
      </c>
      <c r="K515" s="66">
        <f>IFERROR(__xludf.DUMMYFUNCTION("IFERROR((((GOOGLEFINANCE(A515))-(INDEX(GoogleFinance(A515,""PRICE"",$AP$1),2,2)))/(INDEX(GoogleFinance(A515,""PRICE"",$AP$1),2,2))),"""")"),0.14075436982520712)</f>
        <v>0.1407543698</v>
      </c>
      <c r="L515" s="69">
        <f t="shared" si="1"/>
        <v>-0.225</v>
      </c>
      <c r="M515" s="52">
        <f>IFERROR((VLOOKUP($A515,'Dados StatusInvest'!$A:$AZ,COLUMN(M515)-$A$5,0)*VLOOKUP($A515,'Dados StatusInvest'!$A:$AZ,2,0)/$F515/100),0)</f>
        <v>0.07382419355</v>
      </c>
      <c r="N515" s="53">
        <f>IFERROR((VLOOKUP($A515,'Dados StatusInvest'!$A:$AZ,COLUMN(N515)-$A$5,0)/VLOOKUP($A515,'Dados StatusInvest'!$A:$AZ,2,0)*$F515),"")</f>
        <v>4.429984051</v>
      </c>
      <c r="O515" s="53">
        <f>IFERROR((VLOOKUP($A515,'Dados StatusInvest'!$A:$AZ,COLUMN(O515)-$A$5,0)/VLOOKUP($A515,'Dados StatusInvest'!$A:$AZ,2,0)*$F515),0)</f>
        <v>5.547368421</v>
      </c>
      <c r="P515" s="54">
        <f>IFERROR((VLOOKUP($A515,'Dados StatusInvest'!$A:$AZ,COLUMN(P515)-$A$5,0)/VLOOKUP($A515,'Dados StatusInvest'!$A:$AZ,2,0)*$F515),0)</f>
        <v>9.641148325</v>
      </c>
      <c r="Q515" s="55">
        <f>IFERROR((VLOOKUP($A515,'Dados StatusInvest'!$A:$AZ,COLUMN(Q515)-$A$5,0)/100),0)</f>
        <v>0.0413</v>
      </c>
      <c r="R515" s="56">
        <f>VLOOKUP($A515,'Dados StatusInvest'!$A:$AZ,COLUMN(R515)-$A$5,0)</f>
        <v>0.76</v>
      </c>
      <c r="S515" s="56">
        <f>IFERROR((VLOOKUP($A515,'Dados StatusInvest'!$A:$AZ,COLUMN(S515)-$A$5,0)),0)</f>
        <v>0.41</v>
      </c>
      <c r="T515" s="53">
        <f>IFERROR((VLOOKUP($A515,'Dados StatusInvest'!$A:$AZ,COLUMN(T515)-$A$5,0)/VLOOKUP($A515,'Dados StatusInvest'!$A:$AZ,2,0)*$F515),0)</f>
        <v>2.086443381</v>
      </c>
      <c r="U515" s="53">
        <f>IFERROR((VLOOKUP($A515,'Dados StatusInvest'!$A:$AZ,COLUMN(U515)-$A$5,0)-VLOOKUP($A515,'Dados StatusInvest'!$A:$AZ,COLUMN(U515)-$A$5-1,0)+T515),0)</f>
        <v>-0.7435566188</v>
      </c>
      <c r="V515" s="56">
        <f>IFERROR((VLOOKUP($A515,'Dados StatusInvest'!$A:$AZ,COLUMN(V515)-$A$5,0)),0)</f>
        <v>1.44</v>
      </c>
      <c r="W515" s="56">
        <f>IFERROR((VLOOKUP($A515,'Dados StatusInvest'!$A:$AZ,COLUMN(W515)-$A$5,0)),0)</f>
        <v>11.26</v>
      </c>
      <c r="X515" s="53">
        <f>IFERROR((VLOOKUP($A515,'Dados StatusInvest'!$A:$AZ,COLUMN(X515)-$A$5,0)/VLOOKUP($A515,'Dados StatusInvest'!$A:$AZ,2,0)*$F515),0)</f>
        <v>3.658692185</v>
      </c>
      <c r="Y515" s="54">
        <f>IFERROR((VLOOKUP($A515,'Dados StatusInvest'!$A:$AZ,COLUMN(Y515)-$A$5,0)/VLOOKUP($A515,'Dados StatusInvest'!$A:$AZ,2,0)*$F515),0)</f>
        <v>8.464433812</v>
      </c>
      <c r="Z515" s="56">
        <f>IFERROR((VLOOKUP($A515,'Dados StatusInvest'!$A:$AZ,COLUMN(Z515)-$A$5,0)),0)</f>
        <v>0.33</v>
      </c>
      <c r="AA515" s="57">
        <f>IFERROR((VLOOKUP($A515,'Dados StatusInvest'!$A:$AZ,COLUMN(AA515)-$A$5,0)),0)</f>
        <v>0.67</v>
      </c>
      <c r="AB515" s="57">
        <f>IFERROR((VLOOKUP($A515,'Dados StatusInvest'!$A:$AZ,COLUMN(AB515)-$A$5,0)),0)</f>
        <v>0.82</v>
      </c>
      <c r="AC515" s="58">
        <f>IFERROR((VLOOKUP($A515,'Dados StatusInvest'!$A:$AZ,COLUMN(AC515)-$A$5,0)),0)</f>
        <v>22.95</v>
      </c>
      <c r="AD515" s="57">
        <f>IFERROR((VLOOKUP($A515,'Dados StatusInvest'!$A:$AZ,COLUMN(AD515)-$A$5,0)),0)</f>
        <v>1.58</v>
      </c>
      <c r="AE515" s="56">
        <f>IFERROR((VLOOKUP($A515,'Dados StatusInvest'!$A:$AZ,COLUMN(AE515)-$A$5,0)),0)</f>
        <v>33219934</v>
      </c>
      <c r="AF515" s="56">
        <f>IFERROR((VLOOKUP($A515,'Dados StatusInvest'!$A:$AZ,COLUMN(AF515)-$A$5,0)),0)</f>
        <v>12.18</v>
      </c>
      <c r="AG515" s="56">
        <f>IFERROR((VLOOKUP($A515,'Dados StatusInvest'!$A:$AZ,COLUMN(AG515)-$A$5,0)),0)</f>
        <v>1.37</v>
      </c>
      <c r="AH515" s="56">
        <f>IFERROR((VLOOKUP($A515,'Dados StatusInvest'!$A:$AZ,COLUMN(AH515)-$A$5,0)),0)</f>
        <v>-0.25</v>
      </c>
      <c r="AI515" s="57">
        <f>IFERROR((VLOOKUP($A515,'Dados StatusInvest'!$A:$AZ,COLUMN(AI515)-$A$5,0)),0)</f>
        <v>3066723838</v>
      </c>
      <c r="AJ515" s="59" t="str">
        <f>IFERROR((VLOOKUP($A515,'Dados StatusInvest'!$A:$AZ,COLUMN(AJ515)-$A$5,0)),0)</f>
        <v/>
      </c>
      <c r="AK515" s="67">
        <f>IFERROR(__xludf.DUMMYFUNCTION("IFERROR(GOOGLEFINANCE($A515,""high""),"""")"),12.54)</f>
        <v>12.54</v>
      </c>
      <c r="AL515" s="67">
        <f>IFERROR(__xludf.DUMMYFUNCTION("IFERROR(GOOGLEFINANCE($A515,""low""),"""")"),12.35)</f>
        <v>12.35</v>
      </c>
      <c r="AM515" s="70">
        <f t="shared" si="2"/>
        <v>0.01538461538</v>
      </c>
      <c r="AN515" s="71">
        <f>IFERROR(__xludf.DUMMYFUNCTION("IFERROR((GOOGLEFINANCE($A515,""volume"")),0)"),58300.0)</f>
        <v>58300</v>
      </c>
      <c r="AO515" s="67">
        <f>IFERROR(__xludf.DUMMYFUNCTION("IFERROR((GOOGLEFINANCE($A515,""closeyest"")),"""")"),12.54)</f>
        <v>12.54</v>
      </c>
      <c r="AP515" s="67">
        <f>IFERROR(__xludf.DUMMYFUNCTION("IFERROR((GOOGLEFINANCE($A515,""shares"")),"""")"),2.4455533E8)</f>
        <v>244555330</v>
      </c>
      <c r="AQ515" s="60"/>
    </row>
    <row r="516">
      <c r="A516" s="45" t="str">
        <f>'Dados StatusInvest'!A511:A1130</f>
        <v>SBSP3</v>
      </c>
      <c r="B516" s="63" t="str">
        <f>IFERROR(__xludf.DUMMYFUNCTION("IFERROR((GOOGLEFINANCE(A516,""name"")),"""")"),"Cia Saneamento Basico Est Sao Paulo Cedear")</f>
        <v>Cia Saneamento Basico Est Sao Paulo Cedear</v>
      </c>
      <c r="C516" s="63" t="str">
        <f>IFERROR((VLOOKUP(LEFT($A516,4),Setor!$A:$E,3,0)),"")</f>
        <v>Utilidade Pública</v>
      </c>
      <c r="D516" s="63" t="str">
        <f>IFERROR((VLOOKUP(LEFT($A516,4),Setor!$A:$E,4,0)),"")</f>
        <v>Água e Saneamento</v>
      </c>
      <c r="E516" s="63" t="str">
        <f>IFERROR((VLOOKUP(LEFT($A516,4),Setor!$A:$E,5,0)),"")</f>
        <v>Água e Saneamento</v>
      </c>
      <c r="F516" s="64">
        <f>IFERROR(__xludf.DUMMYFUNCTION("IFERROR((GOOGLEFINANCE(A516)),"""")"),42640.0)</f>
        <v>42640</v>
      </c>
      <c r="G516" s="65" t="str">
        <f>IFERROR(__xludf.DUMMYFUNCTION("IFERROR((sparkline(GOOGLEFINANCE($A516,""price"",TODAY()-30,TODAY(),""DAILY""),{""charttype"",""line"";""linewidth"",1;""color"",""#5f88cc""})),"""")"),"")</f>
        <v/>
      </c>
      <c r="H516" s="66">
        <f>IFERROR(__xludf.DUMMYFUNCTION("IFERROR((((GOOGLEFINANCE(A516))-(INDEX(GoogleFinance(A516,""PRICE"",$AQ$1),2,2)))/(INDEX(GoogleFinance(A516,""PRICE"",$AQ$1),2,2))),"""")"),0.13949759486905397)</f>
        <v>0.1394975949</v>
      </c>
      <c r="I516" s="47">
        <f>IFERROR(__xludf.DUMMYFUNCTION("IFERROR((GOOGLEFINANCE($A516,""high52"")),"""")"),44080.0)</f>
        <v>44080</v>
      </c>
      <c r="J516" s="68" t="str">
        <f>IFERROR(__xludf.DUMMYFUNCTION("IFERROR((sparkline(GOOGLEFINANCE($A516,""price"",TODAY()-365,TODAY(),""DAILY""),{""charttype"",""line"";""linewidth"",1;""color"",""#5f88cc""})),"""")"),"")</f>
        <v/>
      </c>
      <c r="K516" s="66">
        <f>IFERROR(__xludf.DUMMYFUNCTION("IFERROR((((GOOGLEFINANCE(A516))-(INDEX(GoogleFinance(A516,""PRICE"",$AP$1),2,2)))/(INDEX(GoogleFinance(A516,""PRICE"",$AP$1),2,2))),"""")"),1.0208530805687204)</f>
        <v>1.020853081</v>
      </c>
      <c r="L516" s="69">
        <f t="shared" si="1"/>
        <v>-0.03266787659</v>
      </c>
      <c r="M516" s="52">
        <f>IFERROR((VLOOKUP($A516,'Dados StatusInvest'!$A:$AZ,COLUMN(M516)-$A$5,0)*VLOOKUP($A516,'Dados StatusInvest'!$A:$AZ,2,0)/$F516/100),0)</f>
        <v>0.001090624695</v>
      </c>
      <c r="N516" s="53">
        <f>IFERROR((VLOOKUP($A516,'Dados StatusInvest'!$A:$AZ,COLUMN(N516)-$A$5,0)/VLOOKUP($A516,'Dados StatusInvest'!$A:$AZ,2,0)*$F516),"")</f>
        <v>5779.57663</v>
      </c>
      <c r="O516" s="53">
        <f>IFERROR((VLOOKUP($A516,'Dados StatusInvest'!$A:$AZ,COLUMN(O516)-$A$5,0)/VLOOKUP($A516,'Dados StatusInvest'!$A:$AZ,2,0)*$F516),0)</f>
        <v>2857.84928</v>
      </c>
      <c r="P516" s="54">
        <f>IFERROR((VLOOKUP($A516,'Dados StatusInvest'!$A:$AZ,COLUMN(P516)-$A$5,0)/VLOOKUP($A516,'Dados StatusInvest'!$A:$AZ,2,0)*$F516),0)</f>
        <v>3474.411516</v>
      </c>
      <c r="Q516" s="55">
        <f>IFERROR((VLOOKUP($A516,'Dados StatusInvest'!$A:$AZ,COLUMN(Q516)-$A$5,0)/100),0)</f>
        <v>0.0222</v>
      </c>
      <c r="R516" s="56">
        <f>VLOOKUP($A516,'Dados StatusInvest'!$A:$AZ,COLUMN(R516)-$A$5,0)</f>
        <v>0.54</v>
      </c>
      <c r="S516" s="56">
        <f>IFERROR((VLOOKUP($A516,'Dados StatusInvest'!$A:$AZ,COLUMN(S516)-$A$5,0)),0)</f>
        <v>3.12</v>
      </c>
      <c r="T516" s="53">
        <f>IFERROR((VLOOKUP($A516,'Dados StatusInvest'!$A:$AZ,COLUMN(T516)-$A$5,0)/VLOOKUP($A516,'Dados StatusInvest'!$A:$AZ,2,0)*$F516),0)</f>
        <v>11972.97206</v>
      </c>
      <c r="U516" s="53">
        <f>IFERROR((VLOOKUP($A516,'Dados StatusInvest'!$A:$AZ,COLUMN(U516)-$A$5,0)-VLOOKUP($A516,'Dados StatusInvest'!$A:$AZ,COLUMN(U516)-$A$5-1,0)+T516),0)</f>
        <v>11928.49206</v>
      </c>
      <c r="V516" s="56">
        <f>IFERROR((VLOOKUP($A516,'Dados StatusInvest'!$A:$AZ,COLUMN(V516)-$A$5,0)),0)</f>
        <v>1.17</v>
      </c>
      <c r="W516" s="56">
        <f>IFERROR((VLOOKUP($A516,'Dados StatusInvest'!$A:$AZ,COLUMN(W516)-$A$5,0)),0)</f>
        <v>16.88</v>
      </c>
      <c r="X516" s="53">
        <f>IFERROR((VLOOKUP($A516,'Dados StatusInvest'!$A:$AZ,COLUMN(X516)-$A$5,0)/VLOOKUP($A516,'Dados StatusInvest'!$A:$AZ,2,0)*$F516),0)</f>
        <v>2085.757832</v>
      </c>
      <c r="Y516" s="54">
        <f>IFERROR((VLOOKUP($A516,'Dados StatusInvest'!$A:$AZ,COLUMN(Y516)-$A$5,0)/VLOOKUP($A516,'Dados StatusInvest'!$A:$AZ,2,0)*$F516),0)</f>
        <v>1724.707875</v>
      </c>
      <c r="Z516" s="56">
        <f>IFERROR((VLOOKUP($A516,'Dados StatusInvest'!$A:$AZ,COLUMN(Z516)-$A$5,0)),0)</f>
        <v>0.44</v>
      </c>
      <c r="AA516" s="57">
        <f>IFERROR((VLOOKUP($A516,'Dados StatusInvest'!$A:$AZ,COLUMN(AA516)-$A$5,0)),0)</f>
        <v>0.56</v>
      </c>
      <c r="AB516" s="57">
        <f>IFERROR((VLOOKUP($A516,'Dados StatusInvest'!$A:$AZ,COLUMN(AB516)-$A$5,0)),0)</f>
        <v>0.36</v>
      </c>
      <c r="AC516" s="58">
        <f>IFERROR((VLOOKUP($A516,'Dados StatusInvest'!$A:$AZ,COLUMN(AC516)-$A$5,0)),0)</f>
        <v>14.98</v>
      </c>
      <c r="AD516" s="57">
        <f>IFERROR((VLOOKUP($A516,'Dados StatusInvest'!$A:$AZ,COLUMN(AD516)-$A$5,0)),0)</f>
        <v>16.45</v>
      </c>
      <c r="AE516" s="56">
        <f>IFERROR((VLOOKUP($A516,'Dados StatusInvest'!$A:$AZ,COLUMN(AE516)-$A$5,0)),0)</f>
        <v>468000000</v>
      </c>
      <c r="AF516" s="56">
        <f>IFERROR((VLOOKUP($A516,'Dados StatusInvest'!$A:$AZ,COLUMN(AF516)-$A$5,0)),0)</f>
        <v>60.69</v>
      </c>
      <c r="AG516" s="56">
        <f>IFERROR((VLOOKUP($A516,'Dados StatusInvest'!$A:$AZ,COLUMN(AG516)-$A$5,0)),0)</f>
        <v>10.25</v>
      </c>
      <c r="AH516" s="56">
        <f>IFERROR((VLOOKUP($A516,'Dados StatusInvest'!$A:$AZ,COLUMN(AH516)-$A$5,0)),0)</f>
        <v>-0.66</v>
      </c>
      <c r="AI516" s="57">
        <f>IFERROR((VLOOKUP($A516,'Dados StatusInvest'!$A:$AZ,COLUMN(AI516)-$A$5,0)),0)</f>
        <v>108050000000</v>
      </c>
      <c r="AJ516" s="59" t="str">
        <f>IFERROR((VLOOKUP($A516,'Dados StatusInvest'!$A:$AZ,COLUMN(AJ516)-$A$5,0)),0)</f>
        <v/>
      </c>
      <c r="AK516" s="67" t="str">
        <f>IFERROR(__xludf.DUMMYFUNCTION("IFERROR(GOOGLEFINANCE($A516,""high""),"""")"),"")</f>
        <v/>
      </c>
      <c r="AL516" s="67" t="str">
        <f>IFERROR(__xludf.DUMMYFUNCTION("IFERROR(GOOGLEFINANCE($A516,""low""),"""")"),"")</f>
        <v/>
      </c>
      <c r="AM516" s="70">
        <f t="shared" si="2"/>
        <v>0</v>
      </c>
      <c r="AN516" s="71">
        <f>IFERROR(__xludf.DUMMYFUNCTION("IFERROR((GOOGLEFINANCE($A516,""volume"")),0)"),0.0)</f>
        <v>0</v>
      </c>
      <c r="AO516" s="67">
        <f>IFERROR(__xludf.DUMMYFUNCTION("IFERROR((GOOGLEFINANCE($A516,""closeyest"")),"""")"),42640.0)</f>
        <v>42640</v>
      </c>
      <c r="AP516" s="67" t="str">
        <f>IFERROR(__xludf.DUMMYFUNCTION("IFERROR((GOOGLEFINANCE($A516,""shares"")),"""")"),"")</f>
        <v/>
      </c>
      <c r="AQ516" s="60"/>
    </row>
    <row r="517">
      <c r="A517" s="45" t="str">
        <f>'Dados StatusInvest'!A512:A1131</f>
        <v>SCAR3</v>
      </c>
      <c r="B517" s="63" t="str">
        <f>IFERROR(__xludf.DUMMYFUNCTION("IFERROR((GOOGLEFINANCE(A517,""name"")),"""")"),"Sao Carlos Empreendimentos e Part. SA")</f>
        <v>Sao Carlos Empreendimentos e Part. SA</v>
      </c>
      <c r="C517" s="63" t="str">
        <f>IFERROR((VLOOKUP(LEFT($A517,4),Setor!$A:$E,3,0)),"")</f>
        <v>Financeiro</v>
      </c>
      <c r="D517" s="63" t="str">
        <f>IFERROR((VLOOKUP(LEFT($A517,4),Setor!$A:$E,4,0)),"")</f>
        <v>Exploração de Imóveis</v>
      </c>
      <c r="E517" s="63" t="str">
        <f>IFERROR((VLOOKUP(LEFT($A517,4),Setor!$A:$E,5,0)),"")</f>
        <v>Exploração de Imóveis</v>
      </c>
      <c r="F517" s="64">
        <f>IFERROR(__xludf.DUMMYFUNCTION("IFERROR((GOOGLEFINANCE(A517)),"""")"),15.25)</f>
        <v>15.25</v>
      </c>
      <c r="G517" s="65" t="str">
        <f>IFERROR(__xludf.DUMMYFUNCTION("IFERROR((sparkline(GOOGLEFINANCE($A517,""price"",TODAY()-30,TODAY(),""DAILY""),{""charttype"",""line"";""linewidth"",1;""color"",""#5f88cc""})),"""")"),"")</f>
        <v/>
      </c>
      <c r="H517" s="66">
        <f>IFERROR(__xludf.DUMMYFUNCTION("IFERROR((((GOOGLEFINANCE(A517))-(INDEX(GoogleFinance(A517,""PRICE"",$AQ$1),2,2)))/(INDEX(GoogleFinance(A517,""PRICE"",$AQ$1),2,2))),"""")"),0.08773181169757492)</f>
        <v>0.0877318117</v>
      </c>
      <c r="I517" s="47">
        <f>IFERROR(__xludf.DUMMYFUNCTION("IFERROR((GOOGLEFINANCE($A517,""high52"")),"""")"),21.51)</f>
        <v>21.51</v>
      </c>
      <c r="J517" s="68" t="str">
        <f>IFERROR(__xludf.DUMMYFUNCTION("IFERROR((sparkline(GOOGLEFINANCE($A517,""price"",TODAY()-365,TODAY(),""DAILY""),{""charttype"",""line"";""linewidth"",1;""color"",""#5f88cc""})),"""")"),"")</f>
        <v/>
      </c>
      <c r="K517" s="66">
        <f>IFERROR(__xludf.DUMMYFUNCTION("IFERROR((((GOOGLEFINANCE(A517))-(INDEX(GoogleFinance(A517,""PRICE"",$AP$1),2,2)))/(INDEX(GoogleFinance(A517,""PRICE"",$AP$1),2,2))),"""")"),-0.11594202898550725)</f>
        <v>-0.115942029</v>
      </c>
      <c r="L517" s="69">
        <f t="shared" si="1"/>
        <v>-0.2910274291</v>
      </c>
      <c r="M517" s="52">
        <f>IFERROR((VLOOKUP($A517,'Dados StatusInvest'!$A:$AZ,COLUMN(M517)-$A$5,0)*VLOOKUP($A517,'Dados StatusInvest'!$A:$AZ,2,0)/$F517/100),0)</f>
        <v>0.180107541</v>
      </c>
      <c r="N517" s="53">
        <f>IFERROR((VLOOKUP($A517,'Dados StatusInvest'!$A:$AZ,COLUMN(N517)-$A$5,0)/VLOOKUP($A517,'Dados StatusInvest'!$A:$AZ,2,0)*$F517),"")</f>
        <v>-15.46069079</v>
      </c>
      <c r="O517" s="53">
        <f>IFERROR((VLOOKUP($A517,'Dados StatusInvest'!$A:$AZ,COLUMN(O517)-$A$5,0)/VLOOKUP($A517,'Dados StatusInvest'!$A:$AZ,2,0)*$F517),0)</f>
        <v>12.28026316</v>
      </c>
      <c r="P517" s="54">
        <f>IFERROR((VLOOKUP($A517,'Dados StatusInvest'!$A:$AZ,COLUMN(P517)-$A$5,0)/VLOOKUP($A517,'Dados StatusInvest'!$A:$AZ,2,0)*$F517),0)</f>
        <v>22.71447368</v>
      </c>
      <c r="Q517" s="55">
        <f>IFERROR((VLOOKUP($A517,'Dados StatusInvest'!$A:$AZ,COLUMN(Q517)-$A$5,0)/100),0)</f>
        <v>0.1041</v>
      </c>
      <c r="R517" s="56">
        <f>VLOOKUP($A517,'Dados StatusInvest'!$A:$AZ,COLUMN(R517)-$A$5,0)</f>
        <v>0.5</v>
      </c>
      <c r="S517" s="56">
        <f>IFERROR((VLOOKUP($A517,'Dados StatusInvest'!$A:$AZ,COLUMN(S517)-$A$5,0)),0)</f>
        <v>2.21</v>
      </c>
      <c r="T517" s="53">
        <f>IFERROR((VLOOKUP($A517,'Dados StatusInvest'!$A:$AZ,COLUMN(T517)-$A$5,0)/VLOOKUP($A517,'Dados StatusInvest'!$A:$AZ,2,0)*$F517),0)</f>
        <v>1.715625</v>
      </c>
      <c r="U517" s="53">
        <f>IFERROR((VLOOKUP($A517,'Dados StatusInvest'!$A:$AZ,COLUMN(U517)-$A$5,0)-VLOOKUP($A517,'Dados StatusInvest'!$A:$AZ,COLUMN(U517)-$A$5-1,0)+T517),0)</f>
        <v>-0.404375</v>
      </c>
      <c r="V517" s="56">
        <f>IFERROR((VLOOKUP($A517,'Dados StatusInvest'!$A:$AZ,COLUMN(V517)-$A$5,0)),0)</f>
        <v>3.3</v>
      </c>
      <c r="W517" s="56">
        <f>IFERROR((VLOOKUP($A517,'Dados StatusInvest'!$A:$AZ,COLUMN(W517)-$A$5,0)),0)</f>
        <v>-4.06</v>
      </c>
      <c r="X517" s="53">
        <f>IFERROR((VLOOKUP($A517,'Dados StatusInvest'!$A:$AZ,COLUMN(X517)-$A$5,0)/VLOOKUP($A517,'Dados StatusInvest'!$A:$AZ,2,0)*$F517),0)</f>
        <v>-2.137006579</v>
      </c>
      <c r="Y517" s="54">
        <f>IFERROR((VLOOKUP($A517,'Dados StatusInvest'!$A:$AZ,COLUMN(Y517)-$A$5,0)/VLOOKUP($A517,'Dados StatusInvest'!$A:$AZ,2,0)*$F517),0)</f>
        <v>1.755756579</v>
      </c>
      <c r="Z517" s="56">
        <f>IFERROR((VLOOKUP($A517,'Dados StatusInvest'!$A:$AZ,COLUMN(Z517)-$A$5,0)),0)</f>
        <v>0.52</v>
      </c>
      <c r="AA517" s="57">
        <f>IFERROR((VLOOKUP($A517,'Dados StatusInvest'!$A:$AZ,COLUMN(AA517)-$A$5,0)),0)</f>
        <v>0.47</v>
      </c>
      <c r="AB517" s="57">
        <f>IFERROR((VLOOKUP($A517,'Dados StatusInvest'!$A:$AZ,COLUMN(AB517)-$A$5,0)),0)</f>
        <v>0.14</v>
      </c>
      <c r="AC517" s="58">
        <f>IFERROR((VLOOKUP($A517,'Dados StatusInvest'!$A:$AZ,COLUMN(AC517)-$A$5,0)),0)</f>
        <v>6.45</v>
      </c>
      <c r="AD517" s="57">
        <f>IFERROR((VLOOKUP($A517,'Dados StatusInvest'!$A:$AZ,COLUMN(AD517)-$A$5,0)),0)</f>
        <v>0</v>
      </c>
      <c r="AE517" s="56">
        <f>IFERROR((VLOOKUP($A517,'Dados StatusInvest'!$A:$AZ,COLUMN(AE517)-$A$5,0)),0)</f>
        <v>755916</v>
      </c>
      <c r="AF517" s="56">
        <f>IFERROR((VLOOKUP($A517,'Dados StatusInvest'!$A:$AZ,COLUMN(AF517)-$A$5,0)),0)</f>
        <v>26.06</v>
      </c>
      <c r="AG517" s="56">
        <f>IFERROR((VLOOKUP($A517,'Dados StatusInvest'!$A:$AZ,COLUMN(AG517)-$A$5,0)),0)</f>
        <v>-1.06</v>
      </c>
      <c r="AH517" s="56">
        <f>IFERROR((VLOOKUP($A517,'Dados StatusInvest'!$A:$AZ,COLUMN(AH517)-$A$5,0)),0)</f>
        <v>0.12</v>
      </c>
      <c r="AI517" s="57">
        <f>IFERROR((VLOOKUP($A517,'Dados StatusInvest'!$A:$AZ,COLUMN(AI517)-$A$5,0)),0)</f>
        <v>877607248.8</v>
      </c>
      <c r="AJ517" s="59" t="str">
        <f>IFERROR((VLOOKUP($A517,'Dados StatusInvest'!$A:$AZ,COLUMN(AJ517)-$A$5,0)),0)</f>
        <v/>
      </c>
      <c r="AK517" s="67">
        <f>IFERROR(__xludf.DUMMYFUNCTION("IFERROR(GOOGLEFINANCE($A517,""high""),"""")"),15.25)</f>
        <v>15.25</v>
      </c>
      <c r="AL517" s="67">
        <f>IFERROR(__xludf.DUMMYFUNCTION("IFERROR(GOOGLEFINANCE($A517,""low""),"""")"),15.22)</f>
        <v>15.22</v>
      </c>
      <c r="AM517" s="70">
        <f t="shared" si="2"/>
        <v>0.00197109067</v>
      </c>
      <c r="AN517" s="71">
        <f>IFERROR(__xludf.DUMMYFUNCTION("IFERROR((GOOGLEFINANCE($A517,""volume"")),0)"),1300.0)</f>
        <v>1300</v>
      </c>
      <c r="AO517" s="67">
        <f>IFERROR(__xludf.DUMMYFUNCTION("IFERROR((GOOGLEFINANCE($A517,""closeyest"")),"""")"),15.2)</f>
        <v>15.2</v>
      </c>
      <c r="AP517" s="67">
        <f>IFERROR(__xludf.DUMMYFUNCTION("IFERROR((GOOGLEFINANCE($A517,""shares"")),"""")"),5.7737319E7)</f>
        <v>57737319</v>
      </c>
      <c r="AQ517" s="60"/>
    </row>
    <row r="518">
      <c r="A518" s="45" t="str">
        <f>'Dados StatusInvest'!A513:A1132</f>
        <v>SEDU3</v>
      </c>
      <c r="B518" s="63" t="str">
        <f>IFERROR(__xludf.DUMMYFUNCTION("IFERROR((GOOGLEFINANCE(A518,""name"")),"""")"),"")</f>
        <v/>
      </c>
      <c r="C518" s="63" t="str">
        <f>IFERROR((VLOOKUP(LEFT($A518,4),Setor!$A:$E,3,0)),"")</f>
        <v/>
      </c>
      <c r="D518" s="63" t="str">
        <f>IFERROR((VLOOKUP(LEFT($A518,4),Setor!$A:$E,4,0)),"")</f>
        <v/>
      </c>
      <c r="E518" s="63" t="str">
        <f>IFERROR((VLOOKUP(LEFT($A518,4),Setor!$A:$E,5,0)),"")</f>
        <v/>
      </c>
      <c r="F518" s="64" t="str">
        <f>IFERROR(__xludf.DUMMYFUNCTION("IFERROR((GOOGLEFINANCE(A518)),"""")"),"")</f>
        <v/>
      </c>
      <c r="G518" s="65" t="str">
        <f>IFERROR(__xludf.DUMMYFUNCTION("IFERROR((sparkline(GOOGLEFINANCE($A518,""price"",TODAY()-30,TODAY(),""DAILY""),{""charttype"",""line"";""linewidth"",1;""color"",""#5f88cc""})),"""")"),"")</f>
        <v/>
      </c>
      <c r="H518" s="66" t="str">
        <f>IFERROR(__xludf.DUMMYFUNCTION("IFERROR((((GOOGLEFINANCE(A518))-(INDEX(GoogleFinance(A518,""PRICE"",$AQ$1),2,2)))/(INDEX(GoogleFinance(A518,""PRICE"",$AQ$1),2,2))),"""")"),"")</f>
        <v/>
      </c>
      <c r="I518" s="47" t="str">
        <f>IFERROR(__xludf.DUMMYFUNCTION("IFERROR((GOOGLEFINANCE($A518,""high52"")),"""")"),"")</f>
        <v/>
      </c>
      <c r="J518" s="68" t="str">
        <f>IFERROR(__xludf.DUMMYFUNCTION("IFERROR((sparkline(GOOGLEFINANCE($A518,""price"",TODAY()-365,TODAY(),""DAILY""),{""charttype"",""line"";""linewidth"",1;""color"",""#5f88cc""})),"""")"),"")</f>
        <v/>
      </c>
      <c r="K518" s="66" t="str">
        <f>IFERROR(__xludf.DUMMYFUNCTION("IFERROR((((GOOGLEFINANCE(A518))-(INDEX(GoogleFinance(A518,""PRICE"",$AP$1),2,2)))/(INDEX(GoogleFinance(A518,""PRICE"",$AP$1),2,2))),"""")"),"")</f>
        <v/>
      </c>
      <c r="L518" s="69">
        <f t="shared" si="1"/>
        <v>0</v>
      </c>
      <c r="M518" s="52">
        <f>IFERROR((VLOOKUP($A518,'Dados StatusInvest'!$A:$AZ,COLUMN(M518)-$A$5,0)*VLOOKUP($A518,'Dados StatusInvest'!$A:$AZ,2,0)/$F518/100),0)</f>
        <v>0</v>
      </c>
      <c r="N518" s="53">
        <f>IFERROR((VLOOKUP($A518,'Dados StatusInvest'!$A:$AZ,COLUMN(N518)-$A$5,0)/VLOOKUP($A518,'Dados StatusInvest'!$A:$AZ,2,0)*$F518),"")</f>
        <v>0</v>
      </c>
      <c r="O518" s="53">
        <f>IFERROR((VLOOKUP($A518,'Dados StatusInvest'!$A:$AZ,COLUMN(O518)-$A$5,0)/VLOOKUP($A518,'Dados StatusInvest'!$A:$AZ,2,0)*$F518),0)</f>
        <v>0</v>
      </c>
      <c r="P518" s="54">
        <f>IFERROR((VLOOKUP($A518,'Dados StatusInvest'!$A:$AZ,COLUMN(P518)-$A$5,0)/VLOOKUP($A518,'Dados StatusInvest'!$A:$AZ,2,0)*$F518),0)</f>
        <v>0</v>
      </c>
      <c r="Q518" s="55">
        <f>IFERROR((VLOOKUP($A518,'Dados StatusInvest'!$A:$AZ,COLUMN(Q518)-$A$5,0)/100),0)</f>
        <v>-0.0605</v>
      </c>
      <c r="R518" s="56">
        <f>VLOOKUP($A518,'Dados StatusInvest'!$A:$AZ,COLUMN(R518)-$A$5,0)</f>
        <v>4.15</v>
      </c>
      <c r="S518" s="56">
        <f>IFERROR((VLOOKUP($A518,'Dados StatusInvest'!$A:$AZ,COLUMN(S518)-$A$5,0)),0)</f>
        <v>3.44</v>
      </c>
      <c r="T518" s="53">
        <f>IFERROR((VLOOKUP($A518,'Dados StatusInvest'!$A:$AZ,COLUMN(T518)-$A$5,0)/VLOOKUP($A518,'Dados StatusInvest'!$A:$AZ,2,0)*$F518),0)</f>
        <v>0</v>
      </c>
      <c r="U518" s="53">
        <f>IFERROR((VLOOKUP($A518,'Dados StatusInvest'!$A:$AZ,COLUMN(U518)-$A$5,0)-VLOOKUP($A518,'Dados StatusInvest'!$A:$AZ,COLUMN(U518)-$A$5-1,0)+T518),0)</f>
        <v>-60.17</v>
      </c>
      <c r="V518" s="56">
        <f>IFERROR((VLOOKUP($A518,'Dados StatusInvest'!$A:$AZ,COLUMN(V518)-$A$5,0)),0)</f>
        <v>1.09</v>
      </c>
      <c r="W518" s="56">
        <f>IFERROR((VLOOKUP($A518,'Dados StatusInvest'!$A:$AZ,COLUMN(W518)-$A$5,0)),0)</f>
        <v>-112.29</v>
      </c>
      <c r="X518" s="53">
        <f>IFERROR((VLOOKUP($A518,'Dados StatusInvest'!$A:$AZ,COLUMN(X518)-$A$5,0)/VLOOKUP($A518,'Dados StatusInvest'!$A:$AZ,2,0)*$F518),0)</f>
        <v>0</v>
      </c>
      <c r="Y518" s="54">
        <f>IFERROR((VLOOKUP($A518,'Dados StatusInvest'!$A:$AZ,COLUMN(Y518)-$A$5,0)/VLOOKUP($A518,'Dados StatusInvest'!$A:$AZ,2,0)*$F518),0)</f>
        <v>0</v>
      </c>
      <c r="Z518" s="56">
        <f>IFERROR((VLOOKUP($A518,'Dados StatusInvest'!$A:$AZ,COLUMN(Z518)-$A$5,0)),0)</f>
        <v>0.1</v>
      </c>
      <c r="AA518" s="57">
        <f>IFERROR((VLOOKUP($A518,'Dados StatusInvest'!$A:$AZ,COLUMN(AA518)-$A$5,0)),0)</f>
        <v>0.9</v>
      </c>
      <c r="AB518" s="57">
        <f>IFERROR((VLOOKUP($A518,'Dados StatusInvest'!$A:$AZ,COLUMN(AB518)-$A$5,0)),0)</f>
        <v>0.44</v>
      </c>
      <c r="AC518" s="58">
        <f>IFERROR((VLOOKUP($A518,'Dados StatusInvest'!$A:$AZ,COLUMN(AC518)-$A$5,0)),0)</f>
        <v>12.49</v>
      </c>
      <c r="AD518" s="57">
        <f>IFERROR((VLOOKUP($A518,'Dados StatusInvest'!$A:$AZ,COLUMN(AD518)-$A$5,0)),0)</f>
        <v>0</v>
      </c>
      <c r="AE518" s="56">
        <f>IFERROR((VLOOKUP($A518,'Dados StatusInvest'!$A:$AZ,COLUMN(AE518)-$A$5,0)),0)</f>
        <v>0</v>
      </c>
      <c r="AF518" s="56">
        <f>IFERROR((VLOOKUP($A518,'Dados StatusInvest'!$A:$AZ,COLUMN(AF518)-$A$5,0)),0)</f>
        <v>1.59</v>
      </c>
      <c r="AG518" s="56">
        <f>IFERROR((VLOOKUP($A518,'Dados StatusInvest'!$A:$AZ,COLUMN(AG518)-$A$5,0)),0)</f>
        <v>-1.78</v>
      </c>
      <c r="AH518" s="56">
        <f>IFERROR((VLOOKUP($A518,'Dados StatusInvest'!$A:$AZ,COLUMN(AH518)-$A$5,0)),0)</f>
        <v>0.01</v>
      </c>
      <c r="AI518" s="57">
        <f>IFERROR((VLOOKUP($A518,'Dados StatusInvest'!$A:$AZ,COLUMN(AI518)-$A$5,0)),0)</f>
        <v>6238667820</v>
      </c>
      <c r="AJ518" s="59" t="str">
        <f>IFERROR((VLOOKUP($A518,'Dados StatusInvest'!$A:$AZ,COLUMN(AJ518)-$A$5,0)),0)</f>
        <v/>
      </c>
      <c r="AK518" s="67" t="str">
        <f>IFERROR(__xludf.DUMMYFUNCTION("IFERROR(GOOGLEFINANCE($A518,""high""),"""")"),"")</f>
        <v/>
      </c>
      <c r="AL518" s="67" t="str">
        <f>IFERROR(__xludf.DUMMYFUNCTION("IFERROR(GOOGLEFINANCE($A518,""low""),"""")"),"")</f>
        <v/>
      </c>
      <c r="AM518" s="70">
        <f t="shared" si="2"/>
        <v>0</v>
      </c>
      <c r="AN518" s="71">
        <f>IFERROR(__xludf.DUMMYFUNCTION("IFERROR((GOOGLEFINANCE($A518,""volume"")),0)"),0.0)</f>
        <v>0</v>
      </c>
      <c r="AO518" s="67" t="str">
        <f>IFERROR(__xludf.DUMMYFUNCTION("IFERROR((GOOGLEFINANCE($A518,""closeyest"")),"""")"),"")</f>
        <v/>
      </c>
      <c r="AP518" s="67" t="str">
        <f>IFERROR(__xludf.DUMMYFUNCTION("IFERROR((GOOGLEFINANCE($A518,""shares"")),"""")"),"")</f>
        <v/>
      </c>
      <c r="AQ518" s="60"/>
    </row>
    <row r="519">
      <c r="A519" s="45" t="str">
        <f>'Dados StatusInvest'!A514:A1133</f>
        <v>SEER3</v>
      </c>
      <c r="B519" s="63" t="str">
        <f>IFERROR(__xludf.DUMMYFUNCTION("IFERROR((GOOGLEFINANCE(A519,""name"")),"""")"),"Ser Educacional SA")</f>
        <v>Ser Educacional SA</v>
      </c>
      <c r="C519" s="63" t="str">
        <f>IFERROR((VLOOKUP(LEFT($A519,4),Setor!$A:$E,3,0)),"")</f>
        <v>Consumo Cíclico</v>
      </c>
      <c r="D519" s="63" t="str">
        <f>IFERROR((VLOOKUP(LEFT($A519,4),Setor!$A:$E,4,0)),"")</f>
        <v>Diversos</v>
      </c>
      <c r="E519" s="63" t="str">
        <f>IFERROR((VLOOKUP(LEFT($A519,4),Setor!$A:$E,5,0)),"")</f>
        <v>Serviços Educacionais</v>
      </c>
      <c r="F519" s="64">
        <f>IFERROR(__xludf.DUMMYFUNCTION("IFERROR((GOOGLEFINANCE(A519)),"""")"),12.69)</f>
        <v>12.69</v>
      </c>
      <c r="G519" s="65" t="str">
        <f>IFERROR(__xludf.DUMMYFUNCTION("IFERROR((sparkline(GOOGLEFINANCE($A519,""price"",TODAY()-30,TODAY(),""DAILY""),{""charttype"",""line"";""linewidth"",1;""color"",""#5f88cc""})),"""")"),"")</f>
        <v/>
      </c>
      <c r="H519" s="66">
        <f>IFERROR(__xludf.DUMMYFUNCTION("IFERROR((((GOOGLEFINANCE(A519))-(INDEX(GoogleFinance(A519,""PRICE"",$AQ$1),2,2)))/(INDEX(GoogleFinance(A519,""PRICE"",$AQ$1),2,2))),"""")"),0.17827298050139276)</f>
        <v>0.1782729805</v>
      </c>
      <c r="I519" s="47">
        <f>IFERROR(__xludf.DUMMYFUNCTION("IFERROR((GOOGLEFINANCE($A519,""high52"")),"""")"),13.12)</f>
        <v>13.12</v>
      </c>
      <c r="J519" s="68" t="str">
        <f>IFERROR(__xludf.DUMMYFUNCTION("IFERROR((sparkline(GOOGLEFINANCE($A519,""price"",TODAY()-365,TODAY(),""DAILY""),{""charttype"",""line"";""linewidth"",1;""color"",""#5f88cc""})),"""")"),"")</f>
        <v/>
      </c>
      <c r="K519" s="66">
        <f>IFERROR(__xludf.DUMMYFUNCTION("IFERROR((((GOOGLEFINANCE(A519))-(INDEX(GoogleFinance(A519,""PRICE"",$AP$1),2,2)))/(INDEX(GoogleFinance(A519,""PRICE"",$AP$1),2,2))),"""")"),1.5128712871287129)</f>
        <v>1.512871287</v>
      </c>
      <c r="L519" s="69">
        <f t="shared" si="1"/>
        <v>-0.03277439024</v>
      </c>
      <c r="M519" s="52">
        <f>IFERROR((VLOOKUP($A519,'Dados StatusInvest'!$A:$AZ,COLUMN(M519)-$A$5,0)*VLOOKUP($A519,'Dados StatusInvest'!$A:$AZ,2,0)/$F519/100),0)</f>
        <v>0.1638707644</v>
      </c>
      <c r="N519" s="53">
        <f>IFERROR((VLOOKUP($A519,'Dados StatusInvest'!$A:$AZ,COLUMN(N519)-$A$5,0)/VLOOKUP($A519,'Dados StatusInvest'!$A:$AZ,2,0)*$F519),"")</f>
        <v>4.894161585</v>
      </c>
      <c r="O519" s="53">
        <f>IFERROR((VLOOKUP($A519,'Dados StatusInvest'!$A:$AZ,COLUMN(O519)-$A$5,0)/VLOOKUP($A519,'Dados StatusInvest'!$A:$AZ,2,0)*$F519),0)</f>
        <v>4.75875</v>
      </c>
      <c r="P519" s="54">
        <f>IFERROR((VLOOKUP($A519,'Dados StatusInvest'!$A:$AZ,COLUMN(P519)-$A$5,0)/VLOOKUP($A519,'Dados StatusInvest'!$A:$AZ,2,0)*$F519),0)</f>
        <v>6.180571646</v>
      </c>
      <c r="Q519" s="55">
        <f>IFERROR((VLOOKUP($A519,'Dados StatusInvest'!$A:$AZ,COLUMN(Q519)-$A$5,0)/100),0)</f>
        <v>0.0148</v>
      </c>
      <c r="R519" s="56">
        <f>VLOOKUP($A519,'Dados StatusInvest'!$A:$AZ,COLUMN(R519)-$A$5,0)</f>
        <v>0.38</v>
      </c>
      <c r="S519" s="56">
        <f>IFERROR((VLOOKUP($A519,'Dados StatusInvest'!$A:$AZ,COLUMN(S519)-$A$5,0)),0)</f>
        <v>0.78</v>
      </c>
      <c r="T519" s="53">
        <f>IFERROR((VLOOKUP($A519,'Dados StatusInvest'!$A:$AZ,COLUMN(T519)-$A$5,0)/VLOOKUP($A519,'Dados StatusInvest'!$A:$AZ,2,0)*$F519),0)</f>
        <v>8.018300305</v>
      </c>
      <c r="U519" s="53">
        <f>IFERROR((VLOOKUP($A519,'Dados StatusInvest'!$A:$AZ,COLUMN(U519)-$A$5,0)-VLOOKUP($A519,'Dados StatusInvest'!$A:$AZ,COLUMN(U519)-$A$5-1,0)+T519),0)</f>
        <v>-0.9716996951</v>
      </c>
      <c r="V519" s="56">
        <f>IFERROR((VLOOKUP($A519,'Dados StatusInvest'!$A:$AZ,COLUMN(V519)-$A$5,0)),0)</f>
        <v>1.27</v>
      </c>
      <c r="W519" s="56">
        <f>IFERROR((VLOOKUP($A519,'Dados StatusInvest'!$A:$AZ,COLUMN(W519)-$A$5,0)),0)</f>
        <v>8.25</v>
      </c>
      <c r="X519" s="53">
        <f>IFERROR((VLOOKUP($A519,'Dados StatusInvest'!$A:$AZ,COLUMN(X519)-$A$5,0)/VLOOKUP($A519,'Dados StatusInvest'!$A:$AZ,2,0)*$F519),0)</f>
        <v>3.162827744</v>
      </c>
      <c r="Y519" s="54">
        <f>IFERROR((VLOOKUP($A519,'Dados StatusInvest'!$A:$AZ,COLUMN(Y519)-$A$5,0)/VLOOKUP($A519,'Dados StatusInvest'!$A:$AZ,2,0)*$F519),0)</f>
        <v>14.44067835</v>
      </c>
      <c r="Z519" s="56">
        <f>IFERROR((VLOOKUP($A519,'Dados StatusInvest'!$A:$AZ,COLUMN(Z519)-$A$5,0)),0)</f>
        <v>0.4</v>
      </c>
      <c r="AA519" s="57">
        <f>IFERROR((VLOOKUP($A519,'Dados StatusInvest'!$A:$AZ,COLUMN(AA519)-$A$5,0)),0)</f>
        <v>0.6</v>
      </c>
      <c r="AB519" s="57">
        <f>IFERROR((VLOOKUP($A519,'Dados StatusInvest'!$A:$AZ,COLUMN(AB519)-$A$5,0)),0)</f>
        <v>0.65</v>
      </c>
      <c r="AC519" s="58">
        <f>IFERROR((VLOOKUP($A519,'Dados StatusInvest'!$A:$AZ,COLUMN(AC519)-$A$5,0)),0)</f>
        <v>9.2</v>
      </c>
      <c r="AD519" s="57">
        <f>IFERROR((VLOOKUP($A519,'Dados StatusInvest'!$A:$AZ,COLUMN(AD519)-$A$5,0)),0)</f>
        <v>-4.26</v>
      </c>
      <c r="AE519" s="56">
        <f>IFERROR((VLOOKUP($A519,'Dados StatusInvest'!$A:$AZ,COLUMN(AE519)-$A$5,0)),0)</f>
        <v>17613954</v>
      </c>
      <c r="AF519" s="56">
        <f>IFERROR((VLOOKUP($A519,'Dados StatusInvest'!$A:$AZ,COLUMN(AF519)-$A$5,0)),0)</f>
        <v>10.32</v>
      </c>
      <c r="AG519" s="56">
        <f>IFERROR((VLOOKUP($A519,'Dados StatusInvest'!$A:$AZ,COLUMN(AG519)-$A$5,0)),0)</f>
        <v>0.85</v>
      </c>
      <c r="AH519" s="56">
        <f>IFERROR((VLOOKUP($A519,'Dados StatusInvest'!$A:$AZ,COLUMN(AH519)-$A$5,0)),0)</f>
        <v>0.07</v>
      </c>
      <c r="AI519" s="57">
        <f>IFERROR((VLOOKUP($A519,'Dados StatusInvest'!$A:$AZ,COLUMN(AI519)-$A$5,0)),0)</f>
        <v>1688826867</v>
      </c>
      <c r="AJ519" s="59" t="str">
        <f>IFERROR((VLOOKUP($A519,'Dados StatusInvest'!$A:$AZ,COLUMN(AJ519)-$A$5,0)),0)</f>
        <v/>
      </c>
      <c r="AK519" s="67">
        <f>IFERROR(__xludf.DUMMYFUNCTION("IFERROR(GOOGLEFINANCE($A519,""high""),"""")"),13.12)</f>
        <v>13.12</v>
      </c>
      <c r="AL519" s="67">
        <f>IFERROR(__xludf.DUMMYFUNCTION("IFERROR(GOOGLEFINANCE($A519,""low""),"""")"),12.69)</f>
        <v>12.69</v>
      </c>
      <c r="AM519" s="70">
        <f t="shared" si="2"/>
        <v>0.03388494878</v>
      </c>
      <c r="AN519" s="71">
        <f>IFERROR(__xludf.DUMMYFUNCTION("IFERROR((GOOGLEFINANCE($A519,""volume"")),0)"),82100.0)</f>
        <v>82100</v>
      </c>
      <c r="AO519" s="67">
        <f>IFERROR(__xludf.DUMMYFUNCTION("IFERROR((GOOGLEFINANCE($A519,""closeyest"")),"""")"),13.12)</f>
        <v>13.12</v>
      </c>
      <c r="AP519" s="67">
        <f>IFERROR(__xludf.DUMMYFUNCTION("IFERROR((GOOGLEFINANCE($A519,""shares"")),"""")"),1.2872156E8)</f>
        <v>128721560</v>
      </c>
      <c r="AQ519" s="60"/>
    </row>
    <row r="520">
      <c r="A520" s="45" t="str">
        <f>'Dados StatusInvest'!A515:A1134</f>
        <v>SEQL3</v>
      </c>
      <c r="B520" s="63" t="str">
        <f>IFERROR(__xludf.DUMMYFUNCTION("IFERROR((GOOGLEFINANCE(A520,""name"")),"""")"),"Sequoia Logistica e Transportes SA")</f>
        <v>Sequoia Logistica e Transportes SA</v>
      </c>
      <c r="C520" s="63" t="str">
        <f>IFERROR((VLOOKUP(LEFT($A520,4),Setor!$A:$E,3,0)),"")</f>
        <v/>
      </c>
      <c r="D520" s="63" t="str">
        <f>IFERROR((VLOOKUP(LEFT($A520,4),Setor!$A:$E,4,0)),"")</f>
        <v/>
      </c>
      <c r="E520" s="63" t="str">
        <f>IFERROR((VLOOKUP(LEFT($A520,4),Setor!$A:$E,5,0)),"")</f>
        <v/>
      </c>
      <c r="F520" s="64">
        <f>IFERROR(__xludf.DUMMYFUNCTION("IFERROR((GOOGLEFINANCE(A520)),"""")"),0.52)</f>
        <v>0.52</v>
      </c>
      <c r="G520" s="65" t="str">
        <f>IFERROR(__xludf.DUMMYFUNCTION("IFERROR((sparkline(GOOGLEFINANCE($A520,""price"",TODAY()-30,TODAY(),""DAILY""),{""charttype"",""line"";""linewidth"",1;""color"",""#5f88cc""})),"""")"),"")</f>
        <v/>
      </c>
      <c r="H520" s="66">
        <f>IFERROR(__xludf.DUMMYFUNCTION("IFERROR((((GOOGLEFINANCE(A520))-(INDEX(GoogleFinance(A520,""PRICE"",$AQ$1),2,2)))/(INDEX(GoogleFinance(A520,""PRICE"",$AQ$1),2,2))),"""")"),-0.7277486910994764)</f>
        <v>-0.7277486911</v>
      </c>
      <c r="I520" s="47">
        <f>IFERROR(__xludf.DUMMYFUNCTION("IFERROR((GOOGLEFINANCE($A520,""high52"")),"""")"),23.38)</f>
        <v>23.38</v>
      </c>
      <c r="J520" s="68" t="str">
        <f>IFERROR(__xludf.DUMMYFUNCTION("IFERROR((sparkline(GOOGLEFINANCE($A520,""price"",TODAY()-365,TODAY(),""DAILY""),{""charttype"",""line"";""linewidth"",1;""color"",""#5f88cc""})),"""")"),"")</f>
        <v/>
      </c>
      <c r="K520" s="66">
        <f>IFERROR(__xludf.DUMMYFUNCTION("IFERROR((((GOOGLEFINANCE(A520))-(INDEX(GoogleFinance(A520,""PRICE"",$AP$1),2,2)))/(INDEX(GoogleFinance(A520,""PRICE"",$AP$1),2,2))),"""")"),-0.9984410600791462)</f>
        <v>-0.9984410601</v>
      </c>
      <c r="L520" s="69">
        <f t="shared" si="1"/>
        <v>-0.9777587682</v>
      </c>
      <c r="M520" s="52">
        <f>IFERROR((VLOOKUP($A520,'Dados StatusInvest'!$A:$AZ,COLUMN(M520)-$A$5,0)*VLOOKUP($A520,'Dados StatusInvest'!$A:$AZ,2,0)/$F520/100),0)</f>
        <v>-1.068607692</v>
      </c>
      <c r="N520" s="53">
        <f>IFERROR((VLOOKUP($A520,'Dados StatusInvest'!$A:$AZ,COLUMN(N520)-$A$5,0)/VLOOKUP($A520,'Dados StatusInvest'!$A:$AZ,2,0)*$F520),"")</f>
        <v>-147.8336364</v>
      </c>
      <c r="O520" s="53">
        <f>IFERROR((VLOOKUP($A520,'Dados StatusInvest'!$A:$AZ,COLUMN(O520)-$A$5,0)/VLOOKUP($A520,'Dados StatusInvest'!$A:$AZ,2,0)*$F520),0)</f>
        <v>-3.238181818</v>
      </c>
      <c r="P520" s="54">
        <f>IFERROR((VLOOKUP($A520,'Dados StatusInvest'!$A:$AZ,COLUMN(P520)-$A$5,0)/VLOOKUP($A520,'Dados StatusInvest'!$A:$AZ,2,0)*$F520),0)</f>
        <v>-4.384545455</v>
      </c>
      <c r="Q520" s="55">
        <f>IFERROR((VLOOKUP($A520,'Dados StatusInvest'!$A:$AZ,COLUMN(Q520)-$A$5,0)/100),0)</f>
        <v>-0.0097</v>
      </c>
      <c r="R520" s="56">
        <f>VLOOKUP($A520,'Dados StatusInvest'!$A:$AZ,COLUMN(R520)-$A$5,0)</f>
        <v>0</v>
      </c>
      <c r="S520" s="56">
        <f>IFERROR((VLOOKUP($A520,'Dados StatusInvest'!$A:$AZ,COLUMN(S520)-$A$5,0)),0)</f>
        <v>3.47</v>
      </c>
      <c r="T520" s="53">
        <f>IFERROR((VLOOKUP($A520,'Dados StatusInvest'!$A:$AZ,COLUMN(T520)-$A$5,0)/VLOOKUP($A520,'Dados StatusInvest'!$A:$AZ,2,0)*$F520),0)</f>
        <v>-4.053636364</v>
      </c>
      <c r="U520" s="53">
        <f>IFERROR((VLOOKUP($A520,'Dados StatusInvest'!$A:$AZ,COLUMN(U520)-$A$5,0)-VLOOKUP($A520,'Dados StatusInvest'!$A:$AZ,COLUMN(U520)-$A$5-1,0)+T520),0)</f>
        <v>-4.213636364</v>
      </c>
      <c r="V520" s="56">
        <f>IFERROR((VLOOKUP($A520,'Dados StatusInvest'!$A:$AZ,COLUMN(V520)-$A$5,0)),0)</f>
        <v>0.15</v>
      </c>
      <c r="W520" s="56">
        <f>IFERROR((VLOOKUP($A520,'Dados StatusInvest'!$A:$AZ,COLUMN(W520)-$A$5,0)),0)</f>
        <v>-152.58</v>
      </c>
      <c r="X520" s="53">
        <f>IFERROR((VLOOKUP($A520,'Dados StatusInvest'!$A:$AZ,COLUMN(X520)-$A$5,0)/VLOOKUP($A520,'Dados StatusInvest'!$A:$AZ,2,0)*$F520),0)</f>
        <v>-129.74</v>
      </c>
      <c r="Y520" s="54">
        <f>IFERROR((VLOOKUP($A520,'Dados StatusInvest'!$A:$AZ,COLUMN(Y520)-$A$5,0)/VLOOKUP($A520,'Dados StatusInvest'!$A:$AZ,2,0)*$F520),0)</f>
        <v>-795.1745455</v>
      </c>
      <c r="Z520" s="56">
        <f>IFERROR((VLOOKUP($A520,'Dados StatusInvest'!$A:$AZ,COLUMN(Z520)-$A$5,0)),0)</f>
        <v>-0.72</v>
      </c>
      <c r="AA520" s="57">
        <f>IFERROR((VLOOKUP($A520,'Dados StatusInvest'!$A:$AZ,COLUMN(AA520)-$A$5,0)),0)</f>
        <v>1.89</v>
      </c>
      <c r="AB520" s="57">
        <f>IFERROR((VLOOKUP($A520,'Dados StatusInvest'!$A:$AZ,COLUMN(AB520)-$A$5,0)),0)</f>
        <v>0.88</v>
      </c>
      <c r="AC520" s="58">
        <f>IFERROR((VLOOKUP($A520,'Dados StatusInvest'!$A:$AZ,COLUMN(AC520)-$A$5,0)),0)</f>
        <v>7.84</v>
      </c>
      <c r="AD520" s="57">
        <f>IFERROR((VLOOKUP($A520,'Dados StatusInvest'!$A:$AZ,COLUMN(AD520)-$A$5,0)),0)</f>
        <v>0</v>
      </c>
      <c r="AE520" s="56">
        <f>IFERROR((VLOOKUP($A520,'Dados StatusInvest'!$A:$AZ,COLUMN(AE520)-$A$5,0)),0)</f>
        <v>674267.7</v>
      </c>
      <c r="AF520" s="56">
        <f>IFERROR((VLOOKUP($A520,'Dados StatusInvest'!$A:$AZ,COLUMN(AF520)-$A$5,0)),0)</f>
        <v>-0.1</v>
      </c>
      <c r="AG520" s="56">
        <f>IFERROR((VLOOKUP($A520,'Dados StatusInvest'!$A:$AZ,COLUMN(AG520)-$A$5,0)),0)</f>
        <v>-0.16</v>
      </c>
      <c r="AH520" s="56">
        <f>IFERROR((VLOOKUP($A520,'Dados StatusInvest'!$A:$AZ,COLUMN(AH520)-$A$5,0)),0)</f>
        <v>-0.25</v>
      </c>
      <c r="AI520" s="57">
        <f>IFERROR((VLOOKUP($A520,'Dados StatusInvest'!$A:$AZ,COLUMN(AI520)-$A$5,0)),0)</f>
        <v>2503949001</v>
      </c>
      <c r="AJ520" s="59" t="str">
        <f>IFERROR((VLOOKUP($A520,'Dados StatusInvest'!$A:$AZ,COLUMN(AJ520)-$A$5,0)),0)</f>
        <v/>
      </c>
      <c r="AK520" s="67">
        <f>IFERROR(__xludf.DUMMYFUNCTION("IFERROR(GOOGLEFINANCE($A520,""high""),"""")"),0.56)</f>
        <v>0.56</v>
      </c>
      <c r="AL520" s="67">
        <f>IFERROR(__xludf.DUMMYFUNCTION("IFERROR(GOOGLEFINANCE($A520,""low""),"""")"),0.44)</f>
        <v>0.44</v>
      </c>
      <c r="AM520" s="70">
        <f t="shared" si="2"/>
        <v>0.2727272727</v>
      </c>
      <c r="AN520" s="71">
        <f>IFERROR(__xludf.DUMMYFUNCTION("IFERROR((GOOGLEFINANCE($A520,""volume"")),0)"),840100.0)</f>
        <v>840100</v>
      </c>
      <c r="AO520" s="67">
        <f>IFERROR(__xludf.DUMMYFUNCTION("IFERROR((GOOGLEFINANCE($A520,""closeyest"")),"""")"),0.44)</f>
        <v>0.44</v>
      </c>
      <c r="AP520" s="67">
        <f>IFERROR(__xludf.DUMMYFUNCTION("IFERROR((GOOGLEFINANCE($A520,""shares"")),"""")"),5.690793184E9)</f>
        <v>5690793184</v>
      </c>
      <c r="AQ520" s="60"/>
    </row>
    <row r="521">
      <c r="A521" s="45" t="str">
        <f>'Dados StatusInvest'!A516:A1135</f>
        <v>SGPS3</v>
      </c>
      <c r="B521" s="63" t="str">
        <f>IFERROR(__xludf.DUMMYFUNCTION("IFERROR((GOOGLEFINANCE(A521,""name"")),"""")"),"Springs Global")</f>
        <v>Springs Global</v>
      </c>
      <c r="C521" s="63" t="str">
        <f>IFERROR((VLOOKUP(LEFT($A521,4),Setor!$A:$E,3,0)),"")</f>
        <v>Consumo Cíclico</v>
      </c>
      <c r="D521" s="63" t="str">
        <f>IFERROR((VLOOKUP(LEFT($A521,4),Setor!$A:$E,4,0)),"")</f>
        <v>Tecidos, Vestuário e Calçados</v>
      </c>
      <c r="E521" s="63" t="str">
        <f>IFERROR((VLOOKUP(LEFT($A521,4),Setor!$A:$E,5,0)),"")</f>
        <v>Fios e Tecidos</v>
      </c>
      <c r="F521" s="64">
        <f>IFERROR(__xludf.DUMMYFUNCTION("IFERROR((GOOGLEFINANCE(A521)),"""")"),1.64)</f>
        <v>1.64</v>
      </c>
      <c r="G521" s="65" t="str">
        <f>IFERROR(__xludf.DUMMYFUNCTION("IFERROR((sparkline(GOOGLEFINANCE($A521,""price"",TODAY()-30,TODAY(),""DAILY""),{""charttype"",""line"";""linewidth"",1;""color"",""#5f88cc""})),"""")"),"")</f>
        <v/>
      </c>
      <c r="H521" s="66" t="str">
        <f>IFERROR(__xludf.DUMMYFUNCTION("IFERROR((((GOOGLEFINANCE(A521))-(INDEX(GoogleFinance(A521,""PRICE"",$AQ$1),2,2)))/(INDEX(GoogleFinance(A521,""PRICE"",$AQ$1),2,2))),"""")"),"")</f>
        <v/>
      </c>
      <c r="I521" s="47">
        <f>IFERROR(__xludf.DUMMYFUNCTION("IFERROR((GOOGLEFINANCE($A521,""high52"")),"""")"),1.64)</f>
        <v>1.64</v>
      </c>
      <c r="J521" s="68" t="str">
        <f>IFERROR(__xludf.DUMMYFUNCTION("IFERROR((sparkline(GOOGLEFINANCE($A521,""price"",TODAY()-365,TODAY(),""DAILY""),{""charttype"",""line"";""linewidth"",1;""color"",""#5f88cc""})),"""")"),"")</f>
        <v/>
      </c>
      <c r="K521" s="66" t="str">
        <f>IFERROR(__xludf.DUMMYFUNCTION("IFERROR((((GOOGLEFINANCE(A521))-(INDEX(GoogleFinance(A521,""PRICE"",$AP$1),2,2)))/(INDEX(GoogleFinance(A521,""PRICE"",$AP$1),2,2))),"""")"),"")</f>
        <v/>
      </c>
      <c r="L521" s="69">
        <f t="shared" si="1"/>
        <v>0</v>
      </c>
      <c r="M521" s="52">
        <f>IFERROR((VLOOKUP($A521,'Dados StatusInvest'!$A:$AZ,COLUMN(M521)-$A$5,0)*VLOOKUP($A521,'Dados StatusInvest'!$A:$AZ,2,0)/$F521/100),0)</f>
        <v>-0.8662</v>
      </c>
      <c r="N521" s="53">
        <f>IFERROR((VLOOKUP($A521,'Dados StatusInvest'!$A:$AZ,COLUMN(N521)-$A$5,0)/VLOOKUP($A521,'Dados StatusInvest'!$A:$AZ,2,0)*$F521),"")</f>
        <v>-139.61</v>
      </c>
      <c r="O521" s="53">
        <f>IFERROR((VLOOKUP($A521,'Dados StatusInvest'!$A:$AZ,COLUMN(O521)-$A$5,0)/VLOOKUP($A521,'Dados StatusInvest'!$A:$AZ,2,0)*$F521),0)</f>
        <v>-0.04</v>
      </c>
      <c r="P521" s="54">
        <f>IFERROR((VLOOKUP($A521,'Dados StatusInvest'!$A:$AZ,COLUMN(P521)-$A$5,0)/VLOOKUP($A521,'Dados StatusInvest'!$A:$AZ,2,0)*$F521),0)</f>
        <v>-2.72</v>
      </c>
      <c r="Q521" s="55">
        <f>IFERROR((VLOOKUP($A521,'Dados StatusInvest'!$A:$AZ,COLUMN(Q521)-$A$5,0)/100),0)</f>
        <v>-0.0268</v>
      </c>
      <c r="R521" s="56">
        <f>VLOOKUP($A521,'Dados StatusInvest'!$A:$AZ,COLUMN(R521)-$A$5,0)</f>
        <v>0</v>
      </c>
      <c r="S521" s="56">
        <f>IFERROR((VLOOKUP($A521,'Dados StatusInvest'!$A:$AZ,COLUMN(S521)-$A$5,0)),0)</f>
        <v>0.04</v>
      </c>
      <c r="T521" s="53">
        <f>IFERROR((VLOOKUP($A521,'Dados StatusInvest'!$A:$AZ,COLUMN(T521)-$A$5,0)/VLOOKUP($A521,'Dados StatusInvest'!$A:$AZ,2,0)*$F521),0)</f>
        <v>-0.01</v>
      </c>
      <c r="U521" s="53">
        <f>IFERROR((VLOOKUP($A521,'Dados StatusInvest'!$A:$AZ,COLUMN(U521)-$A$5,0)-VLOOKUP($A521,'Dados StatusInvest'!$A:$AZ,COLUMN(U521)-$A$5-1,0)+T521),0)</f>
        <v>-0.01</v>
      </c>
      <c r="V521" s="56">
        <f>IFERROR((VLOOKUP($A521,'Dados StatusInvest'!$A:$AZ,COLUMN(V521)-$A$5,0)),0)</f>
        <v>0.25</v>
      </c>
      <c r="W521" s="56">
        <f>IFERROR((VLOOKUP($A521,'Dados StatusInvest'!$A:$AZ,COLUMN(W521)-$A$5,0)),0)</f>
        <v>-64.46</v>
      </c>
      <c r="X521" s="53">
        <f>IFERROR((VLOOKUP($A521,'Dados StatusInvest'!$A:$AZ,COLUMN(X521)-$A$5,0)/VLOOKUP($A521,'Dados StatusInvest'!$A:$AZ,2,0)*$F521),0)</f>
        <v>-26.55</v>
      </c>
      <c r="Y521" s="54">
        <f>IFERROR((VLOOKUP($A521,'Dados StatusInvest'!$A:$AZ,COLUMN(Y521)-$A$5,0)/VLOOKUP($A521,'Dados StatusInvest'!$A:$AZ,2,0)*$F521),0)</f>
        <v>-303.18</v>
      </c>
      <c r="Z521" s="56">
        <f>IFERROR((VLOOKUP($A521,'Dados StatusInvest'!$A:$AZ,COLUMN(Z521)-$A$5,0)),0)</f>
        <v>-0.41</v>
      </c>
      <c r="AA521" s="57">
        <f>IFERROR((VLOOKUP($A521,'Dados StatusInvest'!$A:$AZ,COLUMN(AA521)-$A$5,0)),0)</f>
        <v>1.41</v>
      </c>
      <c r="AB521" s="57">
        <f>IFERROR((VLOOKUP($A521,'Dados StatusInvest'!$A:$AZ,COLUMN(AB521)-$A$5,0)),0)</f>
        <v>0.19</v>
      </c>
      <c r="AC521" s="58">
        <f>IFERROR((VLOOKUP($A521,'Dados StatusInvest'!$A:$AZ,COLUMN(AC521)-$A$5,0)),0)</f>
        <v>-20.94</v>
      </c>
      <c r="AD521" s="57">
        <f>IFERROR((VLOOKUP($A521,'Dados StatusInvest'!$A:$AZ,COLUMN(AD521)-$A$5,0)),0)</f>
        <v>0</v>
      </c>
      <c r="AE521" s="56">
        <f>IFERROR((VLOOKUP($A521,'Dados StatusInvest'!$A:$AZ,COLUMN(AE521)-$A$5,0)),0)</f>
        <v>0</v>
      </c>
      <c r="AF521" s="56">
        <f>IFERROR((VLOOKUP($A521,'Dados StatusInvest'!$A:$AZ,COLUMN(AF521)-$A$5,0)),0)</f>
        <v>-95.16</v>
      </c>
      <c r="AG521" s="56">
        <f>IFERROR((VLOOKUP($A521,'Dados StatusInvest'!$A:$AZ,COLUMN(AG521)-$A$5,0)),0)</f>
        <v>-61.34</v>
      </c>
      <c r="AH521" s="56">
        <f>IFERROR((VLOOKUP($A521,'Dados StatusInvest'!$A:$AZ,COLUMN(AH521)-$A$5,0)),0)</f>
        <v>0</v>
      </c>
      <c r="AI521" s="57">
        <f>IFERROR((VLOOKUP($A521,'Dados StatusInvest'!$A:$AZ,COLUMN(AI521)-$A$5,0)),0)</f>
        <v>16400000</v>
      </c>
      <c r="AJ521" s="59" t="str">
        <f>IFERROR((VLOOKUP($A521,'Dados StatusInvest'!$A:$AZ,COLUMN(AJ521)-$A$5,0)),0)</f>
        <v/>
      </c>
      <c r="AK521" s="67" t="str">
        <f>IFERROR(__xludf.DUMMYFUNCTION("IFERROR(GOOGLEFINANCE($A521,""high""),"""")"),"")</f>
        <v/>
      </c>
      <c r="AL521" s="67" t="str">
        <f>IFERROR(__xludf.DUMMYFUNCTION("IFERROR(GOOGLEFINANCE($A521,""low""),"""")"),"")</f>
        <v/>
      </c>
      <c r="AM521" s="70">
        <f t="shared" si="2"/>
        <v>0</v>
      </c>
      <c r="AN521" s="71">
        <f>IFERROR(__xludf.DUMMYFUNCTION("IFERROR((GOOGLEFINANCE($A521,""volume"")),0)"),0.0)</f>
        <v>0</v>
      </c>
      <c r="AO521" s="67">
        <f>IFERROR(__xludf.DUMMYFUNCTION("IFERROR((GOOGLEFINANCE($A521,""closeyest"")),"""")"),1.64)</f>
        <v>1.64</v>
      </c>
      <c r="AP521" s="67">
        <f>IFERROR(__xludf.DUMMYFUNCTION("IFERROR((GOOGLEFINANCE($A521,""shares"")),"""")"),1.0E7)</f>
        <v>10000000</v>
      </c>
      <c r="AQ521" s="60"/>
    </row>
    <row r="522">
      <c r="A522" s="45" t="str">
        <f>'Dados StatusInvest'!A517:A1136</f>
        <v>SHOW3</v>
      </c>
      <c r="B522" s="63" t="str">
        <f>IFERROR(__xludf.DUMMYFUNCTION("IFERROR((GOOGLEFINANCE(A522,""name"")),"""")"),"T4f Entretenimento SA")</f>
        <v>T4f Entretenimento SA</v>
      </c>
      <c r="C522" s="63" t="str">
        <f>IFERROR((VLOOKUP(LEFT($A522,4),Setor!$A:$E,3,0)),"")</f>
        <v>Consumo Cíclico</v>
      </c>
      <c r="D522" s="63" t="str">
        <f>IFERROR((VLOOKUP(LEFT($A522,4),Setor!$A:$E,4,0)),"")</f>
        <v>Viagens e Lazer</v>
      </c>
      <c r="E522" s="63" t="str">
        <f>IFERROR((VLOOKUP(LEFT($A522,4),Setor!$A:$E,5,0)),"")</f>
        <v>Produção de Eventos e Shows</v>
      </c>
      <c r="F522" s="64">
        <f>IFERROR(__xludf.DUMMYFUNCTION("IFERROR((GOOGLEFINANCE(A522)),"""")"),4.88)</f>
        <v>4.88</v>
      </c>
      <c r="G522" s="65" t="str">
        <f>IFERROR(__xludf.DUMMYFUNCTION("IFERROR((sparkline(GOOGLEFINANCE($A522,""price"",TODAY()-30,TODAY(),""DAILY""),{""charttype"",""line"";""linewidth"",1;""color"",""#5f88cc""})),"""")"),"")</f>
        <v/>
      </c>
      <c r="H522" s="66">
        <f>IFERROR(__xludf.DUMMYFUNCTION("IFERROR((((GOOGLEFINANCE(A522))-(INDEX(GoogleFinance(A522,""PRICE"",$AQ$1),2,2)))/(INDEX(GoogleFinance(A522,""PRICE"",$AQ$1),2,2))),"""")"),-0.23270440251572333)</f>
        <v>-0.2327044025</v>
      </c>
      <c r="I522" s="47">
        <f>IFERROR(__xludf.DUMMYFUNCTION("IFERROR((GOOGLEFINANCE($A522,""high52"")),"""")"),8.1)</f>
        <v>8.1</v>
      </c>
      <c r="J522" s="68" t="str">
        <f>IFERROR(__xludf.DUMMYFUNCTION("IFERROR((sparkline(GOOGLEFINANCE($A522,""price"",TODAY()-365,TODAY(),""DAILY""),{""charttype"",""line"";""linewidth"",1;""color"",""#5f88cc""})),"""")"),"")</f>
        <v/>
      </c>
      <c r="K522" s="66">
        <f>IFERROR(__xludf.DUMMYFUNCTION("IFERROR((((GOOGLEFINANCE(A522))-(INDEX(GoogleFinance(A522,""PRICE"",$AP$1),2,2)))/(INDEX(GoogleFinance(A522,""PRICE"",$AP$1),2,2))),"""")"),-0.3028571428571429)</f>
        <v>-0.3028571429</v>
      </c>
      <c r="L522" s="69">
        <f t="shared" si="1"/>
        <v>-0.3975308642</v>
      </c>
      <c r="M522" s="52">
        <f>IFERROR((VLOOKUP($A522,'Dados StatusInvest'!$A:$AZ,COLUMN(M522)-$A$5,0)*VLOOKUP($A522,'Dados StatusInvest'!$A:$AZ,2,0)/$F522/100),0)</f>
        <v>-0.283442623</v>
      </c>
      <c r="N522" s="53">
        <f>IFERROR((VLOOKUP($A522,'Dados StatusInvest'!$A:$AZ,COLUMN(N522)-$A$5,0)/VLOOKUP($A522,'Dados StatusInvest'!$A:$AZ,2,0)*$F522),"")</f>
        <v>-40.80825911</v>
      </c>
      <c r="O522" s="53">
        <f>IFERROR((VLOOKUP($A522,'Dados StatusInvest'!$A:$AZ,COLUMN(O522)-$A$5,0)/VLOOKUP($A522,'Dados StatusInvest'!$A:$AZ,2,0)*$F522),0)</f>
        <v>-0.7902834008</v>
      </c>
      <c r="P522" s="54">
        <f>IFERROR((VLOOKUP($A522,'Dados StatusInvest'!$A:$AZ,COLUMN(P522)-$A$5,0)/VLOOKUP($A522,'Dados StatusInvest'!$A:$AZ,2,0)*$F522),0)</f>
        <v>0.464291498</v>
      </c>
      <c r="Q522" s="55">
        <f>IFERROR((VLOOKUP($A522,'Dados StatusInvest'!$A:$AZ,COLUMN(Q522)-$A$5,0)/100),0)</f>
        <v>0.0127</v>
      </c>
      <c r="R522" s="56">
        <f>VLOOKUP($A522,'Dados StatusInvest'!$A:$AZ,COLUMN(R522)-$A$5,0)</f>
        <v>-0.51</v>
      </c>
      <c r="S522" s="56">
        <f>IFERROR((VLOOKUP($A522,'Dados StatusInvest'!$A:$AZ,COLUMN(S522)-$A$5,0)),0)</f>
        <v>0.23</v>
      </c>
      <c r="T522" s="53">
        <f>IFERROR((VLOOKUP($A522,'Dados StatusInvest'!$A:$AZ,COLUMN(T522)-$A$5,0)/VLOOKUP($A522,'Dados StatusInvest'!$A:$AZ,2,0)*$F522),0)</f>
        <v>0.7310121457</v>
      </c>
      <c r="U522" s="53">
        <f>IFERROR((VLOOKUP($A522,'Dados StatusInvest'!$A:$AZ,COLUMN(U522)-$A$5,0)-VLOOKUP($A522,'Dados StatusInvest'!$A:$AZ,COLUMN(U522)-$A$5-1,0)+T522),0)</f>
        <v>-0.2189878543</v>
      </c>
      <c r="V522" s="56">
        <f>IFERROR((VLOOKUP($A522,'Dados StatusInvest'!$A:$AZ,COLUMN(V522)-$A$5,0)),0)</f>
        <v>1.23</v>
      </c>
      <c r="W522" s="56">
        <f>IFERROR((VLOOKUP($A522,'Dados StatusInvest'!$A:$AZ,COLUMN(W522)-$A$5,0)),0)</f>
        <v>-59.45</v>
      </c>
      <c r="X522" s="53">
        <f>IFERROR((VLOOKUP($A522,'Dados StatusInvest'!$A:$AZ,COLUMN(X522)-$A$5,0)/VLOOKUP($A522,'Dados StatusInvest'!$A:$AZ,2,0)*$F522),0)</f>
        <v>-15.23271255</v>
      </c>
      <c r="Y522" s="54">
        <f>IFERROR((VLOOKUP($A522,'Dados StatusInvest'!$A:$AZ,COLUMN(Y522)-$A$5,0)/VLOOKUP($A522,'Dados StatusInvest'!$A:$AZ,2,0)*$F522),0)</f>
        <v>-26.06947368</v>
      </c>
      <c r="Z522" s="56">
        <f>IFERROR((VLOOKUP($A522,'Dados StatusInvest'!$A:$AZ,COLUMN(Z522)-$A$5,0)),0)</f>
        <v>0.26</v>
      </c>
      <c r="AA522" s="57">
        <f>IFERROR((VLOOKUP($A522,'Dados StatusInvest'!$A:$AZ,COLUMN(AA522)-$A$5,0)),0)</f>
        <v>0.74</v>
      </c>
      <c r="AB522" s="57">
        <f>IFERROR((VLOOKUP($A522,'Dados StatusInvest'!$A:$AZ,COLUMN(AB522)-$A$5,0)),0)</f>
        <v>0.37</v>
      </c>
      <c r="AC522" s="58">
        <f>IFERROR((VLOOKUP($A522,'Dados StatusInvest'!$A:$AZ,COLUMN(AC522)-$A$5,0)),0)</f>
        <v>-15.9</v>
      </c>
      <c r="AD522" s="57">
        <f>IFERROR((VLOOKUP($A522,'Dados StatusInvest'!$A:$AZ,COLUMN(AD522)-$A$5,0)),0)</f>
        <v>0</v>
      </c>
      <c r="AE522" s="56">
        <f>IFERROR((VLOOKUP($A522,'Dados StatusInvest'!$A:$AZ,COLUMN(AE522)-$A$5,0)),0)</f>
        <v>288937.9</v>
      </c>
      <c r="AF522" s="56">
        <f>IFERROR((VLOOKUP($A522,'Dados StatusInvest'!$A:$AZ,COLUMN(AF522)-$A$5,0)),0)</f>
        <v>15.24</v>
      </c>
      <c r="AG522" s="56">
        <f>IFERROR((VLOOKUP($A522,'Dados StatusInvest'!$A:$AZ,COLUMN(AG522)-$A$5,0)),0)</f>
        <v>-9.06</v>
      </c>
      <c r="AH522" s="56">
        <f>IFERROR((VLOOKUP($A522,'Dados StatusInvest'!$A:$AZ,COLUMN(AH522)-$A$5,0)),0)</f>
        <v>0</v>
      </c>
      <c r="AI522" s="57">
        <f>IFERROR((VLOOKUP($A522,'Dados StatusInvest'!$A:$AZ,COLUMN(AI522)-$A$5,0)),0)</f>
        <v>33301834.28</v>
      </c>
      <c r="AJ522" s="59" t="str">
        <f>IFERROR((VLOOKUP($A522,'Dados StatusInvest'!$A:$AZ,COLUMN(AJ522)-$A$5,0)),0)</f>
        <v/>
      </c>
      <c r="AK522" s="67">
        <f>IFERROR(__xludf.DUMMYFUNCTION("IFERROR(GOOGLEFINANCE($A522,""high""),"""")"),4.91)</f>
        <v>4.91</v>
      </c>
      <c r="AL522" s="67">
        <f>IFERROR(__xludf.DUMMYFUNCTION("IFERROR(GOOGLEFINANCE($A522,""low""),"""")"),4.88)</f>
        <v>4.88</v>
      </c>
      <c r="AM522" s="70">
        <f t="shared" si="2"/>
        <v>0.006147540984</v>
      </c>
      <c r="AN522" s="71">
        <f>IFERROR(__xludf.DUMMYFUNCTION("IFERROR((GOOGLEFINANCE($A522,""volume"")),0)"),100.0)</f>
        <v>100</v>
      </c>
      <c r="AO522" s="67">
        <f>IFERROR(__xludf.DUMMYFUNCTION("IFERROR((GOOGLEFINANCE($A522,""closeyest"")),"""")"),4.94)</f>
        <v>4.94</v>
      </c>
      <c r="AP522" s="67">
        <f>IFERROR(__xludf.DUMMYFUNCTION("IFERROR((GOOGLEFINANCE($A522,""shares"")),"""")"),6741262.0)</f>
        <v>6741262</v>
      </c>
      <c r="AQ522" s="60"/>
    </row>
    <row r="523">
      <c r="A523" s="45" t="str">
        <f>'Dados StatusInvest'!A518:A1137</f>
        <v>SHUL3</v>
      </c>
      <c r="B523" s="63" t="str">
        <f>IFERROR(__xludf.DUMMYFUNCTION("IFERROR((GOOGLEFINANCE(A523,""name"")),"""")"),"Schulz SA")</f>
        <v>Schulz SA</v>
      </c>
      <c r="C523" s="63" t="str">
        <f>IFERROR((VLOOKUP(LEFT($A523,4),Setor!$A:$E,3,0)),"")</f>
        <v>Bens Industriais</v>
      </c>
      <c r="D523" s="63" t="str">
        <f>IFERROR((VLOOKUP(LEFT($A523,4),Setor!$A:$E,4,0)),"")</f>
        <v>Máquinas e Equipamentos</v>
      </c>
      <c r="E523" s="63" t="str">
        <f>IFERROR((VLOOKUP(LEFT($A523,4),Setor!$A:$E,5,0)),"")</f>
        <v>Motores, Compressores e Outros</v>
      </c>
      <c r="F523" s="64">
        <f>IFERROR(__xludf.DUMMYFUNCTION("IFERROR((GOOGLEFINANCE(A523)),"""")"),27.94)</f>
        <v>27.94</v>
      </c>
      <c r="G523" s="65" t="str">
        <f>IFERROR(__xludf.DUMMYFUNCTION("IFERROR((sparkline(GOOGLEFINANCE($A523,""price"",TODAY()-30,TODAY(),""DAILY""),{""charttype"",""line"";""linewidth"",1;""color"",""#5f88cc""})),"""")"),"")</f>
        <v/>
      </c>
      <c r="H523" s="66" t="str">
        <f>IFERROR(__xludf.DUMMYFUNCTION("IFERROR((((GOOGLEFINANCE(A523))-(INDEX(GoogleFinance(A523,""PRICE"",$AQ$1),2,2)))/(INDEX(GoogleFinance(A523,""PRICE"",$AQ$1),2,2))),"""")"),"")</f>
        <v/>
      </c>
      <c r="I523" s="47">
        <f>IFERROR(__xludf.DUMMYFUNCTION("IFERROR((GOOGLEFINANCE($A523,""high52"")),"""")"),26.63)</f>
        <v>26.63</v>
      </c>
      <c r="J523" s="68" t="str">
        <f>IFERROR(__xludf.DUMMYFUNCTION("IFERROR((sparkline(GOOGLEFINANCE($A523,""price"",TODAY()-365,TODAY(),""DAILY""),{""charttype"",""line"";""linewidth"",1;""color"",""#5f88cc""})),"""")"),"")</f>
        <v/>
      </c>
      <c r="K523" s="66" t="str">
        <f>IFERROR(__xludf.DUMMYFUNCTION("IFERROR((((GOOGLEFINANCE(A523))-(INDEX(GoogleFinance(A523,""PRICE"",$AP$1),2,2)))/(INDEX(GoogleFinance(A523,""PRICE"",$AP$1),2,2))),"""")"),"")</f>
        <v/>
      </c>
      <c r="L523" s="69">
        <f t="shared" si="1"/>
        <v>0.04919263988</v>
      </c>
      <c r="M523" s="52">
        <f>IFERROR((VLOOKUP($A523,'Dados StatusInvest'!$A:$AZ,COLUMN(M523)-$A$5,0)*VLOOKUP($A523,'Dados StatusInvest'!$A:$AZ,2,0)/$F523/100),0)</f>
        <v>0.1246250895</v>
      </c>
      <c r="N523" s="53">
        <f>IFERROR((VLOOKUP($A523,'Dados StatusInvest'!$A:$AZ,COLUMN(N523)-$A$5,0)/VLOOKUP($A523,'Dados StatusInvest'!$A:$AZ,2,0)*$F523),"")</f>
        <v>13.34081289</v>
      </c>
      <c r="O523" s="53">
        <f>IFERROR((VLOOKUP($A523,'Dados StatusInvest'!$A:$AZ,COLUMN(O523)-$A$5,0)/VLOOKUP($A523,'Dados StatusInvest'!$A:$AZ,2,0)*$F523),0)</f>
        <v>39.1323691</v>
      </c>
      <c r="P523" s="54">
        <f>IFERROR((VLOOKUP($A523,'Dados StatusInvest'!$A:$AZ,COLUMN(P523)-$A$5,0)/VLOOKUP($A523,'Dados StatusInvest'!$A:$AZ,2,0)*$F523),0)</f>
        <v>20.73759795</v>
      </c>
      <c r="Q523" s="55">
        <f>IFERROR((VLOOKUP($A523,'Dados StatusInvest'!$A:$AZ,COLUMN(Q523)-$A$5,0)/100),0)</f>
        <v>-0.0051</v>
      </c>
      <c r="R523" s="56">
        <f>VLOOKUP($A523,'Dados StatusInvest'!$A:$AZ,COLUMN(R523)-$A$5,0)</f>
        <v>-0.08</v>
      </c>
      <c r="S523" s="56">
        <f>IFERROR((VLOOKUP($A523,'Dados StatusInvest'!$A:$AZ,COLUMN(S523)-$A$5,0)),0)</f>
        <v>4.88</v>
      </c>
      <c r="T523" s="53">
        <f>IFERROR((VLOOKUP($A523,'Dados StatusInvest'!$A:$AZ,COLUMN(T523)-$A$5,0)/VLOOKUP($A523,'Dados StatusInvest'!$A:$AZ,2,0)*$F523),0)</f>
        <v>7.928780666</v>
      </c>
      <c r="U523" s="53">
        <f>IFERROR((VLOOKUP($A523,'Dados StatusInvest'!$A:$AZ,COLUMN(U523)-$A$5,0)-VLOOKUP($A523,'Dados StatusInvest'!$A:$AZ,COLUMN(U523)-$A$5-1,0)+T523),0)</f>
        <v>-9.511219334</v>
      </c>
      <c r="V523" s="56">
        <f>IFERROR((VLOOKUP($A523,'Dados StatusInvest'!$A:$AZ,COLUMN(V523)-$A$5,0)),0)</f>
        <v>2.93</v>
      </c>
      <c r="W523" s="56">
        <f>IFERROR((VLOOKUP($A523,'Dados StatusInvest'!$A:$AZ,COLUMN(W523)-$A$5,0)),0)</f>
        <v>16.8</v>
      </c>
      <c r="X523" s="53">
        <f>IFERROR((VLOOKUP($A523,'Dados StatusInvest'!$A:$AZ,COLUMN(X523)-$A$5,0)/VLOOKUP($A523,'Dados StatusInvest'!$A:$AZ,2,0)*$F523),0)</f>
        <v>9.146232149</v>
      </c>
      <c r="Y523" s="54">
        <f>IFERROR((VLOOKUP($A523,'Dados StatusInvest'!$A:$AZ,COLUMN(Y523)-$A$5,0)/VLOOKUP($A523,'Dados StatusInvest'!$A:$AZ,2,0)*$F523),0)</f>
        <v>10.04653241</v>
      </c>
      <c r="Z523" s="56">
        <f>IFERROR((VLOOKUP($A523,'Dados StatusInvest'!$A:$AZ,COLUMN(Z523)-$A$5,0)),0)</f>
        <v>0.53</v>
      </c>
      <c r="AA523" s="57">
        <f>IFERROR((VLOOKUP($A523,'Dados StatusInvest'!$A:$AZ,COLUMN(AA523)-$A$5,0)),0)</f>
        <v>0.47</v>
      </c>
      <c r="AB523" s="57">
        <f>IFERROR((VLOOKUP($A523,'Dados StatusInvest'!$A:$AZ,COLUMN(AB523)-$A$5,0)),0)</f>
        <v>0.69</v>
      </c>
      <c r="AC523" s="58">
        <f>IFERROR((VLOOKUP($A523,'Dados StatusInvest'!$A:$AZ,COLUMN(AC523)-$A$5,0)),0)</f>
        <v>12.91</v>
      </c>
      <c r="AD523" s="57">
        <f>IFERROR((VLOOKUP($A523,'Dados StatusInvest'!$A:$AZ,COLUMN(AD523)-$A$5,0)),0)</f>
        <v>21.85</v>
      </c>
      <c r="AE523" s="56">
        <f>IFERROR((VLOOKUP($A523,'Dados StatusInvest'!$A:$AZ,COLUMN(AE523)-$A$5,0)),0)</f>
        <v>0</v>
      </c>
      <c r="AF523" s="56">
        <f>IFERROR((VLOOKUP($A523,'Dados StatusInvest'!$A:$AZ,COLUMN(AF523)-$A$5,0)),0)</f>
        <v>4.35</v>
      </c>
      <c r="AG523" s="56">
        <f>IFERROR((VLOOKUP($A523,'Dados StatusInvest'!$A:$AZ,COLUMN(AG523)-$A$5,0)),0)</f>
        <v>0.73</v>
      </c>
      <c r="AH523" s="56">
        <f>IFERROR((VLOOKUP($A523,'Dados StatusInvest'!$A:$AZ,COLUMN(AH523)-$A$5,0)),0)</f>
        <v>-9.27</v>
      </c>
      <c r="AI523" s="57">
        <f>IFERROR((VLOOKUP($A523,'Dados StatusInvest'!$A:$AZ,COLUMN(AI523)-$A$5,0)),0)</f>
        <v>5303977753</v>
      </c>
      <c r="AJ523" s="59" t="str">
        <f>IFERROR((VLOOKUP($A523,'Dados StatusInvest'!$A:$AZ,COLUMN(AJ523)-$A$5,0)),0)</f>
        <v/>
      </c>
      <c r="AK523" s="67" t="str">
        <f>IFERROR(__xludf.DUMMYFUNCTION("IFERROR(GOOGLEFINANCE($A523,""high""),"""")"),"")</f>
        <v/>
      </c>
      <c r="AL523" s="67" t="str">
        <f>IFERROR(__xludf.DUMMYFUNCTION("IFERROR(GOOGLEFINANCE($A523,""low""),"""")"),"")</f>
        <v/>
      </c>
      <c r="AM523" s="70">
        <f t="shared" si="2"/>
        <v>0</v>
      </c>
      <c r="AN523" s="71">
        <f>IFERROR(__xludf.DUMMYFUNCTION("IFERROR((GOOGLEFINANCE($A523,""volume"")),0)"),0.0)</f>
        <v>0</v>
      </c>
      <c r="AO523" s="67">
        <f>IFERROR(__xludf.DUMMYFUNCTION("IFERROR((GOOGLEFINANCE($A523,""closeyest"")),"""")"),26.71)</f>
        <v>26.71</v>
      </c>
      <c r="AP523" s="67">
        <f>IFERROR(__xludf.DUMMYFUNCTION("IFERROR((GOOGLEFINANCE($A523,""shares"")),"""")"),1.52692764E8)</f>
        <v>152692764</v>
      </c>
      <c r="AQ523" s="60"/>
    </row>
    <row r="524">
      <c r="A524" s="45" t="str">
        <f>'Dados StatusInvest'!A519:A1138</f>
        <v>SHUL4</v>
      </c>
      <c r="B524" s="63" t="str">
        <f>IFERROR(__xludf.DUMMYFUNCTION("IFERROR((GOOGLEFINANCE(A524,""name"")),"""")"),"Schulz SA Preference Shares")</f>
        <v>Schulz SA Preference Shares</v>
      </c>
      <c r="C524" s="63" t="str">
        <f>IFERROR((VLOOKUP(LEFT($A524,4),Setor!$A:$E,3,0)),"")</f>
        <v>Bens Industriais</v>
      </c>
      <c r="D524" s="63" t="str">
        <f>IFERROR((VLOOKUP(LEFT($A524,4),Setor!$A:$E,4,0)),"")</f>
        <v>Máquinas e Equipamentos</v>
      </c>
      <c r="E524" s="63" t="str">
        <f>IFERROR((VLOOKUP(LEFT($A524,4),Setor!$A:$E,5,0)),"")</f>
        <v>Motores, Compressores e Outros</v>
      </c>
      <c r="F524" s="64">
        <f>IFERROR(__xludf.DUMMYFUNCTION("IFERROR((GOOGLEFINANCE(A524)),"""")"),5.48)</f>
        <v>5.48</v>
      </c>
      <c r="G524" s="65" t="str">
        <f>IFERROR(__xludf.DUMMYFUNCTION("IFERROR((sparkline(GOOGLEFINANCE($A524,""price"",TODAY()-30,TODAY(),""DAILY""),{""charttype"",""line"";""linewidth"",1;""color"",""#5f88cc""})),"""")"),"")</f>
        <v/>
      </c>
      <c r="H524" s="66">
        <f>IFERROR(__xludf.DUMMYFUNCTION("IFERROR((((GOOGLEFINANCE(A524))-(INDEX(GoogleFinance(A524,""PRICE"",$AQ$1),2,2)))/(INDEX(GoogleFinance(A524,""PRICE"",$AQ$1),2,2))),"""")"),0.1004016064257028)</f>
        <v>0.1004016064</v>
      </c>
      <c r="I524" s="47">
        <f>IFERROR(__xludf.DUMMYFUNCTION("IFERROR((GOOGLEFINANCE($A524,""high52"")),"""")"),5.65)</f>
        <v>5.65</v>
      </c>
      <c r="J524" s="68" t="str">
        <f>IFERROR(__xludf.DUMMYFUNCTION("IFERROR((sparkline(GOOGLEFINANCE($A524,""price"",TODAY()-365,TODAY(),""DAILY""),{""charttype"",""line"";""linewidth"",1;""color"",""#5f88cc""})),"""")"),"")</f>
        <v/>
      </c>
      <c r="K524" s="66">
        <f>IFERROR(__xludf.DUMMYFUNCTION("IFERROR((((GOOGLEFINANCE(A524))-(INDEX(GoogleFinance(A524,""PRICE"",$AP$1),2,2)))/(INDEX(GoogleFinance(A524,""PRICE"",$AP$1),2,2))),"""")"),-0.08053691275167778)</f>
        <v>-0.08053691275</v>
      </c>
      <c r="L524" s="69">
        <f t="shared" si="1"/>
        <v>-0.03008849558</v>
      </c>
      <c r="M524" s="52">
        <f>IFERROR((VLOOKUP($A524,'Dados StatusInvest'!$A:$AZ,COLUMN(M524)-$A$5,0)*VLOOKUP($A524,'Dados StatusInvest'!$A:$AZ,2,0)/$F524/100),0)</f>
        <v>0.1288959854</v>
      </c>
      <c r="N524" s="53">
        <f>IFERROR((VLOOKUP($A524,'Dados StatusInvest'!$A:$AZ,COLUMN(N524)-$A$5,0)/VLOOKUP($A524,'Dados StatusInvest'!$A:$AZ,2,0)*$F524),"")</f>
        <v>12.89877256</v>
      </c>
      <c r="O524" s="53">
        <f>IFERROR((VLOOKUP($A524,'Dados StatusInvest'!$A:$AZ,COLUMN(O524)-$A$5,0)/VLOOKUP($A524,'Dados StatusInvest'!$A:$AZ,2,0)*$F524),0)</f>
        <v>7.675956679</v>
      </c>
      <c r="P524" s="54">
        <f>IFERROR((VLOOKUP($A524,'Dados StatusInvest'!$A:$AZ,COLUMN(P524)-$A$5,0)/VLOOKUP($A524,'Dados StatusInvest'!$A:$AZ,2,0)*$F524),0)</f>
        <v>20.05046931</v>
      </c>
      <c r="Q524" s="55">
        <f>IFERROR((VLOOKUP($A524,'Dados StatusInvest'!$A:$AZ,COLUMN(Q524)-$A$5,0)/100),0)</f>
        <v>-0.0051</v>
      </c>
      <c r="R524" s="56">
        <f>VLOOKUP($A524,'Dados StatusInvest'!$A:$AZ,COLUMN(R524)-$A$5,0)</f>
        <v>-0.08</v>
      </c>
      <c r="S524" s="56">
        <f>IFERROR((VLOOKUP($A524,'Dados StatusInvest'!$A:$AZ,COLUMN(S524)-$A$5,0)),0)</f>
        <v>0.99</v>
      </c>
      <c r="T524" s="53">
        <f>IFERROR((VLOOKUP($A524,'Dados StatusInvest'!$A:$AZ,COLUMN(T524)-$A$5,0)/VLOOKUP($A524,'Dados StatusInvest'!$A:$AZ,2,0)*$F524),0)</f>
        <v>1.55299639</v>
      </c>
      <c r="U524" s="53">
        <f>IFERROR((VLOOKUP($A524,'Dados StatusInvest'!$A:$AZ,COLUMN(U524)-$A$5,0)-VLOOKUP($A524,'Dados StatusInvest'!$A:$AZ,COLUMN(U524)-$A$5-1,0)+T524),0)</f>
        <v>-1.98700361</v>
      </c>
      <c r="V524" s="56">
        <f>IFERROR((VLOOKUP($A524,'Dados StatusInvest'!$A:$AZ,COLUMN(V524)-$A$5,0)),0)</f>
        <v>2.93</v>
      </c>
      <c r="W524" s="56">
        <f>IFERROR((VLOOKUP($A524,'Dados StatusInvest'!$A:$AZ,COLUMN(W524)-$A$5,0)),0)</f>
        <v>16.8</v>
      </c>
      <c r="X524" s="53">
        <f>IFERROR((VLOOKUP($A524,'Dados StatusInvest'!$A:$AZ,COLUMN(X524)-$A$5,0)/VLOOKUP($A524,'Dados StatusInvest'!$A:$AZ,2,0)*$F524),0)</f>
        <v>8.843176895</v>
      </c>
      <c r="Y524" s="54">
        <f>IFERROR((VLOOKUP($A524,'Dados StatusInvest'!$A:$AZ,COLUMN(Y524)-$A$5,0)/VLOOKUP($A524,'Dados StatusInvest'!$A:$AZ,2,0)*$F524),0)</f>
        <v>9.713646209</v>
      </c>
      <c r="Z524" s="56">
        <f>IFERROR((VLOOKUP($A524,'Dados StatusInvest'!$A:$AZ,COLUMN(Z524)-$A$5,0)),0)</f>
        <v>0.53</v>
      </c>
      <c r="AA524" s="57">
        <f>IFERROR((VLOOKUP($A524,'Dados StatusInvest'!$A:$AZ,COLUMN(AA524)-$A$5,0)),0)</f>
        <v>0.47</v>
      </c>
      <c r="AB524" s="57">
        <f>IFERROR((VLOOKUP($A524,'Dados StatusInvest'!$A:$AZ,COLUMN(AB524)-$A$5,0)),0)</f>
        <v>0.69</v>
      </c>
      <c r="AC524" s="58">
        <f>IFERROR((VLOOKUP($A524,'Dados StatusInvest'!$A:$AZ,COLUMN(AC524)-$A$5,0)),0)</f>
        <v>12.91</v>
      </c>
      <c r="AD524" s="57">
        <f>IFERROR((VLOOKUP($A524,'Dados StatusInvest'!$A:$AZ,COLUMN(AD524)-$A$5,0)),0)</f>
        <v>21.85</v>
      </c>
      <c r="AE524" s="56">
        <f>IFERROR((VLOOKUP($A524,'Dados StatusInvest'!$A:$AZ,COLUMN(AE524)-$A$5,0)),0)</f>
        <v>2399025</v>
      </c>
      <c r="AF524" s="56">
        <f>IFERROR((VLOOKUP($A524,'Dados StatusInvest'!$A:$AZ,COLUMN(AF524)-$A$5,0)),0)</f>
        <v>4.35</v>
      </c>
      <c r="AG524" s="56">
        <f>IFERROR((VLOOKUP($A524,'Dados StatusInvest'!$A:$AZ,COLUMN(AG524)-$A$5,0)),0)</f>
        <v>0.73</v>
      </c>
      <c r="AH524" s="56">
        <f>IFERROR((VLOOKUP($A524,'Dados StatusInvest'!$A:$AZ,COLUMN(AH524)-$A$5,0)),0)</f>
        <v>-1.88</v>
      </c>
      <c r="AI524" s="57">
        <f>IFERROR((VLOOKUP($A524,'Dados StatusInvest'!$A:$AZ,COLUMN(AI524)-$A$5,0)),0)</f>
        <v>5303977753</v>
      </c>
      <c r="AJ524" s="59" t="str">
        <f>IFERROR((VLOOKUP($A524,'Dados StatusInvest'!$A:$AZ,COLUMN(AJ524)-$A$5,0)),0)</f>
        <v/>
      </c>
      <c r="AK524" s="67">
        <f>IFERROR(__xludf.DUMMYFUNCTION("IFERROR(GOOGLEFINANCE($A524,""high""),"""")"),5.55)</f>
        <v>5.55</v>
      </c>
      <c r="AL524" s="67">
        <f>IFERROR(__xludf.DUMMYFUNCTION("IFERROR(GOOGLEFINANCE($A524,""low""),"""")"),5.45)</f>
        <v>5.45</v>
      </c>
      <c r="AM524" s="70">
        <f t="shared" si="2"/>
        <v>0.01834862385</v>
      </c>
      <c r="AN524" s="71">
        <f>IFERROR(__xludf.DUMMYFUNCTION("IFERROR((GOOGLEFINANCE($A524,""volume"")),0)"),32800.0)</f>
        <v>32800</v>
      </c>
      <c r="AO524" s="67">
        <f>IFERROR(__xludf.DUMMYFUNCTION("IFERROR((GOOGLEFINANCE($A524,""closeyest"")),"""")"),5.54)</f>
        <v>5.54</v>
      </c>
      <c r="AP524" s="67">
        <f>IFERROR(__xludf.DUMMYFUNCTION("IFERROR((GOOGLEFINANCE($A524,""shares"")),"""")"),2.04682016E8)</f>
        <v>204682016</v>
      </c>
      <c r="AQ524" s="60"/>
    </row>
    <row r="525">
      <c r="A525" s="45" t="str">
        <f>'Dados StatusInvest'!A520:A1139</f>
        <v>SIMH3</v>
      </c>
      <c r="B525" s="63" t="str">
        <f>IFERROR(__xludf.DUMMYFUNCTION("IFERROR((GOOGLEFINANCE(A525,""name"")),"""")"),"Simpar SA")</f>
        <v>Simpar SA</v>
      </c>
      <c r="C525" s="63" t="str">
        <f>IFERROR((VLOOKUP(LEFT($A525,4),Setor!$A:$E,3,0)),"")</f>
        <v>Financeiro</v>
      </c>
      <c r="D525" s="63" t="str">
        <f>IFERROR((VLOOKUP(LEFT($A525,4),Setor!$A:$E,4,0)),"")</f>
        <v>Holdings Diversificadas</v>
      </c>
      <c r="E525" s="63" t="str">
        <f>IFERROR((VLOOKUP(LEFT($A525,4),Setor!$A:$E,5,0)),"")</f>
        <v>Holdings Diversificadas</v>
      </c>
      <c r="F525" s="64">
        <f>IFERROR(__xludf.DUMMYFUNCTION("IFERROR((GOOGLEFINANCE(A525)),"""")"),13.56)</f>
        <v>13.56</v>
      </c>
      <c r="G525" s="65" t="str">
        <f>IFERROR(__xludf.DUMMYFUNCTION("IFERROR((sparkline(GOOGLEFINANCE($A525,""price"",TODAY()-30,TODAY(),""DAILY""),{""charttype"",""line"";""linewidth"",1;""color"",""#5f88cc""})),"""")"),"")</f>
        <v/>
      </c>
      <c r="H525" s="66">
        <f>IFERROR(__xludf.DUMMYFUNCTION("IFERROR((((GOOGLEFINANCE(A525))-(INDEX(GoogleFinance(A525,""PRICE"",$AQ$1),2,2)))/(INDEX(GoogleFinance(A525,""PRICE"",$AQ$1),2,2))),"""")"),1.3179487179487182)</f>
        <v>1.317948718</v>
      </c>
      <c r="I525" s="47">
        <f>IFERROR(__xludf.DUMMYFUNCTION("IFERROR((GOOGLEFINANCE($A525,""high52"")),"""")"),14.9)</f>
        <v>14.9</v>
      </c>
      <c r="J525" s="68" t="str">
        <f>IFERROR(__xludf.DUMMYFUNCTION("IFERROR((sparkline(GOOGLEFINANCE($A525,""price"",TODAY()-365,TODAY(),""DAILY""),{""charttype"",""line"";""linewidth"",1;""color"",""#5f88cc""})),"""")"),"")</f>
        <v/>
      </c>
      <c r="K525" s="66">
        <f>IFERROR(__xludf.DUMMYFUNCTION("IFERROR((((GOOGLEFINANCE(A525))-(INDEX(GoogleFinance(A525,""PRICE"",$AP$1),2,2)))/(INDEX(GoogleFinance(A525,""PRICE"",$AP$1),2,2))),"""")"),2.625668449197861)</f>
        <v>2.625668449</v>
      </c>
      <c r="L525" s="69">
        <f t="shared" si="1"/>
        <v>-0.08993288591</v>
      </c>
      <c r="M525" s="52">
        <f>IFERROR((VLOOKUP($A525,'Dados StatusInvest'!$A:$AZ,COLUMN(M525)-$A$5,0)*VLOOKUP($A525,'Dados StatusInvest'!$A:$AZ,2,0)/$F525/100),0)</f>
        <v>0.1640025074</v>
      </c>
      <c r="N525" s="53">
        <f>IFERROR((VLOOKUP($A525,'Dados StatusInvest'!$A:$AZ,COLUMN(N525)-$A$5,0)/VLOOKUP($A525,'Dados StatusInvest'!$A:$AZ,2,0)*$F525),"")</f>
        <v>-1.474562821</v>
      </c>
      <c r="O525" s="53">
        <f>IFERROR((VLOOKUP($A525,'Dados StatusInvest'!$A:$AZ,COLUMN(O525)-$A$5,0)/VLOOKUP($A525,'Dados StatusInvest'!$A:$AZ,2,0)*$F525),0)</f>
        <v>0.8369140338</v>
      </c>
      <c r="P525" s="54">
        <f>IFERROR((VLOOKUP($A525,'Dados StatusInvest'!$A:$AZ,COLUMN(P525)-$A$5,0)/VLOOKUP($A525,'Dados StatusInvest'!$A:$AZ,2,0)*$F525),0)</f>
        <v>7.153622337</v>
      </c>
      <c r="Q525" s="55">
        <f>IFERROR((VLOOKUP($A525,'Dados StatusInvest'!$A:$AZ,COLUMN(Q525)-$A$5,0)/100),0)</f>
        <v>0.0634</v>
      </c>
      <c r="R525" s="56">
        <f>VLOOKUP($A525,'Dados StatusInvest'!$A:$AZ,COLUMN(R525)-$A$5,0)</f>
        <v>14.23</v>
      </c>
      <c r="S525" s="56">
        <f>IFERROR((VLOOKUP($A525,'Dados StatusInvest'!$A:$AZ,COLUMN(S525)-$A$5,0)),0)</f>
        <v>0.14</v>
      </c>
      <c r="T525" s="53">
        <f>IFERROR((VLOOKUP($A525,'Dados StatusInvest'!$A:$AZ,COLUMN(T525)-$A$5,0)/VLOOKUP($A525,'Dados StatusInvest'!$A:$AZ,2,0)*$F525),0)</f>
        <v>0.7671711976</v>
      </c>
      <c r="U525" s="53">
        <f>IFERROR((VLOOKUP($A525,'Dados StatusInvest'!$A:$AZ,COLUMN(U525)-$A$5,0)-VLOOKUP($A525,'Dados StatusInvest'!$A:$AZ,COLUMN(U525)-$A$5-1,0)+T525),0)</f>
        <v>-0.1128288024</v>
      </c>
      <c r="V525" s="56">
        <f>IFERROR((VLOOKUP($A525,'Dados StatusInvest'!$A:$AZ,COLUMN(V525)-$A$5,0)),0)</f>
        <v>1.37</v>
      </c>
      <c r="W525" s="56">
        <f>IFERROR((VLOOKUP($A525,'Dados StatusInvest'!$A:$AZ,COLUMN(W525)-$A$5,0)),0)</f>
        <v>-20.27</v>
      </c>
      <c r="X525" s="53">
        <f>IFERROR((VLOOKUP($A525,'Dados StatusInvest'!$A:$AZ,COLUMN(X525)-$A$5,0)/VLOOKUP($A525,'Dados StatusInvest'!$A:$AZ,2,0)*$F525),0)</f>
        <v>-0.7572079353</v>
      </c>
      <c r="Y525" s="54">
        <f>IFERROR((VLOOKUP($A525,'Dados StatusInvest'!$A:$AZ,COLUMN(Y525)-$A$5,0)/VLOOKUP($A525,'Dados StatusInvest'!$A:$AZ,2,0)*$F525),0)</f>
        <v>10.86991918</v>
      </c>
      <c r="Z525" s="56">
        <f>IFERROR((VLOOKUP($A525,'Dados StatusInvest'!$A:$AZ,COLUMN(Z525)-$A$5,0)),0)</f>
        <v>0.04</v>
      </c>
      <c r="AA525" s="57">
        <f>IFERROR((VLOOKUP($A525,'Dados StatusInvest'!$A:$AZ,COLUMN(AA525)-$A$5,0)),0)</f>
        <v>0.93</v>
      </c>
      <c r="AB525" s="57">
        <f>IFERROR((VLOOKUP($A525,'Dados StatusInvest'!$A:$AZ,COLUMN(AB525)-$A$5,0)),0)</f>
        <v>0.51</v>
      </c>
      <c r="AC525" s="58">
        <f>IFERROR((VLOOKUP($A525,'Dados StatusInvest'!$A:$AZ,COLUMN(AC525)-$A$5,0)),0)</f>
        <v>33.49</v>
      </c>
      <c r="AD525" s="57">
        <f>IFERROR((VLOOKUP($A525,'Dados StatusInvest'!$A:$AZ,COLUMN(AD525)-$A$5,0)),0)</f>
        <v>0</v>
      </c>
      <c r="AE525" s="56">
        <f>IFERROR((VLOOKUP($A525,'Dados StatusInvest'!$A:$AZ,COLUMN(AE525)-$A$5,0)),0)</f>
        <v>44767676</v>
      </c>
      <c r="AF525" s="56">
        <f>IFERROR((VLOOKUP($A525,'Dados StatusInvest'!$A:$AZ,COLUMN(AF525)-$A$5,0)),0)</f>
        <v>7.22</v>
      </c>
      <c r="AG525" s="56">
        <f>IFERROR((VLOOKUP($A525,'Dados StatusInvest'!$A:$AZ,COLUMN(AG525)-$A$5,0)),0)</f>
        <v>-1.46</v>
      </c>
      <c r="AH525" s="56">
        <f>IFERROR((VLOOKUP($A525,'Dados StatusInvest'!$A:$AZ,COLUMN(AH525)-$A$5,0)),0)</f>
        <v>-0.1</v>
      </c>
      <c r="AI525" s="57">
        <f>IFERROR((VLOOKUP($A525,'Dados StatusInvest'!$A:$AZ,COLUMN(AI525)-$A$5,0)),0)</f>
        <v>5941040820</v>
      </c>
      <c r="AJ525" s="59" t="str">
        <f>IFERROR((VLOOKUP($A525,'Dados StatusInvest'!$A:$AZ,COLUMN(AJ525)-$A$5,0)),0)</f>
        <v/>
      </c>
      <c r="AK525" s="67">
        <f>IFERROR(__xludf.DUMMYFUNCTION("IFERROR(GOOGLEFINANCE($A525,""high""),"""")"),13.57)</f>
        <v>13.57</v>
      </c>
      <c r="AL525" s="67">
        <f>IFERROR(__xludf.DUMMYFUNCTION("IFERROR(GOOGLEFINANCE($A525,""low""),"""")"),13.4)</f>
        <v>13.4</v>
      </c>
      <c r="AM525" s="70">
        <f t="shared" si="2"/>
        <v>0.01268656716</v>
      </c>
      <c r="AN525" s="71">
        <f>IFERROR(__xludf.DUMMYFUNCTION("IFERROR((GOOGLEFINANCE($A525,""volume"")),0)"),99200.0)</f>
        <v>99200</v>
      </c>
      <c r="AO525" s="67">
        <f>IFERROR(__xludf.DUMMYFUNCTION("IFERROR((GOOGLEFINANCE($A525,""closeyest"")),"""")"),13.61)</f>
        <v>13.61</v>
      </c>
      <c r="AP525" s="67">
        <f>IFERROR(__xludf.DUMMYFUNCTION("IFERROR((GOOGLEFINANCE($A525,""shares"")),"""")"),4.36520266E8)</f>
        <v>436520266</v>
      </c>
      <c r="AQ525" s="60"/>
    </row>
    <row r="526">
      <c r="A526" s="45" t="str">
        <f>'Dados StatusInvest'!A521:A1140</f>
        <v>SLCE3</v>
      </c>
      <c r="B526" s="63" t="str">
        <f>IFERROR(__xludf.DUMMYFUNCTION("IFERROR((GOOGLEFINANCE(A526,""name"")),"""")"),"SLC Agricola SA")</f>
        <v>SLC Agricola SA</v>
      </c>
      <c r="C526" s="63" t="str">
        <f>IFERROR((VLOOKUP(LEFT($A526,4),Setor!$A:$E,3,0)),"")</f>
        <v>Consumo não Cíclico</v>
      </c>
      <c r="D526" s="63" t="str">
        <f>IFERROR((VLOOKUP(LEFT($A526,4),Setor!$A:$E,4,0)),"")</f>
        <v>Agropecuária</v>
      </c>
      <c r="E526" s="63" t="str">
        <f>IFERROR((VLOOKUP(LEFT($A526,4),Setor!$A:$E,5,0)),"")</f>
        <v>Agricultura</v>
      </c>
      <c r="F526" s="64">
        <f>IFERROR(__xludf.DUMMYFUNCTION("IFERROR((GOOGLEFINANCE(A526)),"""")"),16.01)</f>
        <v>16.01</v>
      </c>
      <c r="G526" s="65" t="str">
        <f>IFERROR(__xludf.DUMMYFUNCTION("IFERROR((sparkline(GOOGLEFINANCE($A526,""price"",TODAY()-30,TODAY(),""DAILY""),{""charttype"",""line"";""linewidth"",1;""color"",""#5f88cc""})),"""")"),"")</f>
        <v/>
      </c>
      <c r="H526" s="66">
        <f>IFERROR(__xludf.DUMMYFUNCTION("IFERROR((((GOOGLEFINANCE(A526))-(INDEX(GoogleFinance(A526,""PRICE"",$AQ$1),2,2)))/(INDEX(GoogleFinance(A526,""PRICE"",$AQ$1),2,2))),"""")"),0.034237726098191285)</f>
        <v>0.0342377261</v>
      </c>
      <c r="I526" s="47">
        <f>IFERROR(__xludf.DUMMYFUNCTION("IFERROR((GOOGLEFINANCE($A526,""high52"")),"""")"),17.21)</f>
        <v>17.21</v>
      </c>
      <c r="J526" s="68" t="str">
        <f>IFERROR(__xludf.DUMMYFUNCTION("IFERROR((sparkline(GOOGLEFINANCE($A526,""price"",TODAY()-365,TODAY(),""DAILY""),{""charttype"",""line"";""linewidth"",1;""color"",""#5f88cc""})),"""")"),"")</f>
        <v/>
      </c>
      <c r="K526" s="66">
        <f>IFERROR(__xludf.DUMMYFUNCTION("IFERROR((((GOOGLEFINANCE(A526))-(INDEX(GoogleFinance(A526,""PRICE"",$AP$1),2,2)))/(INDEX(GoogleFinance(A526,""PRICE"",$AP$1),2,2))),"""")"),-0.007439553626782235)</f>
        <v>-0.007439553627</v>
      </c>
      <c r="L526" s="69">
        <f t="shared" si="1"/>
        <v>-0.06972690296</v>
      </c>
      <c r="M526" s="52">
        <f>IFERROR((VLOOKUP($A526,'Dados StatusInvest'!$A:$AZ,COLUMN(M526)-$A$5,0)*VLOOKUP($A526,'Dados StatusInvest'!$A:$AZ,2,0)/$F526/100),0)</f>
        <v>0.1982183011</v>
      </c>
      <c r="N526" s="53">
        <f>IFERROR((VLOOKUP($A526,'Dados StatusInvest'!$A:$AZ,COLUMN(N526)-$A$5,0)/VLOOKUP($A526,'Dados StatusInvest'!$A:$AZ,2,0)*$F526),"")</f>
        <v>6.850099071</v>
      </c>
      <c r="O526" s="53">
        <f>IFERROR((VLOOKUP($A526,'Dados StatusInvest'!$A:$AZ,COLUMN(O526)-$A$5,0)/VLOOKUP($A526,'Dados StatusInvest'!$A:$AZ,2,0)*$F526),0)</f>
        <v>4.272637771</v>
      </c>
      <c r="P526" s="54">
        <f>IFERROR((VLOOKUP($A526,'Dados StatusInvest'!$A:$AZ,COLUMN(P526)-$A$5,0)/VLOOKUP($A526,'Dados StatusInvest'!$A:$AZ,2,0)*$F526),0)</f>
        <v>7.43498452</v>
      </c>
      <c r="Q526" s="55">
        <f>IFERROR((VLOOKUP($A526,'Dados StatusInvest'!$A:$AZ,COLUMN(Q526)-$A$5,0)/100),0)</f>
        <v>0.0319</v>
      </c>
      <c r="R526" s="56">
        <f>VLOOKUP($A526,'Dados StatusInvest'!$A:$AZ,COLUMN(R526)-$A$5,0)</f>
        <v>1.13</v>
      </c>
      <c r="S526" s="56">
        <f>IFERROR((VLOOKUP($A526,'Dados StatusInvest'!$A:$AZ,COLUMN(S526)-$A$5,0)),0)</f>
        <v>0.85</v>
      </c>
      <c r="T526" s="53">
        <f>IFERROR((VLOOKUP($A526,'Dados StatusInvest'!$A:$AZ,COLUMN(T526)-$A$5,0)/VLOOKUP($A526,'Dados StatusInvest'!$A:$AZ,2,0)*$F526),0)</f>
        <v>2.508068111</v>
      </c>
      <c r="U526" s="53">
        <f>IFERROR((VLOOKUP($A526,'Dados StatusInvest'!$A:$AZ,COLUMN(U526)-$A$5,0)-VLOOKUP($A526,'Dados StatusInvest'!$A:$AZ,COLUMN(U526)-$A$5-1,0)+T526),0)</f>
        <v>-0.7219318885</v>
      </c>
      <c r="V526" s="56">
        <f>IFERROR((VLOOKUP($A526,'Dados StatusInvest'!$A:$AZ,COLUMN(V526)-$A$5,0)),0)</f>
        <v>1.55</v>
      </c>
      <c r="W526" s="56">
        <f>IFERROR((VLOOKUP($A526,'Dados StatusInvest'!$A:$AZ,COLUMN(W526)-$A$5,0)),0)</f>
        <v>12.49</v>
      </c>
      <c r="X526" s="53">
        <f>IFERROR((VLOOKUP($A526,'Dados StatusInvest'!$A:$AZ,COLUMN(X526)-$A$5,0)/VLOOKUP($A526,'Dados StatusInvest'!$A:$AZ,2,0)*$F526),0)</f>
        <v>3.172260062</v>
      </c>
      <c r="Y526" s="54">
        <f>IFERROR((VLOOKUP($A526,'Dados StatusInvest'!$A:$AZ,COLUMN(Y526)-$A$5,0)/VLOOKUP($A526,'Dados StatusInvest'!$A:$AZ,2,0)*$F526),0)</f>
        <v>11.54900929</v>
      </c>
      <c r="Z526" s="56">
        <f>IFERROR((VLOOKUP($A526,'Dados StatusInvest'!$A:$AZ,COLUMN(Z526)-$A$5,0)),0)</f>
        <v>0.26</v>
      </c>
      <c r="AA526" s="57">
        <f>IFERROR((VLOOKUP($A526,'Dados StatusInvest'!$A:$AZ,COLUMN(AA526)-$A$5,0)),0)</f>
        <v>0.74</v>
      </c>
      <c r="AB526" s="57">
        <f>IFERROR((VLOOKUP($A526,'Dados StatusInvest'!$A:$AZ,COLUMN(AB526)-$A$5,0)),0)</f>
        <v>0.46</v>
      </c>
      <c r="AC526" s="58">
        <f>IFERROR((VLOOKUP($A526,'Dados StatusInvest'!$A:$AZ,COLUMN(AC526)-$A$5,0)),0)</f>
        <v>20.74</v>
      </c>
      <c r="AD526" s="57">
        <f>IFERROR((VLOOKUP($A526,'Dados StatusInvest'!$A:$AZ,COLUMN(AD526)-$A$5,0)),0)</f>
        <v>16.12</v>
      </c>
      <c r="AE526" s="56">
        <f>IFERROR((VLOOKUP($A526,'Dados StatusInvest'!$A:$AZ,COLUMN(AE526)-$A$5,0)),0)</f>
        <v>33396585</v>
      </c>
      <c r="AF526" s="56">
        <f>IFERROR((VLOOKUP($A526,'Dados StatusInvest'!$A:$AZ,COLUMN(AF526)-$A$5,0)),0)</f>
        <v>10.56</v>
      </c>
      <c r="AG526" s="56">
        <f>IFERROR((VLOOKUP($A526,'Dados StatusInvest'!$A:$AZ,COLUMN(AG526)-$A$5,0)),0)</f>
        <v>1.32</v>
      </c>
      <c r="AH526" s="56">
        <f>IFERROR((VLOOKUP($A526,'Dados StatusInvest'!$A:$AZ,COLUMN(AH526)-$A$5,0)),0)</f>
        <v>0.19</v>
      </c>
      <c r="AI526" s="57">
        <f>IFERROR((VLOOKUP($A526,'Dados StatusInvest'!$A:$AZ,COLUMN(AI526)-$A$5,0)),0)</f>
        <v>8054746770</v>
      </c>
      <c r="AJ526" s="59" t="str">
        <f>IFERROR((VLOOKUP($A526,'Dados StatusInvest'!$A:$AZ,COLUMN(AJ526)-$A$5,0)),0)</f>
        <v/>
      </c>
      <c r="AK526" s="67">
        <f>IFERROR(__xludf.DUMMYFUNCTION("IFERROR(GOOGLEFINANCE($A526,""high""),"""")"),16.09)</f>
        <v>16.09</v>
      </c>
      <c r="AL526" s="67">
        <f>IFERROR(__xludf.DUMMYFUNCTION("IFERROR(GOOGLEFINANCE($A526,""low""),"""")"),15.98)</f>
        <v>15.98</v>
      </c>
      <c r="AM526" s="70">
        <f t="shared" si="2"/>
        <v>0.006883604506</v>
      </c>
      <c r="AN526" s="71">
        <f>IFERROR(__xludf.DUMMYFUNCTION("IFERROR((GOOGLEFINANCE($A526,""volume"")),0)"),117000.0)</f>
        <v>117000</v>
      </c>
      <c r="AO526" s="67">
        <f>IFERROR(__xludf.DUMMYFUNCTION("IFERROR((GOOGLEFINANCE($A526,""closeyest"")),"""")"),16.15)</f>
        <v>16.15</v>
      </c>
      <c r="AP526" s="67">
        <f>IFERROR(__xludf.DUMMYFUNCTION("IFERROR((GOOGLEFINANCE($A526,""shares"")),"""")"),4.9874593E8)</f>
        <v>498745930</v>
      </c>
      <c r="AQ526" s="60"/>
    </row>
    <row r="527">
      <c r="A527" s="45" t="str">
        <f>'Dados StatusInvest'!A522:A1141</f>
        <v>SLED3</v>
      </c>
      <c r="B527" s="63" t="str">
        <f>IFERROR(__xludf.DUMMYFUNCTION("IFERROR((GOOGLEFINANCE(A527,""name"")),"""")"),"")</f>
        <v/>
      </c>
      <c r="C527" s="63" t="str">
        <f>IFERROR((VLOOKUP(LEFT($A527,4),Setor!$A:$E,3,0)),"")</f>
        <v>Consumo Cíclico</v>
      </c>
      <c r="D527" s="63" t="str">
        <f>IFERROR((VLOOKUP(LEFT($A527,4),Setor!$A:$E,4,0)),"")</f>
        <v>Comércio</v>
      </c>
      <c r="E527" s="63" t="str">
        <f>IFERROR((VLOOKUP(LEFT($A527,4),Setor!$A:$E,5,0)),"")</f>
        <v>Produtos Diversos</v>
      </c>
      <c r="F527" s="64" t="str">
        <f>IFERROR(__xludf.DUMMYFUNCTION("IFERROR((GOOGLEFINANCE(A527)),"""")"),"")</f>
        <v/>
      </c>
      <c r="G527" s="65" t="str">
        <f>IFERROR(__xludf.DUMMYFUNCTION("IFERROR((sparkline(GOOGLEFINANCE($A527,""price"",TODAY()-30,TODAY(),""DAILY""),{""charttype"",""line"";""linewidth"",1;""color"",""#5f88cc""})),"""")"),"")</f>
        <v/>
      </c>
      <c r="H527" s="66" t="str">
        <f>IFERROR(__xludf.DUMMYFUNCTION("IFERROR((((GOOGLEFINANCE(A527))-(INDEX(GoogleFinance(A527,""PRICE"",$AQ$1),2,2)))/(INDEX(GoogleFinance(A527,""PRICE"",$AQ$1),2,2))),"""")"),"")</f>
        <v/>
      </c>
      <c r="I527" s="47" t="str">
        <f>IFERROR(__xludf.DUMMYFUNCTION("IFERROR((GOOGLEFINANCE($A527,""high52"")),"""")"),"")</f>
        <v/>
      </c>
      <c r="J527" s="68" t="str">
        <f>IFERROR(__xludf.DUMMYFUNCTION("IFERROR((sparkline(GOOGLEFINANCE($A527,""price"",TODAY()-365,TODAY(),""DAILY""),{""charttype"",""line"";""linewidth"",1;""color"",""#5f88cc""})),"""")"),"")</f>
        <v/>
      </c>
      <c r="K527" s="66" t="str">
        <f>IFERROR(__xludf.DUMMYFUNCTION("IFERROR((((GOOGLEFINANCE(A527))-(INDEX(GoogleFinance(A527,""PRICE"",$AP$1),2,2)))/(INDEX(GoogleFinance(A527,""PRICE"",$AP$1),2,2))),"""")"),"")</f>
        <v/>
      </c>
      <c r="L527" s="69">
        <f t="shared" si="1"/>
        <v>0</v>
      </c>
      <c r="M527" s="52">
        <f>IFERROR((VLOOKUP($A527,'Dados StatusInvest'!$A:$AZ,COLUMN(M527)-$A$5,0)*VLOOKUP($A527,'Dados StatusInvest'!$A:$AZ,2,0)/$F527/100),0)</f>
        <v>0</v>
      </c>
      <c r="N527" s="53">
        <f>IFERROR((VLOOKUP($A527,'Dados StatusInvest'!$A:$AZ,COLUMN(N527)-$A$5,0)/VLOOKUP($A527,'Dados StatusInvest'!$A:$AZ,2,0)*$F527),"")</f>
        <v>0</v>
      </c>
      <c r="O527" s="53">
        <f>IFERROR((VLOOKUP($A527,'Dados StatusInvest'!$A:$AZ,COLUMN(O527)-$A$5,0)/VLOOKUP($A527,'Dados StatusInvest'!$A:$AZ,2,0)*$F527),0)</f>
        <v>0</v>
      </c>
      <c r="P527" s="54">
        <f>IFERROR((VLOOKUP($A527,'Dados StatusInvest'!$A:$AZ,COLUMN(P527)-$A$5,0)/VLOOKUP($A527,'Dados StatusInvest'!$A:$AZ,2,0)*$F527),0)</f>
        <v>0</v>
      </c>
      <c r="Q527" s="55">
        <f>IFERROR((VLOOKUP($A527,'Dados StatusInvest'!$A:$AZ,COLUMN(Q527)-$A$5,0)/100),0)</f>
        <v>0.0065</v>
      </c>
      <c r="R527" s="56">
        <f>VLOOKUP($A527,'Dados StatusInvest'!$A:$AZ,COLUMN(R527)-$A$5,0)</f>
        <v>0</v>
      </c>
      <c r="S527" s="56">
        <f>IFERROR((VLOOKUP($A527,'Dados StatusInvest'!$A:$AZ,COLUMN(S527)-$A$5,0)),0)</f>
        <v>0.42</v>
      </c>
      <c r="T527" s="53">
        <f>IFERROR((VLOOKUP($A527,'Dados StatusInvest'!$A:$AZ,COLUMN(T527)-$A$5,0)/VLOOKUP($A527,'Dados StatusInvest'!$A:$AZ,2,0)*$F527),0)</f>
        <v>0</v>
      </c>
      <c r="U527" s="53">
        <f>IFERROR((VLOOKUP($A527,'Dados StatusInvest'!$A:$AZ,COLUMN(U527)-$A$5,0)-VLOOKUP($A527,'Dados StatusInvest'!$A:$AZ,COLUMN(U527)-$A$5-1,0)+T527),0)</f>
        <v>-0.52</v>
      </c>
      <c r="V527" s="56">
        <f>IFERROR((VLOOKUP($A527,'Dados StatusInvest'!$A:$AZ,COLUMN(V527)-$A$5,0)),0)</f>
        <v>0.12</v>
      </c>
      <c r="W527" s="56">
        <f>IFERROR((VLOOKUP($A527,'Dados StatusInvest'!$A:$AZ,COLUMN(W527)-$A$5,0)),0)</f>
        <v>-18.07</v>
      </c>
      <c r="X527" s="53">
        <f>IFERROR((VLOOKUP($A527,'Dados StatusInvest'!$A:$AZ,COLUMN(X527)-$A$5,0)/VLOOKUP($A527,'Dados StatusInvest'!$A:$AZ,2,0)*$F527),0)</f>
        <v>0</v>
      </c>
      <c r="Y527" s="54">
        <f>IFERROR((VLOOKUP($A527,'Dados StatusInvest'!$A:$AZ,COLUMN(Y527)-$A$5,0)/VLOOKUP($A527,'Dados StatusInvest'!$A:$AZ,2,0)*$F527),0)</f>
        <v>0</v>
      </c>
      <c r="Z527" s="56">
        <f>IFERROR((VLOOKUP($A527,'Dados StatusInvest'!$A:$AZ,COLUMN(Z527)-$A$5,0)),0)</f>
        <v>-5.92</v>
      </c>
      <c r="AA527" s="57">
        <f>IFERROR((VLOOKUP($A527,'Dados StatusInvest'!$A:$AZ,COLUMN(AA527)-$A$5,0)),0)</f>
        <v>6.92</v>
      </c>
      <c r="AB527" s="57">
        <f>IFERROR((VLOOKUP($A527,'Dados StatusInvest'!$A:$AZ,COLUMN(AB527)-$A$5,0)),0)</f>
        <v>1.15</v>
      </c>
      <c r="AC527" s="58">
        <f>IFERROR((VLOOKUP($A527,'Dados StatusInvest'!$A:$AZ,COLUMN(AC527)-$A$5,0)),0)</f>
        <v>-45.03</v>
      </c>
      <c r="AD527" s="57">
        <f>IFERROR((VLOOKUP($A527,'Dados StatusInvest'!$A:$AZ,COLUMN(AD527)-$A$5,0)),0)</f>
        <v>0</v>
      </c>
      <c r="AE527" s="56">
        <f>IFERROR((VLOOKUP($A527,'Dados StatusInvest'!$A:$AZ,COLUMN(AE527)-$A$5,0)),0)</f>
        <v>0</v>
      </c>
      <c r="AF527" s="56">
        <f>IFERROR((VLOOKUP($A527,'Dados StatusInvest'!$A:$AZ,COLUMN(AF527)-$A$5,0)),0)</f>
        <v>-39.57</v>
      </c>
      <c r="AG527" s="56">
        <f>IFERROR((VLOOKUP($A527,'Dados StatusInvest'!$A:$AZ,COLUMN(AG527)-$A$5,0)),0)</f>
        <v>7.15</v>
      </c>
      <c r="AH527" s="56">
        <f>IFERROR((VLOOKUP($A527,'Dados StatusInvest'!$A:$AZ,COLUMN(AH527)-$A$5,0)),0)</f>
        <v>-0.02</v>
      </c>
      <c r="AI527" s="57">
        <f>IFERROR((VLOOKUP($A527,'Dados StatusInvest'!$A:$AZ,COLUMN(AI527)-$A$5,0)),0)</f>
        <v>16497692.59</v>
      </c>
      <c r="AJ527" s="59" t="str">
        <f>IFERROR((VLOOKUP($A527,'Dados StatusInvest'!$A:$AZ,COLUMN(AJ527)-$A$5,0)),0)</f>
        <v/>
      </c>
      <c r="AK527" s="67" t="str">
        <f>IFERROR(__xludf.DUMMYFUNCTION("IFERROR(GOOGLEFINANCE($A527,""high""),"""")"),"")</f>
        <v/>
      </c>
      <c r="AL527" s="67" t="str">
        <f>IFERROR(__xludf.DUMMYFUNCTION("IFERROR(GOOGLEFINANCE($A527,""low""),"""")"),"")</f>
        <v/>
      </c>
      <c r="AM527" s="70">
        <f t="shared" si="2"/>
        <v>0</v>
      </c>
      <c r="AN527" s="71">
        <f>IFERROR(__xludf.DUMMYFUNCTION("IFERROR((GOOGLEFINANCE($A527,""volume"")),0)"),0.0)</f>
        <v>0</v>
      </c>
      <c r="AO527" s="67" t="str">
        <f>IFERROR(__xludf.DUMMYFUNCTION("IFERROR((GOOGLEFINANCE($A527,""closeyest"")),"""")"),"")</f>
        <v/>
      </c>
      <c r="AP527" s="67" t="str">
        <f>IFERROR(__xludf.DUMMYFUNCTION("IFERROR((GOOGLEFINANCE($A527,""shares"")),"""")"),"")</f>
        <v/>
      </c>
      <c r="AQ527" s="60"/>
    </row>
    <row r="528">
      <c r="A528" s="45" t="str">
        <f>'Dados StatusInvest'!A523:A1142</f>
        <v>SLED4</v>
      </c>
      <c r="B528" s="63" t="str">
        <f>IFERROR(__xludf.DUMMYFUNCTION("IFERROR((GOOGLEFINANCE(A528,""name"")),"""")"),"")</f>
        <v/>
      </c>
      <c r="C528" s="63" t="str">
        <f>IFERROR((VLOOKUP(LEFT($A528,4),Setor!$A:$E,3,0)),"")</f>
        <v>Consumo Cíclico</v>
      </c>
      <c r="D528" s="63" t="str">
        <f>IFERROR((VLOOKUP(LEFT($A528,4),Setor!$A:$E,4,0)),"")</f>
        <v>Comércio</v>
      </c>
      <c r="E528" s="63" t="str">
        <f>IFERROR((VLOOKUP(LEFT($A528,4),Setor!$A:$E,5,0)),"")</f>
        <v>Produtos Diversos</v>
      </c>
      <c r="F528" s="64" t="str">
        <f>IFERROR(__xludf.DUMMYFUNCTION("IFERROR((GOOGLEFINANCE(A528)),"""")"),"")</f>
        <v/>
      </c>
      <c r="G528" s="65" t="str">
        <f>IFERROR(__xludf.DUMMYFUNCTION("IFERROR((sparkline(GOOGLEFINANCE($A528,""price"",TODAY()-30,TODAY(),""DAILY""),{""charttype"",""line"";""linewidth"",1;""color"",""#5f88cc""})),"""")"),"")</f>
        <v/>
      </c>
      <c r="H528" s="66" t="str">
        <f>IFERROR(__xludf.DUMMYFUNCTION("IFERROR((((GOOGLEFINANCE(A528))-(INDEX(GoogleFinance(A528,""PRICE"",$AQ$1),2,2)))/(INDEX(GoogleFinance(A528,""PRICE"",$AQ$1),2,2))),"""")"),"")</f>
        <v/>
      </c>
      <c r="I528" s="47" t="str">
        <f>IFERROR(__xludf.DUMMYFUNCTION("IFERROR((GOOGLEFINANCE($A528,""high52"")),"""")"),"")</f>
        <v/>
      </c>
      <c r="J528" s="68" t="str">
        <f>IFERROR(__xludf.DUMMYFUNCTION("IFERROR((sparkline(GOOGLEFINANCE($A528,""price"",TODAY()-365,TODAY(),""DAILY""),{""charttype"",""line"";""linewidth"",1;""color"",""#5f88cc""})),"""")"),"")</f>
        <v/>
      </c>
      <c r="K528" s="66" t="str">
        <f>IFERROR(__xludf.DUMMYFUNCTION("IFERROR((((GOOGLEFINANCE(A528))-(INDEX(GoogleFinance(A528,""PRICE"",$AP$1),2,2)))/(INDEX(GoogleFinance(A528,""PRICE"",$AP$1),2,2))),"""")"),"")</f>
        <v/>
      </c>
      <c r="L528" s="69">
        <f t="shared" si="1"/>
        <v>0</v>
      </c>
      <c r="M528" s="52">
        <f>IFERROR((VLOOKUP($A528,'Dados StatusInvest'!$A:$AZ,COLUMN(M528)-$A$5,0)*VLOOKUP($A528,'Dados StatusInvest'!$A:$AZ,2,0)/$F528/100),0)</f>
        <v>0</v>
      </c>
      <c r="N528" s="53">
        <f>IFERROR((VLOOKUP($A528,'Dados StatusInvest'!$A:$AZ,COLUMN(N528)-$A$5,0)/VLOOKUP($A528,'Dados StatusInvest'!$A:$AZ,2,0)*$F528),"")</f>
        <v>0</v>
      </c>
      <c r="O528" s="53">
        <f>IFERROR((VLOOKUP($A528,'Dados StatusInvest'!$A:$AZ,COLUMN(O528)-$A$5,0)/VLOOKUP($A528,'Dados StatusInvest'!$A:$AZ,2,0)*$F528),0)</f>
        <v>0</v>
      </c>
      <c r="P528" s="54">
        <f>IFERROR((VLOOKUP($A528,'Dados StatusInvest'!$A:$AZ,COLUMN(P528)-$A$5,0)/VLOOKUP($A528,'Dados StatusInvest'!$A:$AZ,2,0)*$F528),0)</f>
        <v>0</v>
      </c>
      <c r="Q528" s="55">
        <f>IFERROR((VLOOKUP($A528,'Dados StatusInvest'!$A:$AZ,COLUMN(Q528)-$A$5,0)/100),0)</f>
        <v>0.0065</v>
      </c>
      <c r="R528" s="56">
        <f>VLOOKUP($A528,'Dados StatusInvest'!$A:$AZ,COLUMN(R528)-$A$5,0)</f>
        <v>0</v>
      </c>
      <c r="S528" s="56">
        <f>IFERROR((VLOOKUP($A528,'Dados StatusInvest'!$A:$AZ,COLUMN(S528)-$A$5,0)),0)</f>
        <v>0.21</v>
      </c>
      <c r="T528" s="53">
        <f>IFERROR((VLOOKUP($A528,'Dados StatusInvest'!$A:$AZ,COLUMN(T528)-$A$5,0)/VLOOKUP($A528,'Dados StatusInvest'!$A:$AZ,2,0)*$F528),0)</f>
        <v>0</v>
      </c>
      <c r="U528" s="53">
        <f>IFERROR((VLOOKUP($A528,'Dados StatusInvest'!$A:$AZ,COLUMN(U528)-$A$5,0)-VLOOKUP($A528,'Dados StatusInvest'!$A:$AZ,COLUMN(U528)-$A$5-1,0)+T528),0)</f>
        <v>-0.26</v>
      </c>
      <c r="V528" s="56">
        <f>IFERROR((VLOOKUP($A528,'Dados StatusInvest'!$A:$AZ,COLUMN(V528)-$A$5,0)),0)</f>
        <v>0.12</v>
      </c>
      <c r="W528" s="56">
        <f>IFERROR((VLOOKUP($A528,'Dados StatusInvest'!$A:$AZ,COLUMN(W528)-$A$5,0)),0)</f>
        <v>-18.07</v>
      </c>
      <c r="X528" s="53">
        <f>IFERROR((VLOOKUP($A528,'Dados StatusInvest'!$A:$AZ,COLUMN(X528)-$A$5,0)/VLOOKUP($A528,'Dados StatusInvest'!$A:$AZ,2,0)*$F528),0)</f>
        <v>0</v>
      </c>
      <c r="Y528" s="54">
        <f>IFERROR((VLOOKUP($A528,'Dados StatusInvest'!$A:$AZ,COLUMN(Y528)-$A$5,0)/VLOOKUP($A528,'Dados StatusInvest'!$A:$AZ,2,0)*$F528),0)</f>
        <v>0</v>
      </c>
      <c r="Z528" s="56">
        <f>IFERROR((VLOOKUP($A528,'Dados StatusInvest'!$A:$AZ,COLUMN(Z528)-$A$5,0)),0)</f>
        <v>-5.92</v>
      </c>
      <c r="AA528" s="57">
        <f>IFERROR((VLOOKUP($A528,'Dados StatusInvest'!$A:$AZ,COLUMN(AA528)-$A$5,0)),0)</f>
        <v>6.92</v>
      </c>
      <c r="AB528" s="57">
        <f>IFERROR((VLOOKUP($A528,'Dados StatusInvest'!$A:$AZ,COLUMN(AB528)-$A$5,0)),0)</f>
        <v>1.15</v>
      </c>
      <c r="AC528" s="58">
        <f>IFERROR((VLOOKUP($A528,'Dados StatusInvest'!$A:$AZ,COLUMN(AC528)-$A$5,0)),0)</f>
        <v>-45.03</v>
      </c>
      <c r="AD528" s="57">
        <f>IFERROR((VLOOKUP($A528,'Dados StatusInvest'!$A:$AZ,COLUMN(AD528)-$A$5,0)),0)</f>
        <v>0</v>
      </c>
      <c r="AE528" s="56">
        <f>IFERROR((VLOOKUP($A528,'Dados StatusInvest'!$A:$AZ,COLUMN(AE528)-$A$5,0)),0)</f>
        <v>0</v>
      </c>
      <c r="AF528" s="56">
        <f>IFERROR((VLOOKUP($A528,'Dados StatusInvest'!$A:$AZ,COLUMN(AF528)-$A$5,0)),0)</f>
        <v>-39.57</v>
      </c>
      <c r="AG528" s="56">
        <f>IFERROR((VLOOKUP($A528,'Dados StatusInvest'!$A:$AZ,COLUMN(AG528)-$A$5,0)),0)</f>
        <v>7.15</v>
      </c>
      <c r="AH528" s="56">
        <f>IFERROR((VLOOKUP($A528,'Dados StatusInvest'!$A:$AZ,COLUMN(AH528)-$A$5,0)),0)</f>
        <v>-0.01</v>
      </c>
      <c r="AI528" s="57">
        <f>IFERROR((VLOOKUP($A528,'Dados StatusInvest'!$A:$AZ,COLUMN(AI528)-$A$5,0)),0)</f>
        <v>16497692.59</v>
      </c>
      <c r="AJ528" s="59" t="str">
        <f>IFERROR((VLOOKUP($A528,'Dados StatusInvest'!$A:$AZ,COLUMN(AJ528)-$A$5,0)),0)</f>
        <v/>
      </c>
      <c r="AK528" s="67" t="str">
        <f>IFERROR(__xludf.DUMMYFUNCTION("IFERROR(GOOGLEFINANCE($A528,""high""),"""")"),"")</f>
        <v/>
      </c>
      <c r="AL528" s="67" t="str">
        <f>IFERROR(__xludf.DUMMYFUNCTION("IFERROR(GOOGLEFINANCE($A528,""low""),"""")"),"")</f>
        <v/>
      </c>
      <c r="AM528" s="70">
        <f t="shared" si="2"/>
        <v>0</v>
      </c>
      <c r="AN528" s="71">
        <f>IFERROR(__xludf.DUMMYFUNCTION("IFERROR((GOOGLEFINANCE($A528,""volume"")),0)"),0.0)</f>
        <v>0</v>
      </c>
      <c r="AO528" s="67" t="str">
        <f>IFERROR(__xludf.DUMMYFUNCTION("IFERROR((GOOGLEFINANCE($A528,""closeyest"")),"""")"),"")</f>
        <v/>
      </c>
      <c r="AP528" s="67" t="str">
        <f>IFERROR(__xludf.DUMMYFUNCTION("IFERROR((GOOGLEFINANCE($A528,""shares"")),"""")"),"")</f>
        <v/>
      </c>
      <c r="AQ528" s="60"/>
    </row>
    <row r="529">
      <c r="A529" s="45" t="str">
        <f>'Dados StatusInvest'!A524:A1143</f>
        <v>SMFT3</v>
      </c>
      <c r="B529" s="63" t="str">
        <f>IFERROR(__xludf.DUMMYFUNCTION("IFERROR((GOOGLEFINANCE(A529,""name"")),"""")"),"Smartfit Escola de Ginastica e Danca SA")</f>
        <v>Smartfit Escola de Ginastica e Danca SA</v>
      </c>
      <c r="C529" s="63" t="str">
        <f>IFERROR((VLOOKUP(LEFT($A529,4),Setor!$A:$E,3,0)),"")</f>
        <v>Consumo Cíclico</v>
      </c>
      <c r="D529" s="63" t="str">
        <f>IFERROR((VLOOKUP(LEFT($A529,4),Setor!$A:$E,4,0)),"")</f>
        <v>Viagens e Lazer</v>
      </c>
      <c r="E529" s="63" t="str">
        <f>IFERROR((VLOOKUP(LEFT($A529,4),Setor!$A:$E,5,0)),"")</f>
        <v>Atividades Esportivas</v>
      </c>
      <c r="F529" s="64">
        <f>IFERROR(__xludf.DUMMYFUNCTION("IFERROR((GOOGLEFINANCE(A529)),"""")"),21.04)</f>
        <v>21.04</v>
      </c>
      <c r="G529" s="65" t="str">
        <f>IFERROR(__xludf.DUMMYFUNCTION("IFERROR((sparkline(GOOGLEFINANCE($A529,""price"",TODAY()-30,TODAY(),""DAILY""),{""charttype"",""line"";""linewidth"",1;""color"",""#5f88cc""})),"""")"),"")</f>
        <v/>
      </c>
      <c r="H529" s="66">
        <f>IFERROR(__xludf.DUMMYFUNCTION("IFERROR((((GOOGLEFINANCE(A529))-(INDEX(GoogleFinance(A529,""PRICE"",$AQ$1),2,2)))/(INDEX(GoogleFinance(A529,""PRICE"",$AQ$1),2,2))),"""")"),-0.02139534883720934)</f>
        <v>-0.02139534884</v>
      </c>
      <c r="I529" s="47">
        <f>IFERROR(__xludf.DUMMYFUNCTION("IFERROR((GOOGLEFINANCE($A529,""high52"")),"""")"),26.61)</f>
        <v>26.61</v>
      </c>
      <c r="J529" s="68" t="str">
        <f>IFERROR(__xludf.DUMMYFUNCTION("IFERROR((sparkline(GOOGLEFINANCE($A529,""price"",TODAY()-365,TODAY(),""DAILY""),{""charttype"",""line"";""linewidth"",1;""color"",""#5f88cc""})),"""")"),"")</f>
        <v/>
      </c>
      <c r="K529" s="66">
        <f>IFERROR(__xludf.DUMMYFUNCTION("IFERROR((((GOOGLEFINANCE(A529))-(INDEX(GoogleFinance(A529,""PRICE"",$AP$1),2,2)))/(INDEX(GoogleFinance(A529,""PRICE"",$AP$1),2,2))),"""")"),0.07511497189575876)</f>
        <v>0.0751149719</v>
      </c>
      <c r="L529" s="69">
        <f t="shared" si="1"/>
        <v>-0.2093198046</v>
      </c>
      <c r="M529" s="52">
        <f>IFERROR((VLOOKUP($A529,'Dados StatusInvest'!$A:$AZ,COLUMN(M529)-$A$5,0)*VLOOKUP($A529,'Dados StatusInvest'!$A:$AZ,2,0)/$F529/100),0)</f>
        <v>0.2365879278</v>
      </c>
      <c r="N529" s="53">
        <f>IFERROR((VLOOKUP($A529,'Dados StatusInvest'!$A:$AZ,COLUMN(N529)-$A$5,0)/VLOOKUP($A529,'Dados StatusInvest'!$A:$AZ,2,0)*$F529),"")</f>
        <v>8.514779343</v>
      </c>
      <c r="O529" s="53">
        <f>IFERROR((VLOOKUP($A529,'Dados StatusInvest'!$A:$AZ,COLUMN(O529)-$A$5,0)/VLOOKUP($A529,'Dados StatusInvest'!$A:$AZ,2,0)*$F529),0)</f>
        <v>8.119661972</v>
      </c>
      <c r="P529" s="54">
        <f>IFERROR((VLOOKUP($A529,'Dados StatusInvest'!$A:$AZ,COLUMN(P529)-$A$5,0)/VLOOKUP($A529,'Dados StatusInvest'!$A:$AZ,2,0)*$F529),0)</f>
        <v>10.1742723</v>
      </c>
      <c r="Q529" s="55">
        <f>IFERROR((VLOOKUP($A529,'Dados StatusInvest'!$A:$AZ,COLUMN(Q529)-$A$5,0)/100),0)</f>
        <v>0.0209</v>
      </c>
      <c r="R529" s="56">
        <f>VLOOKUP($A529,'Dados StatusInvest'!$A:$AZ,COLUMN(R529)-$A$5,0)</f>
        <v>0.58</v>
      </c>
      <c r="S529" s="56">
        <f>IFERROR((VLOOKUP($A529,'Dados StatusInvest'!$A:$AZ,COLUMN(S529)-$A$5,0)),0)</f>
        <v>1.92</v>
      </c>
      <c r="T529" s="53">
        <f>IFERROR((VLOOKUP($A529,'Dados StatusInvest'!$A:$AZ,COLUMN(T529)-$A$5,0)/VLOOKUP($A529,'Dados StatusInvest'!$A:$AZ,2,0)*$F529),0)</f>
        <v>9.660619718</v>
      </c>
      <c r="U529" s="53">
        <f>IFERROR((VLOOKUP($A529,'Dados StatusInvest'!$A:$AZ,COLUMN(U529)-$A$5,0)-VLOOKUP($A529,'Dados StatusInvest'!$A:$AZ,COLUMN(U529)-$A$5-1,0)+T529),0)</f>
        <v>-0.9993802817</v>
      </c>
      <c r="V529" s="56">
        <f>IFERROR((VLOOKUP($A529,'Dados StatusInvest'!$A:$AZ,COLUMN(V529)-$A$5,0)),0)</f>
        <v>1.46</v>
      </c>
      <c r="W529" s="56">
        <f>IFERROR((VLOOKUP($A529,'Dados StatusInvest'!$A:$AZ,COLUMN(W529)-$A$5,0)),0)</f>
        <v>10.29</v>
      </c>
      <c r="X529" s="53">
        <f>IFERROR((VLOOKUP($A529,'Dados StatusInvest'!$A:$AZ,COLUMN(X529)-$A$5,0)/VLOOKUP($A529,'Dados StatusInvest'!$A:$AZ,2,0)*$F529),0)</f>
        <v>3.042403756</v>
      </c>
      <c r="Y529" s="54">
        <f>IFERROR((VLOOKUP($A529,'Dados StatusInvest'!$A:$AZ,COLUMN(Y529)-$A$5,0)/VLOOKUP($A529,'Dados StatusInvest'!$A:$AZ,2,0)*$F529),0)</f>
        <v>12.32766197</v>
      </c>
      <c r="Z529" s="56">
        <f>IFERROR((VLOOKUP($A529,'Dados StatusInvest'!$A:$AZ,COLUMN(Z529)-$A$5,0)),0)</f>
        <v>0.3</v>
      </c>
      <c r="AA529" s="57">
        <f>IFERROR((VLOOKUP($A529,'Dados StatusInvest'!$A:$AZ,COLUMN(AA529)-$A$5,0)),0)</f>
        <v>0.7</v>
      </c>
      <c r="AB529" s="57">
        <f>IFERROR((VLOOKUP($A529,'Dados StatusInvest'!$A:$AZ,COLUMN(AB529)-$A$5,0)),0)</f>
        <v>0.36</v>
      </c>
      <c r="AC529" s="58">
        <f>IFERROR((VLOOKUP($A529,'Dados StatusInvest'!$A:$AZ,COLUMN(AC529)-$A$5,0)),0)</f>
        <v>22.98</v>
      </c>
      <c r="AD529" s="57">
        <f>IFERROR((VLOOKUP($A529,'Dados StatusInvest'!$A:$AZ,COLUMN(AD529)-$A$5,0)),0)</f>
        <v>0</v>
      </c>
      <c r="AE529" s="56">
        <f>IFERROR((VLOOKUP($A529,'Dados StatusInvest'!$A:$AZ,COLUMN(AE529)-$A$5,0)),0)</f>
        <v>152000000</v>
      </c>
      <c r="AF529" s="56">
        <f>IFERROR((VLOOKUP($A529,'Dados StatusInvest'!$A:$AZ,COLUMN(AF529)-$A$5,0)),0)</f>
        <v>9.29</v>
      </c>
      <c r="AG529" s="56">
        <f>IFERROR((VLOOKUP($A529,'Dados StatusInvest'!$A:$AZ,COLUMN(AG529)-$A$5,0)),0)</f>
        <v>0.96</v>
      </c>
      <c r="AH529" s="56">
        <f>IFERROR((VLOOKUP($A529,'Dados StatusInvest'!$A:$AZ,COLUMN(AH529)-$A$5,0)),0)</f>
        <v>-0.64</v>
      </c>
      <c r="AI529" s="57">
        <f>IFERROR((VLOOKUP($A529,'Dados StatusInvest'!$A:$AZ,COLUMN(AI529)-$A$5,0)),0)</f>
        <v>13123565677</v>
      </c>
      <c r="AJ529" s="59" t="str">
        <f>IFERROR((VLOOKUP($A529,'Dados StatusInvest'!$A:$AZ,COLUMN(AJ529)-$A$5,0)),0)</f>
        <v/>
      </c>
      <c r="AK529" s="67">
        <f>IFERROR(__xludf.DUMMYFUNCTION("IFERROR(GOOGLEFINANCE($A529,""high""),"""")"),21.14)</f>
        <v>21.14</v>
      </c>
      <c r="AL529" s="67">
        <f>IFERROR(__xludf.DUMMYFUNCTION("IFERROR(GOOGLEFINANCE($A529,""low""),"""")"),20.94)</f>
        <v>20.94</v>
      </c>
      <c r="AM529" s="70">
        <f t="shared" si="2"/>
        <v>0.009551098376</v>
      </c>
      <c r="AN529" s="71">
        <f>IFERROR(__xludf.DUMMYFUNCTION("IFERROR((GOOGLEFINANCE($A529,""volume"")),0)"),215100.0)</f>
        <v>215100</v>
      </c>
      <c r="AO529" s="67">
        <f>IFERROR(__xludf.DUMMYFUNCTION("IFERROR((GOOGLEFINANCE($A529,""closeyest"")),"""")"),21.3)</f>
        <v>21.3</v>
      </c>
      <c r="AP529" s="67">
        <f>IFERROR(__xludf.DUMMYFUNCTION("IFERROR((GOOGLEFINANCE($A529,""shares"")),"""")"),6.16129844E8)</f>
        <v>616129844</v>
      </c>
      <c r="AQ529" s="60"/>
    </row>
    <row r="530">
      <c r="A530" s="45" t="str">
        <f>'Dados StatusInvest'!A525:A1144</f>
        <v>SMLS3</v>
      </c>
      <c r="B530" s="63" t="str">
        <f>IFERROR(__xludf.DUMMYFUNCTION("IFERROR((GOOGLEFINANCE(A530,""name"")),"""")"),"")</f>
        <v/>
      </c>
      <c r="C530" s="63" t="str">
        <f>IFERROR((VLOOKUP(LEFT($A530,4),Setor!$A:$E,3,0)),"")</f>
        <v>Consumo Cíclico</v>
      </c>
      <c r="D530" s="63" t="str">
        <f>IFERROR((VLOOKUP(LEFT($A530,4),Setor!$A:$E,4,0)),"")</f>
        <v>Diversos</v>
      </c>
      <c r="E530" s="63" t="str">
        <f>IFERROR((VLOOKUP(LEFT($A530,4),Setor!$A:$E,5,0)),"")</f>
        <v>Programas de Fidelização</v>
      </c>
      <c r="F530" s="64" t="str">
        <f>IFERROR(__xludf.DUMMYFUNCTION("IFERROR((GOOGLEFINANCE(A530)),"""")"),"")</f>
        <v/>
      </c>
      <c r="G530" s="65" t="str">
        <f>IFERROR(__xludf.DUMMYFUNCTION("IFERROR((sparkline(GOOGLEFINANCE($A530,""price"",TODAY()-30,TODAY(),""DAILY""),{""charttype"",""line"";""linewidth"",1;""color"",""#5f88cc""})),"""")"),"")</f>
        <v/>
      </c>
      <c r="H530" s="66" t="str">
        <f>IFERROR(__xludf.DUMMYFUNCTION("IFERROR((((GOOGLEFINANCE(A530))-(INDEX(GoogleFinance(A530,""PRICE"",$AQ$1),2,2)))/(INDEX(GoogleFinance(A530,""PRICE"",$AQ$1),2,2))),"""")"),"")</f>
        <v/>
      </c>
      <c r="I530" s="47" t="str">
        <f>IFERROR(__xludf.DUMMYFUNCTION("IFERROR((GOOGLEFINANCE($A530,""high52"")),"""")"),"")</f>
        <v/>
      </c>
      <c r="J530" s="68" t="str">
        <f>IFERROR(__xludf.DUMMYFUNCTION("IFERROR((sparkline(GOOGLEFINANCE($A530,""price"",TODAY()-365,TODAY(),""DAILY""),{""charttype"",""line"";""linewidth"",1;""color"",""#5f88cc""})),"""")"),"")</f>
        <v/>
      </c>
      <c r="K530" s="66" t="str">
        <f>IFERROR(__xludf.DUMMYFUNCTION("IFERROR((((GOOGLEFINANCE(A530))-(INDEX(GoogleFinance(A530,""PRICE"",$AP$1),2,2)))/(INDEX(GoogleFinance(A530,""PRICE"",$AP$1),2,2))),"""")"),"")</f>
        <v/>
      </c>
      <c r="L530" s="69">
        <f t="shared" si="1"/>
        <v>0</v>
      </c>
      <c r="M530" s="52">
        <f>IFERROR((VLOOKUP($A530,'Dados StatusInvest'!$A:$AZ,COLUMN(M530)-$A$5,0)*VLOOKUP($A530,'Dados StatusInvest'!$A:$AZ,2,0)/$F530/100),0)</f>
        <v>0</v>
      </c>
      <c r="N530" s="53">
        <f>IFERROR((VLOOKUP($A530,'Dados StatusInvest'!$A:$AZ,COLUMN(N530)-$A$5,0)/VLOOKUP($A530,'Dados StatusInvest'!$A:$AZ,2,0)*$F530),"")</f>
        <v>0</v>
      </c>
      <c r="O530" s="53">
        <f>IFERROR((VLOOKUP($A530,'Dados StatusInvest'!$A:$AZ,COLUMN(O530)-$A$5,0)/VLOOKUP($A530,'Dados StatusInvest'!$A:$AZ,2,0)*$F530),0)</f>
        <v>0</v>
      </c>
      <c r="P530" s="54">
        <f>IFERROR((VLOOKUP($A530,'Dados StatusInvest'!$A:$AZ,COLUMN(P530)-$A$5,0)/VLOOKUP($A530,'Dados StatusInvest'!$A:$AZ,2,0)*$F530),0)</f>
        <v>0</v>
      </c>
      <c r="Q530" s="55">
        <f>IFERROR((VLOOKUP($A530,'Dados StatusInvest'!$A:$AZ,COLUMN(Q530)-$A$5,0)/100),0)</f>
        <v>-0.0024</v>
      </c>
      <c r="R530" s="56">
        <f>VLOOKUP($A530,'Dados StatusInvest'!$A:$AZ,COLUMN(R530)-$A$5,0)</f>
        <v>-0.1</v>
      </c>
      <c r="S530" s="56">
        <f>IFERROR((VLOOKUP($A530,'Dados StatusInvest'!$A:$AZ,COLUMN(S530)-$A$5,0)),0)</f>
        <v>4.21</v>
      </c>
      <c r="T530" s="53">
        <f>IFERROR((VLOOKUP($A530,'Dados StatusInvest'!$A:$AZ,COLUMN(T530)-$A$5,0)/VLOOKUP($A530,'Dados StatusInvest'!$A:$AZ,2,0)*$F530),0)</f>
        <v>0</v>
      </c>
      <c r="U530" s="53">
        <f>IFERROR((VLOOKUP($A530,'Dados StatusInvest'!$A:$AZ,COLUMN(U530)-$A$5,0)-VLOOKUP($A530,'Dados StatusInvest'!$A:$AZ,COLUMN(U530)-$A$5-1,0)+T530),0)</f>
        <v>-21.32</v>
      </c>
      <c r="V530" s="56">
        <f>IFERROR((VLOOKUP($A530,'Dados StatusInvest'!$A:$AZ,COLUMN(V530)-$A$5,0)),0)</f>
        <v>1.1</v>
      </c>
      <c r="W530" s="56">
        <f>IFERROR((VLOOKUP($A530,'Dados StatusInvest'!$A:$AZ,COLUMN(W530)-$A$5,0)),0)</f>
        <v>37.96</v>
      </c>
      <c r="X530" s="53">
        <f>IFERROR((VLOOKUP($A530,'Dados StatusInvest'!$A:$AZ,COLUMN(X530)-$A$5,0)/VLOOKUP($A530,'Dados StatusInvest'!$A:$AZ,2,0)*$F530),0)</f>
        <v>0</v>
      </c>
      <c r="Y530" s="54">
        <f>IFERROR((VLOOKUP($A530,'Dados StatusInvest'!$A:$AZ,COLUMN(Y530)-$A$5,0)/VLOOKUP($A530,'Dados StatusInvest'!$A:$AZ,2,0)*$F530),0)</f>
        <v>0</v>
      </c>
      <c r="Z530" s="56">
        <f>IFERROR((VLOOKUP($A530,'Dados StatusInvest'!$A:$AZ,COLUMN(Z530)-$A$5,0)),0)</f>
        <v>0.25</v>
      </c>
      <c r="AA530" s="57">
        <f>IFERROR((VLOOKUP($A530,'Dados StatusInvest'!$A:$AZ,COLUMN(AA530)-$A$5,0)),0)</f>
        <v>0.75</v>
      </c>
      <c r="AB530" s="57">
        <f>IFERROR((VLOOKUP($A530,'Dados StatusInvest'!$A:$AZ,COLUMN(AB530)-$A$5,0)),0)</f>
        <v>0.24</v>
      </c>
      <c r="AC530" s="58">
        <f>IFERROR((VLOOKUP($A530,'Dados StatusInvest'!$A:$AZ,COLUMN(AC530)-$A$5,0)),0)</f>
        <v>0</v>
      </c>
      <c r="AD530" s="57">
        <f>IFERROR((VLOOKUP($A530,'Dados StatusInvest'!$A:$AZ,COLUMN(AD530)-$A$5,0)),0)</f>
        <v>0</v>
      </c>
      <c r="AE530" s="56">
        <f>IFERROR((VLOOKUP($A530,'Dados StatusInvest'!$A:$AZ,COLUMN(AE530)-$A$5,0)),0)</f>
        <v>0</v>
      </c>
      <c r="AF530" s="56">
        <f>IFERROR((VLOOKUP($A530,'Dados StatusInvest'!$A:$AZ,COLUMN(AF530)-$A$5,0)),0)</f>
        <v>5.47</v>
      </c>
      <c r="AG530" s="56">
        <f>IFERROR((VLOOKUP($A530,'Dados StatusInvest'!$A:$AZ,COLUMN(AG530)-$A$5,0)),0)</f>
        <v>2.08</v>
      </c>
      <c r="AH530" s="56">
        <f>IFERROR((VLOOKUP($A530,'Dados StatusInvest'!$A:$AZ,COLUMN(AH530)-$A$5,0)),0)</f>
        <v>-0.33</v>
      </c>
      <c r="AI530" s="57">
        <f>IFERROR((VLOOKUP($A530,'Dados StatusInvest'!$A:$AZ,COLUMN(AI530)-$A$5,0)),0)</f>
        <v>2781160547</v>
      </c>
      <c r="AJ530" s="59" t="str">
        <f>IFERROR((VLOOKUP($A530,'Dados StatusInvest'!$A:$AZ,COLUMN(AJ530)-$A$5,0)),0)</f>
        <v/>
      </c>
      <c r="AK530" s="67" t="str">
        <f>IFERROR(__xludf.DUMMYFUNCTION("IFERROR(GOOGLEFINANCE($A530,""high""),"""")"),"")</f>
        <v/>
      </c>
      <c r="AL530" s="67" t="str">
        <f>IFERROR(__xludf.DUMMYFUNCTION("IFERROR(GOOGLEFINANCE($A530,""low""),"""")"),"")</f>
        <v/>
      </c>
      <c r="AM530" s="70">
        <f t="shared" si="2"/>
        <v>0</v>
      </c>
      <c r="AN530" s="71">
        <f>IFERROR(__xludf.DUMMYFUNCTION("IFERROR((GOOGLEFINANCE($A530,""volume"")),0)"),0.0)</f>
        <v>0</v>
      </c>
      <c r="AO530" s="67" t="str">
        <f>IFERROR(__xludf.DUMMYFUNCTION("IFERROR((GOOGLEFINANCE($A530,""closeyest"")),"""")"),"")</f>
        <v/>
      </c>
      <c r="AP530" s="67" t="str">
        <f>IFERROR(__xludf.DUMMYFUNCTION("IFERROR((GOOGLEFINANCE($A530,""shares"")),"""")"),"")</f>
        <v/>
      </c>
      <c r="AQ530" s="60"/>
    </row>
    <row r="531">
      <c r="A531" s="45" t="str">
        <f>'Dados StatusInvest'!A526:A1145</f>
        <v>SMTO3</v>
      </c>
      <c r="B531" s="63" t="str">
        <f>IFERROR(__xludf.DUMMYFUNCTION("IFERROR((GOOGLEFINANCE(A531,""name"")),"""")"),"Sao Martinho SA")</f>
        <v>Sao Martinho SA</v>
      </c>
      <c r="C531" s="63" t="str">
        <f>IFERROR((VLOOKUP(LEFT($A531,4),Setor!$A:$E,3,0)),"")</f>
        <v>Consumo não Cíclico</v>
      </c>
      <c r="D531" s="63" t="str">
        <f>IFERROR((VLOOKUP(LEFT($A531,4),Setor!$A:$E,4,0)),"")</f>
        <v>Alimentos Processados</v>
      </c>
      <c r="E531" s="63" t="str">
        <f>IFERROR((VLOOKUP(LEFT($A531,4),Setor!$A:$E,5,0)),"")</f>
        <v>Açucar e Alcool</v>
      </c>
      <c r="F531" s="64">
        <f>IFERROR(__xludf.DUMMYFUNCTION("IFERROR((GOOGLEFINANCE(A531)),"""")"),15.66)</f>
        <v>15.66</v>
      </c>
      <c r="G531" s="65" t="str">
        <f>IFERROR(__xludf.DUMMYFUNCTION("IFERROR((sparkline(GOOGLEFINANCE($A531,""price"",TODAY()-30,TODAY(),""DAILY""),{""charttype"",""line"";""linewidth"",1;""color"",""#5f88cc""})),"""")"),"")</f>
        <v/>
      </c>
      <c r="H531" s="66">
        <f>IFERROR(__xludf.DUMMYFUNCTION("IFERROR((((GOOGLEFINANCE(A531))-(INDEX(GoogleFinance(A531,""PRICE"",$AQ$1),2,2)))/(INDEX(GoogleFinance(A531,""PRICE"",$AQ$1),2,2))),"""")"),-0.050909090909090904)</f>
        <v>-0.05090909091</v>
      </c>
      <c r="I531" s="47">
        <f>IFERROR(__xludf.DUMMYFUNCTION("IFERROR((GOOGLEFINANCE($A531,""high52"")),"""")"),22.9)</f>
        <v>22.9</v>
      </c>
      <c r="J531" s="68" t="str">
        <f>IFERROR(__xludf.DUMMYFUNCTION("IFERROR((sparkline(GOOGLEFINANCE($A531,""price"",TODAY()-365,TODAY(),""DAILY""),{""charttype"",""line"";""linewidth"",1;""color"",""#5f88cc""})),"""")"),"")</f>
        <v/>
      </c>
      <c r="K531" s="66">
        <f>IFERROR(__xludf.DUMMYFUNCTION("IFERROR((((GOOGLEFINANCE(A531))-(INDEX(GoogleFinance(A531,""PRICE"",$AP$1),2,2)))/(INDEX(GoogleFinance(A531,""PRICE"",$AP$1),2,2))),"""")"),-0.3089143865842895)</f>
        <v>-0.3089143866</v>
      </c>
      <c r="L531" s="69">
        <f t="shared" si="1"/>
        <v>-0.3161572052</v>
      </c>
      <c r="M531" s="52">
        <f>IFERROR((VLOOKUP($A531,'Dados StatusInvest'!$A:$AZ,COLUMN(M531)-$A$5,0)*VLOOKUP($A531,'Dados StatusInvest'!$A:$AZ,2,0)/$F531/100),0)</f>
        <v>0.1978304598</v>
      </c>
      <c r="N531" s="53">
        <f>IFERROR((VLOOKUP($A531,'Dados StatusInvest'!$A:$AZ,COLUMN(N531)-$A$5,0)/VLOOKUP($A531,'Dados StatusInvest'!$A:$AZ,2,0)*$F531),"")</f>
        <v>6.979885714</v>
      </c>
      <c r="O531" s="53">
        <f>IFERROR((VLOOKUP($A531,'Dados StatusInvest'!$A:$AZ,COLUMN(O531)-$A$5,0)/VLOOKUP($A531,'Dados StatusInvest'!$A:$AZ,2,0)*$F531),0)</f>
        <v>3.698742857</v>
      </c>
      <c r="P531" s="54">
        <f>IFERROR((VLOOKUP($A531,'Dados StatusInvest'!$A:$AZ,COLUMN(P531)-$A$5,0)/VLOOKUP($A531,'Dados StatusInvest'!$A:$AZ,2,0)*$F531),0)</f>
        <v>9.236914286</v>
      </c>
      <c r="Q531" s="55">
        <f>IFERROR((VLOOKUP($A531,'Dados StatusInvest'!$A:$AZ,COLUMN(Q531)-$A$5,0)/100),0)</f>
        <v>0.0557</v>
      </c>
      <c r="R531" s="56">
        <f>VLOOKUP($A531,'Dados StatusInvest'!$A:$AZ,COLUMN(R531)-$A$5,0)</f>
        <v>1.17</v>
      </c>
      <c r="S531" s="56">
        <f>IFERROR((VLOOKUP($A531,'Dados StatusInvest'!$A:$AZ,COLUMN(S531)-$A$5,0)),0)</f>
        <v>0.73</v>
      </c>
      <c r="T531" s="53">
        <f>IFERROR((VLOOKUP($A531,'Dados StatusInvest'!$A:$AZ,COLUMN(T531)-$A$5,0)/VLOOKUP($A531,'Dados StatusInvest'!$A:$AZ,2,0)*$F531),0)</f>
        <v>1.401942857</v>
      </c>
      <c r="U531" s="53">
        <f>IFERROR((VLOOKUP($A531,'Dados StatusInvest'!$A:$AZ,COLUMN(U531)-$A$5,0)-VLOOKUP($A531,'Dados StatusInvest'!$A:$AZ,COLUMN(U531)-$A$5-1,0)+T531),0)</f>
        <v>-0.3480571429</v>
      </c>
      <c r="V531" s="56">
        <f>IFERROR((VLOOKUP($A531,'Dados StatusInvest'!$A:$AZ,COLUMN(V531)-$A$5,0)),0)</f>
        <v>2.43</v>
      </c>
      <c r="W531" s="56">
        <f>IFERROR((VLOOKUP($A531,'Dados StatusInvest'!$A:$AZ,COLUMN(W531)-$A$5,0)),0)</f>
        <v>7.5</v>
      </c>
      <c r="X531" s="53">
        <f>IFERROR((VLOOKUP($A531,'Dados StatusInvest'!$A:$AZ,COLUMN(X531)-$A$5,0)/VLOOKUP($A531,'Dados StatusInvest'!$A:$AZ,2,0)*$F531),0)</f>
        <v>2.2968</v>
      </c>
      <c r="Y531" s="54">
        <f>IFERROR((VLOOKUP($A531,'Dados StatusInvest'!$A:$AZ,COLUMN(Y531)-$A$5,0)/VLOOKUP($A531,'Dados StatusInvest'!$A:$AZ,2,0)*$F531),0)</f>
        <v>7.129028571</v>
      </c>
      <c r="Z531" s="56">
        <f>IFERROR((VLOOKUP($A531,'Dados StatusInvest'!$A:$AZ,COLUMN(Z531)-$A$5,0)),0)</f>
        <v>0.31</v>
      </c>
      <c r="AA531" s="57">
        <f>IFERROR((VLOOKUP($A531,'Dados StatusInvest'!$A:$AZ,COLUMN(AA531)-$A$5,0)),0)</f>
        <v>0.69</v>
      </c>
      <c r="AB531" s="57">
        <f>IFERROR((VLOOKUP($A531,'Dados StatusInvest'!$A:$AZ,COLUMN(AB531)-$A$5,0)),0)</f>
        <v>0.33</v>
      </c>
      <c r="AC531" s="58">
        <f>IFERROR((VLOOKUP($A531,'Dados StatusInvest'!$A:$AZ,COLUMN(AC531)-$A$5,0)),0)</f>
        <v>14.16</v>
      </c>
      <c r="AD531" s="57">
        <f>IFERROR((VLOOKUP($A531,'Dados StatusInvest'!$A:$AZ,COLUMN(AD531)-$A$5,0)),0)</f>
        <v>-4.7</v>
      </c>
      <c r="AE531" s="56">
        <f>IFERROR((VLOOKUP($A531,'Dados StatusInvest'!$A:$AZ,COLUMN(AE531)-$A$5,0)),0)</f>
        <v>50090515</v>
      </c>
      <c r="AF531" s="56">
        <f>IFERROR((VLOOKUP($A531,'Dados StatusInvest'!$A:$AZ,COLUMN(AF531)-$A$5,0)),0)</f>
        <v>20.15</v>
      </c>
      <c r="AG531" s="56">
        <f>IFERROR((VLOOKUP($A531,'Dados StatusInvest'!$A:$AZ,COLUMN(AG531)-$A$5,0)),0)</f>
        <v>1.51</v>
      </c>
      <c r="AH531" s="56">
        <f>IFERROR((VLOOKUP($A531,'Dados StatusInvest'!$A:$AZ,COLUMN(AH531)-$A$5,0)),0)</f>
        <v>-0.19</v>
      </c>
      <c r="AI531" s="57">
        <f>IFERROR((VLOOKUP($A531,'Dados StatusInvest'!$A:$AZ,COLUMN(AI531)-$A$5,0)),0)</f>
        <v>5235857408</v>
      </c>
      <c r="AJ531" s="59" t="str">
        <f>IFERROR((VLOOKUP($A531,'Dados StatusInvest'!$A:$AZ,COLUMN(AJ531)-$A$5,0)),0)</f>
        <v/>
      </c>
      <c r="AK531" s="67">
        <f>IFERROR(__xludf.DUMMYFUNCTION("IFERROR(GOOGLEFINANCE($A531,""high""),"""")"),15.74)</f>
        <v>15.74</v>
      </c>
      <c r="AL531" s="67">
        <f>IFERROR(__xludf.DUMMYFUNCTION("IFERROR(GOOGLEFINANCE($A531,""low""),"""")"),15.58)</f>
        <v>15.58</v>
      </c>
      <c r="AM531" s="70">
        <f t="shared" si="2"/>
        <v>0.01026957638</v>
      </c>
      <c r="AN531" s="71">
        <f>IFERROR(__xludf.DUMMYFUNCTION("IFERROR((GOOGLEFINANCE($A531,""volume"")),0)"),148500.0)</f>
        <v>148500</v>
      </c>
      <c r="AO531" s="67">
        <f>IFERROR(__xludf.DUMMYFUNCTION("IFERROR((GOOGLEFINANCE($A531,""closeyest"")),"""")"),15.75)</f>
        <v>15.75</v>
      </c>
      <c r="AP531" s="67">
        <f>IFERROR(__xludf.DUMMYFUNCTION("IFERROR((GOOGLEFINANCE($A531,""shares"")),"""")"),3.32435391E8)</f>
        <v>332435391</v>
      </c>
      <c r="AQ531" s="60"/>
    </row>
    <row r="532">
      <c r="A532" s="45" t="str">
        <f>'Dados StatusInvest'!A527:A1146</f>
        <v>SNSY3</v>
      </c>
      <c r="B532" s="63" t="str">
        <f>IFERROR(__xludf.DUMMYFUNCTION("IFERROR((GOOGLEFINANCE(A532,""name"")),"""")"),"Sansuy SA Industria d Plstc Em Rcpr Jdcl")</f>
        <v>Sansuy SA Industria d Plstc Em Rcpr Jdcl</v>
      </c>
      <c r="C532" s="63" t="str">
        <f>IFERROR((VLOOKUP(LEFT($A532,4),Setor!$A:$E,3,0)),"")</f>
        <v>Materiais Básicos</v>
      </c>
      <c r="D532" s="63" t="str">
        <f>IFERROR((VLOOKUP(LEFT($A532,4),Setor!$A:$E,4,0)),"")</f>
        <v>Materiais Diversos</v>
      </c>
      <c r="E532" s="63" t="str">
        <f>IFERROR((VLOOKUP(LEFT($A532,4),Setor!$A:$E,5,0)),"")</f>
        <v>Materiais Diversos</v>
      </c>
      <c r="F532" s="64">
        <f>IFERROR(__xludf.DUMMYFUNCTION("IFERROR((GOOGLEFINANCE(A532)),"""")"),10.2)</f>
        <v>10.2</v>
      </c>
      <c r="G532" s="65" t="str">
        <f>IFERROR(__xludf.DUMMYFUNCTION("IFERROR((sparkline(GOOGLEFINANCE($A532,""price"",TODAY()-30,TODAY(),""DAILY""),{""charttype"",""line"";""linewidth"",1;""color"",""#5f88cc""})),"""")"),"")</f>
        <v/>
      </c>
      <c r="H532" s="66" t="str">
        <f>IFERROR(__xludf.DUMMYFUNCTION("IFERROR((((GOOGLEFINANCE(A532))-(INDEX(GoogleFinance(A532,""PRICE"",$AQ$1),2,2)))/(INDEX(GoogleFinance(A532,""PRICE"",$AQ$1),2,2))),"""")"),"")</f>
        <v/>
      </c>
      <c r="I532" s="47">
        <f>IFERROR(__xludf.DUMMYFUNCTION("IFERROR((GOOGLEFINANCE($A532,""high52"")),"""")"),11.9)</f>
        <v>11.9</v>
      </c>
      <c r="J532" s="68" t="str">
        <f>IFERROR(__xludf.DUMMYFUNCTION("IFERROR((sparkline(GOOGLEFINANCE($A532,""price"",TODAY()-365,TODAY(),""DAILY""),{""charttype"",""line"";""linewidth"",1;""color"",""#5f88cc""})),"""")"),"")</f>
        <v/>
      </c>
      <c r="K532" s="66" t="str">
        <f>IFERROR(__xludf.DUMMYFUNCTION("IFERROR((((GOOGLEFINANCE(A532))-(INDEX(GoogleFinance(A532,""PRICE"",$AP$1),2,2)))/(INDEX(GoogleFinance(A532,""PRICE"",$AP$1),2,2))),"""")"),"")</f>
        <v/>
      </c>
      <c r="L532" s="69">
        <f t="shared" si="1"/>
        <v>-0.1428571429</v>
      </c>
      <c r="M532" s="52">
        <f>IFERROR((VLOOKUP($A532,'Dados StatusInvest'!$A:$AZ,COLUMN(M532)-$A$5,0)*VLOOKUP($A532,'Dados StatusInvest'!$A:$AZ,2,0)/$F532/100),0)</f>
        <v>0.0951</v>
      </c>
      <c r="N532" s="53">
        <f>IFERROR((VLOOKUP($A532,'Dados StatusInvest'!$A:$AZ,COLUMN(N532)-$A$5,0)/VLOOKUP($A532,'Dados StatusInvest'!$A:$AZ,2,0)*$F532),"")</f>
        <v>-21.18</v>
      </c>
      <c r="O532" s="53">
        <f>IFERROR((VLOOKUP($A532,'Dados StatusInvest'!$A:$AZ,COLUMN(O532)-$A$5,0)/VLOOKUP($A532,'Dados StatusInvest'!$A:$AZ,2,0)*$F532),0)</f>
        <v>0.84</v>
      </c>
      <c r="P532" s="54">
        <f>IFERROR((VLOOKUP($A532,'Dados StatusInvest'!$A:$AZ,COLUMN(P532)-$A$5,0)/VLOOKUP($A532,'Dados StatusInvest'!$A:$AZ,2,0)*$F532),0)</f>
        <v>3.12</v>
      </c>
      <c r="Q532" s="55">
        <f>IFERROR((VLOOKUP($A532,'Dados StatusInvest'!$A:$AZ,COLUMN(Q532)-$A$5,0)/100),0)</f>
        <v>0.027</v>
      </c>
      <c r="R532" s="56">
        <f>VLOOKUP($A532,'Dados StatusInvest'!$A:$AZ,COLUMN(R532)-$A$5,0)</f>
        <v>0</v>
      </c>
      <c r="S532" s="56">
        <f>IFERROR((VLOOKUP($A532,'Dados StatusInvest'!$A:$AZ,COLUMN(S532)-$A$5,0)),0)</f>
        <v>0.08</v>
      </c>
      <c r="T532" s="53">
        <f>IFERROR((VLOOKUP($A532,'Dados StatusInvest'!$A:$AZ,COLUMN(T532)-$A$5,0)/VLOOKUP($A532,'Dados StatusInvest'!$A:$AZ,2,0)*$F532),0)</f>
        <v>-0.59</v>
      </c>
      <c r="U532" s="53">
        <f>IFERROR((VLOOKUP($A532,'Dados StatusInvest'!$A:$AZ,COLUMN(U532)-$A$5,0)-VLOOKUP($A532,'Dados StatusInvest'!$A:$AZ,COLUMN(U532)-$A$5-1,0)+T532),0)</f>
        <v>-0.32</v>
      </c>
      <c r="V532" s="56">
        <f>IFERROR((VLOOKUP($A532,'Dados StatusInvest'!$A:$AZ,COLUMN(V532)-$A$5,0)),0)</f>
        <v>0.71</v>
      </c>
      <c r="W532" s="56">
        <f>IFERROR((VLOOKUP($A532,'Dados StatusInvest'!$A:$AZ,COLUMN(W532)-$A$5,0)),0)</f>
        <v>-9.63</v>
      </c>
      <c r="X532" s="53">
        <f>IFERROR((VLOOKUP($A532,'Dados StatusInvest'!$A:$AZ,COLUMN(X532)-$A$5,0)/VLOOKUP($A532,'Dados StatusInvest'!$A:$AZ,2,0)*$F532),0)</f>
        <v>-36.46</v>
      </c>
      <c r="Y532" s="54">
        <f>IFERROR((VLOOKUP($A532,'Dados StatusInvest'!$A:$AZ,COLUMN(Y532)-$A$5,0)/VLOOKUP($A532,'Dados StatusInvest'!$A:$AZ,2,0)*$F532),0)</f>
        <v>-4.82</v>
      </c>
      <c r="Z532" s="56">
        <f>IFERROR((VLOOKUP($A532,'Dados StatusInvest'!$A:$AZ,COLUMN(Z532)-$A$5,0)),0)</f>
        <v>-3.79</v>
      </c>
      <c r="AA532" s="57">
        <f>IFERROR((VLOOKUP($A532,'Dados StatusInvest'!$A:$AZ,COLUMN(AA532)-$A$5,0)),0)</f>
        <v>4.82</v>
      </c>
      <c r="AB532" s="57">
        <f>IFERROR((VLOOKUP($A532,'Dados StatusInvest'!$A:$AZ,COLUMN(AB532)-$A$5,0)),0)</f>
        <v>1.72</v>
      </c>
      <c r="AC532" s="58">
        <f>IFERROR((VLOOKUP($A532,'Dados StatusInvest'!$A:$AZ,COLUMN(AC532)-$A$5,0)),0)</f>
        <v>15.69</v>
      </c>
      <c r="AD532" s="57">
        <f>IFERROR((VLOOKUP($A532,'Dados StatusInvest'!$A:$AZ,COLUMN(AD532)-$A$5,0)),0)</f>
        <v>0</v>
      </c>
      <c r="AE532" s="56">
        <f>IFERROR((VLOOKUP($A532,'Dados StatusInvest'!$A:$AZ,COLUMN(AE532)-$A$5,0)),0)</f>
        <v>6559.5</v>
      </c>
      <c r="AF532" s="56">
        <f>IFERROR((VLOOKUP($A532,'Dados StatusInvest'!$A:$AZ,COLUMN(AF532)-$A$5,0)),0)</f>
        <v>-281.46</v>
      </c>
      <c r="AG532" s="56">
        <f>IFERROR((VLOOKUP($A532,'Dados StatusInvest'!$A:$AZ,COLUMN(AG532)-$A$5,0)),0)</f>
        <v>-27.09</v>
      </c>
      <c r="AH532" s="56">
        <f>IFERROR((VLOOKUP($A532,'Dados StatusInvest'!$A:$AZ,COLUMN(AH532)-$A$5,0)),0)</f>
        <v>0</v>
      </c>
      <c r="AI532" s="57">
        <f>IFERROR((VLOOKUP($A532,'Dados StatusInvest'!$A:$AZ,COLUMN(AI532)-$A$5,0)),0)</f>
        <v>39858153.6</v>
      </c>
      <c r="AJ532" s="59" t="str">
        <f>IFERROR((VLOOKUP($A532,'Dados StatusInvest'!$A:$AZ,COLUMN(AJ532)-$A$5,0)),0)</f>
        <v/>
      </c>
      <c r="AK532" s="67" t="str">
        <f>IFERROR(__xludf.DUMMYFUNCTION("IFERROR(GOOGLEFINANCE($A532,""high""),"""")"),"")</f>
        <v/>
      </c>
      <c r="AL532" s="67" t="str">
        <f>IFERROR(__xludf.DUMMYFUNCTION("IFERROR(GOOGLEFINANCE($A532,""low""),"""")"),"")</f>
        <v/>
      </c>
      <c r="AM532" s="70">
        <f t="shared" si="2"/>
        <v>0</v>
      </c>
      <c r="AN532" s="71">
        <f>IFERROR(__xludf.DUMMYFUNCTION("IFERROR((GOOGLEFINANCE($A532,""volume"")),0)"),0.0)</f>
        <v>0</v>
      </c>
      <c r="AO532" s="67">
        <f>IFERROR(__xludf.DUMMYFUNCTION("IFERROR((GOOGLEFINANCE($A532,""closeyest"")),"""")"),10.2)</f>
        <v>10.2</v>
      </c>
      <c r="AP532" s="67">
        <f>IFERROR(__xludf.DUMMYFUNCTION("IFERROR((GOOGLEFINANCE($A532,""shares"")),"""")"),2657920.0)</f>
        <v>2657920</v>
      </c>
      <c r="AQ532" s="60"/>
    </row>
    <row r="533">
      <c r="A533" s="45" t="str">
        <f>'Dados StatusInvest'!A528:A1147</f>
        <v>SNSY5</v>
      </c>
      <c r="B533" s="63" t="str">
        <f>IFERROR(__xludf.DUMMYFUNCTION("IFERROR((GOOGLEFINANCE(A533,""name"")),"""")"),"Sansuy SA Industria d Plstc Em Rcpr Jdcl Preference Shares Class A")</f>
        <v>Sansuy SA Industria d Plstc Em Rcpr Jdcl Preference Shares Class A</v>
      </c>
      <c r="C533" s="63" t="str">
        <f>IFERROR((VLOOKUP(LEFT($A533,4),Setor!$A:$E,3,0)),"")</f>
        <v>Materiais Básicos</v>
      </c>
      <c r="D533" s="63" t="str">
        <f>IFERROR((VLOOKUP(LEFT($A533,4),Setor!$A:$E,4,0)),"")</f>
        <v>Materiais Diversos</v>
      </c>
      <c r="E533" s="63" t="str">
        <f>IFERROR((VLOOKUP(LEFT($A533,4),Setor!$A:$E,5,0)),"")</f>
        <v>Materiais Diversos</v>
      </c>
      <c r="F533" s="64">
        <f>IFERROR(__xludf.DUMMYFUNCTION("IFERROR((GOOGLEFINANCE(A533)),"""")"),2.52)</f>
        <v>2.52</v>
      </c>
      <c r="G533" s="65" t="str">
        <f>IFERROR(__xludf.DUMMYFUNCTION("IFERROR((sparkline(GOOGLEFINANCE($A533,""price"",TODAY()-30,TODAY(),""DAILY""),{""charttype"",""line"";""linewidth"",1;""color"",""#5f88cc""})),"""")"),"")</f>
        <v/>
      </c>
      <c r="H533" s="66">
        <f>IFERROR(__xludf.DUMMYFUNCTION("IFERROR((((GOOGLEFINANCE(A533))-(INDEX(GoogleFinance(A533,""PRICE"",$AQ$1),2,2)))/(INDEX(GoogleFinance(A533,""PRICE"",$AQ$1),2,2))),"""")"),-0.13103448275862065)</f>
        <v>-0.1310344828</v>
      </c>
      <c r="I533" s="47">
        <f>IFERROR(__xludf.DUMMYFUNCTION("IFERROR((GOOGLEFINANCE($A533,""high52"")),"""")"),4.8)</f>
        <v>4.8</v>
      </c>
      <c r="J533" s="68" t="str">
        <f>IFERROR(__xludf.DUMMYFUNCTION("IFERROR((sparkline(GOOGLEFINANCE($A533,""price"",TODAY()-365,TODAY(),""DAILY""),{""charttype"",""line"";""linewidth"",1;""color"",""#5f88cc""})),"""")"),"")</f>
        <v/>
      </c>
      <c r="K533" s="66">
        <f>IFERROR(__xludf.DUMMYFUNCTION("IFERROR((((GOOGLEFINANCE(A533))-(INDEX(GoogleFinance(A533,""PRICE"",$AP$1),2,2)))/(INDEX(GoogleFinance(A533,""PRICE"",$AP$1),2,2))),"""")"),-0.37)</f>
        <v>-0.37</v>
      </c>
      <c r="L533" s="69">
        <f t="shared" si="1"/>
        <v>-0.475</v>
      </c>
      <c r="M533" s="52">
        <f>IFERROR((VLOOKUP($A533,'Dados StatusInvest'!$A:$AZ,COLUMN(M533)-$A$5,0)*VLOOKUP($A533,'Dados StatusInvest'!$A:$AZ,2,0)/$F533/100),0)</f>
        <v>0.0951</v>
      </c>
      <c r="N533" s="53">
        <f>IFERROR((VLOOKUP($A533,'Dados StatusInvest'!$A:$AZ,COLUMN(N533)-$A$5,0)/VLOOKUP($A533,'Dados StatusInvest'!$A:$AZ,2,0)*$F533),"")</f>
        <v>-21.18</v>
      </c>
      <c r="O533" s="53">
        <f>IFERROR((VLOOKUP($A533,'Dados StatusInvest'!$A:$AZ,COLUMN(O533)-$A$5,0)/VLOOKUP($A533,'Dados StatusInvest'!$A:$AZ,2,0)*$F533),0)</f>
        <v>0.21</v>
      </c>
      <c r="P533" s="54">
        <f>IFERROR((VLOOKUP($A533,'Dados StatusInvest'!$A:$AZ,COLUMN(P533)-$A$5,0)/VLOOKUP($A533,'Dados StatusInvest'!$A:$AZ,2,0)*$F533),0)</f>
        <v>3.12</v>
      </c>
      <c r="Q533" s="55">
        <f>IFERROR((VLOOKUP($A533,'Dados StatusInvest'!$A:$AZ,COLUMN(Q533)-$A$5,0)/100),0)</f>
        <v>0.027</v>
      </c>
      <c r="R533" s="56">
        <f>VLOOKUP($A533,'Dados StatusInvest'!$A:$AZ,COLUMN(R533)-$A$5,0)</f>
        <v>0</v>
      </c>
      <c r="S533" s="56">
        <f>IFERROR((VLOOKUP($A533,'Dados StatusInvest'!$A:$AZ,COLUMN(S533)-$A$5,0)),0)</f>
        <v>0.02</v>
      </c>
      <c r="T533" s="53">
        <f>IFERROR((VLOOKUP($A533,'Dados StatusInvest'!$A:$AZ,COLUMN(T533)-$A$5,0)/VLOOKUP($A533,'Dados StatusInvest'!$A:$AZ,2,0)*$F533),0)</f>
        <v>-0.15</v>
      </c>
      <c r="U533" s="53">
        <f>IFERROR((VLOOKUP($A533,'Dados StatusInvest'!$A:$AZ,COLUMN(U533)-$A$5,0)-VLOOKUP($A533,'Dados StatusInvest'!$A:$AZ,COLUMN(U533)-$A$5-1,0)+T533),0)</f>
        <v>-0.08</v>
      </c>
      <c r="V533" s="56">
        <f>IFERROR((VLOOKUP($A533,'Dados StatusInvest'!$A:$AZ,COLUMN(V533)-$A$5,0)),0)</f>
        <v>0.71</v>
      </c>
      <c r="W533" s="56">
        <f>IFERROR((VLOOKUP($A533,'Dados StatusInvest'!$A:$AZ,COLUMN(W533)-$A$5,0)),0)</f>
        <v>-9.63</v>
      </c>
      <c r="X533" s="53">
        <f>IFERROR((VLOOKUP($A533,'Dados StatusInvest'!$A:$AZ,COLUMN(X533)-$A$5,0)/VLOOKUP($A533,'Dados StatusInvest'!$A:$AZ,2,0)*$F533),0)</f>
        <v>-36.46</v>
      </c>
      <c r="Y533" s="54">
        <f>IFERROR((VLOOKUP($A533,'Dados StatusInvest'!$A:$AZ,COLUMN(Y533)-$A$5,0)/VLOOKUP($A533,'Dados StatusInvest'!$A:$AZ,2,0)*$F533),0)</f>
        <v>-4.82</v>
      </c>
      <c r="Z533" s="56">
        <f>IFERROR((VLOOKUP($A533,'Dados StatusInvest'!$A:$AZ,COLUMN(Z533)-$A$5,0)),0)</f>
        <v>-3.79</v>
      </c>
      <c r="AA533" s="57">
        <f>IFERROR((VLOOKUP($A533,'Dados StatusInvest'!$A:$AZ,COLUMN(AA533)-$A$5,0)),0)</f>
        <v>4.82</v>
      </c>
      <c r="AB533" s="57">
        <f>IFERROR((VLOOKUP($A533,'Dados StatusInvest'!$A:$AZ,COLUMN(AB533)-$A$5,0)),0)</f>
        <v>1.72</v>
      </c>
      <c r="AC533" s="58">
        <f>IFERROR((VLOOKUP($A533,'Dados StatusInvest'!$A:$AZ,COLUMN(AC533)-$A$5,0)),0)</f>
        <v>15.69</v>
      </c>
      <c r="AD533" s="57">
        <f>IFERROR((VLOOKUP($A533,'Dados StatusInvest'!$A:$AZ,COLUMN(AD533)-$A$5,0)),0)</f>
        <v>0</v>
      </c>
      <c r="AE533" s="56">
        <f>IFERROR((VLOOKUP($A533,'Dados StatusInvest'!$A:$AZ,COLUMN(AE533)-$A$5,0)),0)</f>
        <v>12134.31</v>
      </c>
      <c r="AF533" s="56">
        <f>IFERROR((VLOOKUP($A533,'Dados StatusInvest'!$A:$AZ,COLUMN(AF533)-$A$5,0)),0)</f>
        <v>-281.46</v>
      </c>
      <c r="AG533" s="56">
        <f>IFERROR((VLOOKUP($A533,'Dados StatusInvest'!$A:$AZ,COLUMN(AG533)-$A$5,0)),0)</f>
        <v>-27.09</v>
      </c>
      <c r="AH533" s="56">
        <f>IFERROR((VLOOKUP($A533,'Dados StatusInvest'!$A:$AZ,COLUMN(AH533)-$A$5,0)),0)</f>
        <v>0</v>
      </c>
      <c r="AI533" s="57">
        <f>IFERROR((VLOOKUP($A533,'Dados StatusInvest'!$A:$AZ,COLUMN(AI533)-$A$5,0)),0)</f>
        <v>39858153.6</v>
      </c>
      <c r="AJ533" s="59" t="str">
        <f>IFERROR((VLOOKUP($A533,'Dados StatusInvest'!$A:$AZ,COLUMN(AJ533)-$A$5,0)),0)</f>
        <v/>
      </c>
      <c r="AK533" s="67" t="str">
        <f>IFERROR(__xludf.DUMMYFUNCTION("IFERROR(GOOGLEFINANCE($A533,""high""),"""")"),"")</f>
        <v/>
      </c>
      <c r="AL533" s="67" t="str">
        <f>IFERROR(__xludf.DUMMYFUNCTION("IFERROR(GOOGLEFINANCE($A533,""low""),"""")"),"")</f>
        <v/>
      </c>
      <c r="AM533" s="70">
        <f t="shared" si="2"/>
        <v>0</v>
      </c>
      <c r="AN533" s="71">
        <f>IFERROR(__xludf.DUMMYFUNCTION("IFERROR((GOOGLEFINANCE($A533,""volume"")),0)"),0.0)</f>
        <v>0</v>
      </c>
      <c r="AO533" s="67">
        <f>IFERROR(__xludf.DUMMYFUNCTION("IFERROR((GOOGLEFINANCE($A533,""closeyest"")),"""")"),2.52)</f>
        <v>2.52</v>
      </c>
      <c r="AP533" s="67">
        <f>IFERROR(__xludf.DUMMYFUNCTION("IFERROR((GOOGLEFINANCE($A533,""shares"")),"""")"),5052280.0)</f>
        <v>5052280</v>
      </c>
      <c r="AQ533" s="60"/>
    </row>
    <row r="534">
      <c r="A534" s="45" t="str">
        <f>'Dados StatusInvest'!A529:A1148</f>
        <v>SNSY6</v>
      </c>
      <c r="B534" s="63" t="str">
        <f>IFERROR(__xludf.DUMMYFUNCTION("IFERROR((GOOGLEFINANCE(A534,""name"")),"""")"),"Sansuy SA Industria d Plstc Em Rcpr Jdcl Preference Shares Class B")</f>
        <v>Sansuy SA Industria d Plstc Em Rcpr Jdcl Preference Shares Class B</v>
      </c>
      <c r="C534" s="63" t="str">
        <f>IFERROR((VLOOKUP(LEFT($A534,4),Setor!$A:$E,3,0)),"")</f>
        <v>Materiais Básicos</v>
      </c>
      <c r="D534" s="63" t="str">
        <f>IFERROR((VLOOKUP(LEFT($A534,4),Setor!$A:$E,4,0)),"")</f>
        <v>Materiais Diversos</v>
      </c>
      <c r="E534" s="63" t="str">
        <f>IFERROR((VLOOKUP(LEFT($A534,4),Setor!$A:$E,5,0)),"")</f>
        <v>Materiais Diversos</v>
      </c>
      <c r="F534" s="64">
        <f>IFERROR(__xludf.DUMMYFUNCTION("IFERROR((GOOGLEFINANCE(A534)),"""")"),11.51)</f>
        <v>11.51</v>
      </c>
      <c r="G534" s="65" t="str">
        <f>IFERROR(__xludf.DUMMYFUNCTION("IFERROR((sparkline(GOOGLEFINANCE($A534,""price"",TODAY()-30,TODAY(),""DAILY""),{""charttype"",""line"";""linewidth"",1;""color"",""#5f88cc""})),"""")"),"")</f>
        <v/>
      </c>
      <c r="H534" s="66" t="str">
        <f>IFERROR(__xludf.DUMMYFUNCTION("IFERROR((((GOOGLEFINANCE(A534))-(INDEX(GoogleFinance(A534,""PRICE"",$AQ$1),2,2)))/(INDEX(GoogleFinance(A534,""PRICE"",$AQ$1),2,2))),"""")"),"")</f>
        <v/>
      </c>
      <c r="I534" s="47">
        <f>IFERROR(__xludf.DUMMYFUNCTION("IFERROR((GOOGLEFINANCE($A534,""high52"")),"""")"),11.51)</f>
        <v>11.51</v>
      </c>
      <c r="J534" s="68" t="str">
        <f>IFERROR(__xludf.DUMMYFUNCTION("IFERROR((sparkline(GOOGLEFINANCE($A534,""price"",TODAY()-365,TODAY(),""DAILY""),{""charttype"",""line"";""linewidth"",1;""color"",""#5f88cc""})),"""")"),"")</f>
        <v/>
      </c>
      <c r="K534" s="66" t="str">
        <f>IFERROR(__xludf.DUMMYFUNCTION("IFERROR((((GOOGLEFINANCE(A534))-(INDEX(GoogleFinance(A534,""PRICE"",$AP$1),2,2)))/(INDEX(GoogleFinance(A534,""PRICE"",$AP$1),2,2))),"""")"),"")</f>
        <v/>
      </c>
      <c r="L534" s="69">
        <f t="shared" si="1"/>
        <v>0</v>
      </c>
      <c r="M534" s="52">
        <f>IFERROR((VLOOKUP($A534,'Dados StatusInvest'!$A:$AZ,COLUMN(M534)-$A$5,0)*VLOOKUP($A534,'Dados StatusInvest'!$A:$AZ,2,0)/$F534/100),0)</f>
        <v>0.0951</v>
      </c>
      <c r="N534" s="53">
        <f>IFERROR((VLOOKUP($A534,'Dados StatusInvest'!$A:$AZ,COLUMN(N534)-$A$5,0)/VLOOKUP($A534,'Dados StatusInvest'!$A:$AZ,2,0)*$F534),"")</f>
        <v>-21.18</v>
      </c>
      <c r="O534" s="53">
        <f>IFERROR((VLOOKUP($A534,'Dados StatusInvest'!$A:$AZ,COLUMN(O534)-$A$5,0)/VLOOKUP($A534,'Dados StatusInvest'!$A:$AZ,2,0)*$F534),0)</f>
        <v>0.95</v>
      </c>
      <c r="P534" s="54">
        <f>IFERROR((VLOOKUP($A534,'Dados StatusInvest'!$A:$AZ,COLUMN(P534)-$A$5,0)/VLOOKUP($A534,'Dados StatusInvest'!$A:$AZ,2,0)*$F534),0)</f>
        <v>3.12</v>
      </c>
      <c r="Q534" s="55">
        <f>IFERROR((VLOOKUP($A534,'Dados StatusInvest'!$A:$AZ,COLUMN(Q534)-$A$5,0)/100),0)</f>
        <v>0.027</v>
      </c>
      <c r="R534" s="56">
        <f>VLOOKUP($A534,'Dados StatusInvest'!$A:$AZ,COLUMN(R534)-$A$5,0)</f>
        <v>0</v>
      </c>
      <c r="S534" s="56">
        <f>IFERROR((VLOOKUP($A534,'Dados StatusInvest'!$A:$AZ,COLUMN(S534)-$A$5,0)),0)</f>
        <v>0.09</v>
      </c>
      <c r="T534" s="53">
        <f>IFERROR((VLOOKUP($A534,'Dados StatusInvest'!$A:$AZ,COLUMN(T534)-$A$5,0)/VLOOKUP($A534,'Dados StatusInvest'!$A:$AZ,2,0)*$F534),0)</f>
        <v>-0.66</v>
      </c>
      <c r="U534" s="53">
        <f>IFERROR((VLOOKUP($A534,'Dados StatusInvest'!$A:$AZ,COLUMN(U534)-$A$5,0)-VLOOKUP($A534,'Dados StatusInvest'!$A:$AZ,COLUMN(U534)-$A$5-1,0)+T534),0)</f>
        <v>-0.37</v>
      </c>
      <c r="V534" s="56">
        <f>IFERROR((VLOOKUP($A534,'Dados StatusInvest'!$A:$AZ,COLUMN(V534)-$A$5,0)),0)</f>
        <v>0.71</v>
      </c>
      <c r="W534" s="56">
        <f>IFERROR((VLOOKUP($A534,'Dados StatusInvest'!$A:$AZ,COLUMN(W534)-$A$5,0)),0)</f>
        <v>-9.63</v>
      </c>
      <c r="X534" s="53">
        <f>IFERROR((VLOOKUP($A534,'Dados StatusInvest'!$A:$AZ,COLUMN(X534)-$A$5,0)/VLOOKUP($A534,'Dados StatusInvest'!$A:$AZ,2,0)*$F534),0)</f>
        <v>-36.46</v>
      </c>
      <c r="Y534" s="54">
        <f>IFERROR((VLOOKUP($A534,'Dados StatusInvest'!$A:$AZ,COLUMN(Y534)-$A$5,0)/VLOOKUP($A534,'Dados StatusInvest'!$A:$AZ,2,0)*$F534),0)</f>
        <v>-4.82</v>
      </c>
      <c r="Z534" s="56">
        <f>IFERROR((VLOOKUP($A534,'Dados StatusInvest'!$A:$AZ,COLUMN(Z534)-$A$5,0)),0)</f>
        <v>-3.79</v>
      </c>
      <c r="AA534" s="57">
        <f>IFERROR((VLOOKUP($A534,'Dados StatusInvest'!$A:$AZ,COLUMN(AA534)-$A$5,0)),0)</f>
        <v>4.82</v>
      </c>
      <c r="AB534" s="57">
        <f>IFERROR((VLOOKUP($A534,'Dados StatusInvest'!$A:$AZ,COLUMN(AB534)-$A$5,0)),0)</f>
        <v>1.72</v>
      </c>
      <c r="AC534" s="58">
        <f>IFERROR((VLOOKUP($A534,'Dados StatusInvest'!$A:$AZ,COLUMN(AC534)-$A$5,0)),0)</f>
        <v>15.69</v>
      </c>
      <c r="AD534" s="57">
        <f>IFERROR((VLOOKUP($A534,'Dados StatusInvest'!$A:$AZ,COLUMN(AD534)-$A$5,0)),0)</f>
        <v>0</v>
      </c>
      <c r="AE534" s="56">
        <f>IFERROR((VLOOKUP($A534,'Dados StatusInvest'!$A:$AZ,COLUMN(AE534)-$A$5,0)),0)</f>
        <v>0</v>
      </c>
      <c r="AF534" s="56">
        <f>IFERROR((VLOOKUP($A534,'Dados StatusInvest'!$A:$AZ,COLUMN(AF534)-$A$5,0)),0)</f>
        <v>-281.46</v>
      </c>
      <c r="AG534" s="56">
        <f>IFERROR((VLOOKUP($A534,'Dados StatusInvest'!$A:$AZ,COLUMN(AG534)-$A$5,0)),0)</f>
        <v>-27.09</v>
      </c>
      <c r="AH534" s="56">
        <f>IFERROR((VLOOKUP($A534,'Dados StatusInvest'!$A:$AZ,COLUMN(AH534)-$A$5,0)),0)</f>
        <v>0</v>
      </c>
      <c r="AI534" s="57">
        <f>IFERROR((VLOOKUP($A534,'Dados StatusInvest'!$A:$AZ,COLUMN(AI534)-$A$5,0)),0)</f>
        <v>39858153.6</v>
      </c>
      <c r="AJ534" s="59" t="str">
        <f>IFERROR((VLOOKUP($A534,'Dados StatusInvest'!$A:$AZ,COLUMN(AJ534)-$A$5,0)),0)</f>
        <v/>
      </c>
      <c r="AK534" s="67" t="str">
        <f>IFERROR(__xludf.DUMMYFUNCTION("IFERROR(GOOGLEFINANCE($A534,""high""),"""")"),"")</f>
        <v/>
      </c>
      <c r="AL534" s="67" t="str">
        <f>IFERROR(__xludf.DUMMYFUNCTION("IFERROR(GOOGLEFINANCE($A534,""low""),"""")"),"")</f>
        <v/>
      </c>
      <c r="AM534" s="70">
        <f t="shared" si="2"/>
        <v>0</v>
      </c>
      <c r="AN534" s="71">
        <f>IFERROR(__xludf.DUMMYFUNCTION("IFERROR((GOOGLEFINANCE($A534,""volume"")),0)"),0.0)</f>
        <v>0</v>
      </c>
      <c r="AO534" s="67">
        <f>IFERROR(__xludf.DUMMYFUNCTION("IFERROR((GOOGLEFINANCE($A534,""closeyest"")),"""")"),11.51)</f>
        <v>11.51</v>
      </c>
      <c r="AP534" s="67">
        <f>IFERROR(__xludf.DUMMYFUNCTION("IFERROR((GOOGLEFINANCE($A534,""shares"")),"""")"),6200.0)</f>
        <v>6200</v>
      </c>
      <c r="AQ534" s="60"/>
    </row>
    <row r="535">
      <c r="A535" s="45" t="str">
        <f>'Dados StatusInvest'!A530:A1149</f>
        <v>SOJA3</v>
      </c>
      <c r="B535" s="63" t="str">
        <f>IFERROR(__xludf.DUMMYFUNCTION("IFERROR((GOOGLEFINANCE(A535,""name"")),"""")"),"Boa Safra Sementes SA")</f>
        <v>Boa Safra Sementes SA</v>
      </c>
      <c r="C535" s="63" t="str">
        <f>IFERROR((VLOOKUP(LEFT($A535,4),Setor!$A:$E,3,0)),"")</f>
        <v>Outros</v>
      </c>
      <c r="D535" s="63" t="str">
        <f>IFERROR((VLOOKUP(LEFT($A535,4),Setor!$A:$E,4,0)),"")</f>
        <v>Agropecuária</v>
      </c>
      <c r="E535" s="63" t="str">
        <f>IFERROR((VLOOKUP(LEFT($A535,4),Setor!$A:$E,5,0)),"")</f>
        <v>Agropecuária</v>
      </c>
      <c r="F535" s="64">
        <f>IFERROR(__xludf.DUMMYFUNCTION("IFERROR((GOOGLEFINANCE(A535)),"""")"),8.3)</f>
        <v>8.3</v>
      </c>
      <c r="G535" s="65" t="str">
        <f>IFERROR(__xludf.DUMMYFUNCTION("IFERROR((sparkline(GOOGLEFINANCE($A535,""price"",TODAY()-30,TODAY(),""DAILY""),{""charttype"",""line"";""linewidth"",1;""color"",""#5f88cc""})),"""")"),"")</f>
        <v/>
      </c>
      <c r="H535" s="66">
        <f>IFERROR(__xludf.DUMMYFUNCTION("IFERROR((((GOOGLEFINANCE(A535))-(INDEX(GoogleFinance(A535,""PRICE"",$AQ$1),2,2)))/(INDEX(GoogleFinance(A535,""PRICE"",$AQ$1),2,2))),"""")"),-0.026963657678780617)</f>
        <v>-0.02696365768</v>
      </c>
      <c r="I535" s="47">
        <f>IFERROR(__xludf.DUMMYFUNCTION("IFERROR((GOOGLEFINANCE($A535,""high52"")),"""")"),11.29)</f>
        <v>11.29</v>
      </c>
      <c r="J535" s="68" t="str">
        <f>IFERROR(__xludf.DUMMYFUNCTION("IFERROR((sparkline(GOOGLEFINANCE($A535,""price"",TODAY()-365,TODAY(),""DAILY""),{""charttype"",""line"";""linewidth"",1;""color"",""#5f88cc""})),"""")"),"")</f>
        <v/>
      </c>
      <c r="K535" s="66">
        <f>IFERROR(__xludf.DUMMYFUNCTION("IFERROR((((GOOGLEFINANCE(A535))-(INDEX(GoogleFinance(A535,""PRICE"",$AP$1),2,2)))/(INDEX(GoogleFinance(A535,""PRICE"",$AP$1),2,2))),"""")"),-0.16582914572864307)</f>
        <v>-0.1658291457</v>
      </c>
      <c r="L535" s="69">
        <f t="shared" si="1"/>
        <v>-0.2648361382</v>
      </c>
      <c r="M535" s="52">
        <f>IFERROR((VLOOKUP($A535,'Dados StatusInvest'!$A:$AZ,COLUMN(M535)-$A$5,0)*VLOOKUP($A535,'Dados StatusInvest'!$A:$AZ,2,0)/$F535/100),0)</f>
        <v>0.07605542169</v>
      </c>
      <c r="N535" s="53">
        <f>IFERROR((VLOOKUP($A535,'Dados StatusInvest'!$A:$AZ,COLUMN(N535)-$A$5,0)/VLOOKUP($A535,'Dados StatusInvest'!$A:$AZ,2,0)*$F535),"")</f>
        <v>4.294131737</v>
      </c>
      <c r="O535" s="53">
        <f>IFERROR((VLOOKUP($A535,'Dados StatusInvest'!$A:$AZ,COLUMN(O535)-$A$5,0)/VLOOKUP($A535,'Dados StatusInvest'!$A:$AZ,2,0)*$F535),0)</f>
        <v>6.64</v>
      </c>
      <c r="P535" s="54">
        <f>IFERROR((VLOOKUP($A535,'Dados StatusInvest'!$A:$AZ,COLUMN(P535)-$A$5,0)/VLOOKUP($A535,'Dados StatusInvest'!$A:$AZ,2,0)*$F535),0)</f>
        <v>8.876526946</v>
      </c>
      <c r="Q535" s="55">
        <f>IFERROR((VLOOKUP($A535,'Dados StatusInvest'!$A:$AZ,COLUMN(Q535)-$A$5,0)/100),0)</f>
        <v>0.0225</v>
      </c>
      <c r="R535" s="56">
        <f>VLOOKUP($A535,'Dados StatusInvest'!$A:$AZ,COLUMN(R535)-$A$5,0)</f>
        <v>0.29</v>
      </c>
      <c r="S535" s="56">
        <f>IFERROR((VLOOKUP($A535,'Dados StatusInvest'!$A:$AZ,COLUMN(S535)-$A$5,0)),0)</f>
        <v>0.51</v>
      </c>
      <c r="T535" s="53">
        <f>IFERROR((VLOOKUP($A535,'Dados StatusInvest'!$A:$AZ,COLUMN(T535)-$A$5,0)/VLOOKUP($A535,'Dados StatusInvest'!$A:$AZ,2,0)*$F535),0)</f>
        <v>0.5964071856</v>
      </c>
      <c r="U535" s="53">
        <f>IFERROR((VLOOKUP($A535,'Dados StatusInvest'!$A:$AZ,COLUMN(U535)-$A$5,0)-VLOOKUP($A535,'Dados StatusInvest'!$A:$AZ,COLUMN(U535)-$A$5-1,0)+T535),0)</f>
        <v>-0.8535928144</v>
      </c>
      <c r="V535" s="56">
        <f>IFERROR((VLOOKUP($A535,'Dados StatusInvest'!$A:$AZ,COLUMN(V535)-$A$5,0)),0)</f>
        <v>3.67</v>
      </c>
      <c r="W535" s="56">
        <f>IFERROR((VLOOKUP($A535,'Dados StatusInvest'!$A:$AZ,COLUMN(W535)-$A$5,0)),0)</f>
        <v>7.28</v>
      </c>
      <c r="X535" s="53">
        <f>IFERROR((VLOOKUP($A535,'Dados StatusInvest'!$A:$AZ,COLUMN(X535)-$A$5,0)/VLOOKUP($A535,'Dados StatusInvest'!$A:$AZ,2,0)*$F535),0)</f>
        <v>2.455209581</v>
      </c>
      <c r="Y535" s="54">
        <f>IFERROR((VLOOKUP($A535,'Dados StatusInvest'!$A:$AZ,COLUMN(Y535)-$A$5,0)/VLOOKUP($A535,'Dados StatusInvest'!$A:$AZ,2,0)*$F535),0)</f>
        <v>4.801077844</v>
      </c>
      <c r="Z535" s="56">
        <f>IFERROR((VLOOKUP($A535,'Dados StatusInvest'!$A:$AZ,COLUMN(Z535)-$A$5,0)),0)</f>
        <v>0.34</v>
      </c>
      <c r="AA535" s="57">
        <f>IFERROR((VLOOKUP($A535,'Dados StatusInvest'!$A:$AZ,COLUMN(AA535)-$A$5,0)),0)</f>
        <v>0.5</v>
      </c>
      <c r="AB535" s="57">
        <f>IFERROR((VLOOKUP($A535,'Dados StatusInvest'!$A:$AZ,COLUMN(AB535)-$A$5,0)),0)</f>
        <v>0.57</v>
      </c>
      <c r="AC535" s="58">
        <f>IFERROR((VLOOKUP($A535,'Dados StatusInvest'!$A:$AZ,COLUMN(AC535)-$A$5,0)),0)</f>
        <v>35.41</v>
      </c>
      <c r="AD535" s="57">
        <f>IFERROR((VLOOKUP($A535,'Dados StatusInvest'!$A:$AZ,COLUMN(AD535)-$A$5,0)),0)</f>
        <v>30.59</v>
      </c>
      <c r="AE535" s="56">
        <f>IFERROR((VLOOKUP($A535,'Dados StatusInvest'!$A:$AZ,COLUMN(AE535)-$A$5,0)),0)</f>
        <v>7825007</v>
      </c>
      <c r="AF535" s="56">
        <f>IFERROR((VLOOKUP($A535,'Dados StatusInvest'!$A:$AZ,COLUMN(AF535)-$A$5,0)),0)</f>
        <v>9.8</v>
      </c>
      <c r="AG535" s="56">
        <f>IFERROR((VLOOKUP($A535,'Dados StatusInvest'!$A:$AZ,COLUMN(AG535)-$A$5,0)),0)</f>
        <v>0.71</v>
      </c>
      <c r="AH535" s="56">
        <f>IFERROR((VLOOKUP($A535,'Dados StatusInvest'!$A:$AZ,COLUMN(AH535)-$A$5,0)),0)</f>
        <v>-0.19</v>
      </c>
      <c r="AI535" s="57">
        <f>IFERROR((VLOOKUP($A535,'Dados StatusInvest'!$A:$AZ,COLUMN(AI535)-$A$5,0)),0)</f>
        <v>1184887445</v>
      </c>
      <c r="AJ535" s="59" t="str">
        <f>IFERROR((VLOOKUP($A535,'Dados StatusInvest'!$A:$AZ,COLUMN(AJ535)-$A$5,0)),0)</f>
        <v/>
      </c>
      <c r="AK535" s="67">
        <f>IFERROR(__xludf.DUMMYFUNCTION("IFERROR(GOOGLEFINANCE($A535,""high""),"""")"),8.35)</f>
        <v>8.35</v>
      </c>
      <c r="AL535" s="67">
        <f>IFERROR(__xludf.DUMMYFUNCTION("IFERROR(GOOGLEFINANCE($A535,""low""),"""")"),8.27)</f>
        <v>8.27</v>
      </c>
      <c r="AM535" s="70">
        <f t="shared" si="2"/>
        <v>0.009673518742</v>
      </c>
      <c r="AN535" s="71">
        <f>IFERROR(__xludf.DUMMYFUNCTION("IFERROR((GOOGLEFINANCE($A535,""volume"")),0)"),62100.0)</f>
        <v>62100</v>
      </c>
      <c r="AO535" s="67">
        <f>IFERROR(__xludf.DUMMYFUNCTION("IFERROR((GOOGLEFINANCE($A535,""closeyest"")),"""")"),8.35)</f>
        <v>8.35</v>
      </c>
      <c r="AP535" s="67">
        <f>IFERROR(__xludf.DUMMYFUNCTION("IFERROR((GOOGLEFINANCE($A535,""shares"")),"""")"),1.41902688E8)</f>
        <v>141902688</v>
      </c>
      <c r="AQ535" s="60"/>
    </row>
    <row r="536">
      <c r="A536" s="45" t="str">
        <f>'Dados StatusInvest'!A531:A1150</f>
        <v>SOMA3</v>
      </c>
      <c r="B536" s="63" t="str">
        <f>IFERROR(__xludf.DUMMYFUNCTION("IFERROR((GOOGLEFINANCE(A536,""name"")),"""")"),"")</f>
        <v/>
      </c>
      <c r="C536" s="63" t="str">
        <f>IFERROR((VLOOKUP(LEFT($A536,4),Setor!$A:$E,3,0)),"")</f>
        <v>Consumo Cíclico</v>
      </c>
      <c r="D536" s="63" t="str">
        <f>IFERROR((VLOOKUP(LEFT($A536,4),Setor!$A:$E,4,0)),"")</f>
        <v>Comércio</v>
      </c>
      <c r="E536" s="63" t="str">
        <f>IFERROR((VLOOKUP(LEFT($A536,4),Setor!$A:$E,5,0)),"")</f>
        <v>Tecidos, Vestuário e Calçados</v>
      </c>
      <c r="F536" s="64" t="str">
        <f>IFERROR(__xludf.DUMMYFUNCTION("IFERROR((GOOGLEFINANCE(A536)),"""")"),"")</f>
        <v/>
      </c>
      <c r="G536" s="65" t="str">
        <f>IFERROR(__xludf.DUMMYFUNCTION("IFERROR((sparkline(GOOGLEFINANCE($A536,""price"",TODAY()-30,TODAY(),""DAILY""),{""charttype"",""line"";""linewidth"",1;""color"",""#5f88cc""})),"""")"),"")</f>
        <v/>
      </c>
      <c r="H536" s="66" t="str">
        <f>IFERROR(__xludf.DUMMYFUNCTION("IFERROR((((GOOGLEFINANCE(A536))-(INDEX(GoogleFinance(A536,""PRICE"",$AQ$1),2,2)))/(INDEX(GoogleFinance(A536,""PRICE"",$AQ$1),2,2))),"""")"),"")</f>
        <v/>
      </c>
      <c r="I536" s="47" t="str">
        <f>IFERROR(__xludf.DUMMYFUNCTION("IFERROR((GOOGLEFINANCE($A536,""high52"")),"""")"),"")</f>
        <v/>
      </c>
      <c r="J536" s="68" t="str">
        <f>IFERROR(__xludf.DUMMYFUNCTION("IFERROR((sparkline(GOOGLEFINANCE($A536,""price"",TODAY()-365,TODAY(),""DAILY""),{""charttype"",""line"";""linewidth"",1;""color"",""#5f88cc""})),"""")"),"")</f>
        <v/>
      </c>
      <c r="K536" s="66" t="str">
        <f>IFERROR(__xludf.DUMMYFUNCTION("IFERROR((((GOOGLEFINANCE(A536))-(INDEX(GoogleFinance(A536,""PRICE"",$AP$1),2,2)))/(INDEX(GoogleFinance(A536,""PRICE"",$AP$1),2,2))),"""")"),"")</f>
        <v/>
      </c>
      <c r="L536" s="69">
        <f t="shared" si="1"/>
        <v>0</v>
      </c>
      <c r="M536" s="52">
        <f>IFERROR((VLOOKUP($A536,'Dados StatusInvest'!$A:$AZ,COLUMN(M536)-$A$5,0)*VLOOKUP($A536,'Dados StatusInvest'!$A:$AZ,2,0)/$F536/100),0)</f>
        <v>0</v>
      </c>
      <c r="N536" s="53">
        <f>IFERROR((VLOOKUP($A536,'Dados StatusInvest'!$A:$AZ,COLUMN(N536)-$A$5,0)/VLOOKUP($A536,'Dados StatusInvest'!$A:$AZ,2,0)*$F536),"")</f>
        <v>0</v>
      </c>
      <c r="O536" s="53">
        <f>IFERROR((VLOOKUP($A536,'Dados StatusInvest'!$A:$AZ,COLUMN(O536)-$A$5,0)/VLOOKUP($A536,'Dados StatusInvest'!$A:$AZ,2,0)*$F536),0)</f>
        <v>0</v>
      </c>
      <c r="P536" s="54">
        <f>IFERROR((VLOOKUP($A536,'Dados StatusInvest'!$A:$AZ,COLUMN(P536)-$A$5,0)/VLOOKUP($A536,'Dados StatusInvest'!$A:$AZ,2,0)*$F536),0)</f>
        <v>0</v>
      </c>
      <c r="Q536" s="55">
        <f>IFERROR((VLOOKUP($A536,'Dados StatusInvest'!$A:$AZ,COLUMN(Q536)-$A$5,0)/100),0)</f>
        <v>-0.0045</v>
      </c>
      <c r="R536" s="56">
        <f>VLOOKUP($A536,'Dados StatusInvest'!$A:$AZ,COLUMN(R536)-$A$5,0)</f>
        <v>0.19</v>
      </c>
      <c r="S536" s="56">
        <f>IFERROR((VLOOKUP($A536,'Dados StatusInvest'!$A:$AZ,COLUMN(S536)-$A$5,0)),0)</f>
        <v>0.87</v>
      </c>
      <c r="T536" s="53">
        <f>IFERROR((VLOOKUP($A536,'Dados StatusInvest'!$A:$AZ,COLUMN(T536)-$A$5,0)/VLOOKUP($A536,'Dados StatusInvest'!$A:$AZ,2,0)*$F536),0)</f>
        <v>0</v>
      </c>
      <c r="U536" s="53">
        <f>IFERROR((VLOOKUP($A536,'Dados StatusInvest'!$A:$AZ,COLUMN(U536)-$A$5,0)-VLOOKUP($A536,'Dados StatusInvest'!$A:$AZ,COLUMN(U536)-$A$5-1,0)+T536),0)</f>
        <v>-2.85</v>
      </c>
      <c r="V536" s="56">
        <f>IFERROR((VLOOKUP($A536,'Dados StatusInvest'!$A:$AZ,COLUMN(V536)-$A$5,0)),0)</f>
        <v>2.36</v>
      </c>
      <c r="W536" s="56">
        <f>IFERROR((VLOOKUP($A536,'Dados StatusInvest'!$A:$AZ,COLUMN(W536)-$A$5,0)),0)</f>
        <v>27.15</v>
      </c>
      <c r="X536" s="53">
        <f>IFERROR((VLOOKUP($A536,'Dados StatusInvest'!$A:$AZ,COLUMN(X536)-$A$5,0)/VLOOKUP($A536,'Dados StatusInvest'!$A:$AZ,2,0)*$F536),0)</f>
        <v>0</v>
      </c>
      <c r="Y536" s="54">
        <f>IFERROR((VLOOKUP($A536,'Dados StatusInvest'!$A:$AZ,COLUMN(Y536)-$A$5,0)/VLOOKUP($A536,'Dados StatusInvest'!$A:$AZ,2,0)*$F536),0)</f>
        <v>0</v>
      </c>
      <c r="Z536" s="56">
        <f>IFERROR((VLOOKUP($A536,'Dados StatusInvest'!$A:$AZ,COLUMN(Z536)-$A$5,0)),0)</f>
        <v>0.61</v>
      </c>
      <c r="AA536" s="57">
        <f>IFERROR((VLOOKUP($A536,'Dados StatusInvest'!$A:$AZ,COLUMN(AA536)-$A$5,0)),0)</f>
        <v>0.39</v>
      </c>
      <c r="AB536" s="57">
        <f>IFERROR((VLOOKUP($A536,'Dados StatusInvest'!$A:$AZ,COLUMN(AB536)-$A$5,0)),0)</f>
        <v>0.56</v>
      </c>
      <c r="AC536" s="58">
        <f>IFERROR((VLOOKUP($A536,'Dados StatusInvest'!$A:$AZ,COLUMN(AC536)-$A$5,0)),0)</f>
        <v>37.72</v>
      </c>
      <c r="AD536" s="57">
        <f>IFERROR((VLOOKUP($A536,'Dados StatusInvest'!$A:$AZ,COLUMN(AD536)-$A$5,0)),0)</f>
        <v>80.87</v>
      </c>
      <c r="AE536" s="56">
        <f>IFERROR((VLOOKUP($A536,'Dados StatusInvest'!$A:$AZ,COLUMN(AE536)-$A$5,0)),0)</f>
        <v>99716529</v>
      </c>
      <c r="AF536" s="56">
        <f>IFERROR((VLOOKUP($A536,'Dados StatusInvest'!$A:$AZ,COLUMN(AF536)-$A$5,0)),0)</f>
        <v>7.4</v>
      </c>
      <c r="AG536" s="56">
        <f>IFERROR((VLOOKUP($A536,'Dados StatusInvest'!$A:$AZ,COLUMN(AG536)-$A$5,0)),0)</f>
        <v>2.01</v>
      </c>
      <c r="AH536" s="56">
        <f>IFERROR((VLOOKUP($A536,'Dados StatusInvest'!$A:$AZ,COLUMN(AH536)-$A$5,0)),0)</f>
        <v>0.01</v>
      </c>
      <c r="AI536" s="57">
        <f>IFERROR((VLOOKUP($A536,'Dados StatusInvest'!$A:$AZ,COLUMN(AI536)-$A$5,0)),0)</f>
        <v>4669246869</v>
      </c>
      <c r="AJ536" s="59" t="str">
        <f>IFERROR((VLOOKUP($A536,'Dados StatusInvest'!$A:$AZ,COLUMN(AJ536)-$A$5,0)),0)</f>
        <v/>
      </c>
      <c r="AK536" s="67" t="str">
        <f>IFERROR(__xludf.DUMMYFUNCTION("IFERROR(GOOGLEFINANCE($A536,""high""),"""")"),"")</f>
        <v/>
      </c>
      <c r="AL536" s="67" t="str">
        <f>IFERROR(__xludf.DUMMYFUNCTION("IFERROR(GOOGLEFINANCE($A536,""low""),"""")"),"")</f>
        <v/>
      </c>
      <c r="AM536" s="70">
        <f t="shared" si="2"/>
        <v>0</v>
      </c>
      <c r="AN536" s="71">
        <f>IFERROR(__xludf.DUMMYFUNCTION("IFERROR((GOOGLEFINANCE($A536,""volume"")),0)"),0.0)</f>
        <v>0</v>
      </c>
      <c r="AO536" s="67" t="str">
        <f>IFERROR(__xludf.DUMMYFUNCTION("IFERROR((GOOGLEFINANCE($A536,""closeyest"")),"""")"),"")</f>
        <v/>
      </c>
      <c r="AP536" s="67" t="str">
        <f>IFERROR(__xludf.DUMMYFUNCTION("IFERROR((GOOGLEFINANCE($A536,""shares"")),"""")"),"")</f>
        <v/>
      </c>
      <c r="AQ536" s="60"/>
    </row>
    <row r="537">
      <c r="A537" s="45" t="str">
        <f>'Dados StatusInvest'!A532:A1151</f>
        <v>SOND3</v>
      </c>
      <c r="B537" s="63" t="str">
        <f>IFERROR(__xludf.DUMMYFUNCTION("IFERROR((GOOGLEFINANCE(A537,""name"")),"""")"),"Sondotecnica Engenharia de Solos SA")</f>
        <v>Sondotecnica Engenharia de Solos SA</v>
      </c>
      <c r="C537" s="63" t="str">
        <f>IFERROR((VLOOKUP(LEFT($A537,4),Setor!$A:$E,3,0)),"")</f>
        <v>Bens Industriais</v>
      </c>
      <c r="D537" s="63" t="str">
        <f>IFERROR((VLOOKUP(LEFT($A537,4),Setor!$A:$E,4,0)),"")</f>
        <v>Construção e Engenharia</v>
      </c>
      <c r="E537" s="63" t="str">
        <f>IFERROR((VLOOKUP(LEFT($A537,4),Setor!$A:$E,5,0)),"")</f>
        <v>Engenharia Consultiva</v>
      </c>
      <c r="F537" s="64">
        <f>IFERROR(__xludf.DUMMYFUNCTION("IFERROR((GOOGLEFINANCE(A537)),"""")"),38.66)</f>
        <v>38.66</v>
      </c>
      <c r="G537" s="65" t="str">
        <f>IFERROR(__xludf.DUMMYFUNCTION("IFERROR((sparkline(GOOGLEFINANCE($A537,""price"",TODAY()-30,TODAY(),""DAILY""),{""charttype"",""line"";""linewidth"",1;""color"",""#5f88cc""})),"""")"),"")</f>
        <v/>
      </c>
      <c r="H537" s="66" t="str">
        <f>IFERROR(__xludf.DUMMYFUNCTION("IFERROR((((GOOGLEFINANCE(A537))-(INDEX(GoogleFinance(A537,""PRICE"",$AQ$1),2,2)))/(INDEX(GoogleFinance(A537,""PRICE"",$AQ$1),2,2))),"""")"),"")</f>
        <v/>
      </c>
      <c r="I537" s="47">
        <f>IFERROR(__xludf.DUMMYFUNCTION("IFERROR((GOOGLEFINANCE($A537,""high52"")),"""")"),39.45)</f>
        <v>39.45</v>
      </c>
      <c r="J537" s="68" t="str">
        <f>IFERROR(__xludf.DUMMYFUNCTION("IFERROR((sparkline(GOOGLEFINANCE($A537,""price"",TODAY()-365,TODAY(),""DAILY""),{""charttype"",""line"";""linewidth"",1;""color"",""#5f88cc""})),"""")"),"")</f>
        <v/>
      </c>
      <c r="K537" s="66" t="str">
        <f>IFERROR(__xludf.DUMMYFUNCTION("IFERROR((((GOOGLEFINANCE(A537))-(INDEX(GoogleFinance(A537,""PRICE"",$AP$1),2,2)))/(INDEX(GoogleFinance(A537,""PRICE"",$AP$1),2,2))),"""")"),"")</f>
        <v/>
      </c>
      <c r="L537" s="69">
        <f t="shared" si="1"/>
        <v>-0.02002534854</v>
      </c>
      <c r="M537" s="52">
        <f>IFERROR((VLOOKUP($A537,'Dados StatusInvest'!$A:$AZ,COLUMN(M537)-$A$5,0)*VLOOKUP($A537,'Dados StatusInvest'!$A:$AZ,2,0)/$F537/100),0)</f>
        <v>0.1734</v>
      </c>
      <c r="N537" s="53">
        <f>IFERROR((VLOOKUP($A537,'Dados StatusInvest'!$A:$AZ,COLUMN(N537)-$A$5,0)/VLOOKUP($A537,'Dados StatusInvest'!$A:$AZ,2,0)*$F537),"")</f>
        <v>12.59</v>
      </c>
      <c r="O537" s="53">
        <f>IFERROR((VLOOKUP($A537,'Dados StatusInvest'!$A:$AZ,COLUMN(O537)-$A$5,0)/VLOOKUP($A537,'Dados StatusInvest'!$A:$AZ,2,0)*$F537),0)</f>
        <v>2.48</v>
      </c>
      <c r="P537" s="54">
        <f>IFERROR((VLOOKUP($A537,'Dados StatusInvest'!$A:$AZ,COLUMN(P537)-$A$5,0)/VLOOKUP($A537,'Dados StatusInvest'!$A:$AZ,2,0)*$F537),0)</f>
        <v>2.89</v>
      </c>
      <c r="Q537" s="55">
        <f>IFERROR((VLOOKUP($A537,'Dados StatusInvest'!$A:$AZ,COLUMN(Q537)-$A$5,0)/100),0)</f>
        <v>-0.0091</v>
      </c>
      <c r="R537" s="56">
        <f>VLOOKUP($A537,'Dados StatusInvest'!$A:$AZ,COLUMN(R537)-$A$5,0)</f>
        <v>-0.48</v>
      </c>
      <c r="S537" s="56">
        <f>IFERROR((VLOOKUP($A537,'Dados StatusInvest'!$A:$AZ,COLUMN(S537)-$A$5,0)),0)</f>
        <v>0.43</v>
      </c>
      <c r="T537" s="53">
        <f>IFERROR((VLOOKUP($A537,'Dados StatusInvest'!$A:$AZ,COLUMN(T537)-$A$5,0)/VLOOKUP($A537,'Dados StatusInvest'!$A:$AZ,2,0)*$F537),0)</f>
        <v>2.52</v>
      </c>
      <c r="U537" s="53">
        <f>IFERROR((VLOOKUP($A537,'Dados StatusInvest'!$A:$AZ,COLUMN(U537)-$A$5,0)-VLOOKUP($A537,'Dados StatusInvest'!$A:$AZ,COLUMN(U537)-$A$5-1,0)+T537),0)</f>
        <v>-1.92</v>
      </c>
      <c r="V537" s="56">
        <f>IFERROR((VLOOKUP($A537,'Dados StatusInvest'!$A:$AZ,COLUMN(V537)-$A$5,0)),0)</f>
        <v>2.1</v>
      </c>
      <c r="W537" s="56">
        <f>IFERROR((VLOOKUP($A537,'Dados StatusInvest'!$A:$AZ,COLUMN(W537)-$A$5,0)),0)</f>
        <v>38.39</v>
      </c>
      <c r="X537" s="53">
        <f>IFERROR((VLOOKUP($A537,'Dados StatusInvest'!$A:$AZ,COLUMN(X537)-$A$5,0)/VLOOKUP($A537,'Dados StatusInvest'!$A:$AZ,2,0)*$F537),0)</f>
        <v>22.87</v>
      </c>
      <c r="Y537" s="54">
        <f>IFERROR((VLOOKUP($A537,'Dados StatusInvest'!$A:$AZ,COLUMN(Y537)-$A$5,0)/VLOOKUP($A537,'Dados StatusInvest'!$A:$AZ,2,0)*$F537),0)</f>
        <v>20.76</v>
      </c>
      <c r="Z537" s="56">
        <f>IFERROR((VLOOKUP($A537,'Dados StatusInvest'!$A:$AZ,COLUMN(Z537)-$A$5,0)),0)</f>
        <v>0.6</v>
      </c>
      <c r="AA537" s="57">
        <f>IFERROR((VLOOKUP($A537,'Dados StatusInvest'!$A:$AZ,COLUMN(AA537)-$A$5,0)),0)</f>
        <v>0.4</v>
      </c>
      <c r="AB537" s="57">
        <f>IFERROR((VLOOKUP($A537,'Dados StatusInvest'!$A:$AZ,COLUMN(AB537)-$A$5,0)),0)</f>
        <v>1.82</v>
      </c>
      <c r="AC537" s="58">
        <f>IFERROR((VLOOKUP($A537,'Dados StatusInvest'!$A:$AZ,COLUMN(AC537)-$A$5,0)),0)</f>
        <v>25.49</v>
      </c>
      <c r="AD537" s="57">
        <f>IFERROR((VLOOKUP($A537,'Dados StatusInvest'!$A:$AZ,COLUMN(AD537)-$A$5,0)),0)</f>
        <v>44.65</v>
      </c>
      <c r="AE537" s="56">
        <f>IFERROR((VLOOKUP($A537,'Dados StatusInvest'!$A:$AZ,COLUMN(AE537)-$A$5,0)),0)</f>
        <v>3866</v>
      </c>
      <c r="AF537" s="56">
        <f>IFERROR((VLOOKUP($A537,'Dados StatusInvest'!$A:$AZ,COLUMN(AF537)-$A$5,0)),0)</f>
        <v>29.44</v>
      </c>
      <c r="AG537" s="56">
        <f>IFERROR((VLOOKUP($A537,'Dados StatusInvest'!$A:$AZ,COLUMN(AG537)-$A$5,0)),0)</f>
        <v>11.3</v>
      </c>
      <c r="AH537" s="56">
        <f>IFERROR((VLOOKUP($A537,'Dados StatusInvest'!$A:$AZ,COLUMN(AH537)-$A$5,0)),0)</f>
        <v>0.03</v>
      </c>
      <c r="AI537" s="57">
        <f>IFERROR((VLOOKUP($A537,'Dados StatusInvest'!$A:$AZ,COLUMN(AI537)-$A$5,0)),0)</f>
        <v>145225960</v>
      </c>
      <c r="AJ537" s="59" t="str">
        <f>IFERROR((VLOOKUP($A537,'Dados StatusInvest'!$A:$AZ,COLUMN(AJ537)-$A$5,0)),0)</f>
        <v/>
      </c>
      <c r="AK537" s="67" t="str">
        <f>IFERROR(__xludf.DUMMYFUNCTION("IFERROR(GOOGLEFINANCE($A537,""high""),"""")"),"")</f>
        <v/>
      </c>
      <c r="AL537" s="67" t="str">
        <f>IFERROR(__xludf.DUMMYFUNCTION("IFERROR(GOOGLEFINANCE($A537,""low""),"""")"),"")</f>
        <v/>
      </c>
      <c r="AM537" s="70">
        <f t="shared" si="2"/>
        <v>0</v>
      </c>
      <c r="AN537" s="71">
        <f>IFERROR(__xludf.DUMMYFUNCTION("IFERROR((GOOGLEFINANCE($A537,""volume"")),0)"),0.0)</f>
        <v>0</v>
      </c>
      <c r="AO537" s="67">
        <f>IFERROR(__xludf.DUMMYFUNCTION("IFERROR((GOOGLEFINANCE($A537,""closeyest"")),"""")"),38.66)</f>
        <v>38.66</v>
      </c>
      <c r="AP537" s="67">
        <f>IFERROR(__xludf.DUMMYFUNCTION("IFERROR((GOOGLEFINANCE($A537,""shares"")),"""")"),856000.0)</f>
        <v>856000</v>
      </c>
      <c r="AQ537" s="60"/>
    </row>
    <row r="538">
      <c r="A538" s="45" t="str">
        <f>'Dados StatusInvest'!A533:A1152</f>
        <v>SOND5</v>
      </c>
      <c r="B538" s="63" t="str">
        <f>IFERROR(__xludf.DUMMYFUNCTION("IFERROR((GOOGLEFINANCE(A538,""name"")),"""")"),"Sondotecnica Engenharia de Solos SA Preference Shares Class A")</f>
        <v>Sondotecnica Engenharia de Solos SA Preference Shares Class A</v>
      </c>
      <c r="C538" s="63" t="str">
        <f>IFERROR((VLOOKUP(LEFT($A538,4),Setor!$A:$E,3,0)),"")</f>
        <v>Bens Industriais</v>
      </c>
      <c r="D538" s="63" t="str">
        <f>IFERROR((VLOOKUP(LEFT($A538,4),Setor!$A:$E,4,0)),"")</f>
        <v>Construção e Engenharia</v>
      </c>
      <c r="E538" s="63" t="str">
        <f>IFERROR((VLOOKUP(LEFT($A538,4),Setor!$A:$E,5,0)),"")</f>
        <v>Engenharia Consultiva</v>
      </c>
      <c r="F538" s="64">
        <f>IFERROR(__xludf.DUMMYFUNCTION("IFERROR((GOOGLEFINANCE(A538)),"""")"),70.0)</f>
        <v>70</v>
      </c>
      <c r="G538" s="65" t="str">
        <f>IFERROR(__xludf.DUMMYFUNCTION("IFERROR((sparkline(GOOGLEFINANCE($A538,""price"",TODAY()-30,TODAY(),""DAILY""),{""charttype"",""line"";""linewidth"",1;""color"",""#5f88cc""})),"""")"),"")</f>
        <v/>
      </c>
      <c r="H538" s="66">
        <f>IFERROR(__xludf.DUMMYFUNCTION("IFERROR((((GOOGLEFINANCE(A538))-(INDEX(GoogleFinance(A538,""PRICE"",$AQ$1),2,2)))/(INDEX(GoogleFinance(A538,""PRICE"",$AQ$1),2,2))),"""")"),0.06788710907704047)</f>
        <v>0.06788710908</v>
      </c>
      <c r="I538" s="47">
        <f>IFERROR(__xludf.DUMMYFUNCTION("IFERROR((GOOGLEFINANCE($A538,""high52"")),"""")"),70.0)</f>
        <v>70</v>
      </c>
      <c r="J538" s="68" t="str">
        <f>IFERROR(__xludf.DUMMYFUNCTION("IFERROR((sparkline(GOOGLEFINANCE($A538,""price"",TODAY()-365,TODAY(),""DAILY""),{""charttype"",""line"";""linewidth"",1;""color"",""#5f88cc""})),"""")"),"")</f>
        <v/>
      </c>
      <c r="K538" s="66" t="str">
        <f>IFERROR(__xludf.DUMMYFUNCTION("IFERROR((((GOOGLEFINANCE(A538))-(INDEX(GoogleFinance(A538,""PRICE"",$AP$1),2,2)))/(INDEX(GoogleFinance(A538,""PRICE"",$AP$1),2,2))),"""")"),"")</f>
        <v/>
      </c>
      <c r="L538" s="69">
        <f t="shared" si="1"/>
        <v>0</v>
      </c>
      <c r="M538" s="52">
        <f>IFERROR((VLOOKUP($A538,'Dados StatusInvest'!$A:$AZ,COLUMN(M538)-$A$5,0)*VLOOKUP($A538,'Dados StatusInvest'!$A:$AZ,2,0)/$F538/100),0)</f>
        <v>0.1734</v>
      </c>
      <c r="N538" s="53">
        <f>IFERROR((VLOOKUP($A538,'Dados StatusInvest'!$A:$AZ,COLUMN(N538)-$A$5,0)/VLOOKUP($A538,'Dados StatusInvest'!$A:$AZ,2,0)*$F538),"")</f>
        <v>12.59</v>
      </c>
      <c r="O538" s="53">
        <f>IFERROR((VLOOKUP($A538,'Dados StatusInvest'!$A:$AZ,COLUMN(O538)-$A$5,0)/VLOOKUP($A538,'Dados StatusInvest'!$A:$AZ,2,0)*$F538),0)</f>
        <v>4.5</v>
      </c>
      <c r="P538" s="54">
        <f>IFERROR((VLOOKUP($A538,'Dados StatusInvest'!$A:$AZ,COLUMN(P538)-$A$5,0)/VLOOKUP($A538,'Dados StatusInvest'!$A:$AZ,2,0)*$F538),0)</f>
        <v>2.89</v>
      </c>
      <c r="Q538" s="55">
        <f>IFERROR((VLOOKUP($A538,'Dados StatusInvest'!$A:$AZ,COLUMN(Q538)-$A$5,0)/100),0)</f>
        <v>-0.0091</v>
      </c>
      <c r="R538" s="56">
        <f>VLOOKUP($A538,'Dados StatusInvest'!$A:$AZ,COLUMN(R538)-$A$5,0)</f>
        <v>-0.48</v>
      </c>
      <c r="S538" s="56">
        <f>IFERROR((VLOOKUP($A538,'Dados StatusInvest'!$A:$AZ,COLUMN(S538)-$A$5,0)),0)</f>
        <v>0.78</v>
      </c>
      <c r="T538" s="53">
        <f>IFERROR((VLOOKUP($A538,'Dados StatusInvest'!$A:$AZ,COLUMN(T538)-$A$5,0)/VLOOKUP($A538,'Dados StatusInvest'!$A:$AZ,2,0)*$F538),0)</f>
        <v>4.56</v>
      </c>
      <c r="U538" s="53">
        <f>IFERROR((VLOOKUP($A538,'Dados StatusInvest'!$A:$AZ,COLUMN(U538)-$A$5,0)-VLOOKUP($A538,'Dados StatusInvest'!$A:$AZ,COLUMN(U538)-$A$5-1,0)+T538),0)</f>
        <v>-3.47</v>
      </c>
      <c r="V538" s="56">
        <f>IFERROR((VLOOKUP($A538,'Dados StatusInvest'!$A:$AZ,COLUMN(V538)-$A$5,0)),0)</f>
        <v>2.1</v>
      </c>
      <c r="W538" s="56">
        <f>IFERROR((VLOOKUP($A538,'Dados StatusInvest'!$A:$AZ,COLUMN(W538)-$A$5,0)),0)</f>
        <v>38.39</v>
      </c>
      <c r="X538" s="53">
        <f>IFERROR((VLOOKUP($A538,'Dados StatusInvest'!$A:$AZ,COLUMN(X538)-$A$5,0)/VLOOKUP($A538,'Dados StatusInvest'!$A:$AZ,2,0)*$F538),0)</f>
        <v>22.87</v>
      </c>
      <c r="Y538" s="54">
        <f>IFERROR((VLOOKUP($A538,'Dados StatusInvest'!$A:$AZ,COLUMN(Y538)-$A$5,0)/VLOOKUP($A538,'Dados StatusInvest'!$A:$AZ,2,0)*$F538),0)</f>
        <v>20.76</v>
      </c>
      <c r="Z538" s="56">
        <f>IFERROR((VLOOKUP($A538,'Dados StatusInvest'!$A:$AZ,COLUMN(Z538)-$A$5,0)),0)</f>
        <v>0.6</v>
      </c>
      <c r="AA538" s="57">
        <f>IFERROR((VLOOKUP($A538,'Dados StatusInvest'!$A:$AZ,COLUMN(AA538)-$A$5,0)),0)</f>
        <v>0.4</v>
      </c>
      <c r="AB538" s="57">
        <f>IFERROR((VLOOKUP($A538,'Dados StatusInvest'!$A:$AZ,COLUMN(AB538)-$A$5,0)),0)</f>
        <v>1.82</v>
      </c>
      <c r="AC538" s="58">
        <f>IFERROR((VLOOKUP($A538,'Dados StatusInvest'!$A:$AZ,COLUMN(AC538)-$A$5,0)),0)</f>
        <v>25.49</v>
      </c>
      <c r="AD538" s="57">
        <f>IFERROR((VLOOKUP($A538,'Dados StatusInvest'!$A:$AZ,COLUMN(AD538)-$A$5,0)),0)</f>
        <v>44.65</v>
      </c>
      <c r="AE538" s="56">
        <f>IFERROR((VLOOKUP($A538,'Dados StatusInvest'!$A:$AZ,COLUMN(AE538)-$A$5,0)),0)</f>
        <v>8219.92</v>
      </c>
      <c r="AF538" s="56">
        <f>IFERROR((VLOOKUP($A538,'Dados StatusInvest'!$A:$AZ,COLUMN(AF538)-$A$5,0)),0)</f>
        <v>29.44</v>
      </c>
      <c r="AG538" s="56">
        <f>IFERROR((VLOOKUP($A538,'Dados StatusInvest'!$A:$AZ,COLUMN(AG538)-$A$5,0)),0)</f>
        <v>11.3</v>
      </c>
      <c r="AH538" s="56">
        <f>IFERROR((VLOOKUP($A538,'Dados StatusInvest'!$A:$AZ,COLUMN(AH538)-$A$5,0)),0)</f>
        <v>0.05</v>
      </c>
      <c r="AI538" s="57">
        <f>IFERROR((VLOOKUP($A538,'Dados StatusInvest'!$A:$AZ,COLUMN(AI538)-$A$5,0)),0)</f>
        <v>145225960</v>
      </c>
      <c r="AJ538" s="59" t="str">
        <f>IFERROR((VLOOKUP($A538,'Dados StatusInvest'!$A:$AZ,COLUMN(AJ538)-$A$5,0)),0)</f>
        <v/>
      </c>
      <c r="AK538" s="67" t="str">
        <f>IFERROR(__xludf.DUMMYFUNCTION("IFERROR(GOOGLEFINANCE($A538,""high""),"""")"),"")</f>
        <v/>
      </c>
      <c r="AL538" s="67" t="str">
        <f>IFERROR(__xludf.DUMMYFUNCTION("IFERROR(GOOGLEFINANCE($A538,""low""),"""")"),"")</f>
        <v/>
      </c>
      <c r="AM538" s="70">
        <f t="shared" si="2"/>
        <v>0</v>
      </c>
      <c r="AN538" s="71">
        <f>IFERROR(__xludf.DUMMYFUNCTION("IFERROR((GOOGLEFINANCE($A538,""volume"")),0)"),0.0)</f>
        <v>0</v>
      </c>
      <c r="AO538" s="67">
        <f>IFERROR(__xludf.DUMMYFUNCTION("IFERROR((GOOGLEFINANCE($A538,""closeyest"")),"""")"),70.0)</f>
        <v>70</v>
      </c>
      <c r="AP538" s="67">
        <f>IFERROR(__xludf.DUMMYFUNCTION("IFERROR((GOOGLEFINANCE($A538,""shares"")),"""")"),784600.0)</f>
        <v>784600</v>
      </c>
      <c r="AQ538" s="60"/>
    </row>
    <row r="539">
      <c r="A539" s="45" t="str">
        <f>'Dados StatusInvest'!A534:A1153</f>
        <v>SOND6</v>
      </c>
      <c r="B539" s="63" t="str">
        <f>IFERROR(__xludf.DUMMYFUNCTION("IFERROR((GOOGLEFINANCE(A539,""name"")),"""")"),"Sondotecnica Engenharia de Solos SA Preference Shares Class B")</f>
        <v>Sondotecnica Engenharia de Solos SA Preference Shares Class B</v>
      </c>
      <c r="C539" s="63" t="str">
        <f>IFERROR((VLOOKUP(LEFT($A539,4),Setor!$A:$E,3,0)),"")</f>
        <v>Bens Industriais</v>
      </c>
      <c r="D539" s="63" t="str">
        <f>IFERROR((VLOOKUP(LEFT($A539,4),Setor!$A:$E,4,0)),"")</f>
        <v>Construção e Engenharia</v>
      </c>
      <c r="E539" s="63" t="str">
        <f>IFERROR((VLOOKUP(LEFT($A539,4),Setor!$A:$E,5,0)),"")</f>
        <v>Engenharia Consultiva</v>
      </c>
      <c r="F539" s="64">
        <f>IFERROR(__xludf.DUMMYFUNCTION("IFERROR((GOOGLEFINANCE(A539)),"""")"),68.0)</f>
        <v>68</v>
      </c>
      <c r="G539" s="65" t="str">
        <f>IFERROR(__xludf.DUMMYFUNCTION("IFERROR((sparkline(GOOGLEFINANCE($A539,""price"",TODAY()-30,TODAY(),""DAILY""),{""charttype"",""line"";""linewidth"",1;""color"",""#5f88cc""})),"""")"),"")</f>
        <v/>
      </c>
      <c r="H539" s="66">
        <f>IFERROR(__xludf.DUMMYFUNCTION("IFERROR((((GOOGLEFINANCE(A539))-(INDEX(GoogleFinance(A539,""PRICE"",$AQ$1),2,2)))/(INDEX(GoogleFinance(A539,""PRICE"",$AQ$1),2,2))),"""")"),0.25879303961495737)</f>
        <v>0.2587930396</v>
      </c>
      <c r="I539" s="47">
        <f>IFERROR(__xludf.DUMMYFUNCTION("IFERROR((GOOGLEFINANCE($A539,""high52"")),"""")"),68.0)</f>
        <v>68</v>
      </c>
      <c r="J539" s="68" t="str">
        <f>IFERROR(__xludf.DUMMYFUNCTION("IFERROR((sparkline(GOOGLEFINANCE($A539,""price"",TODAY()-365,TODAY(),""DAILY""),{""charttype"",""line"";""linewidth"",1;""color"",""#5f88cc""})),"""")"),"")</f>
        <v/>
      </c>
      <c r="K539" s="66" t="str">
        <f>IFERROR(__xludf.DUMMYFUNCTION("IFERROR((((GOOGLEFINANCE(A539))-(INDEX(GoogleFinance(A539,""PRICE"",$AP$1),2,2)))/(INDEX(GoogleFinance(A539,""PRICE"",$AP$1),2,2))),"""")"),"")</f>
        <v/>
      </c>
      <c r="L539" s="69">
        <f t="shared" si="1"/>
        <v>0</v>
      </c>
      <c r="M539" s="52">
        <f>IFERROR((VLOOKUP($A539,'Dados StatusInvest'!$A:$AZ,COLUMN(M539)-$A$5,0)*VLOOKUP($A539,'Dados StatusInvest'!$A:$AZ,2,0)/$F539/100),0)</f>
        <v>0.1734</v>
      </c>
      <c r="N539" s="53">
        <f>IFERROR((VLOOKUP($A539,'Dados StatusInvest'!$A:$AZ,COLUMN(N539)-$A$5,0)/VLOOKUP($A539,'Dados StatusInvest'!$A:$AZ,2,0)*$F539),"")</f>
        <v>12.59</v>
      </c>
      <c r="O539" s="53">
        <f>IFERROR((VLOOKUP($A539,'Dados StatusInvest'!$A:$AZ,COLUMN(O539)-$A$5,0)/VLOOKUP($A539,'Dados StatusInvest'!$A:$AZ,2,0)*$F539),0)</f>
        <v>4.37</v>
      </c>
      <c r="P539" s="54">
        <f>IFERROR((VLOOKUP($A539,'Dados StatusInvest'!$A:$AZ,COLUMN(P539)-$A$5,0)/VLOOKUP($A539,'Dados StatusInvest'!$A:$AZ,2,0)*$F539),0)</f>
        <v>2.89</v>
      </c>
      <c r="Q539" s="55">
        <f>IFERROR((VLOOKUP($A539,'Dados StatusInvest'!$A:$AZ,COLUMN(Q539)-$A$5,0)/100),0)</f>
        <v>-0.0091</v>
      </c>
      <c r="R539" s="56">
        <f>VLOOKUP($A539,'Dados StatusInvest'!$A:$AZ,COLUMN(R539)-$A$5,0)</f>
        <v>-0.48</v>
      </c>
      <c r="S539" s="56">
        <f>IFERROR((VLOOKUP($A539,'Dados StatusInvest'!$A:$AZ,COLUMN(S539)-$A$5,0)),0)</f>
        <v>0.76</v>
      </c>
      <c r="T539" s="53">
        <f>IFERROR((VLOOKUP($A539,'Dados StatusInvest'!$A:$AZ,COLUMN(T539)-$A$5,0)/VLOOKUP($A539,'Dados StatusInvest'!$A:$AZ,2,0)*$F539),0)</f>
        <v>4.43</v>
      </c>
      <c r="U539" s="53">
        <f>IFERROR((VLOOKUP($A539,'Dados StatusInvest'!$A:$AZ,COLUMN(U539)-$A$5,0)-VLOOKUP($A539,'Dados StatusInvest'!$A:$AZ,COLUMN(U539)-$A$5-1,0)+T539),0)</f>
        <v>-3.37</v>
      </c>
      <c r="V539" s="56">
        <f>IFERROR((VLOOKUP($A539,'Dados StatusInvest'!$A:$AZ,COLUMN(V539)-$A$5,0)),0)</f>
        <v>2.1</v>
      </c>
      <c r="W539" s="56">
        <f>IFERROR((VLOOKUP($A539,'Dados StatusInvest'!$A:$AZ,COLUMN(W539)-$A$5,0)),0)</f>
        <v>38.39</v>
      </c>
      <c r="X539" s="53">
        <f>IFERROR((VLOOKUP($A539,'Dados StatusInvest'!$A:$AZ,COLUMN(X539)-$A$5,0)/VLOOKUP($A539,'Dados StatusInvest'!$A:$AZ,2,0)*$F539),0)</f>
        <v>22.87</v>
      </c>
      <c r="Y539" s="54">
        <f>IFERROR((VLOOKUP($A539,'Dados StatusInvest'!$A:$AZ,COLUMN(Y539)-$A$5,0)/VLOOKUP($A539,'Dados StatusInvest'!$A:$AZ,2,0)*$F539),0)</f>
        <v>20.76</v>
      </c>
      <c r="Z539" s="56">
        <f>IFERROR((VLOOKUP($A539,'Dados StatusInvest'!$A:$AZ,COLUMN(Z539)-$A$5,0)),0)</f>
        <v>0.6</v>
      </c>
      <c r="AA539" s="57">
        <f>IFERROR((VLOOKUP($A539,'Dados StatusInvest'!$A:$AZ,COLUMN(AA539)-$A$5,0)),0)</f>
        <v>0.4</v>
      </c>
      <c r="AB539" s="57">
        <f>IFERROR((VLOOKUP($A539,'Dados StatusInvest'!$A:$AZ,COLUMN(AB539)-$A$5,0)),0)</f>
        <v>1.82</v>
      </c>
      <c r="AC539" s="58">
        <f>IFERROR((VLOOKUP($A539,'Dados StatusInvest'!$A:$AZ,COLUMN(AC539)-$A$5,0)),0)</f>
        <v>25.49</v>
      </c>
      <c r="AD539" s="57">
        <f>IFERROR((VLOOKUP($A539,'Dados StatusInvest'!$A:$AZ,COLUMN(AD539)-$A$5,0)),0)</f>
        <v>44.65</v>
      </c>
      <c r="AE539" s="56">
        <f>IFERROR((VLOOKUP($A539,'Dados StatusInvest'!$A:$AZ,COLUMN(AE539)-$A$5,0)),0)</f>
        <v>6449.8</v>
      </c>
      <c r="AF539" s="56">
        <f>IFERROR((VLOOKUP($A539,'Dados StatusInvest'!$A:$AZ,COLUMN(AF539)-$A$5,0)),0)</f>
        <v>29.44</v>
      </c>
      <c r="AG539" s="56">
        <f>IFERROR((VLOOKUP($A539,'Dados StatusInvest'!$A:$AZ,COLUMN(AG539)-$A$5,0)),0)</f>
        <v>11.3</v>
      </c>
      <c r="AH539" s="56">
        <f>IFERROR((VLOOKUP($A539,'Dados StatusInvest'!$A:$AZ,COLUMN(AH539)-$A$5,0)),0)</f>
        <v>0.04</v>
      </c>
      <c r="AI539" s="57">
        <f>IFERROR((VLOOKUP($A539,'Dados StatusInvest'!$A:$AZ,COLUMN(AI539)-$A$5,0)),0)</f>
        <v>145225960</v>
      </c>
      <c r="AJ539" s="59" t="str">
        <f>IFERROR((VLOOKUP($A539,'Dados StatusInvest'!$A:$AZ,COLUMN(AJ539)-$A$5,0)),0)</f>
        <v/>
      </c>
      <c r="AK539" s="67" t="str">
        <f>IFERROR(__xludf.DUMMYFUNCTION("IFERROR(GOOGLEFINANCE($A539,""high""),"""")"),"")</f>
        <v/>
      </c>
      <c r="AL539" s="67" t="str">
        <f>IFERROR(__xludf.DUMMYFUNCTION("IFERROR(GOOGLEFINANCE($A539,""low""),"""")"),"")</f>
        <v/>
      </c>
      <c r="AM539" s="70">
        <f t="shared" si="2"/>
        <v>0</v>
      </c>
      <c r="AN539" s="71">
        <f>IFERROR(__xludf.DUMMYFUNCTION("IFERROR((GOOGLEFINANCE($A539,""volume"")),0)"),0.0)</f>
        <v>0</v>
      </c>
      <c r="AO539" s="67">
        <f>IFERROR(__xludf.DUMMYFUNCTION("IFERROR((GOOGLEFINANCE($A539,""closeyest"")),"""")"),68.0)</f>
        <v>68</v>
      </c>
      <c r="AP539" s="67">
        <f>IFERROR(__xludf.DUMMYFUNCTION("IFERROR((GOOGLEFINANCE($A539,""shares"")),"""")"),817300.0)</f>
        <v>817300</v>
      </c>
      <c r="AQ539" s="60"/>
    </row>
    <row r="540">
      <c r="A540" s="45" t="str">
        <f>'Dados StatusInvest'!A535:A1154</f>
        <v>SPRT3B</v>
      </c>
      <c r="B540" s="63" t="str">
        <f>IFERROR(__xludf.DUMMYFUNCTION("IFERROR((GOOGLEFINANCE(A540,""name"")),"""")"),"")</f>
        <v/>
      </c>
      <c r="C540" s="63" t="str">
        <f>IFERROR((VLOOKUP(LEFT($A540,4),Setor!$A:$E,3,0)),"")</f>
        <v>Outros</v>
      </c>
      <c r="D540" s="63" t="str">
        <f>IFERROR((VLOOKUP(LEFT($A540,4),Setor!$A:$E,4,0)),"")</f>
        <v>Outros</v>
      </c>
      <c r="E540" s="63" t="str">
        <f>IFERROR((VLOOKUP(LEFT($A540,4),Setor!$A:$E,5,0)),"")</f>
        <v>Outros</v>
      </c>
      <c r="F540" s="64" t="str">
        <f>IFERROR(__xludf.DUMMYFUNCTION("IFERROR((GOOGLEFINANCE(A540)),"""")"),"")</f>
        <v/>
      </c>
      <c r="G540" s="65" t="str">
        <f>IFERROR(__xludf.DUMMYFUNCTION("IFERROR((sparkline(GOOGLEFINANCE($A540,""price"",TODAY()-30,TODAY(),""DAILY""),{""charttype"",""line"";""linewidth"",1;""color"",""#5f88cc""})),"""")"),"")</f>
        <v/>
      </c>
      <c r="H540" s="66" t="str">
        <f>IFERROR(__xludf.DUMMYFUNCTION("IFERROR((((GOOGLEFINANCE(A540))-(INDEX(GoogleFinance(A540,""PRICE"",$AQ$1),2,2)))/(INDEX(GoogleFinance(A540,""PRICE"",$AQ$1),2,2))),"""")"),"")</f>
        <v/>
      </c>
      <c r="I540" s="47" t="str">
        <f>IFERROR(__xludf.DUMMYFUNCTION("IFERROR((GOOGLEFINANCE($A540,""high52"")),"""")"),"")</f>
        <v/>
      </c>
      <c r="J540" s="68" t="str">
        <f>IFERROR(__xludf.DUMMYFUNCTION("IFERROR((sparkline(GOOGLEFINANCE($A540,""price"",TODAY()-365,TODAY(),""DAILY""),{""charttype"",""line"";""linewidth"",1;""color"",""#5f88cc""})),"""")"),"")</f>
        <v/>
      </c>
      <c r="K540" s="66" t="str">
        <f>IFERROR(__xludf.DUMMYFUNCTION("IFERROR((((GOOGLEFINANCE(A540))-(INDEX(GoogleFinance(A540,""PRICE"",$AP$1),2,2)))/(INDEX(GoogleFinance(A540,""PRICE"",$AP$1),2,2))),"""")"),"")</f>
        <v/>
      </c>
      <c r="L540" s="69">
        <f t="shared" si="1"/>
        <v>0</v>
      </c>
      <c r="M540" s="52">
        <f>IFERROR((VLOOKUP($A540,'Dados StatusInvest'!$A:$AZ,COLUMN(M540)-$A$5,0)*VLOOKUP($A540,'Dados StatusInvest'!$A:$AZ,2,0)/$F540/100),0)</f>
        <v>0</v>
      </c>
      <c r="N540" s="53">
        <f>IFERROR((VLOOKUP($A540,'Dados StatusInvest'!$A:$AZ,COLUMN(N540)-$A$5,0)/VLOOKUP($A540,'Dados StatusInvest'!$A:$AZ,2,0)*$F540),"")</f>
        <v>0</v>
      </c>
      <c r="O540" s="53">
        <f>IFERROR((VLOOKUP($A540,'Dados StatusInvest'!$A:$AZ,COLUMN(O540)-$A$5,0)/VLOOKUP($A540,'Dados StatusInvest'!$A:$AZ,2,0)*$F540),0)</f>
        <v>0</v>
      </c>
      <c r="P540" s="54">
        <f>IFERROR((VLOOKUP($A540,'Dados StatusInvest'!$A:$AZ,COLUMN(P540)-$A$5,0)/VLOOKUP($A540,'Dados StatusInvest'!$A:$AZ,2,0)*$F540),0)</f>
        <v>0</v>
      </c>
      <c r="Q540" s="55">
        <f>IFERROR((VLOOKUP($A540,'Dados StatusInvest'!$A:$AZ,COLUMN(Q540)-$A$5,0)/100),0)</f>
        <v>0.0046</v>
      </c>
      <c r="R540" s="56">
        <f>VLOOKUP($A540,'Dados StatusInvest'!$A:$AZ,COLUMN(R540)-$A$5,0)</f>
        <v>-1.02</v>
      </c>
      <c r="S540" s="56">
        <f>IFERROR((VLOOKUP($A540,'Dados StatusInvest'!$A:$AZ,COLUMN(S540)-$A$5,0)),0)</f>
        <v>0</v>
      </c>
      <c r="T540" s="53">
        <f>IFERROR((VLOOKUP($A540,'Dados StatusInvest'!$A:$AZ,COLUMN(T540)-$A$5,0)/VLOOKUP($A540,'Dados StatusInvest'!$A:$AZ,2,0)*$F540),0)</f>
        <v>0</v>
      </c>
      <c r="U540" s="53">
        <f>IFERROR((VLOOKUP($A540,'Dados StatusInvest'!$A:$AZ,COLUMN(U540)-$A$5,0)-VLOOKUP($A540,'Dados StatusInvest'!$A:$AZ,COLUMN(U540)-$A$5-1,0)+T540),0)</f>
        <v>-3849.08</v>
      </c>
      <c r="V540" s="56">
        <f>IFERROR((VLOOKUP($A540,'Dados StatusInvest'!$A:$AZ,COLUMN(V540)-$A$5,0)),0)</f>
        <v>38.68</v>
      </c>
      <c r="W540" s="56">
        <f>IFERROR((VLOOKUP($A540,'Dados StatusInvest'!$A:$AZ,COLUMN(W540)-$A$5,0)),0)</f>
        <v>-221.08</v>
      </c>
      <c r="X540" s="53">
        <f>IFERROR((VLOOKUP($A540,'Dados StatusInvest'!$A:$AZ,COLUMN(X540)-$A$5,0)/VLOOKUP($A540,'Dados StatusInvest'!$A:$AZ,2,0)*$F540),0)</f>
        <v>0</v>
      </c>
      <c r="Y540" s="54">
        <f>IFERROR((VLOOKUP($A540,'Dados StatusInvest'!$A:$AZ,COLUMN(Y540)-$A$5,0)/VLOOKUP($A540,'Dados StatusInvest'!$A:$AZ,2,0)*$F540),0)</f>
        <v>0</v>
      </c>
      <c r="Z540" s="56">
        <f>IFERROR((VLOOKUP($A540,'Dados StatusInvest'!$A:$AZ,COLUMN(Z540)-$A$5,0)),0)</f>
        <v>0.97</v>
      </c>
      <c r="AA540" s="57">
        <f>IFERROR((VLOOKUP($A540,'Dados StatusInvest'!$A:$AZ,COLUMN(AA540)-$A$5,0)),0)</f>
        <v>0.03</v>
      </c>
      <c r="AB540" s="57">
        <f>IFERROR((VLOOKUP($A540,'Dados StatusInvest'!$A:$AZ,COLUMN(AB540)-$A$5,0)),0)</f>
        <v>0</v>
      </c>
      <c r="AC540" s="58">
        <f>IFERROR((VLOOKUP($A540,'Dados StatusInvest'!$A:$AZ,COLUMN(AC540)-$A$5,0)),0)</f>
        <v>0</v>
      </c>
      <c r="AD540" s="57">
        <f>IFERROR((VLOOKUP($A540,'Dados StatusInvest'!$A:$AZ,COLUMN(AD540)-$A$5,0)),0)</f>
        <v>0</v>
      </c>
      <c r="AE540" s="56">
        <f>IFERROR((VLOOKUP($A540,'Dados StatusInvest'!$A:$AZ,COLUMN(AE540)-$A$5,0)),0)</f>
        <v>0</v>
      </c>
      <c r="AF540" s="56">
        <f>IFERROR((VLOOKUP($A540,'Dados StatusInvest'!$A:$AZ,COLUMN(AF540)-$A$5,0)),0)</f>
        <v>0.02</v>
      </c>
      <c r="AG540" s="56">
        <f>IFERROR((VLOOKUP($A540,'Dados StatusInvest'!$A:$AZ,COLUMN(AG540)-$A$5,0)),0)</f>
        <v>-0.04</v>
      </c>
      <c r="AH540" s="56">
        <f>IFERROR((VLOOKUP($A540,'Dados StatusInvest'!$A:$AZ,COLUMN(AH540)-$A$5,0)),0)</f>
        <v>-47.21</v>
      </c>
      <c r="AI540" s="57">
        <f>IFERROR((VLOOKUP($A540,'Dados StatusInvest'!$A:$AZ,COLUMN(AI540)-$A$5,0)),0)</f>
        <v>370531748.8</v>
      </c>
      <c r="AJ540" s="59" t="str">
        <f>IFERROR((VLOOKUP($A540,'Dados StatusInvest'!$A:$AZ,COLUMN(AJ540)-$A$5,0)),0)</f>
        <v/>
      </c>
      <c r="AK540" s="67" t="str">
        <f>IFERROR(__xludf.DUMMYFUNCTION("IFERROR(GOOGLEFINANCE($A540,""high""),"""")"),"")</f>
        <v/>
      </c>
      <c r="AL540" s="67" t="str">
        <f>IFERROR(__xludf.DUMMYFUNCTION("IFERROR(GOOGLEFINANCE($A540,""low""),"""")"),"")</f>
        <v/>
      </c>
      <c r="AM540" s="70">
        <f t="shared" si="2"/>
        <v>0</v>
      </c>
      <c r="AN540" s="71">
        <f>IFERROR(__xludf.DUMMYFUNCTION("IFERROR((GOOGLEFINANCE($A540,""volume"")),0)"),0.0)</f>
        <v>0</v>
      </c>
      <c r="AO540" s="67" t="str">
        <f>IFERROR(__xludf.DUMMYFUNCTION("IFERROR((GOOGLEFINANCE($A540,""closeyest"")),"""")"),"")</f>
        <v/>
      </c>
      <c r="AP540" s="67" t="str">
        <f>IFERROR(__xludf.DUMMYFUNCTION("IFERROR((GOOGLEFINANCE($A540,""shares"")),"""")"),"")</f>
        <v/>
      </c>
      <c r="AQ540" s="60"/>
    </row>
    <row r="541">
      <c r="A541" s="45" t="str">
        <f>'Dados StatusInvest'!A536:A1155</f>
        <v>SQIA3</v>
      </c>
      <c r="B541" s="63" t="str">
        <f>IFERROR(__xludf.DUMMYFUNCTION("IFERROR((GOOGLEFINANCE(A541,""name"")),"""")"),"")</f>
        <v/>
      </c>
      <c r="C541" s="63" t="str">
        <f>IFERROR((VLOOKUP(LEFT($A541,4),Setor!$A:$E,3,0)),"")</f>
        <v>Tecnologia da Informação</v>
      </c>
      <c r="D541" s="63" t="str">
        <f>IFERROR((VLOOKUP(LEFT($A541,4),Setor!$A:$E,4,0)),"")</f>
        <v>Programas e Serviços</v>
      </c>
      <c r="E541" s="63" t="str">
        <f>IFERROR((VLOOKUP(LEFT($A541,4),Setor!$A:$E,5,0)),"")</f>
        <v>Programas e Serviços</v>
      </c>
      <c r="F541" s="64" t="str">
        <f>IFERROR(__xludf.DUMMYFUNCTION("IFERROR((GOOGLEFINANCE(A541)),"""")"),"")</f>
        <v/>
      </c>
      <c r="G541" s="65" t="str">
        <f>IFERROR(__xludf.DUMMYFUNCTION("IFERROR((sparkline(GOOGLEFINANCE($A541,""price"",TODAY()-30,TODAY(),""DAILY""),{""charttype"",""line"";""linewidth"",1;""color"",""#5f88cc""})),"""")"),"")</f>
        <v/>
      </c>
      <c r="H541" s="66" t="str">
        <f>IFERROR(__xludf.DUMMYFUNCTION("IFERROR((((GOOGLEFINANCE(A541))-(INDEX(GoogleFinance(A541,""PRICE"",$AQ$1),2,2)))/(INDEX(GoogleFinance(A541,""PRICE"",$AQ$1),2,2))),"""")"),"")</f>
        <v/>
      </c>
      <c r="I541" s="47" t="str">
        <f>IFERROR(__xludf.DUMMYFUNCTION("IFERROR((GOOGLEFINANCE($A541,""high52"")),"""")"),"")</f>
        <v/>
      </c>
      <c r="J541" s="68" t="str">
        <f>IFERROR(__xludf.DUMMYFUNCTION("IFERROR((sparkline(GOOGLEFINANCE($A541,""price"",TODAY()-365,TODAY(),""DAILY""),{""charttype"",""line"";""linewidth"",1;""color"",""#5f88cc""})),"""")"),"")</f>
        <v/>
      </c>
      <c r="K541" s="66" t="str">
        <f>IFERROR(__xludf.DUMMYFUNCTION("IFERROR((((GOOGLEFINANCE(A541))-(INDEX(GoogleFinance(A541,""PRICE"",$AP$1),2,2)))/(INDEX(GoogleFinance(A541,""PRICE"",$AP$1),2,2))),"""")"),"")</f>
        <v/>
      </c>
      <c r="L541" s="69">
        <f t="shared" si="1"/>
        <v>0</v>
      </c>
      <c r="M541" s="52">
        <f>IFERROR((VLOOKUP($A541,'Dados StatusInvest'!$A:$AZ,COLUMN(M541)-$A$5,0)*VLOOKUP($A541,'Dados StatusInvest'!$A:$AZ,2,0)/$F541/100),0)</f>
        <v>0</v>
      </c>
      <c r="N541" s="53">
        <f>IFERROR((VLOOKUP($A541,'Dados StatusInvest'!$A:$AZ,COLUMN(N541)-$A$5,0)/VLOOKUP($A541,'Dados StatusInvest'!$A:$AZ,2,0)*$F541),"")</f>
        <v>0</v>
      </c>
      <c r="O541" s="53">
        <f>IFERROR((VLOOKUP($A541,'Dados StatusInvest'!$A:$AZ,COLUMN(O541)-$A$5,0)/VLOOKUP($A541,'Dados StatusInvest'!$A:$AZ,2,0)*$F541),0)</f>
        <v>0</v>
      </c>
      <c r="P541" s="54">
        <f>IFERROR((VLOOKUP($A541,'Dados StatusInvest'!$A:$AZ,COLUMN(P541)-$A$5,0)/VLOOKUP($A541,'Dados StatusInvest'!$A:$AZ,2,0)*$F541),0)</f>
        <v>0</v>
      </c>
      <c r="Q541" s="55">
        <f>IFERROR((VLOOKUP($A541,'Dados StatusInvest'!$A:$AZ,COLUMN(Q541)-$A$5,0)/100),0)</f>
        <v>0.0446</v>
      </c>
      <c r="R541" s="56">
        <f>VLOOKUP($A541,'Dados StatusInvest'!$A:$AZ,COLUMN(R541)-$A$5,0)</f>
        <v>0.3</v>
      </c>
      <c r="S541" s="56">
        <f>IFERROR((VLOOKUP($A541,'Dados StatusInvest'!$A:$AZ,COLUMN(S541)-$A$5,0)),0)</f>
        <v>3.59</v>
      </c>
      <c r="T541" s="53">
        <f>IFERROR((VLOOKUP($A541,'Dados StatusInvest'!$A:$AZ,COLUMN(T541)-$A$5,0)/VLOOKUP($A541,'Dados StatusInvest'!$A:$AZ,2,0)*$F541),0)</f>
        <v>0</v>
      </c>
      <c r="U541" s="53">
        <f>IFERROR((VLOOKUP($A541,'Dados StatusInvest'!$A:$AZ,COLUMN(U541)-$A$5,0)-VLOOKUP($A541,'Dados StatusInvest'!$A:$AZ,COLUMN(U541)-$A$5-1,0)+T541),0)</f>
        <v>-27.71</v>
      </c>
      <c r="V541" s="56">
        <f>IFERROR((VLOOKUP($A541,'Dados StatusInvest'!$A:$AZ,COLUMN(V541)-$A$5,0)),0)</f>
        <v>1.43</v>
      </c>
      <c r="W541" s="56">
        <f>IFERROR((VLOOKUP($A541,'Dados StatusInvest'!$A:$AZ,COLUMN(W541)-$A$5,0)),0)</f>
        <v>-3.35</v>
      </c>
      <c r="X541" s="53">
        <f>IFERROR((VLOOKUP($A541,'Dados StatusInvest'!$A:$AZ,COLUMN(X541)-$A$5,0)/VLOOKUP($A541,'Dados StatusInvest'!$A:$AZ,2,0)*$F541),0)</f>
        <v>0</v>
      </c>
      <c r="Y541" s="54">
        <f>IFERROR((VLOOKUP($A541,'Dados StatusInvest'!$A:$AZ,COLUMN(Y541)-$A$5,0)/VLOOKUP($A541,'Dados StatusInvest'!$A:$AZ,2,0)*$F541),0)</f>
        <v>0</v>
      </c>
      <c r="Z541" s="56">
        <f>IFERROR((VLOOKUP($A541,'Dados StatusInvest'!$A:$AZ,COLUMN(Z541)-$A$5,0)),0)</f>
        <v>0.4</v>
      </c>
      <c r="AA541" s="57">
        <f>IFERROR((VLOOKUP($A541,'Dados StatusInvest'!$A:$AZ,COLUMN(AA541)-$A$5,0)),0)</f>
        <v>0.58</v>
      </c>
      <c r="AB541" s="57">
        <f>IFERROR((VLOOKUP($A541,'Dados StatusInvest'!$A:$AZ,COLUMN(AB541)-$A$5,0)),0)</f>
        <v>0.41</v>
      </c>
      <c r="AC541" s="58">
        <f>IFERROR((VLOOKUP($A541,'Dados StatusInvest'!$A:$AZ,COLUMN(AC541)-$A$5,0)),0)</f>
        <v>35.51</v>
      </c>
      <c r="AD541" s="57">
        <f>IFERROR((VLOOKUP($A541,'Dados StatusInvest'!$A:$AZ,COLUMN(AD541)-$A$5,0)),0)</f>
        <v>0</v>
      </c>
      <c r="AE541" s="56">
        <f>IFERROR((VLOOKUP($A541,'Dados StatusInvest'!$A:$AZ,COLUMN(AE541)-$A$5,0)),0)</f>
        <v>0</v>
      </c>
      <c r="AF541" s="56">
        <f>IFERROR((VLOOKUP($A541,'Dados StatusInvest'!$A:$AZ,COLUMN(AF541)-$A$5,0)),0)</f>
        <v>7.4</v>
      </c>
      <c r="AG541" s="56">
        <f>IFERROR((VLOOKUP($A541,'Dados StatusInvest'!$A:$AZ,COLUMN(AG541)-$A$5,0)),0)</f>
        <v>-0.25</v>
      </c>
      <c r="AH541" s="56">
        <f>IFERROR((VLOOKUP($A541,'Dados StatusInvest'!$A:$AZ,COLUMN(AH541)-$A$5,0)),0)</f>
        <v>0.62</v>
      </c>
      <c r="AI541" s="57">
        <f>IFERROR((VLOOKUP($A541,'Dados StatusInvest'!$A:$AZ,COLUMN(AI541)-$A$5,0)),0)</f>
        <v>2406971774</v>
      </c>
      <c r="AJ541" s="59" t="str">
        <f>IFERROR((VLOOKUP($A541,'Dados StatusInvest'!$A:$AZ,COLUMN(AJ541)-$A$5,0)),0)</f>
        <v/>
      </c>
      <c r="AK541" s="67" t="str">
        <f>IFERROR(__xludf.DUMMYFUNCTION("IFERROR(GOOGLEFINANCE($A541,""high""),"""")"),"")</f>
        <v/>
      </c>
      <c r="AL541" s="67" t="str">
        <f>IFERROR(__xludf.DUMMYFUNCTION("IFERROR(GOOGLEFINANCE($A541,""low""),"""")"),"")</f>
        <v/>
      </c>
      <c r="AM541" s="70">
        <f t="shared" si="2"/>
        <v>0</v>
      </c>
      <c r="AN541" s="71">
        <f>IFERROR(__xludf.DUMMYFUNCTION("IFERROR((GOOGLEFINANCE($A541,""volume"")),0)"),0.0)</f>
        <v>0</v>
      </c>
      <c r="AO541" s="67" t="str">
        <f>IFERROR(__xludf.DUMMYFUNCTION("IFERROR((GOOGLEFINANCE($A541,""closeyest"")),"""")"),"")</f>
        <v/>
      </c>
      <c r="AP541" s="67" t="str">
        <f>IFERROR(__xludf.DUMMYFUNCTION("IFERROR((GOOGLEFINANCE($A541,""shares"")),"""")"),"")</f>
        <v/>
      </c>
      <c r="AQ541" s="60"/>
    </row>
    <row r="542">
      <c r="A542" s="45" t="str">
        <f>'Dados StatusInvest'!A537:A1156</f>
        <v>SRNA3</v>
      </c>
      <c r="B542" s="63" t="str">
        <f>IFERROR(__xludf.DUMMYFUNCTION("IFERROR((GOOGLEFINANCE(A542,""name"")),"""")"),"")</f>
        <v/>
      </c>
      <c r="C542" s="63" t="str">
        <f>IFERROR((VLOOKUP(LEFT($A542,4),Setor!$A:$E,3,0)),"")</f>
        <v/>
      </c>
      <c r="D542" s="63" t="str">
        <f>IFERROR((VLOOKUP(LEFT($A542,4),Setor!$A:$E,4,0)),"")</f>
        <v/>
      </c>
      <c r="E542" s="63" t="str">
        <f>IFERROR((VLOOKUP(LEFT($A542,4),Setor!$A:$E,5,0)),"")</f>
        <v/>
      </c>
      <c r="F542" s="64" t="str">
        <f>IFERROR(__xludf.DUMMYFUNCTION("IFERROR((GOOGLEFINANCE(A542)),"""")"),"")</f>
        <v/>
      </c>
      <c r="G542" s="65" t="str">
        <f>IFERROR(__xludf.DUMMYFUNCTION("IFERROR((sparkline(GOOGLEFINANCE($A542,""price"",TODAY()-30,TODAY(),""DAILY""),{""charttype"",""line"";""linewidth"",1;""color"",""#5f88cc""})),"""")"),"")</f>
        <v/>
      </c>
      <c r="H542" s="66" t="str">
        <f>IFERROR(__xludf.DUMMYFUNCTION("IFERROR((((GOOGLEFINANCE(A542))-(INDEX(GoogleFinance(A542,""PRICE"",$AQ$1),2,2)))/(INDEX(GoogleFinance(A542,""PRICE"",$AQ$1),2,2))),"""")"),"")</f>
        <v/>
      </c>
      <c r="I542" s="47" t="str">
        <f>IFERROR(__xludf.DUMMYFUNCTION("IFERROR((GOOGLEFINANCE($A542,""high52"")),"""")"),"")</f>
        <v/>
      </c>
      <c r="J542" s="68" t="str">
        <f>IFERROR(__xludf.DUMMYFUNCTION("IFERROR((sparkline(GOOGLEFINANCE($A542,""price"",TODAY()-365,TODAY(),""DAILY""),{""charttype"",""line"";""linewidth"",1;""color"",""#5f88cc""})),"""")"),"")</f>
        <v/>
      </c>
      <c r="K542" s="66" t="str">
        <f>IFERROR(__xludf.DUMMYFUNCTION("IFERROR((((GOOGLEFINANCE(A542))-(INDEX(GoogleFinance(A542,""PRICE"",$AP$1),2,2)))/(INDEX(GoogleFinance(A542,""PRICE"",$AP$1),2,2))),"""")"),"")</f>
        <v/>
      </c>
      <c r="L542" s="69">
        <f t="shared" si="1"/>
        <v>0</v>
      </c>
      <c r="M542" s="52">
        <f>IFERROR((VLOOKUP($A542,'Dados StatusInvest'!$A:$AZ,COLUMN(M542)-$A$5,0)*VLOOKUP($A542,'Dados StatusInvest'!$A:$AZ,2,0)/$F542/100),0)</f>
        <v>0</v>
      </c>
      <c r="N542" s="53">
        <f>IFERROR((VLOOKUP($A542,'Dados StatusInvest'!$A:$AZ,COLUMN(N542)-$A$5,0)/VLOOKUP($A542,'Dados StatusInvest'!$A:$AZ,2,0)*$F542),"")</f>
        <v>0</v>
      </c>
      <c r="O542" s="53">
        <f>IFERROR((VLOOKUP($A542,'Dados StatusInvest'!$A:$AZ,COLUMN(O542)-$A$5,0)/VLOOKUP($A542,'Dados StatusInvest'!$A:$AZ,2,0)*$F542),0)</f>
        <v>0</v>
      </c>
      <c r="P542" s="54">
        <f>IFERROR((VLOOKUP($A542,'Dados StatusInvest'!$A:$AZ,COLUMN(P542)-$A$5,0)/VLOOKUP($A542,'Dados StatusInvest'!$A:$AZ,2,0)*$F542),0)</f>
        <v>0</v>
      </c>
      <c r="Q542" s="55">
        <f>IFERROR((VLOOKUP($A542,'Dados StatusInvest'!$A:$AZ,COLUMN(Q542)-$A$5,0)/100),0)</f>
        <v>0.0821</v>
      </c>
      <c r="R542" s="56">
        <f>VLOOKUP($A542,'Dados StatusInvest'!$A:$AZ,COLUMN(R542)-$A$5,0)</f>
        <v>1.97</v>
      </c>
      <c r="S542" s="56">
        <f>IFERROR((VLOOKUP($A542,'Dados StatusInvest'!$A:$AZ,COLUMN(S542)-$A$5,0)),0)</f>
        <v>1.26</v>
      </c>
      <c r="T542" s="53">
        <f>IFERROR((VLOOKUP($A542,'Dados StatusInvest'!$A:$AZ,COLUMN(T542)-$A$5,0)/VLOOKUP($A542,'Dados StatusInvest'!$A:$AZ,2,0)*$F542),0)</f>
        <v>0</v>
      </c>
      <c r="U542" s="53">
        <f>IFERROR((VLOOKUP($A542,'Dados StatusInvest'!$A:$AZ,COLUMN(U542)-$A$5,0)-VLOOKUP($A542,'Dados StatusInvest'!$A:$AZ,COLUMN(U542)-$A$5-1,0)+T542),0)</f>
        <v>8.41</v>
      </c>
      <c r="V542" s="56">
        <f>IFERROR((VLOOKUP($A542,'Dados StatusInvest'!$A:$AZ,COLUMN(V542)-$A$5,0)),0)</f>
        <v>0.78</v>
      </c>
      <c r="W542" s="56">
        <f>IFERROR((VLOOKUP($A542,'Dados StatusInvest'!$A:$AZ,COLUMN(W542)-$A$5,0)),0)</f>
        <v>0.96</v>
      </c>
      <c r="X542" s="53">
        <f>IFERROR((VLOOKUP($A542,'Dados StatusInvest'!$A:$AZ,COLUMN(X542)-$A$5,0)/VLOOKUP($A542,'Dados StatusInvest'!$A:$AZ,2,0)*$F542),0)</f>
        <v>0</v>
      </c>
      <c r="Y542" s="54">
        <f>IFERROR((VLOOKUP($A542,'Dados StatusInvest'!$A:$AZ,COLUMN(Y542)-$A$5,0)/VLOOKUP($A542,'Dados StatusInvest'!$A:$AZ,2,0)*$F542),0)</f>
        <v>0</v>
      </c>
      <c r="Z542" s="56">
        <f>IFERROR((VLOOKUP($A542,'Dados StatusInvest'!$A:$AZ,COLUMN(Z542)-$A$5,0)),0)</f>
        <v>0.27</v>
      </c>
      <c r="AA542" s="57">
        <f>IFERROR((VLOOKUP($A542,'Dados StatusInvest'!$A:$AZ,COLUMN(AA542)-$A$5,0)),0)</f>
        <v>0.73</v>
      </c>
      <c r="AB542" s="57">
        <f>IFERROR((VLOOKUP($A542,'Dados StatusInvest'!$A:$AZ,COLUMN(AB542)-$A$5,0)),0)</f>
        <v>0.31</v>
      </c>
      <c r="AC542" s="58">
        <f>IFERROR((VLOOKUP($A542,'Dados StatusInvest'!$A:$AZ,COLUMN(AC542)-$A$5,0)),0)</f>
        <v>0</v>
      </c>
      <c r="AD542" s="57">
        <f>IFERROR((VLOOKUP($A542,'Dados StatusInvest'!$A:$AZ,COLUMN(AD542)-$A$5,0)),0)</f>
        <v>0</v>
      </c>
      <c r="AE542" s="56">
        <f>IFERROR((VLOOKUP($A542,'Dados StatusInvest'!$A:$AZ,COLUMN(AE542)-$A$5,0)),0)</f>
        <v>6704467</v>
      </c>
      <c r="AF542" s="56">
        <f>IFERROR((VLOOKUP($A542,'Dados StatusInvest'!$A:$AZ,COLUMN(AF542)-$A$5,0)),0)</f>
        <v>8.65</v>
      </c>
      <c r="AG542" s="56">
        <f>IFERROR((VLOOKUP($A542,'Dados StatusInvest'!$A:$AZ,COLUMN(AG542)-$A$5,0)),0)</f>
        <v>0.08</v>
      </c>
      <c r="AH542" s="56">
        <f>IFERROR((VLOOKUP($A542,'Dados StatusInvest'!$A:$AZ,COLUMN(AH542)-$A$5,0)),0)</f>
        <v>-2</v>
      </c>
      <c r="AI542" s="57">
        <f>IFERROR((VLOOKUP($A542,'Dados StatusInvest'!$A:$AZ,COLUMN(AI542)-$A$5,0)),0)</f>
        <v>7858859617</v>
      </c>
      <c r="AJ542" s="59" t="str">
        <f>IFERROR((VLOOKUP($A542,'Dados StatusInvest'!$A:$AZ,COLUMN(AJ542)-$A$5,0)),0)</f>
        <v/>
      </c>
      <c r="AK542" s="67" t="str">
        <f>IFERROR(__xludf.DUMMYFUNCTION("IFERROR(GOOGLEFINANCE($A542,""high""),"""")"),"")</f>
        <v/>
      </c>
      <c r="AL542" s="67" t="str">
        <f>IFERROR(__xludf.DUMMYFUNCTION("IFERROR(GOOGLEFINANCE($A542,""low""),"""")"),"")</f>
        <v/>
      </c>
      <c r="AM542" s="70">
        <f t="shared" si="2"/>
        <v>0</v>
      </c>
      <c r="AN542" s="71">
        <f>IFERROR(__xludf.DUMMYFUNCTION("IFERROR((GOOGLEFINANCE($A542,""volume"")),0)"),0.0)</f>
        <v>0</v>
      </c>
      <c r="AO542" s="67" t="str">
        <f>IFERROR(__xludf.DUMMYFUNCTION("IFERROR((GOOGLEFINANCE($A542,""closeyest"")),"""")"),"")</f>
        <v/>
      </c>
      <c r="AP542" s="67" t="str">
        <f>IFERROR(__xludf.DUMMYFUNCTION("IFERROR((GOOGLEFINANCE($A542,""shares"")),"""")"),"")</f>
        <v/>
      </c>
      <c r="AQ542" s="60"/>
    </row>
    <row r="543">
      <c r="A543" s="45" t="str">
        <f>'Dados StatusInvest'!A538:A1157</f>
        <v>STBP3</v>
      </c>
      <c r="B543" s="63" t="str">
        <f>IFERROR(__xludf.DUMMYFUNCTION("IFERROR((GOOGLEFINANCE(A543,""name"")),"""")"),"")</f>
        <v/>
      </c>
      <c r="C543" s="63" t="str">
        <f>IFERROR((VLOOKUP(LEFT($A543,4),Setor!$A:$E,3,0)),"")</f>
        <v>Bens Industriais</v>
      </c>
      <c r="D543" s="63" t="str">
        <f>IFERROR((VLOOKUP(LEFT($A543,4),Setor!$A:$E,4,0)),"")</f>
        <v>Transporte</v>
      </c>
      <c r="E543" s="63" t="str">
        <f>IFERROR((VLOOKUP(LEFT($A543,4),Setor!$A:$E,5,0)),"")</f>
        <v>Serviços de Apoio e Armazenagem</v>
      </c>
      <c r="F543" s="64" t="str">
        <f>IFERROR(__xludf.DUMMYFUNCTION("IFERROR((GOOGLEFINANCE(A543)),"""")"),"")</f>
        <v/>
      </c>
      <c r="G543" s="65" t="str">
        <f>IFERROR(__xludf.DUMMYFUNCTION("IFERROR((sparkline(GOOGLEFINANCE($A543,""price"",TODAY()-30,TODAY(),""DAILY""),{""charttype"",""line"";""linewidth"",1;""color"",""#5f88cc""})),"""")"),"")</f>
        <v/>
      </c>
      <c r="H543" s="66" t="str">
        <f>IFERROR(__xludf.DUMMYFUNCTION("IFERROR((((GOOGLEFINANCE(A543))-(INDEX(GoogleFinance(A543,""PRICE"",$AQ$1),2,2)))/(INDEX(GoogleFinance(A543,""PRICE"",$AQ$1),2,2))),"""")"),"")</f>
        <v/>
      </c>
      <c r="I543" s="47" t="str">
        <f>IFERROR(__xludf.DUMMYFUNCTION("IFERROR((GOOGLEFINANCE($A543,""high52"")),"""")"),"")</f>
        <v/>
      </c>
      <c r="J543" s="68" t="str">
        <f>IFERROR(__xludf.DUMMYFUNCTION("IFERROR((sparkline(GOOGLEFINANCE($A543,""price"",TODAY()-365,TODAY(),""DAILY""),{""charttype"",""line"";""linewidth"",1;""color"",""#5f88cc""})),"""")"),"")</f>
        <v/>
      </c>
      <c r="K543" s="66" t="str">
        <f>IFERROR(__xludf.DUMMYFUNCTION("IFERROR((((GOOGLEFINANCE(A543))-(INDEX(GoogleFinance(A543,""PRICE"",$AP$1),2,2)))/(INDEX(GoogleFinance(A543,""PRICE"",$AP$1),2,2))),"""")"),"")</f>
        <v/>
      </c>
      <c r="L543" s="69">
        <f t="shared" si="1"/>
        <v>0</v>
      </c>
      <c r="M543" s="52">
        <f>IFERROR((VLOOKUP($A543,'Dados StatusInvest'!$A:$AZ,COLUMN(M543)-$A$5,0)*VLOOKUP($A543,'Dados StatusInvest'!$A:$AZ,2,0)/$F543/100),0)</f>
        <v>0</v>
      </c>
      <c r="N543" s="53">
        <f>IFERROR((VLOOKUP($A543,'Dados StatusInvest'!$A:$AZ,COLUMN(N543)-$A$5,0)/VLOOKUP($A543,'Dados StatusInvest'!$A:$AZ,2,0)*$F543),"")</f>
        <v>0</v>
      </c>
      <c r="O543" s="53">
        <f>IFERROR((VLOOKUP($A543,'Dados StatusInvest'!$A:$AZ,COLUMN(O543)-$A$5,0)/VLOOKUP($A543,'Dados StatusInvest'!$A:$AZ,2,0)*$F543),0)</f>
        <v>0</v>
      </c>
      <c r="P543" s="54">
        <f>IFERROR((VLOOKUP($A543,'Dados StatusInvest'!$A:$AZ,COLUMN(P543)-$A$5,0)/VLOOKUP($A543,'Dados StatusInvest'!$A:$AZ,2,0)*$F543),0)</f>
        <v>0</v>
      </c>
      <c r="Q543" s="55">
        <f>IFERROR((VLOOKUP($A543,'Dados StatusInvest'!$A:$AZ,COLUMN(Q543)-$A$5,0)/100),0)</f>
        <v>0.0117</v>
      </c>
      <c r="R543" s="56">
        <f>VLOOKUP($A543,'Dados StatusInvest'!$A:$AZ,COLUMN(R543)-$A$5,0)</f>
        <v>1.78</v>
      </c>
      <c r="S543" s="56">
        <f>IFERROR((VLOOKUP($A543,'Dados StatusInvest'!$A:$AZ,COLUMN(S543)-$A$5,0)),0)</f>
        <v>3.59</v>
      </c>
      <c r="T543" s="53">
        <f>IFERROR((VLOOKUP($A543,'Dados StatusInvest'!$A:$AZ,COLUMN(T543)-$A$5,0)/VLOOKUP($A543,'Dados StatusInvest'!$A:$AZ,2,0)*$F543),0)</f>
        <v>0</v>
      </c>
      <c r="U543" s="53">
        <f>IFERROR((VLOOKUP($A543,'Dados StatusInvest'!$A:$AZ,COLUMN(U543)-$A$5,0)-VLOOKUP($A543,'Dados StatusInvest'!$A:$AZ,COLUMN(U543)-$A$5-1,0)+T543),0)</f>
        <v>-41.08</v>
      </c>
      <c r="V543" s="56">
        <f>IFERROR((VLOOKUP($A543,'Dados StatusInvest'!$A:$AZ,COLUMN(V543)-$A$5,0)),0)</f>
        <v>1.33</v>
      </c>
      <c r="W543" s="56">
        <f>IFERROR((VLOOKUP($A543,'Dados StatusInvest'!$A:$AZ,COLUMN(W543)-$A$5,0)),0)</f>
        <v>80.31</v>
      </c>
      <c r="X543" s="53">
        <f>IFERROR((VLOOKUP($A543,'Dados StatusInvest'!$A:$AZ,COLUMN(X543)-$A$5,0)/VLOOKUP($A543,'Dados StatusInvest'!$A:$AZ,2,0)*$F543),0)</f>
        <v>0</v>
      </c>
      <c r="Y543" s="54">
        <f>IFERROR((VLOOKUP($A543,'Dados StatusInvest'!$A:$AZ,COLUMN(Y543)-$A$5,0)/VLOOKUP($A543,'Dados StatusInvest'!$A:$AZ,2,0)*$F543),0)</f>
        <v>0</v>
      </c>
      <c r="Z543" s="56">
        <f>IFERROR((VLOOKUP($A543,'Dados StatusInvest'!$A:$AZ,COLUMN(Z543)-$A$5,0)),0)</f>
        <v>0.18</v>
      </c>
      <c r="AA543" s="57">
        <f>IFERROR((VLOOKUP($A543,'Dados StatusInvest'!$A:$AZ,COLUMN(AA543)-$A$5,0)),0)</f>
        <v>0.82</v>
      </c>
      <c r="AB543" s="57">
        <f>IFERROR((VLOOKUP($A543,'Dados StatusInvest'!$A:$AZ,COLUMN(AB543)-$A$5,0)),0)</f>
        <v>0.6</v>
      </c>
      <c r="AC543" s="58">
        <f>IFERROR((VLOOKUP($A543,'Dados StatusInvest'!$A:$AZ,COLUMN(AC543)-$A$5,0)),0)</f>
        <v>24.45</v>
      </c>
      <c r="AD543" s="57">
        <f>IFERROR((VLOOKUP($A543,'Dados StatusInvest'!$A:$AZ,COLUMN(AD543)-$A$5,0)),0)</f>
        <v>122.03</v>
      </c>
      <c r="AE543" s="56">
        <f>IFERROR((VLOOKUP($A543,'Dados StatusInvest'!$A:$AZ,COLUMN(AE543)-$A$5,0)),0)</f>
        <v>3082209</v>
      </c>
      <c r="AF543" s="56">
        <f>IFERROR((VLOOKUP($A543,'Dados StatusInvest'!$A:$AZ,COLUMN(AF543)-$A$5,0)),0)</f>
        <v>1.2</v>
      </c>
      <c r="AG543" s="56">
        <f>IFERROR((VLOOKUP($A543,'Dados StatusInvest'!$A:$AZ,COLUMN(AG543)-$A$5,0)),0)</f>
        <v>0.96</v>
      </c>
      <c r="AH543" s="56">
        <f>IFERROR((VLOOKUP($A543,'Dados StatusInvest'!$A:$AZ,COLUMN(AH543)-$A$5,0)),0)</f>
        <v>1.66</v>
      </c>
      <c r="AI543" s="57">
        <f>IFERROR((VLOOKUP($A543,'Dados StatusInvest'!$A:$AZ,COLUMN(AI543)-$A$5,0)),0)</f>
        <v>12461336721</v>
      </c>
      <c r="AJ543" s="59" t="str">
        <f>IFERROR((VLOOKUP($A543,'Dados StatusInvest'!$A:$AZ,COLUMN(AJ543)-$A$5,0)),0)</f>
        <v/>
      </c>
      <c r="AK543" s="67" t="str">
        <f>IFERROR(__xludf.DUMMYFUNCTION("IFERROR(GOOGLEFINANCE($A543,""high""),"""")"),"")</f>
        <v/>
      </c>
      <c r="AL543" s="67" t="str">
        <f>IFERROR(__xludf.DUMMYFUNCTION("IFERROR(GOOGLEFINANCE($A543,""low""),"""")"),"")</f>
        <v/>
      </c>
      <c r="AM543" s="70">
        <f t="shared" si="2"/>
        <v>0</v>
      </c>
      <c r="AN543" s="71">
        <f>IFERROR(__xludf.DUMMYFUNCTION("IFERROR((GOOGLEFINANCE($A543,""volume"")),0)"),0.0)</f>
        <v>0</v>
      </c>
      <c r="AO543" s="67" t="str">
        <f>IFERROR(__xludf.DUMMYFUNCTION("IFERROR((GOOGLEFINANCE($A543,""closeyest"")),"""")"),"")</f>
        <v/>
      </c>
      <c r="AP543" s="67" t="str">
        <f>IFERROR(__xludf.DUMMYFUNCTION("IFERROR((GOOGLEFINANCE($A543,""shares"")),"""")"),"")</f>
        <v/>
      </c>
      <c r="AQ543" s="60"/>
    </row>
    <row r="544">
      <c r="A544" s="45" t="str">
        <f>'Dados StatusInvest'!A539:A1158</f>
        <v>STKF3</v>
      </c>
      <c r="B544" s="63" t="str">
        <f>IFERROR(__xludf.DUMMYFUNCTION("IFERROR((GOOGLEFINANCE(A544,""name"")),"""")"),"")</f>
        <v/>
      </c>
      <c r="C544" s="63" t="str">
        <f>IFERROR((VLOOKUP(LEFT($A544,4),Setor!$A:$E,3,0)),"")</f>
        <v>Utilidade Pública</v>
      </c>
      <c r="D544" s="63" t="str">
        <f>IFERROR((VLOOKUP(LEFT($A544,4),Setor!$A:$E,4,0)),"")</f>
        <v>Energia Elétrica</v>
      </c>
      <c r="E544" s="63" t="str">
        <f>IFERROR((VLOOKUP(LEFT($A544,4),Setor!$A:$E,5,0)),"")</f>
        <v>Energia Elétrica</v>
      </c>
      <c r="F544" s="64" t="str">
        <f>IFERROR(__xludf.DUMMYFUNCTION("IFERROR((GOOGLEFINANCE(A544)),"""")"),"")</f>
        <v/>
      </c>
      <c r="G544" s="65" t="str">
        <f>IFERROR(__xludf.DUMMYFUNCTION("IFERROR((sparkline(GOOGLEFINANCE($A544,""price"",TODAY()-30,TODAY(),""DAILY""),{""charttype"",""line"";""linewidth"",1;""color"",""#5f88cc""})),"""")"),"")</f>
        <v/>
      </c>
      <c r="H544" s="66" t="str">
        <f>IFERROR(__xludf.DUMMYFUNCTION("IFERROR((((GOOGLEFINANCE(A544))-(INDEX(GoogleFinance(A544,""PRICE"",$AQ$1),2,2)))/(INDEX(GoogleFinance(A544,""PRICE"",$AQ$1),2,2))),"""")"),"")</f>
        <v/>
      </c>
      <c r="I544" s="47" t="str">
        <f>IFERROR(__xludf.DUMMYFUNCTION("IFERROR((GOOGLEFINANCE($A544,""high52"")),"""")"),"")</f>
        <v/>
      </c>
      <c r="J544" s="68" t="str">
        <f>IFERROR(__xludf.DUMMYFUNCTION("IFERROR((sparkline(GOOGLEFINANCE($A544,""price"",TODAY()-365,TODAY(),""DAILY""),{""charttype"",""line"";""linewidth"",1;""color"",""#5f88cc""})),"""")"),"")</f>
        <v/>
      </c>
      <c r="K544" s="66" t="str">
        <f>IFERROR(__xludf.DUMMYFUNCTION("IFERROR((((GOOGLEFINANCE(A544))-(INDEX(GoogleFinance(A544,""PRICE"",$AP$1),2,2)))/(INDEX(GoogleFinance(A544,""PRICE"",$AP$1),2,2))),"""")"),"")</f>
        <v/>
      </c>
      <c r="L544" s="69">
        <f t="shared" si="1"/>
        <v>0</v>
      </c>
      <c r="M544" s="52">
        <f>IFERROR((VLOOKUP($A544,'Dados StatusInvest'!$A:$AZ,COLUMN(M544)-$A$5,0)*VLOOKUP($A544,'Dados StatusInvest'!$A:$AZ,2,0)/$F544/100),0)</f>
        <v>0</v>
      </c>
      <c r="N544" s="53" t="str">
        <f>IFERROR((VLOOKUP($A544,'Dados StatusInvest'!$A:$AZ,COLUMN(N544)-$A$5,0)/VLOOKUP($A544,'Dados StatusInvest'!$A:$AZ,2,0)*$F544),"")</f>
        <v/>
      </c>
      <c r="O544" s="53">
        <f>IFERROR((VLOOKUP($A544,'Dados StatusInvest'!$A:$AZ,COLUMN(O544)-$A$5,0)/VLOOKUP($A544,'Dados StatusInvest'!$A:$AZ,2,0)*$F544),0)</f>
        <v>0</v>
      </c>
      <c r="P544" s="54">
        <f>IFERROR((VLOOKUP($A544,'Dados StatusInvest'!$A:$AZ,COLUMN(P544)-$A$5,0)/VLOOKUP($A544,'Dados StatusInvest'!$A:$AZ,2,0)*$F544),0)</f>
        <v>0</v>
      </c>
      <c r="Q544" s="55">
        <f>IFERROR((VLOOKUP($A544,'Dados StatusInvest'!$A:$AZ,COLUMN(Q544)-$A$5,0)/100),0)</f>
        <v>0.0327</v>
      </c>
      <c r="R544" s="56">
        <f>VLOOKUP($A544,'Dados StatusInvest'!$A:$AZ,COLUMN(R544)-$A$5,0)</f>
        <v>0.25</v>
      </c>
      <c r="S544" s="56">
        <f>IFERROR((VLOOKUP($A544,'Dados StatusInvest'!$A:$AZ,COLUMN(S544)-$A$5,0)),0)</f>
        <v>0</v>
      </c>
      <c r="T544" s="53">
        <f>IFERROR((VLOOKUP($A544,'Dados StatusInvest'!$A:$AZ,COLUMN(T544)-$A$5,0)/VLOOKUP($A544,'Dados StatusInvest'!$A:$AZ,2,0)*$F544),0)</f>
        <v>0</v>
      </c>
      <c r="U544" s="53">
        <f>IFERROR((VLOOKUP($A544,'Dados StatusInvest'!$A:$AZ,COLUMN(U544)-$A$5,0)-VLOOKUP($A544,'Dados StatusInvest'!$A:$AZ,COLUMN(U544)-$A$5-1,0)+T544),0)</f>
        <v>0</v>
      </c>
      <c r="V544" s="56">
        <f>IFERROR((VLOOKUP($A544,'Dados StatusInvest'!$A:$AZ,COLUMN(V544)-$A$5,0)),0)</f>
        <v>3.14</v>
      </c>
      <c r="W544" s="56">
        <f>IFERROR((VLOOKUP($A544,'Dados StatusInvest'!$A:$AZ,COLUMN(W544)-$A$5,0)),0)</f>
        <v>4.97</v>
      </c>
      <c r="X544" s="53">
        <f>IFERROR((VLOOKUP($A544,'Dados StatusInvest'!$A:$AZ,COLUMN(X544)-$A$5,0)/VLOOKUP($A544,'Dados StatusInvest'!$A:$AZ,2,0)*$F544),0)</f>
        <v>0</v>
      </c>
      <c r="Y544" s="54">
        <f>IFERROR((VLOOKUP($A544,'Dados StatusInvest'!$A:$AZ,COLUMN(Y544)-$A$5,0)/VLOOKUP($A544,'Dados StatusInvest'!$A:$AZ,2,0)*$F544),0)</f>
        <v>0</v>
      </c>
      <c r="Z544" s="56">
        <f>IFERROR((VLOOKUP($A544,'Dados StatusInvest'!$A:$AZ,COLUMN(Z544)-$A$5,0)),0)</f>
        <v>0.63</v>
      </c>
      <c r="AA544" s="57">
        <f>IFERROR((VLOOKUP($A544,'Dados StatusInvest'!$A:$AZ,COLUMN(AA544)-$A$5,0)),0)</f>
        <v>0.37</v>
      </c>
      <c r="AB544" s="57">
        <f>IFERROR((VLOOKUP($A544,'Dados StatusInvest'!$A:$AZ,COLUMN(AB544)-$A$5,0)),0)</f>
        <v>0.13</v>
      </c>
      <c r="AC544" s="58">
        <f>IFERROR((VLOOKUP($A544,'Dados StatusInvest'!$A:$AZ,COLUMN(AC544)-$A$5,0)),0)</f>
        <v>24.6</v>
      </c>
      <c r="AD544" s="57">
        <f>IFERROR((VLOOKUP($A544,'Dados StatusInvest'!$A:$AZ,COLUMN(AD544)-$A$5,0)),0)</f>
        <v>27.74</v>
      </c>
      <c r="AE544" s="56">
        <f>IFERROR((VLOOKUP($A544,'Dados StatusInvest'!$A:$AZ,COLUMN(AE544)-$A$5,0)),0)</f>
        <v>0</v>
      </c>
      <c r="AF544" s="56">
        <f>IFERROR((VLOOKUP($A544,'Dados StatusInvest'!$A:$AZ,COLUMN(AF544)-$A$5,0)),0)</f>
        <v>8.19</v>
      </c>
      <c r="AG544" s="56">
        <f>IFERROR((VLOOKUP($A544,'Dados StatusInvest'!$A:$AZ,COLUMN(AG544)-$A$5,0)),0)</f>
        <v>0.41</v>
      </c>
      <c r="AH544" s="56">
        <f>IFERROR((VLOOKUP($A544,'Dados StatusInvest'!$A:$AZ,COLUMN(AH544)-$A$5,0)),0)</f>
        <v>0</v>
      </c>
      <c r="AI544" s="57">
        <f>IFERROR((VLOOKUP($A544,'Dados StatusInvest'!$A:$AZ,COLUMN(AI544)-$A$5,0)),0)</f>
        <v>0</v>
      </c>
      <c r="AJ544" s="59" t="str">
        <f>IFERROR((VLOOKUP($A544,'Dados StatusInvest'!$A:$AZ,COLUMN(AJ544)-$A$5,0)),0)</f>
        <v/>
      </c>
      <c r="AK544" s="67" t="str">
        <f>IFERROR(__xludf.DUMMYFUNCTION("IFERROR(GOOGLEFINANCE($A544,""high""),"""")"),"")</f>
        <v/>
      </c>
      <c r="AL544" s="67" t="str">
        <f>IFERROR(__xludf.DUMMYFUNCTION("IFERROR(GOOGLEFINANCE($A544,""low""),"""")"),"")</f>
        <v/>
      </c>
      <c r="AM544" s="70">
        <f t="shared" si="2"/>
        <v>0</v>
      </c>
      <c r="AN544" s="71">
        <f>IFERROR(__xludf.DUMMYFUNCTION("IFERROR((GOOGLEFINANCE($A544,""volume"")),0)"),0.0)</f>
        <v>0</v>
      </c>
      <c r="AO544" s="67" t="str">
        <f>IFERROR(__xludf.DUMMYFUNCTION("IFERROR((GOOGLEFINANCE($A544,""closeyest"")),"""")"),"")</f>
        <v/>
      </c>
      <c r="AP544" s="67" t="str">
        <f>IFERROR(__xludf.DUMMYFUNCTION("IFERROR((GOOGLEFINANCE($A544,""shares"")),"""")"),"")</f>
        <v/>
      </c>
      <c r="AQ544" s="60"/>
    </row>
    <row r="545">
      <c r="A545" s="45" t="str">
        <f>'Dados StatusInvest'!A540:A1159</f>
        <v>STTR3</v>
      </c>
      <c r="B545" s="63" t="str">
        <f>IFERROR(__xludf.DUMMYFUNCTION("IFERROR((GOOGLEFINANCE(A545,""name"")),"""")"),"")</f>
        <v/>
      </c>
      <c r="C545" s="63" t="str">
        <f>IFERROR((VLOOKUP(LEFT($A545,4),Setor!$A:$E,3,0)),"")</f>
        <v>Bens Industriais</v>
      </c>
      <c r="D545" s="63" t="str">
        <f>IFERROR((VLOOKUP(LEFT($A545,4),Setor!$A:$E,4,0)),"")</f>
        <v>Máquinas e Equipamentos</v>
      </c>
      <c r="E545" s="63" t="str">
        <f>IFERROR((VLOOKUP(LEFT($A545,4),Setor!$A:$E,5,0)),"")</f>
        <v>Máq. e Equip. Construção e Agrícolas</v>
      </c>
      <c r="F545" s="64" t="str">
        <f>IFERROR(__xludf.DUMMYFUNCTION("IFERROR((GOOGLEFINANCE(A545)),"""")"),"")</f>
        <v/>
      </c>
      <c r="G545" s="65" t="str">
        <f>IFERROR(__xludf.DUMMYFUNCTION("IFERROR((sparkline(GOOGLEFINANCE($A545,""price"",TODAY()-30,TODAY(),""DAILY""),{""charttype"",""line"";""linewidth"",1;""color"",""#5f88cc""})),"""")"),"")</f>
        <v/>
      </c>
      <c r="H545" s="66" t="str">
        <f>IFERROR(__xludf.DUMMYFUNCTION("IFERROR((((GOOGLEFINANCE(A545))-(INDEX(GoogleFinance(A545,""PRICE"",$AQ$1),2,2)))/(INDEX(GoogleFinance(A545,""PRICE"",$AQ$1),2,2))),"""")"),"")</f>
        <v/>
      </c>
      <c r="I545" s="47" t="str">
        <f>IFERROR(__xludf.DUMMYFUNCTION("IFERROR((GOOGLEFINANCE($A545,""high52"")),"""")"),"")</f>
        <v/>
      </c>
      <c r="J545" s="68" t="str">
        <f>IFERROR(__xludf.DUMMYFUNCTION("IFERROR((sparkline(GOOGLEFINANCE($A545,""price"",TODAY()-365,TODAY(),""DAILY""),{""charttype"",""line"";""linewidth"",1;""color"",""#5f88cc""})),"""")"),"")</f>
        <v/>
      </c>
      <c r="K545" s="66" t="str">
        <f>IFERROR(__xludf.DUMMYFUNCTION("IFERROR((((GOOGLEFINANCE(A545))-(INDEX(GoogleFinance(A545,""PRICE"",$AP$1),2,2)))/(INDEX(GoogleFinance(A545,""PRICE"",$AP$1),2,2))),"""")"),"")</f>
        <v/>
      </c>
      <c r="L545" s="69">
        <f t="shared" si="1"/>
        <v>0</v>
      </c>
      <c r="M545" s="52">
        <f>IFERROR((VLOOKUP($A545,'Dados StatusInvest'!$A:$AZ,COLUMN(M545)-$A$5,0)*VLOOKUP($A545,'Dados StatusInvest'!$A:$AZ,2,0)/$F545/100),0)</f>
        <v>0</v>
      </c>
      <c r="N545" s="53" t="str">
        <f>IFERROR((VLOOKUP($A545,'Dados StatusInvest'!$A:$AZ,COLUMN(N545)-$A$5,0)/VLOOKUP($A545,'Dados StatusInvest'!$A:$AZ,2,0)*$F545),"")</f>
        <v/>
      </c>
      <c r="O545" s="53">
        <f>IFERROR((VLOOKUP($A545,'Dados StatusInvest'!$A:$AZ,COLUMN(O545)-$A$5,0)/VLOOKUP($A545,'Dados StatusInvest'!$A:$AZ,2,0)*$F545),0)</f>
        <v>0</v>
      </c>
      <c r="P545" s="54">
        <f>IFERROR((VLOOKUP($A545,'Dados StatusInvest'!$A:$AZ,COLUMN(P545)-$A$5,0)/VLOOKUP($A545,'Dados StatusInvest'!$A:$AZ,2,0)*$F545),0)</f>
        <v>0</v>
      </c>
      <c r="Q545" s="55">
        <f>IFERROR((VLOOKUP($A545,'Dados StatusInvest'!$A:$AZ,COLUMN(Q545)-$A$5,0)/100),0)</f>
        <v>-0.0022</v>
      </c>
      <c r="R545" s="56">
        <f>VLOOKUP($A545,'Dados StatusInvest'!$A:$AZ,COLUMN(R545)-$A$5,0)</f>
        <v>-0.09</v>
      </c>
      <c r="S545" s="56">
        <f>IFERROR((VLOOKUP($A545,'Dados StatusInvest'!$A:$AZ,COLUMN(S545)-$A$5,0)),0)</f>
        <v>0</v>
      </c>
      <c r="T545" s="53">
        <f>IFERROR((VLOOKUP($A545,'Dados StatusInvest'!$A:$AZ,COLUMN(T545)-$A$5,0)/VLOOKUP($A545,'Dados StatusInvest'!$A:$AZ,2,0)*$F545),0)</f>
        <v>0</v>
      </c>
      <c r="U545" s="53">
        <f>IFERROR((VLOOKUP($A545,'Dados StatusInvest'!$A:$AZ,COLUMN(U545)-$A$5,0)-VLOOKUP($A545,'Dados StatusInvest'!$A:$AZ,COLUMN(U545)-$A$5-1,0)+T545),0)</f>
        <v>0</v>
      </c>
      <c r="V545" s="56">
        <f>IFERROR((VLOOKUP($A545,'Dados StatusInvest'!$A:$AZ,COLUMN(V545)-$A$5,0)),0)</f>
        <v>2.46</v>
      </c>
      <c r="W545" s="56">
        <f>IFERROR((VLOOKUP($A545,'Dados StatusInvest'!$A:$AZ,COLUMN(W545)-$A$5,0)),0)</f>
        <v>32.1</v>
      </c>
      <c r="X545" s="53">
        <f>IFERROR((VLOOKUP($A545,'Dados StatusInvest'!$A:$AZ,COLUMN(X545)-$A$5,0)/VLOOKUP($A545,'Dados StatusInvest'!$A:$AZ,2,0)*$F545),0)</f>
        <v>0</v>
      </c>
      <c r="Y545" s="54">
        <f>IFERROR((VLOOKUP($A545,'Dados StatusInvest'!$A:$AZ,COLUMN(Y545)-$A$5,0)/VLOOKUP($A545,'Dados StatusInvest'!$A:$AZ,2,0)*$F545),0)</f>
        <v>0</v>
      </c>
      <c r="Z545" s="56">
        <f>IFERROR((VLOOKUP($A545,'Dados StatusInvest'!$A:$AZ,COLUMN(Z545)-$A$5,0)),0)</f>
        <v>0.56</v>
      </c>
      <c r="AA545" s="57">
        <f>IFERROR((VLOOKUP($A545,'Dados StatusInvest'!$A:$AZ,COLUMN(AA545)-$A$5,0)),0)</f>
        <v>0.44</v>
      </c>
      <c r="AB545" s="57">
        <f>IFERROR((VLOOKUP($A545,'Dados StatusInvest'!$A:$AZ,COLUMN(AB545)-$A$5,0)),0)</f>
        <v>1.27</v>
      </c>
      <c r="AC545" s="58">
        <f>IFERROR((VLOOKUP($A545,'Dados StatusInvest'!$A:$AZ,COLUMN(AC545)-$A$5,0)),0)</f>
        <v>22.02</v>
      </c>
      <c r="AD545" s="57">
        <f>IFERROR((VLOOKUP($A545,'Dados StatusInvest'!$A:$AZ,COLUMN(AD545)-$A$5,0)),0)</f>
        <v>0</v>
      </c>
      <c r="AE545" s="56">
        <f>IFERROR((VLOOKUP($A545,'Dados StatusInvest'!$A:$AZ,COLUMN(AE545)-$A$5,0)),0)</f>
        <v>0</v>
      </c>
      <c r="AF545" s="56">
        <f>IFERROR((VLOOKUP($A545,'Dados StatusInvest'!$A:$AZ,COLUMN(AF545)-$A$5,0)),0)</f>
        <v>2.91</v>
      </c>
      <c r="AG545" s="56">
        <f>IFERROR((VLOOKUP($A545,'Dados StatusInvest'!$A:$AZ,COLUMN(AG545)-$A$5,0)),0)</f>
        <v>0.94</v>
      </c>
      <c r="AH545" s="56">
        <f>IFERROR((VLOOKUP($A545,'Dados StatusInvest'!$A:$AZ,COLUMN(AH545)-$A$5,0)),0)</f>
        <v>0</v>
      </c>
      <c r="AI545" s="57">
        <f>IFERROR((VLOOKUP($A545,'Dados StatusInvest'!$A:$AZ,COLUMN(AI545)-$A$5,0)),0)</f>
        <v>0</v>
      </c>
      <c r="AJ545" s="59" t="str">
        <f>IFERROR((VLOOKUP($A545,'Dados StatusInvest'!$A:$AZ,COLUMN(AJ545)-$A$5,0)),0)</f>
        <v/>
      </c>
      <c r="AK545" s="67" t="str">
        <f>IFERROR(__xludf.DUMMYFUNCTION("IFERROR(GOOGLEFINANCE($A545,""high""),"""")"),"")</f>
        <v/>
      </c>
      <c r="AL545" s="67" t="str">
        <f>IFERROR(__xludf.DUMMYFUNCTION("IFERROR(GOOGLEFINANCE($A545,""low""),"""")"),"")</f>
        <v/>
      </c>
      <c r="AM545" s="70">
        <f t="shared" si="2"/>
        <v>0</v>
      </c>
      <c r="AN545" s="71">
        <f>IFERROR(__xludf.DUMMYFUNCTION("IFERROR((GOOGLEFINANCE($A545,""volume"")),0)"),0.0)</f>
        <v>0</v>
      </c>
      <c r="AO545" s="67" t="str">
        <f>IFERROR(__xludf.DUMMYFUNCTION("IFERROR((GOOGLEFINANCE($A545,""closeyest"")),"""")"),"")</f>
        <v/>
      </c>
      <c r="AP545" s="67" t="str">
        <f>IFERROR(__xludf.DUMMYFUNCTION("IFERROR((GOOGLEFINANCE($A545,""shares"")),"""")"),"")</f>
        <v/>
      </c>
      <c r="AQ545" s="60"/>
    </row>
    <row r="546">
      <c r="A546" s="45" t="str">
        <f>'Dados StatusInvest'!A541:A1160</f>
        <v>SULA11</v>
      </c>
      <c r="B546" s="63" t="str">
        <f>IFERROR(__xludf.DUMMYFUNCTION("IFERROR((GOOGLEFINANCE(A546,""name"")),"""")"),"")</f>
        <v/>
      </c>
      <c r="C546" s="63" t="str">
        <f>IFERROR((VLOOKUP(LEFT($A546,4),Setor!$A:$E,3,0)),"")</f>
        <v>Financeiro</v>
      </c>
      <c r="D546" s="63" t="str">
        <f>IFERROR((VLOOKUP(LEFT($A546,4),Setor!$A:$E,4,0)),"")</f>
        <v>Previdência e Seguros</v>
      </c>
      <c r="E546" s="63" t="str">
        <f>IFERROR((VLOOKUP(LEFT($A546,4),Setor!$A:$E,5,0)),"")</f>
        <v>Seguradoras</v>
      </c>
      <c r="F546" s="64" t="str">
        <f>IFERROR(__xludf.DUMMYFUNCTION("IFERROR((GOOGLEFINANCE(A546)),"""")"),"")</f>
        <v/>
      </c>
      <c r="G546" s="65" t="str">
        <f>IFERROR(__xludf.DUMMYFUNCTION("IFERROR((sparkline(GOOGLEFINANCE($A546,""price"",TODAY()-30,TODAY(),""DAILY""),{""charttype"",""line"";""linewidth"",1;""color"",""#5f88cc""})),"""")"),"")</f>
        <v/>
      </c>
      <c r="H546" s="66" t="str">
        <f>IFERROR(__xludf.DUMMYFUNCTION("IFERROR((((GOOGLEFINANCE(A546))-(INDEX(GoogleFinance(A546,""PRICE"",$AQ$1),2,2)))/(INDEX(GoogleFinance(A546,""PRICE"",$AQ$1),2,2))),"""")"),"")</f>
        <v/>
      </c>
      <c r="I546" s="47" t="str">
        <f>IFERROR(__xludf.DUMMYFUNCTION("IFERROR((GOOGLEFINANCE($A546,""high52"")),"""")"),"")</f>
        <v/>
      </c>
      <c r="J546" s="68" t="str">
        <f>IFERROR(__xludf.DUMMYFUNCTION("IFERROR((sparkline(GOOGLEFINANCE($A546,""price"",TODAY()-365,TODAY(),""DAILY""),{""charttype"",""line"";""linewidth"",1;""color"",""#5f88cc""})),"""")"),"")</f>
        <v/>
      </c>
      <c r="K546" s="66" t="str">
        <f>IFERROR(__xludf.DUMMYFUNCTION("IFERROR((((GOOGLEFINANCE(A546))-(INDEX(GoogleFinance(A546,""PRICE"",$AP$1),2,2)))/(INDEX(GoogleFinance(A546,""PRICE"",$AP$1),2,2))),"""")"),"")</f>
        <v/>
      </c>
      <c r="L546" s="69">
        <f t="shared" si="1"/>
        <v>0</v>
      </c>
      <c r="M546" s="52">
        <f>IFERROR((VLOOKUP($A546,'Dados StatusInvest'!$A:$AZ,COLUMN(M546)-$A$5,0)*VLOOKUP($A546,'Dados StatusInvest'!$A:$AZ,2,0)/$F546/100),0)</f>
        <v>0</v>
      </c>
      <c r="N546" s="53">
        <f>IFERROR((VLOOKUP($A546,'Dados StatusInvest'!$A:$AZ,COLUMN(N546)-$A$5,0)/VLOOKUP($A546,'Dados StatusInvest'!$A:$AZ,2,0)*$F546),"")</f>
        <v>0</v>
      </c>
      <c r="O546" s="53">
        <f>IFERROR((VLOOKUP($A546,'Dados StatusInvest'!$A:$AZ,COLUMN(O546)-$A$5,0)/VLOOKUP($A546,'Dados StatusInvest'!$A:$AZ,2,0)*$F546),0)</f>
        <v>0</v>
      </c>
      <c r="P546" s="54">
        <f>IFERROR((VLOOKUP($A546,'Dados StatusInvest'!$A:$AZ,COLUMN(P546)-$A$5,0)/VLOOKUP($A546,'Dados StatusInvest'!$A:$AZ,2,0)*$F546),0)</f>
        <v>0</v>
      </c>
      <c r="Q546" s="55">
        <f>IFERROR((VLOOKUP($A546,'Dados StatusInvest'!$A:$AZ,COLUMN(Q546)-$A$5,0)/100),0)</f>
        <v>0.1947</v>
      </c>
      <c r="R546" s="56">
        <f>VLOOKUP($A546,'Dados StatusInvest'!$A:$AZ,COLUMN(R546)-$A$5,0)</f>
        <v>-1.71</v>
      </c>
      <c r="S546" s="56">
        <f>IFERROR((VLOOKUP($A546,'Dados StatusInvest'!$A:$AZ,COLUMN(S546)-$A$5,0)),0)</f>
        <v>0.4</v>
      </c>
      <c r="T546" s="53">
        <f>IFERROR((VLOOKUP($A546,'Dados StatusInvest'!$A:$AZ,COLUMN(T546)-$A$5,0)/VLOOKUP($A546,'Dados StatusInvest'!$A:$AZ,2,0)*$F546),0)</f>
        <v>0</v>
      </c>
      <c r="U546" s="53">
        <f>IFERROR((VLOOKUP($A546,'Dados StatusInvest'!$A:$AZ,COLUMN(U546)-$A$5,0)-VLOOKUP($A546,'Dados StatusInvest'!$A:$AZ,COLUMN(U546)-$A$5-1,0)+T546),0)</f>
        <v>-1.64</v>
      </c>
      <c r="V546" s="56">
        <f>IFERROR((VLOOKUP($A546,'Dados StatusInvest'!$A:$AZ,COLUMN(V546)-$A$5,0)),0)</f>
        <v>2.29</v>
      </c>
      <c r="W546" s="56">
        <f>IFERROR((VLOOKUP($A546,'Dados StatusInvest'!$A:$AZ,COLUMN(W546)-$A$5,0)),0)</f>
        <v>2.17</v>
      </c>
      <c r="X546" s="53">
        <f>IFERROR((VLOOKUP($A546,'Dados StatusInvest'!$A:$AZ,COLUMN(X546)-$A$5,0)/VLOOKUP($A546,'Dados StatusInvest'!$A:$AZ,2,0)*$F546),0)</f>
        <v>0</v>
      </c>
      <c r="Y546" s="54">
        <f>IFERROR((VLOOKUP($A546,'Dados StatusInvest'!$A:$AZ,COLUMN(Y546)-$A$5,0)/VLOOKUP($A546,'Dados StatusInvest'!$A:$AZ,2,0)*$F546),0)</f>
        <v>0</v>
      </c>
      <c r="Z546" s="56">
        <f>IFERROR((VLOOKUP($A546,'Dados StatusInvest'!$A:$AZ,COLUMN(Z546)-$A$5,0)),0)</f>
        <v>0.28</v>
      </c>
      <c r="AA546" s="57">
        <f>IFERROR((VLOOKUP($A546,'Dados StatusInvest'!$A:$AZ,COLUMN(AA546)-$A$5,0)),0)</f>
        <v>0.72</v>
      </c>
      <c r="AB546" s="57">
        <f>IFERROR((VLOOKUP($A546,'Dados StatusInvest'!$A:$AZ,COLUMN(AB546)-$A$5,0)),0)</f>
        <v>0.73</v>
      </c>
      <c r="AC546" s="58">
        <f>IFERROR((VLOOKUP($A546,'Dados StatusInvest'!$A:$AZ,COLUMN(AC546)-$A$5,0)),0)</f>
        <v>4.58</v>
      </c>
      <c r="AD546" s="57">
        <f>IFERROR((VLOOKUP($A546,'Dados StatusInvest'!$A:$AZ,COLUMN(AD546)-$A$5,0)),0)</f>
        <v>-23.56</v>
      </c>
      <c r="AE546" s="56">
        <f>IFERROR((VLOOKUP($A546,'Dados StatusInvest'!$A:$AZ,COLUMN(AE546)-$A$5,0)),0)</f>
        <v>313000000</v>
      </c>
      <c r="AF546" s="56">
        <f>IFERROR((VLOOKUP($A546,'Dados StatusInvest'!$A:$AZ,COLUMN(AF546)-$A$5,0)),0)</f>
        <v>19.64</v>
      </c>
      <c r="AG546" s="56">
        <f>IFERROR((VLOOKUP($A546,'Dados StatusInvest'!$A:$AZ,COLUMN(AG546)-$A$5,0)),0)</f>
        <v>0.43</v>
      </c>
      <c r="AH546" s="56">
        <f>IFERROR((VLOOKUP($A546,'Dados StatusInvest'!$A:$AZ,COLUMN(AH546)-$A$5,0)),0)</f>
        <v>-0.88</v>
      </c>
      <c r="AI546" s="57">
        <f>IFERROR((VLOOKUP($A546,'Dados StatusInvest'!$A:$AZ,COLUMN(AI546)-$A$5,0)),0)</f>
        <v>8840533965</v>
      </c>
      <c r="AJ546" s="59" t="str">
        <f>IFERROR((VLOOKUP($A546,'Dados StatusInvest'!$A:$AZ,COLUMN(AJ546)-$A$5,0)),0)</f>
        <v/>
      </c>
      <c r="AK546" s="67" t="str">
        <f>IFERROR(__xludf.DUMMYFUNCTION("IFERROR(GOOGLEFINANCE($A546,""high""),"""")"),"")</f>
        <v/>
      </c>
      <c r="AL546" s="67" t="str">
        <f>IFERROR(__xludf.DUMMYFUNCTION("IFERROR(GOOGLEFINANCE($A546,""low""),"""")"),"")</f>
        <v/>
      </c>
      <c r="AM546" s="70">
        <f t="shared" si="2"/>
        <v>0</v>
      </c>
      <c r="AN546" s="71">
        <f>IFERROR(__xludf.DUMMYFUNCTION("IFERROR((GOOGLEFINANCE($A546,""volume"")),0)"),0.0)</f>
        <v>0</v>
      </c>
      <c r="AO546" s="67" t="str">
        <f>IFERROR(__xludf.DUMMYFUNCTION("IFERROR((GOOGLEFINANCE($A546,""closeyest"")),"""")"),"")</f>
        <v/>
      </c>
      <c r="AP546" s="67" t="str">
        <f>IFERROR(__xludf.DUMMYFUNCTION("IFERROR((GOOGLEFINANCE($A546,""shares"")),"""")"),"")</f>
        <v/>
      </c>
      <c r="AQ546" s="60"/>
    </row>
    <row r="547">
      <c r="A547" s="45" t="str">
        <f>'Dados StatusInvest'!A542:A1161</f>
        <v>SULA3</v>
      </c>
      <c r="B547" s="63" t="str">
        <f>IFERROR(__xludf.DUMMYFUNCTION("IFERROR((GOOGLEFINANCE(A547,""name"")),"""")"),"")</f>
        <v/>
      </c>
      <c r="C547" s="63" t="str">
        <f>IFERROR((VLOOKUP(LEFT($A547,4),Setor!$A:$E,3,0)),"")</f>
        <v>Financeiro</v>
      </c>
      <c r="D547" s="63" t="str">
        <f>IFERROR((VLOOKUP(LEFT($A547,4),Setor!$A:$E,4,0)),"")</f>
        <v>Previdência e Seguros</v>
      </c>
      <c r="E547" s="63" t="str">
        <f>IFERROR((VLOOKUP(LEFT($A547,4),Setor!$A:$E,5,0)),"")</f>
        <v>Seguradoras</v>
      </c>
      <c r="F547" s="64" t="str">
        <f>IFERROR(__xludf.DUMMYFUNCTION("IFERROR((GOOGLEFINANCE(A547)),"""")"),"")</f>
        <v/>
      </c>
      <c r="G547" s="65" t="str">
        <f>IFERROR(__xludf.DUMMYFUNCTION("IFERROR((sparkline(GOOGLEFINANCE($A547,""price"",TODAY()-30,TODAY(),""DAILY""),{""charttype"",""line"";""linewidth"",1;""color"",""#5f88cc""})),"""")"),"")</f>
        <v/>
      </c>
      <c r="H547" s="66" t="str">
        <f>IFERROR(__xludf.DUMMYFUNCTION("IFERROR((((GOOGLEFINANCE(A547))-(INDEX(GoogleFinance(A547,""PRICE"",$AQ$1),2,2)))/(INDEX(GoogleFinance(A547,""PRICE"",$AQ$1),2,2))),"""")"),"")</f>
        <v/>
      </c>
      <c r="I547" s="47" t="str">
        <f>IFERROR(__xludf.DUMMYFUNCTION("IFERROR((GOOGLEFINANCE($A547,""high52"")),"""")"),"")</f>
        <v/>
      </c>
      <c r="J547" s="68" t="str">
        <f>IFERROR(__xludf.DUMMYFUNCTION("IFERROR((sparkline(GOOGLEFINANCE($A547,""price"",TODAY()-365,TODAY(),""DAILY""),{""charttype"",""line"";""linewidth"",1;""color"",""#5f88cc""})),"""")"),"")</f>
        <v/>
      </c>
      <c r="K547" s="66" t="str">
        <f>IFERROR(__xludf.DUMMYFUNCTION("IFERROR((((GOOGLEFINANCE(A547))-(INDEX(GoogleFinance(A547,""PRICE"",$AP$1),2,2)))/(INDEX(GoogleFinance(A547,""PRICE"",$AP$1),2,2))),"""")"),"")</f>
        <v/>
      </c>
      <c r="L547" s="69">
        <f t="shared" si="1"/>
        <v>0</v>
      </c>
      <c r="M547" s="52">
        <f>IFERROR((VLOOKUP($A547,'Dados StatusInvest'!$A:$AZ,COLUMN(M547)-$A$5,0)*VLOOKUP($A547,'Dados StatusInvest'!$A:$AZ,2,0)/$F547/100),0)</f>
        <v>0</v>
      </c>
      <c r="N547" s="53">
        <f>IFERROR((VLOOKUP($A547,'Dados StatusInvest'!$A:$AZ,COLUMN(N547)-$A$5,0)/VLOOKUP($A547,'Dados StatusInvest'!$A:$AZ,2,0)*$F547),"")</f>
        <v>0</v>
      </c>
      <c r="O547" s="53">
        <f>IFERROR((VLOOKUP($A547,'Dados StatusInvest'!$A:$AZ,COLUMN(O547)-$A$5,0)/VLOOKUP($A547,'Dados StatusInvest'!$A:$AZ,2,0)*$F547),0)</f>
        <v>0</v>
      </c>
      <c r="P547" s="54">
        <f>IFERROR((VLOOKUP($A547,'Dados StatusInvest'!$A:$AZ,COLUMN(P547)-$A$5,0)/VLOOKUP($A547,'Dados StatusInvest'!$A:$AZ,2,0)*$F547),0)</f>
        <v>0</v>
      </c>
      <c r="Q547" s="55">
        <f>IFERROR((VLOOKUP($A547,'Dados StatusInvest'!$A:$AZ,COLUMN(Q547)-$A$5,0)/100),0)</f>
        <v>0.1947</v>
      </c>
      <c r="R547" s="56">
        <f>VLOOKUP($A547,'Dados StatusInvest'!$A:$AZ,COLUMN(R547)-$A$5,0)</f>
        <v>-1.71</v>
      </c>
      <c r="S547" s="56">
        <f>IFERROR((VLOOKUP($A547,'Dados StatusInvest'!$A:$AZ,COLUMN(S547)-$A$5,0)),0)</f>
        <v>0.43</v>
      </c>
      <c r="T547" s="53">
        <f>IFERROR((VLOOKUP($A547,'Dados StatusInvest'!$A:$AZ,COLUMN(T547)-$A$5,0)/VLOOKUP($A547,'Dados StatusInvest'!$A:$AZ,2,0)*$F547),0)</f>
        <v>0</v>
      </c>
      <c r="U547" s="53">
        <f>IFERROR((VLOOKUP($A547,'Dados StatusInvest'!$A:$AZ,COLUMN(U547)-$A$5,0)-VLOOKUP($A547,'Dados StatusInvest'!$A:$AZ,COLUMN(U547)-$A$5-1,0)+T547),0)</f>
        <v>-1.76</v>
      </c>
      <c r="V547" s="56">
        <f>IFERROR((VLOOKUP($A547,'Dados StatusInvest'!$A:$AZ,COLUMN(V547)-$A$5,0)),0)</f>
        <v>2.29</v>
      </c>
      <c r="W547" s="56">
        <f>IFERROR((VLOOKUP($A547,'Dados StatusInvest'!$A:$AZ,COLUMN(W547)-$A$5,0)),0)</f>
        <v>2.17</v>
      </c>
      <c r="X547" s="53">
        <f>IFERROR((VLOOKUP($A547,'Dados StatusInvest'!$A:$AZ,COLUMN(X547)-$A$5,0)/VLOOKUP($A547,'Dados StatusInvest'!$A:$AZ,2,0)*$F547),0)</f>
        <v>0</v>
      </c>
      <c r="Y547" s="54">
        <f>IFERROR((VLOOKUP($A547,'Dados StatusInvest'!$A:$AZ,COLUMN(Y547)-$A$5,0)/VLOOKUP($A547,'Dados StatusInvest'!$A:$AZ,2,0)*$F547),0)</f>
        <v>0</v>
      </c>
      <c r="Z547" s="56">
        <f>IFERROR((VLOOKUP($A547,'Dados StatusInvest'!$A:$AZ,COLUMN(Z547)-$A$5,0)),0)</f>
        <v>0.28</v>
      </c>
      <c r="AA547" s="57">
        <f>IFERROR((VLOOKUP($A547,'Dados StatusInvest'!$A:$AZ,COLUMN(AA547)-$A$5,0)),0)</f>
        <v>0.72</v>
      </c>
      <c r="AB547" s="57">
        <f>IFERROR((VLOOKUP($A547,'Dados StatusInvest'!$A:$AZ,COLUMN(AB547)-$A$5,0)),0)</f>
        <v>0.73</v>
      </c>
      <c r="AC547" s="58">
        <f>IFERROR((VLOOKUP($A547,'Dados StatusInvest'!$A:$AZ,COLUMN(AC547)-$A$5,0)),0)</f>
        <v>4.58</v>
      </c>
      <c r="AD547" s="57">
        <f>IFERROR((VLOOKUP($A547,'Dados StatusInvest'!$A:$AZ,COLUMN(AD547)-$A$5,0)),0)</f>
        <v>-23.56</v>
      </c>
      <c r="AE547" s="56">
        <f>IFERROR((VLOOKUP($A547,'Dados StatusInvest'!$A:$AZ,COLUMN(AE547)-$A$5,0)),0)</f>
        <v>0</v>
      </c>
      <c r="AF547" s="56">
        <f>IFERROR((VLOOKUP($A547,'Dados StatusInvest'!$A:$AZ,COLUMN(AF547)-$A$5,0)),0)</f>
        <v>6.55</v>
      </c>
      <c r="AG547" s="56">
        <f>IFERROR((VLOOKUP($A547,'Dados StatusInvest'!$A:$AZ,COLUMN(AG547)-$A$5,0)),0)</f>
        <v>0.14</v>
      </c>
      <c r="AH547" s="56">
        <f>IFERROR((VLOOKUP($A547,'Dados StatusInvest'!$A:$AZ,COLUMN(AH547)-$A$5,0)),0)</f>
        <v>-0.95</v>
      </c>
      <c r="AI547" s="57">
        <f>IFERROR((VLOOKUP($A547,'Dados StatusInvest'!$A:$AZ,COLUMN(AI547)-$A$5,0)),0)</f>
        <v>8840533965</v>
      </c>
      <c r="AJ547" s="59" t="str">
        <f>IFERROR((VLOOKUP($A547,'Dados StatusInvest'!$A:$AZ,COLUMN(AJ547)-$A$5,0)),0)</f>
        <v/>
      </c>
      <c r="AK547" s="67" t="str">
        <f>IFERROR(__xludf.DUMMYFUNCTION("IFERROR(GOOGLEFINANCE($A547,""high""),"""")"),"")</f>
        <v/>
      </c>
      <c r="AL547" s="67" t="str">
        <f>IFERROR(__xludf.DUMMYFUNCTION("IFERROR(GOOGLEFINANCE($A547,""low""),"""")"),"")</f>
        <v/>
      </c>
      <c r="AM547" s="70">
        <f t="shared" si="2"/>
        <v>0</v>
      </c>
      <c r="AN547" s="71">
        <f>IFERROR(__xludf.DUMMYFUNCTION("IFERROR((GOOGLEFINANCE($A547,""volume"")),0)"),0.0)</f>
        <v>0</v>
      </c>
      <c r="AO547" s="67" t="str">
        <f>IFERROR(__xludf.DUMMYFUNCTION("IFERROR((GOOGLEFINANCE($A547,""closeyest"")),"""")"),"")</f>
        <v/>
      </c>
      <c r="AP547" s="67" t="str">
        <f>IFERROR(__xludf.DUMMYFUNCTION("IFERROR((GOOGLEFINANCE($A547,""shares"")),"""")"),"")</f>
        <v/>
      </c>
      <c r="AQ547" s="60"/>
    </row>
    <row r="548">
      <c r="A548" s="45" t="str">
        <f>'Dados StatusInvest'!A543:A1162</f>
        <v>SULA4</v>
      </c>
      <c r="B548" s="63" t="str">
        <f>IFERROR(__xludf.DUMMYFUNCTION("IFERROR((GOOGLEFINANCE(A548,""name"")),"""")"),"")</f>
        <v/>
      </c>
      <c r="C548" s="63" t="str">
        <f>IFERROR((VLOOKUP(LEFT($A548,4),Setor!$A:$E,3,0)),"")</f>
        <v>Financeiro</v>
      </c>
      <c r="D548" s="63" t="str">
        <f>IFERROR((VLOOKUP(LEFT($A548,4),Setor!$A:$E,4,0)),"")</f>
        <v>Previdência e Seguros</v>
      </c>
      <c r="E548" s="63" t="str">
        <f>IFERROR((VLOOKUP(LEFT($A548,4),Setor!$A:$E,5,0)),"")</f>
        <v>Seguradoras</v>
      </c>
      <c r="F548" s="64" t="str">
        <f>IFERROR(__xludf.DUMMYFUNCTION("IFERROR((GOOGLEFINANCE(A548)),"""")"),"")</f>
        <v/>
      </c>
      <c r="G548" s="65" t="str">
        <f>IFERROR(__xludf.DUMMYFUNCTION("IFERROR((sparkline(GOOGLEFINANCE($A548,""price"",TODAY()-30,TODAY(),""DAILY""),{""charttype"",""line"";""linewidth"",1;""color"",""#5f88cc""})),"""")"),"")</f>
        <v/>
      </c>
      <c r="H548" s="66" t="str">
        <f>IFERROR(__xludf.DUMMYFUNCTION("IFERROR((((GOOGLEFINANCE(A548))-(INDEX(GoogleFinance(A548,""PRICE"",$AQ$1),2,2)))/(INDEX(GoogleFinance(A548,""PRICE"",$AQ$1),2,2))),"""")"),"")</f>
        <v/>
      </c>
      <c r="I548" s="47" t="str">
        <f>IFERROR(__xludf.DUMMYFUNCTION("IFERROR((GOOGLEFINANCE($A548,""high52"")),"""")"),"")</f>
        <v/>
      </c>
      <c r="J548" s="68" t="str">
        <f>IFERROR(__xludf.DUMMYFUNCTION("IFERROR((sparkline(GOOGLEFINANCE($A548,""price"",TODAY()-365,TODAY(),""DAILY""),{""charttype"",""line"";""linewidth"",1;""color"",""#5f88cc""})),"""")"),"")</f>
        <v/>
      </c>
      <c r="K548" s="66" t="str">
        <f>IFERROR(__xludf.DUMMYFUNCTION("IFERROR((((GOOGLEFINANCE(A548))-(INDEX(GoogleFinance(A548,""PRICE"",$AP$1),2,2)))/(INDEX(GoogleFinance(A548,""PRICE"",$AP$1),2,2))),"""")"),"")</f>
        <v/>
      </c>
      <c r="L548" s="69">
        <f t="shared" si="1"/>
        <v>0</v>
      </c>
      <c r="M548" s="52">
        <f>IFERROR((VLOOKUP($A548,'Dados StatusInvest'!$A:$AZ,COLUMN(M548)-$A$5,0)*VLOOKUP($A548,'Dados StatusInvest'!$A:$AZ,2,0)/$F548/100),0)</f>
        <v>0</v>
      </c>
      <c r="N548" s="53">
        <f>IFERROR((VLOOKUP($A548,'Dados StatusInvest'!$A:$AZ,COLUMN(N548)-$A$5,0)/VLOOKUP($A548,'Dados StatusInvest'!$A:$AZ,2,0)*$F548),"")</f>
        <v>0</v>
      </c>
      <c r="O548" s="53">
        <f>IFERROR((VLOOKUP($A548,'Dados StatusInvest'!$A:$AZ,COLUMN(O548)-$A$5,0)/VLOOKUP($A548,'Dados StatusInvest'!$A:$AZ,2,0)*$F548),0)</f>
        <v>0</v>
      </c>
      <c r="P548" s="54">
        <f>IFERROR((VLOOKUP($A548,'Dados StatusInvest'!$A:$AZ,COLUMN(P548)-$A$5,0)/VLOOKUP($A548,'Dados StatusInvest'!$A:$AZ,2,0)*$F548),0)</f>
        <v>0</v>
      </c>
      <c r="Q548" s="55">
        <f>IFERROR((VLOOKUP($A548,'Dados StatusInvest'!$A:$AZ,COLUMN(Q548)-$A$5,0)/100),0)</f>
        <v>0.1947</v>
      </c>
      <c r="R548" s="56">
        <f>VLOOKUP($A548,'Dados StatusInvest'!$A:$AZ,COLUMN(R548)-$A$5,0)</f>
        <v>-1.71</v>
      </c>
      <c r="S548" s="56">
        <f>IFERROR((VLOOKUP($A548,'Dados StatusInvest'!$A:$AZ,COLUMN(S548)-$A$5,0)),0)</f>
        <v>0.44</v>
      </c>
      <c r="T548" s="53">
        <f>IFERROR((VLOOKUP($A548,'Dados StatusInvest'!$A:$AZ,COLUMN(T548)-$A$5,0)/VLOOKUP($A548,'Dados StatusInvest'!$A:$AZ,2,0)*$F548),0)</f>
        <v>0</v>
      </c>
      <c r="U548" s="53">
        <f>IFERROR((VLOOKUP($A548,'Dados StatusInvest'!$A:$AZ,COLUMN(U548)-$A$5,0)-VLOOKUP($A548,'Dados StatusInvest'!$A:$AZ,COLUMN(U548)-$A$5-1,0)+T548),0)</f>
        <v>-1.81</v>
      </c>
      <c r="V548" s="56">
        <f>IFERROR((VLOOKUP($A548,'Dados StatusInvest'!$A:$AZ,COLUMN(V548)-$A$5,0)),0)</f>
        <v>2.29</v>
      </c>
      <c r="W548" s="56">
        <f>IFERROR((VLOOKUP($A548,'Dados StatusInvest'!$A:$AZ,COLUMN(W548)-$A$5,0)),0)</f>
        <v>2.17</v>
      </c>
      <c r="X548" s="53">
        <f>IFERROR((VLOOKUP($A548,'Dados StatusInvest'!$A:$AZ,COLUMN(X548)-$A$5,0)/VLOOKUP($A548,'Dados StatusInvest'!$A:$AZ,2,0)*$F548),0)</f>
        <v>0</v>
      </c>
      <c r="Y548" s="54">
        <f>IFERROR((VLOOKUP($A548,'Dados StatusInvest'!$A:$AZ,COLUMN(Y548)-$A$5,0)/VLOOKUP($A548,'Dados StatusInvest'!$A:$AZ,2,0)*$F548),0)</f>
        <v>0</v>
      </c>
      <c r="Z548" s="56">
        <f>IFERROR((VLOOKUP($A548,'Dados StatusInvest'!$A:$AZ,COLUMN(Z548)-$A$5,0)),0)</f>
        <v>0.28</v>
      </c>
      <c r="AA548" s="57">
        <f>IFERROR((VLOOKUP($A548,'Dados StatusInvest'!$A:$AZ,COLUMN(AA548)-$A$5,0)),0)</f>
        <v>0.72</v>
      </c>
      <c r="AB548" s="57">
        <f>IFERROR((VLOOKUP($A548,'Dados StatusInvest'!$A:$AZ,COLUMN(AB548)-$A$5,0)),0)</f>
        <v>0.73</v>
      </c>
      <c r="AC548" s="58">
        <f>IFERROR((VLOOKUP($A548,'Dados StatusInvest'!$A:$AZ,COLUMN(AC548)-$A$5,0)),0)</f>
        <v>4.58</v>
      </c>
      <c r="AD548" s="57">
        <f>IFERROR((VLOOKUP($A548,'Dados StatusInvest'!$A:$AZ,COLUMN(AD548)-$A$5,0)),0)</f>
        <v>-23.56</v>
      </c>
      <c r="AE548" s="56">
        <f>IFERROR((VLOOKUP($A548,'Dados StatusInvest'!$A:$AZ,COLUMN(AE548)-$A$5,0)),0)</f>
        <v>0</v>
      </c>
      <c r="AF548" s="56">
        <f>IFERROR((VLOOKUP($A548,'Dados StatusInvest'!$A:$AZ,COLUMN(AF548)-$A$5,0)),0)</f>
        <v>6.55</v>
      </c>
      <c r="AG548" s="56">
        <f>IFERROR((VLOOKUP($A548,'Dados StatusInvest'!$A:$AZ,COLUMN(AG548)-$A$5,0)),0)</f>
        <v>0.14</v>
      </c>
      <c r="AH548" s="56">
        <f>IFERROR((VLOOKUP($A548,'Dados StatusInvest'!$A:$AZ,COLUMN(AH548)-$A$5,0)),0)</f>
        <v>-0.97</v>
      </c>
      <c r="AI548" s="57">
        <f>IFERROR((VLOOKUP($A548,'Dados StatusInvest'!$A:$AZ,COLUMN(AI548)-$A$5,0)),0)</f>
        <v>8840533965</v>
      </c>
      <c r="AJ548" s="59" t="str">
        <f>IFERROR((VLOOKUP($A548,'Dados StatusInvest'!$A:$AZ,COLUMN(AJ548)-$A$5,0)),0)</f>
        <v/>
      </c>
      <c r="AK548" s="67" t="str">
        <f>IFERROR(__xludf.DUMMYFUNCTION("IFERROR(GOOGLEFINANCE($A548,""high""),"""")"),"")</f>
        <v/>
      </c>
      <c r="AL548" s="67" t="str">
        <f>IFERROR(__xludf.DUMMYFUNCTION("IFERROR(GOOGLEFINANCE($A548,""low""),"""")"),"")</f>
        <v/>
      </c>
      <c r="AM548" s="70">
        <f t="shared" si="2"/>
        <v>0</v>
      </c>
      <c r="AN548" s="71">
        <f>IFERROR(__xludf.DUMMYFUNCTION("IFERROR((GOOGLEFINANCE($A548,""volume"")),0)"),0.0)</f>
        <v>0</v>
      </c>
      <c r="AO548" s="67" t="str">
        <f>IFERROR(__xludf.DUMMYFUNCTION("IFERROR((GOOGLEFINANCE($A548,""closeyest"")),"""")"),"")</f>
        <v/>
      </c>
      <c r="AP548" s="67" t="str">
        <f>IFERROR(__xludf.DUMMYFUNCTION("IFERROR((GOOGLEFINANCE($A548,""shares"")),"""")"),"")</f>
        <v/>
      </c>
      <c r="AQ548" s="60"/>
    </row>
    <row r="549">
      <c r="A549" s="45" t="str">
        <f>'Dados StatusInvest'!A544:A1163</f>
        <v>SUZB3</v>
      </c>
      <c r="B549" s="63" t="str">
        <f>IFERROR(__xludf.DUMMYFUNCTION("IFERROR((GOOGLEFINANCE(A549,""name"")),"""")"),"Suzano Cedear")</f>
        <v>Suzano Cedear</v>
      </c>
      <c r="C549" s="63" t="str">
        <f>IFERROR((VLOOKUP(LEFT($A549,4),Setor!$A:$E,3,0)),"")</f>
        <v>Materiais Básicos</v>
      </c>
      <c r="D549" s="63" t="str">
        <f>IFERROR((VLOOKUP(LEFT($A549,4),Setor!$A:$E,4,0)),"")</f>
        <v>Madeira e Papel</v>
      </c>
      <c r="E549" s="63" t="str">
        <f>IFERROR((VLOOKUP(LEFT($A549,4),Setor!$A:$E,5,0)),"")</f>
        <v>Papel e Celulose</v>
      </c>
      <c r="F549" s="64">
        <f>IFERROR(__xludf.DUMMYFUNCTION("IFERROR((GOOGLEFINANCE(A549)),"""")"),15940.0)</f>
        <v>15940</v>
      </c>
      <c r="G549" s="65" t="str">
        <f>IFERROR(__xludf.DUMMYFUNCTION("IFERROR((sparkline(GOOGLEFINANCE($A549,""price"",TODAY()-30,TODAY(),""DAILY""),{""charttype"",""line"";""linewidth"",1;""color"",""#5f88cc""})),"""")"),"")</f>
        <v/>
      </c>
      <c r="H549" s="66">
        <f>IFERROR(__xludf.DUMMYFUNCTION("IFERROR((((GOOGLEFINANCE(A549))-(INDEX(GoogleFinance(A549,""PRICE"",$AQ$1),2,2)))/(INDEX(GoogleFinance(A549,""PRICE"",$AQ$1),2,2))),"""")"),0.08509189925119129)</f>
        <v>0.08509189925</v>
      </c>
      <c r="I549" s="47">
        <f>IFERROR(__xludf.DUMMYFUNCTION("IFERROR((GOOGLEFINANCE($A549,""high52"")),"""")"),16500.0)</f>
        <v>16500</v>
      </c>
      <c r="J549" s="68" t="str">
        <f>IFERROR(__xludf.DUMMYFUNCTION("IFERROR((sparkline(GOOGLEFINANCE($A549,""price"",TODAY()-365,TODAY(),""DAILY""),{""charttype"",""line"";""linewidth"",1;""color"",""#5f88cc""})),"""")"),"")</f>
        <v/>
      </c>
      <c r="K549" s="66">
        <f>IFERROR(__xludf.DUMMYFUNCTION("IFERROR((((GOOGLEFINANCE(A549))-(INDEX(GoogleFinance(A549,""PRICE"",$AP$1),2,2)))/(INDEX(GoogleFinance(A549,""PRICE"",$AP$1),2,2))),"""")"),0.2854838709677419)</f>
        <v>0.285483871</v>
      </c>
      <c r="L549" s="69">
        <f t="shared" si="1"/>
        <v>-0.03393939394</v>
      </c>
      <c r="M549" s="52">
        <f>IFERROR((VLOOKUP($A549,'Dados StatusInvest'!$A:$AZ,COLUMN(M549)-$A$5,0)*VLOOKUP($A549,'Dados StatusInvest'!$A:$AZ,2,0)/$F549/100),0)</f>
        <v>0.0008067730866</v>
      </c>
      <c r="N549" s="53">
        <f>IFERROR((VLOOKUP($A549,'Dados StatusInvest'!$A:$AZ,COLUMN(N549)-$A$5,0)/VLOOKUP($A549,'Dados StatusInvest'!$A:$AZ,2,0)*$F549),"")</f>
        <v>3571.363557</v>
      </c>
      <c r="O549" s="53">
        <f>IFERROR((VLOOKUP($A549,'Dados StatusInvest'!$A:$AZ,COLUMN(O549)-$A$5,0)/VLOOKUP($A549,'Dados StatusInvest'!$A:$AZ,2,0)*$F549),0)</f>
        <v>1749.410117</v>
      </c>
      <c r="P549" s="54">
        <f>IFERROR((VLOOKUP($A549,'Dados StatusInvest'!$A:$AZ,COLUMN(P549)-$A$5,0)/VLOOKUP($A549,'Dados StatusInvest'!$A:$AZ,2,0)*$F549),0)</f>
        <v>3429.06704</v>
      </c>
      <c r="Q549" s="55">
        <f>IFERROR((VLOOKUP($A549,'Dados StatusInvest'!$A:$AZ,COLUMN(Q549)-$A$5,0)/100),0)</f>
        <v>0.0602</v>
      </c>
      <c r="R549" s="56">
        <f>VLOOKUP($A549,'Dados StatusInvest'!$A:$AZ,COLUMN(R549)-$A$5,0)</f>
        <v>1.54</v>
      </c>
      <c r="S549" s="56">
        <f>IFERROR((VLOOKUP($A549,'Dados StatusInvest'!$A:$AZ,COLUMN(S549)-$A$5,0)),0)</f>
        <v>1.41</v>
      </c>
      <c r="T549" s="53">
        <f>IFERROR((VLOOKUP($A549,'Dados StatusInvest'!$A:$AZ,COLUMN(T549)-$A$5,0)/VLOOKUP($A549,'Dados StatusInvest'!$A:$AZ,2,0)*$F549),0)</f>
        <v>689.1615614</v>
      </c>
      <c r="U549" s="53">
        <f>IFERROR((VLOOKUP($A549,'Dados StatusInvest'!$A:$AZ,COLUMN(U549)-$A$5,0)-VLOOKUP($A549,'Dados StatusInvest'!$A:$AZ,COLUMN(U549)-$A$5-1,0)+T549),0)</f>
        <v>686.1015614</v>
      </c>
      <c r="V549" s="56">
        <f>IFERROR((VLOOKUP($A549,'Dados StatusInvest'!$A:$AZ,COLUMN(V549)-$A$5,0)),0)</f>
        <v>3.2</v>
      </c>
      <c r="W549" s="56">
        <f>IFERROR((VLOOKUP($A549,'Dados StatusInvest'!$A:$AZ,COLUMN(W549)-$A$5,0)),0)</f>
        <v>14.52</v>
      </c>
      <c r="X549" s="53">
        <f>IFERROR((VLOOKUP($A549,'Dados StatusInvest'!$A:$AZ,COLUMN(X549)-$A$5,0)/VLOOKUP($A549,'Dados StatusInvest'!$A:$AZ,2,0)*$F549),0)</f>
        <v>1110.470856</v>
      </c>
      <c r="Y549" s="54">
        <f>IFERROR((VLOOKUP($A549,'Dados StatusInvest'!$A:$AZ,COLUMN(Y549)-$A$5,0)/VLOOKUP($A549,'Dados StatusInvest'!$A:$AZ,2,0)*$F549),0)</f>
        <v>465.9513391</v>
      </c>
      <c r="Z549" s="56">
        <f>IFERROR((VLOOKUP($A549,'Dados StatusInvest'!$A:$AZ,COLUMN(Z549)-$A$5,0)),0)</f>
        <v>0.27</v>
      </c>
      <c r="AA549" s="57">
        <f>IFERROR((VLOOKUP($A549,'Dados StatusInvest'!$A:$AZ,COLUMN(AA549)-$A$5,0)),0)</f>
        <v>0.72</v>
      </c>
      <c r="AB549" s="57">
        <f>IFERROR((VLOOKUP($A549,'Dados StatusInvest'!$A:$AZ,COLUMN(AB549)-$A$5,0)),0)</f>
        <v>0.31</v>
      </c>
      <c r="AC549" s="58">
        <f>IFERROR((VLOOKUP($A549,'Dados StatusInvest'!$A:$AZ,COLUMN(AC549)-$A$5,0)),0)</f>
        <v>12.75</v>
      </c>
      <c r="AD549" s="57">
        <f>IFERROR((VLOOKUP($A549,'Dados StatusInvest'!$A:$AZ,COLUMN(AD549)-$A$5,0)),0)</f>
        <v>0</v>
      </c>
      <c r="AE549" s="56">
        <f>IFERROR((VLOOKUP($A549,'Dados StatusInvest'!$A:$AZ,COLUMN(AE549)-$A$5,0)),0)</f>
        <v>432000000</v>
      </c>
      <c r="AF549" s="56">
        <f>IFERROR((VLOOKUP($A549,'Dados StatusInvest'!$A:$AZ,COLUMN(AF549)-$A$5,0)),0)</f>
        <v>35.69</v>
      </c>
      <c r="AG549" s="56">
        <f>IFERROR((VLOOKUP($A549,'Dados StatusInvest'!$A:$AZ,COLUMN(AG549)-$A$5,0)),0)</f>
        <v>5.18</v>
      </c>
      <c r="AH549" s="56">
        <f>IFERROR((VLOOKUP($A549,'Dados StatusInvest'!$A:$AZ,COLUMN(AH549)-$A$5,0)),0)</f>
        <v>0.19</v>
      </c>
      <c r="AI549" s="57">
        <f>IFERROR((VLOOKUP($A549,'Dados StatusInvest'!$A:$AZ,COLUMN(AI549)-$A$5,0)),0)</f>
        <v>72219039345</v>
      </c>
      <c r="AJ549" s="59" t="str">
        <f>IFERROR((VLOOKUP($A549,'Dados StatusInvest'!$A:$AZ,COLUMN(AJ549)-$A$5,0)),0)</f>
        <v/>
      </c>
      <c r="AK549" s="67" t="str">
        <f>IFERROR(__xludf.DUMMYFUNCTION("IFERROR(GOOGLEFINANCE($A549,""high""),"""")"),"")</f>
        <v/>
      </c>
      <c r="AL549" s="67" t="str">
        <f>IFERROR(__xludf.DUMMYFUNCTION("IFERROR(GOOGLEFINANCE($A549,""low""),"""")"),"")</f>
        <v/>
      </c>
      <c r="AM549" s="70">
        <f t="shared" si="2"/>
        <v>0</v>
      </c>
      <c r="AN549" s="71">
        <f>IFERROR(__xludf.DUMMYFUNCTION("IFERROR((GOOGLEFINANCE($A549,""volume"")),0)"),0.0)</f>
        <v>0</v>
      </c>
      <c r="AO549" s="67">
        <f>IFERROR(__xludf.DUMMYFUNCTION("IFERROR((GOOGLEFINANCE($A549,""closeyest"")),"""")"),15940.0)</f>
        <v>15940</v>
      </c>
      <c r="AP549" s="67" t="str">
        <f>IFERROR(__xludf.DUMMYFUNCTION("IFERROR((GOOGLEFINANCE($A549,""shares"")),"""")"),"")</f>
        <v/>
      </c>
      <c r="AQ549" s="60"/>
    </row>
    <row r="550">
      <c r="A550" s="45" t="str">
        <f>'Dados StatusInvest'!A545:A1164</f>
        <v>SYNE3</v>
      </c>
      <c r="B550" s="63" t="str">
        <f>IFERROR(__xludf.DUMMYFUNCTION("IFERROR((GOOGLEFINANCE(A550,""name"")),"""")"),"SYN prop e tech SA")</f>
        <v>SYN prop e tech SA</v>
      </c>
      <c r="C550" s="63" t="str">
        <f>IFERROR((VLOOKUP(LEFT($A550,4),Setor!$A:$E,3,0)),"")</f>
        <v/>
      </c>
      <c r="D550" s="63" t="str">
        <f>IFERROR((VLOOKUP(LEFT($A550,4),Setor!$A:$E,4,0)),"")</f>
        <v/>
      </c>
      <c r="E550" s="63" t="str">
        <f>IFERROR((VLOOKUP(LEFT($A550,4),Setor!$A:$E,5,0)),"")</f>
        <v/>
      </c>
      <c r="F550" s="64">
        <f>IFERROR(__xludf.DUMMYFUNCTION("IFERROR((GOOGLEFINANCE(A550)),"""")"),4.77)</f>
        <v>4.77</v>
      </c>
      <c r="G550" s="65" t="str">
        <f>IFERROR(__xludf.DUMMYFUNCTION("IFERROR((sparkline(GOOGLEFINANCE($A550,""price"",TODAY()-30,TODAY(),""DAILY""),{""charttype"",""line"";""linewidth"",1;""color"",""#5f88cc""})),"""")"),"")</f>
        <v/>
      </c>
      <c r="H550" s="66">
        <f>IFERROR(__xludf.DUMMYFUNCTION("IFERROR((((GOOGLEFINANCE(A550))-(INDEX(GoogleFinance(A550,""PRICE"",$AQ$1),2,2)))/(INDEX(GoogleFinance(A550,""PRICE"",$AQ$1),2,2))),"""")"),-0.026530612244898118)</f>
        <v>-0.02653061224</v>
      </c>
      <c r="I550" s="47">
        <f>IFERROR(__xludf.DUMMYFUNCTION("IFERROR((GOOGLEFINANCE($A550,""high52"")),"""")"),5.21)</f>
        <v>5.21</v>
      </c>
      <c r="J550" s="68" t="str">
        <f>IFERROR(__xludf.DUMMYFUNCTION("IFERROR((sparkline(GOOGLEFINANCE($A550,""price"",TODAY()-365,TODAY(),""DAILY""),{""charttype"",""line"";""linewidth"",1;""color"",""#5f88cc""})),"""")"),"")</f>
        <v/>
      </c>
      <c r="K550" s="66">
        <f>IFERROR(__xludf.DUMMYFUNCTION("IFERROR((((GOOGLEFINANCE(A550))-(INDEX(GoogleFinance(A550,""PRICE"",$AP$1),2,2)))/(INDEX(GoogleFinance(A550,""PRICE"",$AP$1),2,2))),"""")"),0.014893617021276466)</f>
        <v>0.01489361702</v>
      </c>
      <c r="L550" s="69">
        <f t="shared" si="1"/>
        <v>-0.08445297505</v>
      </c>
      <c r="M550" s="52">
        <f>IFERROR((VLOOKUP($A550,'Dados StatusInvest'!$A:$AZ,COLUMN(M550)-$A$5,0)*VLOOKUP($A550,'Dados StatusInvest'!$A:$AZ,2,0)/$F550/100),0)</f>
        <v>0.5454</v>
      </c>
      <c r="N550" s="53">
        <f>IFERROR((VLOOKUP($A550,'Dados StatusInvest'!$A:$AZ,COLUMN(N550)-$A$5,0)/VLOOKUP($A550,'Dados StatusInvest'!$A:$AZ,2,0)*$F550),"")</f>
        <v>36.6</v>
      </c>
      <c r="O550" s="53">
        <f>IFERROR((VLOOKUP($A550,'Dados StatusInvest'!$A:$AZ,COLUMN(O550)-$A$5,0)/VLOOKUP($A550,'Dados StatusInvest'!$A:$AZ,2,0)*$F550),0)</f>
        <v>4.13</v>
      </c>
      <c r="P550" s="54">
        <f>IFERROR((VLOOKUP($A550,'Dados StatusInvest'!$A:$AZ,COLUMN(P550)-$A$5,0)/VLOOKUP($A550,'Dados StatusInvest'!$A:$AZ,2,0)*$F550),0)</f>
        <v>5.02</v>
      </c>
      <c r="Q550" s="55">
        <f>IFERROR((VLOOKUP($A550,'Dados StatusInvest'!$A:$AZ,COLUMN(Q550)-$A$5,0)/100),0)</f>
        <v>0.0089</v>
      </c>
      <c r="R550" s="56">
        <f>VLOOKUP($A550,'Dados StatusInvest'!$A:$AZ,COLUMN(R550)-$A$5,0)</f>
        <v>0.21</v>
      </c>
      <c r="S550" s="56">
        <f>IFERROR((VLOOKUP($A550,'Dados StatusInvest'!$A:$AZ,COLUMN(S550)-$A$5,0)),0)</f>
        <v>2.25</v>
      </c>
      <c r="T550" s="53">
        <f>IFERROR((VLOOKUP($A550,'Dados StatusInvest'!$A:$AZ,COLUMN(T550)-$A$5,0)/VLOOKUP($A550,'Dados StatusInvest'!$A:$AZ,2,0)*$F550),0)</f>
        <v>5.99</v>
      </c>
      <c r="U550" s="53">
        <f>IFERROR((VLOOKUP($A550,'Dados StatusInvest'!$A:$AZ,COLUMN(U550)-$A$5,0)-VLOOKUP($A550,'Dados StatusInvest'!$A:$AZ,COLUMN(U550)-$A$5-1,0)+T550),0)</f>
        <v>-0.36</v>
      </c>
      <c r="V550" s="56">
        <f>IFERROR((VLOOKUP($A550,'Dados StatusInvest'!$A:$AZ,COLUMN(V550)-$A$5,0)),0)</f>
        <v>1.51</v>
      </c>
      <c r="W550" s="56">
        <f>IFERROR((VLOOKUP($A550,'Dados StatusInvest'!$A:$AZ,COLUMN(W550)-$A$5,0)),0)</f>
        <v>16.18</v>
      </c>
      <c r="X550" s="53">
        <f>IFERROR((VLOOKUP($A550,'Dados StatusInvest'!$A:$AZ,COLUMN(X550)-$A$5,0)/VLOOKUP($A550,'Dados StatusInvest'!$A:$AZ,2,0)*$F550),0)</f>
        <v>5.01</v>
      </c>
      <c r="Y550" s="54">
        <f>IFERROR((VLOOKUP($A550,'Dados StatusInvest'!$A:$AZ,COLUMN(Y550)-$A$5,0)/VLOOKUP($A550,'Dados StatusInvest'!$A:$AZ,2,0)*$F550),0)</f>
        <v>6.52</v>
      </c>
      <c r="Z550" s="56">
        <f>IFERROR((VLOOKUP($A550,'Dados StatusInvest'!$A:$AZ,COLUMN(Z550)-$A$5,0)),0)</f>
        <v>0.31</v>
      </c>
      <c r="AA550" s="57">
        <f>IFERROR((VLOOKUP($A550,'Dados StatusInvest'!$A:$AZ,COLUMN(AA550)-$A$5,0)),0)</f>
        <v>0.4</v>
      </c>
      <c r="AB550" s="57">
        <f>IFERROR((VLOOKUP($A550,'Dados StatusInvest'!$A:$AZ,COLUMN(AB550)-$A$5,0)),0)</f>
        <v>0.14</v>
      </c>
      <c r="AC550" s="58">
        <f>IFERROR((VLOOKUP($A550,'Dados StatusInvest'!$A:$AZ,COLUMN(AC550)-$A$5,0)),0)</f>
        <v>23.59</v>
      </c>
      <c r="AD550" s="57">
        <f>IFERROR((VLOOKUP($A550,'Dados StatusInvest'!$A:$AZ,COLUMN(AD550)-$A$5,0)),0)</f>
        <v>29.23</v>
      </c>
      <c r="AE550" s="56">
        <f>IFERROR((VLOOKUP($A550,'Dados StatusInvest'!$A:$AZ,COLUMN(AE550)-$A$5,0)),0)</f>
        <v>2428992</v>
      </c>
      <c r="AF550" s="56">
        <f>IFERROR((VLOOKUP($A550,'Dados StatusInvest'!$A:$AZ,COLUMN(AF550)-$A$5,0)),0)</f>
        <v>4.79</v>
      </c>
      <c r="AG550" s="56">
        <f>IFERROR((VLOOKUP($A550,'Dados StatusInvest'!$A:$AZ,COLUMN(AG550)-$A$5,0)),0)</f>
        <v>0.77</v>
      </c>
      <c r="AH550" s="56">
        <f>IFERROR((VLOOKUP($A550,'Dados StatusInvest'!$A:$AZ,COLUMN(AH550)-$A$5,0)),0)</f>
        <v>-0.08</v>
      </c>
      <c r="AI550" s="57">
        <f>IFERROR((VLOOKUP($A550,'Dados StatusInvest'!$A:$AZ,COLUMN(AI550)-$A$5,0)),0)</f>
        <v>728114002.7</v>
      </c>
      <c r="AJ550" s="59" t="str">
        <f>IFERROR((VLOOKUP($A550,'Dados StatusInvest'!$A:$AZ,COLUMN(AJ550)-$A$5,0)),0)</f>
        <v/>
      </c>
      <c r="AK550" s="67">
        <f>IFERROR(__xludf.DUMMYFUNCTION("IFERROR(GOOGLEFINANCE($A550,""high""),"""")"),4.78)</f>
        <v>4.78</v>
      </c>
      <c r="AL550" s="67">
        <f>IFERROR(__xludf.DUMMYFUNCTION("IFERROR(GOOGLEFINANCE($A550,""low""),"""")"),4.73)</f>
        <v>4.73</v>
      </c>
      <c r="AM550" s="70">
        <f t="shared" si="2"/>
        <v>0.01057082452</v>
      </c>
      <c r="AN550" s="71">
        <f>IFERROR(__xludf.DUMMYFUNCTION("IFERROR((GOOGLEFINANCE($A550,""volume"")),0)"),11800.0)</f>
        <v>11800</v>
      </c>
      <c r="AO550" s="67">
        <f>IFERROR(__xludf.DUMMYFUNCTION("IFERROR((GOOGLEFINANCE($A550,""closeyest"")),"""")"),4.77)</f>
        <v>4.77</v>
      </c>
      <c r="AP550" s="67">
        <f>IFERROR(__xludf.DUMMYFUNCTION("IFERROR((GOOGLEFINANCE($A550,""shares"")),"""")"),1.52644445E8)</f>
        <v>152644445</v>
      </c>
      <c r="AQ550" s="60"/>
    </row>
    <row r="551">
      <c r="A551" s="45" t="str">
        <f>'Dados StatusInvest'!A546:A1165</f>
        <v>TAEE11</v>
      </c>
      <c r="B551" s="63" t="str">
        <f>IFERROR(__xludf.DUMMYFUNCTION("IFERROR((GOOGLEFINANCE(A551,""name"")),"""")"),"Transmissora Alianca de Enrga Eltrca S/A Unit")</f>
        <v>Transmissora Alianca de Enrga Eltrca S/A Unit</v>
      </c>
      <c r="C551" s="63" t="str">
        <f>IFERROR((VLOOKUP(LEFT($A551,4),Setor!$A:$E,3,0)),"")</f>
        <v>Utilidade Pública</v>
      </c>
      <c r="D551" s="63" t="str">
        <f>IFERROR((VLOOKUP(LEFT($A551,4),Setor!$A:$E,4,0)),"")</f>
        <v>Energia Elétrica</v>
      </c>
      <c r="E551" s="63" t="str">
        <f>IFERROR((VLOOKUP(LEFT($A551,4),Setor!$A:$E,5,0)),"")</f>
        <v>Energia Elétrica</v>
      </c>
      <c r="F551" s="64">
        <f>IFERROR(__xludf.DUMMYFUNCTION("IFERROR((GOOGLEFINANCE(A551)),"""")"),44.33)</f>
        <v>44.33</v>
      </c>
      <c r="G551" s="65" t="str">
        <f>IFERROR(__xludf.DUMMYFUNCTION("IFERROR((sparkline(GOOGLEFINANCE($A551,""price"",TODAY()-30,TODAY(),""DAILY""),{""charttype"",""line"";""linewidth"",1;""color"",""#5f88cc""})),"""")"),"")</f>
        <v/>
      </c>
      <c r="H551" s="66">
        <f>IFERROR(__xludf.DUMMYFUNCTION("IFERROR((((GOOGLEFINANCE(A551))-(INDEX(GoogleFinance(A551,""PRICE"",$AQ$1),2,2)))/(INDEX(GoogleFinance(A551,""PRICE"",$AQ$1),2,2))),"""")"),0.08892164087447794)</f>
        <v>0.08892164087</v>
      </c>
      <c r="I551" s="47">
        <f>IFERROR(__xludf.DUMMYFUNCTION("IFERROR((GOOGLEFINANCE($A551,""high52"")),"""")"),45.45)</f>
        <v>45.45</v>
      </c>
      <c r="J551" s="68" t="str">
        <f>IFERROR(__xludf.DUMMYFUNCTION("IFERROR((sparkline(GOOGLEFINANCE($A551,""price"",TODAY()-365,TODAY(),""DAILY""),{""charttype"",""line"";""linewidth"",1;""color"",""#5f88cc""})),"""")"),"")</f>
        <v/>
      </c>
      <c r="K551" s="66">
        <f>IFERROR(__xludf.DUMMYFUNCTION("IFERROR((((GOOGLEFINANCE(A551))-(INDEX(GoogleFinance(A551,""PRICE"",$AP$1),2,2)))/(INDEX(GoogleFinance(A551,""PRICE"",$AP$1),2,2))),"""")"),0.3573178199632579)</f>
        <v>0.35731782</v>
      </c>
      <c r="L551" s="69">
        <f t="shared" si="1"/>
        <v>-0.02464246425</v>
      </c>
      <c r="M551" s="52">
        <f>IFERROR((VLOOKUP($A551,'Dados StatusInvest'!$A:$AZ,COLUMN(M551)-$A$5,0)*VLOOKUP($A551,'Dados StatusInvest'!$A:$AZ,2,0)/$F551/100),0)</f>
        <v>0.6501558313</v>
      </c>
      <c r="N551" s="53">
        <f>IFERROR((VLOOKUP($A551,'Dados StatusInvest'!$A:$AZ,COLUMN(N551)-$A$5,0)/VLOOKUP($A551,'Dados StatusInvest'!$A:$AZ,2,0)*$F551),"")</f>
        <v>38.01277603</v>
      </c>
      <c r="O551" s="53">
        <f>IFERROR((VLOOKUP($A551,'Dados StatusInvest'!$A:$AZ,COLUMN(O551)-$A$5,0)/VLOOKUP($A551,'Dados StatusInvest'!$A:$AZ,2,0)*$F551),0)</f>
        <v>5.23285009</v>
      </c>
      <c r="P551" s="54">
        <f>IFERROR((VLOOKUP($A551,'Dados StatusInvest'!$A:$AZ,COLUMN(P551)-$A$5,0)/VLOOKUP($A551,'Dados StatusInvest'!$A:$AZ,2,0)*$F551),0)</f>
        <v>8.396436266</v>
      </c>
      <c r="Q551" s="55">
        <f>IFERROR((VLOOKUP($A551,'Dados StatusInvest'!$A:$AZ,COLUMN(Q551)-$A$5,0)/100),0)</f>
        <v>0.0317</v>
      </c>
      <c r="R551" s="56">
        <f>VLOOKUP($A551,'Dados StatusInvest'!$A:$AZ,COLUMN(R551)-$A$5,0)</f>
        <v>1.21</v>
      </c>
      <c r="S551" s="56">
        <f>IFERROR((VLOOKUP($A551,'Dados StatusInvest'!$A:$AZ,COLUMN(S551)-$A$5,0)),0)</f>
        <v>3.4</v>
      </c>
      <c r="T551" s="53">
        <f>IFERROR((VLOOKUP($A551,'Dados StatusInvest'!$A:$AZ,COLUMN(T551)-$A$5,0)/VLOOKUP($A551,'Dados StatusInvest'!$A:$AZ,2,0)*$F551),0)</f>
        <v>11.25162253</v>
      </c>
      <c r="U551" s="53">
        <f>IFERROR((VLOOKUP($A551,'Dados StatusInvest'!$A:$AZ,COLUMN(U551)-$A$5,0)-VLOOKUP($A551,'Dados StatusInvest'!$A:$AZ,COLUMN(U551)-$A$5-1,0)+T551),0)</f>
        <v>-0.8883774686</v>
      </c>
      <c r="V551" s="56">
        <f>IFERROR((VLOOKUP($A551,'Dados StatusInvest'!$A:$AZ,COLUMN(V551)-$A$5,0)),0)</f>
        <v>1.67</v>
      </c>
      <c r="W551" s="56">
        <f>IFERROR((VLOOKUP($A551,'Dados StatusInvest'!$A:$AZ,COLUMN(W551)-$A$5,0)),0)</f>
        <v>22.54</v>
      </c>
      <c r="X551" s="53">
        <f>IFERROR((VLOOKUP($A551,'Dados StatusInvest'!$A:$AZ,COLUMN(X551)-$A$5,0)/VLOOKUP($A551,'Dados StatusInvest'!$A:$AZ,2,0)*$F551),0)</f>
        <v>7.859223519</v>
      </c>
      <c r="Y551" s="54">
        <f>IFERROR((VLOOKUP($A551,'Dados StatusInvest'!$A:$AZ,COLUMN(Y551)-$A$5,0)/VLOOKUP($A551,'Dados StatusInvest'!$A:$AZ,2,0)*$F551),0)</f>
        <v>15.66870512</v>
      </c>
      <c r="Z551" s="56">
        <f>IFERROR((VLOOKUP($A551,'Dados StatusInvest'!$A:$AZ,COLUMN(Z551)-$A$5,0)),0)</f>
        <v>0.35</v>
      </c>
      <c r="AA551" s="57">
        <f>IFERROR((VLOOKUP($A551,'Dados StatusInvest'!$A:$AZ,COLUMN(AA551)-$A$5,0)),0)</f>
        <v>0.65</v>
      </c>
      <c r="AB551" s="57">
        <f>IFERROR((VLOOKUP($A551,'Dados StatusInvest'!$A:$AZ,COLUMN(AB551)-$A$5,0)),0)</f>
        <v>0.21</v>
      </c>
      <c r="AC551" s="58">
        <f>IFERROR((VLOOKUP($A551,'Dados StatusInvest'!$A:$AZ,COLUMN(AC551)-$A$5,0)),0)</f>
        <v>15.68</v>
      </c>
      <c r="AD551" s="57">
        <f>IFERROR((VLOOKUP($A551,'Dados StatusInvest'!$A:$AZ,COLUMN(AD551)-$A$5,0)),0)</f>
        <v>11.46</v>
      </c>
      <c r="AE551" s="56">
        <f>IFERROR((VLOOKUP($A551,'Dados StatusInvest'!$A:$AZ,COLUMN(AE551)-$A$5,0)),0)</f>
        <v>81249691</v>
      </c>
      <c r="AF551" s="56">
        <f>IFERROR((VLOOKUP($A551,'Dados StatusInvest'!$A:$AZ,COLUMN(AF551)-$A$5,0)),0)</f>
        <v>22.19</v>
      </c>
      <c r="AG551" s="56">
        <f>IFERROR((VLOOKUP($A551,'Dados StatusInvest'!$A:$AZ,COLUMN(AG551)-$A$5,0)),0)</f>
        <v>5</v>
      </c>
      <c r="AH551" s="56">
        <f>IFERROR((VLOOKUP($A551,'Dados StatusInvest'!$A:$AZ,COLUMN(AH551)-$A$5,0)),0)</f>
        <v>4.05</v>
      </c>
      <c r="AI551" s="57">
        <f>IFERROR((VLOOKUP($A551,'Dados StatusInvest'!$A:$AZ,COLUMN(AI551)-$A$5,0)),0)</f>
        <v>15350871296</v>
      </c>
      <c r="AJ551" s="59" t="str">
        <f>IFERROR((VLOOKUP($A551,'Dados StatusInvest'!$A:$AZ,COLUMN(AJ551)-$A$5,0)),0)</f>
        <v/>
      </c>
      <c r="AK551" s="67">
        <f>IFERROR(__xludf.DUMMYFUNCTION("IFERROR(GOOGLEFINANCE($A551,""high""),"""")"),44.56)</f>
        <v>44.56</v>
      </c>
      <c r="AL551" s="67">
        <f>IFERROR(__xludf.DUMMYFUNCTION("IFERROR(GOOGLEFINANCE($A551,""low""),"""")"),44.04)</f>
        <v>44.04</v>
      </c>
      <c r="AM551" s="70">
        <f t="shared" si="2"/>
        <v>0.01180744777</v>
      </c>
      <c r="AN551" s="71">
        <f>IFERROR(__xludf.DUMMYFUNCTION("IFERROR((GOOGLEFINANCE($A551,""volume"")),0)"),85400.0)</f>
        <v>85400</v>
      </c>
      <c r="AO551" s="67">
        <f>IFERROR(__xludf.DUMMYFUNCTION("IFERROR((GOOGLEFINANCE($A551,""closeyest"")),"""")"),44.56)</f>
        <v>44.56</v>
      </c>
      <c r="AP551" s="67">
        <f>IFERROR(__xludf.DUMMYFUNCTION("IFERROR((GOOGLEFINANCE($A551,""shares"")),"""")"),0.0)</f>
        <v>0</v>
      </c>
      <c r="AQ551" s="60"/>
    </row>
    <row r="552">
      <c r="A552" s="45" t="str">
        <f>'Dados StatusInvest'!A547:A1166</f>
        <v>TAEE3</v>
      </c>
      <c r="B552" s="63" t="str">
        <f>IFERROR(__xludf.DUMMYFUNCTION("IFERROR((GOOGLEFINANCE(A552,""name"")),"""")"),"Transmissora Alianca de Enrga Eltrca S/A")</f>
        <v>Transmissora Alianca de Enrga Eltrca S/A</v>
      </c>
      <c r="C552" s="63" t="str">
        <f>IFERROR((VLOOKUP(LEFT($A552,4),Setor!$A:$E,3,0)),"")</f>
        <v>Utilidade Pública</v>
      </c>
      <c r="D552" s="63" t="str">
        <f>IFERROR((VLOOKUP(LEFT($A552,4),Setor!$A:$E,4,0)),"")</f>
        <v>Energia Elétrica</v>
      </c>
      <c r="E552" s="63" t="str">
        <f>IFERROR((VLOOKUP(LEFT($A552,4),Setor!$A:$E,5,0)),"")</f>
        <v>Energia Elétrica</v>
      </c>
      <c r="F552" s="64">
        <f>IFERROR(__xludf.DUMMYFUNCTION("IFERROR((GOOGLEFINANCE(A552)),"""")"),14.58)</f>
        <v>14.58</v>
      </c>
      <c r="G552" s="65" t="str">
        <f>IFERROR(__xludf.DUMMYFUNCTION("IFERROR((sparkline(GOOGLEFINANCE($A552,""price"",TODAY()-30,TODAY(),""DAILY""),{""charttype"",""line"";""linewidth"",1;""color"",""#5f88cc""})),"""")"),"")</f>
        <v/>
      </c>
      <c r="H552" s="66">
        <f>IFERROR(__xludf.DUMMYFUNCTION("IFERROR((((GOOGLEFINANCE(A552))-(INDEX(GoogleFinance(A552,""PRICE"",$AQ$1),2,2)))/(INDEX(GoogleFinance(A552,""PRICE"",$AQ$1),2,2))),"""")"),0.08080059303187545)</f>
        <v>0.08080059303</v>
      </c>
      <c r="I552" s="47">
        <f>IFERROR(__xludf.DUMMYFUNCTION("IFERROR((GOOGLEFINANCE($A552,""high52"")),"""")"),15.03)</f>
        <v>15.03</v>
      </c>
      <c r="J552" s="68" t="str">
        <f>IFERROR(__xludf.DUMMYFUNCTION("IFERROR((sparkline(GOOGLEFINANCE($A552,""price"",TODAY()-365,TODAY(),""DAILY""),{""charttype"",""line"";""linewidth"",1;""color"",""#5f88cc""})),"""")"),"")</f>
        <v/>
      </c>
      <c r="K552" s="66">
        <f>IFERROR(__xludf.DUMMYFUNCTION("IFERROR((((GOOGLEFINANCE(A552))-(INDEX(GoogleFinance(A552,""PRICE"",$AP$1),2,2)))/(INDEX(GoogleFinance(A552,""PRICE"",$AP$1),2,2))),"""")"),0.34254143646408847)</f>
        <v>0.3425414365</v>
      </c>
      <c r="L552" s="69">
        <f t="shared" si="1"/>
        <v>-0.02994011976</v>
      </c>
      <c r="M552" s="52">
        <f>IFERROR((VLOOKUP($A552,'Dados StatusInvest'!$A:$AZ,COLUMN(M552)-$A$5,0)*VLOOKUP($A552,'Dados StatusInvest'!$A:$AZ,2,0)/$F552/100),0)</f>
        <v>0.651236214</v>
      </c>
      <c r="N552" s="53">
        <f>IFERROR((VLOOKUP($A552,'Dados StatusInvest'!$A:$AZ,COLUMN(N552)-$A$5,0)/VLOOKUP($A552,'Dados StatusInvest'!$A:$AZ,2,0)*$F552),"")</f>
        <v>37.9497139</v>
      </c>
      <c r="O552" s="53">
        <f>IFERROR((VLOOKUP($A552,'Dados StatusInvest'!$A:$AZ,COLUMN(O552)-$A$5,0)/VLOOKUP($A552,'Dados StatusInvest'!$A:$AZ,2,0)*$F552),0)</f>
        <v>5.164577657</v>
      </c>
      <c r="P552" s="54">
        <f>IFERROR((VLOOKUP($A552,'Dados StatusInvest'!$A:$AZ,COLUMN(P552)-$A$5,0)/VLOOKUP($A552,'Dados StatusInvest'!$A:$AZ,2,0)*$F552),0)</f>
        <v>8.382506812</v>
      </c>
      <c r="Q552" s="55">
        <f>IFERROR((VLOOKUP($A552,'Dados StatusInvest'!$A:$AZ,COLUMN(Q552)-$A$5,0)/100),0)</f>
        <v>0.0317</v>
      </c>
      <c r="R552" s="56">
        <f>VLOOKUP($A552,'Dados StatusInvest'!$A:$AZ,COLUMN(R552)-$A$5,0)</f>
        <v>1.21</v>
      </c>
      <c r="S552" s="56">
        <f>IFERROR((VLOOKUP($A552,'Dados StatusInvest'!$A:$AZ,COLUMN(S552)-$A$5,0)),0)</f>
        <v>3.36</v>
      </c>
      <c r="T552" s="53">
        <f>IFERROR((VLOOKUP($A552,'Dados StatusInvest'!$A:$AZ,COLUMN(T552)-$A$5,0)/VLOOKUP($A552,'Dados StatusInvest'!$A:$AZ,2,0)*$F552),0)</f>
        <v>11.10384196</v>
      </c>
      <c r="U552" s="53">
        <f>IFERROR((VLOOKUP($A552,'Dados StatusInvest'!$A:$AZ,COLUMN(U552)-$A$5,0)-VLOOKUP($A552,'Dados StatusInvest'!$A:$AZ,COLUMN(U552)-$A$5-1,0)+T552),0)</f>
        <v>-0.8961580381</v>
      </c>
      <c r="V552" s="56">
        <f>IFERROR((VLOOKUP($A552,'Dados StatusInvest'!$A:$AZ,COLUMN(V552)-$A$5,0)),0)</f>
        <v>1.67</v>
      </c>
      <c r="W552" s="56">
        <f>IFERROR((VLOOKUP($A552,'Dados StatusInvest'!$A:$AZ,COLUMN(W552)-$A$5,0)),0)</f>
        <v>22.54</v>
      </c>
      <c r="X552" s="53">
        <f>IFERROR((VLOOKUP($A552,'Dados StatusInvest'!$A:$AZ,COLUMN(X552)-$A$5,0)/VLOOKUP($A552,'Dados StatusInvest'!$A:$AZ,2,0)*$F552),0)</f>
        <v>7.846185286</v>
      </c>
      <c r="Y552" s="54">
        <f>IFERROR((VLOOKUP($A552,'Dados StatusInvest'!$A:$AZ,COLUMN(Y552)-$A$5,0)/VLOOKUP($A552,'Dados StatusInvest'!$A:$AZ,2,0)*$F552),0)</f>
        <v>15.64271117</v>
      </c>
      <c r="Z552" s="56">
        <f>IFERROR((VLOOKUP($A552,'Dados StatusInvest'!$A:$AZ,COLUMN(Z552)-$A$5,0)),0)</f>
        <v>0.35</v>
      </c>
      <c r="AA552" s="57">
        <f>IFERROR((VLOOKUP($A552,'Dados StatusInvest'!$A:$AZ,COLUMN(AA552)-$A$5,0)),0)</f>
        <v>0.65</v>
      </c>
      <c r="AB552" s="57">
        <f>IFERROR((VLOOKUP($A552,'Dados StatusInvest'!$A:$AZ,COLUMN(AB552)-$A$5,0)),0)</f>
        <v>0.21</v>
      </c>
      <c r="AC552" s="58">
        <f>IFERROR((VLOOKUP($A552,'Dados StatusInvest'!$A:$AZ,COLUMN(AC552)-$A$5,0)),0)</f>
        <v>15.68</v>
      </c>
      <c r="AD552" s="57">
        <f>IFERROR((VLOOKUP($A552,'Dados StatusInvest'!$A:$AZ,COLUMN(AD552)-$A$5,0)),0)</f>
        <v>11.46</v>
      </c>
      <c r="AE552" s="56">
        <f>IFERROR((VLOOKUP($A552,'Dados StatusInvest'!$A:$AZ,COLUMN(AE552)-$A$5,0)),0)</f>
        <v>996539.2</v>
      </c>
      <c r="AF552" s="56">
        <f>IFERROR((VLOOKUP($A552,'Dados StatusInvest'!$A:$AZ,COLUMN(AF552)-$A$5,0)),0)</f>
        <v>7.4</v>
      </c>
      <c r="AG552" s="56">
        <f>IFERROR((VLOOKUP($A552,'Dados StatusInvest'!$A:$AZ,COLUMN(AG552)-$A$5,0)),0)</f>
        <v>1.67</v>
      </c>
      <c r="AH552" s="56">
        <f>IFERROR((VLOOKUP($A552,'Dados StatusInvest'!$A:$AZ,COLUMN(AH552)-$A$5,0)),0)</f>
        <v>4</v>
      </c>
      <c r="AI552" s="57">
        <f>IFERROR((VLOOKUP($A552,'Dados StatusInvest'!$A:$AZ,COLUMN(AI552)-$A$5,0)),0)</f>
        <v>15350871296</v>
      </c>
      <c r="AJ552" s="59" t="str">
        <f>IFERROR((VLOOKUP($A552,'Dados StatusInvest'!$A:$AZ,COLUMN(AJ552)-$A$5,0)),0)</f>
        <v/>
      </c>
      <c r="AK552" s="67">
        <f>IFERROR(__xludf.DUMMYFUNCTION("IFERROR(GOOGLEFINANCE($A552,""high""),"""")"),14.63)</f>
        <v>14.63</v>
      </c>
      <c r="AL552" s="67">
        <f>IFERROR(__xludf.DUMMYFUNCTION("IFERROR(GOOGLEFINANCE($A552,""low""),"""")"),14.51)</f>
        <v>14.51</v>
      </c>
      <c r="AM552" s="70">
        <f t="shared" si="2"/>
        <v>0.008270158511</v>
      </c>
      <c r="AN552" s="71">
        <f>IFERROR(__xludf.DUMMYFUNCTION("IFERROR((GOOGLEFINANCE($A552,""volume"")),0)"),4800.0)</f>
        <v>4800</v>
      </c>
      <c r="AO552" s="67">
        <f>IFERROR(__xludf.DUMMYFUNCTION("IFERROR((GOOGLEFINANCE($A552,""closeyest"")),"""")"),14.68)</f>
        <v>14.68</v>
      </c>
      <c r="AP552" s="67">
        <f>IFERROR(__xludf.DUMMYFUNCTION("IFERROR((GOOGLEFINANCE($A552,""shares"")),"""")"),5.90714069E8)</f>
        <v>590714069</v>
      </c>
      <c r="AQ552" s="60"/>
    </row>
    <row r="553">
      <c r="A553" s="45" t="str">
        <f>'Dados StatusInvest'!A548:A1167</f>
        <v>TAEE4</v>
      </c>
      <c r="B553" s="63" t="str">
        <f>IFERROR(__xludf.DUMMYFUNCTION("IFERROR((GOOGLEFINANCE(A553,""name"")),"""")"),"Transmissora Alianca de Enrga Eltrca S/A Preference Shares")</f>
        <v>Transmissora Alianca de Enrga Eltrca S/A Preference Shares</v>
      </c>
      <c r="C553" s="63" t="str">
        <f>IFERROR((VLOOKUP(LEFT($A553,4),Setor!$A:$E,3,0)),"")</f>
        <v>Utilidade Pública</v>
      </c>
      <c r="D553" s="63" t="str">
        <f>IFERROR((VLOOKUP(LEFT($A553,4),Setor!$A:$E,4,0)),"")</f>
        <v>Energia Elétrica</v>
      </c>
      <c r="E553" s="63" t="str">
        <f>IFERROR((VLOOKUP(LEFT($A553,4),Setor!$A:$E,5,0)),"")</f>
        <v>Energia Elétrica</v>
      </c>
      <c r="F553" s="64">
        <f>IFERROR(__xludf.DUMMYFUNCTION("IFERROR((GOOGLEFINANCE(A553)),"""")"),14.88)</f>
        <v>14.88</v>
      </c>
      <c r="G553" s="65" t="str">
        <f>IFERROR(__xludf.DUMMYFUNCTION("IFERROR((sparkline(GOOGLEFINANCE($A553,""price"",TODAY()-30,TODAY(),""DAILY""),{""charttype"",""line"";""linewidth"",1;""color"",""#5f88cc""})),"""")"),"")</f>
        <v/>
      </c>
      <c r="H553" s="66">
        <f>IFERROR(__xludf.DUMMYFUNCTION("IFERROR((((GOOGLEFINANCE(A553))-(INDEX(GoogleFinance(A553,""PRICE"",$AQ$1),2,2)))/(INDEX(GoogleFinance(A553,""PRICE"",$AQ$1),2,2))),"""")"),0.09090909090909093)</f>
        <v>0.09090909091</v>
      </c>
      <c r="I553" s="47">
        <f>IFERROR(__xludf.DUMMYFUNCTION("IFERROR((GOOGLEFINANCE($A553,""high52"")),"""")"),15.15)</f>
        <v>15.15</v>
      </c>
      <c r="J553" s="68" t="str">
        <f>IFERROR(__xludf.DUMMYFUNCTION("IFERROR((sparkline(GOOGLEFINANCE($A553,""price"",TODAY()-365,TODAY(),""DAILY""),{""charttype"",""line"";""linewidth"",1;""color"",""#5f88cc""})),"""")"),"")</f>
        <v/>
      </c>
      <c r="K553" s="66">
        <f>IFERROR(__xludf.DUMMYFUNCTION("IFERROR((((GOOGLEFINANCE(A553))-(INDEX(GoogleFinance(A553,""PRICE"",$AP$1),2,2)))/(INDEX(GoogleFinance(A553,""PRICE"",$AP$1),2,2))),"""")"),0.3601462522851921)</f>
        <v>0.3601462523</v>
      </c>
      <c r="L553" s="69">
        <f t="shared" si="1"/>
        <v>-0.01782178218</v>
      </c>
      <c r="M553" s="52">
        <f>IFERROR((VLOOKUP($A553,'Dados StatusInvest'!$A:$AZ,COLUMN(M553)-$A$5,0)*VLOOKUP($A553,'Dados StatusInvest'!$A:$AZ,2,0)/$F553/100),0)</f>
        <v>0.6424532258</v>
      </c>
      <c r="N553" s="53">
        <f>IFERROR((VLOOKUP($A553,'Dados StatusInvest'!$A:$AZ,COLUMN(N553)-$A$5,0)/VLOOKUP($A553,'Dados StatusInvest'!$A:$AZ,2,0)*$F553),"")</f>
        <v>38.46852503</v>
      </c>
      <c r="O553" s="53">
        <f>IFERROR((VLOOKUP($A553,'Dados StatusInvest'!$A:$AZ,COLUMN(O553)-$A$5,0)/VLOOKUP($A553,'Dados StatusInvest'!$A:$AZ,2,0)*$F553),0)</f>
        <v>5.275453315</v>
      </c>
      <c r="P553" s="54">
        <f>IFERROR((VLOOKUP($A553,'Dados StatusInvest'!$A:$AZ,COLUMN(P553)-$A$5,0)/VLOOKUP($A553,'Dados StatusInvest'!$A:$AZ,2,0)*$F553),0)</f>
        <v>8.497104195</v>
      </c>
      <c r="Q553" s="55">
        <f>IFERROR((VLOOKUP($A553,'Dados StatusInvest'!$A:$AZ,COLUMN(Q553)-$A$5,0)/100),0)</f>
        <v>0.0317</v>
      </c>
      <c r="R553" s="56">
        <f>VLOOKUP($A553,'Dados StatusInvest'!$A:$AZ,COLUMN(R553)-$A$5,0)</f>
        <v>1.21</v>
      </c>
      <c r="S553" s="56">
        <f>IFERROR((VLOOKUP($A553,'Dados StatusInvest'!$A:$AZ,COLUMN(S553)-$A$5,0)),0)</f>
        <v>3.39</v>
      </c>
      <c r="T553" s="53">
        <f>IFERROR((VLOOKUP($A553,'Dados StatusInvest'!$A:$AZ,COLUMN(T553)-$A$5,0)/VLOOKUP($A553,'Dados StatusInvest'!$A:$AZ,2,0)*$F553),0)</f>
        <v>11.32611637</v>
      </c>
      <c r="U553" s="53">
        <f>IFERROR((VLOOKUP($A553,'Dados StatusInvest'!$A:$AZ,COLUMN(U553)-$A$5,0)-VLOOKUP($A553,'Dados StatusInvest'!$A:$AZ,COLUMN(U553)-$A$5-1,0)+T553),0)</f>
        <v>-0.7538836265</v>
      </c>
      <c r="V553" s="56">
        <f>IFERROR((VLOOKUP($A553,'Dados StatusInvest'!$A:$AZ,COLUMN(V553)-$A$5,0)),0)</f>
        <v>1.67</v>
      </c>
      <c r="W553" s="56">
        <f>IFERROR((VLOOKUP($A553,'Dados StatusInvest'!$A:$AZ,COLUMN(W553)-$A$5,0)),0)</f>
        <v>22.54</v>
      </c>
      <c r="X553" s="53">
        <f>IFERROR((VLOOKUP($A553,'Dados StatusInvest'!$A:$AZ,COLUMN(X553)-$A$5,0)/VLOOKUP($A553,'Dados StatusInvest'!$A:$AZ,2,0)*$F553),0)</f>
        <v>7.953450609</v>
      </c>
      <c r="Y553" s="54">
        <f>IFERROR((VLOOKUP($A553,'Dados StatusInvest'!$A:$AZ,COLUMN(Y553)-$A$5,0)/VLOOKUP($A553,'Dados StatusInvest'!$A:$AZ,2,0)*$F553),0)</f>
        <v>15.85656292</v>
      </c>
      <c r="Z553" s="56">
        <f>IFERROR((VLOOKUP($A553,'Dados StatusInvest'!$A:$AZ,COLUMN(Z553)-$A$5,0)),0)</f>
        <v>0.35</v>
      </c>
      <c r="AA553" s="57">
        <f>IFERROR((VLOOKUP($A553,'Dados StatusInvest'!$A:$AZ,COLUMN(AA553)-$A$5,0)),0)</f>
        <v>0.65</v>
      </c>
      <c r="AB553" s="57">
        <f>IFERROR((VLOOKUP($A553,'Dados StatusInvest'!$A:$AZ,COLUMN(AB553)-$A$5,0)),0)</f>
        <v>0.21</v>
      </c>
      <c r="AC553" s="58">
        <f>IFERROR((VLOOKUP($A553,'Dados StatusInvest'!$A:$AZ,COLUMN(AC553)-$A$5,0)),0)</f>
        <v>15.68</v>
      </c>
      <c r="AD553" s="57">
        <f>IFERROR((VLOOKUP($A553,'Dados StatusInvest'!$A:$AZ,COLUMN(AD553)-$A$5,0)),0)</f>
        <v>11.46</v>
      </c>
      <c r="AE553" s="56">
        <f>IFERROR((VLOOKUP($A553,'Dados StatusInvest'!$A:$AZ,COLUMN(AE553)-$A$5,0)),0)</f>
        <v>1873095</v>
      </c>
      <c r="AF553" s="56">
        <f>IFERROR((VLOOKUP($A553,'Dados StatusInvest'!$A:$AZ,COLUMN(AF553)-$A$5,0)),0)</f>
        <v>7.4</v>
      </c>
      <c r="AG553" s="56">
        <f>IFERROR((VLOOKUP($A553,'Dados StatusInvest'!$A:$AZ,COLUMN(AG553)-$A$5,0)),0)</f>
        <v>1.67</v>
      </c>
      <c r="AH553" s="56">
        <f>IFERROR((VLOOKUP($A553,'Dados StatusInvest'!$A:$AZ,COLUMN(AH553)-$A$5,0)),0)</f>
        <v>4.03</v>
      </c>
      <c r="AI553" s="57">
        <f>IFERROR((VLOOKUP($A553,'Dados StatusInvest'!$A:$AZ,COLUMN(AI553)-$A$5,0)),0)</f>
        <v>15350871296</v>
      </c>
      <c r="AJ553" s="59" t="str">
        <f>IFERROR((VLOOKUP($A553,'Dados StatusInvest'!$A:$AZ,COLUMN(AJ553)-$A$5,0)),0)</f>
        <v/>
      </c>
      <c r="AK553" s="67">
        <f>IFERROR(__xludf.DUMMYFUNCTION("IFERROR(GOOGLEFINANCE($A553,""high""),"""")"),14.88)</f>
        <v>14.88</v>
      </c>
      <c r="AL553" s="67">
        <f>IFERROR(__xludf.DUMMYFUNCTION("IFERROR(GOOGLEFINANCE($A553,""low""),"""")"),14.71)</f>
        <v>14.71</v>
      </c>
      <c r="AM553" s="70">
        <f t="shared" si="2"/>
        <v>0.01155676411</v>
      </c>
      <c r="AN553" s="71">
        <f>IFERROR(__xludf.DUMMYFUNCTION("IFERROR((GOOGLEFINANCE($A553,""volume"")),0)"),9300.0)</f>
        <v>9300</v>
      </c>
      <c r="AO553" s="67">
        <f>IFERROR(__xludf.DUMMYFUNCTION("IFERROR((GOOGLEFINANCE($A553,""closeyest"")),"""")"),14.78)</f>
        <v>14.78</v>
      </c>
      <c r="AP553" s="67">
        <f>IFERROR(__xludf.DUMMYFUNCTION("IFERROR((GOOGLEFINANCE($A553,""shares"")),"""")"),4.42782652E8)</f>
        <v>442782652</v>
      </c>
      <c r="AQ553" s="60"/>
    </row>
    <row r="554">
      <c r="A554" s="45" t="str">
        <f>'Dados StatusInvest'!A549:A1168</f>
        <v>TASA3</v>
      </c>
      <c r="B554" s="63" t="str">
        <f>IFERROR(__xludf.DUMMYFUNCTION("IFERROR((GOOGLEFINANCE(A554,""name"")),"""")"),"Taurus Armas SA")</f>
        <v>Taurus Armas SA</v>
      </c>
      <c r="C554" s="63" t="str">
        <f>IFERROR((VLOOKUP(LEFT($A554,4),Setor!$A:$E,3,0)),"")</f>
        <v>Bens Industriais</v>
      </c>
      <c r="D554" s="63" t="str">
        <f>IFERROR((VLOOKUP(LEFT($A554,4),Setor!$A:$E,4,0)),"")</f>
        <v>Máquinas e Equipamentos</v>
      </c>
      <c r="E554" s="63" t="str">
        <f>IFERROR((VLOOKUP(LEFT($A554,4),Setor!$A:$E,5,0)),"")</f>
        <v>Armas e Munições</v>
      </c>
      <c r="F554" s="64">
        <f>IFERROR(__xludf.DUMMYFUNCTION("IFERROR((GOOGLEFINANCE(A554)),"""")"),5.23)</f>
        <v>5.23</v>
      </c>
      <c r="G554" s="65" t="str">
        <f>IFERROR(__xludf.DUMMYFUNCTION("IFERROR((sparkline(GOOGLEFINANCE($A554,""price"",TODAY()-30,TODAY(),""DAILY""),{""charttype"",""line"";""linewidth"",1;""color"",""#5f88cc""})),"""")"),"")</f>
        <v/>
      </c>
      <c r="H554" s="66">
        <f>IFERROR(__xludf.DUMMYFUNCTION("IFERROR((((GOOGLEFINANCE(A554))-(INDEX(GoogleFinance(A554,""PRICE"",$AQ$1),2,2)))/(INDEX(GoogleFinance(A554,""PRICE"",$AQ$1),2,2))),"""")"),-0.05253623188405782)</f>
        <v>-0.05253623188</v>
      </c>
      <c r="I554" s="47">
        <f>IFERROR(__xludf.DUMMYFUNCTION("IFERROR((GOOGLEFINANCE($A554,""high52"")),"""")"),8.65)</f>
        <v>8.65</v>
      </c>
      <c r="J554" s="68" t="str">
        <f>IFERROR(__xludf.DUMMYFUNCTION("IFERROR((sparkline(GOOGLEFINANCE($A554,""price"",TODAY()-365,TODAY(),""DAILY""),{""charttype"",""line"";""linewidth"",1;""color"",""#5f88cc""})),"""")"),"")</f>
        <v/>
      </c>
      <c r="K554" s="66">
        <f>IFERROR(__xludf.DUMMYFUNCTION("IFERROR((((GOOGLEFINANCE(A554))-(INDEX(GoogleFinance(A554,""PRICE"",$AP$1),2,2)))/(INDEX(GoogleFinance(A554,""PRICE"",$AP$1),2,2))),"""")"),-0.30080213903743314)</f>
        <v>-0.300802139</v>
      </c>
      <c r="L554" s="69">
        <f t="shared" si="1"/>
        <v>-0.3953757225</v>
      </c>
      <c r="M554" s="52">
        <f>IFERROR((VLOOKUP($A554,'Dados StatusInvest'!$A:$AZ,COLUMN(M554)-$A$5,0)*VLOOKUP($A554,'Dados StatusInvest'!$A:$AZ,2,0)/$F554/100),0)</f>
        <v>0.09863403442</v>
      </c>
      <c r="N554" s="53">
        <f>IFERROR((VLOOKUP($A554,'Dados StatusInvest'!$A:$AZ,COLUMN(N554)-$A$5,0)/VLOOKUP($A554,'Dados StatusInvest'!$A:$AZ,2,0)*$F554),"")</f>
        <v>8.023295455</v>
      </c>
      <c r="O554" s="53">
        <f>IFERROR((VLOOKUP($A554,'Dados StatusInvest'!$A:$AZ,COLUMN(O554)-$A$5,0)/VLOOKUP($A554,'Dados StatusInvest'!$A:$AZ,2,0)*$F554),0)</f>
        <v>4.883314394</v>
      </c>
      <c r="P554" s="54">
        <f>IFERROR((VLOOKUP($A554,'Dados StatusInvest'!$A:$AZ,COLUMN(P554)-$A$5,0)/VLOOKUP($A554,'Dados StatusInvest'!$A:$AZ,2,0)*$F554),0)</f>
        <v>8.677045455</v>
      </c>
      <c r="Q554" s="55">
        <f>IFERROR((VLOOKUP($A554,'Dados StatusInvest'!$A:$AZ,COLUMN(Q554)-$A$5,0)/100),0)</f>
        <v>0.0387</v>
      </c>
      <c r="R554" s="56">
        <f>VLOOKUP($A554,'Dados StatusInvest'!$A:$AZ,COLUMN(R554)-$A$5,0)</f>
        <v>0.45</v>
      </c>
      <c r="S554" s="56">
        <f>IFERROR((VLOOKUP($A554,'Dados StatusInvest'!$A:$AZ,COLUMN(S554)-$A$5,0)),0)</f>
        <v>0.48</v>
      </c>
      <c r="T554" s="53">
        <f>IFERROR((VLOOKUP($A554,'Dados StatusInvest'!$A:$AZ,COLUMN(T554)-$A$5,0)/VLOOKUP($A554,'Dados StatusInvest'!$A:$AZ,2,0)*$F554),0)</f>
        <v>1.53532197</v>
      </c>
      <c r="U554" s="53">
        <f>IFERROR((VLOOKUP($A554,'Dados StatusInvest'!$A:$AZ,COLUMN(U554)-$A$5,0)-VLOOKUP($A554,'Dados StatusInvest'!$A:$AZ,COLUMN(U554)-$A$5-1,0)+T554),0)</f>
        <v>-0.6946780303</v>
      </c>
      <c r="V554" s="56">
        <f>IFERROR((VLOOKUP($A554,'Dados StatusInvest'!$A:$AZ,COLUMN(V554)-$A$5,0)),0)</f>
        <v>1.51</v>
      </c>
      <c r="W554" s="56">
        <f>IFERROR((VLOOKUP($A554,'Dados StatusInvest'!$A:$AZ,COLUMN(W554)-$A$5,0)),0)</f>
        <v>9.56</v>
      </c>
      <c r="X554" s="53">
        <f>IFERROR((VLOOKUP($A554,'Dados StatusInvest'!$A:$AZ,COLUMN(X554)-$A$5,0)/VLOOKUP($A554,'Dados StatusInvest'!$A:$AZ,2,0)*$F554),0)</f>
        <v>4.922935606</v>
      </c>
      <c r="Y554" s="54">
        <f>IFERROR((VLOOKUP($A554,'Dados StatusInvest'!$A:$AZ,COLUMN(Y554)-$A$5,0)/VLOOKUP($A554,'Dados StatusInvest'!$A:$AZ,2,0)*$F554),0)</f>
        <v>5.774791667</v>
      </c>
      <c r="Z554" s="56">
        <f>IFERROR((VLOOKUP($A554,'Dados StatusInvest'!$A:$AZ,COLUMN(Z554)-$A$5,0)),0)</f>
        <v>0.52</v>
      </c>
      <c r="AA554" s="57">
        <f>IFERROR((VLOOKUP($A554,'Dados StatusInvest'!$A:$AZ,COLUMN(AA554)-$A$5,0)),0)</f>
        <v>0.48</v>
      </c>
      <c r="AB554" s="57">
        <f>IFERROR((VLOOKUP($A554,'Dados StatusInvest'!$A:$AZ,COLUMN(AB554)-$A$5,0)),0)</f>
        <v>0.61</v>
      </c>
      <c r="AC554" s="58">
        <f>IFERROR((VLOOKUP($A554,'Dados StatusInvest'!$A:$AZ,COLUMN(AC554)-$A$5,0)),0)</f>
        <v>10.85</v>
      </c>
      <c r="AD554" s="57">
        <f>IFERROR((VLOOKUP($A554,'Dados StatusInvest'!$A:$AZ,COLUMN(AD554)-$A$5,0)),0)</f>
        <v>23.3</v>
      </c>
      <c r="AE554" s="56">
        <f>IFERROR((VLOOKUP($A554,'Dados StatusInvest'!$A:$AZ,COLUMN(AE554)-$A$5,0)),0)</f>
        <v>228196.4</v>
      </c>
      <c r="AF554" s="56">
        <f>IFERROR((VLOOKUP($A554,'Dados StatusInvest'!$A:$AZ,COLUMN(AF554)-$A$5,0)),0)</f>
        <v>9.29</v>
      </c>
      <c r="AG554" s="56">
        <f>IFERROR((VLOOKUP($A554,'Dados StatusInvest'!$A:$AZ,COLUMN(AG554)-$A$5,0)),0)</f>
        <v>0.89</v>
      </c>
      <c r="AH554" s="56">
        <f>IFERROR((VLOOKUP($A554,'Dados StatusInvest'!$A:$AZ,COLUMN(AH554)-$A$5,0)),0)</f>
        <v>0.1</v>
      </c>
      <c r="AI554" s="57">
        <f>IFERROR((VLOOKUP($A554,'Dados StatusInvest'!$A:$AZ,COLUMN(AI554)-$A$5,0)),0)</f>
        <v>730200308.6</v>
      </c>
      <c r="AJ554" s="59" t="str">
        <f>IFERROR((VLOOKUP($A554,'Dados StatusInvest'!$A:$AZ,COLUMN(AJ554)-$A$5,0)),0)</f>
        <v/>
      </c>
      <c r="AK554" s="67">
        <f>IFERROR(__xludf.DUMMYFUNCTION("IFERROR(GOOGLEFINANCE($A554,""high""),"""")"),5.3)</f>
        <v>5.3</v>
      </c>
      <c r="AL554" s="67">
        <f>IFERROR(__xludf.DUMMYFUNCTION("IFERROR(GOOGLEFINANCE($A554,""low""),"""")"),5.23)</f>
        <v>5.23</v>
      </c>
      <c r="AM554" s="70">
        <f t="shared" si="2"/>
        <v>0.01338432122</v>
      </c>
      <c r="AN554" s="71">
        <f>IFERROR(__xludf.DUMMYFUNCTION("IFERROR((GOOGLEFINANCE($A554,""volume"")),0)"),1100.0)</f>
        <v>1100</v>
      </c>
      <c r="AO554" s="67">
        <f>IFERROR(__xludf.DUMMYFUNCTION("IFERROR((GOOGLEFINANCE($A554,""closeyest"")),"""")"),5.28)</f>
        <v>5.28</v>
      </c>
      <c r="AP554" s="67">
        <f>IFERROR(__xludf.DUMMYFUNCTION("IFERROR((GOOGLEFINANCE($A554,""shares"")),"""")"),5.1089845E7)</f>
        <v>51089845</v>
      </c>
      <c r="AQ554" s="60"/>
    </row>
    <row r="555">
      <c r="A555" s="45" t="str">
        <f>'Dados StatusInvest'!A550:A1169</f>
        <v>TASA4</v>
      </c>
      <c r="B555" s="63" t="str">
        <f>IFERROR(__xludf.DUMMYFUNCTION("IFERROR((GOOGLEFINANCE(A555,""name"")),"""")"),"Taurus Armas SA Preference Shares")</f>
        <v>Taurus Armas SA Preference Shares</v>
      </c>
      <c r="C555" s="63" t="str">
        <f>IFERROR((VLOOKUP(LEFT($A555,4),Setor!$A:$E,3,0)),"")</f>
        <v>Bens Industriais</v>
      </c>
      <c r="D555" s="63" t="str">
        <f>IFERROR((VLOOKUP(LEFT($A555,4),Setor!$A:$E,4,0)),"")</f>
        <v>Máquinas e Equipamentos</v>
      </c>
      <c r="E555" s="63" t="str">
        <f>IFERROR((VLOOKUP(LEFT($A555,4),Setor!$A:$E,5,0)),"")</f>
        <v>Armas e Munições</v>
      </c>
      <c r="F555" s="64">
        <f>IFERROR(__xludf.DUMMYFUNCTION("IFERROR((GOOGLEFINANCE(A555)),"""")"),5.17)</f>
        <v>5.17</v>
      </c>
      <c r="G555" s="65" t="str">
        <f>IFERROR(__xludf.DUMMYFUNCTION("IFERROR((sparkline(GOOGLEFINANCE($A555,""price"",TODAY()-30,TODAY(),""DAILY""),{""charttype"",""line"";""linewidth"",1;""color"",""#5f88cc""})),"""")"),"")</f>
        <v/>
      </c>
      <c r="H555" s="66">
        <f>IFERROR(__xludf.DUMMYFUNCTION("IFERROR((((GOOGLEFINANCE(A555))-(INDEX(GoogleFinance(A555,""PRICE"",$AQ$1),2,2)))/(INDEX(GoogleFinance(A555,""PRICE"",$AQ$1),2,2))),"""")"),-0.030018761726078827)</f>
        <v>-0.03001876173</v>
      </c>
      <c r="I555" s="47">
        <f>IFERROR(__xludf.DUMMYFUNCTION("IFERROR((GOOGLEFINANCE($A555,""high52"")),"""")"),8.38)</f>
        <v>8.38</v>
      </c>
      <c r="J555" s="68" t="str">
        <f>IFERROR(__xludf.DUMMYFUNCTION("IFERROR((sparkline(GOOGLEFINANCE($A555,""price"",TODAY()-365,TODAY(),""DAILY""),{""charttype"",""line"";""linewidth"",1;""color"",""#5f88cc""})),"""")"),"")</f>
        <v/>
      </c>
      <c r="K555" s="66">
        <f>IFERROR(__xludf.DUMMYFUNCTION("IFERROR((((GOOGLEFINANCE(A555))-(INDEX(GoogleFinance(A555,""PRICE"",$AP$1),2,2)))/(INDEX(GoogleFinance(A555,""PRICE"",$AP$1),2,2))),"""")"),-0.3060402684563759)</f>
        <v>-0.3060402685</v>
      </c>
      <c r="L555" s="69">
        <f t="shared" si="1"/>
        <v>-0.3830548926</v>
      </c>
      <c r="M555" s="52">
        <f>IFERROR((VLOOKUP($A555,'Dados StatusInvest'!$A:$AZ,COLUMN(M555)-$A$5,0)*VLOOKUP($A555,'Dados StatusInvest'!$A:$AZ,2,0)/$F555/100),0)</f>
        <v>0.09864487427</v>
      </c>
      <c r="N555" s="53">
        <f>IFERROR((VLOOKUP($A555,'Dados StatusInvest'!$A:$AZ,COLUMN(N555)-$A$5,0)/VLOOKUP($A555,'Dados StatusInvest'!$A:$AZ,2,0)*$F555),"")</f>
        <v>8.022413793</v>
      </c>
      <c r="O555" s="53">
        <f>IFERROR((VLOOKUP($A555,'Dados StatusInvest'!$A:$AZ,COLUMN(O555)-$A$5,0)/VLOOKUP($A555,'Dados StatusInvest'!$A:$AZ,2,0)*$F555),0)</f>
        <v>4.82335249</v>
      </c>
      <c r="P555" s="54">
        <f>IFERROR((VLOOKUP($A555,'Dados StatusInvest'!$A:$AZ,COLUMN(P555)-$A$5,0)/VLOOKUP($A555,'Dados StatusInvest'!$A:$AZ,2,0)*$F555),0)</f>
        <v>8.676091954</v>
      </c>
      <c r="Q555" s="55">
        <f>IFERROR((VLOOKUP($A555,'Dados StatusInvest'!$A:$AZ,COLUMN(Q555)-$A$5,0)/100),0)</f>
        <v>0.0387</v>
      </c>
      <c r="R555" s="56">
        <f>VLOOKUP($A555,'Dados StatusInvest'!$A:$AZ,COLUMN(R555)-$A$5,0)</f>
        <v>0.45</v>
      </c>
      <c r="S555" s="56">
        <f>IFERROR((VLOOKUP($A555,'Dados StatusInvest'!$A:$AZ,COLUMN(S555)-$A$5,0)),0)</f>
        <v>0.48</v>
      </c>
      <c r="T555" s="53">
        <f>IFERROR((VLOOKUP($A555,'Dados StatusInvest'!$A:$AZ,COLUMN(T555)-$A$5,0)/VLOOKUP($A555,'Dados StatusInvest'!$A:$AZ,2,0)*$F555),0)</f>
        <v>1.515344828</v>
      </c>
      <c r="U555" s="53">
        <f>IFERROR((VLOOKUP($A555,'Dados StatusInvest'!$A:$AZ,COLUMN(U555)-$A$5,0)-VLOOKUP($A555,'Dados StatusInvest'!$A:$AZ,COLUMN(U555)-$A$5-1,0)+T555),0)</f>
        <v>-0.6846551724</v>
      </c>
      <c r="V555" s="56">
        <f>IFERROR((VLOOKUP($A555,'Dados StatusInvest'!$A:$AZ,COLUMN(V555)-$A$5,0)),0)</f>
        <v>1.51</v>
      </c>
      <c r="W555" s="56">
        <f>IFERROR((VLOOKUP($A555,'Dados StatusInvest'!$A:$AZ,COLUMN(W555)-$A$5,0)),0)</f>
        <v>9.56</v>
      </c>
      <c r="X555" s="53">
        <f>IFERROR((VLOOKUP($A555,'Dados StatusInvest'!$A:$AZ,COLUMN(X555)-$A$5,0)/VLOOKUP($A555,'Dados StatusInvest'!$A:$AZ,2,0)*$F555),0)</f>
        <v>4.922394636</v>
      </c>
      <c r="Y555" s="54">
        <f>IFERROR((VLOOKUP($A555,'Dados StatusInvest'!$A:$AZ,COLUMN(Y555)-$A$5,0)/VLOOKUP($A555,'Dados StatusInvest'!$A:$AZ,2,0)*$F555),0)</f>
        <v>5.774157088</v>
      </c>
      <c r="Z555" s="56">
        <f>IFERROR((VLOOKUP($A555,'Dados StatusInvest'!$A:$AZ,COLUMN(Z555)-$A$5,0)),0)</f>
        <v>0.52</v>
      </c>
      <c r="AA555" s="57">
        <f>IFERROR((VLOOKUP($A555,'Dados StatusInvest'!$A:$AZ,COLUMN(AA555)-$A$5,0)),0)</f>
        <v>0.48</v>
      </c>
      <c r="AB555" s="57">
        <f>IFERROR((VLOOKUP($A555,'Dados StatusInvest'!$A:$AZ,COLUMN(AB555)-$A$5,0)),0)</f>
        <v>0.61</v>
      </c>
      <c r="AC555" s="58">
        <f>IFERROR((VLOOKUP($A555,'Dados StatusInvest'!$A:$AZ,COLUMN(AC555)-$A$5,0)),0)</f>
        <v>10.85</v>
      </c>
      <c r="AD555" s="57">
        <f>IFERROR((VLOOKUP($A555,'Dados StatusInvest'!$A:$AZ,COLUMN(AD555)-$A$5,0)),0)</f>
        <v>23.3</v>
      </c>
      <c r="AE555" s="56">
        <f>IFERROR((VLOOKUP($A555,'Dados StatusInvest'!$A:$AZ,COLUMN(AE555)-$A$5,0)),0)</f>
        <v>2096716</v>
      </c>
      <c r="AF555" s="56">
        <f>IFERROR((VLOOKUP($A555,'Dados StatusInvest'!$A:$AZ,COLUMN(AF555)-$A$5,0)),0)</f>
        <v>9.29</v>
      </c>
      <c r="AG555" s="56">
        <f>IFERROR((VLOOKUP($A555,'Dados StatusInvest'!$A:$AZ,COLUMN(AG555)-$A$5,0)),0)</f>
        <v>0.89</v>
      </c>
      <c r="AH555" s="56">
        <f>IFERROR((VLOOKUP($A555,'Dados StatusInvest'!$A:$AZ,COLUMN(AH555)-$A$5,0)),0)</f>
        <v>0.1</v>
      </c>
      <c r="AI555" s="57">
        <f>IFERROR((VLOOKUP($A555,'Dados StatusInvest'!$A:$AZ,COLUMN(AI555)-$A$5,0)),0)</f>
        <v>730200308.6</v>
      </c>
      <c r="AJ555" s="59" t="str">
        <f>IFERROR((VLOOKUP($A555,'Dados StatusInvest'!$A:$AZ,COLUMN(AJ555)-$A$5,0)),0)</f>
        <v/>
      </c>
      <c r="AK555" s="67">
        <f>IFERROR(__xludf.DUMMYFUNCTION("IFERROR(GOOGLEFINANCE($A555,""high""),"""")"),5.22)</f>
        <v>5.22</v>
      </c>
      <c r="AL555" s="67">
        <f>IFERROR(__xludf.DUMMYFUNCTION("IFERROR(GOOGLEFINANCE($A555,""low""),"""")"),5.12)</f>
        <v>5.12</v>
      </c>
      <c r="AM555" s="70">
        <f t="shared" si="2"/>
        <v>0.01953125</v>
      </c>
      <c r="AN555" s="71">
        <f>IFERROR(__xludf.DUMMYFUNCTION("IFERROR((GOOGLEFINANCE($A555,""volume"")),0)"),20500.0)</f>
        <v>20500</v>
      </c>
      <c r="AO555" s="67">
        <f>IFERROR(__xludf.DUMMYFUNCTION("IFERROR((GOOGLEFINANCE($A555,""closeyest"")),"""")"),5.22)</f>
        <v>5.22</v>
      </c>
      <c r="AP555" s="67">
        <f>IFERROR(__xludf.DUMMYFUNCTION("IFERROR((GOOGLEFINANCE($A555,""shares"")),"""")"),8.8208032E7)</f>
        <v>88208032</v>
      </c>
      <c r="AQ555" s="60"/>
    </row>
    <row r="556">
      <c r="A556" s="45" t="str">
        <f>'Dados StatusInvest'!A551:A1170</f>
        <v>TCNO3</v>
      </c>
      <c r="B556" s="63" t="str">
        <f>IFERROR(__xludf.DUMMYFUNCTION("IFERROR((GOOGLEFINANCE(A556,""name"")),"""")"),"")</f>
        <v/>
      </c>
      <c r="C556" s="63" t="str">
        <f>IFERROR((VLOOKUP(LEFT($A556,4),Setor!$A:$E,3,0)),"")</f>
        <v>Bens Industriais</v>
      </c>
      <c r="D556" s="63" t="str">
        <f>IFERROR((VLOOKUP(LEFT($A556,4),Setor!$A:$E,4,0)),"")</f>
        <v>Construção e Engenharia</v>
      </c>
      <c r="E556" s="63" t="str">
        <f>IFERROR((VLOOKUP(LEFT($A556,4),Setor!$A:$E,5,0)),"")</f>
        <v>Engenharia Consultiva</v>
      </c>
      <c r="F556" s="64" t="str">
        <f>IFERROR(__xludf.DUMMYFUNCTION("IFERROR((GOOGLEFINANCE(A556)),"""")"),"")</f>
        <v/>
      </c>
      <c r="G556" s="65" t="str">
        <f>IFERROR(__xludf.DUMMYFUNCTION("IFERROR((sparkline(GOOGLEFINANCE($A556,""price"",TODAY()-30,TODAY(),""DAILY""),{""charttype"",""line"";""linewidth"",1;""color"",""#5f88cc""})),"""")"),"")</f>
        <v/>
      </c>
      <c r="H556" s="66" t="str">
        <f>IFERROR(__xludf.DUMMYFUNCTION("IFERROR((((GOOGLEFINANCE(A556))-(INDEX(GoogleFinance(A556,""PRICE"",$AQ$1),2,2)))/(INDEX(GoogleFinance(A556,""PRICE"",$AQ$1),2,2))),"""")"),"")</f>
        <v/>
      </c>
      <c r="I556" s="47" t="str">
        <f>IFERROR(__xludf.DUMMYFUNCTION("IFERROR((GOOGLEFINANCE($A556,""high52"")),"""")"),"")</f>
        <v/>
      </c>
      <c r="J556" s="68" t="str">
        <f>IFERROR(__xludf.DUMMYFUNCTION("IFERROR((sparkline(GOOGLEFINANCE($A556,""price"",TODAY()-365,TODAY(),""DAILY""),{""charttype"",""line"";""linewidth"",1;""color"",""#5f88cc""})),"""")"),"")</f>
        <v/>
      </c>
      <c r="K556" s="66" t="str">
        <f>IFERROR(__xludf.DUMMYFUNCTION("IFERROR((((GOOGLEFINANCE(A556))-(INDEX(GoogleFinance(A556,""PRICE"",$AP$1),2,2)))/(INDEX(GoogleFinance(A556,""PRICE"",$AP$1),2,2))),"""")"),"")</f>
        <v/>
      </c>
      <c r="L556" s="69">
        <f t="shared" si="1"/>
        <v>0</v>
      </c>
      <c r="M556" s="52">
        <f>IFERROR((VLOOKUP($A556,'Dados StatusInvest'!$A:$AZ,COLUMN(M556)-$A$5,0)*VLOOKUP($A556,'Dados StatusInvest'!$A:$AZ,2,0)/$F556/100),0)</f>
        <v>0</v>
      </c>
      <c r="N556" s="53">
        <f>IFERROR((VLOOKUP($A556,'Dados StatusInvest'!$A:$AZ,COLUMN(N556)-$A$5,0)/VLOOKUP($A556,'Dados StatusInvest'!$A:$AZ,2,0)*$F556),"")</f>
        <v>0</v>
      </c>
      <c r="O556" s="53">
        <f>IFERROR((VLOOKUP($A556,'Dados StatusInvest'!$A:$AZ,COLUMN(O556)-$A$5,0)/VLOOKUP($A556,'Dados StatusInvest'!$A:$AZ,2,0)*$F556),0)</f>
        <v>0</v>
      </c>
      <c r="P556" s="54">
        <f>IFERROR((VLOOKUP($A556,'Dados StatusInvest'!$A:$AZ,COLUMN(P556)-$A$5,0)/VLOOKUP($A556,'Dados StatusInvest'!$A:$AZ,2,0)*$F556),0)</f>
        <v>0</v>
      </c>
      <c r="Q556" s="55">
        <f>IFERROR((VLOOKUP($A556,'Dados StatusInvest'!$A:$AZ,COLUMN(Q556)-$A$5,0)/100),0)</f>
        <v>-0.2898</v>
      </c>
      <c r="R556" s="56">
        <f>VLOOKUP($A556,'Dados StatusInvest'!$A:$AZ,COLUMN(R556)-$A$5,0)</f>
        <v>0</v>
      </c>
      <c r="S556" s="56">
        <f>IFERROR((VLOOKUP($A556,'Dados StatusInvest'!$A:$AZ,COLUMN(S556)-$A$5,0)),0)</f>
        <v>0</v>
      </c>
      <c r="T556" s="53">
        <f>IFERROR((VLOOKUP($A556,'Dados StatusInvest'!$A:$AZ,COLUMN(T556)-$A$5,0)/VLOOKUP($A556,'Dados StatusInvest'!$A:$AZ,2,0)*$F556),0)</f>
        <v>0</v>
      </c>
      <c r="U556" s="53">
        <f>IFERROR((VLOOKUP($A556,'Dados StatusInvest'!$A:$AZ,COLUMN(U556)-$A$5,0)-VLOOKUP($A556,'Dados StatusInvest'!$A:$AZ,COLUMN(U556)-$A$5-1,0)+T556),0)</f>
        <v>0.04</v>
      </c>
      <c r="V556" s="56">
        <f>IFERROR((VLOOKUP($A556,'Dados StatusInvest'!$A:$AZ,COLUMN(V556)-$A$5,0)),0)</f>
        <v>0.28</v>
      </c>
      <c r="W556" s="56">
        <f>IFERROR((VLOOKUP($A556,'Dados StatusInvest'!$A:$AZ,COLUMN(W556)-$A$5,0)),0)</f>
        <v>-111.63</v>
      </c>
      <c r="X556" s="53">
        <f>IFERROR((VLOOKUP($A556,'Dados StatusInvest'!$A:$AZ,COLUMN(X556)-$A$5,0)/VLOOKUP($A556,'Dados StatusInvest'!$A:$AZ,2,0)*$F556),0)</f>
        <v>0</v>
      </c>
      <c r="Y556" s="54">
        <f>IFERROR((VLOOKUP($A556,'Dados StatusInvest'!$A:$AZ,COLUMN(Y556)-$A$5,0)/VLOOKUP($A556,'Dados StatusInvest'!$A:$AZ,2,0)*$F556),0)</f>
        <v>0</v>
      </c>
      <c r="Z556" s="56">
        <f>IFERROR((VLOOKUP($A556,'Dados StatusInvest'!$A:$AZ,COLUMN(Z556)-$A$5,0)),0)</f>
        <v>0</v>
      </c>
      <c r="AA556" s="57">
        <f>IFERROR((VLOOKUP($A556,'Dados StatusInvest'!$A:$AZ,COLUMN(AA556)-$A$5,0)),0)</f>
        <v>1</v>
      </c>
      <c r="AB556" s="57">
        <f>IFERROR((VLOOKUP($A556,'Dados StatusInvest'!$A:$AZ,COLUMN(AB556)-$A$5,0)),0)</f>
        <v>0</v>
      </c>
      <c r="AC556" s="58">
        <f>IFERROR((VLOOKUP($A556,'Dados StatusInvest'!$A:$AZ,COLUMN(AC556)-$A$5,0)),0)</f>
        <v>0</v>
      </c>
      <c r="AD556" s="57">
        <f>IFERROR((VLOOKUP($A556,'Dados StatusInvest'!$A:$AZ,COLUMN(AD556)-$A$5,0)),0)</f>
        <v>0</v>
      </c>
      <c r="AE556" s="56">
        <f>IFERROR((VLOOKUP($A556,'Dados StatusInvest'!$A:$AZ,COLUMN(AE556)-$A$5,0)),0)</f>
        <v>0</v>
      </c>
      <c r="AF556" s="56">
        <f>IFERROR((VLOOKUP($A556,'Dados StatusInvest'!$A:$AZ,COLUMN(AF556)-$A$5,0)),0)</f>
        <v>-0.14</v>
      </c>
      <c r="AG556" s="56">
        <f>IFERROR((VLOOKUP($A556,'Dados StatusInvest'!$A:$AZ,COLUMN(AG556)-$A$5,0)),0)</f>
        <v>-0.16</v>
      </c>
      <c r="AH556" s="56">
        <f>IFERROR((VLOOKUP($A556,'Dados StatusInvest'!$A:$AZ,COLUMN(AH556)-$A$5,0)),0)</f>
        <v>-0.28</v>
      </c>
      <c r="AI556" s="57">
        <f>IFERROR((VLOOKUP($A556,'Dados StatusInvest'!$A:$AZ,COLUMN(AI556)-$A$5,0)),0)</f>
        <v>6451072.5</v>
      </c>
      <c r="AJ556" s="59" t="str">
        <f>IFERROR((VLOOKUP($A556,'Dados StatusInvest'!$A:$AZ,COLUMN(AJ556)-$A$5,0)),0)</f>
        <v/>
      </c>
      <c r="AK556" s="67" t="str">
        <f>IFERROR(__xludf.DUMMYFUNCTION("IFERROR(GOOGLEFINANCE($A556,""high""),"""")"),"")</f>
        <v/>
      </c>
      <c r="AL556" s="67" t="str">
        <f>IFERROR(__xludf.DUMMYFUNCTION("IFERROR(GOOGLEFINANCE($A556,""low""),"""")"),"")</f>
        <v/>
      </c>
      <c r="AM556" s="70">
        <f t="shared" si="2"/>
        <v>0</v>
      </c>
      <c r="AN556" s="71">
        <f>IFERROR(__xludf.DUMMYFUNCTION("IFERROR((GOOGLEFINANCE($A556,""volume"")),0)"),0.0)</f>
        <v>0</v>
      </c>
      <c r="AO556" s="67" t="str">
        <f>IFERROR(__xludf.DUMMYFUNCTION("IFERROR((GOOGLEFINANCE($A556,""closeyest"")),"""")"),"")</f>
        <v/>
      </c>
      <c r="AP556" s="67" t="str">
        <f>IFERROR(__xludf.DUMMYFUNCTION("IFERROR((GOOGLEFINANCE($A556,""shares"")),"""")"),"")</f>
        <v/>
      </c>
      <c r="AQ556" s="60"/>
    </row>
    <row r="557">
      <c r="A557" s="45" t="str">
        <f>'Dados StatusInvest'!A552:A1171</f>
        <v>TCNO4</v>
      </c>
      <c r="B557" s="63" t="str">
        <f>IFERROR(__xludf.DUMMYFUNCTION("IFERROR((GOOGLEFINANCE(A557,""name"")),"""")"),"")</f>
        <v/>
      </c>
      <c r="C557" s="63" t="str">
        <f>IFERROR((VLOOKUP(LEFT($A557,4),Setor!$A:$E,3,0)),"")</f>
        <v>Bens Industriais</v>
      </c>
      <c r="D557" s="63" t="str">
        <f>IFERROR((VLOOKUP(LEFT($A557,4),Setor!$A:$E,4,0)),"")</f>
        <v>Construção e Engenharia</v>
      </c>
      <c r="E557" s="63" t="str">
        <f>IFERROR((VLOOKUP(LEFT($A557,4),Setor!$A:$E,5,0)),"")</f>
        <v>Engenharia Consultiva</v>
      </c>
      <c r="F557" s="64" t="str">
        <f>IFERROR(__xludf.DUMMYFUNCTION("IFERROR((GOOGLEFINANCE(A557)),"""")"),"")</f>
        <v/>
      </c>
      <c r="G557" s="65" t="str">
        <f>IFERROR(__xludf.DUMMYFUNCTION("IFERROR((sparkline(GOOGLEFINANCE($A557,""price"",TODAY()-30,TODAY(),""DAILY""),{""charttype"",""line"";""linewidth"",1;""color"",""#5f88cc""})),"""")"),"")</f>
        <v/>
      </c>
      <c r="H557" s="66" t="str">
        <f>IFERROR(__xludf.DUMMYFUNCTION("IFERROR((((GOOGLEFINANCE(A557))-(INDEX(GoogleFinance(A557,""PRICE"",$AQ$1),2,2)))/(INDEX(GoogleFinance(A557,""PRICE"",$AQ$1),2,2))),"""")"),"")</f>
        <v/>
      </c>
      <c r="I557" s="47" t="str">
        <f>IFERROR(__xludf.DUMMYFUNCTION("IFERROR((GOOGLEFINANCE($A557,""high52"")),"""")"),"")</f>
        <v/>
      </c>
      <c r="J557" s="68" t="str">
        <f>IFERROR(__xludf.DUMMYFUNCTION("IFERROR((sparkline(GOOGLEFINANCE($A557,""price"",TODAY()-365,TODAY(),""DAILY""),{""charttype"",""line"";""linewidth"",1;""color"",""#5f88cc""})),"""")"),"")</f>
        <v/>
      </c>
      <c r="K557" s="66" t="str">
        <f>IFERROR(__xludf.DUMMYFUNCTION("IFERROR((((GOOGLEFINANCE(A557))-(INDEX(GoogleFinance(A557,""PRICE"",$AP$1),2,2)))/(INDEX(GoogleFinance(A557,""PRICE"",$AP$1),2,2))),"""")"),"")</f>
        <v/>
      </c>
      <c r="L557" s="69">
        <f t="shared" si="1"/>
        <v>0</v>
      </c>
      <c r="M557" s="52">
        <f>IFERROR((VLOOKUP($A557,'Dados StatusInvest'!$A:$AZ,COLUMN(M557)-$A$5,0)*VLOOKUP($A557,'Dados StatusInvest'!$A:$AZ,2,0)/$F557/100),0)</f>
        <v>0</v>
      </c>
      <c r="N557" s="53">
        <f>IFERROR((VLOOKUP($A557,'Dados StatusInvest'!$A:$AZ,COLUMN(N557)-$A$5,0)/VLOOKUP($A557,'Dados StatusInvest'!$A:$AZ,2,0)*$F557),"")</f>
        <v>0</v>
      </c>
      <c r="O557" s="53">
        <f>IFERROR((VLOOKUP($A557,'Dados StatusInvest'!$A:$AZ,COLUMN(O557)-$A$5,0)/VLOOKUP($A557,'Dados StatusInvest'!$A:$AZ,2,0)*$F557),0)</f>
        <v>0</v>
      </c>
      <c r="P557" s="54">
        <f>IFERROR((VLOOKUP($A557,'Dados StatusInvest'!$A:$AZ,COLUMN(P557)-$A$5,0)/VLOOKUP($A557,'Dados StatusInvest'!$A:$AZ,2,0)*$F557),0)</f>
        <v>0</v>
      </c>
      <c r="Q557" s="55">
        <f>IFERROR((VLOOKUP($A557,'Dados StatusInvest'!$A:$AZ,COLUMN(Q557)-$A$5,0)/100),0)</f>
        <v>-0.2898</v>
      </c>
      <c r="R557" s="56">
        <f>VLOOKUP($A557,'Dados StatusInvest'!$A:$AZ,COLUMN(R557)-$A$5,0)</f>
        <v>0</v>
      </c>
      <c r="S557" s="56">
        <f>IFERROR((VLOOKUP($A557,'Dados StatusInvest'!$A:$AZ,COLUMN(S557)-$A$5,0)),0)</f>
        <v>0</v>
      </c>
      <c r="T557" s="53">
        <f>IFERROR((VLOOKUP($A557,'Dados StatusInvest'!$A:$AZ,COLUMN(T557)-$A$5,0)/VLOOKUP($A557,'Dados StatusInvest'!$A:$AZ,2,0)*$F557),0)</f>
        <v>0</v>
      </c>
      <c r="U557" s="53">
        <f>IFERROR((VLOOKUP($A557,'Dados StatusInvest'!$A:$AZ,COLUMN(U557)-$A$5,0)-VLOOKUP($A557,'Dados StatusInvest'!$A:$AZ,COLUMN(U557)-$A$5-1,0)+T557),0)</f>
        <v>0.03</v>
      </c>
      <c r="V557" s="56">
        <f>IFERROR((VLOOKUP($A557,'Dados StatusInvest'!$A:$AZ,COLUMN(V557)-$A$5,0)),0)</f>
        <v>0.28</v>
      </c>
      <c r="W557" s="56">
        <f>IFERROR((VLOOKUP($A557,'Dados StatusInvest'!$A:$AZ,COLUMN(W557)-$A$5,0)),0)</f>
        <v>-111.63</v>
      </c>
      <c r="X557" s="53">
        <f>IFERROR((VLOOKUP($A557,'Dados StatusInvest'!$A:$AZ,COLUMN(X557)-$A$5,0)/VLOOKUP($A557,'Dados StatusInvest'!$A:$AZ,2,0)*$F557),0)</f>
        <v>0</v>
      </c>
      <c r="Y557" s="54">
        <f>IFERROR((VLOOKUP($A557,'Dados StatusInvest'!$A:$AZ,COLUMN(Y557)-$A$5,0)/VLOOKUP($A557,'Dados StatusInvest'!$A:$AZ,2,0)*$F557),0)</f>
        <v>0</v>
      </c>
      <c r="Z557" s="56">
        <f>IFERROR((VLOOKUP($A557,'Dados StatusInvest'!$A:$AZ,COLUMN(Z557)-$A$5,0)),0)</f>
        <v>0</v>
      </c>
      <c r="AA557" s="57">
        <f>IFERROR((VLOOKUP($A557,'Dados StatusInvest'!$A:$AZ,COLUMN(AA557)-$A$5,0)),0)</f>
        <v>1</v>
      </c>
      <c r="AB557" s="57">
        <f>IFERROR((VLOOKUP($A557,'Dados StatusInvest'!$A:$AZ,COLUMN(AB557)-$A$5,0)),0)</f>
        <v>0</v>
      </c>
      <c r="AC557" s="58">
        <f>IFERROR((VLOOKUP($A557,'Dados StatusInvest'!$A:$AZ,COLUMN(AC557)-$A$5,0)),0)</f>
        <v>0</v>
      </c>
      <c r="AD557" s="57">
        <f>IFERROR((VLOOKUP($A557,'Dados StatusInvest'!$A:$AZ,COLUMN(AD557)-$A$5,0)),0)</f>
        <v>0</v>
      </c>
      <c r="AE557" s="56">
        <f>IFERROR((VLOOKUP($A557,'Dados StatusInvest'!$A:$AZ,COLUMN(AE557)-$A$5,0)),0)</f>
        <v>0</v>
      </c>
      <c r="AF557" s="56">
        <f>IFERROR((VLOOKUP($A557,'Dados StatusInvest'!$A:$AZ,COLUMN(AF557)-$A$5,0)),0)</f>
        <v>-0.14</v>
      </c>
      <c r="AG557" s="56">
        <f>IFERROR((VLOOKUP($A557,'Dados StatusInvest'!$A:$AZ,COLUMN(AG557)-$A$5,0)),0)</f>
        <v>-0.16</v>
      </c>
      <c r="AH557" s="56">
        <f>IFERROR((VLOOKUP($A557,'Dados StatusInvest'!$A:$AZ,COLUMN(AH557)-$A$5,0)),0)</f>
        <v>-0.2</v>
      </c>
      <c r="AI557" s="57">
        <f>IFERROR((VLOOKUP($A557,'Dados StatusInvest'!$A:$AZ,COLUMN(AI557)-$A$5,0)),0)</f>
        <v>6451072.5</v>
      </c>
      <c r="AJ557" s="59" t="str">
        <f>IFERROR((VLOOKUP($A557,'Dados StatusInvest'!$A:$AZ,COLUMN(AJ557)-$A$5,0)),0)</f>
        <v/>
      </c>
      <c r="AK557" s="67" t="str">
        <f>IFERROR(__xludf.DUMMYFUNCTION("IFERROR(GOOGLEFINANCE($A557,""high""),"""")"),"")</f>
        <v/>
      </c>
      <c r="AL557" s="67" t="str">
        <f>IFERROR(__xludf.DUMMYFUNCTION("IFERROR(GOOGLEFINANCE($A557,""low""),"""")"),"")</f>
        <v/>
      </c>
      <c r="AM557" s="70">
        <f t="shared" si="2"/>
        <v>0</v>
      </c>
      <c r="AN557" s="71">
        <f>IFERROR(__xludf.DUMMYFUNCTION("IFERROR((GOOGLEFINANCE($A557,""volume"")),0)"),0.0)</f>
        <v>0</v>
      </c>
      <c r="AO557" s="67" t="str">
        <f>IFERROR(__xludf.DUMMYFUNCTION("IFERROR((GOOGLEFINANCE($A557,""closeyest"")),"""")"),"")</f>
        <v/>
      </c>
      <c r="AP557" s="67" t="str">
        <f>IFERROR(__xludf.DUMMYFUNCTION("IFERROR((GOOGLEFINANCE($A557,""shares"")),"""")"),"")</f>
        <v/>
      </c>
      <c r="AQ557" s="60"/>
    </row>
    <row r="558">
      <c r="A558" s="45" t="str">
        <f>'Dados StatusInvest'!A553:A1172</f>
        <v>TCSA3</v>
      </c>
      <c r="B558" s="63" t="str">
        <f>IFERROR(__xludf.DUMMYFUNCTION("IFERROR((GOOGLEFINANCE(A558,""name"")),"""")"),"Tecnisa SA")</f>
        <v>Tecnisa SA</v>
      </c>
      <c r="C558" s="63" t="str">
        <f>IFERROR((VLOOKUP(LEFT($A558,4),Setor!$A:$E,3,0)),"")</f>
        <v>Consumo Cíclico</v>
      </c>
      <c r="D558" s="63" t="str">
        <f>IFERROR((VLOOKUP(LEFT($A558,4),Setor!$A:$E,4,0)),"")</f>
        <v>Construção Civil</v>
      </c>
      <c r="E558" s="63" t="str">
        <f>IFERROR((VLOOKUP(LEFT($A558,4),Setor!$A:$E,5,0)),"")</f>
        <v>Incorporações</v>
      </c>
      <c r="F558" s="64">
        <f>IFERROR(__xludf.DUMMYFUNCTION("IFERROR((GOOGLEFINANCE(A558)),"""")"),1.51)</f>
        <v>1.51</v>
      </c>
      <c r="G558" s="65" t="str">
        <f>IFERROR(__xludf.DUMMYFUNCTION("IFERROR((sparkline(GOOGLEFINANCE($A558,""price"",TODAY()-30,TODAY(),""DAILY""),{""charttype"",""line"";""linewidth"",1;""color"",""#5f88cc""})),"""")"),"")</f>
        <v/>
      </c>
      <c r="H558" s="66">
        <f>IFERROR(__xludf.DUMMYFUNCTION("IFERROR((((GOOGLEFINANCE(A558))-(INDEX(GoogleFinance(A558,""PRICE"",$AQ$1),2,2)))/(INDEX(GoogleFinance(A558,""PRICE"",$AQ$1),2,2))),"""")"),0.22764227642276424)</f>
        <v>0.2276422764</v>
      </c>
      <c r="I558" s="47">
        <f>IFERROR(__xludf.DUMMYFUNCTION("IFERROR((GOOGLEFINANCE($A558,""high52"")),"""")"),1.98)</f>
        <v>1.98</v>
      </c>
      <c r="J558" s="68" t="str">
        <f>IFERROR(__xludf.DUMMYFUNCTION("IFERROR((sparkline(GOOGLEFINANCE($A558,""price"",TODAY()-365,TODAY(),""DAILY""),{""charttype"",""line"";""linewidth"",1;""color"",""#5f88cc""})),"""")"),"")</f>
        <v/>
      </c>
      <c r="K558" s="66">
        <f>IFERROR(__xludf.DUMMYFUNCTION("IFERROR((((GOOGLEFINANCE(A558))-(INDEX(GoogleFinance(A558,""PRICE"",$AP$1),2,2)))/(INDEX(GoogleFinance(A558,""PRICE"",$AP$1),2,2))),"""")"),-0.013071895424836612)</f>
        <v>-0.01307189542</v>
      </c>
      <c r="L558" s="69">
        <f t="shared" si="1"/>
        <v>-0.2373737374</v>
      </c>
      <c r="M558" s="52">
        <f>IFERROR((VLOOKUP($A558,'Dados StatusInvest'!$A:$AZ,COLUMN(M558)-$A$5,0)*VLOOKUP($A558,'Dados StatusInvest'!$A:$AZ,2,0)/$F558/100),0)</f>
        <v>-0.2804450331</v>
      </c>
      <c r="N558" s="53">
        <f>IFERROR((VLOOKUP($A558,'Dados StatusInvest'!$A:$AZ,COLUMN(N558)-$A$5,0)/VLOOKUP($A558,'Dados StatusInvest'!$A:$AZ,2,0)*$F558),"")</f>
        <v>-46.64111842</v>
      </c>
      <c r="O558" s="53">
        <f>IFERROR((VLOOKUP($A558,'Dados StatusInvest'!$A:$AZ,COLUMN(O558)-$A$5,0)/VLOOKUP($A558,'Dados StatusInvest'!$A:$AZ,2,0)*$F558),0)</f>
        <v>-1.440460526</v>
      </c>
      <c r="P558" s="54">
        <f>IFERROR((VLOOKUP($A558,'Dados StatusInvest'!$A:$AZ,COLUMN(P558)-$A$5,0)/VLOOKUP($A558,'Dados StatusInvest'!$A:$AZ,2,0)*$F558),0)</f>
        <v>-8.036776316</v>
      </c>
      <c r="Q558" s="55">
        <f>IFERROR((VLOOKUP($A558,'Dados StatusInvest'!$A:$AZ,COLUMN(Q558)-$A$5,0)/100),0)</f>
        <v>-0.0664</v>
      </c>
      <c r="R558" s="56">
        <f>VLOOKUP($A558,'Dados StatusInvest'!$A:$AZ,COLUMN(R558)-$A$5,0)</f>
        <v>1.66</v>
      </c>
      <c r="S558" s="56">
        <f>IFERROR((VLOOKUP($A558,'Dados StatusInvest'!$A:$AZ,COLUMN(S558)-$A$5,0)),0)</f>
        <v>0.4</v>
      </c>
      <c r="T558" s="53">
        <f>IFERROR((VLOOKUP($A558,'Dados StatusInvest'!$A:$AZ,COLUMN(T558)-$A$5,0)/VLOOKUP($A558,'Dados StatusInvest'!$A:$AZ,2,0)*$F558),0)</f>
        <v>-1.480197368</v>
      </c>
      <c r="U558" s="53">
        <f>IFERROR((VLOOKUP($A558,'Dados StatusInvest'!$A:$AZ,COLUMN(U558)-$A$5,0)-VLOOKUP($A558,'Dados StatusInvest'!$A:$AZ,COLUMN(U558)-$A$5-1,0)+T558),0)</f>
        <v>-0.1301973684</v>
      </c>
      <c r="V558" s="56">
        <f>IFERROR((VLOOKUP($A558,'Dados StatusInvest'!$A:$AZ,COLUMN(V558)-$A$5,0)),0)</f>
        <v>0.81</v>
      </c>
      <c r="W558" s="56">
        <f>IFERROR((VLOOKUP($A558,'Dados StatusInvest'!$A:$AZ,COLUMN(W558)-$A$5,0)),0)</f>
        <v>-42.07</v>
      </c>
      <c r="X558" s="53">
        <f>IFERROR((VLOOKUP($A558,'Dados StatusInvest'!$A:$AZ,COLUMN(X558)-$A$5,0)/VLOOKUP($A558,'Dados StatusInvest'!$A:$AZ,2,0)*$F558),0)</f>
        <v>-11.78197368</v>
      </c>
      <c r="Y558" s="54">
        <f>IFERROR((VLOOKUP($A558,'Dados StatusInvest'!$A:$AZ,COLUMN(Y558)-$A$5,0)/VLOOKUP($A558,'Dados StatusInvest'!$A:$AZ,2,0)*$F558),0)</f>
        <v>-9.685855263</v>
      </c>
      <c r="Z558" s="56">
        <f>IFERROR((VLOOKUP($A558,'Dados StatusInvest'!$A:$AZ,COLUMN(Z558)-$A$5,0)),0)</f>
        <v>0.28</v>
      </c>
      <c r="AA558" s="57">
        <f>IFERROR((VLOOKUP($A558,'Dados StatusInvest'!$A:$AZ,COLUMN(AA558)-$A$5,0)),0)</f>
        <v>0.71</v>
      </c>
      <c r="AB558" s="57">
        <f>IFERROR((VLOOKUP($A558,'Dados StatusInvest'!$A:$AZ,COLUMN(AB558)-$A$5,0)),0)</f>
        <v>0.25</v>
      </c>
      <c r="AC558" s="58">
        <f>IFERROR((VLOOKUP($A558,'Dados StatusInvest'!$A:$AZ,COLUMN(AC558)-$A$5,0)),0)</f>
        <v>5.16</v>
      </c>
      <c r="AD558" s="57">
        <f>IFERROR((VLOOKUP($A558,'Dados StatusInvest'!$A:$AZ,COLUMN(AD558)-$A$5,0)),0)</f>
        <v>0</v>
      </c>
      <c r="AE558" s="56">
        <f>IFERROR((VLOOKUP($A558,'Dados StatusInvest'!$A:$AZ,COLUMN(AE558)-$A$5,0)),0)</f>
        <v>259804.8</v>
      </c>
      <c r="AF558" s="56">
        <f>IFERROR((VLOOKUP($A558,'Dados StatusInvest'!$A:$AZ,COLUMN(AF558)-$A$5,0)),0)</f>
        <v>4.21</v>
      </c>
      <c r="AG558" s="56">
        <f>IFERROR((VLOOKUP($A558,'Dados StatusInvest'!$A:$AZ,COLUMN(AG558)-$A$5,0)),0)</f>
        <v>-1.77</v>
      </c>
      <c r="AH558" s="56">
        <f>IFERROR((VLOOKUP($A558,'Dados StatusInvest'!$A:$AZ,COLUMN(AH558)-$A$5,0)),0)</f>
        <v>0.06</v>
      </c>
      <c r="AI558" s="57">
        <f>IFERROR((VLOOKUP($A558,'Dados StatusInvest'!$A:$AZ,COLUMN(AI558)-$A$5,0)),0)</f>
        <v>111901229.6</v>
      </c>
      <c r="AJ558" s="59" t="str">
        <f>IFERROR((VLOOKUP($A558,'Dados StatusInvest'!$A:$AZ,COLUMN(AJ558)-$A$5,0)),0)</f>
        <v/>
      </c>
      <c r="AK558" s="67">
        <f>IFERROR(__xludf.DUMMYFUNCTION("IFERROR(GOOGLEFINANCE($A558,""high""),"""")"),1.51)</f>
        <v>1.51</v>
      </c>
      <c r="AL558" s="67">
        <f>IFERROR(__xludf.DUMMYFUNCTION("IFERROR(GOOGLEFINANCE($A558,""low""),"""")"),1.5)</f>
        <v>1.5</v>
      </c>
      <c r="AM558" s="70">
        <f t="shared" si="2"/>
        <v>0.006666666667</v>
      </c>
      <c r="AN558" s="71">
        <f>IFERROR(__xludf.DUMMYFUNCTION("IFERROR((GOOGLEFINANCE($A558,""volume"")),0)"),2300.0)</f>
        <v>2300</v>
      </c>
      <c r="AO558" s="67">
        <f>IFERROR(__xludf.DUMMYFUNCTION("IFERROR((GOOGLEFINANCE($A558,""closeyest"")),"""")"),1.52)</f>
        <v>1.52</v>
      </c>
      <c r="AP558" s="67">
        <f>IFERROR(__xludf.DUMMYFUNCTION("IFERROR((GOOGLEFINANCE($A558,""shares"")),"""")"),7.361923E7)</f>
        <v>73619230</v>
      </c>
      <c r="AQ558" s="60"/>
    </row>
    <row r="559">
      <c r="A559" s="45" t="str">
        <f>'Dados StatusInvest'!A554:A1173</f>
        <v>TECN3</v>
      </c>
      <c r="B559" s="63" t="str">
        <f>IFERROR(__xludf.DUMMYFUNCTION("IFERROR((GOOGLEFINANCE(A559,""name"")),"""")"),"Technos SA")</f>
        <v>Technos SA</v>
      </c>
      <c r="C559" s="63" t="str">
        <f>IFERROR((VLOOKUP(LEFT($A559,4),Setor!$A:$E,3,0)),"")</f>
        <v>Consumo Cíclico</v>
      </c>
      <c r="D559" s="63" t="str">
        <f>IFERROR((VLOOKUP(LEFT($A559,4),Setor!$A:$E,4,0)),"")</f>
        <v>Tecidos, Vestuário e Calçados</v>
      </c>
      <c r="E559" s="63" t="str">
        <f>IFERROR((VLOOKUP(LEFT($A559,4),Setor!$A:$E,5,0)),"")</f>
        <v>Acessórios</v>
      </c>
      <c r="F559" s="64">
        <f>IFERROR(__xludf.DUMMYFUNCTION("IFERROR((GOOGLEFINANCE(A559)),"""")"),8.95)</f>
        <v>8.95</v>
      </c>
      <c r="G559" s="65" t="str">
        <f>IFERROR(__xludf.DUMMYFUNCTION("IFERROR((sparkline(GOOGLEFINANCE($A559,""price"",TODAY()-30,TODAY(),""DAILY""),{""charttype"",""line"";""linewidth"",1;""color"",""#5f88cc""})),"""")"),"")</f>
        <v/>
      </c>
      <c r="H559" s="66">
        <f>IFERROR(__xludf.DUMMYFUNCTION("IFERROR((((GOOGLEFINANCE(A559))-(INDEX(GoogleFinance(A559,""PRICE"",$AQ$1),2,2)))/(INDEX(GoogleFinance(A559,""PRICE"",$AQ$1),2,2))),"""")"),0.2260273972602739)</f>
        <v>0.2260273973</v>
      </c>
      <c r="I559" s="47">
        <f>IFERROR(__xludf.DUMMYFUNCTION("IFERROR((GOOGLEFINANCE($A559,""high52"")),"""")"),9.15)</f>
        <v>9.15</v>
      </c>
      <c r="J559" s="68" t="str">
        <f>IFERROR(__xludf.DUMMYFUNCTION("IFERROR((sparkline(GOOGLEFINANCE($A559,""price"",TODAY()-365,TODAY(),""DAILY""),{""charttype"",""line"";""linewidth"",1;""color"",""#5f88cc""})),"""")"),"")</f>
        <v/>
      </c>
      <c r="K559" s="66">
        <f>IFERROR(__xludf.DUMMYFUNCTION("IFERROR((((GOOGLEFINANCE(A559))-(INDEX(GoogleFinance(A559,""PRICE"",$AP$1),2,2)))/(INDEX(GoogleFinance(A559,""PRICE"",$AP$1),2,2))),"""")"),0.5646853146853146)</f>
        <v>0.5646853147</v>
      </c>
      <c r="L559" s="69">
        <f t="shared" si="1"/>
        <v>-0.0218579235</v>
      </c>
      <c r="M559" s="52">
        <f>IFERROR((VLOOKUP($A559,'Dados StatusInvest'!$A:$AZ,COLUMN(M559)-$A$5,0)*VLOOKUP($A559,'Dados StatusInvest'!$A:$AZ,2,0)/$F559/100),0)</f>
        <v>0.1604</v>
      </c>
      <c r="N559" s="53">
        <f>IFERROR((VLOOKUP($A559,'Dados StatusInvest'!$A:$AZ,COLUMN(N559)-$A$5,0)/VLOOKUP($A559,'Dados StatusInvest'!$A:$AZ,2,0)*$F559),"")</f>
        <v>15.07</v>
      </c>
      <c r="O559" s="53">
        <f>IFERROR((VLOOKUP($A559,'Dados StatusInvest'!$A:$AZ,COLUMN(O559)-$A$5,0)/VLOOKUP($A559,'Dados StatusInvest'!$A:$AZ,2,0)*$F559),0)</f>
        <v>7.49</v>
      </c>
      <c r="P559" s="54">
        <f>IFERROR((VLOOKUP($A559,'Dados StatusInvest'!$A:$AZ,COLUMN(P559)-$A$5,0)/VLOOKUP($A559,'Dados StatusInvest'!$A:$AZ,2,0)*$F559),0)</f>
        <v>7.77</v>
      </c>
      <c r="Q559" s="55">
        <f>IFERROR((VLOOKUP($A559,'Dados StatusInvest'!$A:$AZ,COLUMN(Q559)-$A$5,0)/100),0)</f>
        <v>0.0028</v>
      </c>
      <c r="R559" s="56">
        <f>VLOOKUP($A559,'Dados StatusInvest'!$A:$AZ,COLUMN(R559)-$A$5,0)</f>
        <v>0.05</v>
      </c>
      <c r="S559" s="56">
        <f>IFERROR((VLOOKUP($A559,'Dados StatusInvest'!$A:$AZ,COLUMN(S559)-$A$5,0)),0)</f>
        <v>1.2</v>
      </c>
      <c r="T559" s="53">
        <f>IFERROR((VLOOKUP($A559,'Dados StatusInvest'!$A:$AZ,COLUMN(T559)-$A$5,0)/VLOOKUP($A559,'Dados StatusInvest'!$A:$AZ,2,0)*$F559),0)</f>
        <v>1.64</v>
      </c>
      <c r="U559" s="53">
        <f>IFERROR((VLOOKUP($A559,'Dados StatusInvest'!$A:$AZ,COLUMN(U559)-$A$5,0)-VLOOKUP($A559,'Dados StatusInvest'!$A:$AZ,COLUMN(U559)-$A$5-1,0)+T559),0)</f>
        <v>-2.35</v>
      </c>
      <c r="V559" s="56">
        <f>IFERROR((VLOOKUP($A559,'Dados StatusInvest'!$A:$AZ,COLUMN(V559)-$A$5,0)),0)</f>
        <v>3.25</v>
      </c>
      <c r="W559" s="56">
        <f>IFERROR((VLOOKUP($A559,'Dados StatusInvest'!$A:$AZ,COLUMN(W559)-$A$5,0)),0)</f>
        <v>15.64</v>
      </c>
      <c r="X559" s="53">
        <f>IFERROR((VLOOKUP($A559,'Dados StatusInvest'!$A:$AZ,COLUMN(X559)-$A$5,0)/VLOOKUP($A559,'Dados StatusInvest'!$A:$AZ,2,0)*$F559),0)</f>
        <v>9.61</v>
      </c>
      <c r="Y559" s="54">
        <f>IFERROR((VLOOKUP($A559,'Dados StatusInvest'!$A:$AZ,COLUMN(Y559)-$A$5,0)/VLOOKUP($A559,'Dados StatusInvest'!$A:$AZ,2,0)*$F559),0)</f>
        <v>11.97</v>
      </c>
      <c r="Z559" s="56">
        <f>IFERROR((VLOOKUP($A559,'Dados StatusInvest'!$A:$AZ,COLUMN(Z559)-$A$5,0)),0)</f>
        <v>0.61</v>
      </c>
      <c r="AA559" s="57">
        <f>IFERROR((VLOOKUP($A559,'Dados StatusInvest'!$A:$AZ,COLUMN(AA559)-$A$5,0)),0)</f>
        <v>0.39</v>
      </c>
      <c r="AB559" s="57">
        <f>IFERROR((VLOOKUP($A559,'Dados StatusInvest'!$A:$AZ,COLUMN(AB559)-$A$5,0)),0)</f>
        <v>0.64</v>
      </c>
      <c r="AC559" s="58">
        <f>IFERROR((VLOOKUP($A559,'Dados StatusInvest'!$A:$AZ,COLUMN(AC559)-$A$5,0)),0)</f>
        <v>4.83</v>
      </c>
      <c r="AD559" s="57">
        <f>IFERROR((VLOOKUP($A559,'Dados StatusInvest'!$A:$AZ,COLUMN(AD559)-$A$5,0)),0)</f>
        <v>0</v>
      </c>
      <c r="AE559" s="56">
        <f>IFERROR((VLOOKUP($A559,'Dados StatusInvest'!$A:$AZ,COLUMN(AE559)-$A$5,0)),0)</f>
        <v>466551.2</v>
      </c>
      <c r="AF559" s="56">
        <f>IFERROR((VLOOKUP($A559,'Dados StatusInvest'!$A:$AZ,COLUMN(AF559)-$A$5,0)),0)</f>
        <v>7.18</v>
      </c>
      <c r="AG559" s="56">
        <f>IFERROR((VLOOKUP($A559,'Dados StatusInvest'!$A:$AZ,COLUMN(AG559)-$A$5,0)),0)</f>
        <v>1.12</v>
      </c>
      <c r="AH559" s="56">
        <f>IFERROR((VLOOKUP($A559,'Dados StatusInvest'!$A:$AZ,COLUMN(AH559)-$A$5,0)),0)</f>
        <v>1.15</v>
      </c>
      <c r="AI559" s="57">
        <f>IFERROR((VLOOKUP($A559,'Dados StatusInvest'!$A:$AZ,COLUMN(AI559)-$A$5,0)),0)</f>
        <v>545110624.3</v>
      </c>
      <c r="AJ559" s="59" t="str">
        <f>IFERROR((VLOOKUP($A559,'Dados StatusInvest'!$A:$AZ,COLUMN(AJ559)-$A$5,0)),0)</f>
        <v/>
      </c>
      <c r="AK559" s="67">
        <f>IFERROR(__xludf.DUMMYFUNCTION("IFERROR(GOOGLEFINANCE($A559,""high""),"""")"),9.04)</f>
        <v>9.04</v>
      </c>
      <c r="AL559" s="67">
        <f>IFERROR(__xludf.DUMMYFUNCTION("IFERROR(GOOGLEFINANCE($A559,""low""),"""")"),8.89)</f>
        <v>8.89</v>
      </c>
      <c r="AM559" s="70">
        <f t="shared" si="2"/>
        <v>0.01687289089</v>
      </c>
      <c r="AN559" s="71">
        <f>IFERROR(__xludf.DUMMYFUNCTION("IFERROR((GOOGLEFINANCE($A559,""volume"")),0)"),2300.0)</f>
        <v>2300</v>
      </c>
      <c r="AO559" s="67">
        <f>IFERROR(__xludf.DUMMYFUNCTION("IFERROR((GOOGLEFINANCE($A559,""closeyest"")),"""")"),8.95)</f>
        <v>8.95</v>
      </c>
      <c r="AP559" s="67">
        <f>IFERROR(__xludf.DUMMYFUNCTION("IFERROR((GOOGLEFINANCE($A559,""shares"")),"""")"),6.0906215E7)</f>
        <v>60906215</v>
      </c>
      <c r="AQ559" s="60"/>
    </row>
    <row r="560">
      <c r="A560" s="45" t="str">
        <f>'Dados StatusInvest'!A555:A1174</f>
        <v>TEKA3</v>
      </c>
      <c r="B560" s="63" t="str">
        <f>IFERROR(__xludf.DUMMYFUNCTION("IFERROR((GOOGLEFINANCE(A560,""name"")),"""")"),"")</f>
        <v/>
      </c>
      <c r="C560" s="63" t="str">
        <f>IFERROR((VLOOKUP(LEFT($A560,4),Setor!$A:$E,3,0)),"")</f>
        <v>Consumo Cíclico</v>
      </c>
      <c r="D560" s="63" t="str">
        <f>IFERROR((VLOOKUP(LEFT($A560,4),Setor!$A:$E,4,0)),"")</f>
        <v>Tecidos, Vestuário e Calçados</v>
      </c>
      <c r="E560" s="63" t="str">
        <f>IFERROR((VLOOKUP(LEFT($A560,4),Setor!$A:$E,5,0)),"")</f>
        <v>Fios e Tecidos</v>
      </c>
      <c r="F560" s="64" t="str">
        <f>IFERROR(__xludf.DUMMYFUNCTION("IFERROR((GOOGLEFINANCE(A560)),"""")"),"")</f>
        <v/>
      </c>
      <c r="G560" s="65" t="str">
        <f>IFERROR(__xludf.DUMMYFUNCTION("IFERROR((sparkline(GOOGLEFINANCE($A560,""price"",TODAY()-30,TODAY(),""DAILY""),{""charttype"",""line"";""linewidth"",1;""color"",""#5f88cc""})),"""")"),"")</f>
        <v/>
      </c>
      <c r="H560" s="66" t="str">
        <f>IFERROR(__xludf.DUMMYFUNCTION("IFERROR((((GOOGLEFINANCE(A560))-(INDEX(GoogleFinance(A560,""PRICE"",$AQ$1),2,2)))/(INDEX(GoogleFinance(A560,""PRICE"",$AQ$1),2,2))),"""")"),"")</f>
        <v/>
      </c>
      <c r="I560" s="47" t="str">
        <f>IFERROR(__xludf.DUMMYFUNCTION("IFERROR((GOOGLEFINANCE($A560,""high52"")),"""")"),"")</f>
        <v/>
      </c>
      <c r="J560" s="68" t="str">
        <f>IFERROR(__xludf.DUMMYFUNCTION("IFERROR((sparkline(GOOGLEFINANCE($A560,""price"",TODAY()-365,TODAY(),""DAILY""),{""charttype"",""line"";""linewidth"",1;""color"",""#5f88cc""})),"""")"),"")</f>
        <v/>
      </c>
      <c r="K560" s="66" t="str">
        <f>IFERROR(__xludf.DUMMYFUNCTION("IFERROR((((GOOGLEFINANCE(A560))-(INDEX(GoogleFinance(A560,""PRICE"",$AP$1),2,2)))/(INDEX(GoogleFinance(A560,""PRICE"",$AP$1),2,2))),"""")"),"")</f>
        <v/>
      </c>
      <c r="L560" s="69">
        <f t="shared" si="1"/>
        <v>0</v>
      </c>
      <c r="M560" s="52">
        <f>IFERROR((VLOOKUP($A560,'Dados StatusInvest'!$A:$AZ,COLUMN(M560)-$A$5,0)*VLOOKUP($A560,'Dados StatusInvest'!$A:$AZ,2,0)/$F560/100),0)</f>
        <v>0</v>
      </c>
      <c r="N560" s="53">
        <f>IFERROR((VLOOKUP($A560,'Dados StatusInvest'!$A:$AZ,COLUMN(N560)-$A$5,0)/VLOOKUP($A560,'Dados StatusInvest'!$A:$AZ,2,0)*$F560),"")</f>
        <v>0</v>
      </c>
      <c r="O560" s="53">
        <f>IFERROR((VLOOKUP($A560,'Dados StatusInvest'!$A:$AZ,COLUMN(O560)-$A$5,0)/VLOOKUP($A560,'Dados StatusInvest'!$A:$AZ,2,0)*$F560),0)</f>
        <v>0</v>
      </c>
      <c r="P560" s="54">
        <f>IFERROR((VLOOKUP($A560,'Dados StatusInvest'!$A:$AZ,COLUMN(P560)-$A$5,0)/VLOOKUP($A560,'Dados StatusInvest'!$A:$AZ,2,0)*$F560),0)</f>
        <v>0</v>
      </c>
      <c r="Q560" s="55">
        <f>IFERROR((VLOOKUP($A560,'Dados StatusInvest'!$A:$AZ,COLUMN(Q560)-$A$5,0)/100),0)</f>
        <v>-0.0154</v>
      </c>
      <c r="R560" s="56">
        <f>VLOOKUP($A560,'Dados StatusInvest'!$A:$AZ,COLUMN(R560)-$A$5,0)</f>
        <v>0</v>
      </c>
      <c r="S560" s="56">
        <f>IFERROR((VLOOKUP($A560,'Dados StatusInvest'!$A:$AZ,COLUMN(S560)-$A$5,0)),0)</f>
        <v>0.06</v>
      </c>
      <c r="T560" s="53">
        <f>IFERROR((VLOOKUP($A560,'Dados StatusInvest'!$A:$AZ,COLUMN(T560)-$A$5,0)/VLOOKUP($A560,'Dados StatusInvest'!$A:$AZ,2,0)*$F560),0)</f>
        <v>0</v>
      </c>
      <c r="U560" s="53">
        <f>IFERROR((VLOOKUP($A560,'Dados StatusInvest'!$A:$AZ,COLUMN(U560)-$A$5,0)-VLOOKUP($A560,'Dados StatusInvest'!$A:$AZ,COLUMN(U560)-$A$5-1,0)+T560),0)</f>
        <v>-0.01</v>
      </c>
      <c r="V560" s="56">
        <f>IFERROR((VLOOKUP($A560,'Dados StatusInvest'!$A:$AZ,COLUMN(V560)-$A$5,0)),0)</f>
        <v>0.04</v>
      </c>
      <c r="W560" s="56">
        <f>IFERROR((VLOOKUP($A560,'Dados StatusInvest'!$A:$AZ,COLUMN(W560)-$A$5,0)),0)</f>
        <v>-6.36</v>
      </c>
      <c r="X560" s="53">
        <f>IFERROR((VLOOKUP($A560,'Dados StatusInvest'!$A:$AZ,COLUMN(X560)-$A$5,0)/VLOOKUP($A560,'Dados StatusInvest'!$A:$AZ,2,0)*$F560),0)</f>
        <v>0</v>
      </c>
      <c r="Y560" s="54">
        <f>IFERROR((VLOOKUP($A560,'Dados StatusInvest'!$A:$AZ,COLUMN(Y560)-$A$5,0)/VLOOKUP($A560,'Dados StatusInvest'!$A:$AZ,2,0)*$F560),0)</f>
        <v>0</v>
      </c>
      <c r="Z560" s="56">
        <f>IFERROR((VLOOKUP($A560,'Dados StatusInvest'!$A:$AZ,COLUMN(Z560)-$A$5,0)),0)</f>
        <v>-2.01</v>
      </c>
      <c r="AA560" s="57">
        <f>IFERROR((VLOOKUP($A560,'Dados StatusInvest'!$A:$AZ,COLUMN(AA560)-$A$5,0)),0)</f>
        <v>3.01</v>
      </c>
      <c r="AB560" s="57">
        <f>IFERROR((VLOOKUP($A560,'Dados StatusInvest'!$A:$AZ,COLUMN(AB560)-$A$5,0)),0)</f>
        <v>0.29</v>
      </c>
      <c r="AC560" s="58">
        <f>IFERROR((VLOOKUP($A560,'Dados StatusInvest'!$A:$AZ,COLUMN(AC560)-$A$5,0)),0)</f>
        <v>17.7</v>
      </c>
      <c r="AD560" s="57">
        <f>IFERROR((VLOOKUP($A560,'Dados StatusInvest'!$A:$AZ,COLUMN(AD560)-$A$5,0)),0)</f>
        <v>0</v>
      </c>
      <c r="AE560" s="56">
        <f>IFERROR((VLOOKUP($A560,'Dados StatusInvest'!$A:$AZ,COLUMN(AE560)-$A$5,0)),0)</f>
        <v>0</v>
      </c>
      <c r="AF560" s="56">
        <f>IFERROR((VLOOKUP($A560,'Dados StatusInvest'!$A:$AZ,COLUMN(AF560)-$A$5,0)),0)</f>
        <v>-4587.35</v>
      </c>
      <c r="AG560" s="56">
        <f>IFERROR((VLOOKUP($A560,'Dados StatusInvest'!$A:$AZ,COLUMN(AG560)-$A$5,0)),0)</f>
        <v>291.75</v>
      </c>
      <c r="AH560" s="56">
        <f>IFERROR((VLOOKUP($A560,'Dados StatusInvest'!$A:$AZ,COLUMN(AH560)-$A$5,0)),0)</f>
        <v>0</v>
      </c>
      <c r="AI560" s="57">
        <f>IFERROR((VLOOKUP($A560,'Dados StatusInvest'!$A:$AZ,COLUMN(AI560)-$A$5,0)),0)</f>
        <v>14260237.5</v>
      </c>
      <c r="AJ560" s="59" t="str">
        <f>IFERROR((VLOOKUP($A560,'Dados StatusInvest'!$A:$AZ,COLUMN(AJ560)-$A$5,0)),0)</f>
        <v/>
      </c>
      <c r="AK560" s="67" t="str">
        <f>IFERROR(__xludf.DUMMYFUNCTION("IFERROR(GOOGLEFINANCE($A560,""high""),"""")"),"")</f>
        <v/>
      </c>
      <c r="AL560" s="67" t="str">
        <f>IFERROR(__xludf.DUMMYFUNCTION("IFERROR(GOOGLEFINANCE($A560,""low""),"""")"),"")</f>
        <v/>
      </c>
      <c r="AM560" s="70">
        <f t="shared" si="2"/>
        <v>0</v>
      </c>
      <c r="AN560" s="71">
        <f>IFERROR(__xludf.DUMMYFUNCTION("IFERROR((GOOGLEFINANCE($A560,""volume"")),0)"),0.0)</f>
        <v>0</v>
      </c>
      <c r="AO560" s="67" t="str">
        <f>IFERROR(__xludf.DUMMYFUNCTION("IFERROR((GOOGLEFINANCE($A560,""closeyest"")),"""")"),"")</f>
        <v/>
      </c>
      <c r="AP560" s="67" t="str">
        <f>IFERROR(__xludf.DUMMYFUNCTION("IFERROR((GOOGLEFINANCE($A560,""shares"")),"""")"),"")</f>
        <v/>
      </c>
      <c r="AQ560" s="60"/>
    </row>
    <row r="561">
      <c r="A561" s="45" t="str">
        <f>'Dados StatusInvest'!A556:A1175</f>
        <v>TEKA4</v>
      </c>
      <c r="B561" s="63" t="str">
        <f>IFERROR(__xludf.DUMMYFUNCTION("IFERROR((GOOGLEFINANCE(A561,""name"")),"""")"),"")</f>
        <v/>
      </c>
      <c r="C561" s="63" t="str">
        <f>IFERROR((VLOOKUP(LEFT($A561,4),Setor!$A:$E,3,0)),"")</f>
        <v>Consumo Cíclico</v>
      </c>
      <c r="D561" s="63" t="str">
        <f>IFERROR((VLOOKUP(LEFT($A561,4),Setor!$A:$E,4,0)),"")</f>
        <v>Tecidos, Vestuário e Calçados</v>
      </c>
      <c r="E561" s="63" t="str">
        <f>IFERROR((VLOOKUP(LEFT($A561,4),Setor!$A:$E,5,0)),"")</f>
        <v>Fios e Tecidos</v>
      </c>
      <c r="F561" s="64" t="str">
        <f>IFERROR(__xludf.DUMMYFUNCTION("IFERROR((GOOGLEFINANCE(A561)),"""")"),"")</f>
        <v/>
      </c>
      <c r="G561" s="65" t="str">
        <f>IFERROR(__xludf.DUMMYFUNCTION("IFERROR((sparkline(GOOGLEFINANCE($A561,""price"",TODAY()-30,TODAY(),""DAILY""),{""charttype"",""line"";""linewidth"",1;""color"",""#5f88cc""})),"""")"),"")</f>
        <v/>
      </c>
      <c r="H561" s="66" t="str">
        <f>IFERROR(__xludf.DUMMYFUNCTION("IFERROR((((GOOGLEFINANCE(A561))-(INDEX(GoogleFinance(A561,""PRICE"",$AQ$1),2,2)))/(INDEX(GoogleFinance(A561,""PRICE"",$AQ$1),2,2))),"""")"),"")</f>
        <v/>
      </c>
      <c r="I561" s="47" t="str">
        <f>IFERROR(__xludf.DUMMYFUNCTION("IFERROR((GOOGLEFINANCE($A561,""high52"")),"""")"),"")</f>
        <v/>
      </c>
      <c r="J561" s="68" t="str">
        <f>IFERROR(__xludf.DUMMYFUNCTION("IFERROR((sparkline(GOOGLEFINANCE($A561,""price"",TODAY()-365,TODAY(),""DAILY""),{""charttype"",""line"";""linewidth"",1;""color"",""#5f88cc""})),"""")"),"")</f>
        <v/>
      </c>
      <c r="K561" s="66" t="str">
        <f>IFERROR(__xludf.DUMMYFUNCTION("IFERROR((((GOOGLEFINANCE(A561))-(INDEX(GoogleFinance(A561,""PRICE"",$AP$1),2,2)))/(INDEX(GoogleFinance(A561,""PRICE"",$AP$1),2,2))),"""")"),"")</f>
        <v/>
      </c>
      <c r="L561" s="69">
        <f t="shared" si="1"/>
        <v>0</v>
      </c>
      <c r="M561" s="52">
        <f>IFERROR((VLOOKUP($A561,'Dados StatusInvest'!$A:$AZ,COLUMN(M561)-$A$5,0)*VLOOKUP($A561,'Dados StatusInvest'!$A:$AZ,2,0)/$F561/100),0)</f>
        <v>0</v>
      </c>
      <c r="N561" s="53">
        <f>IFERROR((VLOOKUP($A561,'Dados StatusInvest'!$A:$AZ,COLUMN(N561)-$A$5,0)/VLOOKUP($A561,'Dados StatusInvest'!$A:$AZ,2,0)*$F561),"")</f>
        <v>0</v>
      </c>
      <c r="O561" s="53">
        <f>IFERROR((VLOOKUP($A561,'Dados StatusInvest'!$A:$AZ,COLUMN(O561)-$A$5,0)/VLOOKUP($A561,'Dados StatusInvest'!$A:$AZ,2,0)*$F561),0)</f>
        <v>0</v>
      </c>
      <c r="P561" s="54">
        <f>IFERROR((VLOOKUP($A561,'Dados StatusInvest'!$A:$AZ,COLUMN(P561)-$A$5,0)/VLOOKUP($A561,'Dados StatusInvest'!$A:$AZ,2,0)*$F561),0)</f>
        <v>0</v>
      </c>
      <c r="Q561" s="55">
        <f>IFERROR((VLOOKUP($A561,'Dados StatusInvest'!$A:$AZ,COLUMN(Q561)-$A$5,0)/100),0)</f>
        <v>-0.0154</v>
      </c>
      <c r="R561" s="56">
        <f>VLOOKUP($A561,'Dados StatusInvest'!$A:$AZ,COLUMN(R561)-$A$5,0)</f>
        <v>0</v>
      </c>
      <c r="S561" s="56">
        <f>IFERROR((VLOOKUP($A561,'Dados StatusInvest'!$A:$AZ,COLUMN(S561)-$A$5,0)),0)</f>
        <v>0.03</v>
      </c>
      <c r="T561" s="53">
        <f>IFERROR((VLOOKUP($A561,'Dados StatusInvest'!$A:$AZ,COLUMN(T561)-$A$5,0)/VLOOKUP($A561,'Dados StatusInvest'!$A:$AZ,2,0)*$F561),0)</f>
        <v>0</v>
      </c>
      <c r="U561" s="53">
        <f>IFERROR((VLOOKUP($A561,'Dados StatusInvest'!$A:$AZ,COLUMN(U561)-$A$5,0)-VLOOKUP($A561,'Dados StatusInvest'!$A:$AZ,COLUMN(U561)-$A$5-1,0)+T561),0)</f>
        <v>-0.01</v>
      </c>
      <c r="V561" s="56">
        <f>IFERROR((VLOOKUP($A561,'Dados StatusInvest'!$A:$AZ,COLUMN(V561)-$A$5,0)),0)</f>
        <v>0.04</v>
      </c>
      <c r="W561" s="56">
        <f>IFERROR((VLOOKUP($A561,'Dados StatusInvest'!$A:$AZ,COLUMN(W561)-$A$5,0)),0)</f>
        <v>-6.36</v>
      </c>
      <c r="X561" s="53">
        <f>IFERROR((VLOOKUP($A561,'Dados StatusInvest'!$A:$AZ,COLUMN(X561)-$A$5,0)/VLOOKUP($A561,'Dados StatusInvest'!$A:$AZ,2,0)*$F561),0)</f>
        <v>0</v>
      </c>
      <c r="Y561" s="54">
        <f>IFERROR((VLOOKUP($A561,'Dados StatusInvest'!$A:$AZ,COLUMN(Y561)-$A$5,0)/VLOOKUP($A561,'Dados StatusInvest'!$A:$AZ,2,0)*$F561),0)</f>
        <v>0</v>
      </c>
      <c r="Z561" s="56">
        <f>IFERROR((VLOOKUP($A561,'Dados StatusInvest'!$A:$AZ,COLUMN(Z561)-$A$5,0)),0)</f>
        <v>-2.01</v>
      </c>
      <c r="AA561" s="57">
        <f>IFERROR((VLOOKUP($A561,'Dados StatusInvest'!$A:$AZ,COLUMN(AA561)-$A$5,0)),0)</f>
        <v>3.01</v>
      </c>
      <c r="AB561" s="57">
        <f>IFERROR((VLOOKUP($A561,'Dados StatusInvest'!$A:$AZ,COLUMN(AB561)-$A$5,0)),0)</f>
        <v>0.29</v>
      </c>
      <c r="AC561" s="58">
        <f>IFERROR((VLOOKUP($A561,'Dados StatusInvest'!$A:$AZ,COLUMN(AC561)-$A$5,0)),0)</f>
        <v>17.7</v>
      </c>
      <c r="AD561" s="57">
        <f>IFERROR((VLOOKUP($A561,'Dados StatusInvest'!$A:$AZ,COLUMN(AD561)-$A$5,0)),0)</f>
        <v>0</v>
      </c>
      <c r="AE561" s="56">
        <f>IFERROR((VLOOKUP($A561,'Dados StatusInvest'!$A:$AZ,COLUMN(AE561)-$A$5,0)),0)</f>
        <v>0</v>
      </c>
      <c r="AF561" s="56">
        <f>IFERROR((VLOOKUP($A561,'Dados StatusInvest'!$A:$AZ,COLUMN(AF561)-$A$5,0)),0)</f>
        <v>-4587.35</v>
      </c>
      <c r="AG561" s="56">
        <f>IFERROR((VLOOKUP($A561,'Dados StatusInvest'!$A:$AZ,COLUMN(AG561)-$A$5,0)),0)</f>
        <v>291.75</v>
      </c>
      <c r="AH561" s="56">
        <f>IFERROR((VLOOKUP($A561,'Dados StatusInvest'!$A:$AZ,COLUMN(AH561)-$A$5,0)),0)</f>
        <v>0</v>
      </c>
      <c r="AI561" s="57">
        <f>IFERROR((VLOOKUP($A561,'Dados StatusInvest'!$A:$AZ,COLUMN(AI561)-$A$5,0)),0)</f>
        <v>14260237.5</v>
      </c>
      <c r="AJ561" s="59" t="str">
        <f>IFERROR((VLOOKUP($A561,'Dados StatusInvest'!$A:$AZ,COLUMN(AJ561)-$A$5,0)),0)</f>
        <v/>
      </c>
      <c r="AK561" s="67" t="str">
        <f>IFERROR(__xludf.DUMMYFUNCTION("IFERROR(GOOGLEFINANCE($A561,""high""),"""")"),"")</f>
        <v/>
      </c>
      <c r="AL561" s="67" t="str">
        <f>IFERROR(__xludf.DUMMYFUNCTION("IFERROR(GOOGLEFINANCE($A561,""low""),"""")"),"")</f>
        <v/>
      </c>
      <c r="AM561" s="70">
        <f t="shared" si="2"/>
        <v>0</v>
      </c>
      <c r="AN561" s="71">
        <f>IFERROR(__xludf.DUMMYFUNCTION("IFERROR((GOOGLEFINANCE($A561,""volume"")),0)"),0.0)</f>
        <v>0</v>
      </c>
      <c r="AO561" s="67" t="str">
        <f>IFERROR(__xludf.DUMMYFUNCTION("IFERROR((GOOGLEFINANCE($A561,""closeyest"")),"""")"),"")</f>
        <v/>
      </c>
      <c r="AP561" s="67" t="str">
        <f>IFERROR(__xludf.DUMMYFUNCTION("IFERROR((GOOGLEFINANCE($A561,""shares"")),"""")"),"")</f>
        <v/>
      </c>
      <c r="AQ561" s="60"/>
    </row>
    <row r="562">
      <c r="A562" s="45" t="str">
        <f>'Dados StatusInvest'!A557:A1176</f>
        <v>TELB3</v>
      </c>
      <c r="B562" s="63" t="str">
        <f>IFERROR(__xludf.DUMMYFUNCTION("IFERROR((GOOGLEFINANCE(A562,""name"")),"""")"),"Telecomunicacoes Brasileiras SA - TELBRS")</f>
        <v>Telecomunicacoes Brasileiras SA - TELBRS</v>
      </c>
      <c r="C562" s="63" t="str">
        <f>IFERROR((VLOOKUP(LEFT($A562,4),Setor!$A:$E,3,0)),"")</f>
        <v>Comunicações</v>
      </c>
      <c r="D562" s="63" t="str">
        <f>IFERROR((VLOOKUP(LEFT($A562,4),Setor!$A:$E,4,0)),"")</f>
        <v>Telecomunicações</v>
      </c>
      <c r="E562" s="63" t="str">
        <f>IFERROR((VLOOKUP(LEFT($A562,4),Setor!$A:$E,5,0)),"")</f>
        <v>Telecomunicações</v>
      </c>
      <c r="F562" s="64">
        <f>IFERROR(__xludf.DUMMYFUNCTION("IFERROR((GOOGLEFINANCE(A562)),"""")"),12.8)</f>
        <v>12.8</v>
      </c>
      <c r="G562" s="65" t="str">
        <f>IFERROR(__xludf.DUMMYFUNCTION("IFERROR((sparkline(GOOGLEFINANCE($A562,""price"",TODAY()-30,TODAY(),""DAILY""),{""charttype"",""line"";""linewidth"",1;""color"",""#5f88cc""})),"""")"),"")</f>
        <v/>
      </c>
      <c r="H562" s="66">
        <f>IFERROR(__xludf.DUMMYFUNCTION("IFERROR((((GOOGLEFINANCE(A562))-(INDEX(GoogleFinance(A562,""PRICE"",$AQ$1),2,2)))/(INDEX(GoogleFinance(A562,""PRICE"",$AQ$1),2,2))),"""")"),0.18408880666049954)</f>
        <v>0.1840888067</v>
      </c>
      <c r="I562" s="47">
        <f>IFERROR(__xludf.DUMMYFUNCTION("IFERROR((GOOGLEFINANCE($A562,""high52"")),"""")"),14.9)</f>
        <v>14.9</v>
      </c>
      <c r="J562" s="68" t="str">
        <f>IFERROR(__xludf.DUMMYFUNCTION("IFERROR((sparkline(GOOGLEFINANCE($A562,""price"",TODAY()-365,TODAY(),""DAILY""),{""charttype"",""line"";""linewidth"",1;""color"",""#5f88cc""})),"""")"),"")</f>
        <v/>
      </c>
      <c r="K562" s="66">
        <f>IFERROR(__xludf.DUMMYFUNCTION("IFERROR((((GOOGLEFINANCE(A562))-(INDEX(GoogleFinance(A562,""PRICE"",$AP$1),2,2)))/(INDEX(GoogleFinance(A562,""PRICE"",$AP$1),2,2))),"""")"),-0.062271062271062244)</f>
        <v>-0.06227106227</v>
      </c>
      <c r="L562" s="69">
        <f t="shared" si="1"/>
        <v>-0.1409395973</v>
      </c>
      <c r="M562" s="52">
        <f>IFERROR((VLOOKUP($A562,'Dados StatusInvest'!$A:$AZ,COLUMN(M562)-$A$5,0)*VLOOKUP($A562,'Dados StatusInvest'!$A:$AZ,2,0)/$F562/100),0)</f>
        <v>0.2631</v>
      </c>
      <c r="N562" s="53">
        <f>IFERROR((VLOOKUP($A562,'Dados StatusInvest'!$A:$AZ,COLUMN(N562)-$A$5,0)/VLOOKUP($A562,'Dados StatusInvest'!$A:$AZ,2,0)*$F562),"")</f>
        <v>12.16</v>
      </c>
      <c r="O562" s="53">
        <f>IFERROR((VLOOKUP($A562,'Dados StatusInvest'!$A:$AZ,COLUMN(O562)-$A$5,0)/VLOOKUP($A562,'Dados StatusInvest'!$A:$AZ,2,0)*$F562),0)</f>
        <v>10.74</v>
      </c>
      <c r="P562" s="54">
        <f>IFERROR((VLOOKUP($A562,'Dados StatusInvest'!$A:$AZ,COLUMN(P562)-$A$5,0)/VLOOKUP($A562,'Dados StatusInvest'!$A:$AZ,2,0)*$F562),0)</f>
        <v>-1.37</v>
      </c>
      <c r="Q562" s="55">
        <f>IFERROR((VLOOKUP($A562,'Dados StatusInvest'!$A:$AZ,COLUMN(Q562)-$A$5,0)/100),0)</f>
        <v>-0.1139</v>
      </c>
      <c r="R562" s="56">
        <f>VLOOKUP($A562,'Dados StatusInvest'!$A:$AZ,COLUMN(R562)-$A$5,0)</f>
        <v>-0.91</v>
      </c>
      <c r="S562" s="56">
        <f>IFERROR((VLOOKUP($A562,'Dados StatusInvest'!$A:$AZ,COLUMN(S562)-$A$5,0)),0)</f>
        <v>2.83</v>
      </c>
      <c r="T562" s="53">
        <f>IFERROR((VLOOKUP($A562,'Dados StatusInvest'!$A:$AZ,COLUMN(T562)-$A$5,0)/VLOOKUP($A562,'Dados StatusInvest'!$A:$AZ,2,0)*$F562),0)</f>
        <v>0.73</v>
      </c>
      <c r="U562" s="53">
        <f>IFERROR((VLOOKUP($A562,'Dados StatusInvest'!$A:$AZ,COLUMN(U562)-$A$5,0)-VLOOKUP($A562,'Dados StatusInvest'!$A:$AZ,COLUMN(U562)-$A$5-1,0)+T562),0)</f>
        <v>-0.63</v>
      </c>
      <c r="V562" s="56">
        <f>IFERROR((VLOOKUP($A562,'Dados StatusInvest'!$A:$AZ,COLUMN(V562)-$A$5,0)),0)</f>
        <v>5.55</v>
      </c>
      <c r="W562" s="56">
        <f>IFERROR((VLOOKUP($A562,'Dados StatusInvest'!$A:$AZ,COLUMN(W562)-$A$5,0)),0)</f>
        <v>3.68</v>
      </c>
      <c r="X562" s="53">
        <f>IFERROR((VLOOKUP($A562,'Dados StatusInvest'!$A:$AZ,COLUMN(X562)-$A$5,0)/VLOOKUP($A562,'Dados StatusInvest'!$A:$AZ,2,0)*$F562),0)</f>
        <v>1.33</v>
      </c>
      <c r="Y562" s="54">
        <f>IFERROR((VLOOKUP($A562,'Dados StatusInvest'!$A:$AZ,COLUMN(Y562)-$A$5,0)/VLOOKUP($A562,'Dados StatusInvest'!$A:$AZ,2,0)*$F562),0)</f>
        <v>7.92</v>
      </c>
      <c r="Z562" s="56">
        <f>IFERROR((VLOOKUP($A562,'Dados StatusInvest'!$A:$AZ,COLUMN(Z562)-$A$5,0)),0)</f>
        <v>0.36</v>
      </c>
      <c r="AA562" s="57">
        <f>IFERROR((VLOOKUP($A562,'Dados StatusInvest'!$A:$AZ,COLUMN(AA562)-$A$5,0)),0)</f>
        <v>0.64</v>
      </c>
      <c r="AB562" s="57">
        <f>IFERROR((VLOOKUP($A562,'Dados StatusInvest'!$A:$AZ,COLUMN(AB562)-$A$5,0)),0)</f>
        <v>0.11</v>
      </c>
      <c r="AC562" s="58">
        <f>IFERROR((VLOOKUP($A562,'Dados StatusInvest'!$A:$AZ,COLUMN(AC562)-$A$5,0)),0)</f>
        <v>15.19</v>
      </c>
      <c r="AD562" s="57">
        <f>IFERROR((VLOOKUP($A562,'Dados StatusInvest'!$A:$AZ,COLUMN(AD562)-$A$5,0)),0)</f>
        <v>0</v>
      </c>
      <c r="AE562" s="56">
        <f>IFERROR((VLOOKUP($A562,'Dados StatusInvest'!$A:$AZ,COLUMN(AE562)-$A$5,0)),0)</f>
        <v>16653.12</v>
      </c>
      <c r="AF562" s="56">
        <f>IFERROR((VLOOKUP($A562,'Dados StatusInvest'!$A:$AZ,COLUMN(AF562)-$A$5,0)),0)</f>
        <v>14.98</v>
      </c>
      <c r="AG562" s="56">
        <f>IFERROR((VLOOKUP($A562,'Dados StatusInvest'!$A:$AZ,COLUMN(AG562)-$A$5,0)),0)</f>
        <v>0.55</v>
      </c>
      <c r="AH562" s="56">
        <f>IFERROR((VLOOKUP($A562,'Dados StatusInvest'!$A:$AZ,COLUMN(AH562)-$A$5,0)),0)</f>
        <v>-0.19</v>
      </c>
      <c r="AI562" s="57">
        <f>IFERROR((VLOOKUP($A562,'Dados StatusInvest'!$A:$AZ,COLUMN(AI562)-$A$5,0)),0)</f>
        <v>1217583826</v>
      </c>
      <c r="AJ562" s="59" t="str">
        <f>IFERROR((VLOOKUP($A562,'Dados StatusInvest'!$A:$AZ,COLUMN(AJ562)-$A$5,0)),0)</f>
        <v/>
      </c>
      <c r="AK562" s="67" t="str">
        <f>IFERROR(__xludf.DUMMYFUNCTION("IFERROR(GOOGLEFINANCE($A562,""high""),"""")"),"")</f>
        <v/>
      </c>
      <c r="AL562" s="67" t="str">
        <f>IFERROR(__xludf.DUMMYFUNCTION("IFERROR(GOOGLEFINANCE($A562,""low""),"""")"),"")</f>
        <v/>
      </c>
      <c r="AM562" s="70">
        <f t="shared" si="2"/>
        <v>0</v>
      </c>
      <c r="AN562" s="71">
        <f>IFERROR(__xludf.DUMMYFUNCTION("IFERROR((GOOGLEFINANCE($A562,""volume"")),0)"),0.0)</f>
        <v>0</v>
      </c>
      <c r="AO562" s="67">
        <f>IFERROR(__xludf.DUMMYFUNCTION("IFERROR((GOOGLEFINANCE($A562,""closeyest"")),"""")"),12.8)</f>
        <v>12.8</v>
      </c>
      <c r="AP562" s="67">
        <f>IFERROR(__xludf.DUMMYFUNCTION("IFERROR((GOOGLEFINANCE($A562,""shares"")),"""")"),8.3575912E7)</f>
        <v>83575912</v>
      </c>
      <c r="AQ562" s="60"/>
    </row>
    <row r="563">
      <c r="A563" s="45" t="str">
        <f>'Dados StatusInvest'!A558:A1177</f>
        <v>TELB4</v>
      </c>
      <c r="B563" s="63" t="str">
        <f>IFERROR(__xludf.DUMMYFUNCTION("IFERROR((GOOGLEFINANCE(A563,""name"")),"""")"),"Telecomunicacoes Brasileiras SA - TELBRS Preference Shares")</f>
        <v>Telecomunicacoes Brasileiras SA - TELBRS Preference Shares</v>
      </c>
      <c r="C563" s="63" t="str">
        <f>IFERROR((VLOOKUP(LEFT($A563,4),Setor!$A:$E,3,0)),"")</f>
        <v>Comunicações</v>
      </c>
      <c r="D563" s="63" t="str">
        <f>IFERROR((VLOOKUP(LEFT($A563,4),Setor!$A:$E,4,0)),"")</f>
        <v>Telecomunicações</v>
      </c>
      <c r="E563" s="63" t="str">
        <f>IFERROR((VLOOKUP(LEFT($A563,4),Setor!$A:$E,5,0)),"")</f>
        <v>Telecomunicações</v>
      </c>
      <c r="F563" s="64">
        <f>IFERROR(__xludf.DUMMYFUNCTION("IFERROR((GOOGLEFINANCE(A563)),"""")"),8.03)</f>
        <v>8.03</v>
      </c>
      <c r="G563" s="65" t="str">
        <f>IFERROR(__xludf.DUMMYFUNCTION("IFERROR((sparkline(GOOGLEFINANCE($A563,""price"",TODAY()-30,TODAY(),""DAILY""),{""charttype"",""line"";""linewidth"",1;""color"",""#5f88cc""})),"""")"),"")</f>
        <v/>
      </c>
      <c r="H563" s="66">
        <f>IFERROR(__xludf.DUMMYFUNCTION("IFERROR((((GOOGLEFINANCE(A563))-(INDEX(GoogleFinance(A563,""PRICE"",$AQ$1),2,2)))/(INDEX(GoogleFinance(A563,""PRICE"",$AQ$1),2,2))),"""")"),0.032133676092544874)</f>
        <v>0.03213367609</v>
      </c>
      <c r="I563" s="47">
        <f>IFERROR(__xludf.DUMMYFUNCTION("IFERROR((GOOGLEFINANCE($A563,""high52"")),"""")"),12.0)</f>
        <v>12</v>
      </c>
      <c r="J563" s="68" t="str">
        <f>IFERROR(__xludf.DUMMYFUNCTION("IFERROR((sparkline(GOOGLEFINANCE($A563,""price"",TODAY()-365,TODAY(),""DAILY""),{""charttype"",""line"";""linewidth"",1;""color"",""#5f88cc""})),"""")"),"")</f>
        <v/>
      </c>
      <c r="K563" s="66">
        <f>IFERROR(__xludf.DUMMYFUNCTION("IFERROR((((GOOGLEFINANCE(A563))-(INDEX(GoogleFinance(A563,""PRICE"",$AP$1),2,2)))/(INDEX(GoogleFinance(A563,""PRICE"",$AP$1),2,2))),"""")"),-0.1670124481327802)</f>
        <v>-0.1670124481</v>
      </c>
      <c r="L563" s="69">
        <f t="shared" si="1"/>
        <v>-0.3308333333</v>
      </c>
      <c r="M563" s="52">
        <f>IFERROR((VLOOKUP($A563,'Dados StatusInvest'!$A:$AZ,COLUMN(M563)-$A$5,0)*VLOOKUP($A563,'Dados StatusInvest'!$A:$AZ,2,0)/$F563/100),0)</f>
        <v>0.2631</v>
      </c>
      <c r="N563" s="53">
        <f>IFERROR((VLOOKUP($A563,'Dados StatusInvest'!$A:$AZ,COLUMN(N563)-$A$5,0)/VLOOKUP($A563,'Dados StatusInvest'!$A:$AZ,2,0)*$F563),"")</f>
        <v>12.16</v>
      </c>
      <c r="O563" s="53">
        <f>IFERROR((VLOOKUP($A563,'Dados StatusInvest'!$A:$AZ,COLUMN(O563)-$A$5,0)/VLOOKUP($A563,'Dados StatusInvest'!$A:$AZ,2,0)*$F563),0)</f>
        <v>6.74</v>
      </c>
      <c r="P563" s="54">
        <f>IFERROR((VLOOKUP($A563,'Dados StatusInvest'!$A:$AZ,COLUMN(P563)-$A$5,0)/VLOOKUP($A563,'Dados StatusInvest'!$A:$AZ,2,0)*$F563),0)</f>
        <v>-1.37</v>
      </c>
      <c r="Q563" s="55">
        <f>IFERROR((VLOOKUP($A563,'Dados StatusInvest'!$A:$AZ,COLUMN(Q563)-$A$5,0)/100),0)</f>
        <v>-0.1139</v>
      </c>
      <c r="R563" s="56">
        <f>VLOOKUP($A563,'Dados StatusInvest'!$A:$AZ,COLUMN(R563)-$A$5,0)</f>
        <v>-0.91</v>
      </c>
      <c r="S563" s="56">
        <f>IFERROR((VLOOKUP($A563,'Dados StatusInvest'!$A:$AZ,COLUMN(S563)-$A$5,0)),0)</f>
        <v>1.77</v>
      </c>
      <c r="T563" s="53">
        <f>IFERROR((VLOOKUP($A563,'Dados StatusInvest'!$A:$AZ,COLUMN(T563)-$A$5,0)/VLOOKUP($A563,'Dados StatusInvest'!$A:$AZ,2,0)*$F563),0)</f>
        <v>0.46</v>
      </c>
      <c r="U563" s="53">
        <f>IFERROR((VLOOKUP($A563,'Dados StatusInvest'!$A:$AZ,COLUMN(U563)-$A$5,0)-VLOOKUP($A563,'Dados StatusInvest'!$A:$AZ,COLUMN(U563)-$A$5-1,0)+T563),0)</f>
        <v>-0.4</v>
      </c>
      <c r="V563" s="56">
        <f>IFERROR((VLOOKUP($A563,'Dados StatusInvest'!$A:$AZ,COLUMN(V563)-$A$5,0)),0)</f>
        <v>5.55</v>
      </c>
      <c r="W563" s="56">
        <f>IFERROR((VLOOKUP($A563,'Dados StatusInvest'!$A:$AZ,COLUMN(W563)-$A$5,0)),0)</f>
        <v>3.68</v>
      </c>
      <c r="X563" s="53">
        <f>IFERROR((VLOOKUP($A563,'Dados StatusInvest'!$A:$AZ,COLUMN(X563)-$A$5,0)/VLOOKUP($A563,'Dados StatusInvest'!$A:$AZ,2,0)*$F563),0)</f>
        <v>1.33</v>
      </c>
      <c r="Y563" s="54">
        <f>IFERROR((VLOOKUP($A563,'Dados StatusInvest'!$A:$AZ,COLUMN(Y563)-$A$5,0)/VLOOKUP($A563,'Dados StatusInvest'!$A:$AZ,2,0)*$F563),0)</f>
        <v>7.92</v>
      </c>
      <c r="Z563" s="56">
        <f>IFERROR((VLOOKUP($A563,'Dados StatusInvest'!$A:$AZ,COLUMN(Z563)-$A$5,0)),0)</f>
        <v>0.36</v>
      </c>
      <c r="AA563" s="57">
        <f>IFERROR((VLOOKUP($A563,'Dados StatusInvest'!$A:$AZ,COLUMN(AA563)-$A$5,0)),0)</f>
        <v>0.64</v>
      </c>
      <c r="AB563" s="57">
        <f>IFERROR((VLOOKUP($A563,'Dados StatusInvest'!$A:$AZ,COLUMN(AB563)-$A$5,0)),0)</f>
        <v>0.11</v>
      </c>
      <c r="AC563" s="58">
        <f>IFERROR((VLOOKUP($A563,'Dados StatusInvest'!$A:$AZ,COLUMN(AC563)-$A$5,0)),0)</f>
        <v>15.19</v>
      </c>
      <c r="AD563" s="57">
        <f>IFERROR((VLOOKUP($A563,'Dados StatusInvest'!$A:$AZ,COLUMN(AD563)-$A$5,0)),0)</f>
        <v>0</v>
      </c>
      <c r="AE563" s="56">
        <f>IFERROR((VLOOKUP($A563,'Dados StatusInvest'!$A:$AZ,COLUMN(AE563)-$A$5,0)),0)</f>
        <v>23637.9</v>
      </c>
      <c r="AF563" s="56">
        <f>IFERROR((VLOOKUP($A563,'Dados StatusInvest'!$A:$AZ,COLUMN(AF563)-$A$5,0)),0)</f>
        <v>14.98</v>
      </c>
      <c r="AG563" s="56">
        <f>IFERROR((VLOOKUP($A563,'Dados StatusInvest'!$A:$AZ,COLUMN(AG563)-$A$5,0)),0)</f>
        <v>0.55</v>
      </c>
      <c r="AH563" s="56">
        <f>IFERROR((VLOOKUP($A563,'Dados StatusInvest'!$A:$AZ,COLUMN(AH563)-$A$5,0)),0)</f>
        <v>-0.12</v>
      </c>
      <c r="AI563" s="57">
        <f>IFERROR((VLOOKUP($A563,'Dados StatusInvest'!$A:$AZ,COLUMN(AI563)-$A$5,0)),0)</f>
        <v>1217583826</v>
      </c>
      <c r="AJ563" s="59" t="str">
        <f>IFERROR((VLOOKUP($A563,'Dados StatusInvest'!$A:$AZ,COLUMN(AJ563)-$A$5,0)),0)</f>
        <v/>
      </c>
      <c r="AK563" s="67" t="str">
        <f>IFERROR(__xludf.DUMMYFUNCTION("IFERROR(GOOGLEFINANCE($A563,""high""),"""")"),"")</f>
        <v/>
      </c>
      <c r="AL563" s="67" t="str">
        <f>IFERROR(__xludf.DUMMYFUNCTION("IFERROR(GOOGLEFINANCE($A563,""low""),"""")"),"")</f>
        <v/>
      </c>
      <c r="AM563" s="70">
        <f t="shared" si="2"/>
        <v>0</v>
      </c>
      <c r="AN563" s="71">
        <f>IFERROR(__xludf.DUMMYFUNCTION("IFERROR((GOOGLEFINANCE($A563,""volume"")),0)"),0.0)</f>
        <v>0</v>
      </c>
      <c r="AO563" s="67">
        <f>IFERROR(__xludf.DUMMYFUNCTION("IFERROR((GOOGLEFINANCE($A563,""closeyest"")),"""")"),8.03)</f>
        <v>8.03</v>
      </c>
      <c r="AP563" s="67">
        <f>IFERROR(__xludf.DUMMYFUNCTION("IFERROR((GOOGLEFINANCE($A563,""shares"")),"""")"),1.8407491E7)</f>
        <v>18407491</v>
      </c>
      <c r="AQ563" s="60"/>
    </row>
    <row r="564">
      <c r="A564" s="45" t="str">
        <f>'Dados StatusInvest'!A559:A1178</f>
        <v>TEND3</v>
      </c>
      <c r="B564" s="63" t="str">
        <f>IFERROR(__xludf.DUMMYFUNCTION("IFERROR((GOOGLEFINANCE(A564,""name"")),"""")"),"Construtora Tenda S/A")</f>
        <v>Construtora Tenda S/A</v>
      </c>
      <c r="C564" s="63" t="str">
        <f>IFERROR((VLOOKUP(LEFT($A564,4),Setor!$A:$E,3,0)),"")</f>
        <v>Consumo Cíclico</v>
      </c>
      <c r="D564" s="63" t="str">
        <f>IFERROR((VLOOKUP(LEFT($A564,4),Setor!$A:$E,4,0)),"")</f>
        <v>Construção Civil</v>
      </c>
      <c r="E564" s="63" t="str">
        <f>IFERROR((VLOOKUP(LEFT($A564,4),Setor!$A:$E,5,0)),"")</f>
        <v>Incorporações</v>
      </c>
      <c r="F564" s="64">
        <f>IFERROR(__xludf.DUMMYFUNCTION("IFERROR((GOOGLEFINANCE(A564)),"""")"),32.87)</f>
        <v>32.87</v>
      </c>
      <c r="G564" s="65" t="str">
        <f>IFERROR(__xludf.DUMMYFUNCTION("IFERROR((sparkline(GOOGLEFINANCE($A564,""price"",TODAY()-30,TODAY(),""DAILY""),{""charttype"",""line"";""linewidth"",1;""color"",""#5f88cc""})),"""")"),"")</f>
        <v/>
      </c>
      <c r="H564" s="66">
        <f>IFERROR(__xludf.DUMMYFUNCTION("IFERROR((((GOOGLEFINANCE(A564))-(INDEX(GoogleFinance(A564,""PRICE"",$AQ$1),2,2)))/(INDEX(GoogleFinance(A564,""PRICE"",$AQ$1),2,2))),"""")"),0.34878949528108316)</f>
        <v>0.3487894953</v>
      </c>
      <c r="I564" s="47">
        <f>IFERROR(__xludf.DUMMYFUNCTION("IFERROR((GOOGLEFINANCE($A564,""high52"")),"""")"),33.85)</f>
        <v>33.85</v>
      </c>
      <c r="J564" s="68" t="str">
        <f>IFERROR(__xludf.DUMMYFUNCTION("IFERROR((sparkline(GOOGLEFINANCE($A564,""price"",TODAY()-365,TODAY(),""DAILY""),{""charttype"",""line"";""linewidth"",1;""color"",""#5f88cc""})),"""")"),"")</f>
        <v/>
      </c>
      <c r="K564" s="66">
        <f>IFERROR(__xludf.DUMMYFUNCTION("IFERROR((((GOOGLEFINANCE(A564))-(INDEX(GoogleFinance(A564,""PRICE"",$AP$1),2,2)))/(INDEX(GoogleFinance(A564,""PRICE"",$AP$1),2,2))),"""")"),0.9945388349514561)</f>
        <v>0.994538835</v>
      </c>
      <c r="L564" s="69">
        <f t="shared" si="1"/>
        <v>-0.02895125554</v>
      </c>
      <c r="M564" s="52">
        <f>IFERROR((VLOOKUP($A564,'Dados StatusInvest'!$A:$AZ,COLUMN(M564)-$A$5,0)*VLOOKUP($A564,'Dados StatusInvest'!$A:$AZ,2,0)/$F564/100),0)</f>
        <v>0.1184737755</v>
      </c>
      <c r="N564" s="53">
        <f>IFERROR((VLOOKUP($A564,'Dados StatusInvest'!$A:$AZ,COLUMN(N564)-$A$5,0)/VLOOKUP($A564,'Dados StatusInvest'!$A:$AZ,2,0)*$F564),"")</f>
        <v>10.58427483</v>
      </c>
      <c r="O564" s="53">
        <f>IFERROR((VLOOKUP($A564,'Dados StatusInvest'!$A:$AZ,COLUMN(O564)-$A$5,0)/VLOOKUP($A564,'Dados StatusInvest'!$A:$AZ,2,0)*$F564),0)</f>
        <v>9.197436273</v>
      </c>
      <c r="P564" s="54">
        <f>IFERROR((VLOOKUP($A564,'Dados StatusInvest'!$A:$AZ,COLUMN(P564)-$A$5,0)/VLOOKUP($A564,'Dados StatusInvest'!$A:$AZ,2,0)*$F564),0)</f>
        <v>9.871593906</v>
      </c>
      <c r="Q564" s="55">
        <f>IFERROR((VLOOKUP($A564,'Dados StatusInvest'!$A:$AZ,COLUMN(Q564)-$A$5,0)/100),0)</f>
        <v>0.007</v>
      </c>
      <c r="R564" s="56">
        <f>VLOOKUP($A564,'Dados StatusInvest'!$A:$AZ,COLUMN(R564)-$A$5,0)</f>
        <v>0.25</v>
      </c>
      <c r="S564" s="56">
        <f>IFERROR((VLOOKUP($A564,'Dados StatusInvest'!$A:$AZ,COLUMN(S564)-$A$5,0)),0)</f>
        <v>1.09</v>
      </c>
      <c r="T564" s="53">
        <f>IFERROR((VLOOKUP($A564,'Dados StatusInvest'!$A:$AZ,COLUMN(T564)-$A$5,0)/VLOOKUP($A564,'Dados StatusInvest'!$A:$AZ,2,0)*$F564),0)</f>
        <v>2.282505127</v>
      </c>
      <c r="U564" s="53">
        <f>IFERROR((VLOOKUP($A564,'Dados StatusInvest'!$A:$AZ,COLUMN(U564)-$A$5,0)-VLOOKUP($A564,'Dados StatusInvest'!$A:$AZ,COLUMN(U564)-$A$5-1,0)+T564),0)</f>
        <v>-1.797494873</v>
      </c>
      <c r="V564" s="56">
        <f>IFERROR((VLOOKUP($A564,'Dados StatusInvest'!$A:$AZ,COLUMN(V564)-$A$5,0)),0)</f>
        <v>1.89</v>
      </c>
      <c r="W564" s="56">
        <f>IFERROR((VLOOKUP($A564,'Dados StatusInvest'!$A:$AZ,COLUMN(W564)-$A$5,0)),0)</f>
        <v>34.41</v>
      </c>
      <c r="X564" s="53">
        <f>IFERROR((VLOOKUP($A564,'Dados StatusInvest'!$A:$AZ,COLUMN(X564)-$A$5,0)/VLOOKUP($A564,'Dados StatusInvest'!$A:$AZ,2,0)*$F564),0)</f>
        <v>6.568221506</v>
      </c>
      <c r="Y564" s="54">
        <f>IFERROR((VLOOKUP($A564,'Dados StatusInvest'!$A:$AZ,COLUMN(Y564)-$A$5,0)/VLOOKUP($A564,'Dados StatusInvest'!$A:$AZ,2,0)*$F564),0)</f>
        <v>15.41894814</v>
      </c>
      <c r="Z564" s="56">
        <f>IFERROR((VLOOKUP($A564,'Dados StatusInvest'!$A:$AZ,COLUMN(Z564)-$A$5,0)),0)</f>
        <v>0.2</v>
      </c>
      <c r="AA564" s="57">
        <f>IFERROR((VLOOKUP($A564,'Dados StatusInvest'!$A:$AZ,COLUMN(AA564)-$A$5,0)),0)</f>
        <v>0.8</v>
      </c>
      <c r="AB564" s="57">
        <f>IFERROR((VLOOKUP($A564,'Dados StatusInvest'!$A:$AZ,COLUMN(AB564)-$A$5,0)),0)</f>
        <v>0.62</v>
      </c>
      <c r="AC564" s="58">
        <f>IFERROR((VLOOKUP($A564,'Dados StatusInvest'!$A:$AZ,COLUMN(AC564)-$A$5,0)),0)</f>
        <v>10.99</v>
      </c>
      <c r="AD564" s="57">
        <f>IFERROR((VLOOKUP($A564,'Dados StatusInvest'!$A:$AZ,COLUMN(AD564)-$A$5,0)),0)</f>
        <v>9.89</v>
      </c>
      <c r="AE564" s="56">
        <f>IFERROR((VLOOKUP($A564,'Dados StatusInvest'!$A:$AZ,COLUMN(AE564)-$A$5,0)),0)</f>
        <v>63965412</v>
      </c>
      <c r="AF564" s="56">
        <f>IFERROR((VLOOKUP($A564,'Dados StatusInvest'!$A:$AZ,COLUMN(AF564)-$A$5,0)),0)</f>
        <v>10.01</v>
      </c>
      <c r="AG564" s="56">
        <f>IFERROR((VLOOKUP($A564,'Dados StatusInvest'!$A:$AZ,COLUMN(AG564)-$A$5,0)),0)</f>
        <v>3.45</v>
      </c>
      <c r="AH564" s="56">
        <f>IFERROR((VLOOKUP($A564,'Dados StatusInvest'!$A:$AZ,COLUMN(AH564)-$A$5,0)),0)</f>
        <v>0.04</v>
      </c>
      <c r="AI564" s="57">
        <f>IFERROR((VLOOKUP($A564,'Dados StatusInvest'!$A:$AZ,COLUMN(AI564)-$A$5,0)),0)</f>
        <v>4183592328</v>
      </c>
      <c r="AJ564" s="59" t="str">
        <f>IFERROR((VLOOKUP($A564,'Dados StatusInvest'!$A:$AZ,COLUMN(AJ564)-$A$5,0)),0)</f>
        <v/>
      </c>
      <c r="AK564" s="67">
        <f>IFERROR(__xludf.DUMMYFUNCTION("IFERROR(GOOGLEFINANCE($A564,""high""),"""")"),33.85)</f>
        <v>33.85</v>
      </c>
      <c r="AL564" s="67">
        <f>IFERROR(__xludf.DUMMYFUNCTION("IFERROR(GOOGLEFINANCE($A564,""low""),"""")"),32.85)</f>
        <v>32.85</v>
      </c>
      <c r="AM564" s="70">
        <f t="shared" si="2"/>
        <v>0.0304414003</v>
      </c>
      <c r="AN564" s="71">
        <f>IFERROR(__xludf.DUMMYFUNCTION("IFERROR((GOOGLEFINANCE($A564,""volume"")),0)"),205500.0)</f>
        <v>205500</v>
      </c>
      <c r="AO564" s="67">
        <f>IFERROR(__xludf.DUMMYFUNCTION("IFERROR((GOOGLEFINANCE($A564,""closeyest"")),"""")"),34.13)</f>
        <v>34.13</v>
      </c>
      <c r="AP564" s="67">
        <f>IFERROR(__xludf.DUMMYFUNCTION("IFERROR((GOOGLEFINANCE($A564,""shares"")),"""")"),1.22578152E8)</f>
        <v>122578152</v>
      </c>
      <c r="AQ564" s="60"/>
    </row>
    <row r="565">
      <c r="A565" s="45" t="str">
        <f>'Dados StatusInvest'!A560:A1179</f>
        <v>TESA3</v>
      </c>
      <c r="B565" s="63" t="str">
        <f>IFERROR(__xludf.DUMMYFUNCTION("IFERROR((GOOGLEFINANCE(A565,""name"")),"""")"),"")</f>
        <v/>
      </c>
      <c r="C565" s="63" t="str">
        <f>IFERROR((VLOOKUP(LEFT($A565,4),Setor!$A:$E,3,0)),"")</f>
        <v>Consumo não Cíclico</v>
      </c>
      <c r="D565" s="63" t="str">
        <f>IFERROR((VLOOKUP(LEFT($A565,4),Setor!$A:$E,4,0)),"")</f>
        <v>Agropecuária</v>
      </c>
      <c r="E565" s="63" t="str">
        <f>IFERROR((VLOOKUP(LEFT($A565,4),Setor!$A:$E,5,0)),"")</f>
        <v>Agricultura</v>
      </c>
      <c r="F565" s="64" t="str">
        <f>IFERROR(__xludf.DUMMYFUNCTION("IFERROR((GOOGLEFINANCE(A565)),"""")"),"")</f>
        <v/>
      </c>
      <c r="G565" s="65" t="str">
        <f>IFERROR(__xludf.DUMMYFUNCTION("IFERROR((sparkline(GOOGLEFINANCE($A565,""price"",TODAY()-30,TODAY(),""DAILY""),{""charttype"",""line"";""linewidth"",1;""color"",""#5f88cc""})),"""")"),"")</f>
        <v/>
      </c>
      <c r="H565" s="66" t="str">
        <f>IFERROR(__xludf.DUMMYFUNCTION("IFERROR((((GOOGLEFINANCE(A565))-(INDEX(GoogleFinance(A565,""PRICE"",$AQ$1),2,2)))/(INDEX(GoogleFinance(A565,""PRICE"",$AQ$1),2,2))),"""")"),"")</f>
        <v/>
      </c>
      <c r="I565" s="47" t="str">
        <f>IFERROR(__xludf.DUMMYFUNCTION("IFERROR((GOOGLEFINANCE($A565,""high52"")),"""")"),"")</f>
        <v/>
      </c>
      <c r="J565" s="68" t="str">
        <f>IFERROR(__xludf.DUMMYFUNCTION("IFERROR((sparkline(GOOGLEFINANCE($A565,""price"",TODAY()-365,TODAY(),""DAILY""),{""charttype"",""line"";""linewidth"",1;""color"",""#5f88cc""})),"""")"),"")</f>
        <v/>
      </c>
      <c r="K565" s="66" t="str">
        <f>IFERROR(__xludf.DUMMYFUNCTION("IFERROR((((GOOGLEFINANCE(A565))-(INDEX(GoogleFinance(A565,""PRICE"",$AP$1),2,2)))/(INDEX(GoogleFinance(A565,""PRICE"",$AP$1),2,2))),"""")"),"")</f>
        <v/>
      </c>
      <c r="L565" s="69">
        <f t="shared" si="1"/>
        <v>0</v>
      </c>
      <c r="M565" s="52">
        <f>IFERROR((VLOOKUP($A565,'Dados StatusInvest'!$A:$AZ,COLUMN(M565)-$A$5,0)*VLOOKUP($A565,'Dados StatusInvest'!$A:$AZ,2,0)/$F565/100),0)</f>
        <v>0</v>
      </c>
      <c r="N565" s="53">
        <f>IFERROR((VLOOKUP($A565,'Dados StatusInvest'!$A:$AZ,COLUMN(N565)-$A$5,0)/VLOOKUP($A565,'Dados StatusInvest'!$A:$AZ,2,0)*$F565),"")</f>
        <v>0</v>
      </c>
      <c r="O565" s="53">
        <f>IFERROR((VLOOKUP($A565,'Dados StatusInvest'!$A:$AZ,COLUMN(O565)-$A$5,0)/VLOOKUP($A565,'Dados StatusInvest'!$A:$AZ,2,0)*$F565),0)</f>
        <v>0</v>
      </c>
      <c r="P565" s="54">
        <f>IFERROR((VLOOKUP($A565,'Dados StatusInvest'!$A:$AZ,COLUMN(P565)-$A$5,0)/VLOOKUP($A565,'Dados StatusInvest'!$A:$AZ,2,0)*$F565),0)</f>
        <v>0</v>
      </c>
      <c r="Q565" s="55">
        <f>IFERROR((VLOOKUP($A565,'Dados StatusInvest'!$A:$AZ,COLUMN(Q565)-$A$5,0)/100),0)</f>
        <v>0.0666</v>
      </c>
      <c r="R565" s="56">
        <f>VLOOKUP($A565,'Dados StatusInvest'!$A:$AZ,COLUMN(R565)-$A$5,0)</f>
        <v>1.01</v>
      </c>
      <c r="S565" s="56">
        <f>IFERROR((VLOOKUP($A565,'Dados StatusInvest'!$A:$AZ,COLUMN(S565)-$A$5,0)),0)</f>
        <v>1.01</v>
      </c>
      <c r="T565" s="53">
        <f>IFERROR((VLOOKUP($A565,'Dados StatusInvest'!$A:$AZ,COLUMN(T565)-$A$5,0)/VLOOKUP($A565,'Dados StatusInvest'!$A:$AZ,2,0)*$F565),0)</f>
        <v>0</v>
      </c>
      <c r="U565" s="53">
        <f>IFERROR((VLOOKUP($A565,'Dados StatusInvest'!$A:$AZ,COLUMN(U565)-$A$5,0)-VLOOKUP($A565,'Dados StatusInvest'!$A:$AZ,COLUMN(U565)-$A$5-1,0)+T565),0)</f>
        <v>10.36</v>
      </c>
      <c r="V565" s="56">
        <f>IFERROR((VLOOKUP($A565,'Dados StatusInvest'!$A:$AZ,COLUMN(V565)-$A$5,0)),0)</f>
        <v>0.86</v>
      </c>
      <c r="W565" s="56">
        <f>IFERROR((VLOOKUP($A565,'Dados StatusInvest'!$A:$AZ,COLUMN(W565)-$A$5,0)),0)</f>
        <v>-12.18</v>
      </c>
      <c r="X565" s="53">
        <f>IFERROR((VLOOKUP($A565,'Dados StatusInvest'!$A:$AZ,COLUMN(X565)-$A$5,0)/VLOOKUP($A565,'Dados StatusInvest'!$A:$AZ,2,0)*$F565),0)</f>
        <v>0</v>
      </c>
      <c r="Y565" s="54">
        <f>IFERROR((VLOOKUP($A565,'Dados StatusInvest'!$A:$AZ,COLUMN(Y565)-$A$5,0)/VLOOKUP($A565,'Dados StatusInvest'!$A:$AZ,2,0)*$F565),0)</f>
        <v>0</v>
      </c>
      <c r="Z565" s="56">
        <f>IFERROR((VLOOKUP($A565,'Dados StatusInvest'!$A:$AZ,COLUMN(Z565)-$A$5,0)),0)</f>
        <v>0.32</v>
      </c>
      <c r="AA565" s="57">
        <f>IFERROR((VLOOKUP($A565,'Dados StatusInvest'!$A:$AZ,COLUMN(AA565)-$A$5,0)),0)</f>
        <v>0.68</v>
      </c>
      <c r="AB565" s="57">
        <f>IFERROR((VLOOKUP($A565,'Dados StatusInvest'!$A:$AZ,COLUMN(AB565)-$A$5,0)),0)</f>
        <v>0.52</v>
      </c>
      <c r="AC565" s="58">
        <f>IFERROR((VLOOKUP($A565,'Dados StatusInvest'!$A:$AZ,COLUMN(AC565)-$A$5,0)),0)</f>
        <v>7.32</v>
      </c>
      <c r="AD565" s="57">
        <f>IFERROR((VLOOKUP($A565,'Dados StatusInvest'!$A:$AZ,COLUMN(AD565)-$A$5,0)),0)</f>
        <v>0</v>
      </c>
      <c r="AE565" s="56">
        <f>IFERROR((VLOOKUP($A565,'Dados StatusInvest'!$A:$AZ,COLUMN(AE565)-$A$5,0)),0)</f>
        <v>0</v>
      </c>
      <c r="AF565" s="56">
        <f>IFERROR((VLOOKUP($A565,'Dados StatusInvest'!$A:$AZ,COLUMN(AF565)-$A$5,0)),0)</f>
        <v>29.64</v>
      </c>
      <c r="AG565" s="56">
        <f>IFERROR((VLOOKUP($A565,'Dados StatusInvest'!$A:$AZ,COLUMN(AG565)-$A$5,0)),0)</f>
        <v>-3.61</v>
      </c>
      <c r="AH565" s="56">
        <f>IFERROR((VLOOKUP($A565,'Dados StatusInvest'!$A:$AZ,COLUMN(AH565)-$A$5,0)),0)</f>
        <v>0.83</v>
      </c>
      <c r="AI565" s="57">
        <f>IFERROR((VLOOKUP($A565,'Dados StatusInvest'!$A:$AZ,COLUMN(AI565)-$A$5,0)),0)</f>
        <v>1389696672</v>
      </c>
      <c r="AJ565" s="59" t="str">
        <f>IFERROR((VLOOKUP($A565,'Dados StatusInvest'!$A:$AZ,COLUMN(AJ565)-$A$5,0)),0)</f>
        <v/>
      </c>
      <c r="AK565" s="67" t="str">
        <f>IFERROR(__xludf.DUMMYFUNCTION("IFERROR(GOOGLEFINANCE($A565,""high""),"""")"),"")</f>
        <v/>
      </c>
      <c r="AL565" s="67" t="str">
        <f>IFERROR(__xludf.DUMMYFUNCTION("IFERROR(GOOGLEFINANCE($A565,""low""),"""")"),"")</f>
        <v/>
      </c>
      <c r="AM565" s="70">
        <f t="shared" si="2"/>
        <v>0</v>
      </c>
      <c r="AN565" s="71">
        <f>IFERROR(__xludf.DUMMYFUNCTION("IFERROR((GOOGLEFINANCE($A565,""volume"")),0)"),0.0)</f>
        <v>0</v>
      </c>
      <c r="AO565" s="67" t="str">
        <f>IFERROR(__xludf.DUMMYFUNCTION("IFERROR((GOOGLEFINANCE($A565,""closeyest"")),"""")"),"")</f>
        <v/>
      </c>
      <c r="AP565" s="67" t="str">
        <f>IFERROR(__xludf.DUMMYFUNCTION("IFERROR((GOOGLEFINANCE($A565,""shares"")),"""")"),"")</f>
        <v/>
      </c>
      <c r="AQ565" s="60"/>
    </row>
    <row r="566">
      <c r="A566" s="45" t="str">
        <f>'Dados StatusInvest'!A561:A1180</f>
        <v>TFCO4</v>
      </c>
      <c r="B566" s="63" t="str">
        <f>IFERROR(__xludf.DUMMYFUNCTION("IFERROR((GOOGLEFINANCE(A566,""name"")),"""")"),"Track &amp; Field SA Co")</f>
        <v>Track &amp; Field SA Co</v>
      </c>
      <c r="C566" s="63" t="str">
        <f>IFERROR((VLOOKUP(LEFT($A566,4),Setor!$A:$E,3,0)),"")</f>
        <v>Outros</v>
      </c>
      <c r="D566" s="63" t="str">
        <f>IFERROR((VLOOKUP(LEFT($A566,4),Setor!$A:$E,4,0)),"")</f>
        <v>Tecidos, Vestuário e Calçados</v>
      </c>
      <c r="E566" s="63" t="str">
        <f>IFERROR((VLOOKUP(LEFT($A566,4),Setor!$A:$E,5,0)),"")</f>
        <v>Tecidos, Vestuário e Calçados</v>
      </c>
      <c r="F566" s="64">
        <f>IFERROR(__xludf.DUMMYFUNCTION("IFERROR((GOOGLEFINANCE(A566)),"""")"),16.65)</f>
        <v>16.65</v>
      </c>
      <c r="G566" s="65" t="str">
        <f>IFERROR(__xludf.DUMMYFUNCTION("IFERROR((sparkline(GOOGLEFINANCE($A566,""price"",TODAY()-30,TODAY(),""DAILY""),{""charttype"",""line"";""linewidth"",1;""color"",""#5f88cc""})),"""")"),"")</f>
        <v/>
      </c>
      <c r="H566" s="66">
        <f>IFERROR(__xludf.DUMMYFUNCTION("IFERROR((((GOOGLEFINANCE(A566))-(INDEX(GoogleFinance(A566,""PRICE"",$AQ$1),2,2)))/(INDEX(GoogleFinance(A566,""PRICE"",$AQ$1),2,2))),"""")"),0.08187134502923964)</f>
        <v>0.08187134503</v>
      </c>
      <c r="I566" s="47">
        <f>IFERROR(__xludf.DUMMYFUNCTION("IFERROR((GOOGLEFINANCE($A566,""high52"")),"""")"),18.39)</f>
        <v>18.39</v>
      </c>
      <c r="J566" s="68" t="str">
        <f>IFERROR(__xludf.DUMMYFUNCTION("IFERROR((sparkline(GOOGLEFINANCE($A566,""price"",TODAY()-365,TODAY(),""DAILY""),{""charttype"",""line"";""linewidth"",1;""color"",""#5f88cc""})),"""")"),"")</f>
        <v/>
      </c>
      <c r="K566" s="66">
        <f>IFERROR(__xludf.DUMMYFUNCTION("IFERROR((((GOOGLEFINANCE(A566))-(INDEX(GoogleFinance(A566,""PRICE"",$AP$1),2,2)))/(INDEX(GoogleFinance(A566,""PRICE"",$AP$1),2,2))),"""")"),0.6733668341708543)</f>
        <v>0.6733668342</v>
      </c>
      <c r="L566" s="69">
        <f t="shared" si="1"/>
        <v>-0.09461663948</v>
      </c>
      <c r="M566" s="52">
        <f>IFERROR((VLOOKUP($A566,'Dados StatusInvest'!$A:$AZ,COLUMN(M566)-$A$5,0)*VLOOKUP($A566,'Dados StatusInvest'!$A:$AZ,2,0)/$F566/100),0)</f>
        <v>0.2073830631</v>
      </c>
      <c r="N566" s="53">
        <f>IFERROR((VLOOKUP($A566,'Dados StatusInvest'!$A:$AZ,COLUMN(N566)-$A$5,0)/VLOOKUP($A566,'Dados StatusInvest'!$A:$AZ,2,0)*$F566),"")</f>
        <v>13.79599644</v>
      </c>
      <c r="O566" s="53">
        <f>IFERROR((VLOOKUP($A566,'Dados StatusInvest'!$A:$AZ,COLUMN(O566)-$A$5,0)/VLOOKUP($A566,'Dados StatusInvest'!$A:$AZ,2,0)*$F566),0)</f>
        <v>76.90996441</v>
      </c>
      <c r="P566" s="54">
        <f>IFERROR((VLOOKUP($A566,'Dados StatusInvest'!$A:$AZ,COLUMN(P566)-$A$5,0)/VLOOKUP($A566,'Dados StatusInvest'!$A:$AZ,2,0)*$F566),0)</f>
        <v>13.22322064</v>
      </c>
      <c r="Q566" s="55">
        <f>IFERROR((VLOOKUP($A566,'Dados StatusInvest'!$A:$AZ,COLUMN(Q566)-$A$5,0)/100),0)</f>
        <v>0.0073</v>
      </c>
      <c r="R566" s="56">
        <f>VLOOKUP($A566,'Dados StatusInvest'!$A:$AZ,COLUMN(R566)-$A$5,0)</f>
        <v>0.28</v>
      </c>
      <c r="S566" s="56">
        <f>IFERROR((VLOOKUP($A566,'Dados StatusInvest'!$A:$AZ,COLUMN(S566)-$A$5,0)),0)</f>
        <v>15.95</v>
      </c>
      <c r="T566" s="53">
        <f>IFERROR((VLOOKUP($A566,'Dados StatusInvest'!$A:$AZ,COLUMN(T566)-$A$5,0)/VLOOKUP($A566,'Dados StatusInvest'!$A:$AZ,2,0)*$F566),0)</f>
        <v>39.41290036</v>
      </c>
      <c r="U566" s="53">
        <f>IFERROR((VLOOKUP($A566,'Dados StatusInvest'!$A:$AZ,COLUMN(U566)-$A$5,0)-VLOOKUP($A566,'Dados StatusInvest'!$A:$AZ,COLUMN(U566)-$A$5-1,0)+T566),0)</f>
        <v>-55.55709964</v>
      </c>
      <c r="V566" s="56">
        <f>IFERROR((VLOOKUP($A566,'Dados StatusInvest'!$A:$AZ,COLUMN(V566)-$A$5,0)),0)</f>
        <v>2.86</v>
      </c>
      <c r="W566" s="56">
        <f>IFERROR((VLOOKUP($A566,'Dados StatusInvest'!$A:$AZ,COLUMN(W566)-$A$5,0)),0)</f>
        <v>26.26</v>
      </c>
      <c r="X566" s="53">
        <f>IFERROR((VLOOKUP($A566,'Dados StatusInvest'!$A:$AZ,COLUMN(X566)-$A$5,0)/VLOOKUP($A566,'Dados StatusInvest'!$A:$AZ,2,0)*$F566),0)</f>
        <v>15.25756228</v>
      </c>
      <c r="Y566" s="54">
        <f>IFERROR((VLOOKUP($A566,'Dados StatusInvest'!$A:$AZ,COLUMN(Y566)-$A$5,0)/VLOOKUP($A566,'Dados StatusInvest'!$A:$AZ,2,0)*$F566),0)</f>
        <v>21.96298932</v>
      </c>
      <c r="Z566" s="56">
        <f>IFERROR((VLOOKUP($A566,'Dados StatusInvest'!$A:$AZ,COLUMN(Z566)-$A$5,0)),0)</f>
        <v>0.59</v>
      </c>
      <c r="AA566" s="57">
        <f>IFERROR((VLOOKUP($A566,'Dados StatusInvest'!$A:$AZ,COLUMN(AA566)-$A$5,0)),0)</f>
        <v>0.41</v>
      </c>
      <c r="AB566" s="57">
        <f>IFERROR((VLOOKUP($A566,'Dados StatusInvest'!$A:$AZ,COLUMN(AB566)-$A$5,0)),0)</f>
        <v>1.11</v>
      </c>
      <c r="AC566" s="58">
        <f>IFERROR((VLOOKUP($A566,'Dados StatusInvest'!$A:$AZ,COLUMN(AC566)-$A$5,0)),0)</f>
        <v>30.7</v>
      </c>
      <c r="AD566" s="57">
        <f>IFERROR((VLOOKUP($A566,'Dados StatusInvest'!$A:$AZ,COLUMN(AD566)-$A$5,0)),0)</f>
        <v>42.81</v>
      </c>
      <c r="AE566" s="56">
        <f>IFERROR((VLOOKUP($A566,'Dados StatusInvest'!$A:$AZ,COLUMN(AE566)-$A$5,0)),0)</f>
        <v>12489821</v>
      </c>
      <c r="AF566" s="56">
        <f>IFERROR((VLOOKUP($A566,'Dados StatusInvest'!$A:$AZ,COLUMN(AF566)-$A$5,0)),0)</f>
        <v>0.56</v>
      </c>
      <c r="AG566" s="56">
        <f>IFERROR((VLOOKUP($A566,'Dados StatusInvest'!$A:$AZ,COLUMN(AG566)-$A$5,0)),0)</f>
        <v>0.15</v>
      </c>
      <c r="AH566" s="56">
        <f>IFERROR((VLOOKUP($A566,'Dados StatusInvest'!$A:$AZ,COLUMN(AH566)-$A$5,0)),0)</f>
        <v>4.79</v>
      </c>
      <c r="AI566" s="57">
        <f>IFERROR((VLOOKUP($A566,'Dados StatusInvest'!$A:$AZ,COLUMN(AI566)-$A$5,0)),0)</f>
        <v>2583255505</v>
      </c>
      <c r="AJ566" s="59" t="str">
        <f>IFERROR((VLOOKUP($A566,'Dados StatusInvest'!$A:$AZ,COLUMN(AJ566)-$A$5,0)),0)</f>
        <v/>
      </c>
      <c r="AK566" s="67">
        <f>IFERROR(__xludf.DUMMYFUNCTION("IFERROR(GOOGLEFINANCE($A566,""high""),"""")"),16.86)</f>
        <v>16.86</v>
      </c>
      <c r="AL566" s="67">
        <f>IFERROR(__xludf.DUMMYFUNCTION("IFERROR(GOOGLEFINANCE($A566,""low""),"""")"),16.65)</f>
        <v>16.65</v>
      </c>
      <c r="AM566" s="70">
        <f t="shared" si="2"/>
        <v>0.01261261261</v>
      </c>
      <c r="AN566" s="71">
        <f>IFERROR(__xludf.DUMMYFUNCTION("IFERROR((GOOGLEFINANCE($A566,""volume"")),0)"),14300.0)</f>
        <v>14300</v>
      </c>
      <c r="AO566" s="67">
        <f>IFERROR(__xludf.DUMMYFUNCTION("IFERROR((GOOGLEFINANCE($A566,""closeyest"")),"""")"),16.86)</f>
        <v>16.86</v>
      </c>
      <c r="AP566" s="67">
        <f>IFERROR(__xludf.DUMMYFUNCTION("IFERROR((GOOGLEFINANCE($A566,""shares"")),"""")"),6.5492864E7)</f>
        <v>65492864</v>
      </c>
      <c r="AQ566" s="60"/>
    </row>
    <row r="567">
      <c r="A567" s="45" t="str">
        <f>'Dados StatusInvest'!A562:A1181</f>
        <v>TGMA3</v>
      </c>
      <c r="B567" s="63" t="str">
        <f>IFERROR(__xludf.DUMMYFUNCTION("IFERROR((GOOGLEFINANCE(A567,""name"")),"""")"),"Tegma Gestao Logistica SA")</f>
        <v>Tegma Gestao Logistica SA</v>
      </c>
      <c r="C567" s="63" t="str">
        <f>IFERROR((VLOOKUP(LEFT($A567,4),Setor!$A:$E,3,0)),"")</f>
        <v>Bens Industriais</v>
      </c>
      <c r="D567" s="63" t="str">
        <f>IFERROR((VLOOKUP(LEFT($A567,4),Setor!$A:$E,4,0)),"")</f>
        <v>Transporte</v>
      </c>
      <c r="E567" s="63" t="str">
        <f>IFERROR((VLOOKUP(LEFT($A567,4),Setor!$A:$E,5,0)),"")</f>
        <v>Transporte Rodoviário</v>
      </c>
      <c r="F567" s="64">
        <f>IFERROR(__xludf.DUMMYFUNCTION("IFERROR((GOOGLEFINANCE(A567)),"""")"),39.98)</f>
        <v>39.98</v>
      </c>
      <c r="G567" s="65" t="str">
        <f>IFERROR(__xludf.DUMMYFUNCTION("IFERROR((sparkline(GOOGLEFINANCE($A567,""price"",TODAY()-30,TODAY(),""DAILY""),{""charttype"",""line"";""linewidth"",1;""color"",""#5f88cc""})),"""")"),"")</f>
        <v/>
      </c>
      <c r="H567" s="66">
        <f>IFERROR(__xludf.DUMMYFUNCTION("IFERROR((((GOOGLEFINANCE(A567))-(INDEX(GoogleFinance(A567,""PRICE"",$AQ$1),2,2)))/(INDEX(GoogleFinance(A567,""PRICE"",$AQ$1),2,2))),"""")"),0.10594744121715072)</f>
        <v>0.1059474412</v>
      </c>
      <c r="I567" s="47">
        <f>IFERROR(__xludf.DUMMYFUNCTION("IFERROR((GOOGLEFINANCE($A567,""high52"")),"""")"),40.68)</f>
        <v>40.68</v>
      </c>
      <c r="J567" s="68" t="str">
        <f>IFERROR(__xludf.DUMMYFUNCTION("IFERROR((sparkline(GOOGLEFINANCE($A567,""price"",TODAY()-365,TODAY(),""DAILY""),{""charttype"",""line"";""linewidth"",1;""color"",""#5f88cc""})),"""")"),"")</f>
        <v/>
      </c>
      <c r="K567" s="66">
        <f>IFERROR(__xludf.DUMMYFUNCTION("IFERROR((((GOOGLEFINANCE(A567))-(INDEX(GoogleFinance(A567,""PRICE"",$AP$1),2,2)))/(INDEX(GoogleFinance(A567,""PRICE"",$AP$1),2,2))),"""")"),0.19987995198079223)</f>
        <v>0.199879952</v>
      </c>
      <c r="L567" s="69">
        <f t="shared" si="1"/>
        <v>-0.01720747296</v>
      </c>
      <c r="M567" s="52">
        <f>IFERROR((VLOOKUP($A567,'Dados StatusInvest'!$A:$AZ,COLUMN(M567)-$A$5,0)*VLOOKUP($A567,'Dados StatusInvest'!$A:$AZ,2,0)/$F567/100),0)</f>
        <v>0.1692596298</v>
      </c>
      <c r="N567" s="53">
        <f>IFERROR((VLOOKUP($A567,'Dados StatusInvest'!$A:$AZ,COLUMN(N567)-$A$5,0)/VLOOKUP($A567,'Dados StatusInvest'!$A:$AZ,2,0)*$F567),"")</f>
        <v>12.19192079</v>
      </c>
      <c r="O567" s="53">
        <f>IFERROR((VLOOKUP($A567,'Dados StatusInvest'!$A:$AZ,COLUMN(O567)-$A$5,0)/VLOOKUP($A567,'Dados StatusInvest'!$A:$AZ,2,0)*$F567),0)</f>
        <v>7.036084158</v>
      </c>
      <c r="P567" s="54">
        <f>IFERROR((VLOOKUP($A567,'Dados StatusInvest'!$A:$AZ,COLUMN(P567)-$A$5,0)/VLOOKUP($A567,'Dados StatusInvest'!$A:$AZ,2,0)*$F567),0)</f>
        <v>6.828267327</v>
      </c>
      <c r="Q567" s="55">
        <f>IFERROR((VLOOKUP($A567,'Dados StatusInvest'!$A:$AZ,COLUMN(Q567)-$A$5,0)/100),0)</f>
        <v>-0.0021</v>
      </c>
      <c r="R567" s="56">
        <f>VLOOKUP($A567,'Dados StatusInvest'!$A:$AZ,COLUMN(R567)-$A$5,0)</f>
        <v>-0.08</v>
      </c>
      <c r="S567" s="56">
        <f>IFERROR((VLOOKUP($A567,'Dados StatusInvest'!$A:$AZ,COLUMN(S567)-$A$5,0)),0)</f>
        <v>1.19</v>
      </c>
      <c r="T567" s="53">
        <f>IFERROR((VLOOKUP($A567,'Dados StatusInvest'!$A:$AZ,COLUMN(T567)-$A$5,0)/VLOOKUP($A567,'Dados StatusInvest'!$A:$AZ,2,0)*$F567),0)</f>
        <v>5.927727723</v>
      </c>
      <c r="U567" s="53">
        <f>IFERROR((VLOOKUP($A567,'Dados StatusInvest'!$A:$AZ,COLUMN(U567)-$A$5,0)-VLOOKUP($A567,'Dados StatusInvest'!$A:$AZ,COLUMN(U567)-$A$5-1,0)+T567),0)</f>
        <v>-4.032272277</v>
      </c>
      <c r="V567" s="56">
        <f>IFERROR((VLOOKUP($A567,'Dados StatusInvest'!$A:$AZ,COLUMN(V567)-$A$5,0)),0)</f>
        <v>2.61</v>
      </c>
      <c r="W567" s="56">
        <f>IFERROR((VLOOKUP($A567,'Dados StatusInvest'!$A:$AZ,COLUMN(W567)-$A$5,0)),0)</f>
        <v>28.02</v>
      </c>
      <c r="X567" s="53">
        <f>IFERROR((VLOOKUP($A567,'Dados StatusInvest'!$A:$AZ,COLUMN(X567)-$A$5,0)/VLOOKUP($A567,'Dados StatusInvest'!$A:$AZ,2,0)*$F567),0)</f>
        <v>19.60405446</v>
      </c>
      <c r="Y567" s="54">
        <f>IFERROR((VLOOKUP($A567,'Dados StatusInvest'!$A:$AZ,COLUMN(Y567)-$A$5,0)/VLOOKUP($A567,'Dados StatusInvest'!$A:$AZ,2,0)*$F567),0)</f>
        <v>17.10035644</v>
      </c>
      <c r="Z567" s="56">
        <f>IFERROR((VLOOKUP($A567,'Dados StatusInvest'!$A:$AZ,COLUMN(Z567)-$A$5,0)),0)</f>
        <v>0.71</v>
      </c>
      <c r="AA567" s="57">
        <f>IFERROR((VLOOKUP($A567,'Dados StatusInvest'!$A:$AZ,COLUMN(AA567)-$A$5,0)),0)</f>
        <v>0.29</v>
      </c>
      <c r="AB567" s="57">
        <f>IFERROR((VLOOKUP($A567,'Dados StatusInvest'!$A:$AZ,COLUMN(AB567)-$A$5,0)),0)</f>
        <v>1.61</v>
      </c>
      <c r="AC567" s="58">
        <f>IFERROR((VLOOKUP($A567,'Dados StatusInvest'!$A:$AZ,COLUMN(AC567)-$A$5,0)),0)</f>
        <v>9.18</v>
      </c>
      <c r="AD567" s="57">
        <f>IFERROR((VLOOKUP($A567,'Dados StatusInvest'!$A:$AZ,COLUMN(AD567)-$A$5,0)),0)</f>
        <v>7.29</v>
      </c>
      <c r="AE567" s="56">
        <f>IFERROR((VLOOKUP($A567,'Dados StatusInvest'!$A:$AZ,COLUMN(AE567)-$A$5,0)),0)</f>
        <v>7915289</v>
      </c>
      <c r="AF567" s="56">
        <f>IFERROR((VLOOKUP($A567,'Dados StatusInvest'!$A:$AZ,COLUMN(AF567)-$A$5,0)),0)</f>
        <v>14.91</v>
      </c>
      <c r="AG567" s="56">
        <f>IFERROR((VLOOKUP($A567,'Dados StatusInvest'!$A:$AZ,COLUMN(AG567)-$A$5,0)),0)</f>
        <v>4.18</v>
      </c>
      <c r="AH567" s="56">
        <f>IFERROR((VLOOKUP($A567,'Dados StatusInvest'!$A:$AZ,COLUMN(AH567)-$A$5,0)),0)</f>
        <v>0.57</v>
      </c>
      <c r="AI567" s="57">
        <f>IFERROR((VLOOKUP($A567,'Dados StatusInvest'!$A:$AZ,COLUMN(AI567)-$A$5,0)),0)</f>
        <v>2666517766</v>
      </c>
      <c r="AJ567" s="59" t="str">
        <f>IFERROR((VLOOKUP($A567,'Dados StatusInvest'!$A:$AZ,COLUMN(AJ567)-$A$5,0)),0)</f>
        <v/>
      </c>
      <c r="AK567" s="67">
        <f>IFERROR(__xludf.DUMMYFUNCTION("IFERROR(GOOGLEFINANCE($A567,""high""),"""")"),40.15)</f>
        <v>40.15</v>
      </c>
      <c r="AL567" s="67">
        <f>IFERROR(__xludf.DUMMYFUNCTION("IFERROR(GOOGLEFINANCE($A567,""low""),"""")"),40.05)</f>
        <v>40.05</v>
      </c>
      <c r="AM567" s="70">
        <f t="shared" si="2"/>
        <v>0.002496878901</v>
      </c>
      <c r="AN567" s="71">
        <f>IFERROR(__xludf.DUMMYFUNCTION("IFERROR((GOOGLEFINANCE($A567,""volume"")),0)"),8500.0)</f>
        <v>8500</v>
      </c>
      <c r="AO567" s="67">
        <f>IFERROR(__xludf.DUMMYFUNCTION("IFERROR((GOOGLEFINANCE($A567,""closeyest"")),"""")"),40.4)</f>
        <v>40.4</v>
      </c>
      <c r="AP567" s="67">
        <f>IFERROR(__xludf.DUMMYFUNCTION("IFERROR((GOOGLEFINANCE($A567,""shares"")),"""")"),6.6002915E7)</f>
        <v>66002915</v>
      </c>
      <c r="AQ567" s="60"/>
    </row>
    <row r="568">
      <c r="A568" s="45" t="str">
        <f>'Dados StatusInvest'!A563:A1182</f>
        <v>TIET11</v>
      </c>
      <c r="B568" s="63" t="str">
        <f>IFERROR(__xludf.DUMMYFUNCTION("IFERROR((GOOGLEFINANCE(A568,""name"")),"""")"),"")</f>
        <v/>
      </c>
      <c r="C568" s="63" t="str">
        <f>IFERROR((VLOOKUP(LEFT($A568,4),Setor!$A:$E,3,0)),"")</f>
        <v>Utilidade Pública</v>
      </c>
      <c r="D568" s="63" t="str">
        <f>IFERROR((VLOOKUP(LEFT($A568,4),Setor!$A:$E,4,0)),"")</f>
        <v>Energia Elétrica</v>
      </c>
      <c r="E568" s="63" t="str">
        <f>IFERROR((VLOOKUP(LEFT($A568,4),Setor!$A:$E,5,0)),"")</f>
        <v>Energia Elétrica</v>
      </c>
      <c r="F568" s="64" t="str">
        <f>IFERROR(__xludf.DUMMYFUNCTION("IFERROR((GOOGLEFINANCE(A568)),"""")"),"")</f>
        <v/>
      </c>
      <c r="G568" s="65" t="str">
        <f>IFERROR(__xludf.DUMMYFUNCTION("IFERROR((sparkline(GOOGLEFINANCE($A568,""price"",TODAY()-30,TODAY(),""DAILY""),{""charttype"",""line"";""linewidth"",1;""color"",""#5f88cc""})),"""")"),"")</f>
        <v/>
      </c>
      <c r="H568" s="66" t="str">
        <f>IFERROR(__xludf.DUMMYFUNCTION("IFERROR((((GOOGLEFINANCE(A568))-(INDEX(GoogleFinance(A568,""PRICE"",$AQ$1),2,2)))/(INDEX(GoogleFinance(A568,""PRICE"",$AQ$1),2,2))),"""")"),"")</f>
        <v/>
      </c>
      <c r="I568" s="47" t="str">
        <f>IFERROR(__xludf.DUMMYFUNCTION("IFERROR((GOOGLEFINANCE($A568,""high52"")),"""")"),"")</f>
        <v/>
      </c>
      <c r="J568" s="68" t="str">
        <f>IFERROR(__xludf.DUMMYFUNCTION("IFERROR((sparkline(GOOGLEFINANCE($A568,""price"",TODAY()-365,TODAY(),""DAILY""),{""charttype"",""line"";""linewidth"",1;""color"",""#5f88cc""})),"""")"),"")</f>
        <v/>
      </c>
      <c r="K568" s="66" t="str">
        <f>IFERROR(__xludf.DUMMYFUNCTION("IFERROR((((GOOGLEFINANCE(A568))-(INDEX(GoogleFinance(A568,""PRICE"",$AP$1),2,2)))/(INDEX(GoogleFinance(A568,""PRICE"",$AP$1),2,2))),"""")"),"")</f>
        <v/>
      </c>
      <c r="L568" s="69">
        <f t="shared" si="1"/>
        <v>0</v>
      </c>
      <c r="M568" s="52">
        <f>IFERROR((VLOOKUP($A568,'Dados StatusInvest'!$A:$AZ,COLUMN(M568)-$A$5,0)*VLOOKUP($A568,'Dados StatusInvest'!$A:$AZ,2,0)/$F568/100),0)</f>
        <v>0</v>
      </c>
      <c r="N568" s="53">
        <f>IFERROR((VLOOKUP($A568,'Dados StatusInvest'!$A:$AZ,COLUMN(N568)-$A$5,0)/VLOOKUP($A568,'Dados StatusInvest'!$A:$AZ,2,0)*$F568),"")</f>
        <v>0</v>
      </c>
      <c r="O568" s="53">
        <f>IFERROR((VLOOKUP($A568,'Dados StatusInvest'!$A:$AZ,COLUMN(O568)-$A$5,0)/VLOOKUP($A568,'Dados StatusInvest'!$A:$AZ,2,0)*$F568),0)</f>
        <v>0</v>
      </c>
      <c r="P568" s="54">
        <f>IFERROR((VLOOKUP($A568,'Dados StatusInvest'!$A:$AZ,COLUMN(P568)-$A$5,0)/VLOOKUP($A568,'Dados StatusInvest'!$A:$AZ,2,0)*$F568),0)</f>
        <v>0</v>
      </c>
      <c r="Q568" s="55">
        <f>IFERROR((VLOOKUP($A568,'Dados StatusInvest'!$A:$AZ,COLUMN(Q568)-$A$5,0)/100),0)</f>
        <v>0.1258</v>
      </c>
      <c r="R568" s="56">
        <f>VLOOKUP($A568,'Dados StatusInvest'!$A:$AZ,COLUMN(R568)-$A$5,0)</f>
        <v>1.95</v>
      </c>
      <c r="S568" s="56">
        <f>IFERROR((VLOOKUP($A568,'Dados StatusInvest'!$A:$AZ,COLUMN(S568)-$A$5,0)),0)</f>
        <v>1.33</v>
      </c>
      <c r="T568" s="53">
        <f>IFERROR((VLOOKUP($A568,'Dados StatusInvest'!$A:$AZ,COLUMN(T568)-$A$5,0)/VLOOKUP($A568,'Dados StatusInvest'!$A:$AZ,2,0)*$F568),0)</f>
        <v>0</v>
      </c>
      <c r="U568" s="53">
        <f>IFERROR((VLOOKUP($A568,'Dados StatusInvest'!$A:$AZ,COLUMN(U568)-$A$5,0)-VLOOKUP($A568,'Dados StatusInvest'!$A:$AZ,COLUMN(U568)-$A$5-1,0)+T568),0)</f>
        <v>6.16</v>
      </c>
      <c r="V568" s="56">
        <f>IFERROR((VLOOKUP($A568,'Dados StatusInvest'!$A:$AZ,COLUMN(V568)-$A$5,0)),0)</f>
        <v>0.84</v>
      </c>
      <c r="W568" s="56">
        <f>IFERROR((VLOOKUP($A568,'Dados StatusInvest'!$A:$AZ,COLUMN(W568)-$A$5,0)),0)</f>
        <v>-5.57</v>
      </c>
      <c r="X568" s="53">
        <f>IFERROR((VLOOKUP($A568,'Dados StatusInvest'!$A:$AZ,COLUMN(X568)-$A$5,0)/VLOOKUP($A568,'Dados StatusInvest'!$A:$AZ,2,0)*$F568),0)</f>
        <v>0</v>
      </c>
      <c r="Y568" s="54">
        <f>IFERROR((VLOOKUP($A568,'Dados StatusInvest'!$A:$AZ,COLUMN(Y568)-$A$5,0)/VLOOKUP($A568,'Dados StatusInvest'!$A:$AZ,2,0)*$F568),0)</f>
        <v>0</v>
      </c>
      <c r="Z568" s="56">
        <f>IFERROR((VLOOKUP($A568,'Dados StatusInvest'!$A:$AZ,COLUMN(Z568)-$A$5,0)),0)</f>
        <v>0.25</v>
      </c>
      <c r="AA568" s="57">
        <f>IFERROR((VLOOKUP($A568,'Dados StatusInvest'!$A:$AZ,COLUMN(AA568)-$A$5,0)),0)</f>
        <v>0.75</v>
      </c>
      <c r="AB568" s="57">
        <f>IFERROR((VLOOKUP($A568,'Dados StatusInvest'!$A:$AZ,COLUMN(AB568)-$A$5,0)),0)</f>
        <v>0.18</v>
      </c>
      <c r="AC568" s="58">
        <f>IFERROR((VLOOKUP($A568,'Dados StatusInvest'!$A:$AZ,COLUMN(AC568)-$A$5,0)),0)</f>
        <v>4.6</v>
      </c>
      <c r="AD568" s="57">
        <f>IFERROR((VLOOKUP($A568,'Dados StatusInvest'!$A:$AZ,COLUMN(AD568)-$A$5,0)),0)</f>
        <v>0</v>
      </c>
      <c r="AE568" s="56">
        <f>IFERROR((VLOOKUP($A568,'Dados StatusInvest'!$A:$AZ,COLUMN(AE568)-$A$5,0)),0)</f>
        <v>0</v>
      </c>
      <c r="AF568" s="56">
        <f>IFERROR((VLOOKUP($A568,'Dados StatusInvest'!$A:$AZ,COLUMN(AF568)-$A$5,0)),0)</f>
        <v>13.19</v>
      </c>
      <c r="AG568" s="56">
        <f>IFERROR((VLOOKUP($A568,'Dados StatusInvest'!$A:$AZ,COLUMN(AG568)-$A$5,0)),0)</f>
        <v>-0.73</v>
      </c>
      <c r="AH568" s="56">
        <f>IFERROR((VLOOKUP($A568,'Dados StatusInvest'!$A:$AZ,COLUMN(AH568)-$A$5,0)),0)</f>
        <v>0.06</v>
      </c>
      <c r="AI568" s="57">
        <f>IFERROR((VLOOKUP($A568,'Dados StatusInvest'!$A:$AZ,COLUMN(AI568)-$A$5,0)),0)</f>
        <v>5004795801</v>
      </c>
      <c r="AJ568" s="59" t="str">
        <f>IFERROR((VLOOKUP($A568,'Dados StatusInvest'!$A:$AZ,COLUMN(AJ568)-$A$5,0)),0)</f>
        <v/>
      </c>
      <c r="AK568" s="67" t="str">
        <f>IFERROR(__xludf.DUMMYFUNCTION("IFERROR(GOOGLEFINANCE($A568,""high""),"""")"),"")</f>
        <v/>
      </c>
      <c r="AL568" s="67" t="str">
        <f>IFERROR(__xludf.DUMMYFUNCTION("IFERROR(GOOGLEFINANCE($A568,""low""),"""")"),"")</f>
        <v/>
      </c>
      <c r="AM568" s="70">
        <f t="shared" si="2"/>
        <v>0</v>
      </c>
      <c r="AN568" s="71">
        <f>IFERROR(__xludf.DUMMYFUNCTION("IFERROR((GOOGLEFINANCE($A568,""volume"")),0)"),0.0)</f>
        <v>0</v>
      </c>
      <c r="AO568" s="67" t="str">
        <f>IFERROR(__xludf.DUMMYFUNCTION("IFERROR((GOOGLEFINANCE($A568,""closeyest"")),"""")"),"")</f>
        <v/>
      </c>
      <c r="AP568" s="67" t="str">
        <f>IFERROR(__xludf.DUMMYFUNCTION("IFERROR((GOOGLEFINANCE($A568,""shares"")),"""")"),"")</f>
        <v/>
      </c>
      <c r="AQ568" s="60"/>
    </row>
    <row r="569">
      <c r="A569" s="45" t="str">
        <f>'Dados StatusInvest'!A564:A1183</f>
        <v>TIET3</v>
      </c>
      <c r="B569" s="63" t="str">
        <f>IFERROR(__xludf.DUMMYFUNCTION("IFERROR((GOOGLEFINANCE(A569,""name"")),"""")"),"")</f>
        <v/>
      </c>
      <c r="C569" s="63" t="str">
        <f>IFERROR((VLOOKUP(LEFT($A569,4),Setor!$A:$E,3,0)),"")</f>
        <v>Utilidade Pública</v>
      </c>
      <c r="D569" s="63" t="str">
        <f>IFERROR((VLOOKUP(LEFT($A569,4),Setor!$A:$E,4,0)),"")</f>
        <v>Energia Elétrica</v>
      </c>
      <c r="E569" s="63" t="str">
        <f>IFERROR((VLOOKUP(LEFT($A569,4),Setor!$A:$E,5,0)),"")</f>
        <v>Energia Elétrica</v>
      </c>
      <c r="F569" s="64" t="str">
        <f>IFERROR(__xludf.DUMMYFUNCTION("IFERROR((GOOGLEFINANCE(A569)),"""")"),"")</f>
        <v/>
      </c>
      <c r="G569" s="65" t="str">
        <f>IFERROR(__xludf.DUMMYFUNCTION("IFERROR((sparkline(GOOGLEFINANCE($A569,""price"",TODAY()-30,TODAY(),""DAILY""),{""charttype"",""line"";""linewidth"",1;""color"",""#5f88cc""})),"""")"),"")</f>
        <v/>
      </c>
      <c r="H569" s="66" t="str">
        <f>IFERROR(__xludf.DUMMYFUNCTION("IFERROR((((GOOGLEFINANCE(A569))-(INDEX(GoogleFinance(A569,""PRICE"",$AQ$1),2,2)))/(INDEX(GoogleFinance(A569,""PRICE"",$AQ$1),2,2))),"""")"),"")</f>
        <v/>
      </c>
      <c r="I569" s="47" t="str">
        <f>IFERROR(__xludf.DUMMYFUNCTION("IFERROR((GOOGLEFINANCE($A569,""high52"")),"""")"),"")</f>
        <v/>
      </c>
      <c r="J569" s="68" t="str">
        <f>IFERROR(__xludf.DUMMYFUNCTION("IFERROR((sparkline(GOOGLEFINANCE($A569,""price"",TODAY()-365,TODAY(),""DAILY""),{""charttype"",""line"";""linewidth"",1;""color"",""#5f88cc""})),"""")"),"")</f>
        <v/>
      </c>
      <c r="K569" s="66" t="str">
        <f>IFERROR(__xludf.DUMMYFUNCTION("IFERROR((((GOOGLEFINANCE(A569))-(INDEX(GoogleFinance(A569,""PRICE"",$AP$1),2,2)))/(INDEX(GoogleFinance(A569,""PRICE"",$AP$1),2,2))),"""")"),"")</f>
        <v/>
      </c>
      <c r="L569" s="69">
        <f t="shared" si="1"/>
        <v>0</v>
      </c>
      <c r="M569" s="52">
        <f>IFERROR((VLOOKUP($A569,'Dados StatusInvest'!$A:$AZ,COLUMN(M569)-$A$5,0)*VLOOKUP($A569,'Dados StatusInvest'!$A:$AZ,2,0)/$F569/100),0)</f>
        <v>0</v>
      </c>
      <c r="N569" s="53">
        <f>IFERROR((VLOOKUP($A569,'Dados StatusInvest'!$A:$AZ,COLUMN(N569)-$A$5,0)/VLOOKUP($A569,'Dados StatusInvest'!$A:$AZ,2,0)*$F569),"")</f>
        <v>0</v>
      </c>
      <c r="O569" s="53">
        <f>IFERROR((VLOOKUP($A569,'Dados StatusInvest'!$A:$AZ,COLUMN(O569)-$A$5,0)/VLOOKUP($A569,'Dados StatusInvest'!$A:$AZ,2,0)*$F569),0)</f>
        <v>0</v>
      </c>
      <c r="P569" s="54">
        <f>IFERROR((VLOOKUP($A569,'Dados StatusInvest'!$A:$AZ,COLUMN(P569)-$A$5,0)/VLOOKUP($A569,'Dados StatusInvest'!$A:$AZ,2,0)*$F569),0)</f>
        <v>0</v>
      </c>
      <c r="Q569" s="55">
        <f>IFERROR((VLOOKUP($A569,'Dados StatusInvest'!$A:$AZ,COLUMN(Q569)-$A$5,0)/100),0)</f>
        <v>0.1258</v>
      </c>
      <c r="R569" s="56">
        <f>VLOOKUP($A569,'Dados StatusInvest'!$A:$AZ,COLUMN(R569)-$A$5,0)</f>
        <v>1.95</v>
      </c>
      <c r="S569" s="56">
        <f>IFERROR((VLOOKUP($A569,'Dados StatusInvest'!$A:$AZ,COLUMN(S569)-$A$5,0)),0)</f>
        <v>1.84</v>
      </c>
      <c r="T569" s="53">
        <f>IFERROR((VLOOKUP($A569,'Dados StatusInvest'!$A:$AZ,COLUMN(T569)-$A$5,0)/VLOOKUP($A569,'Dados StatusInvest'!$A:$AZ,2,0)*$F569),0)</f>
        <v>0</v>
      </c>
      <c r="U569" s="53">
        <f>IFERROR((VLOOKUP($A569,'Dados StatusInvest'!$A:$AZ,COLUMN(U569)-$A$5,0)-VLOOKUP($A569,'Dados StatusInvest'!$A:$AZ,COLUMN(U569)-$A$5-1,0)+T569),0)</f>
        <v>8.57</v>
      </c>
      <c r="V569" s="56">
        <f>IFERROR((VLOOKUP($A569,'Dados StatusInvest'!$A:$AZ,COLUMN(V569)-$A$5,0)),0)</f>
        <v>0.84</v>
      </c>
      <c r="W569" s="56">
        <f>IFERROR((VLOOKUP($A569,'Dados StatusInvest'!$A:$AZ,COLUMN(W569)-$A$5,0)),0)</f>
        <v>-5.57</v>
      </c>
      <c r="X569" s="53">
        <f>IFERROR((VLOOKUP($A569,'Dados StatusInvest'!$A:$AZ,COLUMN(X569)-$A$5,0)/VLOOKUP($A569,'Dados StatusInvest'!$A:$AZ,2,0)*$F569),0)</f>
        <v>0</v>
      </c>
      <c r="Y569" s="54">
        <f>IFERROR((VLOOKUP($A569,'Dados StatusInvest'!$A:$AZ,COLUMN(Y569)-$A$5,0)/VLOOKUP($A569,'Dados StatusInvest'!$A:$AZ,2,0)*$F569),0)</f>
        <v>0</v>
      </c>
      <c r="Z569" s="56">
        <f>IFERROR((VLOOKUP($A569,'Dados StatusInvest'!$A:$AZ,COLUMN(Z569)-$A$5,0)),0)</f>
        <v>0.25</v>
      </c>
      <c r="AA569" s="57">
        <f>IFERROR((VLOOKUP($A569,'Dados StatusInvest'!$A:$AZ,COLUMN(AA569)-$A$5,0)),0)</f>
        <v>0.75</v>
      </c>
      <c r="AB569" s="57">
        <f>IFERROR((VLOOKUP($A569,'Dados StatusInvest'!$A:$AZ,COLUMN(AB569)-$A$5,0)),0)</f>
        <v>0.18</v>
      </c>
      <c r="AC569" s="58">
        <f>IFERROR((VLOOKUP($A569,'Dados StatusInvest'!$A:$AZ,COLUMN(AC569)-$A$5,0)),0)</f>
        <v>4.6</v>
      </c>
      <c r="AD569" s="57">
        <f>IFERROR((VLOOKUP($A569,'Dados StatusInvest'!$A:$AZ,COLUMN(AD569)-$A$5,0)),0)</f>
        <v>0</v>
      </c>
      <c r="AE569" s="56">
        <f>IFERROR((VLOOKUP($A569,'Dados StatusInvest'!$A:$AZ,COLUMN(AE569)-$A$5,0)),0)</f>
        <v>0</v>
      </c>
      <c r="AF569" s="56">
        <f>IFERROR((VLOOKUP($A569,'Dados StatusInvest'!$A:$AZ,COLUMN(AF569)-$A$5,0)),0)</f>
        <v>2.64</v>
      </c>
      <c r="AG569" s="56">
        <f>IFERROR((VLOOKUP($A569,'Dados StatusInvest'!$A:$AZ,COLUMN(AG569)-$A$5,0)),0)</f>
        <v>-0.15</v>
      </c>
      <c r="AH569" s="56">
        <f>IFERROR((VLOOKUP($A569,'Dados StatusInvest'!$A:$AZ,COLUMN(AH569)-$A$5,0)),0)</f>
        <v>0.08</v>
      </c>
      <c r="AI569" s="57">
        <f>IFERROR((VLOOKUP($A569,'Dados StatusInvest'!$A:$AZ,COLUMN(AI569)-$A$5,0)),0)</f>
        <v>5004795801</v>
      </c>
      <c r="AJ569" s="59" t="str">
        <f>IFERROR((VLOOKUP($A569,'Dados StatusInvest'!$A:$AZ,COLUMN(AJ569)-$A$5,0)),0)</f>
        <v/>
      </c>
      <c r="AK569" s="67" t="str">
        <f>IFERROR(__xludf.DUMMYFUNCTION("IFERROR(GOOGLEFINANCE($A569,""high""),"""")"),"")</f>
        <v/>
      </c>
      <c r="AL569" s="67" t="str">
        <f>IFERROR(__xludf.DUMMYFUNCTION("IFERROR(GOOGLEFINANCE($A569,""low""),"""")"),"")</f>
        <v/>
      </c>
      <c r="AM569" s="70">
        <f t="shared" si="2"/>
        <v>0</v>
      </c>
      <c r="AN569" s="71">
        <f>IFERROR(__xludf.DUMMYFUNCTION("IFERROR((GOOGLEFINANCE($A569,""volume"")),0)"),0.0)</f>
        <v>0</v>
      </c>
      <c r="AO569" s="67" t="str">
        <f>IFERROR(__xludf.DUMMYFUNCTION("IFERROR((GOOGLEFINANCE($A569,""closeyest"")),"""")"),"")</f>
        <v/>
      </c>
      <c r="AP569" s="67" t="str">
        <f>IFERROR(__xludf.DUMMYFUNCTION("IFERROR((GOOGLEFINANCE($A569,""shares"")),"""")"),"")</f>
        <v/>
      </c>
      <c r="AQ569" s="60"/>
    </row>
    <row r="570">
      <c r="A570" s="45" t="str">
        <f>'Dados StatusInvest'!A565:A1184</f>
        <v>TIET4</v>
      </c>
      <c r="B570" s="63" t="str">
        <f>IFERROR(__xludf.DUMMYFUNCTION("IFERROR((GOOGLEFINANCE(A570,""name"")),"""")"),"")</f>
        <v/>
      </c>
      <c r="C570" s="63" t="str">
        <f>IFERROR((VLOOKUP(LEFT($A570,4),Setor!$A:$E,3,0)),"")</f>
        <v>Utilidade Pública</v>
      </c>
      <c r="D570" s="63" t="str">
        <f>IFERROR((VLOOKUP(LEFT($A570,4),Setor!$A:$E,4,0)),"")</f>
        <v>Energia Elétrica</v>
      </c>
      <c r="E570" s="63" t="str">
        <f>IFERROR((VLOOKUP(LEFT($A570,4),Setor!$A:$E,5,0)),"")</f>
        <v>Energia Elétrica</v>
      </c>
      <c r="F570" s="64" t="str">
        <f>IFERROR(__xludf.DUMMYFUNCTION("IFERROR((GOOGLEFINANCE(A570)),"""")"),"")</f>
        <v/>
      </c>
      <c r="G570" s="65" t="str">
        <f>IFERROR(__xludf.DUMMYFUNCTION("IFERROR((sparkline(GOOGLEFINANCE($A570,""price"",TODAY()-30,TODAY(),""DAILY""),{""charttype"",""line"";""linewidth"",1;""color"",""#5f88cc""})),"""")"),"")</f>
        <v/>
      </c>
      <c r="H570" s="66" t="str">
        <f>IFERROR(__xludf.DUMMYFUNCTION("IFERROR((((GOOGLEFINANCE(A570))-(INDEX(GoogleFinance(A570,""PRICE"",$AQ$1),2,2)))/(INDEX(GoogleFinance(A570,""PRICE"",$AQ$1),2,2))),"""")"),"")</f>
        <v/>
      </c>
      <c r="I570" s="47" t="str">
        <f>IFERROR(__xludf.DUMMYFUNCTION("IFERROR((GOOGLEFINANCE($A570,""high52"")),"""")"),"")</f>
        <v/>
      </c>
      <c r="J570" s="68" t="str">
        <f>IFERROR(__xludf.DUMMYFUNCTION("IFERROR((sparkline(GOOGLEFINANCE($A570,""price"",TODAY()-365,TODAY(),""DAILY""),{""charttype"",""line"";""linewidth"",1;""color"",""#5f88cc""})),"""")"),"")</f>
        <v/>
      </c>
      <c r="K570" s="66" t="str">
        <f>IFERROR(__xludf.DUMMYFUNCTION("IFERROR((((GOOGLEFINANCE(A570))-(INDEX(GoogleFinance(A570,""PRICE"",$AP$1),2,2)))/(INDEX(GoogleFinance(A570,""PRICE"",$AP$1),2,2))),"""")"),"")</f>
        <v/>
      </c>
      <c r="L570" s="69">
        <f t="shared" si="1"/>
        <v>0</v>
      </c>
      <c r="M570" s="52">
        <f>IFERROR((VLOOKUP($A570,'Dados StatusInvest'!$A:$AZ,COLUMN(M570)-$A$5,0)*VLOOKUP($A570,'Dados StatusInvest'!$A:$AZ,2,0)/$F570/100),0)</f>
        <v>0</v>
      </c>
      <c r="N570" s="53">
        <f>IFERROR((VLOOKUP($A570,'Dados StatusInvest'!$A:$AZ,COLUMN(N570)-$A$5,0)/VLOOKUP($A570,'Dados StatusInvest'!$A:$AZ,2,0)*$F570),"")</f>
        <v>0</v>
      </c>
      <c r="O570" s="53">
        <f>IFERROR((VLOOKUP($A570,'Dados StatusInvest'!$A:$AZ,COLUMN(O570)-$A$5,0)/VLOOKUP($A570,'Dados StatusInvest'!$A:$AZ,2,0)*$F570),0)</f>
        <v>0</v>
      </c>
      <c r="P570" s="54">
        <f>IFERROR((VLOOKUP($A570,'Dados StatusInvest'!$A:$AZ,COLUMN(P570)-$A$5,0)/VLOOKUP($A570,'Dados StatusInvest'!$A:$AZ,2,0)*$F570),0)</f>
        <v>0</v>
      </c>
      <c r="Q570" s="55">
        <f>IFERROR((VLOOKUP($A570,'Dados StatusInvest'!$A:$AZ,COLUMN(Q570)-$A$5,0)/100),0)</f>
        <v>0.1258</v>
      </c>
      <c r="R570" s="56">
        <f>VLOOKUP($A570,'Dados StatusInvest'!$A:$AZ,COLUMN(R570)-$A$5,0)</f>
        <v>1.95</v>
      </c>
      <c r="S570" s="56">
        <f>IFERROR((VLOOKUP($A570,'Dados StatusInvest'!$A:$AZ,COLUMN(S570)-$A$5,0)),0)</f>
        <v>1.85</v>
      </c>
      <c r="T570" s="53">
        <f>IFERROR((VLOOKUP($A570,'Dados StatusInvest'!$A:$AZ,COLUMN(T570)-$A$5,0)/VLOOKUP($A570,'Dados StatusInvest'!$A:$AZ,2,0)*$F570),0)</f>
        <v>0</v>
      </c>
      <c r="U570" s="53">
        <f>IFERROR((VLOOKUP($A570,'Dados StatusInvest'!$A:$AZ,COLUMN(U570)-$A$5,0)-VLOOKUP($A570,'Dados StatusInvest'!$A:$AZ,COLUMN(U570)-$A$5-1,0)+T570),0)</f>
        <v>8.62</v>
      </c>
      <c r="V570" s="56">
        <f>IFERROR((VLOOKUP($A570,'Dados StatusInvest'!$A:$AZ,COLUMN(V570)-$A$5,0)),0)</f>
        <v>0.84</v>
      </c>
      <c r="W570" s="56">
        <f>IFERROR((VLOOKUP($A570,'Dados StatusInvest'!$A:$AZ,COLUMN(W570)-$A$5,0)),0)</f>
        <v>-5.57</v>
      </c>
      <c r="X570" s="53">
        <f>IFERROR((VLOOKUP($A570,'Dados StatusInvest'!$A:$AZ,COLUMN(X570)-$A$5,0)/VLOOKUP($A570,'Dados StatusInvest'!$A:$AZ,2,0)*$F570),0)</f>
        <v>0</v>
      </c>
      <c r="Y570" s="54">
        <f>IFERROR((VLOOKUP($A570,'Dados StatusInvest'!$A:$AZ,COLUMN(Y570)-$A$5,0)/VLOOKUP($A570,'Dados StatusInvest'!$A:$AZ,2,0)*$F570),0)</f>
        <v>0</v>
      </c>
      <c r="Z570" s="56">
        <f>IFERROR((VLOOKUP($A570,'Dados StatusInvest'!$A:$AZ,COLUMN(Z570)-$A$5,0)),0)</f>
        <v>0.25</v>
      </c>
      <c r="AA570" s="57">
        <f>IFERROR((VLOOKUP($A570,'Dados StatusInvest'!$A:$AZ,COLUMN(AA570)-$A$5,0)),0)</f>
        <v>0.75</v>
      </c>
      <c r="AB570" s="57">
        <f>IFERROR((VLOOKUP($A570,'Dados StatusInvest'!$A:$AZ,COLUMN(AB570)-$A$5,0)),0)</f>
        <v>0.18</v>
      </c>
      <c r="AC570" s="58">
        <f>IFERROR((VLOOKUP($A570,'Dados StatusInvest'!$A:$AZ,COLUMN(AC570)-$A$5,0)),0)</f>
        <v>4.6</v>
      </c>
      <c r="AD570" s="57">
        <f>IFERROR((VLOOKUP($A570,'Dados StatusInvest'!$A:$AZ,COLUMN(AD570)-$A$5,0)),0)</f>
        <v>0</v>
      </c>
      <c r="AE570" s="56">
        <f>IFERROR((VLOOKUP($A570,'Dados StatusInvest'!$A:$AZ,COLUMN(AE570)-$A$5,0)),0)</f>
        <v>0</v>
      </c>
      <c r="AF570" s="56">
        <f>IFERROR((VLOOKUP($A570,'Dados StatusInvest'!$A:$AZ,COLUMN(AF570)-$A$5,0)),0)</f>
        <v>2.64</v>
      </c>
      <c r="AG570" s="56">
        <f>IFERROR((VLOOKUP($A570,'Dados StatusInvest'!$A:$AZ,COLUMN(AG570)-$A$5,0)),0)</f>
        <v>-0.15</v>
      </c>
      <c r="AH570" s="56">
        <f>IFERROR((VLOOKUP($A570,'Dados StatusInvest'!$A:$AZ,COLUMN(AH570)-$A$5,0)),0)</f>
        <v>0.08</v>
      </c>
      <c r="AI570" s="57">
        <f>IFERROR((VLOOKUP($A570,'Dados StatusInvest'!$A:$AZ,COLUMN(AI570)-$A$5,0)),0)</f>
        <v>5004795801</v>
      </c>
      <c r="AJ570" s="59" t="str">
        <f>IFERROR((VLOOKUP($A570,'Dados StatusInvest'!$A:$AZ,COLUMN(AJ570)-$A$5,0)),0)</f>
        <v/>
      </c>
      <c r="AK570" s="67" t="str">
        <f>IFERROR(__xludf.DUMMYFUNCTION("IFERROR(GOOGLEFINANCE($A570,""high""),"""")"),"")</f>
        <v/>
      </c>
      <c r="AL570" s="67" t="str">
        <f>IFERROR(__xludf.DUMMYFUNCTION("IFERROR(GOOGLEFINANCE($A570,""low""),"""")"),"")</f>
        <v/>
      </c>
      <c r="AM570" s="70">
        <f t="shared" si="2"/>
        <v>0</v>
      </c>
      <c r="AN570" s="71">
        <f>IFERROR(__xludf.DUMMYFUNCTION("IFERROR((GOOGLEFINANCE($A570,""volume"")),0)"),0.0)</f>
        <v>0</v>
      </c>
      <c r="AO570" s="67" t="str">
        <f>IFERROR(__xludf.DUMMYFUNCTION("IFERROR((GOOGLEFINANCE($A570,""closeyest"")),"""")"),"")</f>
        <v/>
      </c>
      <c r="AP570" s="67" t="str">
        <f>IFERROR(__xludf.DUMMYFUNCTION("IFERROR((GOOGLEFINANCE($A570,""shares"")),"""")"),"")</f>
        <v/>
      </c>
      <c r="AQ570" s="60"/>
    </row>
    <row r="571">
      <c r="A571" s="45" t="str">
        <f>'Dados StatusInvest'!A566:A1185</f>
        <v>TIMS3</v>
      </c>
      <c r="B571" s="63" t="str">
        <f>IFERROR(__xludf.DUMMYFUNCTION("IFERROR((GOOGLEFINANCE(A571,""name"")),"""")"),"Tim Cedear")</f>
        <v>Tim Cedear</v>
      </c>
      <c r="C571" s="63" t="str">
        <f>IFERROR((VLOOKUP(LEFT($A571,4),Setor!$A:$E,3,0)),"")</f>
        <v>Comunicações</v>
      </c>
      <c r="D571" s="63" t="str">
        <f>IFERROR((VLOOKUP(LEFT($A571,4),Setor!$A:$E,4,0)),"")</f>
        <v>Telecomunicações</v>
      </c>
      <c r="E571" s="63" t="str">
        <f>IFERROR((VLOOKUP(LEFT($A571,4),Setor!$A:$E,5,0)),"")</f>
        <v>Telecomunicações</v>
      </c>
      <c r="F571" s="64">
        <f>IFERROR(__xludf.DUMMYFUNCTION("IFERROR((GOOGLEFINANCE(A571)),"""")"),7555.0)</f>
        <v>7555</v>
      </c>
      <c r="G571" s="65" t="str">
        <f>IFERROR(__xludf.DUMMYFUNCTION("IFERROR((sparkline(GOOGLEFINANCE($A571,""price"",TODAY()-30,TODAY(),""DAILY""),{""charttype"",""line"";""linewidth"",1;""color"",""#5f88cc""})),"""")"),"")</f>
        <v/>
      </c>
      <c r="H571" s="66">
        <f>IFERROR(__xludf.DUMMYFUNCTION("IFERROR((((GOOGLEFINANCE(A571))-(INDEX(GoogleFinance(A571,""PRICE"",$AQ$1),2,2)))/(INDEX(GoogleFinance(A571,""PRICE"",$AQ$1),2,2))),"""")"),0.09572153734590283)</f>
        <v>0.09572153735</v>
      </c>
      <c r="I571" s="47">
        <f>IFERROR(__xludf.DUMMYFUNCTION("IFERROR((GOOGLEFINANCE($A571,""high52"")),"""")"),8200.0)</f>
        <v>8200</v>
      </c>
      <c r="J571" s="68" t="str">
        <f>IFERROR(__xludf.DUMMYFUNCTION("IFERROR((sparkline(GOOGLEFINANCE($A571,""price"",TODAY()-365,TODAY(),""DAILY""),{""charttype"",""line"";""linewidth"",1;""color"",""#5f88cc""})),"""")"),"")</f>
        <v/>
      </c>
      <c r="K571" s="66">
        <f>IFERROR(__xludf.DUMMYFUNCTION("IFERROR((((GOOGLEFINANCE(A571))-(INDEX(GoogleFinance(A571,""PRICE"",$AP$1),2,2)))/(INDEX(GoogleFinance(A571,""PRICE"",$AP$1),2,2))),"""")"),1.05578231292517)</f>
        <v>1.055782313</v>
      </c>
      <c r="L571" s="69">
        <f t="shared" si="1"/>
        <v>-0.07865853659</v>
      </c>
      <c r="M571" s="52">
        <f>IFERROR((VLOOKUP($A571,'Dados StatusInvest'!$A:$AZ,COLUMN(M571)-$A$5,0)*VLOOKUP($A571,'Dados StatusInvest'!$A:$AZ,2,0)/$F571/100),0)</f>
        <v>0.0008272304434</v>
      </c>
      <c r="N571" s="53">
        <f>IFERROR((VLOOKUP($A571,'Dados StatusInvest'!$A:$AZ,COLUMN(N571)-$A$5,0)/VLOOKUP($A571,'Dados StatusInvest'!$A:$AZ,2,0)*$F571),"")</f>
        <v>1862.187269</v>
      </c>
      <c r="O571" s="53">
        <f>IFERROR((VLOOKUP($A571,'Dados StatusInvest'!$A:$AZ,COLUMN(O571)-$A$5,0)/VLOOKUP($A571,'Dados StatusInvest'!$A:$AZ,2,0)*$F571),0)</f>
        <v>2966.637676</v>
      </c>
      <c r="P571" s="54">
        <f>IFERROR((VLOOKUP($A571,'Dados StatusInvest'!$A:$AZ,COLUMN(P571)-$A$5,0)/VLOOKUP($A571,'Dados StatusInvest'!$A:$AZ,2,0)*$F571),0)</f>
        <v>2661.865285</v>
      </c>
      <c r="Q571" s="55">
        <f>IFERROR((VLOOKUP($A571,'Dados StatusInvest'!$A:$AZ,COLUMN(Q571)-$A$5,0)/100),0)</f>
        <v>-0.0109</v>
      </c>
      <c r="R571" s="56">
        <f>VLOOKUP($A571,'Dados StatusInvest'!$A:$AZ,COLUMN(R571)-$A$5,0)</f>
        <v>-0.52</v>
      </c>
      <c r="S571" s="56">
        <f>IFERROR((VLOOKUP($A571,'Dados StatusInvest'!$A:$AZ,COLUMN(S571)-$A$5,0)),0)</f>
        <v>2.45</v>
      </c>
      <c r="T571" s="53">
        <f>IFERROR((VLOOKUP($A571,'Dados StatusInvest'!$A:$AZ,COLUMN(T571)-$A$5,0)/VLOOKUP($A571,'Dados StatusInvest'!$A:$AZ,2,0)*$F571),0)</f>
        <v>66440.3812</v>
      </c>
      <c r="U571" s="53">
        <f>IFERROR((VLOOKUP($A571,'Dados StatusInvest'!$A:$AZ,COLUMN(U571)-$A$5,0)-VLOOKUP($A571,'Dados StatusInvest'!$A:$AZ,COLUMN(U571)-$A$5-1,0)+T571),0)</f>
        <v>66201.2712</v>
      </c>
      <c r="V571" s="56">
        <f>IFERROR((VLOOKUP($A571,'Dados StatusInvest'!$A:$AZ,COLUMN(V571)-$A$5,0)),0)</f>
        <v>1.02</v>
      </c>
      <c r="W571" s="56">
        <f>IFERROR((VLOOKUP($A571,'Dados StatusInvest'!$A:$AZ,COLUMN(W571)-$A$5,0)),0)</f>
        <v>13.71</v>
      </c>
      <c r="X571" s="53">
        <f>IFERROR((VLOOKUP($A571,'Dados StatusInvest'!$A:$AZ,COLUMN(X571)-$A$5,0)/VLOOKUP($A571,'Dados StatusInvest'!$A:$AZ,2,0)*$F571),0)</f>
        <v>850.0074019</v>
      </c>
      <c r="Y571" s="54">
        <f>IFERROR((VLOOKUP($A571,'Dados StatusInvest'!$A:$AZ,COLUMN(Y571)-$A$5,0)/VLOOKUP($A571,'Dados StatusInvest'!$A:$AZ,2,0)*$F571),0)</f>
        <v>7675.23131</v>
      </c>
      <c r="Z571" s="56">
        <f>IFERROR((VLOOKUP($A571,'Dados StatusInvest'!$A:$AZ,COLUMN(Z571)-$A$5,0)),0)</f>
        <v>0.22</v>
      </c>
      <c r="AA571" s="57">
        <f>IFERROR((VLOOKUP($A571,'Dados StatusInvest'!$A:$AZ,COLUMN(AA571)-$A$5,0)),0)</f>
        <v>0.63</v>
      </c>
      <c r="AB571" s="57">
        <f>IFERROR((VLOOKUP($A571,'Dados StatusInvest'!$A:$AZ,COLUMN(AB571)-$A$5,0)),0)</f>
        <v>0.46</v>
      </c>
      <c r="AC571" s="58">
        <f>IFERROR((VLOOKUP($A571,'Dados StatusInvest'!$A:$AZ,COLUMN(AC571)-$A$5,0)),0)</f>
        <v>7.93</v>
      </c>
      <c r="AD571" s="57">
        <f>IFERROR((VLOOKUP($A571,'Dados StatusInvest'!$A:$AZ,COLUMN(AD571)-$A$5,0)),0)</f>
        <v>-13.5</v>
      </c>
      <c r="AE571" s="56">
        <f>IFERROR((VLOOKUP($A571,'Dados StatusInvest'!$A:$AZ,COLUMN(AE571)-$A$5,0)),0)</f>
        <v>184000000</v>
      </c>
      <c r="AF571" s="56">
        <f>IFERROR((VLOOKUP($A571,'Dados StatusInvest'!$A:$AZ,COLUMN(AF571)-$A$5,0)),0)</f>
        <v>5.35</v>
      </c>
      <c r="AG571" s="56">
        <f>IFERROR((VLOOKUP($A571,'Dados StatusInvest'!$A:$AZ,COLUMN(AG571)-$A$5,0)),0)</f>
        <v>0.73</v>
      </c>
      <c r="AH571" s="56">
        <f>IFERROR((VLOOKUP($A571,'Dados StatusInvest'!$A:$AZ,COLUMN(AH571)-$A$5,0)),0)</f>
        <v>-3.33</v>
      </c>
      <c r="AI571" s="57">
        <f>IFERROR((VLOOKUP($A571,'Dados StatusInvest'!$A:$AZ,COLUMN(AI571)-$A$5,0)),0)</f>
        <v>64635241521</v>
      </c>
      <c r="AJ571" s="59" t="str">
        <f>IFERROR((VLOOKUP($A571,'Dados StatusInvest'!$A:$AZ,COLUMN(AJ571)-$A$5,0)),0)</f>
        <v/>
      </c>
      <c r="AK571" s="67" t="str">
        <f>IFERROR(__xludf.DUMMYFUNCTION("IFERROR(GOOGLEFINANCE($A571,""high""),"""")"),"")</f>
        <v/>
      </c>
      <c r="AL571" s="67" t="str">
        <f>IFERROR(__xludf.DUMMYFUNCTION("IFERROR(GOOGLEFINANCE($A571,""low""),"""")"),"")</f>
        <v/>
      </c>
      <c r="AM571" s="70">
        <f t="shared" si="2"/>
        <v>0</v>
      </c>
      <c r="AN571" s="71">
        <f>IFERROR(__xludf.DUMMYFUNCTION("IFERROR((GOOGLEFINANCE($A571,""volume"")),0)"),0.0)</f>
        <v>0</v>
      </c>
      <c r="AO571" s="67">
        <f>IFERROR(__xludf.DUMMYFUNCTION("IFERROR((GOOGLEFINANCE($A571,""closeyest"")),"""")"),7555.0)</f>
        <v>7555</v>
      </c>
      <c r="AP571" s="67" t="str">
        <f>IFERROR(__xludf.DUMMYFUNCTION("IFERROR((GOOGLEFINANCE($A571,""shares"")),"""")"),"")</f>
        <v/>
      </c>
      <c r="AQ571" s="60"/>
    </row>
    <row r="572">
      <c r="A572" s="45" t="str">
        <f>'Dados StatusInvest'!A567:A1186</f>
        <v>TKNO3</v>
      </c>
      <c r="B572" s="63" t="str">
        <f>IFERROR(__xludf.DUMMYFUNCTION("IFERROR((GOOGLEFINANCE(A572,""name"")),"""")"),"Tekno SA Industria e Comercio")</f>
        <v>Tekno SA Industria e Comercio</v>
      </c>
      <c r="C572" s="63" t="str">
        <f>IFERROR((VLOOKUP(LEFT($A572,4),Setor!$A:$E,3,0)),"")</f>
        <v>Materiais Básicos</v>
      </c>
      <c r="D572" s="63" t="str">
        <f>IFERROR((VLOOKUP(LEFT($A572,4),Setor!$A:$E,4,0)),"")</f>
        <v>Siderurgia e Metalurgia</v>
      </c>
      <c r="E572" s="63" t="str">
        <f>IFERROR((VLOOKUP(LEFT($A572,4),Setor!$A:$E,5,0)),"")</f>
        <v>Artefatos de Ferro e Aço</v>
      </c>
      <c r="F572" s="64">
        <f>IFERROR(__xludf.DUMMYFUNCTION("IFERROR((GOOGLEFINANCE(A572)),"""")"),210.0)</f>
        <v>210</v>
      </c>
      <c r="G572" s="65" t="str">
        <f>IFERROR(__xludf.DUMMYFUNCTION("IFERROR((sparkline(GOOGLEFINANCE($A572,""price"",TODAY()-30,TODAY(),""DAILY""),{""charttype"",""line"";""linewidth"",1;""color"",""#5f88cc""})),"""")"),"")</f>
        <v/>
      </c>
      <c r="H572" s="66" t="str">
        <f>IFERROR(__xludf.DUMMYFUNCTION("IFERROR((((GOOGLEFINANCE(A572))-(INDEX(GoogleFinance(A572,""PRICE"",$AQ$1),2,2)))/(INDEX(GoogleFinance(A572,""PRICE"",$AQ$1),2,2))),"""")"),"")</f>
        <v/>
      </c>
      <c r="I572" s="47">
        <f>IFERROR(__xludf.DUMMYFUNCTION("IFERROR((GOOGLEFINANCE($A572,""high52"")),"""")"),210.0)</f>
        <v>210</v>
      </c>
      <c r="J572" s="68" t="str">
        <f>IFERROR(__xludf.DUMMYFUNCTION("IFERROR((sparkline(GOOGLEFINANCE($A572,""price"",TODAY()-365,TODAY(),""DAILY""),{""charttype"",""line"";""linewidth"",1;""color"",""#5f88cc""})),"""")"),"")</f>
        <v/>
      </c>
      <c r="K572" s="66" t="str">
        <f>IFERROR(__xludf.DUMMYFUNCTION("IFERROR((((GOOGLEFINANCE(A572))-(INDEX(GoogleFinance(A572,""PRICE"",$AP$1),2,2)))/(INDEX(GoogleFinance(A572,""PRICE"",$AP$1),2,2))),"""")"),"")</f>
        <v/>
      </c>
      <c r="L572" s="69">
        <f t="shared" si="1"/>
        <v>0</v>
      </c>
      <c r="M572" s="52">
        <f>IFERROR((VLOOKUP($A572,'Dados StatusInvest'!$A:$AZ,COLUMN(M572)-$A$5,0)*VLOOKUP($A572,'Dados StatusInvest'!$A:$AZ,2,0)/$F572/100),0)</f>
        <v>0.1238</v>
      </c>
      <c r="N572" s="53">
        <f>IFERROR((VLOOKUP($A572,'Dados StatusInvest'!$A:$AZ,COLUMN(N572)-$A$5,0)/VLOOKUP($A572,'Dados StatusInvest'!$A:$AZ,2,0)*$F572),"")</f>
        <v>11.79</v>
      </c>
      <c r="O572" s="53">
        <f>IFERROR((VLOOKUP($A572,'Dados StatusInvest'!$A:$AZ,COLUMN(O572)-$A$5,0)/VLOOKUP($A572,'Dados StatusInvest'!$A:$AZ,2,0)*$F572),0)</f>
        <v>16.57</v>
      </c>
      <c r="P572" s="54">
        <f>IFERROR((VLOOKUP($A572,'Dados StatusInvest'!$A:$AZ,COLUMN(P572)-$A$5,0)/VLOOKUP($A572,'Dados StatusInvest'!$A:$AZ,2,0)*$F572),0)</f>
        <v>14.51</v>
      </c>
      <c r="Q572" s="55">
        <f>IFERROR((VLOOKUP($A572,'Dados StatusInvest'!$A:$AZ,COLUMN(Q572)-$A$5,0)/100),0)</f>
        <v>-0.0203</v>
      </c>
      <c r="R572" s="56">
        <f>VLOOKUP($A572,'Dados StatusInvest'!$A:$AZ,COLUMN(R572)-$A$5,0)</f>
        <v>-0.23</v>
      </c>
      <c r="S572" s="56">
        <f>IFERROR((VLOOKUP($A572,'Dados StatusInvest'!$A:$AZ,COLUMN(S572)-$A$5,0)),0)</f>
        <v>2.05</v>
      </c>
      <c r="T572" s="53">
        <f>IFERROR((VLOOKUP($A572,'Dados StatusInvest'!$A:$AZ,COLUMN(T572)-$A$5,0)/VLOOKUP($A572,'Dados StatusInvest'!$A:$AZ,2,0)*$F572),0)</f>
        <v>3.44</v>
      </c>
      <c r="U572" s="53">
        <f>IFERROR((VLOOKUP($A572,'Dados StatusInvest'!$A:$AZ,COLUMN(U572)-$A$5,0)-VLOOKUP($A572,'Dados StatusInvest'!$A:$AZ,COLUMN(U572)-$A$5-1,0)+T572),0)</f>
        <v>-3.66</v>
      </c>
      <c r="V572" s="56">
        <f>IFERROR((VLOOKUP($A572,'Dados StatusInvest'!$A:$AZ,COLUMN(V572)-$A$5,0)),0)</f>
        <v>4.29</v>
      </c>
      <c r="W572" s="56">
        <f>IFERROR((VLOOKUP($A572,'Dados StatusInvest'!$A:$AZ,COLUMN(W572)-$A$5,0)),0)</f>
        <v>10.62</v>
      </c>
      <c r="X572" s="53">
        <f>IFERROR((VLOOKUP($A572,'Dados StatusInvest'!$A:$AZ,COLUMN(X572)-$A$5,0)/VLOOKUP($A572,'Dados StatusInvest'!$A:$AZ,2,0)*$F572),0)</f>
        <v>8.8</v>
      </c>
      <c r="Y572" s="54">
        <f>IFERROR((VLOOKUP($A572,'Dados StatusInvest'!$A:$AZ,COLUMN(Y572)-$A$5,0)/VLOOKUP($A572,'Dados StatusInvest'!$A:$AZ,2,0)*$F572),0)</f>
        <v>6.13</v>
      </c>
      <c r="Z572" s="56">
        <f>IFERROR((VLOOKUP($A572,'Dados StatusInvest'!$A:$AZ,COLUMN(Z572)-$A$5,0)),0)</f>
        <v>0.83</v>
      </c>
      <c r="AA572" s="57">
        <f>IFERROR((VLOOKUP($A572,'Dados StatusInvest'!$A:$AZ,COLUMN(AA572)-$A$5,0)),0)</f>
        <v>0.17</v>
      </c>
      <c r="AB572" s="57">
        <f>IFERROR((VLOOKUP($A572,'Dados StatusInvest'!$A:$AZ,COLUMN(AB572)-$A$5,0)),0)</f>
        <v>0.75</v>
      </c>
      <c r="AC572" s="58">
        <f>IFERROR((VLOOKUP($A572,'Dados StatusInvest'!$A:$AZ,COLUMN(AC572)-$A$5,0)),0)</f>
        <v>15.06</v>
      </c>
      <c r="AD572" s="57">
        <f>IFERROR((VLOOKUP($A572,'Dados StatusInvest'!$A:$AZ,COLUMN(AD572)-$A$5,0)),0)</f>
        <v>30.54</v>
      </c>
      <c r="AE572" s="56">
        <f>IFERROR((VLOOKUP($A572,'Dados StatusInvest'!$A:$AZ,COLUMN(AE572)-$A$5,0)),0)</f>
        <v>15611.5</v>
      </c>
      <c r="AF572" s="56">
        <f>IFERROR((VLOOKUP($A572,'Dados StatusInvest'!$A:$AZ,COLUMN(AF572)-$A$5,0)),0)</f>
        <v>113.61</v>
      </c>
      <c r="AG572" s="56">
        <f>IFERROR((VLOOKUP($A572,'Dados StatusInvest'!$A:$AZ,COLUMN(AG572)-$A$5,0)),0)</f>
        <v>12.07</v>
      </c>
      <c r="AH572" s="56">
        <f>IFERROR((VLOOKUP($A572,'Dados StatusInvest'!$A:$AZ,COLUMN(AH572)-$A$5,0)),0)</f>
        <v>-0.73</v>
      </c>
      <c r="AI572" s="57">
        <f>IFERROR((VLOOKUP($A572,'Dados StatusInvest'!$A:$AZ,COLUMN(AI572)-$A$5,0)),0)</f>
        <v>617679391</v>
      </c>
      <c r="AJ572" s="59" t="str">
        <f>IFERROR((VLOOKUP($A572,'Dados StatusInvest'!$A:$AZ,COLUMN(AJ572)-$A$5,0)),0)</f>
        <v/>
      </c>
      <c r="AK572" s="67" t="str">
        <f>IFERROR(__xludf.DUMMYFUNCTION("IFERROR(GOOGLEFINANCE($A572,""high""),"""")"),"")</f>
        <v/>
      </c>
      <c r="AL572" s="67" t="str">
        <f>IFERROR(__xludf.DUMMYFUNCTION("IFERROR(GOOGLEFINANCE($A572,""low""),"""")"),"")</f>
        <v/>
      </c>
      <c r="AM572" s="70">
        <f t="shared" si="2"/>
        <v>0</v>
      </c>
      <c r="AN572" s="71">
        <f>IFERROR(__xludf.DUMMYFUNCTION("IFERROR((GOOGLEFINANCE($A572,""volume"")),0)"),0.0)</f>
        <v>0</v>
      </c>
      <c r="AO572" s="67">
        <f>IFERROR(__xludf.DUMMYFUNCTION("IFERROR((GOOGLEFINANCE($A572,""closeyest"")),"""")"),210.0)</f>
        <v>210</v>
      </c>
      <c r="AP572" s="67">
        <f>IFERROR(__xludf.DUMMYFUNCTION("IFERROR((GOOGLEFINANCE($A572,""shares"")),"""")"),1587101.0)</f>
        <v>1587101</v>
      </c>
      <c r="AQ572" s="60"/>
    </row>
    <row r="573">
      <c r="A573" s="45" t="str">
        <f>'Dados StatusInvest'!A568:A1187</f>
        <v>TKNO4</v>
      </c>
      <c r="B573" s="63" t="str">
        <f>IFERROR(__xludf.DUMMYFUNCTION("IFERROR((GOOGLEFINANCE(A573,""name"")),"""")"),"Tekno SA Industria e Comercio Preference Shares")</f>
        <v>Tekno SA Industria e Comercio Preference Shares</v>
      </c>
      <c r="C573" s="63" t="str">
        <f>IFERROR((VLOOKUP(LEFT($A573,4),Setor!$A:$E,3,0)),"")</f>
        <v>Materiais Básicos</v>
      </c>
      <c r="D573" s="63" t="str">
        <f>IFERROR((VLOOKUP(LEFT($A573,4),Setor!$A:$E,4,0)),"")</f>
        <v>Siderurgia e Metalurgia</v>
      </c>
      <c r="E573" s="63" t="str">
        <f>IFERROR((VLOOKUP(LEFT($A573,4),Setor!$A:$E,5,0)),"")</f>
        <v>Artefatos de Ferro e Aço</v>
      </c>
      <c r="F573" s="64">
        <f>IFERROR(__xludf.DUMMYFUNCTION("IFERROR((GOOGLEFINANCE(A573)),"""")"),209.0)</f>
        <v>209</v>
      </c>
      <c r="G573" s="65" t="str">
        <f>IFERROR(__xludf.DUMMYFUNCTION("IFERROR((sparkline(GOOGLEFINANCE($A573,""price"",TODAY()-30,TODAY(),""DAILY""),{""charttype"",""line"";""linewidth"",1;""color"",""#5f88cc""})),"""")"),"")</f>
        <v/>
      </c>
      <c r="H573" s="66" t="str">
        <f>IFERROR(__xludf.DUMMYFUNCTION("IFERROR((((GOOGLEFINANCE(A573))-(INDEX(GoogleFinance(A573,""PRICE"",$AQ$1),2,2)))/(INDEX(GoogleFinance(A573,""PRICE"",$AQ$1),2,2))),"""")"),"")</f>
        <v/>
      </c>
      <c r="I573" s="47">
        <f>IFERROR(__xludf.DUMMYFUNCTION("IFERROR((GOOGLEFINANCE($A573,""high52"")),"""")"),213.0)</f>
        <v>213</v>
      </c>
      <c r="J573" s="68" t="str">
        <f>IFERROR(__xludf.DUMMYFUNCTION("IFERROR((sparkline(GOOGLEFINANCE($A573,""price"",TODAY()-365,TODAY(),""DAILY""),{""charttype"",""line"";""linewidth"",1;""color"",""#5f88cc""})),"""")"),"")</f>
        <v/>
      </c>
      <c r="K573" s="66" t="str">
        <f>IFERROR(__xludf.DUMMYFUNCTION("IFERROR((((GOOGLEFINANCE(A573))-(INDEX(GoogleFinance(A573,""PRICE"",$AP$1),2,2)))/(INDEX(GoogleFinance(A573,""PRICE"",$AP$1),2,2))),"""")"),"")</f>
        <v/>
      </c>
      <c r="L573" s="69">
        <f t="shared" si="1"/>
        <v>-0.01877934272</v>
      </c>
      <c r="M573" s="52">
        <f>IFERROR((VLOOKUP($A573,'Dados StatusInvest'!$A:$AZ,COLUMN(M573)-$A$5,0)*VLOOKUP($A573,'Dados StatusInvest'!$A:$AZ,2,0)/$F573/100),0)</f>
        <v>0.1238</v>
      </c>
      <c r="N573" s="53">
        <f>IFERROR((VLOOKUP($A573,'Dados StatusInvest'!$A:$AZ,COLUMN(N573)-$A$5,0)/VLOOKUP($A573,'Dados StatusInvest'!$A:$AZ,2,0)*$F573),"")</f>
        <v>11.79</v>
      </c>
      <c r="O573" s="53">
        <f>IFERROR((VLOOKUP($A573,'Dados StatusInvest'!$A:$AZ,COLUMN(O573)-$A$5,0)/VLOOKUP($A573,'Dados StatusInvest'!$A:$AZ,2,0)*$F573),0)</f>
        <v>16.5</v>
      </c>
      <c r="P573" s="54">
        <f>IFERROR((VLOOKUP($A573,'Dados StatusInvest'!$A:$AZ,COLUMN(P573)-$A$5,0)/VLOOKUP($A573,'Dados StatusInvest'!$A:$AZ,2,0)*$F573),0)</f>
        <v>14.51</v>
      </c>
      <c r="Q573" s="55">
        <f>IFERROR((VLOOKUP($A573,'Dados StatusInvest'!$A:$AZ,COLUMN(Q573)-$A$5,0)/100),0)</f>
        <v>-0.0203</v>
      </c>
      <c r="R573" s="56">
        <f>VLOOKUP($A573,'Dados StatusInvest'!$A:$AZ,COLUMN(R573)-$A$5,0)</f>
        <v>-0.23</v>
      </c>
      <c r="S573" s="56">
        <f>IFERROR((VLOOKUP($A573,'Dados StatusInvest'!$A:$AZ,COLUMN(S573)-$A$5,0)),0)</f>
        <v>2.04</v>
      </c>
      <c r="T573" s="53">
        <f>IFERROR((VLOOKUP($A573,'Dados StatusInvest'!$A:$AZ,COLUMN(T573)-$A$5,0)/VLOOKUP($A573,'Dados StatusInvest'!$A:$AZ,2,0)*$F573),0)</f>
        <v>3.42</v>
      </c>
      <c r="U573" s="53">
        <f>IFERROR((VLOOKUP($A573,'Dados StatusInvest'!$A:$AZ,COLUMN(U573)-$A$5,0)-VLOOKUP($A573,'Dados StatusInvest'!$A:$AZ,COLUMN(U573)-$A$5-1,0)+T573),0)</f>
        <v>-3.64</v>
      </c>
      <c r="V573" s="56">
        <f>IFERROR((VLOOKUP($A573,'Dados StatusInvest'!$A:$AZ,COLUMN(V573)-$A$5,0)),0)</f>
        <v>4.29</v>
      </c>
      <c r="W573" s="56">
        <f>IFERROR((VLOOKUP($A573,'Dados StatusInvest'!$A:$AZ,COLUMN(W573)-$A$5,0)),0)</f>
        <v>10.62</v>
      </c>
      <c r="X573" s="53">
        <f>IFERROR((VLOOKUP($A573,'Dados StatusInvest'!$A:$AZ,COLUMN(X573)-$A$5,0)/VLOOKUP($A573,'Dados StatusInvest'!$A:$AZ,2,0)*$F573),0)</f>
        <v>8.8</v>
      </c>
      <c r="Y573" s="54">
        <f>IFERROR((VLOOKUP($A573,'Dados StatusInvest'!$A:$AZ,COLUMN(Y573)-$A$5,0)/VLOOKUP($A573,'Dados StatusInvest'!$A:$AZ,2,0)*$F573),0)</f>
        <v>6.13</v>
      </c>
      <c r="Z573" s="56">
        <f>IFERROR((VLOOKUP($A573,'Dados StatusInvest'!$A:$AZ,COLUMN(Z573)-$A$5,0)),0)</f>
        <v>0.83</v>
      </c>
      <c r="AA573" s="57">
        <f>IFERROR((VLOOKUP($A573,'Dados StatusInvest'!$A:$AZ,COLUMN(AA573)-$A$5,0)),0)</f>
        <v>0.17</v>
      </c>
      <c r="AB573" s="57">
        <f>IFERROR((VLOOKUP($A573,'Dados StatusInvest'!$A:$AZ,COLUMN(AB573)-$A$5,0)),0)</f>
        <v>0.75</v>
      </c>
      <c r="AC573" s="58">
        <f>IFERROR((VLOOKUP($A573,'Dados StatusInvest'!$A:$AZ,COLUMN(AC573)-$A$5,0)),0)</f>
        <v>15.06</v>
      </c>
      <c r="AD573" s="57">
        <f>IFERROR((VLOOKUP($A573,'Dados StatusInvest'!$A:$AZ,COLUMN(AD573)-$A$5,0)),0)</f>
        <v>30.54</v>
      </c>
      <c r="AE573" s="56">
        <f>IFERROR((VLOOKUP($A573,'Dados StatusInvest'!$A:$AZ,COLUMN(AE573)-$A$5,0)),0)</f>
        <v>25459.9</v>
      </c>
      <c r="AF573" s="56">
        <f>IFERROR((VLOOKUP($A573,'Dados StatusInvest'!$A:$AZ,COLUMN(AF573)-$A$5,0)),0)</f>
        <v>113.61</v>
      </c>
      <c r="AG573" s="56">
        <f>IFERROR((VLOOKUP($A573,'Dados StatusInvest'!$A:$AZ,COLUMN(AG573)-$A$5,0)),0)</f>
        <v>12.07</v>
      </c>
      <c r="AH573" s="56">
        <f>IFERROR((VLOOKUP($A573,'Dados StatusInvest'!$A:$AZ,COLUMN(AH573)-$A$5,0)),0)</f>
        <v>-0.72</v>
      </c>
      <c r="AI573" s="57">
        <f>IFERROR((VLOOKUP($A573,'Dados StatusInvest'!$A:$AZ,COLUMN(AI573)-$A$5,0)),0)</f>
        <v>617679391</v>
      </c>
      <c r="AJ573" s="59" t="str">
        <f>IFERROR((VLOOKUP($A573,'Dados StatusInvest'!$A:$AZ,COLUMN(AJ573)-$A$5,0)),0)</f>
        <v/>
      </c>
      <c r="AK573" s="67" t="str">
        <f>IFERROR(__xludf.DUMMYFUNCTION("IFERROR(GOOGLEFINANCE($A573,""high""),"""")"),"")</f>
        <v/>
      </c>
      <c r="AL573" s="67" t="str">
        <f>IFERROR(__xludf.DUMMYFUNCTION("IFERROR(GOOGLEFINANCE($A573,""low""),"""")"),"")</f>
        <v/>
      </c>
      <c r="AM573" s="70">
        <f t="shared" si="2"/>
        <v>0</v>
      </c>
      <c r="AN573" s="71">
        <f>IFERROR(__xludf.DUMMYFUNCTION("IFERROR((GOOGLEFINANCE($A573,""volume"")),0)"),0.0)</f>
        <v>0</v>
      </c>
      <c r="AO573" s="67">
        <f>IFERROR(__xludf.DUMMYFUNCTION("IFERROR((GOOGLEFINANCE($A573,""closeyest"")),"""")"),209.0)</f>
        <v>209</v>
      </c>
      <c r="AP573" s="67">
        <f>IFERROR(__xludf.DUMMYFUNCTION("IFERROR((GOOGLEFINANCE($A573,""shares"")),"""")"),1360709.0)</f>
        <v>1360709</v>
      </c>
      <c r="AQ573" s="60"/>
    </row>
    <row r="574">
      <c r="A574" s="45" t="str">
        <f>'Dados StatusInvest'!A569:A1188</f>
        <v>TOKY3</v>
      </c>
      <c r="B574" s="63" t="str">
        <f>IFERROR(__xludf.DUMMYFUNCTION("IFERROR((GOOGLEFINANCE(A574,""name"")),"""")"),"Grupo Toky SA")</f>
        <v>Grupo Toky SA</v>
      </c>
      <c r="C574" s="63" t="str">
        <f>IFERROR((VLOOKUP(LEFT($A574,4),Setor!$A:$E,3,0)),"")</f>
        <v/>
      </c>
      <c r="D574" s="63" t="str">
        <f>IFERROR((VLOOKUP(LEFT($A574,4),Setor!$A:$E,4,0)),"")</f>
        <v/>
      </c>
      <c r="E574" s="63" t="str">
        <f>IFERROR((VLOOKUP(LEFT($A574,4),Setor!$A:$E,5,0)),"")</f>
        <v/>
      </c>
      <c r="F574" s="64">
        <f>IFERROR(__xludf.DUMMYFUNCTION("IFERROR((GOOGLEFINANCE(A574)),"""")"),0.58)</f>
        <v>0.58</v>
      </c>
      <c r="G574" s="65" t="str">
        <f>IFERROR(__xludf.DUMMYFUNCTION("IFERROR((sparkline(GOOGLEFINANCE($A574,""price"",TODAY()-30,TODAY(),""DAILY""),{""charttype"",""line"";""linewidth"",1;""color"",""#5f88cc""})),"""")"),"")</f>
        <v/>
      </c>
      <c r="H574" s="66">
        <f>IFERROR(__xludf.DUMMYFUNCTION("IFERROR((((GOOGLEFINANCE(A574))-(INDEX(GoogleFinance(A574,""PRICE"",$AQ$1),2,2)))/(INDEX(GoogleFinance(A574,""PRICE"",$AQ$1),2,2))),"""")"),-0.15942028985507245)</f>
        <v>-0.1594202899</v>
      </c>
      <c r="I574" s="47">
        <f>IFERROR(__xludf.DUMMYFUNCTION("IFERROR((GOOGLEFINANCE($A574,""high52"")),"""")"),1.48)</f>
        <v>1.48</v>
      </c>
      <c r="J574" s="68" t="str">
        <f>IFERROR(__xludf.DUMMYFUNCTION("IFERROR((sparkline(GOOGLEFINANCE($A574,""price"",TODAY()-365,TODAY(),""DAILY""),{""charttype"",""line"";""linewidth"",1;""color"",""#5f88cc""})),"""")"),"")</f>
        <v/>
      </c>
      <c r="K574" s="66" t="str">
        <f>IFERROR(__xludf.DUMMYFUNCTION("IFERROR((((GOOGLEFINANCE(A574))-(INDEX(GoogleFinance(A574,""PRICE"",$AP$1),2,2)))/(INDEX(GoogleFinance(A574,""PRICE"",$AP$1),2,2))),"""")"),"")</f>
        <v/>
      </c>
      <c r="L574" s="69">
        <f t="shared" si="1"/>
        <v>-0.6081081081</v>
      </c>
      <c r="M574" s="52">
        <f>IFERROR((VLOOKUP($A574,'Dados StatusInvest'!$A:$AZ,COLUMN(M574)-$A$5,0)*VLOOKUP($A574,'Dados StatusInvest'!$A:$AZ,2,0)/$F574/100),0)</f>
        <v>-0.1599103448</v>
      </c>
      <c r="N574" s="53">
        <f>IFERROR((VLOOKUP($A574,'Dados StatusInvest'!$A:$AZ,COLUMN(N574)-$A$5,0)/VLOOKUP($A574,'Dados StatusInvest'!$A:$AZ,2,0)*$F574),"")</f>
        <v>-23.45559322</v>
      </c>
      <c r="O574" s="53">
        <f>IFERROR((VLOOKUP($A574,'Dados StatusInvest'!$A:$AZ,COLUMN(O574)-$A$5,0)/VLOOKUP($A574,'Dados StatusInvest'!$A:$AZ,2,0)*$F574),0)</f>
        <v>-2.103728814</v>
      </c>
      <c r="P574" s="54">
        <f>IFERROR((VLOOKUP($A574,'Dados StatusInvest'!$A:$AZ,COLUMN(P574)-$A$5,0)/VLOOKUP($A574,'Dados StatusInvest'!$A:$AZ,2,0)*$F574),0)</f>
        <v>-2.113559322</v>
      </c>
      <c r="Q574" s="55">
        <f>IFERROR((VLOOKUP($A574,'Dados StatusInvest'!$A:$AZ,COLUMN(Q574)-$A$5,0)/100),0)</f>
        <v>-0.0001</v>
      </c>
      <c r="R574" s="56">
        <f>VLOOKUP($A574,'Dados StatusInvest'!$A:$AZ,COLUMN(R574)-$A$5,0)</f>
        <v>2.44</v>
      </c>
      <c r="S574" s="56">
        <f>IFERROR((VLOOKUP($A574,'Dados StatusInvest'!$A:$AZ,COLUMN(S574)-$A$5,0)),0)</f>
        <v>0.34</v>
      </c>
      <c r="T574" s="53">
        <f>IFERROR((VLOOKUP($A574,'Dados StatusInvest'!$A:$AZ,COLUMN(T574)-$A$5,0)/VLOOKUP($A574,'Dados StatusInvest'!$A:$AZ,2,0)*$F574),0)</f>
        <v>-3060.620678</v>
      </c>
      <c r="U574" s="53">
        <f>IFERROR((VLOOKUP($A574,'Dados StatusInvest'!$A:$AZ,COLUMN(U574)-$A$5,0)-VLOOKUP($A574,'Dados StatusInvest'!$A:$AZ,COLUMN(U574)-$A$5-1,0)+T574),0)</f>
        <v>-46.64067797</v>
      </c>
      <c r="V574" s="56">
        <f>IFERROR((VLOOKUP($A574,'Dados StatusInvest'!$A:$AZ,COLUMN(V574)-$A$5,0)),0)</f>
        <v>0.94</v>
      </c>
      <c r="W574" s="56">
        <f>IFERROR((VLOOKUP($A574,'Dados StatusInvest'!$A:$AZ,COLUMN(W574)-$A$5,0)),0)</f>
        <v>-33567</v>
      </c>
      <c r="X574" s="53">
        <f>IFERROR((VLOOKUP($A574,'Dados StatusInvest'!$A:$AZ,COLUMN(X574)-$A$5,0)/VLOOKUP($A574,'Dados StatusInvest'!$A:$AZ,2,0)*$F574),0)</f>
        <v>-4620.338983</v>
      </c>
      <c r="Y574" s="54">
        <f>IFERROR((VLOOKUP($A574,'Dados StatusInvest'!$A:$AZ,COLUMN(Y574)-$A$5,0)/VLOOKUP($A574,'Dados StatusInvest'!$A:$AZ,2,0)*$F574),0)</f>
        <v>-8095.954576</v>
      </c>
      <c r="Z574" s="56">
        <f>IFERROR((VLOOKUP($A574,'Dados StatusInvest'!$A:$AZ,COLUMN(Z574)-$A$5,0)),0)</f>
        <v>0.14</v>
      </c>
      <c r="AA574" s="57">
        <f>IFERROR((VLOOKUP($A574,'Dados StatusInvest'!$A:$AZ,COLUMN(AA574)-$A$5,0)),0)</f>
        <v>0.98</v>
      </c>
      <c r="AB574" s="57">
        <f>IFERROR((VLOOKUP($A574,'Dados StatusInvest'!$A:$AZ,COLUMN(AB574)-$A$5,0)),0)</f>
        <v>197</v>
      </c>
      <c r="AC574" s="58">
        <f>IFERROR((VLOOKUP($A574,'Dados StatusInvest'!$A:$AZ,COLUMN(AC574)-$A$5,0)),0)</f>
        <v>14.79</v>
      </c>
      <c r="AD574" s="57">
        <f>IFERROR((VLOOKUP($A574,'Dados StatusInvest'!$A:$AZ,COLUMN(AD574)-$A$5,0)),0)</f>
        <v>0</v>
      </c>
      <c r="AE574" s="56">
        <f>IFERROR((VLOOKUP($A574,'Dados StatusInvest'!$A:$AZ,COLUMN(AE574)-$A$5,0)),0)</f>
        <v>390264.3</v>
      </c>
      <c r="AF574" s="56">
        <f>IFERROR((VLOOKUP($A574,'Dados StatusInvest'!$A:$AZ,COLUMN(AF574)-$A$5,0)),0)</f>
        <v>0</v>
      </c>
      <c r="AG574" s="56">
        <f>IFERROR((VLOOKUP($A574,'Dados StatusInvest'!$A:$AZ,COLUMN(AG574)-$A$5,0)),0)</f>
        <v>-0.42</v>
      </c>
      <c r="AH574" s="56">
        <f>IFERROR((VLOOKUP($A574,'Dados StatusInvest'!$A:$AZ,COLUMN(AH574)-$A$5,0)),0)</f>
        <v>-0.11</v>
      </c>
      <c r="AI574" s="57">
        <f>IFERROR((VLOOKUP($A574,'Dados StatusInvest'!$A:$AZ,COLUMN(AI574)-$A$5,0)),0)</f>
        <v>127904324.1</v>
      </c>
      <c r="AJ574" s="59" t="str">
        <f>IFERROR((VLOOKUP($A574,'Dados StatusInvest'!$A:$AZ,COLUMN(AJ574)-$A$5,0)),0)</f>
        <v/>
      </c>
      <c r="AK574" s="67">
        <f>IFERROR(__xludf.DUMMYFUNCTION("IFERROR(GOOGLEFINANCE($A574,""high""),"""")"),0.6)</f>
        <v>0.6</v>
      </c>
      <c r="AL574" s="67">
        <f>IFERROR(__xludf.DUMMYFUNCTION("IFERROR(GOOGLEFINANCE($A574,""low""),"""")"),0.57)</f>
        <v>0.57</v>
      </c>
      <c r="AM574" s="70">
        <f t="shared" si="2"/>
        <v>0.05263157895</v>
      </c>
      <c r="AN574" s="71">
        <f>IFERROR(__xludf.DUMMYFUNCTION("IFERROR((GOOGLEFINANCE($A574,""volume"")),0)"),28300.0)</f>
        <v>28300</v>
      </c>
      <c r="AO574" s="67">
        <f>IFERROR(__xludf.DUMMYFUNCTION("IFERROR((GOOGLEFINANCE($A574,""closeyest"")),"""")"),0.59)</f>
        <v>0.59</v>
      </c>
      <c r="AP574" s="67">
        <f>IFERROR(__xludf.DUMMYFUNCTION("IFERROR((GOOGLEFINANCE($A574,""shares"")),"""")"),2.1678699E8)</f>
        <v>216786990</v>
      </c>
      <c r="AQ574" s="60"/>
    </row>
    <row r="575">
      <c r="A575" s="45" t="str">
        <f>'Dados StatusInvest'!A570:A1189</f>
        <v>TOTS3</v>
      </c>
      <c r="B575" s="63" t="str">
        <f>IFERROR(__xludf.DUMMYFUNCTION("IFERROR((GOOGLEFINANCE(A575,""name"")),"""")"),"Totvs SA")</f>
        <v>Totvs SA</v>
      </c>
      <c r="C575" s="63" t="str">
        <f>IFERROR((VLOOKUP(LEFT($A575,4),Setor!$A:$E,3,0)),"")</f>
        <v>Tecnologia da Informação</v>
      </c>
      <c r="D575" s="63" t="str">
        <f>IFERROR((VLOOKUP(LEFT($A575,4),Setor!$A:$E,4,0)),"")</f>
        <v>Programas e Serviços</v>
      </c>
      <c r="E575" s="63" t="str">
        <f>IFERROR((VLOOKUP(LEFT($A575,4),Setor!$A:$E,5,0)),"")</f>
        <v>Programas e Serviços</v>
      </c>
      <c r="F575" s="64">
        <f>IFERROR(__xludf.DUMMYFUNCTION("IFERROR((GOOGLEFINANCE(A575)),"""")"),38.91)</f>
        <v>38.91</v>
      </c>
      <c r="G575" s="65" t="str">
        <f>IFERROR(__xludf.DUMMYFUNCTION("IFERROR((sparkline(GOOGLEFINANCE($A575,""price"",TODAY()-30,TODAY(),""DAILY""),{""charttype"",""line"";""linewidth"",1;""color"",""#5f88cc""})),"""")"),"")</f>
        <v/>
      </c>
      <c r="H575" s="66">
        <f>IFERROR(__xludf.DUMMYFUNCTION("IFERROR((((GOOGLEFINANCE(A575))-(INDEX(GoogleFinance(A575,""PRICE"",$AQ$1),2,2)))/(INDEX(GoogleFinance(A575,""PRICE"",$AQ$1),2,2))),"""")"),-0.1448351648351649)</f>
        <v>-0.1448351648</v>
      </c>
      <c r="I575" s="47">
        <f>IFERROR(__xludf.DUMMYFUNCTION("IFERROR((GOOGLEFINANCE($A575,""high52"")),"""")"),48.22)</f>
        <v>48.22</v>
      </c>
      <c r="J575" s="68" t="str">
        <f>IFERROR(__xludf.DUMMYFUNCTION("IFERROR((sparkline(GOOGLEFINANCE($A575,""price"",TODAY()-365,TODAY(),""DAILY""),{""charttype"",""line"";""linewidth"",1;""color"",""#5f88cc""})),"""")"),"")</f>
        <v/>
      </c>
      <c r="K575" s="66">
        <f>IFERROR(__xludf.DUMMYFUNCTION("IFERROR((((GOOGLEFINANCE(A575))-(INDEX(GoogleFinance(A575,""PRICE"",$AP$1),2,2)))/(INDEX(GoogleFinance(A575,""PRICE"",$AP$1),2,2))),"""")"),0.10886292390994565)</f>
        <v>0.1088629239</v>
      </c>
      <c r="L575" s="69">
        <f t="shared" si="1"/>
        <v>-0.1930734135</v>
      </c>
      <c r="M575" s="52">
        <f>IFERROR((VLOOKUP($A575,'Dados StatusInvest'!$A:$AZ,COLUMN(M575)-$A$5,0)*VLOOKUP($A575,'Dados StatusInvest'!$A:$AZ,2,0)/$F575/100),0)</f>
        <v>0.1830880236</v>
      </c>
      <c r="N575" s="53">
        <f>IFERROR((VLOOKUP($A575,'Dados StatusInvest'!$A:$AZ,COLUMN(N575)-$A$5,0)/VLOOKUP($A575,'Dados StatusInvest'!$A:$AZ,2,0)*$F575),"")</f>
        <v>13.82578691</v>
      </c>
      <c r="O575" s="53">
        <f>IFERROR((VLOOKUP($A575,'Dados StatusInvest'!$A:$AZ,COLUMN(O575)-$A$5,0)/VLOOKUP($A575,'Dados StatusInvest'!$A:$AZ,2,0)*$F575),0)</f>
        <v>21.74764313</v>
      </c>
      <c r="P575" s="54">
        <f>IFERROR((VLOOKUP($A575,'Dados StatusInvest'!$A:$AZ,COLUMN(P575)-$A$5,0)/VLOOKUP($A575,'Dados StatusInvest'!$A:$AZ,2,0)*$F575),0)</f>
        <v>21.44795122</v>
      </c>
      <c r="Q575" s="55">
        <f>IFERROR((VLOOKUP($A575,'Dados StatusInvest'!$A:$AZ,COLUMN(Q575)-$A$5,0)/100),0)</f>
        <v>-0.003</v>
      </c>
      <c r="R575" s="56">
        <f>VLOOKUP($A575,'Dados StatusInvest'!$A:$AZ,COLUMN(R575)-$A$5,0)</f>
        <v>-0.06</v>
      </c>
      <c r="S575" s="56">
        <f>IFERROR((VLOOKUP($A575,'Dados StatusInvest'!$A:$AZ,COLUMN(S575)-$A$5,0)),0)</f>
        <v>3.98</v>
      </c>
      <c r="T575" s="53">
        <f>IFERROR((VLOOKUP($A575,'Dados StatusInvest'!$A:$AZ,COLUMN(T575)-$A$5,0)/VLOOKUP($A575,'Dados StatusInvest'!$A:$AZ,2,0)*$F575),0)</f>
        <v>12.91672144</v>
      </c>
      <c r="U575" s="53">
        <f>IFERROR((VLOOKUP($A575,'Dados StatusInvest'!$A:$AZ,COLUMN(U575)-$A$5,0)-VLOOKUP($A575,'Dados StatusInvest'!$A:$AZ,COLUMN(U575)-$A$5-1,0)+T575),0)</f>
        <v>-3.853278562</v>
      </c>
      <c r="V575" s="56">
        <f>IFERROR((VLOOKUP($A575,'Dados StatusInvest'!$A:$AZ,COLUMN(V575)-$A$5,0)),0)</f>
        <v>2.35</v>
      </c>
      <c r="W575" s="56">
        <f>IFERROR((VLOOKUP($A575,'Dados StatusInvest'!$A:$AZ,COLUMN(W575)-$A$5,0)),0)</f>
        <v>15.99</v>
      </c>
      <c r="X575" s="53">
        <f>IFERROR((VLOOKUP($A575,'Dados StatusInvest'!$A:$AZ,COLUMN(X575)-$A$5,0)/VLOOKUP($A575,'Dados StatusInvest'!$A:$AZ,2,0)*$F575),0)</f>
        <v>8.790962773</v>
      </c>
      <c r="Y575" s="54">
        <f>IFERROR((VLOOKUP($A575,'Dados StatusInvest'!$A:$AZ,COLUMN(Y575)-$A$5,0)/VLOOKUP($A575,'Dados StatusInvest'!$A:$AZ,2,0)*$F575),0)</f>
        <v>12.02763543</v>
      </c>
      <c r="Z575" s="56">
        <f>IFERROR((VLOOKUP($A575,'Dados StatusInvest'!$A:$AZ,COLUMN(Z575)-$A$5,0)),0)</f>
        <v>0.55</v>
      </c>
      <c r="AA575" s="57">
        <f>IFERROR((VLOOKUP($A575,'Dados StatusInvest'!$A:$AZ,COLUMN(AA575)-$A$5,0)),0)</f>
        <v>0.41</v>
      </c>
      <c r="AB575" s="57">
        <f>IFERROR((VLOOKUP($A575,'Dados StatusInvest'!$A:$AZ,COLUMN(AB575)-$A$5,0)),0)</f>
        <v>0.64</v>
      </c>
      <c r="AC575" s="58">
        <f>IFERROR((VLOOKUP($A575,'Dados StatusInvest'!$A:$AZ,COLUMN(AC575)-$A$5,0)),0)</f>
        <v>18.01</v>
      </c>
      <c r="AD575" s="57">
        <f>IFERROR((VLOOKUP($A575,'Dados StatusInvest'!$A:$AZ,COLUMN(AD575)-$A$5,0)),0)</f>
        <v>31.07</v>
      </c>
      <c r="AE575" s="56">
        <f>IFERROR((VLOOKUP($A575,'Dados StatusInvest'!$A:$AZ,COLUMN(AE575)-$A$5,0)),0)</f>
        <v>265000000</v>
      </c>
      <c r="AF575" s="56">
        <f>IFERROR((VLOOKUP($A575,'Dados StatusInvest'!$A:$AZ,COLUMN(AF575)-$A$5,0)),0)</f>
        <v>8.47</v>
      </c>
      <c r="AG575" s="56">
        <f>IFERROR((VLOOKUP($A575,'Dados StatusInvest'!$A:$AZ,COLUMN(AG575)-$A$5,0)),0)</f>
        <v>1.35</v>
      </c>
      <c r="AH575" s="56">
        <f>IFERROR((VLOOKUP($A575,'Dados StatusInvest'!$A:$AZ,COLUMN(AH575)-$A$5,0)),0)</f>
        <v>1.16</v>
      </c>
      <c r="AI575" s="57">
        <f>IFERROR((VLOOKUP($A575,'Dados StatusInvest'!$A:$AZ,COLUMN(AI575)-$A$5,0)),0)</f>
        <v>23346691580</v>
      </c>
      <c r="AJ575" s="59" t="str">
        <f>IFERROR((VLOOKUP($A575,'Dados StatusInvest'!$A:$AZ,COLUMN(AJ575)-$A$5,0)),0)</f>
        <v/>
      </c>
      <c r="AK575" s="67">
        <f>IFERROR(__xludf.DUMMYFUNCTION("IFERROR(GOOGLEFINANCE($A575,""high""),"""")"),38.99)</f>
        <v>38.99</v>
      </c>
      <c r="AL575" s="67">
        <f>IFERROR(__xludf.DUMMYFUNCTION("IFERROR(GOOGLEFINANCE($A575,""low""),"""")"),38.49)</f>
        <v>38.49</v>
      </c>
      <c r="AM575" s="70">
        <f t="shared" si="2"/>
        <v>0.01299038711</v>
      </c>
      <c r="AN575" s="71">
        <f>IFERROR(__xludf.DUMMYFUNCTION("IFERROR((GOOGLEFINANCE($A575,""volume"")),0)"),208700.0)</f>
        <v>208700</v>
      </c>
      <c r="AO575" s="67">
        <f>IFERROR(__xludf.DUMMYFUNCTION("IFERROR((GOOGLEFINANCE($A575,""closeyest"")),"""")"),38.95)</f>
        <v>38.95</v>
      </c>
      <c r="AP575" s="67">
        <f>IFERROR(__xludf.DUMMYFUNCTION("IFERROR((GOOGLEFINANCE($A575,""shares"")),"""")"),5.99401581E8)</f>
        <v>599401581</v>
      </c>
      <c r="AQ575" s="60"/>
    </row>
    <row r="576">
      <c r="A576" s="45" t="str">
        <f>'Dados StatusInvest'!A571:A1190</f>
        <v>TOYB3</v>
      </c>
      <c r="B576" s="63" t="str">
        <f>IFERROR(__xludf.DUMMYFUNCTION("IFERROR((GOOGLEFINANCE(A576,""name"")),"""")"),"")</f>
        <v/>
      </c>
      <c r="C576" s="63" t="str">
        <f>IFERROR((VLOOKUP(LEFT($A576,4),Setor!$A:$E,3,0)),"")</f>
        <v/>
      </c>
      <c r="D576" s="63" t="str">
        <f>IFERROR((VLOOKUP(LEFT($A576,4),Setor!$A:$E,4,0)),"")</f>
        <v/>
      </c>
      <c r="E576" s="63" t="str">
        <f>IFERROR((VLOOKUP(LEFT($A576,4),Setor!$A:$E,5,0)),"")</f>
        <v/>
      </c>
      <c r="F576" s="64" t="str">
        <f>IFERROR(__xludf.DUMMYFUNCTION("IFERROR((GOOGLEFINANCE(A576)),"""")"),"")</f>
        <v/>
      </c>
      <c r="G576" s="65" t="str">
        <f>IFERROR(__xludf.DUMMYFUNCTION("IFERROR((sparkline(GOOGLEFINANCE($A576,""price"",TODAY()-30,TODAY(),""DAILY""),{""charttype"",""line"";""linewidth"",1;""color"",""#5f88cc""})),"""")"),"")</f>
        <v/>
      </c>
      <c r="H576" s="66" t="str">
        <f>IFERROR(__xludf.DUMMYFUNCTION("IFERROR((((GOOGLEFINANCE(A576))-(INDEX(GoogleFinance(A576,""PRICE"",$AQ$1),2,2)))/(INDEX(GoogleFinance(A576,""PRICE"",$AQ$1),2,2))),"""")"),"")</f>
        <v/>
      </c>
      <c r="I576" s="47" t="str">
        <f>IFERROR(__xludf.DUMMYFUNCTION("IFERROR((GOOGLEFINANCE($A576,""high52"")),"""")"),"")</f>
        <v/>
      </c>
      <c r="J576" s="68" t="str">
        <f>IFERROR(__xludf.DUMMYFUNCTION("IFERROR((sparkline(GOOGLEFINANCE($A576,""price"",TODAY()-365,TODAY(),""DAILY""),{""charttype"",""line"";""linewidth"",1;""color"",""#5f88cc""})),"""")"),"")</f>
        <v/>
      </c>
      <c r="K576" s="66" t="str">
        <f>IFERROR(__xludf.DUMMYFUNCTION("IFERROR((((GOOGLEFINANCE(A576))-(INDEX(GoogleFinance(A576,""PRICE"",$AP$1),2,2)))/(INDEX(GoogleFinance(A576,""PRICE"",$AP$1),2,2))),"""")"),"")</f>
        <v/>
      </c>
      <c r="L576" s="69">
        <f t="shared" si="1"/>
        <v>0</v>
      </c>
      <c r="M576" s="52">
        <f>IFERROR((VLOOKUP($A576,'Dados StatusInvest'!$A:$AZ,COLUMN(M576)-$A$5,0)*VLOOKUP($A576,'Dados StatusInvest'!$A:$AZ,2,0)/$F576/100),0)</f>
        <v>0</v>
      </c>
      <c r="N576" s="53">
        <f>IFERROR((VLOOKUP($A576,'Dados StatusInvest'!$A:$AZ,COLUMN(N576)-$A$5,0)/VLOOKUP($A576,'Dados StatusInvest'!$A:$AZ,2,0)*$F576),"")</f>
        <v>0</v>
      </c>
      <c r="O576" s="53">
        <f>IFERROR((VLOOKUP($A576,'Dados StatusInvest'!$A:$AZ,COLUMN(O576)-$A$5,0)/VLOOKUP($A576,'Dados StatusInvest'!$A:$AZ,2,0)*$F576),0)</f>
        <v>0</v>
      </c>
      <c r="P576" s="54">
        <f>IFERROR((VLOOKUP($A576,'Dados StatusInvest'!$A:$AZ,COLUMN(P576)-$A$5,0)/VLOOKUP($A576,'Dados StatusInvest'!$A:$AZ,2,0)*$F576),0)</f>
        <v>0</v>
      </c>
      <c r="Q576" s="55">
        <f>IFERROR((VLOOKUP($A576,'Dados StatusInvest'!$A:$AZ,COLUMN(Q576)-$A$5,0)/100),0)</f>
        <v>0</v>
      </c>
      <c r="R576" s="56">
        <f>VLOOKUP($A576,'Dados StatusInvest'!$A:$AZ,COLUMN(R576)-$A$5,0)</f>
        <v>0</v>
      </c>
      <c r="S576" s="56">
        <f>IFERROR((VLOOKUP($A576,'Dados StatusInvest'!$A:$AZ,COLUMN(S576)-$A$5,0)),0)</f>
        <v>4.81</v>
      </c>
      <c r="T576" s="53">
        <f>IFERROR((VLOOKUP($A576,'Dados StatusInvest'!$A:$AZ,COLUMN(T576)-$A$5,0)/VLOOKUP($A576,'Dados StatusInvest'!$A:$AZ,2,0)*$F576),0)</f>
        <v>0</v>
      </c>
      <c r="U576" s="53">
        <f>IFERROR((VLOOKUP($A576,'Dados StatusInvest'!$A:$AZ,COLUMN(U576)-$A$5,0)-VLOOKUP($A576,'Dados StatusInvest'!$A:$AZ,COLUMN(U576)-$A$5-1,0)+T576),0)</f>
        <v>-0.34</v>
      </c>
      <c r="V576" s="56">
        <f>IFERROR((VLOOKUP($A576,'Dados StatusInvest'!$A:$AZ,COLUMN(V576)-$A$5,0)),0)</f>
        <v>0</v>
      </c>
      <c r="W576" s="56">
        <f>IFERROR((VLOOKUP($A576,'Dados StatusInvest'!$A:$AZ,COLUMN(W576)-$A$5,0)),0)</f>
        <v>-0.07</v>
      </c>
      <c r="X576" s="53">
        <f>IFERROR((VLOOKUP($A576,'Dados StatusInvest'!$A:$AZ,COLUMN(X576)-$A$5,0)/VLOOKUP($A576,'Dados StatusInvest'!$A:$AZ,2,0)*$F576),0)</f>
        <v>0</v>
      </c>
      <c r="Y576" s="54">
        <f>IFERROR((VLOOKUP($A576,'Dados StatusInvest'!$A:$AZ,COLUMN(Y576)-$A$5,0)/VLOOKUP($A576,'Dados StatusInvest'!$A:$AZ,2,0)*$F576),0)</f>
        <v>0</v>
      </c>
      <c r="Z576" s="56">
        <f>IFERROR((VLOOKUP($A576,'Dados StatusInvest'!$A:$AZ,COLUMN(Z576)-$A$5,0)),0)</f>
        <v>0.05</v>
      </c>
      <c r="AA576" s="57">
        <f>IFERROR((VLOOKUP($A576,'Dados StatusInvest'!$A:$AZ,COLUMN(AA576)-$A$5,0)),0)</f>
        <v>0.95</v>
      </c>
      <c r="AB576" s="57">
        <f>IFERROR((VLOOKUP($A576,'Dados StatusInvest'!$A:$AZ,COLUMN(AB576)-$A$5,0)),0)</f>
        <v>0</v>
      </c>
      <c r="AC576" s="58">
        <f>IFERROR((VLOOKUP($A576,'Dados StatusInvest'!$A:$AZ,COLUMN(AC576)-$A$5,0)),0)</f>
        <v>201.6</v>
      </c>
      <c r="AD576" s="57">
        <f>IFERROR((VLOOKUP($A576,'Dados StatusInvest'!$A:$AZ,COLUMN(AD576)-$A$5,0)),0)</f>
        <v>0</v>
      </c>
      <c r="AE576" s="56">
        <f>IFERROR((VLOOKUP($A576,'Dados StatusInvest'!$A:$AZ,COLUMN(AE576)-$A$5,0)),0)</f>
        <v>0</v>
      </c>
      <c r="AF576" s="56">
        <f>IFERROR((VLOOKUP($A576,'Dados StatusInvest'!$A:$AZ,COLUMN(AF576)-$A$5,0)),0)</f>
        <v>76.91</v>
      </c>
      <c r="AG576" s="56">
        <f>IFERROR((VLOOKUP($A576,'Dados StatusInvest'!$A:$AZ,COLUMN(AG576)-$A$5,0)),0)</f>
        <v>-0.05</v>
      </c>
      <c r="AH576" s="56">
        <f>IFERROR((VLOOKUP($A576,'Dados StatusInvest'!$A:$AZ,COLUMN(AH576)-$A$5,0)),0)</f>
        <v>0.47</v>
      </c>
      <c r="AI576" s="57">
        <f>IFERROR((VLOOKUP($A576,'Dados StatusInvest'!$A:$AZ,COLUMN(AI576)-$A$5,0)),0)</f>
        <v>71890222.22</v>
      </c>
      <c r="AJ576" s="59" t="str">
        <f>IFERROR((VLOOKUP($A576,'Dados StatusInvest'!$A:$AZ,COLUMN(AJ576)-$A$5,0)),0)</f>
        <v/>
      </c>
      <c r="AK576" s="67" t="str">
        <f>IFERROR(__xludf.DUMMYFUNCTION("IFERROR(GOOGLEFINANCE($A576,""high""),"""")"),"")</f>
        <v/>
      </c>
      <c r="AL576" s="67" t="str">
        <f>IFERROR(__xludf.DUMMYFUNCTION("IFERROR(GOOGLEFINANCE($A576,""low""),"""")"),"")</f>
        <v/>
      </c>
      <c r="AM576" s="70">
        <f t="shared" si="2"/>
        <v>0</v>
      </c>
      <c r="AN576" s="71">
        <f>IFERROR(__xludf.DUMMYFUNCTION("IFERROR((GOOGLEFINANCE($A576,""volume"")),0)"),0.0)</f>
        <v>0</v>
      </c>
      <c r="AO576" s="67" t="str">
        <f>IFERROR(__xludf.DUMMYFUNCTION("IFERROR((GOOGLEFINANCE($A576,""closeyest"")),"""")"),"")</f>
        <v/>
      </c>
      <c r="AP576" s="67" t="str">
        <f>IFERROR(__xludf.DUMMYFUNCTION("IFERROR((GOOGLEFINANCE($A576,""shares"")),"""")"),"")</f>
        <v/>
      </c>
      <c r="AQ576" s="60"/>
    </row>
    <row r="577">
      <c r="A577" s="45" t="str">
        <f>'Dados StatusInvest'!A572:A1191</f>
        <v>TOYB4</v>
      </c>
      <c r="B577" s="63" t="str">
        <f>IFERROR(__xludf.DUMMYFUNCTION("IFERROR((GOOGLEFINANCE(A577,""name"")),"""")"),"")</f>
        <v/>
      </c>
      <c r="C577" s="63" t="str">
        <f>IFERROR((VLOOKUP(LEFT($A577,4),Setor!$A:$E,3,0)),"")</f>
        <v/>
      </c>
      <c r="D577" s="63" t="str">
        <f>IFERROR((VLOOKUP(LEFT($A577,4),Setor!$A:$E,4,0)),"")</f>
        <v/>
      </c>
      <c r="E577" s="63" t="str">
        <f>IFERROR((VLOOKUP(LEFT($A577,4),Setor!$A:$E,5,0)),"")</f>
        <v/>
      </c>
      <c r="F577" s="64" t="str">
        <f>IFERROR(__xludf.DUMMYFUNCTION("IFERROR((GOOGLEFINANCE(A577)),"""")"),"")</f>
        <v/>
      </c>
      <c r="G577" s="65" t="str">
        <f>IFERROR(__xludf.DUMMYFUNCTION("IFERROR((sparkline(GOOGLEFINANCE($A577,""price"",TODAY()-30,TODAY(),""DAILY""),{""charttype"",""line"";""linewidth"",1;""color"",""#5f88cc""})),"""")"),"")</f>
        <v/>
      </c>
      <c r="H577" s="66" t="str">
        <f>IFERROR(__xludf.DUMMYFUNCTION("IFERROR((((GOOGLEFINANCE(A577))-(INDEX(GoogleFinance(A577,""PRICE"",$AQ$1),2,2)))/(INDEX(GoogleFinance(A577,""PRICE"",$AQ$1),2,2))),"""")"),"")</f>
        <v/>
      </c>
      <c r="I577" s="47" t="str">
        <f>IFERROR(__xludf.DUMMYFUNCTION("IFERROR((GOOGLEFINANCE($A577,""high52"")),"""")"),"")</f>
        <v/>
      </c>
      <c r="J577" s="68" t="str">
        <f>IFERROR(__xludf.DUMMYFUNCTION("IFERROR((sparkline(GOOGLEFINANCE($A577,""price"",TODAY()-365,TODAY(),""DAILY""),{""charttype"",""line"";""linewidth"",1;""color"",""#5f88cc""})),"""")"),"")</f>
        <v/>
      </c>
      <c r="K577" s="66" t="str">
        <f>IFERROR(__xludf.DUMMYFUNCTION("IFERROR((((GOOGLEFINANCE(A577))-(INDEX(GoogleFinance(A577,""PRICE"",$AP$1),2,2)))/(INDEX(GoogleFinance(A577,""PRICE"",$AP$1),2,2))),"""")"),"")</f>
        <v/>
      </c>
      <c r="L577" s="69">
        <f t="shared" si="1"/>
        <v>0</v>
      </c>
      <c r="M577" s="52">
        <f>IFERROR((VLOOKUP($A577,'Dados StatusInvest'!$A:$AZ,COLUMN(M577)-$A$5,0)*VLOOKUP($A577,'Dados StatusInvest'!$A:$AZ,2,0)/$F577/100),0)</f>
        <v>0</v>
      </c>
      <c r="N577" s="53">
        <f>IFERROR((VLOOKUP($A577,'Dados StatusInvest'!$A:$AZ,COLUMN(N577)-$A$5,0)/VLOOKUP($A577,'Dados StatusInvest'!$A:$AZ,2,0)*$F577),"")</f>
        <v>0</v>
      </c>
      <c r="O577" s="53">
        <f>IFERROR((VLOOKUP($A577,'Dados StatusInvest'!$A:$AZ,COLUMN(O577)-$A$5,0)/VLOOKUP($A577,'Dados StatusInvest'!$A:$AZ,2,0)*$F577),0)</f>
        <v>0</v>
      </c>
      <c r="P577" s="54">
        <f>IFERROR((VLOOKUP($A577,'Dados StatusInvest'!$A:$AZ,COLUMN(P577)-$A$5,0)/VLOOKUP($A577,'Dados StatusInvest'!$A:$AZ,2,0)*$F577),0)</f>
        <v>0</v>
      </c>
      <c r="Q577" s="55">
        <f>IFERROR((VLOOKUP($A577,'Dados StatusInvest'!$A:$AZ,COLUMN(Q577)-$A$5,0)/100),0)</f>
        <v>0</v>
      </c>
      <c r="R577" s="56">
        <f>VLOOKUP($A577,'Dados StatusInvest'!$A:$AZ,COLUMN(R577)-$A$5,0)</f>
        <v>0</v>
      </c>
      <c r="S577" s="56">
        <f>IFERROR((VLOOKUP($A577,'Dados StatusInvest'!$A:$AZ,COLUMN(S577)-$A$5,0)),0)</f>
        <v>5.26</v>
      </c>
      <c r="T577" s="53">
        <f>IFERROR((VLOOKUP($A577,'Dados StatusInvest'!$A:$AZ,COLUMN(T577)-$A$5,0)/VLOOKUP($A577,'Dados StatusInvest'!$A:$AZ,2,0)*$F577),0)</f>
        <v>0</v>
      </c>
      <c r="U577" s="53">
        <f>IFERROR((VLOOKUP($A577,'Dados StatusInvest'!$A:$AZ,COLUMN(U577)-$A$5,0)-VLOOKUP($A577,'Dados StatusInvest'!$A:$AZ,COLUMN(U577)-$A$5-1,0)+T577),0)</f>
        <v>-0.37</v>
      </c>
      <c r="V577" s="56">
        <f>IFERROR((VLOOKUP($A577,'Dados StatusInvest'!$A:$AZ,COLUMN(V577)-$A$5,0)),0)</f>
        <v>0</v>
      </c>
      <c r="W577" s="56">
        <f>IFERROR((VLOOKUP($A577,'Dados StatusInvest'!$A:$AZ,COLUMN(W577)-$A$5,0)),0)</f>
        <v>-0.07</v>
      </c>
      <c r="X577" s="53">
        <f>IFERROR((VLOOKUP($A577,'Dados StatusInvest'!$A:$AZ,COLUMN(X577)-$A$5,0)/VLOOKUP($A577,'Dados StatusInvest'!$A:$AZ,2,0)*$F577),0)</f>
        <v>0</v>
      </c>
      <c r="Y577" s="54">
        <f>IFERROR((VLOOKUP($A577,'Dados StatusInvest'!$A:$AZ,COLUMN(Y577)-$A$5,0)/VLOOKUP($A577,'Dados StatusInvest'!$A:$AZ,2,0)*$F577),0)</f>
        <v>0</v>
      </c>
      <c r="Z577" s="56">
        <f>IFERROR((VLOOKUP($A577,'Dados StatusInvest'!$A:$AZ,COLUMN(Z577)-$A$5,0)),0)</f>
        <v>0.05</v>
      </c>
      <c r="AA577" s="57">
        <f>IFERROR((VLOOKUP($A577,'Dados StatusInvest'!$A:$AZ,COLUMN(AA577)-$A$5,0)),0)</f>
        <v>0.95</v>
      </c>
      <c r="AB577" s="57">
        <f>IFERROR((VLOOKUP($A577,'Dados StatusInvest'!$A:$AZ,COLUMN(AB577)-$A$5,0)),0)</f>
        <v>0</v>
      </c>
      <c r="AC577" s="58">
        <f>IFERROR((VLOOKUP($A577,'Dados StatusInvest'!$A:$AZ,COLUMN(AC577)-$A$5,0)),0)</f>
        <v>201.6</v>
      </c>
      <c r="AD577" s="57">
        <f>IFERROR((VLOOKUP($A577,'Dados StatusInvest'!$A:$AZ,COLUMN(AD577)-$A$5,0)),0)</f>
        <v>0</v>
      </c>
      <c r="AE577" s="56">
        <f>IFERROR((VLOOKUP($A577,'Dados StatusInvest'!$A:$AZ,COLUMN(AE577)-$A$5,0)),0)</f>
        <v>0</v>
      </c>
      <c r="AF577" s="56">
        <f>IFERROR((VLOOKUP($A577,'Dados StatusInvest'!$A:$AZ,COLUMN(AF577)-$A$5,0)),0)</f>
        <v>76.91</v>
      </c>
      <c r="AG577" s="56">
        <f>IFERROR((VLOOKUP($A577,'Dados StatusInvest'!$A:$AZ,COLUMN(AG577)-$A$5,0)),0)</f>
        <v>-0.05</v>
      </c>
      <c r="AH577" s="56">
        <f>IFERROR((VLOOKUP($A577,'Dados StatusInvest'!$A:$AZ,COLUMN(AH577)-$A$5,0)),0)</f>
        <v>0.52</v>
      </c>
      <c r="AI577" s="57">
        <f>IFERROR((VLOOKUP($A577,'Dados StatusInvest'!$A:$AZ,COLUMN(AI577)-$A$5,0)),0)</f>
        <v>71890222.22</v>
      </c>
      <c r="AJ577" s="59" t="str">
        <f>IFERROR((VLOOKUP($A577,'Dados StatusInvest'!$A:$AZ,COLUMN(AJ577)-$A$5,0)),0)</f>
        <v/>
      </c>
      <c r="AK577" s="67" t="str">
        <f>IFERROR(__xludf.DUMMYFUNCTION("IFERROR(GOOGLEFINANCE($A577,""high""),"""")"),"")</f>
        <v/>
      </c>
      <c r="AL577" s="67" t="str">
        <f>IFERROR(__xludf.DUMMYFUNCTION("IFERROR(GOOGLEFINANCE($A577,""low""),"""")"),"")</f>
        <v/>
      </c>
      <c r="AM577" s="70">
        <f t="shared" si="2"/>
        <v>0</v>
      </c>
      <c r="AN577" s="71">
        <f>IFERROR(__xludf.DUMMYFUNCTION("IFERROR((GOOGLEFINANCE($A577,""volume"")),0)"),0.0)</f>
        <v>0</v>
      </c>
      <c r="AO577" s="67" t="str">
        <f>IFERROR(__xludf.DUMMYFUNCTION("IFERROR((GOOGLEFINANCE($A577,""closeyest"")),"""")"),"")</f>
        <v/>
      </c>
      <c r="AP577" s="67" t="str">
        <f>IFERROR(__xludf.DUMMYFUNCTION("IFERROR((GOOGLEFINANCE($A577,""shares"")),"""")"),"")</f>
        <v/>
      </c>
      <c r="AQ577" s="60"/>
    </row>
    <row r="578">
      <c r="A578" s="45" t="str">
        <f>'Dados StatusInvest'!A573:A1192</f>
        <v>TPIS3</v>
      </c>
      <c r="B578" s="63" t="str">
        <f>IFERROR(__xludf.DUMMYFUNCTION("IFERROR((GOOGLEFINANCE(A578,""name"")),"""")"),"TPI Triunfo Participacoes e Invstmnts SA")</f>
        <v>TPI Triunfo Participacoes e Invstmnts SA</v>
      </c>
      <c r="C578" s="63" t="str">
        <f>IFERROR((VLOOKUP(LEFT($A578,4),Setor!$A:$E,3,0)),"")</f>
        <v>Bens Industriais</v>
      </c>
      <c r="D578" s="63" t="str">
        <f>IFERROR((VLOOKUP(LEFT($A578,4),Setor!$A:$E,4,0)),"")</f>
        <v>Transporte</v>
      </c>
      <c r="E578" s="63" t="str">
        <f>IFERROR((VLOOKUP(LEFT($A578,4),Setor!$A:$E,5,0)),"")</f>
        <v>Exploração de Rodovias</v>
      </c>
      <c r="F578" s="64">
        <f>IFERROR(__xludf.DUMMYFUNCTION("IFERROR((GOOGLEFINANCE(A578)),"""")"),6.51)</f>
        <v>6.51</v>
      </c>
      <c r="G578" s="65" t="str">
        <f>IFERROR(__xludf.DUMMYFUNCTION("IFERROR((sparkline(GOOGLEFINANCE($A578,""price"",TODAY()-30,TODAY(),""DAILY""),{""charttype"",""line"";""linewidth"",1;""color"",""#5f88cc""})),"""")"),"")</f>
        <v/>
      </c>
      <c r="H578" s="66">
        <f>IFERROR(__xludf.DUMMYFUNCTION("IFERROR((((GOOGLEFINANCE(A578))-(INDEX(GoogleFinance(A578,""PRICE"",$AQ$1),2,2)))/(INDEX(GoogleFinance(A578,""PRICE"",$AQ$1),2,2))),"""")"),0.32857142857142846)</f>
        <v>0.3285714286</v>
      </c>
      <c r="I578" s="47">
        <f>IFERROR(__xludf.DUMMYFUNCTION("IFERROR((GOOGLEFINANCE($A578,""high52"")),"""")"),6.67)</f>
        <v>6.67</v>
      </c>
      <c r="J578" s="68" t="str">
        <f>IFERROR(__xludf.DUMMYFUNCTION("IFERROR((sparkline(GOOGLEFINANCE($A578,""price"",TODAY()-365,TODAY(),""DAILY""),{""charttype"",""line"";""linewidth"",1;""color"",""#5f88cc""})),"""")"),"")</f>
        <v/>
      </c>
      <c r="K578" s="66">
        <f>IFERROR(__xludf.DUMMYFUNCTION("IFERROR((((GOOGLEFINANCE(A578))-(INDEX(GoogleFinance(A578,""PRICE"",$AP$1),2,2)))/(INDEX(GoogleFinance(A578,""PRICE"",$AP$1),2,2))),"""")"),0.4795454545454544)</f>
        <v>0.4795454545</v>
      </c>
      <c r="L578" s="69">
        <f t="shared" si="1"/>
        <v>-0.023988006</v>
      </c>
      <c r="M578" s="52">
        <f>IFERROR((VLOOKUP($A578,'Dados StatusInvest'!$A:$AZ,COLUMN(M578)-$A$5,0)*VLOOKUP($A578,'Dados StatusInvest'!$A:$AZ,2,0)/$F578/100),0)</f>
        <v>-0.07817741935</v>
      </c>
      <c r="N578" s="53">
        <f>IFERROR((VLOOKUP($A578,'Dados StatusInvest'!$A:$AZ,COLUMN(N578)-$A$5,0)/VLOOKUP($A578,'Dados StatusInvest'!$A:$AZ,2,0)*$F578),"")</f>
        <v>-6.420549618</v>
      </c>
      <c r="O578" s="53">
        <f>IFERROR((VLOOKUP($A578,'Dados StatusInvest'!$A:$AZ,COLUMN(O578)-$A$5,0)/VLOOKUP($A578,'Dados StatusInvest'!$A:$AZ,2,0)*$F578),0)</f>
        <v>-3.230152672</v>
      </c>
      <c r="P578" s="54">
        <f>IFERROR((VLOOKUP($A578,'Dados StatusInvest'!$A:$AZ,COLUMN(P578)-$A$5,0)/VLOOKUP($A578,'Dados StatusInvest'!$A:$AZ,2,0)*$F578),0)</f>
        <v>-16.87630534</v>
      </c>
      <c r="Q578" s="55">
        <f>IFERROR((VLOOKUP($A578,'Dados StatusInvest'!$A:$AZ,COLUMN(Q578)-$A$5,0)/100),0)</f>
        <v>-0.1373</v>
      </c>
      <c r="R578" s="56">
        <f>VLOOKUP($A578,'Dados StatusInvest'!$A:$AZ,COLUMN(R578)-$A$5,0)</f>
        <v>1.42</v>
      </c>
      <c r="S578" s="56">
        <f>IFERROR((VLOOKUP($A578,'Dados StatusInvest'!$A:$AZ,COLUMN(S578)-$A$5,0)),0)</f>
        <v>0.25</v>
      </c>
      <c r="T578" s="53">
        <f>IFERROR((VLOOKUP($A578,'Dados StatusInvest'!$A:$AZ,COLUMN(T578)-$A$5,0)/VLOOKUP($A578,'Dados StatusInvest'!$A:$AZ,2,0)*$F578),0)</f>
        <v>-0.2882290076</v>
      </c>
      <c r="U578" s="53">
        <f>IFERROR((VLOOKUP($A578,'Dados StatusInvest'!$A:$AZ,COLUMN(U578)-$A$5,0)-VLOOKUP($A578,'Dados StatusInvest'!$A:$AZ,COLUMN(U578)-$A$5-1,0)+T578),0)</f>
        <v>-0.1182290076</v>
      </c>
      <c r="V578" s="56">
        <f>IFERROR((VLOOKUP($A578,'Dados StatusInvest'!$A:$AZ,COLUMN(V578)-$A$5,0)),0)</f>
        <v>0.16</v>
      </c>
      <c r="W578" s="56">
        <f>IFERROR((VLOOKUP($A578,'Dados StatusInvest'!$A:$AZ,COLUMN(W578)-$A$5,0)),0)</f>
        <v>-8.57</v>
      </c>
      <c r="X578" s="53">
        <f>IFERROR((VLOOKUP($A578,'Dados StatusInvest'!$A:$AZ,COLUMN(X578)-$A$5,0)/VLOOKUP($A578,'Dados StatusInvest'!$A:$AZ,2,0)*$F578),0)</f>
        <v>-2.862412214</v>
      </c>
      <c r="Y578" s="54">
        <f>IFERROR((VLOOKUP($A578,'Dados StatusInvest'!$A:$AZ,COLUMN(Y578)-$A$5,0)/VLOOKUP($A578,'Dados StatusInvest'!$A:$AZ,2,0)*$F578),0)</f>
        <v>-7.921328244</v>
      </c>
      <c r="Z578" s="56">
        <f>IFERROR((VLOOKUP($A578,'Dados StatusInvest'!$A:$AZ,COLUMN(Z578)-$A$5,0)),0)</f>
        <v>0.34</v>
      </c>
      <c r="AA578" s="57">
        <f>IFERROR((VLOOKUP($A578,'Dados StatusInvest'!$A:$AZ,COLUMN(AA578)-$A$5,0)),0)</f>
        <v>0.67</v>
      </c>
      <c r="AB578" s="57">
        <f>IFERROR((VLOOKUP($A578,'Dados StatusInvest'!$A:$AZ,COLUMN(AB578)-$A$5,0)),0)</f>
        <v>0.45</v>
      </c>
      <c r="AC578" s="58">
        <f>IFERROR((VLOOKUP($A578,'Dados StatusInvest'!$A:$AZ,COLUMN(AC578)-$A$5,0)),0)</f>
        <v>5.93</v>
      </c>
      <c r="AD578" s="57">
        <f>IFERROR((VLOOKUP($A578,'Dados StatusInvest'!$A:$AZ,COLUMN(AD578)-$A$5,0)),0)</f>
        <v>0</v>
      </c>
      <c r="AE578" s="56">
        <f>IFERROR((VLOOKUP($A578,'Dados StatusInvest'!$A:$AZ,COLUMN(AE578)-$A$5,0)),0)</f>
        <v>211817.7</v>
      </c>
      <c r="AF578" s="56">
        <f>IFERROR((VLOOKUP($A578,'Dados StatusInvest'!$A:$AZ,COLUMN(AF578)-$A$5,0)),0)</f>
        <v>19.54</v>
      </c>
      <c r="AG578" s="56">
        <f>IFERROR((VLOOKUP($A578,'Dados StatusInvest'!$A:$AZ,COLUMN(AG578)-$A$5,0)),0)</f>
        <v>-1.67</v>
      </c>
      <c r="AH578" s="56">
        <f>IFERROR((VLOOKUP($A578,'Dados StatusInvest'!$A:$AZ,COLUMN(AH578)-$A$5,0)),0)</f>
        <v>0.02</v>
      </c>
      <c r="AI578" s="57">
        <f>IFERROR((VLOOKUP($A578,'Dados StatusInvest'!$A:$AZ,COLUMN(AI578)-$A$5,0)),0)</f>
        <v>288200000</v>
      </c>
      <c r="AJ578" s="59" t="str">
        <f>IFERROR((VLOOKUP($A578,'Dados StatusInvest'!$A:$AZ,COLUMN(AJ578)-$A$5,0)),0)</f>
        <v/>
      </c>
      <c r="AK578" s="67">
        <f>IFERROR(__xludf.DUMMYFUNCTION("IFERROR(GOOGLEFINANCE($A578,""high""),"""")"),6.51)</f>
        <v>6.51</v>
      </c>
      <c r="AL578" s="67">
        <f>IFERROR(__xludf.DUMMYFUNCTION("IFERROR(GOOGLEFINANCE($A578,""low""),"""")"),6.51)</f>
        <v>6.51</v>
      </c>
      <c r="AM578" s="70">
        <f t="shared" si="2"/>
        <v>0</v>
      </c>
      <c r="AN578" s="71">
        <f>IFERROR(__xludf.DUMMYFUNCTION("IFERROR((GOOGLEFINANCE($A578,""volume"")),0)"),300.0)</f>
        <v>300</v>
      </c>
      <c r="AO578" s="67">
        <f>IFERROR(__xludf.DUMMYFUNCTION("IFERROR((GOOGLEFINANCE($A578,""closeyest"")),"""")"),6.55)</f>
        <v>6.55</v>
      </c>
      <c r="AP578" s="67">
        <f>IFERROR(__xludf.DUMMYFUNCTION("IFERROR((GOOGLEFINANCE($A578,""shares"")),"""")"),4.4E7)</f>
        <v>44000000</v>
      </c>
      <c r="AQ578" s="60"/>
    </row>
    <row r="579">
      <c r="A579" s="45" t="str">
        <f>'Dados StatusInvest'!A574:A1193</f>
        <v>TRAD3</v>
      </c>
      <c r="B579" s="63" t="str">
        <f>IFERROR(__xludf.DUMMYFUNCTION("IFERROR((GOOGLEFINANCE(A579,""name"")),"""")"),"Tc SA")</f>
        <v>Tc SA</v>
      </c>
      <c r="C579" s="63" t="str">
        <f>IFERROR((VLOOKUP(LEFT($A579,4),Setor!$A:$E,3,0)),"")</f>
        <v/>
      </c>
      <c r="D579" s="63" t="str">
        <f>IFERROR((VLOOKUP(LEFT($A579,4),Setor!$A:$E,4,0)),"")</f>
        <v/>
      </c>
      <c r="E579" s="63" t="str">
        <f>IFERROR((VLOOKUP(LEFT($A579,4),Setor!$A:$E,5,0)),"")</f>
        <v/>
      </c>
      <c r="F579" s="64">
        <f>IFERROR(__xludf.DUMMYFUNCTION("IFERROR((GOOGLEFINANCE(A579)),"""")"),2.94)</f>
        <v>2.94</v>
      </c>
      <c r="G579" s="65" t="str">
        <f>IFERROR(__xludf.DUMMYFUNCTION("IFERROR((sparkline(GOOGLEFINANCE($A579,""price"",TODAY()-30,TODAY(),""DAILY""),{""charttype"",""line"";""linewidth"",1;""color"",""#5f88cc""})),"""")"),"")</f>
        <v/>
      </c>
      <c r="H579" s="66">
        <f>IFERROR(__xludf.DUMMYFUNCTION("IFERROR((((GOOGLEFINANCE(A579))-(INDEX(GoogleFinance(A579,""PRICE"",$AQ$1),2,2)))/(INDEX(GoogleFinance(A579,""PRICE"",$AQ$1),2,2))),"""")"),-0.18333333333333338)</f>
        <v>-0.1833333333</v>
      </c>
      <c r="I579" s="47">
        <f>IFERROR(__xludf.DUMMYFUNCTION("IFERROR((GOOGLEFINANCE($A579,""high52"")),"""")"),9.45)</f>
        <v>9.45</v>
      </c>
      <c r="J579" s="68" t="str">
        <f>IFERROR(__xludf.DUMMYFUNCTION("IFERROR((sparkline(GOOGLEFINANCE($A579,""price"",TODAY()-365,TODAY(),""DAILY""),{""charttype"",""line"";""linewidth"",1;""color"",""#5f88cc""})),"""")"),"")</f>
        <v/>
      </c>
      <c r="K579" s="66">
        <f>IFERROR(__xludf.DUMMYFUNCTION("IFERROR((((GOOGLEFINANCE(A579))-(INDEX(GoogleFinance(A579,""PRICE"",$AP$1),2,2)))/(INDEX(GoogleFinance(A579,""PRICE"",$AP$1),2,2))),"""")"),-0.44106463878326996)</f>
        <v>-0.4410646388</v>
      </c>
      <c r="L579" s="69">
        <f t="shared" si="1"/>
        <v>-0.6888888889</v>
      </c>
      <c r="M579" s="52">
        <f>IFERROR((VLOOKUP($A579,'Dados StatusInvest'!$A:$AZ,COLUMN(M579)-$A$5,0)*VLOOKUP($A579,'Dados StatusInvest'!$A:$AZ,2,0)/$F579/100),0)</f>
        <v>-1.797422449</v>
      </c>
      <c r="N579" s="53">
        <f>IFERROR((VLOOKUP($A579,'Dados StatusInvest'!$A:$AZ,COLUMN(N579)-$A$5,0)/VLOOKUP($A579,'Dados StatusInvest'!$A:$AZ,2,0)*$F579),"")</f>
        <v>-161.9775524</v>
      </c>
      <c r="O579" s="53">
        <f>IFERROR((VLOOKUP($A579,'Dados StatusInvest'!$A:$AZ,COLUMN(O579)-$A$5,0)/VLOOKUP($A579,'Dados StatusInvest'!$A:$AZ,2,0)*$F579),0)</f>
        <v>-2.025104895</v>
      </c>
      <c r="P579" s="54">
        <f>IFERROR((VLOOKUP($A579,'Dados StatusInvest'!$A:$AZ,COLUMN(P579)-$A$5,0)/VLOOKUP($A579,'Dados StatusInvest'!$A:$AZ,2,0)*$F579),0)</f>
        <v>-1.572797203</v>
      </c>
      <c r="Q579" s="55">
        <f>IFERROR((VLOOKUP($A579,'Dados StatusInvest'!$A:$AZ,COLUMN(Q579)-$A$5,0)/100),0)</f>
        <v>0.0044</v>
      </c>
      <c r="R579" s="56">
        <f>VLOOKUP($A579,'Dados StatusInvest'!$A:$AZ,COLUMN(R579)-$A$5,0)</f>
        <v>-0.14</v>
      </c>
      <c r="S579" s="56">
        <f>IFERROR((VLOOKUP($A579,'Dados StatusInvest'!$A:$AZ,COLUMN(S579)-$A$5,0)),0)</f>
        <v>3.64</v>
      </c>
      <c r="T579" s="53">
        <f>IFERROR((VLOOKUP($A579,'Dados StatusInvest'!$A:$AZ,COLUMN(T579)-$A$5,0)/VLOOKUP($A579,'Dados StatusInvest'!$A:$AZ,2,0)*$F579),0)</f>
        <v>1.202727273</v>
      </c>
      <c r="U579" s="53">
        <f>IFERROR((VLOOKUP($A579,'Dados StatusInvest'!$A:$AZ,COLUMN(U579)-$A$5,0)-VLOOKUP($A579,'Dados StatusInvest'!$A:$AZ,COLUMN(U579)-$A$5-1,0)+T579),0)</f>
        <v>-1.037272727</v>
      </c>
      <c r="V579" s="56">
        <f>IFERROR((VLOOKUP($A579,'Dados StatusInvest'!$A:$AZ,COLUMN(V579)-$A$5,0)),0)</f>
        <v>9.31</v>
      </c>
      <c r="W579" s="56">
        <f>IFERROR((VLOOKUP($A579,'Dados StatusInvest'!$A:$AZ,COLUMN(W579)-$A$5,0)),0)</f>
        <v>-27.03</v>
      </c>
      <c r="X579" s="53">
        <f>IFERROR((VLOOKUP($A579,'Dados StatusInvest'!$A:$AZ,COLUMN(X579)-$A$5,0)/VLOOKUP($A579,'Dados StatusInvest'!$A:$AZ,2,0)*$F579),0)</f>
        <v>-23.4172028</v>
      </c>
      <c r="Y579" s="54">
        <f>IFERROR((VLOOKUP($A579,'Dados StatusInvest'!$A:$AZ,COLUMN(Y579)-$A$5,0)/VLOOKUP($A579,'Dados StatusInvest'!$A:$AZ,2,0)*$F579),0)</f>
        <v>-29.77006993</v>
      </c>
      <c r="Z579" s="56">
        <f>IFERROR((VLOOKUP($A579,'Dados StatusInvest'!$A:$AZ,COLUMN(Z579)-$A$5,0)),0)</f>
        <v>0.84</v>
      </c>
      <c r="AA579" s="57">
        <f>IFERROR((VLOOKUP($A579,'Dados StatusInvest'!$A:$AZ,COLUMN(AA579)-$A$5,0)),0)</f>
        <v>0.06</v>
      </c>
      <c r="AB579" s="57">
        <f>IFERROR((VLOOKUP($A579,'Dados StatusInvest'!$A:$AZ,COLUMN(AB579)-$A$5,0)),0)</f>
        <v>0.14</v>
      </c>
      <c r="AC579" s="58">
        <f>IFERROR((VLOOKUP($A579,'Dados StatusInvest'!$A:$AZ,COLUMN(AC579)-$A$5,0)),0)</f>
        <v>54.39</v>
      </c>
      <c r="AD579" s="57">
        <f>IFERROR((VLOOKUP($A579,'Dados StatusInvest'!$A:$AZ,COLUMN(AD579)-$A$5,0)),0)</f>
        <v>0</v>
      </c>
      <c r="AE579" s="56">
        <f>IFERROR((VLOOKUP($A579,'Dados StatusInvest'!$A:$AZ,COLUMN(AE579)-$A$5,0)),0)</f>
        <v>78874.62</v>
      </c>
      <c r="AF579" s="56">
        <f>IFERROR((VLOOKUP($A579,'Dados StatusInvest'!$A:$AZ,COLUMN(AF579)-$A$5,0)),0)</f>
        <v>4.58</v>
      </c>
      <c r="AG579" s="56">
        <f>IFERROR((VLOOKUP($A579,'Dados StatusInvest'!$A:$AZ,COLUMN(AG579)-$A$5,0)),0)</f>
        <v>-1.24</v>
      </c>
      <c r="AH579" s="56">
        <f>IFERROR((VLOOKUP($A579,'Dados StatusInvest'!$A:$AZ,COLUMN(AH579)-$A$5,0)),0)</f>
        <v>0.03</v>
      </c>
      <c r="AI579" s="57">
        <f>IFERROR((VLOOKUP($A579,'Dados StatusInvest'!$A:$AZ,COLUMN(AI579)-$A$5,0)),0)</f>
        <v>114460114.3</v>
      </c>
      <c r="AJ579" s="59" t="str">
        <f>IFERROR((VLOOKUP($A579,'Dados StatusInvest'!$A:$AZ,COLUMN(AJ579)-$A$5,0)),0)</f>
        <v/>
      </c>
      <c r="AK579" s="67">
        <f>IFERROR(__xludf.DUMMYFUNCTION("IFERROR(GOOGLEFINANCE($A579,""high""),"""")"),2.94)</f>
        <v>2.94</v>
      </c>
      <c r="AL579" s="67">
        <f>IFERROR(__xludf.DUMMYFUNCTION("IFERROR(GOOGLEFINANCE($A579,""low""),"""")"),2.9)</f>
        <v>2.9</v>
      </c>
      <c r="AM579" s="70">
        <f t="shared" si="2"/>
        <v>0.01379310345</v>
      </c>
      <c r="AN579" s="71">
        <f>IFERROR(__xludf.DUMMYFUNCTION("IFERROR((GOOGLEFINANCE($A579,""volume"")),0)"),3000.0)</f>
        <v>3000</v>
      </c>
      <c r="AO579" s="67">
        <f>IFERROR(__xludf.DUMMYFUNCTION("IFERROR((GOOGLEFINANCE($A579,""closeyest"")),"""")"),2.86)</f>
        <v>2.86</v>
      </c>
      <c r="AP579" s="67">
        <f>IFERROR(__xludf.DUMMYFUNCTION("IFERROR((GOOGLEFINANCE($A579,""shares"")),"""")"),4.0021019E7)</f>
        <v>40021019</v>
      </c>
      <c r="AQ579" s="60"/>
    </row>
    <row r="580">
      <c r="A580" s="45" t="str">
        <f>'Dados StatusInvest'!A575:A1194</f>
        <v>TRIS3</v>
      </c>
      <c r="B580" s="63" t="str">
        <f>IFERROR(__xludf.DUMMYFUNCTION("IFERROR((GOOGLEFINANCE(A580,""name"")),"""")"),"Trisul SA")</f>
        <v>Trisul SA</v>
      </c>
      <c r="C580" s="63" t="str">
        <f>IFERROR((VLOOKUP(LEFT($A580,4),Setor!$A:$E,3,0)),"")</f>
        <v>Consumo Cíclico</v>
      </c>
      <c r="D580" s="63" t="str">
        <f>IFERROR((VLOOKUP(LEFT($A580,4),Setor!$A:$E,4,0)),"")</f>
        <v>Construção Civil</v>
      </c>
      <c r="E580" s="63" t="str">
        <f>IFERROR((VLOOKUP(LEFT($A580,4),Setor!$A:$E,5,0)),"")</f>
        <v>Incorporações</v>
      </c>
      <c r="F580" s="64">
        <f>IFERROR(__xludf.DUMMYFUNCTION("IFERROR((GOOGLEFINANCE(A580)),"""")"),7.22)</f>
        <v>7.22</v>
      </c>
      <c r="G580" s="65" t="str">
        <f>IFERROR(__xludf.DUMMYFUNCTION("IFERROR((sparkline(GOOGLEFINANCE($A580,""price"",TODAY()-30,TODAY(),""DAILY""),{""charttype"",""line"";""linewidth"",1;""color"",""#5f88cc""})),"""")"),"")</f>
        <v/>
      </c>
      <c r="H580" s="66">
        <f>IFERROR(__xludf.DUMMYFUNCTION("IFERROR((((GOOGLEFINANCE(A580))-(INDEX(GoogleFinance(A580,""PRICE"",$AQ$1),2,2)))/(INDEX(GoogleFinance(A580,""PRICE"",$AQ$1),2,2))),"""")"),0.15335463258785942)</f>
        <v>0.1533546326</v>
      </c>
      <c r="I580" s="47">
        <f>IFERROR(__xludf.DUMMYFUNCTION("IFERROR((GOOGLEFINANCE($A580,""high52"")),"""")"),7.5)</f>
        <v>7.5</v>
      </c>
      <c r="J580" s="68" t="str">
        <f>IFERROR(__xludf.DUMMYFUNCTION("IFERROR((sparkline(GOOGLEFINANCE($A580,""price"",TODAY()-365,TODAY(),""DAILY""),{""charttype"",""line"";""linewidth"",1;""color"",""#5f88cc""})),"""")"),"")</f>
        <v/>
      </c>
      <c r="K580" s="66">
        <f>IFERROR(__xludf.DUMMYFUNCTION("IFERROR((((GOOGLEFINANCE(A580))-(INDEX(GoogleFinance(A580,""PRICE"",$AP$1),2,2)))/(INDEX(GoogleFinance(A580,""PRICE"",$AP$1),2,2))),"""")"),0.6297968397291197)</f>
        <v>0.6297968397</v>
      </c>
      <c r="L580" s="69">
        <f t="shared" si="1"/>
        <v>-0.03733333333</v>
      </c>
      <c r="M580" s="52">
        <f>IFERROR((VLOOKUP($A580,'Dados StatusInvest'!$A:$AZ,COLUMN(M580)-$A$5,0)*VLOOKUP($A580,'Dados StatusInvest'!$A:$AZ,2,0)/$F580/100),0)</f>
        <v>0.1634916898</v>
      </c>
      <c r="N580" s="53">
        <f>IFERROR((VLOOKUP($A580,'Dados StatusInvest'!$A:$AZ,COLUMN(N580)-$A$5,0)/VLOOKUP($A580,'Dados StatusInvest'!$A:$AZ,2,0)*$F580),"")</f>
        <v>15.53783562</v>
      </c>
      <c r="O580" s="53">
        <f>IFERROR((VLOOKUP($A580,'Dados StatusInvest'!$A:$AZ,COLUMN(O580)-$A$5,0)/VLOOKUP($A580,'Dados StatusInvest'!$A:$AZ,2,0)*$F580),0)</f>
        <v>7.981561644</v>
      </c>
      <c r="P580" s="54">
        <f>IFERROR((VLOOKUP($A580,'Dados StatusInvest'!$A:$AZ,COLUMN(P580)-$A$5,0)/VLOOKUP($A580,'Dados StatusInvest'!$A:$AZ,2,0)*$F580),0)</f>
        <v>10.07832877</v>
      </c>
      <c r="Q580" s="55">
        <f>IFERROR((VLOOKUP($A580,'Dados StatusInvest'!$A:$AZ,COLUMN(Q580)-$A$5,0)/100),0)</f>
        <v>0.0212</v>
      </c>
      <c r="R580" s="56">
        <f>VLOOKUP($A580,'Dados StatusInvest'!$A:$AZ,COLUMN(R580)-$A$5,0)</f>
        <v>0.29</v>
      </c>
      <c r="S580" s="56">
        <f>IFERROR((VLOOKUP($A580,'Dados StatusInvest'!$A:$AZ,COLUMN(S580)-$A$5,0)),0)</f>
        <v>1.31</v>
      </c>
      <c r="T580" s="53">
        <f>IFERROR((VLOOKUP($A580,'Dados StatusInvest'!$A:$AZ,COLUMN(T580)-$A$5,0)/VLOOKUP($A580,'Dados StatusInvest'!$A:$AZ,2,0)*$F580),0)</f>
        <v>0.8802465753</v>
      </c>
      <c r="U580" s="53">
        <f>IFERROR((VLOOKUP($A580,'Dados StatusInvest'!$A:$AZ,COLUMN(U580)-$A$5,0)-VLOOKUP($A580,'Dados StatusInvest'!$A:$AZ,COLUMN(U580)-$A$5-1,0)+T580),0)</f>
        <v>-3.649753425</v>
      </c>
      <c r="V580" s="56">
        <f>IFERROR((VLOOKUP($A580,'Dados StatusInvest'!$A:$AZ,COLUMN(V580)-$A$5,0)),0)</f>
        <v>2.96</v>
      </c>
      <c r="W580" s="56">
        <f>IFERROR((VLOOKUP($A580,'Dados StatusInvest'!$A:$AZ,COLUMN(W580)-$A$5,0)),0)</f>
        <v>13.44</v>
      </c>
      <c r="X580" s="53">
        <f>IFERROR((VLOOKUP($A580,'Dados StatusInvest'!$A:$AZ,COLUMN(X580)-$A$5,0)/VLOOKUP($A580,'Dados StatusInvest'!$A:$AZ,2,0)*$F580),0)</f>
        <v>6.033150685</v>
      </c>
      <c r="Y580" s="54">
        <f>IFERROR((VLOOKUP($A580,'Dados StatusInvest'!$A:$AZ,COLUMN(Y580)-$A$5,0)/VLOOKUP($A580,'Dados StatusInvest'!$A:$AZ,2,0)*$F580),0)</f>
        <v>6.646356164</v>
      </c>
      <c r="Z580" s="56">
        <f>IFERROR((VLOOKUP($A580,'Dados StatusInvest'!$A:$AZ,COLUMN(Z580)-$A$5,0)),0)</f>
        <v>0.45</v>
      </c>
      <c r="AA580" s="57">
        <f>IFERROR((VLOOKUP($A580,'Dados StatusInvest'!$A:$AZ,COLUMN(AA580)-$A$5,0)),0)</f>
        <v>0.54</v>
      </c>
      <c r="AB580" s="57">
        <f>IFERROR((VLOOKUP($A580,'Dados StatusInvest'!$A:$AZ,COLUMN(AB580)-$A$5,0)),0)</f>
        <v>0.39</v>
      </c>
      <c r="AC580" s="58">
        <f>IFERROR((VLOOKUP($A580,'Dados StatusInvest'!$A:$AZ,COLUMN(AC580)-$A$5,0)),0)</f>
        <v>11.01</v>
      </c>
      <c r="AD580" s="57">
        <f>IFERROR((VLOOKUP($A580,'Dados StatusInvest'!$A:$AZ,COLUMN(AD580)-$A$5,0)),0)</f>
        <v>8.77</v>
      </c>
      <c r="AE580" s="56">
        <f>IFERROR((VLOOKUP($A580,'Dados StatusInvest'!$A:$AZ,COLUMN(AE580)-$A$5,0)),0)</f>
        <v>2808423</v>
      </c>
      <c r="AF580" s="56">
        <f>IFERROR((VLOOKUP($A580,'Dados StatusInvest'!$A:$AZ,COLUMN(AF580)-$A$5,0)),0)</f>
        <v>6.54</v>
      </c>
      <c r="AG580" s="56">
        <f>IFERROR((VLOOKUP($A580,'Dados StatusInvest'!$A:$AZ,COLUMN(AG580)-$A$5,0)),0)</f>
        <v>0.88</v>
      </c>
      <c r="AH580" s="56">
        <f>IFERROR((VLOOKUP($A580,'Dados StatusInvest'!$A:$AZ,COLUMN(AH580)-$A$5,0)),0)</f>
        <v>0.17</v>
      </c>
      <c r="AI580" s="57">
        <f>IFERROR((VLOOKUP($A580,'Dados StatusInvest'!$A:$AZ,COLUMN(AI580)-$A$5,0)),0)</f>
        <v>1771108027</v>
      </c>
      <c r="AJ580" s="59" t="str">
        <f>IFERROR((VLOOKUP($A580,'Dados StatusInvest'!$A:$AZ,COLUMN(AJ580)-$A$5,0)),0)</f>
        <v/>
      </c>
      <c r="AK580" s="67">
        <f>IFERROR(__xludf.DUMMYFUNCTION("IFERROR(GOOGLEFINANCE($A580,""high""),"""")"),7.25)</f>
        <v>7.25</v>
      </c>
      <c r="AL580" s="67">
        <f>IFERROR(__xludf.DUMMYFUNCTION("IFERROR(GOOGLEFINANCE($A580,""low""),"""")"),7.19)</f>
        <v>7.19</v>
      </c>
      <c r="AM580" s="70">
        <f t="shared" si="2"/>
        <v>0.008344923505</v>
      </c>
      <c r="AN580" s="71">
        <f>IFERROR(__xludf.DUMMYFUNCTION("IFERROR((GOOGLEFINANCE($A580,""volume"")),0)"),2700.0)</f>
        <v>2700</v>
      </c>
      <c r="AO580" s="67">
        <f>IFERROR(__xludf.DUMMYFUNCTION("IFERROR((GOOGLEFINANCE($A580,""closeyest"")),"""")"),7.3)</f>
        <v>7.3</v>
      </c>
      <c r="AP580" s="67">
        <f>IFERROR(__xludf.DUMMYFUNCTION("IFERROR((GOOGLEFINANCE($A580,""shares"")),"""")"),2.42617538E8)</f>
        <v>242617538</v>
      </c>
      <c r="AQ580" s="60"/>
    </row>
    <row r="581">
      <c r="A581" s="45" t="str">
        <f>'Dados StatusInvest'!A576:A1195</f>
        <v>TTEN3</v>
      </c>
      <c r="B581" s="63" t="str">
        <f>IFERROR(__xludf.DUMMYFUNCTION("IFERROR((GOOGLEFINANCE(A581,""name"")),"""")"),"Tres Tentos Agroindustrial SA")</f>
        <v>Tres Tentos Agroindustrial SA</v>
      </c>
      <c r="C581" s="63" t="str">
        <f>IFERROR((VLOOKUP(LEFT($A581,4),Setor!$A:$E,3,0)),"")</f>
        <v/>
      </c>
      <c r="D581" s="63" t="str">
        <f>IFERROR((VLOOKUP(LEFT($A581,4),Setor!$A:$E,4,0)),"")</f>
        <v/>
      </c>
      <c r="E581" s="63" t="str">
        <f>IFERROR((VLOOKUP(LEFT($A581,4),Setor!$A:$E,5,0)),"")</f>
        <v/>
      </c>
      <c r="F581" s="64">
        <f>IFERROR(__xludf.DUMMYFUNCTION("IFERROR((GOOGLEFINANCE(A581)),"""")"),16.34)</f>
        <v>16.34</v>
      </c>
      <c r="G581" s="65" t="str">
        <f>IFERROR(__xludf.DUMMYFUNCTION("IFERROR((sparkline(GOOGLEFINANCE($A581,""price"",TODAY()-30,TODAY(),""DAILY""),{""charttype"",""line"";""linewidth"",1;""color"",""#5f88cc""})),"""")"),"")</f>
        <v/>
      </c>
      <c r="H581" s="66">
        <f>IFERROR(__xludf.DUMMYFUNCTION("IFERROR((((GOOGLEFINANCE(A581))-(INDEX(GoogleFinance(A581,""PRICE"",$AQ$1),2,2)))/(INDEX(GoogleFinance(A581,""PRICE"",$AQ$1),2,2))),"""")"),0.029615626969124176)</f>
        <v>0.02961562697</v>
      </c>
      <c r="I581" s="47">
        <f>IFERROR(__xludf.DUMMYFUNCTION("IFERROR((GOOGLEFINANCE($A581,""high52"")),"""")"),17.36)</f>
        <v>17.36</v>
      </c>
      <c r="J581" s="68" t="str">
        <f>IFERROR(__xludf.DUMMYFUNCTION("IFERROR((sparkline(GOOGLEFINANCE($A581,""price"",TODAY()-365,TODAY(),""DAILY""),{""charttype"",""line"";""linewidth"",1;""color"",""#5f88cc""})),"""")"),"")</f>
        <v/>
      </c>
      <c r="K581" s="66">
        <f>IFERROR(__xludf.DUMMYFUNCTION("IFERROR((((GOOGLEFINANCE(A581))-(INDEX(GoogleFinance(A581,""PRICE"",$AP$1),2,2)))/(INDEX(GoogleFinance(A581,""PRICE"",$AP$1),2,2))),"""")"),0.10930074677528849)</f>
        <v>0.1093007468</v>
      </c>
      <c r="L581" s="69">
        <f t="shared" si="1"/>
        <v>-0.05875576037</v>
      </c>
      <c r="M581" s="52">
        <f>IFERROR((VLOOKUP($A581,'Dados StatusInvest'!$A:$AZ,COLUMN(M581)-$A$5,0)*VLOOKUP($A581,'Dados StatusInvest'!$A:$AZ,2,0)/$F581/100),0)</f>
        <v>0.04997141983</v>
      </c>
      <c r="N581" s="53">
        <f>IFERROR((VLOOKUP($A581,'Dados StatusInvest'!$A:$AZ,COLUMN(N581)-$A$5,0)/VLOOKUP($A581,'Dados StatusInvest'!$A:$AZ,2,0)*$F581),"")</f>
        <v>5.335309681</v>
      </c>
      <c r="O581" s="53">
        <f>IFERROR((VLOOKUP($A581,'Dados StatusInvest'!$A:$AZ,COLUMN(O581)-$A$5,0)/VLOOKUP($A581,'Dados StatusInvest'!$A:$AZ,2,0)*$F581),0)</f>
        <v>10.44463019</v>
      </c>
      <c r="P581" s="54">
        <f>IFERROR((VLOOKUP($A581,'Dados StatusInvest'!$A:$AZ,COLUMN(P581)-$A$5,0)/VLOOKUP($A581,'Dados StatusInvest'!$A:$AZ,2,0)*$F581),0)</f>
        <v>12.87155743</v>
      </c>
      <c r="Q581" s="55">
        <f>IFERROR((VLOOKUP($A581,'Dados StatusInvest'!$A:$AZ,COLUMN(Q581)-$A$5,0)/100),0)</f>
        <v>0.0247</v>
      </c>
      <c r="R581" s="56">
        <f>VLOOKUP($A581,'Dados StatusInvest'!$A:$AZ,COLUMN(R581)-$A$5,0)</f>
        <v>0.41</v>
      </c>
      <c r="S581" s="56">
        <f>IFERROR((VLOOKUP($A581,'Dados StatusInvest'!$A:$AZ,COLUMN(S581)-$A$5,0)),0)</f>
        <v>0.52</v>
      </c>
      <c r="T581" s="53">
        <f>IFERROR((VLOOKUP($A581,'Dados StatusInvest'!$A:$AZ,COLUMN(T581)-$A$5,0)/VLOOKUP($A581,'Dados StatusInvest'!$A:$AZ,2,0)*$F581),0)</f>
        <v>3.232627781</v>
      </c>
      <c r="U581" s="53">
        <f>IFERROR((VLOOKUP($A581,'Dados StatusInvest'!$A:$AZ,COLUMN(U581)-$A$5,0)-VLOOKUP($A581,'Dados StatusInvest'!$A:$AZ,COLUMN(U581)-$A$5-1,0)+T581),0)</f>
        <v>-1.937372219</v>
      </c>
      <c r="V581" s="56">
        <f>IFERROR((VLOOKUP($A581,'Dados StatusInvest'!$A:$AZ,COLUMN(V581)-$A$5,0)),0)</f>
        <v>1.46</v>
      </c>
      <c r="W581" s="56">
        <f>IFERROR((VLOOKUP($A581,'Dados StatusInvest'!$A:$AZ,COLUMN(W581)-$A$5,0)),0)</f>
        <v>18.4</v>
      </c>
      <c r="X581" s="53">
        <f>IFERROR((VLOOKUP($A581,'Dados StatusInvest'!$A:$AZ,COLUMN(X581)-$A$5,0)/VLOOKUP($A581,'Dados StatusInvest'!$A:$AZ,2,0)*$F581),0)</f>
        <v>6.8484546</v>
      </c>
      <c r="Y581" s="54">
        <f>IFERROR((VLOOKUP($A581,'Dados StatusInvest'!$A:$AZ,COLUMN(Y581)-$A$5,0)/VLOOKUP($A581,'Dados StatusInvest'!$A:$AZ,2,0)*$F581),0)</f>
        <v>3.47826819</v>
      </c>
      <c r="Z581" s="56">
        <f>IFERROR((VLOOKUP($A581,'Dados StatusInvest'!$A:$AZ,COLUMN(Z581)-$A$5,0)),0)</f>
        <v>0.38</v>
      </c>
      <c r="AA581" s="57">
        <f>IFERROR((VLOOKUP($A581,'Dados StatusInvest'!$A:$AZ,COLUMN(AA581)-$A$5,0)),0)</f>
        <v>0.62</v>
      </c>
      <c r="AB581" s="57">
        <f>IFERROR((VLOOKUP($A581,'Dados StatusInvest'!$A:$AZ,COLUMN(AB581)-$A$5,0)),0)</f>
        <v>1.29</v>
      </c>
      <c r="AC581" s="58">
        <f>IFERROR((VLOOKUP($A581,'Dados StatusInvest'!$A:$AZ,COLUMN(AC581)-$A$5,0)),0)</f>
        <v>41.95</v>
      </c>
      <c r="AD581" s="57">
        <f>IFERROR((VLOOKUP($A581,'Dados StatusInvest'!$A:$AZ,COLUMN(AD581)-$A$5,0)),0)</f>
        <v>48.2</v>
      </c>
      <c r="AE581" s="56">
        <f>IFERROR((VLOOKUP($A581,'Dados StatusInvest'!$A:$AZ,COLUMN(AE581)-$A$5,0)),0)</f>
        <v>24248114</v>
      </c>
      <c r="AF581" s="56">
        <f>IFERROR((VLOOKUP($A581,'Dados StatusInvest'!$A:$AZ,COLUMN(AF581)-$A$5,0)),0)</f>
        <v>9.4</v>
      </c>
      <c r="AG581" s="56">
        <f>IFERROR((VLOOKUP($A581,'Dados StatusInvest'!$A:$AZ,COLUMN(AG581)-$A$5,0)),0)</f>
        <v>1.73</v>
      </c>
      <c r="AH581" s="56">
        <f>IFERROR((VLOOKUP($A581,'Dados StatusInvest'!$A:$AZ,COLUMN(AH581)-$A$5,0)),0)</f>
        <v>1.13</v>
      </c>
      <c r="AI581" s="57">
        <f>IFERROR((VLOOKUP($A581,'Dados StatusInvest'!$A:$AZ,COLUMN(AI581)-$A$5,0)),0)</f>
        <v>8306645870</v>
      </c>
      <c r="AJ581" s="59" t="str">
        <f>IFERROR((VLOOKUP($A581,'Dados StatusInvest'!$A:$AZ,COLUMN(AJ581)-$A$5,0)),0)</f>
        <v/>
      </c>
      <c r="AK581" s="67">
        <f>IFERROR(__xludf.DUMMYFUNCTION("IFERROR(GOOGLEFINANCE($A581,""high""),"""")"),16.65)</f>
        <v>16.65</v>
      </c>
      <c r="AL581" s="67">
        <f>IFERROR(__xludf.DUMMYFUNCTION("IFERROR(GOOGLEFINANCE($A581,""low""),"""")"),16.29)</f>
        <v>16.29</v>
      </c>
      <c r="AM581" s="70">
        <f t="shared" si="2"/>
        <v>0.02209944751</v>
      </c>
      <c r="AN581" s="71">
        <f>IFERROR(__xludf.DUMMYFUNCTION("IFERROR((GOOGLEFINANCE($A581,""volume"")),0)"),19300.0)</f>
        <v>19300</v>
      </c>
      <c r="AO581" s="67">
        <f>IFERROR(__xludf.DUMMYFUNCTION("IFERROR((GOOGLEFINANCE($A581,""closeyest"")),"""")"),16.63)</f>
        <v>16.63</v>
      </c>
      <c r="AP581" s="67">
        <f>IFERROR(__xludf.DUMMYFUNCTION("IFERROR((GOOGLEFINANCE($A581,""shares"")),"""")"),4.99497647E8)</f>
        <v>499497647</v>
      </c>
      <c r="AQ581" s="60"/>
    </row>
    <row r="582">
      <c r="A582" s="45" t="str">
        <f>'Dados StatusInvest'!A577:A1196</f>
        <v>TUPY3</v>
      </c>
      <c r="B582" s="63" t="str">
        <f>IFERROR(__xludf.DUMMYFUNCTION("IFERROR((GOOGLEFINANCE(A582,""name"")),"""")"),"Tupy SA")</f>
        <v>Tupy SA</v>
      </c>
      <c r="C582" s="63" t="str">
        <f>IFERROR((VLOOKUP(LEFT($A582,4),Setor!$A:$E,3,0)),"")</f>
        <v>Bens Industriais</v>
      </c>
      <c r="D582" s="63" t="str">
        <f>IFERROR((VLOOKUP(LEFT($A582,4),Setor!$A:$E,4,0)),"")</f>
        <v>Material de Transporte</v>
      </c>
      <c r="E582" s="63" t="str">
        <f>IFERROR((VLOOKUP(LEFT($A582,4),Setor!$A:$E,5,0)),"")</f>
        <v>Material Rodoviário</v>
      </c>
      <c r="F582" s="64">
        <f>IFERROR(__xludf.DUMMYFUNCTION("IFERROR((GOOGLEFINANCE(A582)),"""")"),12.26)</f>
        <v>12.26</v>
      </c>
      <c r="G582" s="65" t="str">
        <f>IFERROR(__xludf.DUMMYFUNCTION("IFERROR((sparkline(GOOGLEFINANCE($A582,""price"",TODAY()-30,TODAY(),""DAILY""),{""charttype"",""line"";""linewidth"",1;""color"",""#5f88cc""})),"""")"),"")</f>
        <v/>
      </c>
      <c r="H582" s="66">
        <f>IFERROR(__xludf.DUMMYFUNCTION("IFERROR((((GOOGLEFINANCE(A582))-(INDEX(GoogleFinance(A582,""PRICE"",$AQ$1),2,2)))/(INDEX(GoogleFinance(A582,""PRICE"",$AQ$1),2,2))),"""")"),0.026800670016750443)</f>
        <v>0.02680067002</v>
      </c>
      <c r="I582" s="47">
        <f>IFERROR(__xludf.DUMMYFUNCTION("IFERROR((GOOGLEFINANCE($A582,""high52"")),"""")"),24.71)</f>
        <v>24.71</v>
      </c>
      <c r="J582" s="68" t="str">
        <f>IFERROR(__xludf.DUMMYFUNCTION("IFERROR((sparkline(GOOGLEFINANCE($A582,""price"",TODAY()-365,TODAY(),""DAILY""),{""charttype"",""line"";""linewidth"",1;""color"",""#5f88cc""})),"""")"),"")</f>
        <v/>
      </c>
      <c r="K582" s="66">
        <f>IFERROR(__xludf.DUMMYFUNCTION("IFERROR((((GOOGLEFINANCE(A582))-(INDEX(GoogleFinance(A582,""PRICE"",$AP$1),2,2)))/(INDEX(GoogleFinance(A582,""PRICE"",$AP$1),2,2))),"""")"),-0.421970768505422)</f>
        <v>-0.4219707685</v>
      </c>
      <c r="L582" s="69">
        <f t="shared" si="1"/>
        <v>-0.5038445973</v>
      </c>
      <c r="M582" s="52">
        <f>IFERROR((VLOOKUP($A582,'Dados StatusInvest'!$A:$AZ,COLUMN(M582)-$A$5,0)*VLOOKUP($A582,'Dados StatusInvest'!$A:$AZ,2,0)/$F582/100),0)</f>
        <v>0.01246068515</v>
      </c>
      <c r="N582" s="53">
        <f>IFERROR((VLOOKUP($A582,'Dados StatusInvest'!$A:$AZ,COLUMN(N582)-$A$5,0)/VLOOKUP($A582,'Dados StatusInvest'!$A:$AZ,2,0)*$F582),"")</f>
        <v>-1.263814935</v>
      </c>
      <c r="O582" s="53">
        <f>IFERROR((VLOOKUP($A582,'Dados StatusInvest'!$A:$AZ,COLUMN(O582)-$A$5,0)/VLOOKUP($A582,'Dados StatusInvest'!$A:$AZ,2,0)*$F582),0)</f>
        <v>13.0461526</v>
      </c>
      <c r="P582" s="54">
        <f>IFERROR((VLOOKUP($A582,'Dados StatusInvest'!$A:$AZ,COLUMN(P582)-$A$5,0)/VLOOKUP($A582,'Dados StatusInvest'!$A:$AZ,2,0)*$F582),0)</f>
        <v>31.36649351</v>
      </c>
      <c r="Q582" s="55">
        <f>IFERROR((VLOOKUP($A582,'Dados StatusInvest'!$A:$AZ,COLUMN(Q582)-$A$5,0)/100),0)</f>
        <v>0.1841</v>
      </c>
      <c r="R582" s="56">
        <f>VLOOKUP($A582,'Dados StatusInvest'!$A:$AZ,COLUMN(R582)-$A$5,0)</f>
        <v>0.74</v>
      </c>
      <c r="S582" s="56">
        <f>IFERROR((VLOOKUP($A582,'Dados StatusInvest'!$A:$AZ,COLUMN(S582)-$A$5,0)),0)</f>
        <v>0.16</v>
      </c>
      <c r="T582" s="53">
        <f>IFERROR((VLOOKUP($A582,'Dados StatusInvest'!$A:$AZ,COLUMN(T582)-$A$5,0)/VLOOKUP($A582,'Dados StatusInvest'!$A:$AZ,2,0)*$F582),0)</f>
        <v>0.4478084416</v>
      </c>
      <c r="U582" s="53">
        <f>IFERROR((VLOOKUP($A582,'Dados StatusInvest'!$A:$AZ,COLUMN(U582)-$A$5,0)-VLOOKUP($A582,'Dados StatusInvest'!$A:$AZ,COLUMN(U582)-$A$5-1,0)+T582),0)</f>
        <v>-0.4321915584</v>
      </c>
      <c r="V582" s="56">
        <f>IFERROR((VLOOKUP($A582,'Dados StatusInvest'!$A:$AZ,COLUMN(V582)-$A$5,0)),0)</f>
        <v>2.45</v>
      </c>
      <c r="W582" s="56">
        <f>IFERROR((VLOOKUP($A582,'Dados StatusInvest'!$A:$AZ,COLUMN(W582)-$A$5,0)),0)</f>
        <v>-4.13</v>
      </c>
      <c r="X582" s="53">
        <f>IFERROR((VLOOKUP($A582,'Dados StatusInvest'!$A:$AZ,COLUMN(X582)-$A$5,0)/VLOOKUP($A582,'Dados StatusInvest'!$A:$AZ,2,0)*$F582),0)</f>
        <v>-1.283717532</v>
      </c>
      <c r="Y582" s="54">
        <f>IFERROR((VLOOKUP($A582,'Dados StatusInvest'!$A:$AZ,COLUMN(Y582)-$A$5,0)/VLOOKUP($A582,'Dados StatusInvest'!$A:$AZ,2,0)*$F582),0)</f>
        <v>1.343425325</v>
      </c>
      <c r="Z582" s="56">
        <f>IFERROR((VLOOKUP($A582,'Dados StatusInvest'!$A:$AZ,COLUMN(Z582)-$A$5,0)),0)</f>
        <v>0.31</v>
      </c>
      <c r="AA582" s="57">
        <f>IFERROR((VLOOKUP($A582,'Dados StatusInvest'!$A:$AZ,COLUMN(AA582)-$A$5,0)),0)</f>
        <v>0.69</v>
      </c>
      <c r="AB582" s="57">
        <f>IFERROR((VLOOKUP($A582,'Dados StatusInvest'!$A:$AZ,COLUMN(AB582)-$A$5,0)),0)</f>
        <v>1.01</v>
      </c>
      <c r="AC582" s="58">
        <f>IFERROR((VLOOKUP($A582,'Dados StatusInvest'!$A:$AZ,COLUMN(AC582)-$A$5,0)),0)</f>
        <v>15.61</v>
      </c>
      <c r="AD582" s="57">
        <f>IFERROR((VLOOKUP($A582,'Dados StatusInvest'!$A:$AZ,COLUMN(AD582)-$A$5,0)),0)</f>
        <v>0</v>
      </c>
      <c r="AE582" s="56">
        <f>IFERROR((VLOOKUP($A582,'Dados StatusInvest'!$A:$AZ,COLUMN(AE582)-$A$5,0)),0)</f>
        <v>16508021</v>
      </c>
      <c r="AF582" s="56">
        <f>IFERROR((VLOOKUP($A582,'Dados StatusInvest'!$A:$AZ,COLUMN(AF582)-$A$5,0)),0)</f>
        <v>23.27</v>
      </c>
      <c r="AG582" s="56">
        <f>IFERROR((VLOOKUP($A582,'Dados StatusInvest'!$A:$AZ,COLUMN(AG582)-$A$5,0)),0)</f>
        <v>-0.96</v>
      </c>
      <c r="AH582" s="56">
        <f>IFERROR((VLOOKUP($A582,'Dados StatusInvest'!$A:$AZ,COLUMN(AH582)-$A$5,0)),0)</f>
        <v>0.09</v>
      </c>
      <c r="AI582" s="57">
        <f>IFERROR((VLOOKUP($A582,'Dados StatusInvest'!$A:$AZ,COLUMN(AI582)-$A$5,0)),0)</f>
        <v>1631789113</v>
      </c>
      <c r="AJ582" s="59" t="str">
        <f>IFERROR((VLOOKUP($A582,'Dados StatusInvest'!$A:$AZ,COLUMN(AJ582)-$A$5,0)),0)</f>
        <v/>
      </c>
      <c r="AK582" s="67">
        <f>IFERROR(__xludf.DUMMYFUNCTION("IFERROR(GOOGLEFINANCE($A582,""high""),"""")"),12.28)</f>
        <v>12.28</v>
      </c>
      <c r="AL582" s="67">
        <f>IFERROR(__xludf.DUMMYFUNCTION("IFERROR(GOOGLEFINANCE($A582,""low""),"""")"),12.15)</f>
        <v>12.15</v>
      </c>
      <c r="AM582" s="70">
        <f t="shared" si="2"/>
        <v>0.01069958848</v>
      </c>
      <c r="AN582" s="71">
        <f>IFERROR(__xludf.DUMMYFUNCTION("IFERROR((GOOGLEFINANCE($A582,""volume"")),0)"),71200.0)</f>
        <v>71200</v>
      </c>
      <c r="AO582" s="67">
        <f>IFERROR(__xludf.DUMMYFUNCTION("IFERROR((GOOGLEFINANCE($A582,""closeyest"")),"""")"),12.32)</f>
        <v>12.32</v>
      </c>
      <c r="AP582" s="67">
        <f>IFERROR(__xludf.DUMMYFUNCTION("IFERROR((GOOGLEFINANCE($A582,""shares"")),"""")"),1.32450415E8)</f>
        <v>132450415</v>
      </c>
      <c r="AQ582" s="60"/>
    </row>
    <row r="583">
      <c r="A583" s="45" t="str">
        <f>'Dados StatusInvest'!A578:A1197</f>
        <v>TXRX3</v>
      </c>
      <c r="B583" s="63" t="str">
        <f>IFERROR(__xludf.DUMMYFUNCTION("IFERROR((GOOGLEFINANCE(A583,""name"")),"""")"),"Textil RenauxView S/A")</f>
        <v>Textil RenauxView S/A</v>
      </c>
      <c r="C583" s="63" t="str">
        <f>IFERROR((VLOOKUP(LEFT($A583,4),Setor!$A:$E,3,0)),"")</f>
        <v>Consumo Cíclico</v>
      </c>
      <c r="D583" s="63" t="str">
        <f>IFERROR((VLOOKUP(LEFT($A583,4),Setor!$A:$E,4,0)),"")</f>
        <v>Tecidos, Vestuário e Calçados</v>
      </c>
      <c r="E583" s="63" t="str">
        <f>IFERROR((VLOOKUP(LEFT($A583,4),Setor!$A:$E,5,0)),"")</f>
        <v>Fios e Tecidos</v>
      </c>
      <c r="F583" s="64">
        <f>IFERROR(__xludf.DUMMYFUNCTION("IFERROR((GOOGLEFINANCE(A583)),"""")"),9.97)</f>
        <v>9.97</v>
      </c>
      <c r="G583" s="65" t="str">
        <f>IFERROR(__xludf.DUMMYFUNCTION("IFERROR((sparkline(GOOGLEFINANCE($A583,""price"",TODAY()-30,TODAY(),""DAILY""),{""charttype"",""line"";""linewidth"",1;""color"",""#5f88cc""})),"""")"),"")</f>
        <v/>
      </c>
      <c r="H583" s="66" t="str">
        <f>IFERROR(__xludf.DUMMYFUNCTION("IFERROR((((GOOGLEFINANCE(A583))-(INDEX(GoogleFinance(A583,""PRICE"",$AQ$1),2,2)))/(INDEX(GoogleFinance(A583,""PRICE"",$AQ$1),2,2))),"""")"),"")</f>
        <v/>
      </c>
      <c r="I583" s="47">
        <f>IFERROR(__xludf.DUMMYFUNCTION("IFERROR((GOOGLEFINANCE($A583,""high52"")),"""")"),9.98)</f>
        <v>9.98</v>
      </c>
      <c r="J583" s="68" t="str">
        <f>IFERROR(__xludf.DUMMYFUNCTION("IFERROR((sparkline(GOOGLEFINANCE($A583,""price"",TODAY()-365,TODAY(),""DAILY""),{""charttype"",""line"";""linewidth"",1;""color"",""#5f88cc""})),"""")"),"")</f>
        <v/>
      </c>
      <c r="K583" s="66" t="str">
        <f>IFERROR(__xludf.DUMMYFUNCTION("IFERROR((((GOOGLEFINANCE(A583))-(INDEX(GoogleFinance(A583,""PRICE"",$AP$1),2,2)))/(INDEX(GoogleFinance(A583,""PRICE"",$AP$1),2,2))),"""")"),"")</f>
        <v/>
      </c>
      <c r="L583" s="69">
        <f t="shared" si="1"/>
        <v>-0.001002004008</v>
      </c>
      <c r="M583" s="52">
        <f>IFERROR((VLOOKUP($A583,'Dados StatusInvest'!$A:$AZ,COLUMN(M583)-$A$5,0)*VLOOKUP($A583,'Dados StatusInvest'!$A:$AZ,2,0)/$F583/100),0)</f>
        <v>-0.0884</v>
      </c>
      <c r="N583" s="53">
        <f>IFERROR((VLOOKUP($A583,'Dados StatusInvest'!$A:$AZ,COLUMN(N583)-$A$5,0)/VLOOKUP($A583,'Dados StatusInvest'!$A:$AZ,2,0)*$F583),"")</f>
        <v>-51.35</v>
      </c>
      <c r="O583" s="53">
        <f>IFERROR((VLOOKUP($A583,'Dados StatusInvest'!$A:$AZ,COLUMN(O583)-$A$5,0)/VLOOKUP($A583,'Dados StatusInvest'!$A:$AZ,2,0)*$F583),0)</f>
        <v>-4.26</v>
      </c>
      <c r="P583" s="54">
        <f>IFERROR((VLOOKUP($A583,'Dados StatusInvest'!$A:$AZ,COLUMN(P583)-$A$5,0)/VLOOKUP($A583,'Dados StatusInvest'!$A:$AZ,2,0)*$F583),0)</f>
        <v>-36.09</v>
      </c>
      <c r="Q583" s="55">
        <f>IFERROR((VLOOKUP($A583,'Dados StatusInvest'!$A:$AZ,COLUMN(Q583)-$A$5,0)/100),0)</f>
        <v>-0.3419</v>
      </c>
      <c r="R583" s="56">
        <f>VLOOKUP($A583,'Dados StatusInvest'!$A:$AZ,COLUMN(R583)-$A$5,0)</f>
        <v>0</v>
      </c>
      <c r="S583" s="56">
        <f>IFERROR((VLOOKUP($A583,'Dados StatusInvest'!$A:$AZ,COLUMN(S583)-$A$5,0)),0)</f>
        <v>0.38</v>
      </c>
      <c r="T583" s="53">
        <f>IFERROR((VLOOKUP($A583,'Dados StatusInvest'!$A:$AZ,COLUMN(T583)-$A$5,0)/VLOOKUP($A583,'Dados StatusInvest'!$A:$AZ,2,0)*$F583),0)</f>
        <v>-0.23</v>
      </c>
      <c r="U583" s="53">
        <f>IFERROR((VLOOKUP($A583,'Dados StatusInvest'!$A:$AZ,COLUMN(U583)-$A$5,0)-VLOOKUP($A583,'Dados StatusInvest'!$A:$AZ,COLUMN(U583)-$A$5-1,0)+T583),0)</f>
        <v>-0.41</v>
      </c>
      <c r="V583" s="56">
        <f>IFERROR((VLOOKUP($A583,'Dados StatusInvest'!$A:$AZ,COLUMN(V583)-$A$5,0)),0)</f>
        <v>0.28</v>
      </c>
      <c r="W583" s="56">
        <f>IFERROR((VLOOKUP($A583,'Dados StatusInvest'!$A:$AZ,COLUMN(W583)-$A$5,0)),0)</f>
        <v>-15.03</v>
      </c>
      <c r="X583" s="53">
        <f>IFERROR((VLOOKUP($A583,'Dados StatusInvest'!$A:$AZ,COLUMN(X583)-$A$5,0)/VLOOKUP($A583,'Dados StatusInvest'!$A:$AZ,2,0)*$F583),0)</f>
        <v>-33.3</v>
      </c>
      <c r="Y583" s="54">
        <f>IFERROR((VLOOKUP($A583,'Dados StatusInvest'!$A:$AZ,COLUMN(Y583)-$A$5,0)/VLOOKUP($A583,'Dados StatusInvest'!$A:$AZ,2,0)*$F583),0)</f>
        <v>23.19</v>
      </c>
      <c r="Z583" s="56">
        <f>IFERROR((VLOOKUP($A583,'Dados StatusInvest'!$A:$AZ,COLUMN(Z583)-$A$5,0)),0)</f>
        <v>-2.21</v>
      </c>
      <c r="AA583" s="57">
        <f>IFERROR((VLOOKUP($A583,'Dados StatusInvest'!$A:$AZ,COLUMN(AA583)-$A$5,0)),0)</f>
        <v>3.21</v>
      </c>
      <c r="AB583" s="57">
        <f>IFERROR((VLOOKUP($A583,'Dados StatusInvest'!$A:$AZ,COLUMN(AB583)-$A$5,0)),0)</f>
        <v>0.65</v>
      </c>
      <c r="AC583" s="58">
        <f>IFERROR((VLOOKUP($A583,'Dados StatusInvest'!$A:$AZ,COLUMN(AC583)-$A$5,0)),0)</f>
        <v>2.3</v>
      </c>
      <c r="AD583" s="57">
        <f>IFERROR((VLOOKUP($A583,'Dados StatusInvest'!$A:$AZ,COLUMN(AD583)-$A$5,0)),0)</f>
        <v>0</v>
      </c>
      <c r="AE583" s="56">
        <f>IFERROR((VLOOKUP($A583,'Dados StatusInvest'!$A:$AZ,COLUMN(AE583)-$A$5,0)),0)</f>
        <v>1994</v>
      </c>
      <c r="AF583" s="56">
        <f>IFERROR((VLOOKUP($A583,'Dados StatusInvest'!$A:$AZ,COLUMN(AF583)-$A$5,0)),0)</f>
        <v>-90.5</v>
      </c>
      <c r="AG583" s="56">
        <f>IFERROR((VLOOKUP($A583,'Dados StatusInvest'!$A:$AZ,COLUMN(AG583)-$A$5,0)),0)</f>
        <v>-13.61</v>
      </c>
      <c r="AH583" s="56">
        <f>IFERROR((VLOOKUP($A583,'Dados StatusInvest'!$A:$AZ,COLUMN(AH583)-$A$5,0)),0)</f>
        <v>0</v>
      </c>
      <c r="AI583" s="57">
        <f>IFERROR((VLOOKUP($A583,'Dados StatusInvest'!$A:$AZ,COLUMN(AI583)-$A$5,0)),0)</f>
        <v>18922536.37</v>
      </c>
      <c r="AJ583" s="59" t="str">
        <f>IFERROR((VLOOKUP($A583,'Dados StatusInvest'!$A:$AZ,COLUMN(AJ583)-$A$5,0)),0)</f>
        <v/>
      </c>
      <c r="AK583" s="67" t="str">
        <f>IFERROR(__xludf.DUMMYFUNCTION("IFERROR(GOOGLEFINANCE($A583,""high""),"""")"),"")</f>
        <v/>
      </c>
      <c r="AL583" s="67" t="str">
        <f>IFERROR(__xludf.DUMMYFUNCTION("IFERROR(GOOGLEFINANCE($A583,""low""),"""")"),"")</f>
        <v/>
      </c>
      <c r="AM583" s="70">
        <f t="shared" si="2"/>
        <v>0</v>
      </c>
      <c r="AN583" s="71">
        <f>IFERROR(__xludf.DUMMYFUNCTION("IFERROR((GOOGLEFINANCE($A583,""volume"")),0)"),0.0)</f>
        <v>0</v>
      </c>
      <c r="AO583" s="67">
        <f>IFERROR(__xludf.DUMMYFUNCTION("IFERROR((GOOGLEFINANCE($A583,""closeyest"")),"""")"),9.97)</f>
        <v>9.97</v>
      </c>
      <c r="AP583" s="67">
        <f>IFERROR(__xludf.DUMMYFUNCTION("IFERROR((GOOGLEFINANCE($A583,""shares"")),"""")"),1456603.0)</f>
        <v>1456603</v>
      </c>
      <c r="AQ583" s="60"/>
    </row>
    <row r="584">
      <c r="A584" s="45" t="str">
        <f>'Dados StatusInvest'!A579:A1198</f>
        <v>TXRX4</v>
      </c>
      <c r="B584" s="63" t="str">
        <f>IFERROR(__xludf.DUMMYFUNCTION("IFERROR((GOOGLEFINANCE(A584,""name"")),"""")"),"Textil RenauxView S/A Preference Shares")</f>
        <v>Textil RenauxView S/A Preference Shares</v>
      </c>
      <c r="C584" s="63" t="str">
        <f>IFERROR((VLOOKUP(LEFT($A584,4),Setor!$A:$E,3,0)),"")</f>
        <v>Consumo Cíclico</v>
      </c>
      <c r="D584" s="63" t="str">
        <f>IFERROR((VLOOKUP(LEFT($A584,4),Setor!$A:$E,4,0)),"")</f>
        <v>Tecidos, Vestuário e Calçados</v>
      </c>
      <c r="E584" s="63" t="str">
        <f>IFERROR((VLOOKUP(LEFT($A584,4),Setor!$A:$E,5,0)),"")</f>
        <v>Fios e Tecidos</v>
      </c>
      <c r="F584" s="64">
        <f>IFERROR(__xludf.DUMMYFUNCTION("IFERROR((GOOGLEFINANCE(A584)),"""")"),1.57)</f>
        <v>1.57</v>
      </c>
      <c r="G584" s="65" t="str">
        <f>IFERROR(__xludf.DUMMYFUNCTION("IFERROR((sparkline(GOOGLEFINANCE($A584,""price"",TODAY()-30,TODAY(),""DAILY""),{""charttype"",""line"";""linewidth"",1;""color"",""#5f88cc""})),"""")"),"")</f>
        <v/>
      </c>
      <c r="H584" s="66">
        <f>IFERROR(__xludf.DUMMYFUNCTION("IFERROR((((GOOGLEFINANCE(A584))-(INDEX(GoogleFinance(A584,""PRICE"",$AQ$1),2,2)))/(INDEX(GoogleFinance(A584,""PRICE"",$AQ$1),2,2))),"""")"),-0.018750000000000017)</f>
        <v>-0.01875</v>
      </c>
      <c r="I584" s="47">
        <f>IFERROR(__xludf.DUMMYFUNCTION("IFERROR((GOOGLEFINANCE($A584,""high52"")),"""")"),2.8)</f>
        <v>2.8</v>
      </c>
      <c r="J584" s="68" t="str">
        <f>IFERROR(__xludf.DUMMYFUNCTION("IFERROR((sparkline(GOOGLEFINANCE($A584,""price"",TODAY()-365,TODAY(),""DAILY""),{""charttype"",""line"";""linewidth"",1;""color"",""#5f88cc""})),"""")"),"")</f>
        <v/>
      </c>
      <c r="K584" s="66">
        <f>IFERROR(__xludf.DUMMYFUNCTION("IFERROR((((GOOGLEFINANCE(A584))-(INDEX(GoogleFinance(A584,""PRICE"",$AP$1),2,2)))/(INDEX(GoogleFinance(A584,""PRICE"",$AP$1),2,2))),"""")"),-0.21499999999999997)</f>
        <v>-0.215</v>
      </c>
      <c r="L584" s="69">
        <f t="shared" si="1"/>
        <v>-0.4392857143</v>
      </c>
      <c r="M584" s="52">
        <f>IFERROR((VLOOKUP($A584,'Dados StatusInvest'!$A:$AZ,COLUMN(M584)-$A$5,0)*VLOOKUP($A584,'Dados StatusInvest'!$A:$AZ,2,0)/$F584/100),0)</f>
        <v>-0.0884</v>
      </c>
      <c r="N584" s="53">
        <f>IFERROR((VLOOKUP($A584,'Dados StatusInvest'!$A:$AZ,COLUMN(N584)-$A$5,0)/VLOOKUP($A584,'Dados StatusInvest'!$A:$AZ,2,0)*$F584),"")</f>
        <v>-51.35</v>
      </c>
      <c r="O584" s="53">
        <f>IFERROR((VLOOKUP($A584,'Dados StatusInvest'!$A:$AZ,COLUMN(O584)-$A$5,0)/VLOOKUP($A584,'Dados StatusInvest'!$A:$AZ,2,0)*$F584),0)</f>
        <v>-0.67</v>
      </c>
      <c r="P584" s="54">
        <f>IFERROR((VLOOKUP($A584,'Dados StatusInvest'!$A:$AZ,COLUMN(P584)-$A$5,0)/VLOOKUP($A584,'Dados StatusInvest'!$A:$AZ,2,0)*$F584),0)</f>
        <v>-36.09</v>
      </c>
      <c r="Q584" s="55">
        <f>IFERROR((VLOOKUP($A584,'Dados StatusInvest'!$A:$AZ,COLUMN(Q584)-$A$5,0)/100),0)</f>
        <v>-0.3419</v>
      </c>
      <c r="R584" s="56">
        <f>VLOOKUP($A584,'Dados StatusInvest'!$A:$AZ,COLUMN(R584)-$A$5,0)</f>
        <v>0</v>
      </c>
      <c r="S584" s="56">
        <f>IFERROR((VLOOKUP($A584,'Dados StatusInvest'!$A:$AZ,COLUMN(S584)-$A$5,0)),0)</f>
        <v>0.06</v>
      </c>
      <c r="T584" s="53">
        <f>IFERROR((VLOOKUP($A584,'Dados StatusInvest'!$A:$AZ,COLUMN(T584)-$A$5,0)/VLOOKUP($A584,'Dados StatusInvest'!$A:$AZ,2,0)*$F584),0)</f>
        <v>-0.04</v>
      </c>
      <c r="U584" s="53">
        <f>IFERROR((VLOOKUP($A584,'Dados StatusInvest'!$A:$AZ,COLUMN(U584)-$A$5,0)-VLOOKUP($A584,'Dados StatusInvest'!$A:$AZ,COLUMN(U584)-$A$5-1,0)+T584),0)</f>
        <v>-0.06</v>
      </c>
      <c r="V584" s="56">
        <f>IFERROR((VLOOKUP($A584,'Dados StatusInvest'!$A:$AZ,COLUMN(V584)-$A$5,0)),0)</f>
        <v>0.28</v>
      </c>
      <c r="W584" s="56">
        <f>IFERROR((VLOOKUP($A584,'Dados StatusInvest'!$A:$AZ,COLUMN(W584)-$A$5,0)),0)</f>
        <v>-15.03</v>
      </c>
      <c r="X584" s="53">
        <f>IFERROR((VLOOKUP($A584,'Dados StatusInvest'!$A:$AZ,COLUMN(X584)-$A$5,0)/VLOOKUP($A584,'Dados StatusInvest'!$A:$AZ,2,0)*$F584),0)</f>
        <v>-33.3</v>
      </c>
      <c r="Y584" s="54">
        <f>IFERROR((VLOOKUP($A584,'Dados StatusInvest'!$A:$AZ,COLUMN(Y584)-$A$5,0)/VLOOKUP($A584,'Dados StatusInvest'!$A:$AZ,2,0)*$F584),0)</f>
        <v>23.19</v>
      </c>
      <c r="Z584" s="56">
        <f>IFERROR((VLOOKUP($A584,'Dados StatusInvest'!$A:$AZ,COLUMN(Z584)-$A$5,0)),0)</f>
        <v>-2.21</v>
      </c>
      <c r="AA584" s="57">
        <f>IFERROR((VLOOKUP($A584,'Dados StatusInvest'!$A:$AZ,COLUMN(AA584)-$A$5,0)),0)</f>
        <v>3.21</v>
      </c>
      <c r="AB584" s="57">
        <f>IFERROR((VLOOKUP($A584,'Dados StatusInvest'!$A:$AZ,COLUMN(AB584)-$A$5,0)),0)</f>
        <v>0.65</v>
      </c>
      <c r="AC584" s="58">
        <f>IFERROR((VLOOKUP($A584,'Dados StatusInvest'!$A:$AZ,COLUMN(AC584)-$A$5,0)),0)</f>
        <v>2.3</v>
      </c>
      <c r="AD584" s="57">
        <f>IFERROR((VLOOKUP($A584,'Dados StatusInvest'!$A:$AZ,COLUMN(AD584)-$A$5,0)),0)</f>
        <v>0</v>
      </c>
      <c r="AE584" s="56">
        <f>IFERROR((VLOOKUP($A584,'Dados StatusInvest'!$A:$AZ,COLUMN(AE584)-$A$5,0)),0)</f>
        <v>1041.71</v>
      </c>
      <c r="AF584" s="56">
        <f>IFERROR((VLOOKUP($A584,'Dados StatusInvest'!$A:$AZ,COLUMN(AF584)-$A$5,0)),0)</f>
        <v>-90.5</v>
      </c>
      <c r="AG584" s="56">
        <f>IFERROR((VLOOKUP($A584,'Dados StatusInvest'!$A:$AZ,COLUMN(AG584)-$A$5,0)),0)</f>
        <v>-13.61</v>
      </c>
      <c r="AH584" s="56">
        <f>IFERROR((VLOOKUP($A584,'Dados StatusInvest'!$A:$AZ,COLUMN(AH584)-$A$5,0)),0)</f>
        <v>0</v>
      </c>
      <c r="AI584" s="57">
        <f>IFERROR((VLOOKUP($A584,'Dados StatusInvest'!$A:$AZ,COLUMN(AI584)-$A$5,0)),0)</f>
        <v>18922536.37</v>
      </c>
      <c r="AJ584" s="59" t="str">
        <f>IFERROR((VLOOKUP($A584,'Dados StatusInvest'!$A:$AZ,COLUMN(AJ584)-$A$5,0)),0)</f>
        <v/>
      </c>
      <c r="AK584" s="67" t="str">
        <f>IFERROR(__xludf.DUMMYFUNCTION("IFERROR(GOOGLEFINANCE($A584,""high""),"""")"),"")</f>
        <v/>
      </c>
      <c r="AL584" s="67" t="str">
        <f>IFERROR(__xludf.DUMMYFUNCTION("IFERROR(GOOGLEFINANCE($A584,""low""),"""")"),"")</f>
        <v/>
      </c>
      <c r="AM584" s="70">
        <f t="shared" si="2"/>
        <v>0</v>
      </c>
      <c r="AN584" s="71">
        <f>IFERROR(__xludf.DUMMYFUNCTION("IFERROR((GOOGLEFINANCE($A584,""volume"")),0)"),0.0)</f>
        <v>0</v>
      </c>
      <c r="AO584" s="67">
        <f>IFERROR(__xludf.DUMMYFUNCTION("IFERROR((GOOGLEFINANCE($A584,""closeyest"")),"""")"),1.57)</f>
        <v>1.57</v>
      </c>
      <c r="AP584" s="67">
        <f>IFERROR(__xludf.DUMMYFUNCTION("IFERROR((GOOGLEFINANCE($A584,""shares"")),"""")"),2802678.0)</f>
        <v>2802678</v>
      </c>
      <c r="AQ584" s="60"/>
    </row>
    <row r="585">
      <c r="A585" s="45" t="str">
        <f>'Dados StatusInvest'!A580:A1199</f>
        <v>UCAS3</v>
      </c>
      <c r="B585" s="63" t="str">
        <f>IFERROR(__xludf.DUMMYFUNCTION("IFERROR((GOOGLEFINANCE(A585,""name"")),"""")"),"Unicasa Industria de Moveis S/A")</f>
        <v>Unicasa Industria de Moveis S/A</v>
      </c>
      <c r="C585" s="63" t="str">
        <f>IFERROR((VLOOKUP(LEFT($A585,4),Setor!$A:$E,3,0)),"")</f>
        <v>Consumo Cíclico</v>
      </c>
      <c r="D585" s="63" t="str">
        <f>IFERROR((VLOOKUP(LEFT($A585,4),Setor!$A:$E,4,0)),"")</f>
        <v>Utilidades Domésticas</v>
      </c>
      <c r="E585" s="63" t="str">
        <f>IFERROR((VLOOKUP(LEFT($A585,4),Setor!$A:$E,5,0)),"")</f>
        <v>Móveis</v>
      </c>
      <c r="F585" s="64">
        <f>IFERROR(__xludf.DUMMYFUNCTION("IFERROR((GOOGLEFINANCE(A585)),"""")"),1.33)</f>
        <v>1.33</v>
      </c>
      <c r="G585" s="65" t="str">
        <f>IFERROR(__xludf.DUMMYFUNCTION("IFERROR((sparkline(GOOGLEFINANCE($A585,""price"",TODAY()-30,TODAY(),""DAILY""),{""charttype"",""line"";""linewidth"",1;""color"",""#5f88cc""})),"""")"),"")</f>
        <v/>
      </c>
      <c r="H585" s="66">
        <f>IFERROR(__xludf.DUMMYFUNCTION("IFERROR((((GOOGLEFINANCE(A585))-(INDEX(GoogleFinance(A585,""PRICE"",$AQ$1),2,2)))/(INDEX(GoogleFinance(A585,""PRICE"",$AQ$1),2,2))),"""")"),0.0)</f>
        <v>0</v>
      </c>
      <c r="I585" s="47">
        <f>IFERROR(__xludf.DUMMYFUNCTION("IFERROR((GOOGLEFINANCE($A585,""high52"")),"""")"),1.75)</f>
        <v>1.75</v>
      </c>
      <c r="J585" s="68" t="str">
        <f>IFERROR(__xludf.DUMMYFUNCTION("IFERROR((sparkline(GOOGLEFINANCE($A585,""price"",TODAY()-365,TODAY(),""DAILY""),{""charttype"",""line"";""linewidth"",1;""color"",""#5f88cc""})),"""")"),"")</f>
        <v/>
      </c>
      <c r="K585" s="66">
        <f>IFERROR(__xludf.DUMMYFUNCTION("IFERROR((((GOOGLEFINANCE(A585))-(INDEX(GoogleFinance(A585,""PRICE"",$AP$1),2,2)))/(INDEX(GoogleFinance(A585,""PRICE"",$AP$1),2,2))),"""")"),-0.06993006993006984)</f>
        <v>-0.06993006993</v>
      </c>
      <c r="L585" s="69">
        <f t="shared" si="1"/>
        <v>-0.24</v>
      </c>
      <c r="M585" s="52">
        <f>IFERROR((VLOOKUP($A585,'Dados StatusInvest'!$A:$AZ,COLUMN(M585)-$A$5,0)*VLOOKUP($A585,'Dados StatusInvest'!$A:$AZ,2,0)/$F585/100),0)</f>
        <v>-0.03644360902</v>
      </c>
      <c r="N585" s="53">
        <f>IFERROR((VLOOKUP($A585,'Dados StatusInvest'!$A:$AZ,COLUMN(N585)-$A$5,0)/VLOOKUP($A585,'Dados StatusInvest'!$A:$AZ,2,0)*$F585),"")</f>
        <v>-0.9949618321</v>
      </c>
      <c r="O585" s="53">
        <f>IFERROR((VLOOKUP($A585,'Dados StatusInvest'!$A:$AZ,COLUMN(O585)-$A$5,0)/VLOOKUP($A585,'Dados StatusInvest'!$A:$AZ,2,0)*$F585),0)</f>
        <v>-9.990229008</v>
      </c>
      <c r="P585" s="54">
        <f>IFERROR((VLOOKUP($A585,'Dados StatusInvest'!$A:$AZ,COLUMN(P585)-$A$5,0)/VLOOKUP($A585,'Dados StatusInvest'!$A:$AZ,2,0)*$F585),0)</f>
        <v>-18.1529771</v>
      </c>
      <c r="Q585" s="55">
        <f>IFERROR((VLOOKUP($A585,'Dados StatusInvest'!$A:$AZ,COLUMN(Q585)-$A$5,0)/100),0)</f>
        <v>-0.0804</v>
      </c>
      <c r="R585" s="56">
        <f>VLOOKUP($A585,'Dados StatusInvest'!$A:$AZ,COLUMN(R585)-$A$5,0)</f>
        <v>0.39</v>
      </c>
      <c r="S585" s="56">
        <f>IFERROR((VLOOKUP($A585,'Dados StatusInvest'!$A:$AZ,COLUMN(S585)-$A$5,0)),0)</f>
        <v>0.36</v>
      </c>
      <c r="T585" s="53">
        <f>IFERROR((VLOOKUP($A585,'Dados StatusInvest'!$A:$AZ,COLUMN(T585)-$A$5,0)/VLOOKUP($A585,'Dados StatusInvest'!$A:$AZ,2,0)*$F585),0)</f>
        <v>6.710916031</v>
      </c>
      <c r="U585" s="53">
        <f>IFERROR((VLOOKUP($A585,'Dados StatusInvest'!$A:$AZ,COLUMN(U585)-$A$5,0)-VLOOKUP($A585,'Dados StatusInvest'!$A:$AZ,COLUMN(U585)-$A$5-1,0)+T585),0)</f>
        <v>-0.2190839695</v>
      </c>
      <c r="V585" s="56">
        <f>IFERROR((VLOOKUP($A585,'Dados StatusInvest'!$A:$AZ,COLUMN(V585)-$A$5,0)),0)</f>
        <v>1.14</v>
      </c>
      <c r="W585" s="56">
        <f>IFERROR((VLOOKUP($A585,'Dados StatusInvest'!$A:$AZ,COLUMN(W585)-$A$5,0)),0)</f>
        <v>-1.28</v>
      </c>
      <c r="X585" s="53">
        <f>IFERROR((VLOOKUP($A585,'Dados StatusInvest'!$A:$AZ,COLUMN(X585)-$A$5,0)/VLOOKUP($A585,'Dados StatusInvest'!$A:$AZ,2,0)*$F585),0)</f>
        <v>-0.6193129771</v>
      </c>
      <c r="Y585" s="54">
        <f>IFERROR((VLOOKUP($A585,'Dados StatusInvest'!$A:$AZ,COLUMN(Y585)-$A$5,0)/VLOOKUP($A585,'Dados StatusInvest'!$A:$AZ,2,0)*$F585),0)</f>
        <v>-6.061145038</v>
      </c>
      <c r="Z585" s="56">
        <f>IFERROR((VLOOKUP($A585,'Dados StatusInvest'!$A:$AZ,COLUMN(Z585)-$A$5,0)),0)</f>
        <v>0.48</v>
      </c>
      <c r="AA585" s="57">
        <f>IFERROR((VLOOKUP($A585,'Dados StatusInvest'!$A:$AZ,COLUMN(AA585)-$A$5,0)),0)</f>
        <v>0.52</v>
      </c>
      <c r="AB585" s="57">
        <f>IFERROR((VLOOKUP($A585,'Dados StatusInvest'!$A:$AZ,COLUMN(AB585)-$A$5,0)),0)</f>
        <v>0.62</v>
      </c>
      <c r="AC585" s="58">
        <f>IFERROR((VLOOKUP($A585,'Dados StatusInvest'!$A:$AZ,COLUMN(AC585)-$A$5,0)),0)</f>
        <v>8.69</v>
      </c>
      <c r="AD585" s="57">
        <f>IFERROR((VLOOKUP($A585,'Dados StatusInvest'!$A:$AZ,COLUMN(AD585)-$A$5,0)),0)</f>
        <v>0</v>
      </c>
      <c r="AE585" s="56">
        <f>IFERROR((VLOOKUP($A585,'Dados StatusInvest'!$A:$AZ,COLUMN(AE585)-$A$5,0)),0)</f>
        <v>88711.1</v>
      </c>
      <c r="AF585" s="56">
        <f>IFERROR((VLOOKUP($A585,'Dados StatusInvest'!$A:$AZ,COLUMN(AF585)-$A$5,0)),0)</f>
        <v>2.77</v>
      </c>
      <c r="AG585" s="56">
        <f>IFERROR((VLOOKUP($A585,'Dados StatusInvest'!$A:$AZ,COLUMN(AG585)-$A$5,0)),0)</f>
        <v>-0.04</v>
      </c>
      <c r="AH585" s="56">
        <f>IFERROR((VLOOKUP($A585,'Dados StatusInvest'!$A:$AZ,COLUMN(AH585)-$A$5,0)),0)</f>
        <v>0.31</v>
      </c>
      <c r="AI585" s="57">
        <f>IFERROR((VLOOKUP($A585,'Dados StatusInvest'!$A:$AZ,COLUMN(AI585)-$A$5,0)),0)</f>
        <v>86573136.84</v>
      </c>
      <c r="AJ585" s="59" t="str">
        <f>IFERROR((VLOOKUP($A585,'Dados StatusInvest'!$A:$AZ,COLUMN(AJ585)-$A$5,0)),0)</f>
        <v/>
      </c>
      <c r="AK585" s="67">
        <f>IFERROR(__xludf.DUMMYFUNCTION("IFERROR(GOOGLEFINANCE($A585,""high""),"""")"),1.33)</f>
        <v>1.33</v>
      </c>
      <c r="AL585" s="67">
        <f>IFERROR(__xludf.DUMMYFUNCTION("IFERROR(GOOGLEFINANCE($A585,""low""),"""")"),1.33)</f>
        <v>1.33</v>
      </c>
      <c r="AM585" s="70">
        <f t="shared" si="2"/>
        <v>0</v>
      </c>
      <c r="AN585" s="71">
        <f>IFERROR(__xludf.DUMMYFUNCTION("IFERROR((GOOGLEFINANCE($A585,""volume"")),0)"),300.0)</f>
        <v>300</v>
      </c>
      <c r="AO585" s="67">
        <f>IFERROR(__xludf.DUMMYFUNCTION("IFERROR((GOOGLEFINANCE($A585,""closeyest"")),"""")"),1.31)</f>
        <v>1.31</v>
      </c>
      <c r="AP585" s="67">
        <f>IFERROR(__xludf.DUMMYFUNCTION("IFERROR((GOOGLEFINANCE($A585,""shares"")),"""")"),6.6086364E7)</f>
        <v>66086364</v>
      </c>
      <c r="AQ585" s="60"/>
    </row>
    <row r="586">
      <c r="A586" s="45" t="str">
        <f>'Dados StatusInvest'!A581:A1200</f>
        <v>UGPA3</v>
      </c>
      <c r="B586" s="63" t="str">
        <f>IFERROR(__xludf.DUMMYFUNCTION("IFERROR((GOOGLEFINANCE(A586,""name"")),"""")"),"Ultrapar Participacoes SA")</f>
        <v>Ultrapar Participacoes SA</v>
      </c>
      <c r="C586" s="63" t="str">
        <f>IFERROR((VLOOKUP(LEFT($A586,4),Setor!$A:$E,3,0)),"")</f>
        <v>Petróleo, Gás e Biocombustíveis</v>
      </c>
      <c r="D586" s="63" t="str">
        <f>IFERROR((VLOOKUP(LEFT($A586,4),Setor!$A:$E,4,0)),"")</f>
        <v>Petróleo, Gás e Biocombustíveis</v>
      </c>
      <c r="E586" s="63" t="str">
        <f>IFERROR((VLOOKUP(LEFT($A586,4),Setor!$A:$E,5,0)),"")</f>
        <v>Exploração, Refino e Distribuição</v>
      </c>
      <c r="F586" s="64">
        <f>IFERROR(__xludf.DUMMYFUNCTION("IFERROR((GOOGLEFINANCE(A586)),"""")"),27.29)</f>
        <v>27.29</v>
      </c>
      <c r="G586" s="65" t="str">
        <f>IFERROR(__xludf.DUMMYFUNCTION("IFERROR((sparkline(GOOGLEFINANCE($A586,""price"",TODAY()-30,TODAY(),""DAILY""),{""charttype"",""line"";""linewidth"",1;""color"",""#5f88cc""})),"""")"),"")</f>
        <v/>
      </c>
      <c r="H586" s="66">
        <f>IFERROR(__xludf.DUMMYFUNCTION("IFERROR((((GOOGLEFINANCE(A586))-(INDEX(GoogleFinance(A586,""PRICE"",$AQ$1),2,2)))/(INDEX(GoogleFinance(A586,""PRICE"",$AQ$1),2,2))),"""")"),0.1612765957446808)</f>
        <v>0.1612765957</v>
      </c>
      <c r="I586" s="47">
        <f>IFERROR(__xludf.DUMMYFUNCTION("IFERROR((GOOGLEFINANCE($A586,""high52"")),"""")"),27.62)</f>
        <v>27.62</v>
      </c>
      <c r="J586" s="68" t="str">
        <f>IFERROR(__xludf.DUMMYFUNCTION("IFERROR((sparkline(GOOGLEFINANCE($A586,""price"",TODAY()-365,TODAY(),""DAILY""),{""charttype"",""line"";""linewidth"",1;""color"",""#5f88cc""})),"""")"),"")</f>
        <v/>
      </c>
      <c r="K586" s="66">
        <f>IFERROR(__xludf.DUMMYFUNCTION("IFERROR((((GOOGLEFINANCE(A586))-(INDEX(GoogleFinance(A586,""PRICE"",$AP$1),2,2)))/(INDEX(GoogleFinance(A586,""PRICE"",$AP$1),2,2))),"""")"),0.6640243902439026)</f>
        <v>0.6640243902</v>
      </c>
      <c r="L586" s="69">
        <f t="shared" si="1"/>
        <v>-0.01194786387</v>
      </c>
      <c r="M586" s="52">
        <f>IFERROR((VLOOKUP($A586,'Dados StatusInvest'!$A:$AZ,COLUMN(M586)-$A$5,0)*VLOOKUP($A586,'Dados StatusInvest'!$A:$AZ,2,0)/$F586/100),0)</f>
        <v>0.04161780872</v>
      </c>
      <c r="N586" s="53">
        <f>IFERROR((VLOOKUP($A586,'Dados StatusInvest'!$A:$AZ,COLUMN(N586)-$A$5,0)/VLOOKUP($A586,'Dados StatusInvest'!$A:$AZ,2,0)*$F586),"")</f>
        <v>2.113734545</v>
      </c>
      <c r="O586" s="53">
        <f>IFERROR((VLOOKUP($A586,'Dados StatusInvest'!$A:$AZ,COLUMN(O586)-$A$5,0)/VLOOKUP($A586,'Dados StatusInvest'!$A:$AZ,2,0)*$F586),0)</f>
        <v>5.279374545</v>
      </c>
      <c r="P586" s="54">
        <f>IFERROR((VLOOKUP($A586,'Dados StatusInvest'!$A:$AZ,COLUMN(P586)-$A$5,0)/VLOOKUP($A586,'Dados StatusInvest'!$A:$AZ,2,0)*$F586),0)</f>
        <v>7.760283636</v>
      </c>
      <c r="Q586" s="55">
        <f>IFERROR((VLOOKUP($A586,'Dados StatusInvest'!$A:$AZ,COLUMN(Q586)-$A$5,0)/100),0)</f>
        <v>0.0251</v>
      </c>
      <c r="R586" s="56">
        <f>VLOOKUP($A586,'Dados StatusInvest'!$A:$AZ,COLUMN(R586)-$A$5,0)</f>
        <v>0.88</v>
      </c>
      <c r="S586" s="56">
        <f>IFERROR((VLOOKUP($A586,'Dados StatusInvest'!$A:$AZ,COLUMN(S586)-$A$5,0)),0)</f>
        <v>0.22</v>
      </c>
      <c r="T586" s="53">
        <f>IFERROR((VLOOKUP($A586,'Dados StatusInvest'!$A:$AZ,COLUMN(T586)-$A$5,0)/VLOOKUP($A586,'Dados StatusInvest'!$A:$AZ,2,0)*$F586),0)</f>
        <v>4.118309091</v>
      </c>
      <c r="U586" s="53">
        <f>IFERROR((VLOOKUP($A586,'Dados StatusInvest'!$A:$AZ,COLUMN(U586)-$A$5,0)-VLOOKUP($A586,'Dados StatusInvest'!$A:$AZ,COLUMN(U586)-$A$5-1,0)+T586),0)</f>
        <v>-1.081690909</v>
      </c>
      <c r="V586" s="56">
        <f>IFERROR((VLOOKUP($A586,'Dados StatusInvest'!$A:$AZ,COLUMN(V586)-$A$5,0)),0)</f>
        <v>1.83</v>
      </c>
      <c r="W586" s="56">
        <f>IFERROR((VLOOKUP($A586,'Dados StatusInvest'!$A:$AZ,COLUMN(W586)-$A$5,0)),0)</f>
        <v>18.14</v>
      </c>
      <c r="X586" s="53">
        <f>IFERROR((VLOOKUP($A586,'Dados StatusInvest'!$A:$AZ,COLUMN(X586)-$A$5,0)/VLOOKUP($A586,'Dados StatusInvest'!$A:$AZ,2,0)*$F586),0)</f>
        <v>6.470210909</v>
      </c>
      <c r="Y586" s="54">
        <f>IFERROR((VLOOKUP($A586,'Dados StatusInvest'!$A:$AZ,COLUMN(Y586)-$A$5,0)/VLOOKUP($A586,'Dados StatusInvest'!$A:$AZ,2,0)*$F586),0)</f>
        <v>11.03508364</v>
      </c>
      <c r="Z586" s="56">
        <f>IFERROR((VLOOKUP($A586,'Dados StatusInvest'!$A:$AZ,COLUMN(Z586)-$A$5,0)),0)</f>
        <v>0.36</v>
      </c>
      <c r="AA586" s="57">
        <f>IFERROR((VLOOKUP($A586,'Dados StatusInvest'!$A:$AZ,COLUMN(AA586)-$A$5,0)),0)</f>
        <v>0.59</v>
      </c>
      <c r="AB586" s="57">
        <f>IFERROR((VLOOKUP($A586,'Dados StatusInvest'!$A:$AZ,COLUMN(AB586)-$A$5,0)),0)</f>
        <v>3.07</v>
      </c>
      <c r="AC586" s="58">
        <f>IFERROR((VLOOKUP($A586,'Dados StatusInvest'!$A:$AZ,COLUMN(AC586)-$A$5,0)),0)</f>
        <v>8.37</v>
      </c>
      <c r="AD586" s="57">
        <f>IFERROR((VLOOKUP($A586,'Dados StatusInvest'!$A:$AZ,COLUMN(AD586)-$A$5,0)),0)</f>
        <v>51.41</v>
      </c>
      <c r="AE586" s="56">
        <f>IFERROR((VLOOKUP($A586,'Dados StatusInvest'!$A:$AZ,COLUMN(AE586)-$A$5,0)),0)</f>
        <v>159000000</v>
      </c>
      <c r="AF586" s="56">
        <f>IFERROR((VLOOKUP($A586,'Dados StatusInvest'!$A:$AZ,COLUMN(AF586)-$A$5,0)),0)</f>
        <v>14.69</v>
      </c>
      <c r="AG586" s="56">
        <f>IFERROR((VLOOKUP($A586,'Dados StatusInvest'!$A:$AZ,COLUMN(AG586)-$A$5,0)),0)</f>
        <v>2.66</v>
      </c>
      <c r="AH586" s="56">
        <f>IFERROR((VLOOKUP($A586,'Dados StatusInvest'!$A:$AZ,COLUMN(AH586)-$A$5,0)),0)</f>
        <v>0.77</v>
      </c>
      <c r="AI586" s="57">
        <f>IFERROR((VLOOKUP($A586,'Dados StatusInvest'!$A:$AZ,COLUMN(AI586)-$A$5,0)),0)</f>
        <v>30685871508</v>
      </c>
      <c r="AJ586" s="59" t="str">
        <f>IFERROR((VLOOKUP($A586,'Dados StatusInvest'!$A:$AZ,COLUMN(AJ586)-$A$5,0)),0)</f>
        <v/>
      </c>
      <c r="AK586" s="67">
        <f>IFERROR(__xludf.DUMMYFUNCTION("IFERROR(GOOGLEFINANCE($A586,""high""),"""")"),27.41)</f>
        <v>27.41</v>
      </c>
      <c r="AL586" s="67">
        <f>IFERROR(__xludf.DUMMYFUNCTION("IFERROR(GOOGLEFINANCE($A586,""low""),"""")"),27.16)</f>
        <v>27.16</v>
      </c>
      <c r="AM586" s="70">
        <f t="shared" si="2"/>
        <v>0.009204712813</v>
      </c>
      <c r="AN586" s="71">
        <f>IFERROR(__xludf.DUMMYFUNCTION("IFERROR((GOOGLEFINANCE($A586,""volume"")),0)"),93400.0)</f>
        <v>93400</v>
      </c>
      <c r="AO586" s="67">
        <f>IFERROR(__xludf.DUMMYFUNCTION("IFERROR((GOOGLEFINANCE($A586,""closeyest"")),"""")"),27.5)</f>
        <v>27.5</v>
      </c>
      <c r="AP586" s="67">
        <f>IFERROR(__xludf.DUMMYFUNCTION("IFERROR((GOOGLEFINANCE($A586,""shares"")),"""")"),1.115849873E9)</f>
        <v>1115849873</v>
      </c>
      <c r="AQ586" s="60"/>
    </row>
    <row r="587">
      <c r="A587" s="45" t="str">
        <f>'Dados StatusInvest'!A582:A1201</f>
        <v>UNIP3</v>
      </c>
      <c r="B587" s="63" t="str">
        <f>IFERROR(__xludf.DUMMYFUNCTION("IFERROR((GOOGLEFINANCE(A587,""name"")),"""")"),"Unipar Carbocloro SA")</f>
        <v>Unipar Carbocloro SA</v>
      </c>
      <c r="C587" s="63" t="str">
        <f>IFERROR((VLOOKUP(LEFT($A587,4),Setor!$A:$E,3,0)),"")</f>
        <v>Materiais Básicos</v>
      </c>
      <c r="D587" s="63" t="str">
        <f>IFERROR((VLOOKUP(LEFT($A587,4),Setor!$A:$E,4,0)),"")</f>
        <v>Químicos</v>
      </c>
      <c r="E587" s="63" t="str">
        <f>IFERROR((VLOOKUP(LEFT($A587,4),Setor!$A:$E,5,0)),"")</f>
        <v>Químicos Diversos</v>
      </c>
      <c r="F587" s="64">
        <f>IFERROR(__xludf.DUMMYFUNCTION("IFERROR((GOOGLEFINANCE(A587)),"""")"),63.91)</f>
        <v>63.91</v>
      </c>
      <c r="G587" s="65" t="str">
        <f>IFERROR(__xludf.DUMMYFUNCTION("IFERROR((sparkline(GOOGLEFINANCE($A587,""price"",TODAY()-30,TODAY(),""DAILY""),{""charttype"",""line"";""linewidth"",1;""color"",""#5f88cc""})),"""")"),"")</f>
        <v/>
      </c>
      <c r="H587" s="66">
        <f>IFERROR(__xludf.DUMMYFUNCTION("IFERROR((((GOOGLEFINANCE(A587))-(INDEX(GoogleFinance(A587,""PRICE"",$AQ$1),2,2)))/(INDEX(GoogleFinance(A587,""PRICE"",$AQ$1),2,2))),"""")"),0.09547480287967078)</f>
        <v>0.09547480288</v>
      </c>
      <c r="I587" s="47">
        <f>IFERROR(__xludf.DUMMYFUNCTION("IFERROR((GOOGLEFINANCE($A587,""high52"")),"""")"),62.89)</f>
        <v>62.89</v>
      </c>
      <c r="J587" s="68" t="str">
        <f>IFERROR(__xludf.DUMMYFUNCTION("IFERROR((sparkline(GOOGLEFINANCE($A587,""price"",TODAY()-365,TODAY(),""DAILY""),{""charttype"",""line"";""linewidth"",1;""color"",""#5f88cc""})),"""")"),"")</f>
        <v/>
      </c>
      <c r="K587" s="66">
        <f>IFERROR(__xludf.DUMMYFUNCTION("IFERROR((((GOOGLEFINANCE(A587))-(INDEX(GoogleFinance(A587,""PRICE"",$AP$1),2,2)))/(INDEX(GoogleFinance(A587,""PRICE"",$AP$1),2,2))),"""")"),0.33479532163742676)</f>
        <v>0.3347953216</v>
      </c>
      <c r="L587" s="69">
        <f t="shared" si="1"/>
        <v>0.01621879472</v>
      </c>
      <c r="M587" s="52">
        <f>IFERROR((VLOOKUP($A587,'Dados StatusInvest'!$A:$AZ,COLUMN(M587)-$A$5,0)*VLOOKUP($A587,'Dados StatusInvest'!$A:$AZ,2,0)/$F587/100),0)</f>
        <v>0.1978</v>
      </c>
      <c r="N587" s="53">
        <f>IFERROR((VLOOKUP($A587,'Dados StatusInvest'!$A:$AZ,COLUMN(N587)-$A$5,0)/VLOOKUP($A587,'Dados StatusInvest'!$A:$AZ,2,0)*$F587),"")</f>
        <v>14.19</v>
      </c>
      <c r="O587" s="53">
        <f>IFERROR((VLOOKUP($A587,'Dados StatusInvest'!$A:$AZ,COLUMN(O587)-$A$5,0)/VLOOKUP($A587,'Dados StatusInvest'!$A:$AZ,2,0)*$F587),0)</f>
        <v>6.6</v>
      </c>
      <c r="P587" s="54">
        <f>IFERROR((VLOOKUP($A587,'Dados StatusInvest'!$A:$AZ,COLUMN(P587)-$A$5,0)/VLOOKUP($A587,'Dados StatusInvest'!$A:$AZ,2,0)*$F587),0)</f>
        <v>8.47</v>
      </c>
      <c r="Q587" s="55">
        <f>IFERROR((VLOOKUP($A587,'Dados StatusInvest'!$A:$AZ,COLUMN(Q587)-$A$5,0)/100),0)</f>
        <v>0.0146</v>
      </c>
      <c r="R587" s="56">
        <f>VLOOKUP($A587,'Dados StatusInvest'!$A:$AZ,COLUMN(R587)-$A$5,0)</f>
        <v>0.65</v>
      </c>
      <c r="S587" s="56">
        <f>IFERROR((VLOOKUP($A587,'Dados StatusInvest'!$A:$AZ,COLUMN(S587)-$A$5,0)),0)</f>
        <v>1.31</v>
      </c>
      <c r="T587" s="53">
        <f>IFERROR((VLOOKUP($A587,'Dados StatusInvest'!$A:$AZ,COLUMN(T587)-$A$5,0)/VLOOKUP($A587,'Dados StatusInvest'!$A:$AZ,2,0)*$F587),0)</f>
        <v>3.45</v>
      </c>
      <c r="U587" s="53">
        <f>IFERROR((VLOOKUP($A587,'Dados StatusInvest'!$A:$AZ,COLUMN(U587)-$A$5,0)-VLOOKUP($A587,'Dados StatusInvest'!$A:$AZ,COLUMN(U587)-$A$5-1,0)+T587),0)</f>
        <v>-1.58</v>
      </c>
      <c r="V587" s="56">
        <f>IFERROR((VLOOKUP($A587,'Dados StatusInvest'!$A:$AZ,COLUMN(V587)-$A$5,0)),0)</f>
        <v>3.18</v>
      </c>
      <c r="W587" s="56">
        <f>IFERROR((VLOOKUP($A587,'Dados StatusInvest'!$A:$AZ,COLUMN(W587)-$A$5,0)),0)</f>
        <v>31.82</v>
      </c>
      <c r="X587" s="53">
        <f>IFERROR((VLOOKUP($A587,'Dados StatusInvest'!$A:$AZ,COLUMN(X587)-$A$5,0)/VLOOKUP($A587,'Dados StatusInvest'!$A:$AZ,2,0)*$F587),0)</f>
        <v>10.3</v>
      </c>
      <c r="Y587" s="54">
        <f>IFERROR((VLOOKUP($A587,'Dados StatusInvest'!$A:$AZ,COLUMN(Y587)-$A$5,0)/VLOOKUP($A587,'Dados StatusInvest'!$A:$AZ,2,0)*$F587),0)</f>
        <v>12.12</v>
      </c>
      <c r="Z587" s="56">
        <f>IFERROR((VLOOKUP($A587,'Dados StatusInvest'!$A:$AZ,COLUMN(Z587)-$A$5,0)),0)</f>
        <v>0.32</v>
      </c>
      <c r="AA587" s="57">
        <f>IFERROR((VLOOKUP($A587,'Dados StatusInvest'!$A:$AZ,COLUMN(AA587)-$A$5,0)),0)</f>
        <v>0.67</v>
      </c>
      <c r="AB587" s="57">
        <f>IFERROR((VLOOKUP($A587,'Dados StatusInvest'!$A:$AZ,COLUMN(AB587)-$A$5,0)),0)</f>
        <v>0.73</v>
      </c>
      <c r="AC587" s="58">
        <f>IFERROR((VLOOKUP($A587,'Dados StatusInvest'!$A:$AZ,COLUMN(AC587)-$A$5,0)),0)</f>
        <v>12.24</v>
      </c>
      <c r="AD587" s="57">
        <f>IFERROR((VLOOKUP($A587,'Dados StatusInvest'!$A:$AZ,COLUMN(AD587)-$A$5,0)),0)</f>
        <v>35.28</v>
      </c>
      <c r="AE587" s="56">
        <f>IFERROR((VLOOKUP($A587,'Dados StatusInvest'!$A:$AZ,COLUMN(AE587)-$A$5,0)),0)</f>
        <v>749838.8</v>
      </c>
      <c r="AF587" s="56">
        <f>IFERROR((VLOOKUP($A587,'Dados StatusInvest'!$A:$AZ,COLUMN(AF587)-$A$5,0)),0)</f>
        <v>21.83</v>
      </c>
      <c r="AG587" s="56">
        <f>IFERROR((VLOOKUP($A587,'Dados StatusInvest'!$A:$AZ,COLUMN(AG587)-$A$5,0)),0)</f>
        <v>6.95</v>
      </c>
      <c r="AH587" s="56">
        <f>IFERROR((VLOOKUP($A587,'Dados StatusInvest'!$A:$AZ,COLUMN(AH587)-$A$5,0)),0)</f>
        <v>0.11</v>
      </c>
      <c r="AI587" s="57">
        <f>IFERROR((VLOOKUP($A587,'Dados StatusInvest'!$A:$AZ,COLUMN(AI587)-$A$5,0)),0)</f>
        <v>7677583658</v>
      </c>
      <c r="AJ587" s="59" t="str">
        <f>IFERROR((VLOOKUP($A587,'Dados StatusInvest'!$A:$AZ,COLUMN(AJ587)-$A$5,0)),0)</f>
        <v/>
      </c>
      <c r="AK587" s="67">
        <f>IFERROR(__xludf.DUMMYFUNCTION("IFERROR(GOOGLEFINANCE($A587,""high""),"""")"),63.56)</f>
        <v>63.56</v>
      </c>
      <c r="AL587" s="67" t="str">
        <f>IFERROR(__xludf.DUMMYFUNCTION("IFERROR(GOOGLEFINANCE($A587,""low""),"""")"),"")</f>
        <v/>
      </c>
      <c r="AM587" s="70">
        <f t="shared" si="2"/>
        <v>0</v>
      </c>
      <c r="AN587" s="71">
        <f>IFERROR(__xludf.DUMMYFUNCTION("IFERROR((GOOGLEFINANCE($A587,""volume"")),0)"),0.0)</f>
        <v>0</v>
      </c>
      <c r="AO587" s="67">
        <f>IFERROR(__xludf.DUMMYFUNCTION("IFERROR((GOOGLEFINANCE($A587,""closeyest"")),"""")"),63.91)</f>
        <v>63.91</v>
      </c>
      <c r="AP587" s="67">
        <f>IFERROR(__xludf.DUMMYFUNCTION("IFERROR((GOOGLEFINANCE($A587,""shares"")),"""")"),3.9059883E7)</f>
        <v>39059883</v>
      </c>
      <c r="AQ587" s="60"/>
    </row>
    <row r="588">
      <c r="A588" s="45" t="str">
        <f>'Dados StatusInvest'!A583:A1202</f>
        <v>UNIP5</v>
      </c>
      <c r="B588" s="63" t="str">
        <f>IFERROR(__xludf.DUMMYFUNCTION("IFERROR((GOOGLEFINANCE(A588,""name"")),"""")"),"Unipar Carbocloro SA Preference Shares Class A")</f>
        <v>Unipar Carbocloro SA Preference Shares Class A</v>
      </c>
      <c r="C588" s="63" t="str">
        <f>IFERROR((VLOOKUP(LEFT($A588,4),Setor!$A:$E,3,0)),"")</f>
        <v>Materiais Básicos</v>
      </c>
      <c r="D588" s="63" t="str">
        <f>IFERROR((VLOOKUP(LEFT($A588,4),Setor!$A:$E,4,0)),"")</f>
        <v>Químicos</v>
      </c>
      <c r="E588" s="63" t="str">
        <f>IFERROR((VLOOKUP(LEFT($A588,4),Setor!$A:$E,5,0)),"")</f>
        <v>Químicos Diversos</v>
      </c>
      <c r="F588" s="64">
        <f>IFERROR(__xludf.DUMMYFUNCTION("IFERROR((GOOGLEFINANCE(A588)),"""")"),69.0)</f>
        <v>69</v>
      </c>
      <c r="G588" s="65" t="str">
        <f>IFERROR(__xludf.DUMMYFUNCTION("IFERROR((sparkline(GOOGLEFINANCE($A588,""price"",TODAY()-30,TODAY(),""DAILY""),{""charttype"",""line"";""linewidth"",1;""color"",""#5f88cc""})),"""")"),"")</f>
        <v/>
      </c>
      <c r="H588" s="66">
        <f>IFERROR(__xludf.DUMMYFUNCTION("IFERROR((((GOOGLEFINANCE(A588))-(INDEX(GoogleFinance(A588,""PRICE"",$AQ$1),2,2)))/(INDEX(GoogleFinance(A588,""PRICE"",$AQ$1),2,2))),"""")"),0.07795656928604897)</f>
        <v>0.07795656929</v>
      </c>
      <c r="I588" s="47">
        <f>IFERROR(__xludf.DUMMYFUNCTION("IFERROR((GOOGLEFINANCE($A588,""high52"")),"""")"),71.02)</f>
        <v>71.02</v>
      </c>
      <c r="J588" s="68" t="str">
        <f>IFERROR(__xludf.DUMMYFUNCTION("IFERROR((sparkline(GOOGLEFINANCE($A588,""price"",TODAY()-365,TODAY(),""DAILY""),{""charttype"",""line"";""linewidth"",1;""color"",""#5f88cc""})),"""")"),"")</f>
        <v/>
      </c>
      <c r="K588" s="66">
        <f>IFERROR(__xludf.DUMMYFUNCTION("IFERROR((((GOOGLEFINANCE(A588))-(INDEX(GoogleFinance(A588,""PRICE"",$AP$1),2,2)))/(INDEX(GoogleFinance(A588,""PRICE"",$AP$1),2,2))),"""")"),0.467772814294831)</f>
        <v>0.4677728143</v>
      </c>
      <c r="L588" s="69">
        <f t="shared" si="1"/>
        <v>-0.0284426922</v>
      </c>
      <c r="M588" s="52">
        <f>IFERROR((VLOOKUP($A588,'Dados StatusInvest'!$A:$AZ,COLUMN(M588)-$A$5,0)*VLOOKUP($A588,'Dados StatusInvest'!$A:$AZ,2,0)/$F588/100),0)</f>
        <v>0.1978</v>
      </c>
      <c r="N588" s="53">
        <f>IFERROR((VLOOKUP($A588,'Dados StatusInvest'!$A:$AZ,COLUMN(N588)-$A$5,0)/VLOOKUP($A588,'Dados StatusInvest'!$A:$AZ,2,0)*$F588),"")</f>
        <v>14.19</v>
      </c>
      <c r="O588" s="53">
        <f>IFERROR((VLOOKUP($A588,'Dados StatusInvest'!$A:$AZ,COLUMN(O588)-$A$5,0)/VLOOKUP($A588,'Dados StatusInvest'!$A:$AZ,2,0)*$F588),0)</f>
        <v>7.13</v>
      </c>
      <c r="P588" s="54">
        <f>IFERROR((VLOOKUP($A588,'Dados StatusInvest'!$A:$AZ,COLUMN(P588)-$A$5,0)/VLOOKUP($A588,'Dados StatusInvest'!$A:$AZ,2,0)*$F588),0)</f>
        <v>8.47</v>
      </c>
      <c r="Q588" s="55">
        <f>IFERROR((VLOOKUP($A588,'Dados StatusInvest'!$A:$AZ,COLUMN(Q588)-$A$5,0)/100),0)</f>
        <v>0.0146</v>
      </c>
      <c r="R588" s="56">
        <f>VLOOKUP($A588,'Dados StatusInvest'!$A:$AZ,COLUMN(R588)-$A$5,0)</f>
        <v>0.65</v>
      </c>
      <c r="S588" s="56">
        <f>IFERROR((VLOOKUP($A588,'Dados StatusInvest'!$A:$AZ,COLUMN(S588)-$A$5,0)),0)</f>
        <v>1.41</v>
      </c>
      <c r="T588" s="53">
        <f>IFERROR((VLOOKUP($A588,'Dados StatusInvest'!$A:$AZ,COLUMN(T588)-$A$5,0)/VLOOKUP($A588,'Dados StatusInvest'!$A:$AZ,2,0)*$F588),0)</f>
        <v>3.72</v>
      </c>
      <c r="U588" s="53">
        <f>IFERROR((VLOOKUP($A588,'Dados StatusInvest'!$A:$AZ,COLUMN(U588)-$A$5,0)-VLOOKUP($A588,'Dados StatusInvest'!$A:$AZ,COLUMN(U588)-$A$5-1,0)+T588),0)</f>
        <v>-1.71</v>
      </c>
      <c r="V588" s="56">
        <f>IFERROR((VLOOKUP($A588,'Dados StatusInvest'!$A:$AZ,COLUMN(V588)-$A$5,0)),0)</f>
        <v>3.18</v>
      </c>
      <c r="W588" s="56">
        <f>IFERROR((VLOOKUP($A588,'Dados StatusInvest'!$A:$AZ,COLUMN(W588)-$A$5,0)),0)</f>
        <v>31.82</v>
      </c>
      <c r="X588" s="53">
        <f>IFERROR((VLOOKUP($A588,'Dados StatusInvest'!$A:$AZ,COLUMN(X588)-$A$5,0)/VLOOKUP($A588,'Dados StatusInvest'!$A:$AZ,2,0)*$F588),0)</f>
        <v>10.3</v>
      </c>
      <c r="Y588" s="54">
        <f>IFERROR((VLOOKUP($A588,'Dados StatusInvest'!$A:$AZ,COLUMN(Y588)-$A$5,0)/VLOOKUP($A588,'Dados StatusInvest'!$A:$AZ,2,0)*$F588),0)</f>
        <v>12.12</v>
      </c>
      <c r="Z588" s="56">
        <f>IFERROR((VLOOKUP($A588,'Dados StatusInvest'!$A:$AZ,COLUMN(Z588)-$A$5,0)),0)</f>
        <v>0.32</v>
      </c>
      <c r="AA588" s="57">
        <f>IFERROR((VLOOKUP($A588,'Dados StatusInvest'!$A:$AZ,COLUMN(AA588)-$A$5,0)),0)</f>
        <v>0.67</v>
      </c>
      <c r="AB588" s="57">
        <f>IFERROR((VLOOKUP($A588,'Dados StatusInvest'!$A:$AZ,COLUMN(AB588)-$A$5,0)),0)</f>
        <v>0.73</v>
      </c>
      <c r="AC588" s="58">
        <f>IFERROR((VLOOKUP($A588,'Dados StatusInvest'!$A:$AZ,COLUMN(AC588)-$A$5,0)),0)</f>
        <v>12.24</v>
      </c>
      <c r="AD588" s="57">
        <f>IFERROR((VLOOKUP($A588,'Dados StatusInvest'!$A:$AZ,COLUMN(AD588)-$A$5,0)),0)</f>
        <v>35.28</v>
      </c>
      <c r="AE588" s="56">
        <f>IFERROR((VLOOKUP($A588,'Dados StatusInvest'!$A:$AZ,COLUMN(AE588)-$A$5,0)),0)</f>
        <v>18847.13</v>
      </c>
      <c r="AF588" s="56">
        <f>IFERROR((VLOOKUP($A588,'Dados StatusInvest'!$A:$AZ,COLUMN(AF588)-$A$5,0)),0)</f>
        <v>21.83</v>
      </c>
      <c r="AG588" s="56">
        <f>IFERROR((VLOOKUP($A588,'Dados StatusInvest'!$A:$AZ,COLUMN(AG588)-$A$5,0)),0)</f>
        <v>6.95</v>
      </c>
      <c r="AH588" s="56">
        <f>IFERROR((VLOOKUP($A588,'Dados StatusInvest'!$A:$AZ,COLUMN(AH588)-$A$5,0)),0)</f>
        <v>0.12</v>
      </c>
      <c r="AI588" s="57">
        <f>IFERROR((VLOOKUP($A588,'Dados StatusInvest'!$A:$AZ,COLUMN(AI588)-$A$5,0)),0)</f>
        <v>7677583658</v>
      </c>
      <c r="AJ588" s="59" t="str">
        <f>IFERROR((VLOOKUP($A588,'Dados StatusInvest'!$A:$AZ,COLUMN(AJ588)-$A$5,0)),0)</f>
        <v/>
      </c>
      <c r="AK588" s="67" t="str">
        <f>IFERROR(__xludf.DUMMYFUNCTION("IFERROR(GOOGLEFINANCE($A588,""high""),"""")"),"")</f>
        <v/>
      </c>
      <c r="AL588" s="67" t="str">
        <f>IFERROR(__xludf.DUMMYFUNCTION("IFERROR(GOOGLEFINANCE($A588,""low""),"""")"),"")</f>
        <v/>
      </c>
      <c r="AM588" s="70">
        <f t="shared" si="2"/>
        <v>0</v>
      </c>
      <c r="AN588" s="71">
        <f>IFERROR(__xludf.DUMMYFUNCTION("IFERROR((GOOGLEFINANCE($A588,""volume"")),0)"),0.0)</f>
        <v>0</v>
      </c>
      <c r="AO588" s="67">
        <f>IFERROR(__xludf.DUMMYFUNCTION("IFERROR((GOOGLEFINANCE($A588,""closeyest"")),"""")"),69.0)</f>
        <v>69</v>
      </c>
      <c r="AP588" s="67">
        <f>IFERROR(__xludf.DUMMYFUNCTION("IFERROR((GOOGLEFINANCE($A588,""shares"")),"""")"),2338049.0)</f>
        <v>2338049</v>
      </c>
      <c r="AQ588" s="60"/>
    </row>
    <row r="589">
      <c r="A589" s="45" t="str">
        <f>'Dados StatusInvest'!A584:A1203</f>
        <v>UNIP6</v>
      </c>
      <c r="B589" s="63" t="str">
        <f>IFERROR(__xludf.DUMMYFUNCTION("IFERROR((GOOGLEFINANCE(A589,""name"")),"""")"),"Unipar Carbocloro SA Preference Shares Class B")</f>
        <v>Unipar Carbocloro SA Preference Shares Class B</v>
      </c>
      <c r="C589" s="63" t="str">
        <f>IFERROR((VLOOKUP(LEFT($A589,4),Setor!$A:$E,3,0)),"")</f>
        <v>Materiais Básicos</v>
      </c>
      <c r="D589" s="63" t="str">
        <f>IFERROR((VLOOKUP(LEFT($A589,4),Setor!$A:$E,4,0)),"")</f>
        <v>Químicos</v>
      </c>
      <c r="E589" s="63" t="str">
        <f>IFERROR((VLOOKUP(LEFT($A589,4),Setor!$A:$E,5,0)),"")</f>
        <v>Químicos Diversos</v>
      </c>
      <c r="F589" s="64">
        <f>IFERROR(__xludf.DUMMYFUNCTION("IFERROR((GOOGLEFINANCE(A589)),"""")"),69.53)</f>
        <v>69.53</v>
      </c>
      <c r="G589" s="65" t="str">
        <f>IFERROR(__xludf.DUMMYFUNCTION("IFERROR((sparkline(GOOGLEFINANCE($A589,""price"",TODAY()-30,TODAY(),""DAILY""),{""charttype"",""line"";""linewidth"",1;""color"",""#5f88cc""})),"""")"),"")</f>
        <v/>
      </c>
      <c r="H589" s="66">
        <f>IFERROR(__xludf.DUMMYFUNCTION("IFERROR((((GOOGLEFINANCE(A589))-(INDEX(GoogleFinance(A589,""PRICE"",$AQ$1),2,2)))/(INDEX(GoogleFinance(A589,""PRICE"",$AQ$1),2,2))),"""")"),0.19323837309078423)</f>
        <v>0.1932383731</v>
      </c>
      <c r="I589" s="47">
        <f>IFERROR(__xludf.DUMMYFUNCTION("IFERROR((GOOGLEFINANCE($A589,""high52"")),"""")"),72.75)</f>
        <v>72.75</v>
      </c>
      <c r="J589" s="68" t="str">
        <f>IFERROR(__xludf.DUMMYFUNCTION("IFERROR((sparkline(GOOGLEFINANCE($A589,""price"",TODAY()-365,TODAY(),""DAILY""),{""charttype"",""line"";""linewidth"",1;""color"",""#5f88cc""})),"""")"),"")</f>
        <v/>
      </c>
      <c r="K589" s="66">
        <f>IFERROR(__xludf.DUMMYFUNCTION("IFERROR((((GOOGLEFINANCE(A589))-(INDEX(GoogleFinance(A589,""PRICE"",$AP$1),2,2)))/(INDEX(GoogleFinance(A589,""PRICE"",$AP$1),2,2))),"""")"),0.4428304627516083)</f>
        <v>0.4428304628</v>
      </c>
      <c r="L589" s="69">
        <f t="shared" si="1"/>
        <v>-0.04426116838</v>
      </c>
      <c r="M589" s="52">
        <f>IFERROR((VLOOKUP($A589,'Dados StatusInvest'!$A:$AZ,COLUMN(M589)-$A$5,0)*VLOOKUP($A589,'Dados StatusInvest'!$A:$AZ,2,0)/$F589/100),0)</f>
        <v>0.1988810298</v>
      </c>
      <c r="N589" s="53">
        <f>IFERROR((VLOOKUP($A589,'Dados StatusInvest'!$A:$AZ,COLUMN(N589)-$A$5,0)/VLOOKUP($A589,'Dados StatusInvest'!$A:$AZ,2,0)*$F589),"")</f>
        <v>14.1128694</v>
      </c>
      <c r="O589" s="53">
        <f>IFERROR((VLOOKUP($A589,'Dados StatusInvest'!$A:$AZ,COLUMN(O589)-$A$5,0)/VLOOKUP($A589,'Dados StatusInvest'!$A:$AZ,2,0)*$F589),0)</f>
        <v>7.180755257</v>
      </c>
      <c r="P589" s="54">
        <f>IFERROR((VLOOKUP($A589,'Dados StatusInvest'!$A:$AZ,COLUMN(P589)-$A$5,0)/VLOOKUP($A589,'Dados StatusInvest'!$A:$AZ,2,0)*$F589),0)</f>
        <v>8.423960807</v>
      </c>
      <c r="Q589" s="55">
        <f>IFERROR((VLOOKUP($A589,'Dados StatusInvest'!$A:$AZ,COLUMN(Q589)-$A$5,0)/100),0)</f>
        <v>0.0146</v>
      </c>
      <c r="R589" s="56">
        <f>VLOOKUP($A589,'Dados StatusInvest'!$A:$AZ,COLUMN(R589)-$A$5,0)</f>
        <v>0.65</v>
      </c>
      <c r="S589" s="56">
        <f>IFERROR((VLOOKUP($A589,'Dados StatusInvest'!$A:$AZ,COLUMN(S589)-$A$5,0)),0)</f>
        <v>1.43</v>
      </c>
      <c r="T589" s="53">
        <f>IFERROR((VLOOKUP($A589,'Dados StatusInvest'!$A:$AZ,COLUMN(T589)-$A$5,0)/VLOOKUP($A589,'Dados StatusInvest'!$A:$AZ,2,0)*$F589),0)</f>
        <v>3.749507939</v>
      </c>
      <c r="U589" s="53">
        <f>IFERROR((VLOOKUP($A589,'Dados StatusInvest'!$A:$AZ,COLUMN(U589)-$A$5,0)-VLOOKUP($A589,'Dados StatusInvest'!$A:$AZ,COLUMN(U589)-$A$5-1,0)+T589),0)</f>
        <v>-1.750492061</v>
      </c>
      <c r="V589" s="56">
        <f>IFERROR((VLOOKUP($A589,'Dados StatusInvest'!$A:$AZ,COLUMN(V589)-$A$5,0)),0)</f>
        <v>3.18</v>
      </c>
      <c r="W589" s="56">
        <f>IFERROR((VLOOKUP($A589,'Dados StatusInvest'!$A:$AZ,COLUMN(W589)-$A$5,0)),0)</f>
        <v>31.82</v>
      </c>
      <c r="X589" s="53">
        <f>IFERROR((VLOOKUP($A589,'Dados StatusInvest'!$A:$AZ,COLUMN(X589)-$A$5,0)/VLOOKUP($A589,'Dados StatusInvest'!$A:$AZ,2,0)*$F589),0)</f>
        <v>10.24401373</v>
      </c>
      <c r="Y589" s="54">
        <f>IFERROR((VLOOKUP($A589,'Dados StatusInvest'!$A:$AZ,COLUMN(Y589)-$A$5,0)/VLOOKUP($A589,'Dados StatusInvest'!$A:$AZ,2,0)*$F589),0)</f>
        <v>12.05412101</v>
      </c>
      <c r="Z589" s="56">
        <f>IFERROR((VLOOKUP($A589,'Dados StatusInvest'!$A:$AZ,COLUMN(Z589)-$A$5,0)),0)</f>
        <v>0.32</v>
      </c>
      <c r="AA589" s="57">
        <f>IFERROR((VLOOKUP($A589,'Dados StatusInvest'!$A:$AZ,COLUMN(AA589)-$A$5,0)),0)</f>
        <v>0.67</v>
      </c>
      <c r="AB589" s="57">
        <f>IFERROR((VLOOKUP($A589,'Dados StatusInvest'!$A:$AZ,COLUMN(AB589)-$A$5,0)),0)</f>
        <v>0.73</v>
      </c>
      <c r="AC589" s="58">
        <f>IFERROR((VLOOKUP($A589,'Dados StatusInvest'!$A:$AZ,COLUMN(AC589)-$A$5,0)),0)</f>
        <v>12.24</v>
      </c>
      <c r="AD589" s="57">
        <f>IFERROR((VLOOKUP($A589,'Dados StatusInvest'!$A:$AZ,COLUMN(AD589)-$A$5,0)),0)</f>
        <v>35.28</v>
      </c>
      <c r="AE589" s="56">
        <f>IFERROR((VLOOKUP($A589,'Dados StatusInvest'!$A:$AZ,COLUMN(AE589)-$A$5,0)),0)</f>
        <v>16216568</v>
      </c>
      <c r="AF589" s="56">
        <f>IFERROR((VLOOKUP($A589,'Dados StatusInvest'!$A:$AZ,COLUMN(AF589)-$A$5,0)),0)</f>
        <v>21.83</v>
      </c>
      <c r="AG589" s="56">
        <f>IFERROR((VLOOKUP($A589,'Dados StatusInvest'!$A:$AZ,COLUMN(AG589)-$A$5,0)),0)</f>
        <v>6.95</v>
      </c>
      <c r="AH589" s="56">
        <f>IFERROR((VLOOKUP($A589,'Dados StatusInvest'!$A:$AZ,COLUMN(AH589)-$A$5,0)),0)</f>
        <v>0.12</v>
      </c>
      <c r="AI589" s="57">
        <f>IFERROR((VLOOKUP($A589,'Dados StatusInvest'!$A:$AZ,COLUMN(AI589)-$A$5,0)),0)</f>
        <v>7677583658</v>
      </c>
      <c r="AJ589" s="59" t="str">
        <f>IFERROR((VLOOKUP($A589,'Dados StatusInvest'!$A:$AZ,COLUMN(AJ589)-$A$5,0)),0)</f>
        <v/>
      </c>
      <c r="AK589" s="67">
        <f>IFERROR(__xludf.DUMMYFUNCTION("IFERROR(GOOGLEFINANCE($A589,""high""),"""")"),69.96)</f>
        <v>69.96</v>
      </c>
      <c r="AL589" s="67">
        <f>IFERROR(__xludf.DUMMYFUNCTION("IFERROR(GOOGLEFINANCE($A589,""low""),"""")"),68.04)</f>
        <v>68.04</v>
      </c>
      <c r="AM589" s="70">
        <f t="shared" si="2"/>
        <v>0.02821869489</v>
      </c>
      <c r="AN589" s="71">
        <f>IFERROR(__xludf.DUMMYFUNCTION("IFERROR((GOOGLEFINANCE($A589,""volume"")),0)"),7400.0)</f>
        <v>7400</v>
      </c>
      <c r="AO589" s="67">
        <f>IFERROR(__xludf.DUMMYFUNCTION("IFERROR((GOOGLEFINANCE($A589,""closeyest"")),"""")"),69.91)</f>
        <v>69.91</v>
      </c>
      <c r="AP589" s="67">
        <f>IFERROR(__xludf.DUMMYFUNCTION("IFERROR((GOOGLEFINANCE($A589,""shares"")),"""")"),7.1775333E7)</f>
        <v>71775333</v>
      </c>
      <c r="AQ589" s="60"/>
    </row>
    <row r="590">
      <c r="A590" s="45" t="str">
        <f>'Dados StatusInvest'!A585:A1204</f>
        <v>USIM3</v>
      </c>
      <c r="B590" s="63" t="str">
        <f>IFERROR(__xludf.DUMMYFUNCTION("IFERROR((GOOGLEFINANCE(A590,""name"")),"""")"),"Usinas Siderurgicas de Mins Grs SA USMNS")</f>
        <v>Usinas Siderurgicas de Mins Grs SA USMNS</v>
      </c>
      <c r="C590" s="63" t="str">
        <f>IFERROR((VLOOKUP(LEFT($A590,4),Setor!$A:$E,3,0)),"")</f>
        <v>Materiais Básicos</v>
      </c>
      <c r="D590" s="63" t="str">
        <f>IFERROR((VLOOKUP(LEFT($A590,4),Setor!$A:$E,4,0)),"")</f>
        <v>Siderurgia e Metalurgia</v>
      </c>
      <c r="E590" s="63" t="str">
        <f>IFERROR((VLOOKUP(LEFT($A590,4),Setor!$A:$E,5,0)),"")</f>
        <v>Siderurgia</v>
      </c>
      <c r="F590" s="64">
        <f>IFERROR(__xludf.DUMMYFUNCTION("IFERROR((GOOGLEFINANCE(A590)),"""")"),6.2)</f>
        <v>6.2</v>
      </c>
      <c r="G590" s="65" t="str">
        <f>IFERROR(__xludf.DUMMYFUNCTION("IFERROR((sparkline(GOOGLEFINANCE($A590,""price"",TODAY()-30,TODAY(),""DAILY""),{""charttype"",""line"";""linewidth"",1;""color"",""#5f88cc""})),"""")"),"")</f>
        <v/>
      </c>
      <c r="H590" s="66">
        <f>IFERROR(__xludf.DUMMYFUNCTION("IFERROR((((GOOGLEFINANCE(A590))-(INDEX(GoogleFinance(A590,""PRICE"",$AQ$1),2,2)))/(INDEX(GoogleFinance(A590,""PRICE"",$AQ$1),2,2))),"""")"),-0.004815409309791372)</f>
        <v>-0.00481540931</v>
      </c>
      <c r="I590" s="47">
        <f>IFERROR(__xludf.DUMMYFUNCTION("IFERROR((GOOGLEFINANCE($A590,""high52"")),"""")"),7.1)</f>
        <v>7.1</v>
      </c>
      <c r="J590" s="68" t="str">
        <f>IFERROR(__xludf.DUMMYFUNCTION("IFERROR((sparkline(GOOGLEFINANCE($A590,""price"",TODAY()-365,TODAY(),""DAILY""),{""charttype"",""line"";""linewidth"",1;""color"",""#5f88cc""})),"""")"),"")</f>
        <v/>
      </c>
      <c r="K590" s="66">
        <f>IFERROR(__xludf.DUMMYFUNCTION("IFERROR((((GOOGLEFINANCE(A590))-(INDEX(GoogleFinance(A590,""PRICE"",$AP$1),2,2)))/(INDEX(GoogleFinance(A590,""PRICE"",$AP$1),2,2))),"""")"),0.02819237147595355)</f>
        <v>0.02819237148</v>
      </c>
      <c r="L590" s="69">
        <f t="shared" si="1"/>
        <v>-0.1267605634</v>
      </c>
      <c r="M590" s="52">
        <f>IFERROR((VLOOKUP($A590,'Dados StatusInvest'!$A:$AZ,COLUMN(M590)-$A$5,0)*VLOOKUP($A590,'Dados StatusInvest'!$A:$AZ,2,0)/$F590/100),0)</f>
        <v>-0.04803741935</v>
      </c>
      <c r="N590" s="53">
        <f>IFERROR((VLOOKUP($A590,'Dados StatusInvest'!$A:$AZ,COLUMN(N590)-$A$5,0)/VLOOKUP($A590,'Dados StatusInvest'!$A:$AZ,2,0)*$F590),"")</f>
        <v>-12.30174326</v>
      </c>
      <c r="O590" s="53">
        <f>IFERROR((VLOOKUP($A590,'Dados StatusInvest'!$A:$AZ,COLUMN(O590)-$A$5,0)/VLOOKUP($A590,'Dados StatusInvest'!$A:$AZ,2,0)*$F590),0)</f>
        <v>-6.2</v>
      </c>
      <c r="P590" s="54">
        <f>IFERROR((VLOOKUP($A590,'Dados StatusInvest'!$A:$AZ,COLUMN(P590)-$A$5,0)/VLOOKUP($A590,'Dados StatusInvest'!$A:$AZ,2,0)*$F590),0)</f>
        <v>-6.327733756</v>
      </c>
      <c r="Q590" s="55">
        <f>IFERROR((VLOOKUP($A590,'Dados StatusInvest'!$A:$AZ,COLUMN(Q590)-$A$5,0)/100),0)</f>
        <v>-0.0017</v>
      </c>
      <c r="R590" s="56">
        <f>VLOOKUP($A590,'Dados StatusInvest'!$A:$AZ,COLUMN(R590)-$A$5,0)</f>
        <v>0.01</v>
      </c>
      <c r="S590" s="56">
        <f>IFERROR((VLOOKUP($A590,'Dados StatusInvest'!$A:$AZ,COLUMN(S590)-$A$5,0)),0)</f>
        <v>0.3</v>
      </c>
      <c r="T590" s="53">
        <f>IFERROR((VLOOKUP($A590,'Dados StatusInvest'!$A:$AZ,COLUMN(T590)-$A$5,0)/VLOOKUP($A590,'Dados StatusInvest'!$A:$AZ,2,0)*$F590),0)</f>
        <v>0.6190174326</v>
      </c>
      <c r="U590" s="53">
        <f>IFERROR((VLOOKUP($A590,'Dados StatusInvest'!$A:$AZ,COLUMN(U590)-$A$5,0)-VLOOKUP($A590,'Dados StatusInvest'!$A:$AZ,COLUMN(U590)-$A$5-1,0)+T590),0)</f>
        <v>-0.4309825674</v>
      </c>
      <c r="V590" s="56">
        <f>IFERROR((VLOOKUP($A590,'Dados StatusInvest'!$A:$AZ,COLUMN(V590)-$A$5,0)),0)</f>
        <v>4.21</v>
      </c>
      <c r="W590" s="56">
        <f>IFERROR((VLOOKUP($A590,'Dados StatusInvest'!$A:$AZ,COLUMN(W590)-$A$5,0)),0)</f>
        <v>-16.03</v>
      </c>
      <c r="X590" s="53">
        <f>IFERROR((VLOOKUP($A590,'Dados StatusInvest'!$A:$AZ,COLUMN(X590)-$A$5,0)/VLOOKUP($A590,'Dados StatusInvest'!$A:$AZ,2,0)*$F590),0)</f>
        <v>-9.255784469</v>
      </c>
      <c r="Y590" s="54">
        <f>IFERROR((VLOOKUP($A590,'Dados StatusInvest'!$A:$AZ,COLUMN(Y590)-$A$5,0)/VLOOKUP($A590,'Dados StatusInvest'!$A:$AZ,2,0)*$F590),0)</f>
        <v>-13.67733756</v>
      </c>
      <c r="Z590" s="56">
        <f>IFERROR((VLOOKUP($A590,'Dados StatusInvest'!$A:$AZ,COLUMN(Z590)-$A$5,0)),0)</f>
        <v>0.59</v>
      </c>
      <c r="AA590" s="57">
        <f>IFERROR((VLOOKUP($A590,'Dados StatusInvest'!$A:$AZ,COLUMN(AA590)-$A$5,0)),0)</f>
        <v>0.33</v>
      </c>
      <c r="AB590" s="57">
        <f>IFERROR((VLOOKUP($A590,'Dados StatusInvest'!$A:$AZ,COLUMN(AB590)-$A$5,0)),0)</f>
        <v>0.75</v>
      </c>
      <c r="AC590" s="58">
        <f>IFERROR((VLOOKUP($A590,'Dados StatusInvest'!$A:$AZ,COLUMN(AC590)-$A$5,0)),0)</f>
        <v>11.59</v>
      </c>
      <c r="AD590" s="57">
        <f>IFERROR((VLOOKUP($A590,'Dados StatusInvest'!$A:$AZ,COLUMN(AD590)-$A$5,0)),0)</f>
        <v>0</v>
      </c>
      <c r="AE590" s="56">
        <f>IFERROR((VLOOKUP($A590,'Dados StatusInvest'!$A:$AZ,COLUMN(AE590)-$A$5,0)),0)</f>
        <v>3423355</v>
      </c>
      <c r="AF590" s="56">
        <f>IFERROR((VLOOKUP($A590,'Dados StatusInvest'!$A:$AZ,COLUMN(AF590)-$A$5,0)),0)</f>
        <v>16.56</v>
      </c>
      <c r="AG590" s="56">
        <f>IFERROR((VLOOKUP($A590,'Dados StatusInvest'!$A:$AZ,COLUMN(AG590)-$A$5,0)),0)</f>
        <v>-2.66</v>
      </c>
      <c r="AH590" s="56">
        <f>IFERROR((VLOOKUP($A590,'Dados StatusInvest'!$A:$AZ,COLUMN(AH590)-$A$5,0)),0)</f>
        <v>0</v>
      </c>
      <c r="AI590" s="57">
        <f>IFERROR((VLOOKUP($A590,'Dados StatusInvest'!$A:$AZ,COLUMN(AI590)-$A$5,0)),0)</f>
        <v>7857625513</v>
      </c>
      <c r="AJ590" s="59" t="str">
        <f>IFERROR((VLOOKUP($A590,'Dados StatusInvest'!$A:$AZ,COLUMN(AJ590)-$A$5,0)),0)</f>
        <v/>
      </c>
      <c r="AK590" s="67">
        <f>IFERROR(__xludf.DUMMYFUNCTION("IFERROR(GOOGLEFINANCE($A590,""high""),"""")"),6.3)</f>
        <v>6.3</v>
      </c>
      <c r="AL590" s="67">
        <f>IFERROR(__xludf.DUMMYFUNCTION("IFERROR(GOOGLEFINANCE($A590,""low""),"""")"),6.2)</f>
        <v>6.2</v>
      </c>
      <c r="AM590" s="70">
        <f t="shared" si="2"/>
        <v>0.01612903226</v>
      </c>
      <c r="AN590" s="71">
        <f>IFERROR(__xludf.DUMMYFUNCTION("IFERROR((GOOGLEFINANCE($A590,""volume"")),0)"),20800.0)</f>
        <v>20800</v>
      </c>
      <c r="AO590" s="67">
        <f>IFERROR(__xludf.DUMMYFUNCTION("IFERROR((GOOGLEFINANCE($A590,""closeyest"")),"""")"),6.31)</f>
        <v>6.31</v>
      </c>
      <c r="AP590" s="67">
        <f>IFERROR(__xludf.DUMMYFUNCTION("IFERROR((GOOGLEFINANCE($A590,""shares"")),"""")"),7.05260684E8)</f>
        <v>705260684</v>
      </c>
      <c r="AQ590" s="60"/>
    </row>
    <row r="591">
      <c r="A591" s="45" t="str">
        <f>'Dados StatusInvest'!A586:A1205</f>
        <v>USIM5</v>
      </c>
      <c r="B591" s="63" t="str">
        <f>IFERROR(__xludf.DUMMYFUNCTION("IFERROR((GOOGLEFINANCE(A591,""name"")),"""")"),"Usinas Siderurgicas de Mins Grs SA USMNS Preference Shares Class A")</f>
        <v>Usinas Siderurgicas de Mins Grs SA USMNS Preference Shares Class A</v>
      </c>
      <c r="C591" s="63" t="str">
        <f>IFERROR((VLOOKUP(LEFT($A591,4),Setor!$A:$E,3,0)),"")</f>
        <v>Materiais Básicos</v>
      </c>
      <c r="D591" s="63" t="str">
        <f>IFERROR((VLOOKUP(LEFT($A591,4),Setor!$A:$E,4,0)),"")</f>
        <v>Siderurgia e Metalurgia</v>
      </c>
      <c r="E591" s="63" t="str">
        <f>IFERROR((VLOOKUP(LEFT($A591,4),Setor!$A:$E,5,0)),"")</f>
        <v>Siderurgia</v>
      </c>
      <c r="F591" s="64">
        <f>IFERROR(__xludf.DUMMYFUNCTION("IFERROR((GOOGLEFINANCE(A591)),"""")"),6.16)</f>
        <v>6.16</v>
      </c>
      <c r="G591" s="65" t="str">
        <f>IFERROR(__xludf.DUMMYFUNCTION("IFERROR((sparkline(GOOGLEFINANCE($A591,""price"",TODAY()-30,TODAY(),""DAILY""),{""charttype"",""line"";""linewidth"",1;""color"",""#5f88cc""})),"""")"),"")</f>
        <v/>
      </c>
      <c r="H591" s="66">
        <f>IFERROR(__xludf.DUMMYFUNCTION("IFERROR((((GOOGLEFINANCE(A591))-(INDEX(GoogleFinance(A591,""PRICE"",$AQ$1),2,2)))/(INDEX(GoogleFinance(A591,""PRICE"",$AQ$1),2,2))),"""")"),-0.017543859649122716)</f>
        <v>-0.01754385965</v>
      </c>
      <c r="I591" s="47">
        <f>IFERROR(__xludf.DUMMYFUNCTION("IFERROR((GOOGLEFINANCE($A591,""high52"")),"""")"),7.15)</f>
        <v>7.15</v>
      </c>
      <c r="J591" s="68" t="str">
        <f>IFERROR(__xludf.DUMMYFUNCTION("IFERROR((sparkline(GOOGLEFINANCE($A591,""price"",TODAY()-365,TODAY(),""DAILY""),{""charttype"",""line"";""linewidth"",1;""color"",""#5f88cc""})),"""")"),"")</f>
        <v/>
      </c>
      <c r="K591" s="66">
        <f>IFERROR(__xludf.DUMMYFUNCTION("IFERROR((((GOOGLEFINANCE(A591))-(INDEX(GoogleFinance(A591,""PRICE"",$AP$1),2,2)))/(INDEX(GoogleFinance(A591,""PRICE"",$AP$1),2,2))),"""")"),0.0048939641109298935)</f>
        <v>0.004893964111</v>
      </c>
      <c r="L591" s="69">
        <f t="shared" si="1"/>
        <v>-0.1384615385</v>
      </c>
      <c r="M591" s="52">
        <f>IFERROR((VLOOKUP($A591,'Dados StatusInvest'!$A:$AZ,COLUMN(M591)-$A$5,0)*VLOOKUP($A591,'Dados StatusInvest'!$A:$AZ,2,0)/$F591/100),0)</f>
        <v>-0.04765974026</v>
      </c>
      <c r="N591" s="53">
        <f>IFERROR((VLOOKUP($A591,'Dados StatusInvest'!$A:$AZ,COLUMN(N591)-$A$5,0)/VLOOKUP($A591,'Dados StatusInvest'!$A:$AZ,2,0)*$F591),"")</f>
        <v>-12.3992283</v>
      </c>
      <c r="O591" s="53">
        <f>IFERROR((VLOOKUP($A591,'Dados StatusInvest'!$A:$AZ,COLUMN(O591)-$A$5,0)/VLOOKUP($A591,'Dados StatusInvest'!$A:$AZ,2,0)*$F591),0)</f>
        <v>-6.16</v>
      </c>
      <c r="P591" s="54">
        <f>IFERROR((VLOOKUP($A591,'Dados StatusInvest'!$A:$AZ,COLUMN(P591)-$A$5,0)/VLOOKUP($A591,'Dados StatusInvest'!$A:$AZ,2,0)*$F591),0)</f>
        <v>-6.377877814</v>
      </c>
      <c r="Q591" s="55">
        <f>IFERROR((VLOOKUP($A591,'Dados StatusInvest'!$A:$AZ,COLUMN(Q591)-$A$5,0)/100),0)</f>
        <v>-0.0017</v>
      </c>
      <c r="R591" s="56">
        <f>VLOOKUP($A591,'Dados StatusInvest'!$A:$AZ,COLUMN(R591)-$A$5,0)</f>
        <v>0.01</v>
      </c>
      <c r="S591" s="56">
        <f>IFERROR((VLOOKUP($A591,'Dados StatusInvest'!$A:$AZ,COLUMN(S591)-$A$5,0)),0)</f>
        <v>0.29</v>
      </c>
      <c r="T591" s="53">
        <f>IFERROR((VLOOKUP($A591,'Dados StatusInvest'!$A:$AZ,COLUMN(T591)-$A$5,0)/VLOOKUP($A591,'Dados StatusInvest'!$A:$AZ,2,0)*$F591),0)</f>
        <v>0.6239228296</v>
      </c>
      <c r="U591" s="53">
        <f>IFERROR((VLOOKUP($A591,'Dados StatusInvest'!$A:$AZ,COLUMN(U591)-$A$5,0)-VLOOKUP($A591,'Dados StatusInvest'!$A:$AZ,COLUMN(U591)-$A$5-1,0)+T591),0)</f>
        <v>-0.4160771704</v>
      </c>
      <c r="V591" s="56">
        <f>IFERROR((VLOOKUP($A591,'Dados StatusInvest'!$A:$AZ,COLUMN(V591)-$A$5,0)),0)</f>
        <v>4.21</v>
      </c>
      <c r="W591" s="56">
        <f>IFERROR((VLOOKUP($A591,'Dados StatusInvest'!$A:$AZ,COLUMN(W591)-$A$5,0)),0)</f>
        <v>-16.03</v>
      </c>
      <c r="X591" s="53">
        <f>IFERROR((VLOOKUP($A591,'Dados StatusInvest'!$A:$AZ,COLUMN(X591)-$A$5,0)/VLOOKUP($A591,'Dados StatusInvest'!$A:$AZ,2,0)*$F591),0)</f>
        <v>-9.329131833</v>
      </c>
      <c r="Y591" s="54">
        <f>IFERROR((VLOOKUP($A591,'Dados StatusInvest'!$A:$AZ,COLUMN(Y591)-$A$5,0)/VLOOKUP($A591,'Dados StatusInvest'!$A:$AZ,2,0)*$F591),0)</f>
        <v>-13.78572347</v>
      </c>
      <c r="Z591" s="56">
        <f>IFERROR((VLOOKUP($A591,'Dados StatusInvest'!$A:$AZ,COLUMN(Z591)-$A$5,0)),0)</f>
        <v>0.59</v>
      </c>
      <c r="AA591" s="57">
        <f>IFERROR((VLOOKUP($A591,'Dados StatusInvest'!$A:$AZ,COLUMN(AA591)-$A$5,0)),0)</f>
        <v>0.33</v>
      </c>
      <c r="AB591" s="57">
        <f>IFERROR((VLOOKUP($A591,'Dados StatusInvest'!$A:$AZ,COLUMN(AB591)-$A$5,0)),0)</f>
        <v>0.75</v>
      </c>
      <c r="AC591" s="58">
        <f>IFERROR((VLOOKUP($A591,'Dados StatusInvest'!$A:$AZ,COLUMN(AC591)-$A$5,0)),0)</f>
        <v>11.59</v>
      </c>
      <c r="AD591" s="57">
        <f>IFERROR((VLOOKUP($A591,'Dados StatusInvest'!$A:$AZ,COLUMN(AD591)-$A$5,0)),0)</f>
        <v>0</v>
      </c>
      <c r="AE591" s="56">
        <f>IFERROR((VLOOKUP($A591,'Dados StatusInvest'!$A:$AZ,COLUMN(AE591)-$A$5,0)),0)</f>
        <v>107000000</v>
      </c>
      <c r="AF591" s="56">
        <f>IFERROR((VLOOKUP($A591,'Dados StatusInvest'!$A:$AZ,COLUMN(AF591)-$A$5,0)),0)</f>
        <v>16.56</v>
      </c>
      <c r="AG591" s="56">
        <f>IFERROR((VLOOKUP($A591,'Dados StatusInvest'!$A:$AZ,COLUMN(AG591)-$A$5,0)),0)</f>
        <v>-2.66</v>
      </c>
      <c r="AH591" s="56">
        <f>IFERROR((VLOOKUP($A591,'Dados StatusInvest'!$A:$AZ,COLUMN(AH591)-$A$5,0)),0)</f>
        <v>0</v>
      </c>
      <c r="AI591" s="57">
        <f>IFERROR((VLOOKUP($A591,'Dados StatusInvest'!$A:$AZ,COLUMN(AI591)-$A$5,0)),0)</f>
        <v>7857625513</v>
      </c>
      <c r="AJ591" s="59" t="str">
        <f>IFERROR((VLOOKUP($A591,'Dados StatusInvest'!$A:$AZ,COLUMN(AJ591)-$A$5,0)),0)</f>
        <v/>
      </c>
      <c r="AK591" s="67">
        <f>IFERROR(__xludf.DUMMYFUNCTION("IFERROR(GOOGLEFINANCE($A591,""high""),"""")"),6.19)</f>
        <v>6.19</v>
      </c>
      <c r="AL591" s="67">
        <f>IFERROR(__xludf.DUMMYFUNCTION("IFERROR(GOOGLEFINANCE($A591,""low""),"""")"),6.15)</f>
        <v>6.15</v>
      </c>
      <c r="AM591" s="70">
        <f t="shared" si="2"/>
        <v>0.006504065041</v>
      </c>
      <c r="AN591" s="71">
        <f>IFERROR(__xludf.DUMMYFUNCTION("IFERROR((GOOGLEFINANCE($A591,""volume"")),0)"),554800.0)</f>
        <v>554800</v>
      </c>
      <c r="AO591" s="67">
        <f>IFERROR(__xludf.DUMMYFUNCTION("IFERROR((GOOGLEFINANCE($A591,""closeyest"")),"""")"),6.22)</f>
        <v>6.22</v>
      </c>
      <c r="AP591" s="67">
        <f>IFERROR(__xludf.DUMMYFUNCTION("IFERROR((GOOGLEFINANCE($A591,""shares"")),"""")"),5.47752163E8)</f>
        <v>547752163</v>
      </c>
      <c r="AQ591" s="60"/>
    </row>
    <row r="592">
      <c r="A592" s="45" t="str">
        <f>'Dados StatusInvest'!A587:A1206</f>
        <v>USIM6</v>
      </c>
      <c r="B592" s="63" t="str">
        <f>IFERROR(__xludf.DUMMYFUNCTION("IFERROR((GOOGLEFINANCE(A592,""name"")),"""")"),"Usinas Siderurgicas de Mins Grs SA USMNS Preference Shares Class B")</f>
        <v>Usinas Siderurgicas de Mins Grs SA USMNS Preference Shares Class B</v>
      </c>
      <c r="C592" s="63" t="str">
        <f>IFERROR((VLOOKUP(LEFT($A592,4),Setor!$A:$E,3,0)),"")</f>
        <v>Materiais Básicos</v>
      </c>
      <c r="D592" s="63" t="str">
        <f>IFERROR((VLOOKUP(LEFT($A592,4),Setor!$A:$E,4,0)),"")</f>
        <v>Siderurgia e Metalurgia</v>
      </c>
      <c r="E592" s="63" t="str">
        <f>IFERROR((VLOOKUP(LEFT($A592,4),Setor!$A:$E,5,0)),"")</f>
        <v>Siderurgia</v>
      </c>
      <c r="F592" s="64">
        <f>IFERROR(__xludf.DUMMYFUNCTION("IFERROR((GOOGLEFINANCE(A592)),"""")"),8.0)</f>
        <v>8</v>
      </c>
      <c r="G592" s="65" t="str">
        <f>IFERROR(__xludf.DUMMYFUNCTION("IFERROR((sparkline(GOOGLEFINANCE($A592,""price"",TODAY()-30,TODAY(),""DAILY""),{""charttype"",""line"";""linewidth"",1;""color"",""#5f88cc""})),"""")"),"")</f>
        <v/>
      </c>
      <c r="H592" s="66">
        <f>IFERROR(__xludf.DUMMYFUNCTION("IFERROR((((GOOGLEFINANCE(A592))-(INDEX(GoogleFinance(A592,""PRICE"",$AQ$1),2,2)))/(INDEX(GoogleFinance(A592,""PRICE"",$AQ$1),2,2))),"""")"),0.10650069156293217)</f>
        <v>0.1065006916</v>
      </c>
      <c r="I592" s="47">
        <f>IFERROR(__xludf.DUMMYFUNCTION("IFERROR((GOOGLEFINANCE($A592,""high52"")),"""")"),11.0)</f>
        <v>11</v>
      </c>
      <c r="J592" s="68" t="str">
        <f>IFERROR(__xludf.DUMMYFUNCTION("IFERROR((sparkline(GOOGLEFINANCE($A592,""price"",TODAY()-365,TODAY(),""DAILY""),{""charttype"",""line"";""linewidth"",1;""color"",""#5f88cc""})),"""")"),"")</f>
        <v/>
      </c>
      <c r="K592" s="66" t="str">
        <f>IFERROR(__xludf.DUMMYFUNCTION("IFERROR((((GOOGLEFINANCE(A592))-(INDEX(GoogleFinance(A592,""PRICE"",$AP$1),2,2)))/(INDEX(GoogleFinance(A592,""PRICE"",$AP$1),2,2))),"""")"),"")</f>
        <v/>
      </c>
      <c r="L592" s="69">
        <f t="shared" si="1"/>
        <v>-0.2727272727</v>
      </c>
      <c r="M592" s="52">
        <f>IFERROR((VLOOKUP($A592,'Dados StatusInvest'!$A:$AZ,COLUMN(M592)-$A$5,0)*VLOOKUP($A592,'Dados StatusInvest'!$A:$AZ,2,0)/$F592/100),0)</f>
        <v>-0.0472</v>
      </c>
      <c r="N592" s="53">
        <f>IFERROR((VLOOKUP($A592,'Dados StatusInvest'!$A:$AZ,COLUMN(N592)-$A$5,0)/VLOOKUP($A592,'Dados StatusInvest'!$A:$AZ,2,0)*$F592),"")</f>
        <v>-12.52</v>
      </c>
      <c r="O592" s="53">
        <f>IFERROR((VLOOKUP($A592,'Dados StatusInvest'!$A:$AZ,COLUMN(O592)-$A$5,0)/VLOOKUP($A592,'Dados StatusInvest'!$A:$AZ,2,0)*$F592),0)</f>
        <v>-8</v>
      </c>
      <c r="P592" s="54">
        <f>IFERROR((VLOOKUP($A592,'Dados StatusInvest'!$A:$AZ,COLUMN(P592)-$A$5,0)/VLOOKUP($A592,'Dados StatusInvest'!$A:$AZ,2,0)*$F592),0)</f>
        <v>-6.44</v>
      </c>
      <c r="Q592" s="55">
        <f>IFERROR((VLOOKUP($A592,'Dados StatusInvest'!$A:$AZ,COLUMN(Q592)-$A$5,0)/100),0)</f>
        <v>-0.0017</v>
      </c>
      <c r="R592" s="56">
        <f>VLOOKUP($A592,'Dados StatusInvest'!$A:$AZ,COLUMN(R592)-$A$5,0)</f>
        <v>0.01</v>
      </c>
      <c r="S592" s="56">
        <f>IFERROR((VLOOKUP($A592,'Dados StatusInvest'!$A:$AZ,COLUMN(S592)-$A$5,0)),0)</f>
        <v>0.38</v>
      </c>
      <c r="T592" s="53">
        <f>IFERROR((VLOOKUP($A592,'Dados StatusInvest'!$A:$AZ,COLUMN(T592)-$A$5,0)/VLOOKUP($A592,'Dados StatusInvest'!$A:$AZ,2,0)*$F592),0)</f>
        <v>0.8</v>
      </c>
      <c r="U592" s="53">
        <f>IFERROR((VLOOKUP($A592,'Dados StatusInvest'!$A:$AZ,COLUMN(U592)-$A$5,0)-VLOOKUP($A592,'Dados StatusInvest'!$A:$AZ,COLUMN(U592)-$A$5-1,0)+T592),0)</f>
        <v>-0.53</v>
      </c>
      <c r="V592" s="56">
        <f>IFERROR((VLOOKUP($A592,'Dados StatusInvest'!$A:$AZ,COLUMN(V592)-$A$5,0)),0)</f>
        <v>4.21</v>
      </c>
      <c r="W592" s="56">
        <f>IFERROR((VLOOKUP($A592,'Dados StatusInvest'!$A:$AZ,COLUMN(W592)-$A$5,0)),0)</f>
        <v>-16.03</v>
      </c>
      <c r="X592" s="53">
        <f>IFERROR((VLOOKUP($A592,'Dados StatusInvest'!$A:$AZ,COLUMN(X592)-$A$5,0)/VLOOKUP($A592,'Dados StatusInvest'!$A:$AZ,2,0)*$F592),0)</f>
        <v>-9.42</v>
      </c>
      <c r="Y592" s="54">
        <f>IFERROR((VLOOKUP($A592,'Dados StatusInvest'!$A:$AZ,COLUMN(Y592)-$A$5,0)/VLOOKUP($A592,'Dados StatusInvest'!$A:$AZ,2,0)*$F592),0)</f>
        <v>-13.92</v>
      </c>
      <c r="Z592" s="56">
        <f>IFERROR((VLOOKUP($A592,'Dados StatusInvest'!$A:$AZ,COLUMN(Z592)-$A$5,0)),0)</f>
        <v>0.59</v>
      </c>
      <c r="AA592" s="57">
        <f>IFERROR((VLOOKUP($A592,'Dados StatusInvest'!$A:$AZ,COLUMN(AA592)-$A$5,0)),0)</f>
        <v>0.33</v>
      </c>
      <c r="AB592" s="57">
        <f>IFERROR((VLOOKUP($A592,'Dados StatusInvest'!$A:$AZ,COLUMN(AB592)-$A$5,0)),0)</f>
        <v>0.75</v>
      </c>
      <c r="AC592" s="58">
        <f>IFERROR((VLOOKUP($A592,'Dados StatusInvest'!$A:$AZ,COLUMN(AC592)-$A$5,0)),0)</f>
        <v>11.59</v>
      </c>
      <c r="AD592" s="57">
        <f>IFERROR((VLOOKUP($A592,'Dados StatusInvest'!$A:$AZ,COLUMN(AD592)-$A$5,0)),0)</f>
        <v>0</v>
      </c>
      <c r="AE592" s="56">
        <f>IFERROR((VLOOKUP($A592,'Dados StatusInvest'!$A:$AZ,COLUMN(AE592)-$A$5,0)),0)</f>
        <v>800</v>
      </c>
      <c r="AF592" s="56">
        <f>IFERROR((VLOOKUP($A592,'Dados StatusInvest'!$A:$AZ,COLUMN(AF592)-$A$5,0)),0)</f>
        <v>16.56</v>
      </c>
      <c r="AG592" s="56">
        <f>IFERROR((VLOOKUP($A592,'Dados StatusInvest'!$A:$AZ,COLUMN(AG592)-$A$5,0)),0)</f>
        <v>-2.66</v>
      </c>
      <c r="AH592" s="56">
        <f>IFERROR((VLOOKUP($A592,'Dados StatusInvest'!$A:$AZ,COLUMN(AH592)-$A$5,0)),0)</f>
        <v>0.01</v>
      </c>
      <c r="AI592" s="57">
        <f>IFERROR((VLOOKUP($A592,'Dados StatusInvest'!$A:$AZ,COLUMN(AI592)-$A$5,0)),0)</f>
        <v>7857625513</v>
      </c>
      <c r="AJ592" s="59" t="str">
        <f>IFERROR((VLOOKUP($A592,'Dados StatusInvest'!$A:$AZ,COLUMN(AJ592)-$A$5,0)),0)</f>
        <v/>
      </c>
      <c r="AK592" s="67" t="str">
        <f>IFERROR(__xludf.DUMMYFUNCTION("IFERROR(GOOGLEFINANCE($A592,""high""),"""")"),"")</f>
        <v/>
      </c>
      <c r="AL592" s="67" t="str">
        <f>IFERROR(__xludf.DUMMYFUNCTION("IFERROR(GOOGLEFINANCE($A592,""low""),"""")"),"")</f>
        <v/>
      </c>
      <c r="AM592" s="70">
        <f t="shared" si="2"/>
        <v>0</v>
      </c>
      <c r="AN592" s="71">
        <f>IFERROR(__xludf.DUMMYFUNCTION("IFERROR((GOOGLEFINANCE($A592,""volume"")),0)"),0.0)</f>
        <v>0</v>
      </c>
      <c r="AO592" s="67">
        <f>IFERROR(__xludf.DUMMYFUNCTION("IFERROR((GOOGLEFINANCE($A592,""closeyest"")),"""")"),8.0)</f>
        <v>8</v>
      </c>
      <c r="AP592" s="67">
        <f>IFERROR(__xludf.DUMMYFUNCTION("IFERROR((GOOGLEFINANCE($A592,""shares"")),"""")"),66261.0)</f>
        <v>66261</v>
      </c>
      <c r="AQ592" s="60"/>
    </row>
    <row r="593">
      <c r="A593" s="45" t="str">
        <f>'Dados StatusInvest'!A588:A1207</f>
        <v>VALE3</v>
      </c>
      <c r="B593" s="63" t="str">
        <f>IFERROR(__xludf.DUMMYFUNCTION("IFERROR((GOOGLEFINANCE(A593,""name"")),"""")"),"Vale Cedear")</f>
        <v>Vale Cedear</v>
      </c>
      <c r="C593" s="63" t="str">
        <f>IFERROR((VLOOKUP(LEFT($A593,4),Setor!$A:$E,3,0)),"")</f>
        <v>Materiais Básicos</v>
      </c>
      <c r="D593" s="63" t="str">
        <f>IFERROR((VLOOKUP(LEFT($A593,4),Setor!$A:$E,4,0)),"")</f>
        <v>Mineração</v>
      </c>
      <c r="E593" s="63" t="str">
        <f>IFERROR((VLOOKUP(LEFT($A593,4),Setor!$A:$E,5,0)),"")</f>
        <v>Minerais Metálicos</v>
      </c>
      <c r="F593" s="64">
        <f>IFERROR(__xludf.DUMMYFUNCTION("IFERROR((GOOGLEFINANCE(A593)),"""")"),23200.0)</f>
        <v>23200</v>
      </c>
      <c r="G593" s="65" t="str">
        <f>IFERROR(__xludf.DUMMYFUNCTION("IFERROR((sparkline(GOOGLEFINANCE($A593,""price"",TODAY()-30,TODAY(),""DAILY""),{""charttype"",""line"";""linewidth"",1;""color"",""#5f88cc""})),"""")"),"")</f>
        <v/>
      </c>
      <c r="H593" s="66">
        <f>IFERROR(__xludf.DUMMYFUNCTION("IFERROR((((GOOGLEFINANCE(A593))-(INDEX(GoogleFinance(A593,""PRICE"",$AQ$1),2,2)))/(INDEX(GoogleFinance(A593,""PRICE"",$AQ$1),2,2))),"""")"),-0.004719004719004719)</f>
        <v>-0.004719004719</v>
      </c>
      <c r="I593" s="47">
        <f>IFERROR(__xludf.DUMMYFUNCTION("IFERROR((GOOGLEFINANCE($A593,""high52"")),"""")"),26140.0)</f>
        <v>26140</v>
      </c>
      <c r="J593" s="68" t="str">
        <f>IFERROR(__xludf.DUMMYFUNCTION("IFERROR((sparkline(GOOGLEFINANCE($A593,""price"",TODAY()-365,TODAY(),""DAILY""),{""charttype"",""line"";""linewidth"",1;""color"",""#5f88cc""})),"""")"),"")</f>
        <v/>
      </c>
      <c r="K593" s="66">
        <f>IFERROR(__xludf.DUMMYFUNCTION("IFERROR((((GOOGLEFINANCE(A593))-(INDEX(GoogleFinance(A593,""PRICE"",$AP$1),2,2)))/(INDEX(GoogleFinance(A593,""PRICE"",$AP$1),2,2))),"""")"),0.8785425101214575)</f>
        <v>0.8785425101</v>
      </c>
      <c r="L593" s="69">
        <f t="shared" si="1"/>
        <v>-0.1124713083</v>
      </c>
      <c r="M593" s="52">
        <f>IFERROR((VLOOKUP($A593,'Dados StatusInvest'!$A:$AZ,COLUMN(M593)-$A$5,0)*VLOOKUP($A593,'Dados StatusInvest'!$A:$AZ,2,0)/$F593/100),0)</f>
        <v>0.0007223765948</v>
      </c>
      <c r="N593" s="53">
        <f>IFERROR((VLOOKUP($A593,'Dados StatusInvest'!$A:$AZ,COLUMN(N593)-$A$5,0)/VLOOKUP($A593,'Dados StatusInvest'!$A:$AZ,2,0)*$F593),"")</f>
        <v>3903.912475</v>
      </c>
      <c r="O593" s="53">
        <f>IFERROR((VLOOKUP($A593,'Dados StatusInvest'!$A:$AZ,COLUMN(O593)-$A$5,0)/VLOOKUP($A593,'Dados StatusInvest'!$A:$AZ,2,0)*$F593),0)</f>
        <v>2477.535973</v>
      </c>
      <c r="P593" s="54">
        <f>IFERROR((VLOOKUP($A593,'Dados StatusInvest'!$A:$AZ,COLUMN(P593)-$A$5,0)/VLOOKUP($A593,'Dados StatusInvest'!$A:$AZ,2,0)*$F593),0)</f>
        <v>2907.931978</v>
      </c>
      <c r="Q593" s="55">
        <f>IFERROR((VLOOKUP($A593,'Dados StatusInvest'!$A:$AZ,COLUMN(Q593)-$A$5,0)/100),0)</f>
        <v>0.0156</v>
      </c>
      <c r="R593" s="56">
        <f>VLOOKUP($A593,'Dados StatusInvest'!$A:$AZ,COLUMN(R593)-$A$5,0)</f>
        <v>0.3</v>
      </c>
      <c r="S593" s="56">
        <f>IFERROR((VLOOKUP($A593,'Dados StatusInvest'!$A:$AZ,COLUMN(S593)-$A$5,0)),0)</f>
        <v>1.79</v>
      </c>
      <c r="T593" s="53">
        <f>IFERROR((VLOOKUP($A593,'Dados StatusInvest'!$A:$AZ,COLUMN(T593)-$A$5,0)/VLOOKUP($A593,'Dados StatusInvest'!$A:$AZ,2,0)*$F593),0)</f>
        <v>6260.054703</v>
      </c>
      <c r="U593" s="53">
        <f>IFERROR((VLOOKUP($A593,'Dados StatusInvest'!$A:$AZ,COLUMN(U593)-$A$5,0)-VLOOKUP($A593,'Dados StatusInvest'!$A:$AZ,COLUMN(U593)-$A$5-1,0)+T593),0)</f>
        <v>6236.404703</v>
      </c>
      <c r="V593" s="56">
        <f>IFERROR((VLOOKUP($A593,'Dados StatusInvest'!$A:$AZ,COLUMN(V593)-$A$5,0)),0)</f>
        <v>1.24</v>
      </c>
      <c r="W593" s="56">
        <f>IFERROR((VLOOKUP($A593,'Dados StatusInvest'!$A:$AZ,COLUMN(W593)-$A$5,0)),0)</f>
        <v>13.84</v>
      </c>
      <c r="X593" s="53">
        <f>IFERROR((VLOOKUP($A593,'Dados StatusInvest'!$A:$AZ,COLUMN(X593)-$A$5,0)/VLOOKUP($A593,'Dados StatusInvest'!$A:$AZ,2,0)*$F593),0)</f>
        <v>1716.06612</v>
      </c>
      <c r="Y593" s="54">
        <f>IFERROR((VLOOKUP($A593,'Dados StatusInvest'!$A:$AZ,COLUMN(Y593)-$A$5,0)/VLOOKUP($A593,'Dados StatusInvest'!$A:$AZ,2,0)*$F593),0)</f>
        <v>3084.504697</v>
      </c>
      <c r="Z593" s="56">
        <f>IFERROR((VLOOKUP($A593,'Dados StatusInvest'!$A:$AZ,COLUMN(Z593)-$A$5,0)),0)</f>
        <v>0.45</v>
      </c>
      <c r="AA593" s="57">
        <f>IFERROR((VLOOKUP($A593,'Dados StatusInvest'!$A:$AZ,COLUMN(AA593)-$A$5,0)),0)</f>
        <v>0.54</v>
      </c>
      <c r="AB593" s="57">
        <f>IFERROR((VLOOKUP($A593,'Dados StatusInvest'!$A:$AZ,COLUMN(AB593)-$A$5,0)),0)</f>
        <v>0.44</v>
      </c>
      <c r="AC593" s="58">
        <f>IFERROR((VLOOKUP($A593,'Dados StatusInvest'!$A:$AZ,COLUMN(AC593)-$A$5,0)),0)</f>
        <v>7.33</v>
      </c>
      <c r="AD593" s="57">
        <f>IFERROR((VLOOKUP($A593,'Dados StatusInvest'!$A:$AZ,COLUMN(AD593)-$A$5,0)),0)</f>
        <v>0</v>
      </c>
      <c r="AE593" s="56">
        <f>IFERROR((VLOOKUP($A593,'Dados StatusInvest'!$A:$AZ,COLUMN(AE593)-$A$5,0)),0)</f>
        <v>3100000000</v>
      </c>
      <c r="AF593" s="56">
        <f>IFERROR((VLOOKUP($A593,'Dados StatusInvest'!$A:$AZ,COLUMN(AF593)-$A$5,0)),0)</f>
        <v>48.06</v>
      </c>
      <c r="AG593" s="56">
        <f>IFERROR((VLOOKUP($A593,'Dados StatusInvest'!$A:$AZ,COLUMN(AG593)-$A$5,0)),0)</f>
        <v>6.65</v>
      </c>
      <c r="AH593" s="56">
        <f>IFERROR((VLOOKUP($A593,'Dados StatusInvest'!$A:$AZ,COLUMN(AH593)-$A$5,0)),0)</f>
        <v>-0.34</v>
      </c>
      <c r="AI593" s="57">
        <f>IFERROR((VLOOKUP($A593,'Dados StatusInvest'!$A:$AZ,COLUMN(AI593)-$A$5,0)),0)</f>
        <v>381685000000</v>
      </c>
      <c r="AJ593" s="59" t="str">
        <f>IFERROR((VLOOKUP($A593,'Dados StatusInvest'!$A:$AZ,COLUMN(AJ593)-$A$5,0)),0)</f>
        <v/>
      </c>
      <c r="AK593" s="67" t="str">
        <f>IFERROR(__xludf.DUMMYFUNCTION("IFERROR(GOOGLEFINANCE($A593,""high""),"""")"),"")</f>
        <v/>
      </c>
      <c r="AL593" s="67" t="str">
        <f>IFERROR(__xludf.DUMMYFUNCTION("IFERROR(GOOGLEFINANCE($A593,""low""),"""")"),"")</f>
        <v/>
      </c>
      <c r="AM593" s="70">
        <f t="shared" si="2"/>
        <v>0</v>
      </c>
      <c r="AN593" s="71">
        <f>IFERROR(__xludf.DUMMYFUNCTION("IFERROR((GOOGLEFINANCE($A593,""volume"")),0)"),0.0)</f>
        <v>0</v>
      </c>
      <c r="AO593" s="67">
        <f>IFERROR(__xludf.DUMMYFUNCTION("IFERROR((GOOGLEFINANCE($A593,""closeyest"")),"""")"),23200.0)</f>
        <v>23200</v>
      </c>
      <c r="AP593" s="67" t="str">
        <f>IFERROR(__xludf.DUMMYFUNCTION("IFERROR((GOOGLEFINANCE($A593,""shares"")),"""")"),"")</f>
        <v/>
      </c>
      <c r="AQ593" s="60"/>
    </row>
    <row r="594">
      <c r="A594" s="45" t="str">
        <f>'Dados StatusInvest'!A589:A1208</f>
        <v>VAMO3</v>
      </c>
      <c r="B594" s="63" t="str">
        <f>IFERROR(__xludf.DUMMYFUNCTION("IFERROR((GOOGLEFINANCE(A594,""name"")),"""")"),"Vamos Locacao de Camhs Mqns e Eqpmnts SA")</f>
        <v>Vamos Locacao de Camhs Mqns e Eqpmnts SA</v>
      </c>
      <c r="C594" s="63" t="str">
        <f>IFERROR((VLOOKUP(LEFT($A594,4),Setor!$A:$E,3,0)),"")</f>
        <v/>
      </c>
      <c r="D594" s="63" t="str">
        <f>IFERROR((VLOOKUP(LEFT($A594,4),Setor!$A:$E,4,0)),"")</f>
        <v/>
      </c>
      <c r="E594" s="63" t="str">
        <f>IFERROR((VLOOKUP(LEFT($A594,4),Setor!$A:$E,5,0)),"")</f>
        <v/>
      </c>
      <c r="F594" s="64">
        <f>IFERROR(__xludf.DUMMYFUNCTION("IFERROR((GOOGLEFINANCE(A594)),"""")"),4.49)</f>
        <v>4.49</v>
      </c>
      <c r="G594" s="65" t="str">
        <f>IFERROR(__xludf.DUMMYFUNCTION("IFERROR((sparkline(GOOGLEFINANCE($A594,""price"",TODAY()-30,TODAY(),""DAILY""),{""charttype"",""line"";""linewidth"",1;""color"",""#5f88cc""})),"""")"),"")</f>
        <v/>
      </c>
      <c r="H594" s="66">
        <f>IFERROR(__xludf.DUMMYFUNCTION("IFERROR((((GOOGLEFINANCE(A594))-(INDEX(GoogleFinance(A594,""PRICE"",$AQ$1),2,2)))/(INDEX(GoogleFinance(A594,""PRICE"",$AQ$1),2,2))),"""")"),0.20375335120643437)</f>
        <v>0.2037533512</v>
      </c>
      <c r="I594" s="47">
        <f>IFERROR(__xludf.DUMMYFUNCTION("IFERROR((GOOGLEFINANCE($A594,""high52"")),"""")"),5.53)</f>
        <v>5.53</v>
      </c>
      <c r="J594" s="68" t="str">
        <f>IFERROR(__xludf.DUMMYFUNCTION("IFERROR((sparkline(GOOGLEFINANCE($A594,""price"",TODAY()-365,TODAY(),""DAILY""),{""charttype"",""line"";""linewidth"",1;""color"",""#5f88cc""})),"""")"),"")</f>
        <v/>
      </c>
      <c r="K594" s="66">
        <f>IFERROR(__xludf.DUMMYFUNCTION("IFERROR((((GOOGLEFINANCE(A594))-(INDEX(GoogleFinance(A594,""PRICE"",$AP$1),2,2)))/(INDEX(GoogleFinance(A594,""PRICE"",$AP$1),2,2))),"""")"),-0.05473684210526311)</f>
        <v>-0.05473684211</v>
      </c>
      <c r="L594" s="69">
        <f t="shared" si="1"/>
        <v>-0.1880650995</v>
      </c>
      <c r="M594" s="52">
        <f>IFERROR((VLOOKUP($A594,'Dados StatusInvest'!$A:$AZ,COLUMN(M594)-$A$5,0)*VLOOKUP($A594,'Dados StatusInvest'!$A:$AZ,2,0)/$F594/100),0)</f>
        <v>0.7672</v>
      </c>
      <c r="N594" s="53">
        <f>IFERROR((VLOOKUP($A594,'Dados StatusInvest'!$A:$AZ,COLUMN(N594)-$A$5,0)/VLOOKUP($A594,'Dados StatusInvest'!$A:$AZ,2,0)*$F594),"")</f>
        <v>3.93</v>
      </c>
      <c r="O594" s="53">
        <f>IFERROR((VLOOKUP($A594,'Dados StatusInvest'!$A:$AZ,COLUMN(O594)-$A$5,0)/VLOOKUP($A594,'Dados StatusInvest'!$A:$AZ,2,0)*$F594),0)</f>
        <v>1.87</v>
      </c>
      <c r="P594" s="54">
        <f>IFERROR((VLOOKUP($A594,'Dados StatusInvest'!$A:$AZ,COLUMN(P594)-$A$5,0)/VLOOKUP($A594,'Dados StatusInvest'!$A:$AZ,2,0)*$F594),0)</f>
        <v>6.45</v>
      </c>
      <c r="Q594" s="55">
        <f>IFERROR((VLOOKUP($A594,'Dados StatusInvest'!$A:$AZ,COLUMN(Q594)-$A$5,0)/100),0)</f>
        <v>0.0458</v>
      </c>
      <c r="R594" s="56">
        <f>VLOOKUP($A594,'Dados StatusInvest'!$A:$AZ,COLUMN(R594)-$A$5,0)</f>
        <v>4.53</v>
      </c>
      <c r="S594" s="56">
        <f>IFERROR((VLOOKUP($A594,'Dados StatusInvest'!$A:$AZ,COLUMN(S594)-$A$5,0)),0)</f>
        <v>1.43</v>
      </c>
      <c r="T594" s="53">
        <f>IFERROR((VLOOKUP($A594,'Dados StatusInvest'!$A:$AZ,COLUMN(T594)-$A$5,0)/VLOOKUP($A594,'Dados StatusInvest'!$A:$AZ,2,0)*$F594),0)</f>
        <v>1.52</v>
      </c>
      <c r="U594" s="53">
        <f>IFERROR((VLOOKUP($A594,'Dados StatusInvest'!$A:$AZ,COLUMN(U594)-$A$5,0)-VLOOKUP($A594,'Dados StatusInvest'!$A:$AZ,COLUMN(U594)-$A$5-1,0)+T594),0)</f>
        <v>-0.3</v>
      </c>
      <c r="V594" s="56">
        <f>IFERROR((VLOOKUP($A594,'Dados StatusInvest'!$A:$AZ,COLUMN(V594)-$A$5,0)),0)</f>
        <v>1.93</v>
      </c>
      <c r="W594" s="56">
        <f>IFERROR((VLOOKUP($A594,'Dados StatusInvest'!$A:$AZ,COLUMN(W594)-$A$5,0)),0)</f>
        <v>5.06</v>
      </c>
      <c r="X594" s="53">
        <f>IFERROR((VLOOKUP($A594,'Dados StatusInvest'!$A:$AZ,COLUMN(X594)-$A$5,0)/VLOOKUP($A594,'Dados StatusInvest'!$A:$AZ,2,0)*$F594),0)</f>
        <v>0.58</v>
      </c>
      <c r="Y594" s="54">
        <f>IFERROR((VLOOKUP($A594,'Dados StatusInvest'!$A:$AZ,COLUMN(Y594)-$A$5,0)/VLOOKUP($A594,'Dados StatusInvest'!$A:$AZ,2,0)*$F594),0)</f>
        <v>12.39</v>
      </c>
      <c r="Z594" s="56">
        <f>IFERROR((VLOOKUP($A594,'Dados StatusInvest'!$A:$AZ,COLUMN(Z594)-$A$5,0)),0)</f>
        <v>0.11</v>
      </c>
      <c r="AA594" s="57">
        <f>IFERROR((VLOOKUP($A594,'Dados StatusInvest'!$A:$AZ,COLUMN(AA594)-$A$5,0)),0)</f>
        <v>0.89</v>
      </c>
      <c r="AB594" s="57">
        <f>IFERROR((VLOOKUP($A594,'Dados StatusInvest'!$A:$AZ,COLUMN(AB594)-$A$5,0)),0)</f>
        <v>0.15</v>
      </c>
      <c r="AC594" s="58">
        <f>IFERROR((VLOOKUP($A594,'Dados StatusInvest'!$A:$AZ,COLUMN(AC594)-$A$5,0)),0)</f>
        <v>31.14</v>
      </c>
      <c r="AD594" s="57">
        <f>IFERROR((VLOOKUP($A594,'Dados StatusInvest'!$A:$AZ,COLUMN(AD594)-$A$5,0)),0)</f>
        <v>-1.26</v>
      </c>
      <c r="AE594" s="56">
        <f>IFERROR((VLOOKUP($A594,'Dados StatusInvest'!$A:$AZ,COLUMN(AE594)-$A$5,0)),0)</f>
        <v>81858244</v>
      </c>
      <c r="AF594" s="56">
        <f>IFERROR((VLOOKUP($A594,'Dados StatusInvest'!$A:$AZ,COLUMN(AF594)-$A$5,0)),0)</f>
        <v>2.43</v>
      </c>
      <c r="AG594" s="56">
        <f>IFERROR((VLOOKUP($A594,'Dados StatusInvest'!$A:$AZ,COLUMN(AG594)-$A$5,0)),0)</f>
        <v>0.12</v>
      </c>
      <c r="AH594" s="56">
        <f>IFERROR((VLOOKUP($A594,'Dados StatusInvest'!$A:$AZ,COLUMN(AH594)-$A$5,0)),0)</f>
        <v>-0.45</v>
      </c>
      <c r="AI594" s="57">
        <f>IFERROR((VLOOKUP($A594,'Dados StatusInvest'!$A:$AZ,COLUMN(AI594)-$A$5,0)),0)</f>
        <v>4853836091</v>
      </c>
      <c r="AJ594" s="59" t="str">
        <f>IFERROR((VLOOKUP($A594,'Dados StatusInvest'!$A:$AZ,COLUMN(AJ594)-$A$5,0)),0)</f>
        <v/>
      </c>
      <c r="AK594" s="67">
        <f>IFERROR(__xludf.DUMMYFUNCTION("IFERROR(GOOGLEFINANCE($A594,""high""),"""")"),4.51)</f>
        <v>4.51</v>
      </c>
      <c r="AL594" s="67">
        <f>IFERROR(__xludf.DUMMYFUNCTION("IFERROR(GOOGLEFINANCE($A594,""low""),"""")"),4.4)</f>
        <v>4.4</v>
      </c>
      <c r="AM594" s="70">
        <f t="shared" si="2"/>
        <v>0.025</v>
      </c>
      <c r="AN594" s="71">
        <f>IFERROR(__xludf.DUMMYFUNCTION("IFERROR((GOOGLEFINANCE($A594,""volume"")),0)"),677000.0)</f>
        <v>677000</v>
      </c>
      <c r="AO594" s="67">
        <f>IFERROR(__xludf.DUMMYFUNCTION("IFERROR((GOOGLEFINANCE($A594,""closeyest"")),"""")"),4.49)</f>
        <v>4.49</v>
      </c>
      <c r="AP594" s="67">
        <f>IFERROR(__xludf.DUMMYFUNCTION("IFERROR((GOOGLEFINANCE($A594,""shares"")),"""")"),1.081032537E9)</f>
        <v>1081032537</v>
      </c>
      <c r="AQ594" s="60"/>
    </row>
    <row r="595">
      <c r="A595" s="45" t="str">
        <f>'Dados StatusInvest'!A590:A1209</f>
        <v>VBBR3</v>
      </c>
      <c r="B595" s="63" t="str">
        <f>IFERROR(__xludf.DUMMYFUNCTION("IFERROR((GOOGLEFINANCE(A595,""name"")),"""")"),"Vibra Energia SA")</f>
        <v>Vibra Energia SA</v>
      </c>
      <c r="C595" s="63" t="str">
        <f>IFERROR((VLOOKUP(LEFT($A595,4),Setor!$A:$E,3,0)),"")</f>
        <v>Consumo Cíclico</v>
      </c>
      <c r="D595" s="63" t="str">
        <f>IFERROR((VLOOKUP(LEFT($A595,4),Setor!$A:$E,4,0)),"")</f>
        <v>Energia Elétrica</v>
      </c>
      <c r="E595" s="63" t="str">
        <f>IFERROR((VLOOKUP(LEFT($A595,4),Setor!$A:$E,5,0)),"")</f>
        <v>Energia Elétrica</v>
      </c>
      <c r="F595" s="64">
        <f>IFERROR(__xludf.DUMMYFUNCTION("IFERROR((GOOGLEFINANCE(A595)),"""")"),31.38)</f>
        <v>31.38</v>
      </c>
      <c r="G595" s="65" t="str">
        <f>IFERROR(__xludf.DUMMYFUNCTION("IFERROR((sparkline(GOOGLEFINANCE($A595,""price"",TODAY()-30,TODAY(),""DAILY""),{""charttype"",""line"";""linewidth"",1;""color"",""#5f88cc""})),"""")"),"")</f>
        <v/>
      </c>
      <c r="H595" s="66">
        <f>IFERROR(__xludf.DUMMYFUNCTION("IFERROR((((GOOGLEFINANCE(A595))-(INDEX(GoogleFinance(A595,""PRICE"",$AQ$1),2,2)))/(INDEX(GoogleFinance(A595,""PRICE"",$AQ$1),2,2))),"""")"),0.16437847866419295)</f>
        <v>0.1643784787</v>
      </c>
      <c r="I595" s="47">
        <f>IFERROR(__xludf.DUMMYFUNCTION("IFERROR((GOOGLEFINANCE($A595,""high52"")),"""")"),32.23)</f>
        <v>32.23</v>
      </c>
      <c r="J595" s="68" t="str">
        <f>IFERROR(__xludf.DUMMYFUNCTION("IFERROR((sparkline(GOOGLEFINANCE($A595,""price"",TODAY()-365,TODAY(),""DAILY""),{""charttype"",""line"";""linewidth"",1;""color"",""#5f88cc""})),"""")"),"")</f>
        <v/>
      </c>
      <c r="K595" s="66">
        <f>IFERROR(__xludf.DUMMYFUNCTION("IFERROR((((GOOGLEFINANCE(A595))-(INDEX(GoogleFinance(A595,""PRICE"",$AP$1),2,2)))/(INDEX(GoogleFinance(A595,""PRICE"",$AP$1),2,2))),"""")"),0.9029714978775016)</f>
        <v>0.9029714979</v>
      </c>
      <c r="L595" s="69">
        <f t="shared" si="1"/>
        <v>-0.02637294446</v>
      </c>
      <c r="M595" s="52">
        <f>IFERROR((VLOOKUP($A595,'Dados StatusInvest'!$A:$AZ,COLUMN(M595)-$A$5,0)*VLOOKUP($A595,'Dados StatusInvest'!$A:$AZ,2,0)/$F595/100),0)</f>
        <v>0.02273683875</v>
      </c>
      <c r="N595" s="53">
        <f>IFERROR((VLOOKUP($A595,'Dados StatusInvest'!$A:$AZ,COLUMN(N595)-$A$5,0)/VLOOKUP($A595,'Dados StatusInvest'!$A:$AZ,2,0)*$F595),"")</f>
        <v>0.9939816281</v>
      </c>
      <c r="O595" s="53">
        <f>IFERROR((VLOOKUP($A595,'Dados StatusInvest'!$A:$AZ,COLUMN(O595)-$A$5,0)/VLOOKUP($A595,'Dados StatusInvest'!$A:$AZ,2,0)*$F595),0)</f>
        <v>9.104871714</v>
      </c>
      <c r="P595" s="54">
        <f>IFERROR((VLOOKUP($A595,'Dados StatusInvest'!$A:$AZ,COLUMN(P595)-$A$5,0)/VLOOKUP($A595,'Dados StatusInvest'!$A:$AZ,2,0)*$F595),0)</f>
        <v>13.68712702</v>
      </c>
      <c r="Q595" s="55">
        <f>IFERROR((VLOOKUP($A595,'Dados StatusInvest'!$A:$AZ,COLUMN(Q595)-$A$5,0)/100),0)</f>
        <v>0.0461</v>
      </c>
      <c r="R595" s="56">
        <f>VLOOKUP($A595,'Dados StatusInvest'!$A:$AZ,COLUMN(R595)-$A$5,0)</f>
        <v>0.9</v>
      </c>
      <c r="S595" s="56">
        <f>IFERROR((VLOOKUP($A595,'Dados StatusInvest'!$A:$AZ,COLUMN(S595)-$A$5,0)),0)</f>
        <v>0.21</v>
      </c>
      <c r="T595" s="53">
        <f>IFERROR((VLOOKUP($A595,'Dados StatusInvest'!$A:$AZ,COLUMN(T595)-$A$5,0)/VLOOKUP($A595,'Dados StatusInvest'!$A:$AZ,2,0)*$F595),0)</f>
        <v>2.972005068</v>
      </c>
      <c r="U595" s="53">
        <f>IFERROR((VLOOKUP($A595,'Dados StatusInvest'!$A:$AZ,COLUMN(U595)-$A$5,0)-VLOOKUP($A595,'Dados StatusInvest'!$A:$AZ,COLUMN(U595)-$A$5-1,0)+T595),0)</f>
        <v>-1.047994932</v>
      </c>
      <c r="V595" s="56">
        <f>IFERROR((VLOOKUP($A595,'Dados StatusInvest'!$A:$AZ,COLUMN(V595)-$A$5,0)),0)</f>
        <v>2.09</v>
      </c>
      <c r="W595" s="56">
        <f>IFERROR((VLOOKUP($A595,'Dados StatusInvest'!$A:$AZ,COLUMN(W595)-$A$5,0)),0)</f>
        <v>8.67</v>
      </c>
      <c r="X595" s="53">
        <f>IFERROR((VLOOKUP($A595,'Dados StatusInvest'!$A:$AZ,COLUMN(X595)-$A$5,0)/VLOOKUP($A595,'Dados StatusInvest'!$A:$AZ,2,0)*$F595),0)</f>
        <v>2.991884701</v>
      </c>
      <c r="Y595" s="54">
        <f>IFERROR((VLOOKUP($A595,'Dados StatusInvest'!$A:$AZ,COLUMN(Y595)-$A$5,0)/VLOOKUP($A595,'Dados StatusInvest'!$A:$AZ,2,0)*$F595),0)</f>
        <v>6.172625911</v>
      </c>
      <c r="Z595" s="56">
        <f>IFERROR((VLOOKUP($A595,'Dados StatusInvest'!$A:$AZ,COLUMN(Z595)-$A$5,0)),0)</f>
        <v>0.35</v>
      </c>
      <c r="AA595" s="57">
        <f>IFERROR((VLOOKUP($A595,'Dados StatusInvest'!$A:$AZ,COLUMN(AA595)-$A$5,0)),0)</f>
        <v>0.65</v>
      </c>
      <c r="AB595" s="57">
        <f>IFERROR((VLOOKUP($A595,'Dados StatusInvest'!$A:$AZ,COLUMN(AB595)-$A$5,0)),0)</f>
        <v>3</v>
      </c>
      <c r="AC595" s="58">
        <f>IFERROR((VLOOKUP($A595,'Dados StatusInvest'!$A:$AZ,COLUMN(AC595)-$A$5,0)),0)</f>
        <v>12.65</v>
      </c>
      <c r="AD595" s="57">
        <f>IFERROR((VLOOKUP($A595,'Dados StatusInvest'!$A:$AZ,COLUMN(AD595)-$A$5,0)),0)</f>
        <v>-3.63</v>
      </c>
      <c r="AE595" s="56">
        <f>IFERROR((VLOOKUP($A595,'Dados StatusInvest'!$A:$AZ,COLUMN(AE595)-$A$5,0)),0)</f>
        <v>256000000</v>
      </c>
      <c r="AF595" s="56">
        <f>IFERROR((VLOOKUP($A595,'Dados StatusInvest'!$A:$AZ,COLUMN(AF595)-$A$5,0)),0)</f>
        <v>17.69</v>
      </c>
      <c r="AG595" s="56">
        <f>IFERROR((VLOOKUP($A595,'Dados StatusInvest'!$A:$AZ,COLUMN(AG595)-$A$5,0)),0)</f>
        <v>1.53</v>
      </c>
      <c r="AH595" s="56">
        <f>IFERROR((VLOOKUP($A595,'Dados StatusInvest'!$A:$AZ,COLUMN(AH595)-$A$5,0)),0)</f>
        <v>-0.26</v>
      </c>
      <c r="AI595" s="57">
        <f>IFERROR((VLOOKUP($A595,'Dados StatusInvest'!$A:$AZ,COLUMN(AI595)-$A$5,0)),0)</f>
        <v>37838650674</v>
      </c>
      <c r="AJ595" s="59" t="str">
        <f>IFERROR((VLOOKUP($A595,'Dados StatusInvest'!$A:$AZ,COLUMN(AJ595)-$A$5,0)),0)</f>
        <v/>
      </c>
      <c r="AK595" s="67">
        <f>IFERROR(__xludf.DUMMYFUNCTION("IFERROR(GOOGLEFINANCE($A595,""high""),"""")"),31.51)</f>
        <v>31.51</v>
      </c>
      <c r="AL595" s="67">
        <f>IFERROR(__xludf.DUMMYFUNCTION("IFERROR(GOOGLEFINANCE($A595,""low""),"""")"),31.2)</f>
        <v>31.2</v>
      </c>
      <c r="AM595" s="70">
        <f t="shared" si="2"/>
        <v>0.009935897436</v>
      </c>
      <c r="AN595" s="71">
        <f>IFERROR(__xludf.DUMMYFUNCTION("IFERROR((GOOGLEFINANCE($A595,""volume"")),0)"),199100.0)</f>
        <v>199100</v>
      </c>
      <c r="AO595" s="67">
        <f>IFERROR(__xludf.DUMMYFUNCTION("IFERROR((GOOGLEFINANCE($A595,""closeyest"")),"""")"),31.57)</f>
        <v>31.57</v>
      </c>
      <c r="AP595" s="67">
        <f>IFERROR(__xludf.DUMMYFUNCTION("IFERROR((GOOGLEFINANCE($A595,""shares"")),"""")"),1.198563531E9)</f>
        <v>1198563531</v>
      </c>
      <c r="AQ595" s="60"/>
    </row>
    <row r="596">
      <c r="A596" s="45" t="str">
        <f>'Dados StatusInvest'!A591:A1210</f>
        <v>VITT3</v>
      </c>
      <c r="B596" s="63" t="str">
        <f>IFERROR(__xludf.DUMMYFUNCTION("IFERROR((GOOGLEFINANCE(A596,""name"")),"""")"),"Vittia SA")</f>
        <v>Vittia SA</v>
      </c>
      <c r="C596" s="63" t="str">
        <f>IFERROR((VLOOKUP(LEFT($A596,4),Setor!$A:$E,3,0)),"")</f>
        <v>Outros</v>
      </c>
      <c r="D596" s="63" t="str">
        <f>IFERROR((VLOOKUP(LEFT($A596,4),Setor!$A:$E,4,0)),"")</f>
        <v>Químicos</v>
      </c>
      <c r="E596" s="63" t="str">
        <f>IFERROR((VLOOKUP(LEFT($A596,4),Setor!$A:$E,5,0)),"")</f>
        <v>Químicos Diversos</v>
      </c>
      <c r="F596" s="64">
        <f>IFERROR(__xludf.DUMMYFUNCTION("IFERROR((GOOGLEFINANCE(A596)),"""")"),4.14)</f>
        <v>4.14</v>
      </c>
      <c r="G596" s="65" t="str">
        <f>IFERROR(__xludf.DUMMYFUNCTION("IFERROR((sparkline(GOOGLEFINANCE($A596,""price"",TODAY()-30,TODAY(),""DAILY""),{""charttype"",""line"";""linewidth"",1;""color"",""#5f88cc""})),"""")"),"")</f>
        <v/>
      </c>
      <c r="H596" s="66">
        <f>IFERROR(__xludf.DUMMYFUNCTION("IFERROR((((GOOGLEFINANCE(A596))-(INDEX(GoogleFinance(A596,""PRICE"",$AQ$1),2,2)))/(INDEX(GoogleFinance(A596,""PRICE"",$AQ$1),2,2))),"""")"),-0.08000000000000007)</f>
        <v>-0.08</v>
      </c>
      <c r="I596" s="47">
        <f>IFERROR(__xludf.DUMMYFUNCTION("IFERROR((GOOGLEFINANCE($A596,""high52"")),"""")"),5.37)</f>
        <v>5.37</v>
      </c>
      <c r="J596" s="68" t="str">
        <f>IFERROR(__xludf.DUMMYFUNCTION("IFERROR((sparkline(GOOGLEFINANCE($A596,""price"",TODAY()-365,TODAY(),""DAILY""),{""charttype"",""line"";""linewidth"",1;""color"",""#5f88cc""})),"""")"),"")</f>
        <v/>
      </c>
      <c r="K596" s="66">
        <f>IFERROR(__xludf.DUMMYFUNCTION("IFERROR((((GOOGLEFINANCE(A596))-(INDEX(GoogleFinance(A596,""PRICE"",$AP$1),2,2)))/(INDEX(GoogleFinance(A596,""PRICE"",$AP$1),2,2))),"""")"),-0.25270758122743686)</f>
        <v>-0.2527075812</v>
      </c>
      <c r="L596" s="69">
        <f t="shared" si="1"/>
        <v>-0.2290502793</v>
      </c>
      <c r="M596" s="52">
        <f>IFERROR((VLOOKUP($A596,'Dados StatusInvest'!$A:$AZ,COLUMN(M596)-$A$5,0)*VLOOKUP($A596,'Dados StatusInvest'!$A:$AZ,2,0)/$F596/100),0)</f>
        <v>0.07766425121</v>
      </c>
      <c r="N596" s="53">
        <f>IFERROR((VLOOKUP($A596,'Dados StatusInvest'!$A:$AZ,COLUMN(N596)-$A$5,0)/VLOOKUP($A596,'Dados StatusInvest'!$A:$AZ,2,0)*$F596),"")</f>
        <v>7.608648649</v>
      </c>
      <c r="O596" s="53">
        <f>IFERROR((VLOOKUP($A596,'Dados StatusInvest'!$A:$AZ,COLUMN(O596)-$A$5,0)/VLOOKUP($A596,'Dados StatusInvest'!$A:$AZ,2,0)*$F596),0)</f>
        <v>9.43960688</v>
      </c>
      <c r="P596" s="54">
        <f>IFERROR((VLOOKUP($A596,'Dados StatusInvest'!$A:$AZ,COLUMN(P596)-$A$5,0)/VLOOKUP($A596,'Dados StatusInvest'!$A:$AZ,2,0)*$F596),0)</f>
        <v>11.70796069</v>
      </c>
      <c r="Q596" s="55">
        <f>IFERROR((VLOOKUP($A596,'Dados StatusInvest'!$A:$AZ,COLUMN(Q596)-$A$5,0)/100),0)</f>
        <v>0.0223</v>
      </c>
      <c r="R596" s="56">
        <f>VLOOKUP($A596,'Dados StatusInvest'!$A:$AZ,COLUMN(R596)-$A$5,0)</f>
        <v>0.23</v>
      </c>
      <c r="S596" s="56">
        <f>IFERROR((VLOOKUP($A596,'Dados StatusInvest'!$A:$AZ,COLUMN(S596)-$A$5,0)),0)</f>
        <v>0.73</v>
      </c>
      <c r="T596" s="53">
        <f>IFERROR((VLOOKUP($A596,'Dados StatusInvest'!$A:$AZ,COLUMN(T596)-$A$5,0)/VLOOKUP($A596,'Dados StatusInvest'!$A:$AZ,2,0)*$F596),0)</f>
        <v>1.871646192</v>
      </c>
      <c r="U596" s="53">
        <f>IFERROR((VLOOKUP($A596,'Dados StatusInvest'!$A:$AZ,COLUMN(U596)-$A$5,0)-VLOOKUP($A596,'Dados StatusInvest'!$A:$AZ,COLUMN(U596)-$A$5-1,0)+T596),0)</f>
        <v>-1.618353808</v>
      </c>
      <c r="V596" s="56">
        <f>IFERROR((VLOOKUP($A596,'Dados StatusInvest'!$A:$AZ,COLUMN(V596)-$A$5,0)),0)</f>
        <v>2.35</v>
      </c>
      <c r="W596" s="56">
        <f>IFERROR((VLOOKUP($A596,'Dados StatusInvest'!$A:$AZ,COLUMN(W596)-$A$5,0)),0)</f>
        <v>9.9</v>
      </c>
      <c r="X596" s="53">
        <f>IFERROR((VLOOKUP($A596,'Dados StatusInvest'!$A:$AZ,COLUMN(X596)-$A$5,0)/VLOOKUP($A596,'Dados StatusInvest'!$A:$AZ,2,0)*$F596),0)</f>
        <v>6.682997543</v>
      </c>
      <c r="Y596" s="54">
        <f>IFERROR((VLOOKUP($A596,'Dados StatusInvest'!$A:$AZ,COLUMN(Y596)-$A$5,0)/VLOOKUP($A596,'Dados StatusInvest'!$A:$AZ,2,0)*$F596),0)</f>
        <v>7.751056511</v>
      </c>
      <c r="Z596" s="56">
        <f>IFERROR((VLOOKUP($A596,'Dados StatusInvest'!$A:$AZ,COLUMN(Z596)-$A$5,0)),0)</f>
        <v>0.66</v>
      </c>
      <c r="AA596" s="57">
        <f>IFERROR((VLOOKUP($A596,'Dados StatusInvest'!$A:$AZ,COLUMN(AA596)-$A$5,0)),0)</f>
        <v>0.34</v>
      </c>
      <c r="AB596" s="57">
        <f>IFERROR((VLOOKUP($A596,'Dados StatusInvest'!$A:$AZ,COLUMN(AB596)-$A$5,0)),0)</f>
        <v>0.88</v>
      </c>
      <c r="AC596" s="58">
        <f>IFERROR((VLOOKUP($A596,'Dados StatusInvest'!$A:$AZ,COLUMN(AC596)-$A$5,0)),0)</f>
        <v>12.74</v>
      </c>
      <c r="AD596" s="57">
        <f>IFERROR((VLOOKUP($A596,'Dados StatusInvest'!$A:$AZ,COLUMN(AD596)-$A$5,0)),0)</f>
        <v>2.22</v>
      </c>
      <c r="AE596" s="56">
        <f>IFERROR((VLOOKUP($A596,'Dados StatusInvest'!$A:$AZ,COLUMN(AE596)-$A$5,0)),0)</f>
        <v>1148546</v>
      </c>
      <c r="AF596" s="56">
        <f>IFERROR((VLOOKUP($A596,'Dados StatusInvest'!$A:$AZ,COLUMN(AF596)-$A$5,0)),0)</f>
        <v>4.19</v>
      </c>
      <c r="AG596" s="56">
        <f>IFERROR((VLOOKUP($A596,'Dados StatusInvest'!$A:$AZ,COLUMN(AG596)-$A$5,0)),0)</f>
        <v>0.41</v>
      </c>
      <c r="AH596" s="56">
        <f>IFERROR((VLOOKUP($A596,'Dados StatusInvest'!$A:$AZ,COLUMN(AH596)-$A$5,0)),0)</f>
        <v>-0.75</v>
      </c>
      <c r="AI596" s="57">
        <f>IFERROR((VLOOKUP($A596,'Dados StatusInvest'!$A:$AZ,COLUMN(AI596)-$A$5,0)),0)</f>
        <v>599568053.3</v>
      </c>
      <c r="AJ596" s="59" t="str">
        <f>IFERROR((VLOOKUP($A596,'Dados StatusInvest'!$A:$AZ,COLUMN(AJ596)-$A$5,0)),0)</f>
        <v/>
      </c>
      <c r="AK596" s="67">
        <f>IFERROR(__xludf.DUMMYFUNCTION("IFERROR(GOOGLEFINANCE($A596,""high""),"""")"),4.15)</f>
        <v>4.15</v>
      </c>
      <c r="AL596" s="67">
        <f>IFERROR(__xludf.DUMMYFUNCTION("IFERROR(GOOGLEFINANCE($A596,""low""),"""")"),4.09)</f>
        <v>4.09</v>
      </c>
      <c r="AM596" s="70">
        <f t="shared" si="2"/>
        <v>0.01466992665</v>
      </c>
      <c r="AN596" s="71">
        <f>IFERROR(__xludf.DUMMYFUNCTION("IFERROR((GOOGLEFINANCE($A596,""volume"")),0)"),12800.0)</f>
        <v>12800</v>
      </c>
      <c r="AO596" s="67">
        <f>IFERROR(__xludf.DUMMYFUNCTION("IFERROR((GOOGLEFINANCE($A596,""closeyest"")),"""")"),4.07)</f>
        <v>4.07</v>
      </c>
      <c r="AP596" s="67">
        <f>IFERROR(__xludf.DUMMYFUNCTION("IFERROR((GOOGLEFINANCE($A596,""shares"")),"""")"),1.47314018E8)</f>
        <v>147314018</v>
      </c>
      <c r="AQ596" s="60"/>
    </row>
    <row r="597">
      <c r="A597" s="45" t="str">
        <f>'Dados StatusInvest'!A592:A1211</f>
        <v>VIVA3</v>
      </c>
      <c r="B597" s="63" t="str">
        <f>IFERROR(__xludf.DUMMYFUNCTION("IFERROR((GOOGLEFINANCE(A597,""name"")),"""")"),"Vivara Participacoes SA")</f>
        <v>Vivara Participacoes SA</v>
      </c>
      <c r="C597" s="63" t="str">
        <f>IFERROR((VLOOKUP(LEFT($A597,4),Setor!$A:$E,3,0)),"")</f>
        <v>Consumo Cíclico</v>
      </c>
      <c r="D597" s="63" t="str">
        <f>IFERROR((VLOOKUP(LEFT($A597,4),Setor!$A:$E,4,0)),"")</f>
        <v>Tecidos, Vestuário e Calçados</v>
      </c>
      <c r="E597" s="63" t="str">
        <f>IFERROR((VLOOKUP(LEFT($A597,4),Setor!$A:$E,5,0)),"")</f>
        <v>Acessórios</v>
      </c>
      <c r="F597" s="64">
        <f>IFERROR(__xludf.DUMMYFUNCTION("IFERROR((GOOGLEFINANCE(A597)),"""")"),30.7)</f>
        <v>30.7</v>
      </c>
      <c r="G597" s="65" t="str">
        <f>IFERROR(__xludf.DUMMYFUNCTION("IFERROR((sparkline(GOOGLEFINANCE($A597,""price"",TODAY()-30,TODAY(),""DAILY""),{""charttype"",""line"";""linewidth"",1;""color"",""#5f88cc""})),"""")"),"")</f>
        <v/>
      </c>
      <c r="H597" s="66">
        <f>IFERROR(__xludf.DUMMYFUNCTION("IFERROR((((GOOGLEFINANCE(A597))-(INDEX(GoogleFinance(A597,""PRICE"",$AQ$1),2,2)))/(INDEX(GoogleFinance(A597,""PRICE"",$AQ$1),2,2))),"""")"),0.09330484330484334)</f>
        <v>0.0933048433</v>
      </c>
      <c r="I597" s="47">
        <f>IFERROR(__xludf.DUMMYFUNCTION("IFERROR((GOOGLEFINANCE($A597,""high52"")),"""")"),35.89)</f>
        <v>35.89</v>
      </c>
      <c r="J597" s="68" t="str">
        <f>IFERROR(__xludf.DUMMYFUNCTION("IFERROR((sparkline(GOOGLEFINANCE($A597,""price"",TODAY()-365,TODAY(),""DAILY""),{""charttype"",""line"";""linewidth"",1;""color"",""#5f88cc""})),"""")"),"")</f>
        <v/>
      </c>
      <c r="K597" s="66">
        <f>IFERROR(__xludf.DUMMYFUNCTION("IFERROR((((GOOGLEFINANCE(A597))-(INDEX(GoogleFinance(A597,""PRICE"",$AP$1),2,2)))/(INDEX(GoogleFinance(A597,""PRICE"",$AP$1),2,2))),"""")"),0.5964638585543421)</f>
        <v>0.5964638586</v>
      </c>
      <c r="L597" s="69">
        <f t="shared" si="1"/>
        <v>-0.1446085261</v>
      </c>
      <c r="M597" s="52">
        <f>IFERROR((VLOOKUP($A597,'Dados StatusInvest'!$A:$AZ,COLUMN(M597)-$A$5,0)*VLOOKUP($A597,'Dados StatusInvest'!$A:$AZ,2,0)/$F597/100),0)</f>
        <v>0.2825704235</v>
      </c>
      <c r="N597" s="53">
        <f>IFERROR((VLOOKUP($A597,'Dados StatusInvest'!$A:$AZ,COLUMN(N597)-$A$5,0)/VLOOKUP($A597,'Dados StatusInvest'!$A:$AZ,2,0)*$F597),"")</f>
        <v>25.2535418</v>
      </c>
      <c r="O597" s="53">
        <f>IFERROR((VLOOKUP($A597,'Dados StatusInvest'!$A:$AZ,COLUMN(O597)-$A$5,0)/VLOOKUP($A597,'Dados StatusInvest'!$A:$AZ,2,0)*$F597),0)</f>
        <v>9.110082961</v>
      </c>
      <c r="P597" s="54">
        <f>IFERROR((VLOOKUP($A597,'Dados StatusInvest'!$A:$AZ,COLUMN(P597)-$A$5,0)/VLOOKUP($A597,'Dados StatusInvest'!$A:$AZ,2,0)*$F597),0)</f>
        <v>9.501914486</v>
      </c>
      <c r="Q597" s="55">
        <f>IFERROR((VLOOKUP($A597,'Dados StatusInvest'!$A:$AZ,COLUMN(Q597)-$A$5,0)/100),0)</f>
        <v>0.004</v>
      </c>
      <c r="R597" s="56">
        <f>VLOOKUP($A597,'Dados StatusInvest'!$A:$AZ,COLUMN(R597)-$A$5,0)</f>
        <v>0.11</v>
      </c>
      <c r="S597" s="56">
        <f>IFERROR((VLOOKUP($A597,'Dados StatusInvest'!$A:$AZ,COLUMN(S597)-$A$5,0)),0)</f>
        <v>2.57</v>
      </c>
      <c r="T597" s="53">
        <f>IFERROR((VLOOKUP($A597,'Dados StatusInvest'!$A:$AZ,COLUMN(T597)-$A$5,0)/VLOOKUP($A597,'Dados StatusInvest'!$A:$AZ,2,0)*$F597),0)</f>
        <v>2.968123803</v>
      </c>
      <c r="U597" s="53">
        <f>IFERROR((VLOOKUP($A597,'Dados StatusInvest'!$A:$AZ,COLUMN(U597)-$A$5,0)-VLOOKUP($A597,'Dados StatusInvest'!$A:$AZ,COLUMN(U597)-$A$5-1,0)+T597),0)</f>
        <v>-4.491876197</v>
      </c>
      <c r="V597" s="56">
        <f>IFERROR((VLOOKUP($A597,'Dados StatusInvest'!$A:$AZ,COLUMN(V597)-$A$5,0)),0)</f>
        <v>5.17</v>
      </c>
      <c r="W597" s="56">
        <f>IFERROR((VLOOKUP($A597,'Dados StatusInvest'!$A:$AZ,COLUMN(W597)-$A$5,0)),0)</f>
        <v>25.25</v>
      </c>
      <c r="X597" s="53">
        <f>IFERROR((VLOOKUP($A597,'Dados StatusInvest'!$A:$AZ,COLUMN(X597)-$A$5,0)/VLOOKUP($A597,'Dados StatusInvest'!$A:$AZ,2,0)*$F597),0)</f>
        <v>15.45775367</v>
      </c>
      <c r="Y597" s="54">
        <f>IFERROR((VLOOKUP($A597,'Dados StatusInvest'!$A:$AZ,COLUMN(Y597)-$A$5,0)/VLOOKUP($A597,'Dados StatusInvest'!$A:$AZ,2,0)*$F597),0)</f>
        <v>20.76707084</v>
      </c>
      <c r="Z597" s="56">
        <f>IFERROR((VLOOKUP($A597,'Dados StatusInvest'!$A:$AZ,COLUMN(Z597)-$A$5,0)),0)</f>
        <v>0.62</v>
      </c>
      <c r="AA597" s="57">
        <f>IFERROR((VLOOKUP($A597,'Dados StatusInvest'!$A:$AZ,COLUMN(AA597)-$A$5,0)),0)</f>
        <v>0.38</v>
      </c>
      <c r="AB597" s="57">
        <f>IFERROR((VLOOKUP($A597,'Dados StatusInvest'!$A:$AZ,COLUMN(AB597)-$A$5,0)),0)</f>
        <v>0.61</v>
      </c>
      <c r="AC597" s="58">
        <f>IFERROR((VLOOKUP($A597,'Dados StatusInvest'!$A:$AZ,COLUMN(AC597)-$A$5,0)),0)</f>
        <v>28.01</v>
      </c>
      <c r="AD597" s="57">
        <f>IFERROR((VLOOKUP($A597,'Dados StatusInvest'!$A:$AZ,COLUMN(AD597)-$A$5,0)),0)</f>
        <v>23.51</v>
      </c>
      <c r="AE597" s="56">
        <f>IFERROR((VLOOKUP($A597,'Dados StatusInvest'!$A:$AZ,COLUMN(AE597)-$A$5,0)),0)</f>
        <v>138000000</v>
      </c>
      <c r="AF597" s="56">
        <f>IFERROR((VLOOKUP($A597,'Dados StatusInvest'!$A:$AZ,COLUMN(AF597)-$A$5,0)),0)</f>
        <v>12.43</v>
      </c>
      <c r="AG597" s="56">
        <f>IFERROR((VLOOKUP($A597,'Dados StatusInvest'!$A:$AZ,COLUMN(AG597)-$A$5,0)),0)</f>
        <v>3.14</v>
      </c>
      <c r="AH597" s="56">
        <f>IFERROR((VLOOKUP($A597,'Dados StatusInvest'!$A:$AZ,COLUMN(AH597)-$A$5,0)),0)</f>
        <v>0.2</v>
      </c>
      <c r="AI597" s="57">
        <f>IFERROR((VLOOKUP($A597,'Dados StatusInvest'!$A:$AZ,COLUMN(AI597)-$A$5,0)),0)</f>
        <v>7402438080</v>
      </c>
      <c r="AJ597" s="59" t="str">
        <f>IFERROR((VLOOKUP($A597,'Dados StatusInvest'!$A:$AZ,COLUMN(AJ597)-$A$5,0)),0)</f>
        <v/>
      </c>
      <c r="AK597" s="67">
        <f>IFERROR(__xludf.DUMMYFUNCTION("IFERROR(GOOGLEFINANCE($A597,""high""),"""")"),30.98)</f>
        <v>30.98</v>
      </c>
      <c r="AL597" s="67">
        <f>IFERROR(__xludf.DUMMYFUNCTION("IFERROR(GOOGLEFINANCE($A597,""low""),"""")"),30.64)</f>
        <v>30.64</v>
      </c>
      <c r="AM597" s="70">
        <f t="shared" si="2"/>
        <v>0.01109660574</v>
      </c>
      <c r="AN597" s="71">
        <f>IFERROR(__xludf.DUMMYFUNCTION("IFERROR((GOOGLEFINANCE($A597,""volume"")),0)"),123100.0)</f>
        <v>123100</v>
      </c>
      <c r="AO597" s="67">
        <f>IFERROR(__xludf.DUMMYFUNCTION("IFERROR((GOOGLEFINANCE($A597,""closeyest"")),"""")"),31.34)</f>
        <v>31.34</v>
      </c>
      <c r="AP597" s="67">
        <f>IFERROR(__xludf.DUMMYFUNCTION("IFERROR((GOOGLEFINANCE($A597,""shares"")),"""")"),2.36197769E8)</f>
        <v>236197769</v>
      </c>
      <c r="AQ597" s="60"/>
    </row>
    <row r="598">
      <c r="A598" s="45" t="str">
        <f>'Dados StatusInvest'!A593:A1212</f>
        <v>VIVR3</v>
      </c>
      <c r="B598" s="63" t="str">
        <f>IFERROR(__xludf.DUMMYFUNCTION("IFERROR((GOOGLEFINANCE(A598,""name"")),"""")"),"Viver Incorporadora e Construtora SA")</f>
        <v>Viver Incorporadora e Construtora SA</v>
      </c>
      <c r="C598" s="63" t="str">
        <f>IFERROR((VLOOKUP(LEFT($A598,4),Setor!$A:$E,3,0)),"")</f>
        <v>Consumo Cíclico</v>
      </c>
      <c r="D598" s="63" t="str">
        <f>IFERROR((VLOOKUP(LEFT($A598,4),Setor!$A:$E,4,0)),"")</f>
        <v>Construção Civil</v>
      </c>
      <c r="E598" s="63" t="str">
        <f>IFERROR((VLOOKUP(LEFT($A598,4),Setor!$A:$E,5,0)),"")</f>
        <v>Incorporações</v>
      </c>
      <c r="F598" s="64">
        <f>IFERROR(__xludf.DUMMYFUNCTION("IFERROR((GOOGLEFINANCE(A598)),"""")"),0.6)</f>
        <v>0.6</v>
      </c>
      <c r="G598" s="65" t="str">
        <f>IFERROR(__xludf.DUMMYFUNCTION("IFERROR((sparkline(GOOGLEFINANCE($A598,""price"",TODAY()-30,TODAY(),""DAILY""),{""charttype"",""line"";""linewidth"",1;""color"",""#5f88cc""})),"""")"),"")</f>
        <v/>
      </c>
      <c r="H598" s="66">
        <f>IFERROR(__xludf.DUMMYFUNCTION("IFERROR((((GOOGLEFINANCE(A598))-(INDEX(GoogleFinance(A598,""PRICE"",$AQ$1),2,2)))/(INDEX(GoogleFinance(A598,""PRICE"",$AQ$1),2,2))),"""")"),-0.03225806451612906)</f>
        <v>-0.03225806452</v>
      </c>
      <c r="I598" s="47">
        <f>IFERROR(__xludf.DUMMYFUNCTION("IFERROR((GOOGLEFINANCE($A598,""high52"")),"""")"),1.36)</f>
        <v>1.36</v>
      </c>
      <c r="J598" s="68" t="str">
        <f>IFERROR(__xludf.DUMMYFUNCTION("IFERROR((sparkline(GOOGLEFINANCE($A598,""price"",TODAY()-365,TODAY(),""DAILY""),{""charttype"",""line"";""linewidth"",1;""color"",""#5f88cc""})),"""")"),"")</f>
        <v/>
      </c>
      <c r="K598" s="66">
        <f>IFERROR(__xludf.DUMMYFUNCTION("IFERROR((((GOOGLEFINANCE(A598))-(INDEX(GoogleFinance(A598,""PRICE"",$AP$1),2,2)))/(INDEX(GoogleFinance(A598,""PRICE"",$AP$1),2,2))),"""")"),-0.9975714401359994)</f>
        <v>-0.9975714401</v>
      </c>
      <c r="L598" s="69">
        <f t="shared" si="1"/>
        <v>-0.5588235294</v>
      </c>
      <c r="M598" s="52">
        <f>IFERROR((VLOOKUP($A598,'Dados StatusInvest'!$A:$AZ,COLUMN(M598)-$A$5,0)*VLOOKUP($A598,'Dados StatusInvest'!$A:$AZ,2,0)/$F598/100),0)</f>
        <v>-0.44457</v>
      </c>
      <c r="N598" s="53">
        <f>IFERROR((VLOOKUP($A598,'Dados StatusInvest'!$A:$AZ,COLUMN(N598)-$A$5,0)/VLOOKUP($A598,'Dados StatusInvest'!$A:$AZ,2,0)*$F598),"")</f>
        <v>-44.79047619</v>
      </c>
      <c r="O598" s="53">
        <f>IFERROR((VLOOKUP($A598,'Dados StatusInvest'!$A:$AZ,COLUMN(O598)-$A$5,0)/VLOOKUP($A598,'Dados StatusInvest'!$A:$AZ,2,0)*$F598),0)</f>
        <v>-1.838095238</v>
      </c>
      <c r="P598" s="54">
        <f>IFERROR((VLOOKUP($A598,'Dados StatusInvest'!$A:$AZ,COLUMN(P598)-$A$5,0)/VLOOKUP($A598,'Dados StatusInvest'!$A:$AZ,2,0)*$F598),0)</f>
        <v>-2.676190476</v>
      </c>
      <c r="Q598" s="55">
        <f>IFERROR((VLOOKUP($A598,'Dados StatusInvest'!$A:$AZ,COLUMN(Q598)-$A$5,0)/100),0)</f>
        <v>-0.0089</v>
      </c>
      <c r="R598" s="56">
        <f>VLOOKUP($A598,'Dados StatusInvest'!$A:$AZ,COLUMN(R598)-$A$5,0)</f>
        <v>0.18</v>
      </c>
      <c r="S598" s="56">
        <f>IFERROR((VLOOKUP($A598,'Dados StatusInvest'!$A:$AZ,COLUMN(S598)-$A$5,0)),0)</f>
        <v>0.82</v>
      </c>
      <c r="T598" s="53">
        <f>IFERROR((VLOOKUP($A598,'Dados StatusInvest'!$A:$AZ,COLUMN(T598)-$A$5,0)/VLOOKUP($A598,'Dados StatusInvest'!$A:$AZ,2,0)*$F598),0)</f>
        <v>1.79047619</v>
      </c>
      <c r="U598" s="53">
        <f>IFERROR((VLOOKUP($A598,'Dados StatusInvest'!$A:$AZ,COLUMN(U598)-$A$5,0)-VLOOKUP($A598,'Dados StatusInvest'!$A:$AZ,COLUMN(U598)-$A$5-1,0)+T598),0)</f>
        <v>-0.3095238095</v>
      </c>
      <c r="V598" s="56">
        <f>IFERROR((VLOOKUP($A598,'Dados StatusInvest'!$A:$AZ,COLUMN(V598)-$A$5,0)),0)</f>
        <v>1.19</v>
      </c>
      <c r="W598" s="56">
        <f>IFERROR((VLOOKUP($A598,'Dados StatusInvest'!$A:$AZ,COLUMN(W598)-$A$5,0)),0)</f>
        <v>-22.88</v>
      </c>
      <c r="X598" s="53">
        <f>IFERROR((VLOOKUP($A598,'Dados StatusInvest'!$A:$AZ,COLUMN(X598)-$A$5,0)/VLOOKUP($A598,'Dados StatusInvest'!$A:$AZ,2,0)*$F598),0)</f>
        <v>-6.980952381</v>
      </c>
      <c r="Y598" s="54">
        <f>IFERROR((VLOOKUP($A598,'Dados StatusInvest'!$A:$AZ,COLUMN(Y598)-$A$5,0)/VLOOKUP($A598,'Dados StatusInvest'!$A:$AZ,2,0)*$F598),0)</f>
        <v>-15.81904762</v>
      </c>
      <c r="Z598" s="56">
        <f>IFERROR((VLOOKUP($A598,'Dados StatusInvest'!$A:$AZ,COLUMN(Z598)-$A$5,0)),0)</f>
        <v>0.32</v>
      </c>
      <c r="AA598" s="57">
        <f>IFERROR((VLOOKUP($A598,'Dados StatusInvest'!$A:$AZ,COLUMN(AA598)-$A$5,0)),0)</f>
        <v>0.66</v>
      </c>
      <c r="AB598" s="57">
        <f>IFERROR((VLOOKUP($A598,'Dados StatusInvest'!$A:$AZ,COLUMN(AB598)-$A$5,0)),0)</f>
        <v>0.16</v>
      </c>
      <c r="AC598" s="58">
        <f>IFERROR((VLOOKUP($A598,'Dados StatusInvest'!$A:$AZ,COLUMN(AC598)-$A$5,0)),0)</f>
        <v>0</v>
      </c>
      <c r="AD598" s="57">
        <f>IFERROR((VLOOKUP($A598,'Dados StatusInvest'!$A:$AZ,COLUMN(AD598)-$A$5,0)),0)</f>
        <v>0</v>
      </c>
      <c r="AE598" s="56">
        <f>IFERROR((VLOOKUP($A598,'Dados StatusInvest'!$A:$AZ,COLUMN(AE598)-$A$5,0)),0)</f>
        <v>99431</v>
      </c>
      <c r="AF598" s="56">
        <f>IFERROR((VLOOKUP($A598,'Dados StatusInvest'!$A:$AZ,COLUMN(AF598)-$A$5,0)),0)</f>
        <v>1.59</v>
      </c>
      <c r="AG598" s="56">
        <f>IFERROR((VLOOKUP($A598,'Dados StatusInvest'!$A:$AZ,COLUMN(AG598)-$A$5,0)),0)</f>
        <v>-0.36</v>
      </c>
      <c r="AH598" s="56">
        <f>IFERROR((VLOOKUP($A598,'Dados StatusInvest'!$A:$AZ,COLUMN(AH598)-$A$5,0)),0)</f>
        <v>0.02</v>
      </c>
      <c r="AI598" s="57">
        <f>IFERROR((VLOOKUP($A598,'Dados StatusInvest'!$A:$AZ,COLUMN(AI598)-$A$5,0)),0)</f>
        <v>30744257.67</v>
      </c>
      <c r="AJ598" s="59" t="str">
        <f>IFERROR((VLOOKUP($A598,'Dados StatusInvest'!$A:$AZ,COLUMN(AJ598)-$A$5,0)),0)</f>
        <v/>
      </c>
      <c r="AK598" s="67">
        <f>IFERROR(__xludf.DUMMYFUNCTION("IFERROR(GOOGLEFINANCE($A598,""high""),"""")"),0.61)</f>
        <v>0.61</v>
      </c>
      <c r="AL598" s="67">
        <f>IFERROR(__xludf.DUMMYFUNCTION("IFERROR(GOOGLEFINANCE($A598,""low""),"""")"),0.6)</f>
        <v>0.6</v>
      </c>
      <c r="AM598" s="70">
        <f t="shared" si="2"/>
        <v>0.01666666667</v>
      </c>
      <c r="AN598" s="71">
        <f>IFERROR(__xludf.DUMMYFUNCTION("IFERROR((GOOGLEFINANCE($A598,""volume"")),0)"),2200.0)</f>
        <v>2200</v>
      </c>
      <c r="AO598" s="67">
        <f>IFERROR(__xludf.DUMMYFUNCTION("IFERROR((GOOGLEFINANCE($A598,""closeyest"")),"""")"),0.63)</f>
        <v>0.63</v>
      </c>
      <c r="AP598" s="67">
        <f>IFERROR(__xludf.DUMMYFUNCTION("IFERROR((GOOGLEFINANCE($A598,""shares"")),"""")"),4.8800409E7)</f>
        <v>48800409</v>
      </c>
      <c r="AQ598" s="60"/>
    </row>
    <row r="599">
      <c r="A599" s="45" t="str">
        <f>'Dados StatusInvest'!A594:A1213</f>
        <v>VIVT3</v>
      </c>
      <c r="B599" s="63" t="str">
        <f>IFERROR(__xludf.DUMMYFUNCTION("IFERROR((GOOGLEFINANCE(A599,""name"")),"""")"),"Telefonica Brasil Cedear")</f>
        <v>Telefonica Brasil Cedear</v>
      </c>
      <c r="C599" s="63" t="str">
        <f>IFERROR((VLOOKUP(LEFT($A599,4),Setor!$A:$E,3,0)),"")</f>
        <v>Comunicações</v>
      </c>
      <c r="D599" s="63" t="str">
        <f>IFERROR((VLOOKUP(LEFT($A599,4),Setor!$A:$E,4,0)),"")</f>
        <v>Telecomunicações</v>
      </c>
      <c r="E599" s="63" t="str">
        <f>IFERROR((VLOOKUP(LEFT($A599,4),Setor!$A:$E,5,0)),"")</f>
        <v>Telecomunicações</v>
      </c>
      <c r="F599" s="64">
        <f>IFERROR(__xludf.DUMMYFUNCTION("IFERROR((GOOGLEFINANCE(A599)),"""")"),11420.0)</f>
        <v>11420</v>
      </c>
      <c r="G599" s="65" t="str">
        <f>IFERROR(__xludf.DUMMYFUNCTION("IFERROR((sparkline(GOOGLEFINANCE($A599,""price"",TODAY()-30,TODAY(),""DAILY""),{""charttype"",""line"";""linewidth"",1;""color"",""#5f88cc""})),"""")"),"")</f>
        <v/>
      </c>
      <c r="H599" s="66" t="str">
        <f>IFERROR(__xludf.DUMMYFUNCTION("IFERROR((((GOOGLEFINANCE(A599))-(INDEX(GoogleFinance(A599,""PRICE"",$AQ$1),2,2)))/(INDEX(GoogleFinance(A599,""PRICE"",$AQ$1),2,2))),"""")"),"")</f>
        <v/>
      </c>
      <c r="I599" s="47">
        <f>IFERROR(__xludf.DUMMYFUNCTION("IFERROR((GOOGLEFINANCE($A599,""high52"")),"""")"),12400.0)</f>
        <v>12400</v>
      </c>
      <c r="J599" s="68" t="str">
        <f>IFERROR(__xludf.DUMMYFUNCTION("IFERROR((sparkline(GOOGLEFINANCE($A599,""price"",TODAY()-365,TODAY(),""DAILY""),{""charttype"",""line"";""linewidth"",1;""color"",""#5f88cc""})),"""")"),"")</f>
        <v/>
      </c>
      <c r="K599" s="66">
        <f>IFERROR(__xludf.DUMMYFUNCTION("IFERROR((((GOOGLEFINANCE(A599))-(INDEX(GoogleFinance(A599,""PRICE"",$AP$1),2,2)))/(INDEX(GoogleFinance(A599,""PRICE"",$AP$1),2,2))),"""")"),0.02192393736017897)</f>
        <v>0.02192393736</v>
      </c>
      <c r="L599" s="69">
        <f t="shared" si="1"/>
        <v>-0.07903225806</v>
      </c>
      <c r="M599" s="52">
        <f>IFERROR((VLOOKUP($A599,'Dados StatusInvest'!$A:$AZ,COLUMN(M599)-$A$5,0)*VLOOKUP($A599,'Dados StatusInvest'!$A:$AZ,2,0)/$F599/100),0)</f>
        <v>0.0005764702277</v>
      </c>
      <c r="N599" s="53">
        <f>IFERROR((VLOOKUP($A599,'Dados StatusInvest'!$A:$AZ,COLUMN(N599)-$A$5,0)/VLOOKUP($A599,'Dados StatusInvest'!$A:$AZ,2,0)*$F599),"")</f>
        <v>2887.816092</v>
      </c>
      <c r="O599" s="53">
        <f>IFERROR((VLOOKUP($A599,'Dados StatusInvest'!$A:$AZ,COLUMN(O599)-$A$5,0)/VLOOKUP($A599,'Dados StatusInvest'!$A:$AZ,2,0)*$F599),0)</f>
        <v>3907.209587</v>
      </c>
      <c r="P599" s="54">
        <f>IFERROR((VLOOKUP($A599,'Dados StatusInvest'!$A:$AZ,COLUMN(P599)-$A$5,0)/VLOOKUP($A599,'Dados StatusInvest'!$A:$AZ,2,0)*$F599),0)</f>
        <v>4242.352653</v>
      </c>
      <c r="Q599" s="55">
        <f>IFERROR((VLOOKUP($A599,'Dados StatusInvest'!$A:$AZ,COLUMN(Q599)-$A$5,0)/100),0)</f>
        <v>0.012</v>
      </c>
      <c r="R599" s="56">
        <f>VLOOKUP($A599,'Dados StatusInvest'!$A:$AZ,COLUMN(R599)-$A$5,0)</f>
        <v>0.16</v>
      </c>
      <c r="S599" s="56">
        <f>IFERROR((VLOOKUP($A599,'Dados StatusInvest'!$A:$AZ,COLUMN(S599)-$A$5,0)),0)</f>
        <v>2.25</v>
      </c>
      <c r="T599" s="53">
        <f>IFERROR((VLOOKUP($A599,'Dados StatusInvest'!$A:$AZ,COLUMN(T599)-$A$5,0)/VLOOKUP($A599,'Dados StatusInvest'!$A:$AZ,2,0)*$F599),0)</f>
        <v>99758.12668</v>
      </c>
      <c r="U599" s="53">
        <f>IFERROR((VLOOKUP($A599,'Dados StatusInvest'!$A:$AZ,COLUMN(U599)-$A$5,0)-VLOOKUP($A599,'Dados StatusInvest'!$A:$AZ,COLUMN(U599)-$A$5-1,0)+T599),0)</f>
        <v>99399.61668</v>
      </c>
      <c r="V599" s="56">
        <f>IFERROR((VLOOKUP($A599,'Dados StatusInvest'!$A:$AZ,COLUMN(V599)-$A$5,0)),0)</f>
        <v>1.02</v>
      </c>
      <c r="W599" s="56">
        <f>IFERROR((VLOOKUP($A599,'Dados StatusInvest'!$A:$AZ,COLUMN(W599)-$A$5,0)),0)</f>
        <v>8.85</v>
      </c>
      <c r="X599" s="53">
        <f>IFERROR((VLOOKUP($A599,'Dados StatusInvest'!$A:$AZ,COLUMN(X599)-$A$5,0)/VLOOKUP($A599,'Dados StatusInvest'!$A:$AZ,2,0)*$F599),0)</f>
        <v>1365.707997</v>
      </c>
      <c r="Y599" s="54">
        <f>IFERROR((VLOOKUP($A599,'Dados StatusInvest'!$A:$AZ,COLUMN(Y599)-$A$5,0)/VLOOKUP($A599,'Dados StatusInvest'!$A:$AZ,2,0)*$F599),0)</f>
        <v>2446.544387</v>
      </c>
      <c r="Z599" s="56">
        <f>IFERROR((VLOOKUP($A599,'Dados StatusInvest'!$A:$AZ,COLUMN(Z599)-$A$5,0)),0)</f>
        <v>0.55</v>
      </c>
      <c r="AA599" s="57">
        <f>IFERROR((VLOOKUP($A599,'Dados StatusInvest'!$A:$AZ,COLUMN(AA599)-$A$5,0)),0)</f>
        <v>0.45</v>
      </c>
      <c r="AB599" s="57">
        <f>IFERROR((VLOOKUP($A599,'Dados StatusInvest'!$A:$AZ,COLUMN(AB599)-$A$5,0)),0)</f>
        <v>0.47</v>
      </c>
      <c r="AC599" s="58">
        <f>IFERROR((VLOOKUP($A599,'Dados StatusInvest'!$A:$AZ,COLUMN(AC599)-$A$5,0)),0)</f>
        <v>4.76</v>
      </c>
      <c r="AD599" s="57">
        <f>IFERROR((VLOOKUP($A599,'Dados StatusInvest'!$A:$AZ,COLUMN(AD599)-$A$5,0)),0)</f>
        <v>3.9</v>
      </c>
      <c r="AE599" s="56">
        <f>IFERROR((VLOOKUP($A599,'Dados StatusInvest'!$A:$AZ,COLUMN(AE599)-$A$5,0)),0)</f>
        <v>222000000</v>
      </c>
      <c r="AF599" s="56">
        <f>IFERROR((VLOOKUP($A599,'Dados StatusInvest'!$A:$AZ,COLUMN(AF599)-$A$5,0)),0)</f>
        <v>21.21</v>
      </c>
      <c r="AG599" s="56">
        <f>IFERROR((VLOOKUP($A599,'Dados StatusInvest'!$A:$AZ,COLUMN(AG599)-$A$5,0)),0)</f>
        <v>1.88</v>
      </c>
      <c r="AH599" s="56">
        <f>IFERROR((VLOOKUP($A599,'Dados StatusInvest'!$A:$AZ,COLUMN(AH599)-$A$5,0)),0)</f>
        <v>1.76</v>
      </c>
      <c r="AI599" s="57">
        <f>IFERROR((VLOOKUP($A599,'Dados StatusInvest'!$A:$AZ,COLUMN(AI599)-$A$5,0)),0)</f>
        <v>131933000000</v>
      </c>
      <c r="AJ599" s="59" t="str">
        <f>IFERROR((VLOOKUP($A599,'Dados StatusInvest'!$A:$AZ,COLUMN(AJ599)-$A$5,0)),0)</f>
        <v/>
      </c>
      <c r="AK599" s="67" t="str">
        <f>IFERROR(__xludf.DUMMYFUNCTION("IFERROR(GOOGLEFINANCE($A599,""high""),"""")"),"")</f>
        <v/>
      </c>
      <c r="AL599" s="67" t="str">
        <f>IFERROR(__xludf.DUMMYFUNCTION("IFERROR(GOOGLEFINANCE($A599,""low""),"""")"),"")</f>
        <v/>
      </c>
      <c r="AM599" s="70">
        <f t="shared" si="2"/>
        <v>0</v>
      </c>
      <c r="AN599" s="71">
        <f>IFERROR(__xludf.DUMMYFUNCTION("IFERROR((GOOGLEFINANCE($A599,""volume"")),0)"),0.0)</f>
        <v>0</v>
      </c>
      <c r="AO599" s="67">
        <f>IFERROR(__xludf.DUMMYFUNCTION("IFERROR((GOOGLEFINANCE($A599,""closeyest"")),"""")"),11420.0)</f>
        <v>11420</v>
      </c>
      <c r="AP599" s="67" t="str">
        <f>IFERROR(__xludf.DUMMYFUNCTION("IFERROR((GOOGLEFINANCE($A599,""shares"")),"""")"),"")</f>
        <v/>
      </c>
      <c r="AQ599" s="60"/>
    </row>
    <row r="600">
      <c r="A600" s="45" t="str">
        <f>'Dados StatusInvest'!A595:A1214</f>
        <v>VIVT4</v>
      </c>
      <c r="B600" s="63" t="str">
        <f>IFERROR(__xludf.DUMMYFUNCTION("IFERROR((GOOGLEFINANCE(A600,""name"")),"""")"),"")</f>
        <v/>
      </c>
      <c r="C600" s="63" t="str">
        <f>IFERROR((VLOOKUP(LEFT($A600,4),Setor!$A:$E,3,0)),"")</f>
        <v>Comunicações</v>
      </c>
      <c r="D600" s="63" t="str">
        <f>IFERROR((VLOOKUP(LEFT($A600,4),Setor!$A:$E,4,0)),"")</f>
        <v>Telecomunicações</v>
      </c>
      <c r="E600" s="63" t="str">
        <f>IFERROR((VLOOKUP(LEFT($A600,4),Setor!$A:$E,5,0)),"")</f>
        <v>Telecomunicações</v>
      </c>
      <c r="F600" s="64" t="str">
        <f>IFERROR(__xludf.DUMMYFUNCTION("IFERROR((GOOGLEFINANCE(A600)),"""")"),"")</f>
        <v/>
      </c>
      <c r="G600" s="65" t="str">
        <f>IFERROR(__xludf.DUMMYFUNCTION("IFERROR((sparkline(GOOGLEFINANCE($A600,""price"",TODAY()-30,TODAY(),""DAILY""),{""charttype"",""line"";""linewidth"",1;""color"",""#5f88cc""})),"""")"),"")</f>
        <v/>
      </c>
      <c r="H600" s="66" t="str">
        <f>IFERROR(__xludf.DUMMYFUNCTION("IFERROR((((GOOGLEFINANCE(A600))-(INDEX(GoogleFinance(A600,""PRICE"",$AQ$1),2,2)))/(INDEX(GoogleFinance(A600,""PRICE"",$AQ$1),2,2))),"""")"),"")</f>
        <v/>
      </c>
      <c r="I600" s="47" t="str">
        <f>IFERROR(__xludf.DUMMYFUNCTION("IFERROR((GOOGLEFINANCE($A600,""high52"")),"""")"),"")</f>
        <v/>
      </c>
      <c r="J600" s="68" t="str">
        <f>IFERROR(__xludf.DUMMYFUNCTION("IFERROR((sparkline(GOOGLEFINANCE($A600,""price"",TODAY()-365,TODAY(),""DAILY""),{""charttype"",""line"";""linewidth"",1;""color"",""#5f88cc""})),"""")"),"")</f>
        <v/>
      </c>
      <c r="K600" s="66" t="str">
        <f>IFERROR(__xludf.DUMMYFUNCTION("IFERROR((((GOOGLEFINANCE(A600))-(INDEX(GoogleFinance(A600,""PRICE"",$AP$1),2,2)))/(INDEX(GoogleFinance(A600,""PRICE"",$AP$1),2,2))),"""")"),"")</f>
        <v/>
      </c>
      <c r="L600" s="69">
        <f t="shared" si="1"/>
        <v>0</v>
      </c>
      <c r="M600" s="52">
        <f>IFERROR((VLOOKUP($A600,'Dados StatusInvest'!$A:$AZ,COLUMN(M600)-$A$5,0)*VLOOKUP($A600,'Dados StatusInvest'!$A:$AZ,2,0)/$F600/100),0)</f>
        <v>0</v>
      </c>
      <c r="N600" s="53">
        <f>IFERROR((VLOOKUP($A600,'Dados StatusInvest'!$A:$AZ,COLUMN(N600)-$A$5,0)/VLOOKUP($A600,'Dados StatusInvest'!$A:$AZ,2,0)*$F600),"")</f>
        <v>0</v>
      </c>
      <c r="O600" s="53">
        <f>IFERROR((VLOOKUP($A600,'Dados StatusInvest'!$A:$AZ,COLUMN(O600)-$A$5,0)/VLOOKUP($A600,'Dados StatusInvest'!$A:$AZ,2,0)*$F600),0)</f>
        <v>0</v>
      </c>
      <c r="P600" s="54">
        <f>IFERROR((VLOOKUP($A600,'Dados StatusInvest'!$A:$AZ,COLUMN(P600)-$A$5,0)/VLOOKUP($A600,'Dados StatusInvest'!$A:$AZ,2,0)*$F600),0)</f>
        <v>0</v>
      </c>
      <c r="Q600" s="55">
        <f>IFERROR((VLOOKUP($A600,'Dados StatusInvest'!$A:$AZ,COLUMN(Q600)-$A$5,0)/100),0)</f>
        <v>0.012</v>
      </c>
      <c r="R600" s="56">
        <f>VLOOKUP($A600,'Dados StatusInvest'!$A:$AZ,COLUMN(R600)-$A$5,0)</f>
        <v>0.16</v>
      </c>
      <c r="S600" s="56">
        <f>IFERROR((VLOOKUP($A600,'Dados StatusInvest'!$A:$AZ,COLUMN(S600)-$A$5,0)),0)</f>
        <v>2.5</v>
      </c>
      <c r="T600" s="53">
        <f>IFERROR((VLOOKUP($A600,'Dados StatusInvest'!$A:$AZ,COLUMN(T600)-$A$5,0)/VLOOKUP($A600,'Dados StatusInvest'!$A:$AZ,2,0)*$F600),0)</f>
        <v>0</v>
      </c>
      <c r="U600" s="53">
        <f>IFERROR((VLOOKUP($A600,'Dados StatusInvest'!$A:$AZ,COLUMN(U600)-$A$5,0)-VLOOKUP($A600,'Dados StatusInvest'!$A:$AZ,COLUMN(U600)-$A$5-1,0)+T600),0)</f>
        <v>-397.53</v>
      </c>
      <c r="V600" s="56">
        <f>IFERROR((VLOOKUP($A600,'Dados StatusInvest'!$A:$AZ,COLUMN(V600)-$A$5,0)),0)</f>
        <v>1.02</v>
      </c>
      <c r="W600" s="56">
        <f>IFERROR((VLOOKUP($A600,'Dados StatusInvest'!$A:$AZ,COLUMN(W600)-$A$5,0)),0)</f>
        <v>8.85</v>
      </c>
      <c r="X600" s="53">
        <f>IFERROR((VLOOKUP($A600,'Dados StatusInvest'!$A:$AZ,COLUMN(X600)-$A$5,0)/VLOOKUP($A600,'Dados StatusInvest'!$A:$AZ,2,0)*$F600),0)</f>
        <v>0</v>
      </c>
      <c r="Y600" s="54">
        <f>IFERROR((VLOOKUP($A600,'Dados StatusInvest'!$A:$AZ,COLUMN(Y600)-$A$5,0)/VLOOKUP($A600,'Dados StatusInvest'!$A:$AZ,2,0)*$F600),0)</f>
        <v>0</v>
      </c>
      <c r="Z600" s="56">
        <f>IFERROR((VLOOKUP($A600,'Dados StatusInvest'!$A:$AZ,COLUMN(Z600)-$A$5,0)),0)</f>
        <v>0.55</v>
      </c>
      <c r="AA600" s="57">
        <f>IFERROR((VLOOKUP($A600,'Dados StatusInvest'!$A:$AZ,COLUMN(AA600)-$A$5,0)),0)</f>
        <v>0.45</v>
      </c>
      <c r="AB600" s="57">
        <f>IFERROR((VLOOKUP($A600,'Dados StatusInvest'!$A:$AZ,COLUMN(AB600)-$A$5,0)),0)</f>
        <v>0.47</v>
      </c>
      <c r="AC600" s="58">
        <f>IFERROR((VLOOKUP($A600,'Dados StatusInvest'!$A:$AZ,COLUMN(AC600)-$A$5,0)),0)</f>
        <v>4.76</v>
      </c>
      <c r="AD600" s="57">
        <f>IFERROR((VLOOKUP($A600,'Dados StatusInvest'!$A:$AZ,COLUMN(AD600)-$A$5,0)),0)</f>
        <v>3.9</v>
      </c>
      <c r="AE600" s="56">
        <f>IFERROR((VLOOKUP($A600,'Dados StatusInvest'!$A:$AZ,COLUMN(AE600)-$A$5,0)),0)</f>
        <v>0</v>
      </c>
      <c r="AF600" s="56">
        <f>IFERROR((VLOOKUP($A600,'Dados StatusInvest'!$A:$AZ,COLUMN(AF600)-$A$5,0)),0)</f>
        <v>21.21</v>
      </c>
      <c r="AG600" s="56">
        <f>IFERROR((VLOOKUP($A600,'Dados StatusInvest'!$A:$AZ,COLUMN(AG600)-$A$5,0)),0)</f>
        <v>1.88</v>
      </c>
      <c r="AH600" s="56">
        <f>IFERROR((VLOOKUP($A600,'Dados StatusInvest'!$A:$AZ,COLUMN(AH600)-$A$5,0)),0)</f>
        <v>1.95</v>
      </c>
      <c r="AI600" s="57">
        <f>IFERROR((VLOOKUP($A600,'Dados StatusInvest'!$A:$AZ,COLUMN(AI600)-$A$5,0)),0)</f>
        <v>131933000000</v>
      </c>
      <c r="AJ600" s="59" t="str">
        <f>IFERROR((VLOOKUP($A600,'Dados StatusInvest'!$A:$AZ,COLUMN(AJ600)-$A$5,0)),0)</f>
        <v/>
      </c>
      <c r="AK600" s="67" t="str">
        <f>IFERROR(__xludf.DUMMYFUNCTION("IFERROR(GOOGLEFINANCE($A600,""high""),"""")"),"")</f>
        <v/>
      </c>
      <c r="AL600" s="67" t="str">
        <f>IFERROR(__xludf.DUMMYFUNCTION("IFERROR(GOOGLEFINANCE($A600,""low""),"""")"),"")</f>
        <v/>
      </c>
      <c r="AM600" s="70">
        <f t="shared" si="2"/>
        <v>0</v>
      </c>
      <c r="AN600" s="71">
        <f>IFERROR(__xludf.DUMMYFUNCTION("IFERROR((GOOGLEFINANCE($A600,""volume"")),0)"),0.0)</f>
        <v>0</v>
      </c>
      <c r="AO600" s="67" t="str">
        <f>IFERROR(__xludf.DUMMYFUNCTION("IFERROR((GOOGLEFINANCE($A600,""closeyest"")),"""")"),"")</f>
        <v/>
      </c>
      <c r="AP600" s="67" t="str">
        <f>IFERROR(__xludf.DUMMYFUNCTION("IFERROR((GOOGLEFINANCE($A600,""shares"")),"""")"),"")</f>
        <v/>
      </c>
      <c r="AQ600" s="60"/>
    </row>
    <row r="601">
      <c r="A601" s="45" t="str">
        <f>'Dados StatusInvest'!A596:A1215</f>
        <v>VLID3</v>
      </c>
      <c r="B601" s="63" t="str">
        <f>IFERROR(__xludf.DUMMYFUNCTION("IFERROR((GOOGLEFINANCE(A601,""name"")),"""")"),"Valid Solucoes SA")</f>
        <v>Valid Solucoes SA</v>
      </c>
      <c r="C601" s="63" t="str">
        <f>IFERROR((VLOOKUP(LEFT($A601,4),Setor!$A:$E,3,0)),"")</f>
        <v>Bens Industriais</v>
      </c>
      <c r="D601" s="63" t="str">
        <f>IFERROR((VLOOKUP(LEFT($A601,4),Setor!$A:$E,4,0)),"")</f>
        <v>Serviços Diversos</v>
      </c>
      <c r="E601" s="63" t="str">
        <f>IFERROR((VLOOKUP(LEFT($A601,4),Setor!$A:$E,5,0)),"")</f>
        <v>Serviços Diversos</v>
      </c>
      <c r="F601" s="64">
        <f>IFERROR(__xludf.DUMMYFUNCTION("IFERROR((GOOGLEFINANCE(A601)),"""")"),22.14)</f>
        <v>22.14</v>
      </c>
      <c r="G601" s="65" t="str">
        <f>IFERROR(__xludf.DUMMYFUNCTION("IFERROR((sparkline(GOOGLEFINANCE($A601,""price"",TODAY()-30,TODAY(),""DAILY""),{""charttype"",""line"";""linewidth"",1;""color"",""#5f88cc""})),"""")"),"")</f>
        <v/>
      </c>
      <c r="H601" s="66">
        <f>IFERROR(__xludf.DUMMYFUNCTION("IFERROR((((GOOGLEFINANCE(A601))-(INDEX(GoogleFinance(A601,""PRICE"",$AQ$1),2,2)))/(INDEX(GoogleFinance(A601,""PRICE"",$AQ$1),2,2))),"""")"),0.047799337434926724)</f>
        <v>0.04779933743</v>
      </c>
      <c r="I601" s="47">
        <f>IFERROR(__xludf.DUMMYFUNCTION("IFERROR((GOOGLEFINANCE($A601,""high52"")),"""")"),26.35)</f>
        <v>26.35</v>
      </c>
      <c r="J601" s="68" t="str">
        <f>IFERROR(__xludf.DUMMYFUNCTION("IFERROR((sparkline(GOOGLEFINANCE($A601,""price"",TODAY()-365,TODAY(),""DAILY""),{""charttype"",""line"";""linewidth"",1;""color"",""#5f88cc""})),"""")"),"")</f>
        <v/>
      </c>
      <c r="K601" s="66">
        <f>IFERROR(__xludf.DUMMYFUNCTION("IFERROR((((GOOGLEFINANCE(A601))-(INDEX(GoogleFinance(A601,""PRICE"",$AP$1),2,2)))/(INDEX(GoogleFinance(A601,""PRICE"",$AP$1),2,2))),"""")"),-0.13717848791893997)</f>
        <v>-0.1371784879</v>
      </c>
      <c r="L601" s="69">
        <f t="shared" si="1"/>
        <v>-0.159772296</v>
      </c>
      <c r="M601" s="52">
        <f>IFERROR((VLOOKUP($A601,'Dados StatusInvest'!$A:$AZ,COLUMN(M601)-$A$5,0)*VLOOKUP($A601,'Dados StatusInvest'!$A:$AZ,2,0)/$F601/100),0)</f>
        <v>0.1393676603</v>
      </c>
      <c r="N601" s="53">
        <f>IFERROR((VLOOKUP($A601,'Dados StatusInvest'!$A:$AZ,COLUMN(N601)-$A$5,0)/VLOOKUP($A601,'Dados StatusInvest'!$A:$AZ,2,0)*$F601),"")</f>
        <v>11.35127042</v>
      </c>
      <c r="O601" s="53">
        <f>IFERROR((VLOOKUP($A601,'Dados StatusInvest'!$A:$AZ,COLUMN(O601)-$A$5,0)/VLOOKUP($A601,'Dados StatusInvest'!$A:$AZ,2,0)*$F601),0)</f>
        <v>6.107586207</v>
      </c>
      <c r="P601" s="54">
        <f>IFERROR((VLOOKUP($A601,'Dados StatusInvest'!$A:$AZ,COLUMN(P601)-$A$5,0)/VLOOKUP($A601,'Dados StatusInvest'!$A:$AZ,2,0)*$F601),0)</f>
        <v>6.298448276</v>
      </c>
      <c r="Q601" s="55">
        <f>IFERROR((VLOOKUP($A601,'Dados StatusInvest'!$A:$AZ,COLUMN(Q601)-$A$5,0)/100),0)</f>
        <v>0.002</v>
      </c>
      <c r="R601" s="56">
        <f>VLOOKUP($A601,'Dados StatusInvest'!$A:$AZ,COLUMN(R601)-$A$5,0)</f>
        <v>0.03</v>
      </c>
      <c r="S601" s="56">
        <f>IFERROR((VLOOKUP($A601,'Dados StatusInvest'!$A:$AZ,COLUMN(S601)-$A$5,0)),0)</f>
        <v>0.85</v>
      </c>
      <c r="T601" s="53">
        <f>IFERROR((VLOOKUP($A601,'Dados StatusInvest'!$A:$AZ,COLUMN(T601)-$A$5,0)/VLOOKUP($A601,'Dados StatusInvest'!$A:$AZ,2,0)*$F601),0)</f>
        <v>1.828257713</v>
      </c>
      <c r="U601" s="53">
        <f>IFERROR((VLOOKUP($A601,'Dados StatusInvest'!$A:$AZ,COLUMN(U601)-$A$5,0)-VLOOKUP($A601,'Dados StatusInvest'!$A:$AZ,COLUMN(U601)-$A$5-1,0)+T601),0)</f>
        <v>-1.261742287</v>
      </c>
      <c r="V601" s="56">
        <f>IFERROR((VLOOKUP($A601,'Dados StatusInvest'!$A:$AZ,COLUMN(V601)-$A$5,0)),0)</f>
        <v>3.14</v>
      </c>
      <c r="W601" s="56">
        <f>IFERROR((VLOOKUP($A601,'Dados StatusInvest'!$A:$AZ,COLUMN(W601)-$A$5,0)),0)</f>
        <v>13.91</v>
      </c>
      <c r="X601" s="53">
        <f>IFERROR((VLOOKUP($A601,'Dados StatusInvest'!$A:$AZ,COLUMN(X601)-$A$5,0)/VLOOKUP($A601,'Dados StatusInvest'!$A:$AZ,2,0)*$F601),0)</f>
        <v>8.367794918</v>
      </c>
      <c r="Y601" s="54">
        <f>IFERROR((VLOOKUP($A601,'Dados StatusInvest'!$A:$AZ,COLUMN(Y601)-$A$5,0)/VLOOKUP($A601,'Dados StatusInvest'!$A:$AZ,2,0)*$F601),0)</f>
        <v>11.8234029</v>
      </c>
      <c r="Z601" s="56">
        <f>IFERROR((VLOOKUP($A601,'Dados StatusInvest'!$A:$AZ,COLUMN(Z601)-$A$5,0)),0)</f>
        <v>0.6</v>
      </c>
      <c r="AA601" s="57">
        <f>IFERROR((VLOOKUP($A601,'Dados StatusInvest'!$A:$AZ,COLUMN(AA601)-$A$5,0)),0)</f>
        <v>0.4</v>
      </c>
      <c r="AB601" s="57">
        <f>IFERROR((VLOOKUP($A601,'Dados StatusInvest'!$A:$AZ,COLUMN(AB601)-$A$5,0)),0)</f>
        <v>0.74</v>
      </c>
      <c r="AC601" s="58">
        <f>IFERROR((VLOOKUP($A601,'Dados StatusInvest'!$A:$AZ,COLUMN(AC601)-$A$5,0)),0)</f>
        <v>1.58</v>
      </c>
      <c r="AD601" s="57">
        <f>IFERROR((VLOOKUP($A601,'Dados StatusInvest'!$A:$AZ,COLUMN(AD601)-$A$5,0)),0)</f>
        <v>34.57</v>
      </c>
      <c r="AE601" s="56">
        <f>IFERROR((VLOOKUP($A601,'Dados StatusInvest'!$A:$AZ,COLUMN(AE601)-$A$5,0)),0)</f>
        <v>5950022</v>
      </c>
      <c r="AF601" s="56">
        <f>IFERROR((VLOOKUP($A601,'Dados StatusInvest'!$A:$AZ,COLUMN(AF601)-$A$5,0)),0)</f>
        <v>21.04</v>
      </c>
      <c r="AG601" s="56">
        <f>IFERROR((VLOOKUP($A601,'Dados StatusInvest'!$A:$AZ,COLUMN(AG601)-$A$5,0)),0)</f>
        <v>2.93</v>
      </c>
      <c r="AH601" s="56">
        <f>IFERROR((VLOOKUP($A601,'Dados StatusInvest'!$A:$AZ,COLUMN(AH601)-$A$5,0)),0)</f>
        <v>-0.23</v>
      </c>
      <c r="AI601" s="57">
        <f>IFERROR((VLOOKUP($A601,'Dados StatusInvest'!$A:$AZ,COLUMN(AI601)-$A$5,0)),0)</f>
        <v>1803673705</v>
      </c>
      <c r="AJ601" s="59" t="str">
        <f>IFERROR((VLOOKUP($A601,'Dados StatusInvest'!$A:$AZ,COLUMN(AJ601)-$A$5,0)),0)</f>
        <v/>
      </c>
      <c r="AK601" s="67">
        <f>IFERROR(__xludf.DUMMYFUNCTION("IFERROR(GOOGLEFINANCE($A601,""high""),"""")"),22.19)</f>
        <v>22.19</v>
      </c>
      <c r="AL601" s="67">
        <f>IFERROR(__xludf.DUMMYFUNCTION("IFERROR(GOOGLEFINANCE($A601,""low""),"""")"),21.82)</f>
        <v>21.82</v>
      </c>
      <c r="AM601" s="70">
        <f t="shared" si="2"/>
        <v>0.01695692026</v>
      </c>
      <c r="AN601" s="71">
        <f>IFERROR(__xludf.DUMMYFUNCTION("IFERROR((GOOGLEFINANCE($A601,""volume"")),0)"),14100.0)</f>
        <v>14100</v>
      </c>
      <c r="AO601" s="67">
        <f>IFERROR(__xludf.DUMMYFUNCTION("IFERROR((GOOGLEFINANCE($A601,""closeyest"")),"""")"),22.04)</f>
        <v>22.04</v>
      </c>
      <c r="AP601" s="67">
        <f>IFERROR(__xludf.DUMMYFUNCTION("IFERROR((GOOGLEFINANCE($A601,""shares"")),"""")"),8.1836375E7)</f>
        <v>81836375</v>
      </c>
      <c r="AQ601" s="60"/>
    </row>
    <row r="602">
      <c r="A602" s="45" t="str">
        <f>'Dados StatusInvest'!A597:A1216</f>
        <v>VSPT3</v>
      </c>
      <c r="B602" s="63" t="str">
        <f>IFERROR(__xludf.DUMMYFUNCTION("IFERROR((GOOGLEFINANCE(A602,""name"")),"""")"),"Ferrovia Centro-Atlantica SA")</f>
        <v>Ferrovia Centro-Atlantica SA</v>
      </c>
      <c r="C602" s="63" t="str">
        <f>IFERROR((VLOOKUP(LEFT($A602,4),Setor!$A:$E,3,0)),"")</f>
        <v>Bens Industriais</v>
      </c>
      <c r="D602" s="63" t="str">
        <f>IFERROR((VLOOKUP(LEFT($A602,4),Setor!$A:$E,4,0)),"")</f>
        <v>Transporte</v>
      </c>
      <c r="E602" s="63" t="str">
        <f>IFERROR((VLOOKUP(LEFT($A602,4),Setor!$A:$E,5,0)),"")</f>
        <v>Transporte Ferroviário</v>
      </c>
      <c r="F602" s="64">
        <f>IFERROR(__xludf.DUMMYFUNCTION("IFERROR((GOOGLEFINANCE(A602)),"""")"),0.0)</f>
        <v>0</v>
      </c>
      <c r="G602" s="65" t="str">
        <f>IFERROR(__xludf.DUMMYFUNCTION("IFERROR((sparkline(GOOGLEFINANCE($A602,""price"",TODAY()-30,TODAY(),""DAILY""),{""charttype"",""line"";""linewidth"",1;""color"",""#5f88cc""})),"""")"),"")</f>
        <v/>
      </c>
      <c r="H602" s="66" t="str">
        <f>IFERROR(__xludf.DUMMYFUNCTION("IFERROR((((GOOGLEFINANCE(A602))-(INDEX(GoogleFinance(A602,""PRICE"",$AQ$1),2,2)))/(INDEX(GoogleFinance(A602,""PRICE"",$AQ$1),2,2))),"""")"),"")</f>
        <v/>
      </c>
      <c r="I602" s="47">
        <f>IFERROR(__xludf.DUMMYFUNCTION("IFERROR((GOOGLEFINANCE($A602,""high52"")),"""")"),1.5)</f>
        <v>1.5</v>
      </c>
      <c r="J602" s="68" t="str">
        <f>IFERROR(__xludf.DUMMYFUNCTION("IFERROR((sparkline(GOOGLEFINANCE($A602,""price"",TODAY()-365,TODAY(),""DAILY""),{""charttype"",""line"";""linewidth"",1;""color"",""#5f88cc""})),"""")"),"")</f>
        <v/>
      </c>
      <c r="K602" s="66" t="str">
        <f>IFERROR(__xludf.DUMMYFUNCTION("IFERROR((((GOOGLEFINANCE(A602))-(INDEX(GoogleFinance(A602,""PRICE"",$AP$1),2,2)))/(INDEX(GoogleFinance(A602,""PRICE"",$AP$1),2,2))),"""")"),"")</f>
        <v/>
      </c>
      <c r="L602" s="69">
        <f t="shared" si="1"/>
        <v>-1</v>
      </c>
      <c r="M602" s="52">
        <f>IFERROR((VLOOKUP($A602,'Dados StatusInvest'!$A:$AZ,COLUMN(M602)-$A$5,0)*VLOOKUP($A602,'Dados StatusInvest'!$A:$AZ,2,0)/$F602/100),0)</f>
        <v>0</v>
      </c>
      <c r="N602" s="53">
        <f>IFERROR((VLOOKUP($A602,'Dados StatusInvest'!$A:$AZ,COLUMN(N602)-$A$5,0)/VLOOKUP($A602,'Dados StatusInvest'!$A:$AZ,2,0)*$F602),"")</f>
        <v>0</v>
      </c>
      <c r="O602" s="53">
        <f>IFERROR((VLOOKUP($A602,'Dados StatusInvest'!$A:$AZ,COLUMN(O602)-$A$5,0)/VLOOKUP($A602,'Dados StatusInvest'!$A:$AZ,2,0)*$F602),0)</f>
        <v>0</v>
      </c>
      <c r="P602" s="54">
        <f>IFERROR((VLOOKUP($A602,'Dados StatusInvest'!$A:$AZ,COLUMN(P602)-$A$5,0)/VLOOKUP($A602,'Dados StatusInvest'!$A:$AZ,2,0)*$F602),0)</f>
        <v>0</v>
      </c>
      <c r="Q602" s="55">
        <f>IFERROR((VLOOKUP($A602,'Dados StatusInvest'!$A:$AZ,COLUMN(Q602)-$A$5,0)/100),0)</f>
        <v>-0.0054</v>
      </c>
      <c r="R602" s="56">
        <f>VLOOKUP($A602,'Dados StatusInvest'!$A:$AZ,COLUMN(R602)-$A$5,0)</f>
        <v>-0.08</v>
      </c>
      <c r="S602" s="56">
        <f>IFERROR((VLOOKUP($A602,'Dados StatusInvest'!$A:$AZ,COLUMN(S602)-$A$5,0)),0)</f>
        <v>0.47</v>
      </c>
      <c r="T602" s="53">
        <f>IFERROR((VLOOKUP($A602,'Dados StatusInvest'!$A:$AZ,COLUMN(T602)-$A$5,0)/VLOOKUP($A602,'Dados StatusInvest'!$A:$AZ,2,0)*$F602),0)</f>
        <v>0</v>
      </c>
      <c r="U602" s="53">
        <f>IFERROR((VLOOKUP($A602,'Dados StatusInvest'!$A:$AZ,COLUMN(U602)-$A$5,0)-VLOOKUP($A602,'Dados StatusInvest'!$A:$AZ,COLUMN(U602)-$A$5-1,0)+T602),0)</f>
        <v>3.4</v>
      </c>
      <c r="V602" s="56">
        <f>IFERROR((VLOOKUP($A602,'Dados StatusInvest'!$A:$AZ,COLUMN(V602)-$A$5,0)),0)</f>
        <v>0.64</v>
      </c>
      <c r="W602" s="56">
        <f>IFERROR((VLOOKUP($A602,'Dados StatusInvest'!$A:$AZ,COLUMN(W602)-$A$5,0)),0)</f>
        <v>10.55</v>
      </c>
      <c r="X602" s="53">
        <f>IFERROR((VLOOKUP($A602,'Dados StatusInvest'!$A:$AZ,COLUMN(X602)-$A$5,0)/VLOOKUP($A602,'Dados StatusInvest'!$A:$AZ,2,0)*$F602),0)</f>
        <v>0</v>
      </c>
      <c r="Y602" s="54">
        <f>IFERROR((VLOOKUP($A602,'Dados StatusInvest'!$A:$AZ,COLUMN(Y602)-$A$5,0)/VLOOKUP($A602,'Dados StatusInvest'!$A:$AZ,2,0)*$F602),0)</f>
        <v>0</v>
      </c>
      <c r="Z602" s="56">
        <f>IFERROR((VLOOKUP($A602,'Dados StatusInvest'!$A:$AZ,COLUMN(Z602)-$A$5,0)),0)</f>
        <v>0.56</v>
      </c>
      <c r="AA602" s="57">
        <f>IFERROR((VLOOKUP($A602,'Dados StatusInvest'!$A:$AZ,COLUMN(AA602)-$A$5,0)),0)</f>
        <v>0.44</v>
      </c>
      <c r="AB602" s="57">
        <f>IFERROR((VLOOKUP($A602,'Dados StatusInvest'!$A:$AZ,COLUMN(AB602)-$A$5,0)),0)</f>
        <v>0.55</v>
      </c>
      <c r="AC602" s="58">
        <f>IFERROR((VLOOKUP($A602,'Dados StatusInvest'!$A:$AZ,COLUMN(AC602)-$A$5,0)),0)</f>
        <v>10.07</v>
      </c>
      <c r="AD602" s="57">
        <f>IFERROR((VLOOKUP($A602,'Dados StatusInvest'!$A:$AZ,COLUMN(AD602)-$A$5,0)),0)</f>
        <v>0</v>
      </c>
      <c r="AE602" s="56">
        <f>IFERROR((VLOOKUP($A602,'Dados StatusInvest'!$A:$AZ,COLUMN(AE602)-$A$5,0)),0)</f>
        <v>0</v>
      </c>
      <c r="AF602" s="56">
        <f>IFERROR((VLOOKUP($A602,'Dados StatusInvest'!$A:$AZ,COLUMN(AF602)-$A$5,0)),0)</f>
        <v>10.64</v>
      </c>
      <c r="AG602" s="56">
        <f>IFERROR((VLOOKUP($A602,'Dados StatusInvest'!$A:$AZ,COLUMN(AG602)-$A$5,0)),0)</f>
        <v>1.12</v>
      </c>
      <c r="AH602" s="56">
        <f>IFERROR((VLOOKUP($A602,'Dados StatusInvest'!$A:$AZ,COLUMN(AH602)-$A$5,0)),0)</f>
        <v>-0.03</v>
      </c>
      <c r="AI602" s="57">
        <f>IFERROR((VLOOKUP($A602,'Dados StatusInvest'!$A:$AZ,COLUMN(AI602)-$A$5,0)),0)</f>
        <v>1780029215</v>
      </c>
      <c r="AJ602" s="59" t="str">
        <f>IFERROR((VLOOKUP($A602,'Dados StatusInvest'!$A:$AZ,COLUMN(AJ602)-$A$5,0)),0)</f>
        <v/>
      </c>
      <c r="AK602" s="67" t="str">
        <f>IFERROR(__xludf.DUMMYFUNCTION("IFERROR(GOOGLEFINANCE($A602,""high""),"""")"),"")</f>
        <v/>
      </c>
      <c r="AL602" s="67" t="str">
        <f>IFERROR(__xludf.DUMMYFUNCTION("IFERROR(GOOGLEFINANCE($A602,""low""),"""")"),"")</f>
        <v/>
      </c>
      <c r="AM602" s="70">
        <f t="shared" si="2"/>
        <v>0</v>
      </c>
      <c r="AN602" s="71">
        <f>IFERROR(__xludf.DUMMYFUNCTION("IFERROR((GOOGLEFINANCE($A602,""volume"")),0)"),0.0)</f>
        <v>0</v>
      </c>
      <c r="AO602" s="67">
        <f>IFERROR(__xludf.DUMMYFUNCTION("IFERROR((GOOGLEFINANCE($A602,""closeyest"")),"""")"),5.0)</f>
        <v>5</v>
      </c>
      <c r="AP602" s="67">
        <f>IFERROR(__xludf.DUMMYFUNCTION("IFERROR((GOOGLEFINANCE($A602,""shares"")),"""")"),3.56005843E8)</f>
        <v>356005843</v>
      </c>
      <c r="AQ602" s="60"/>
    </row>
    <row r="603">
      <c r="A603" s="45" t="str">
        <f>'Dados StatusInvest'!A598:A1217</f>
        <v>VSPT4</v>
      </c>
      <c r="B603" s="63" t="str">
        <f>IFERROR(__xludf.DUMMYFUNCTION("IFERROR((GOOGLEFINANCE(A603,""name"")),"""")"),"Ferrovia Centro-Atlantica SA Preference Shares")</f>
        <v>Ferrovia Centro-Atlantica SA Preference Shares</v>
      </c>
      <c r="C603" s="63" t="str">
        <f>IFERROR((VLOOKUP(LEFT($A603,4),Setor!$A:$E,3,0)),"")</f>
        <v>Bens Industriais</v>
      </c>
      <c r="D603" s="63" t="str">
        <f>IFERROR((VLOOKUP(LEFT($A603,4),Setor!$A:$E,4,0)),"")</f>
        <v>Transporte</v>
      </c>
      <c r="E603" s="63" t="str">
        <f>IFERROR((VLOOKUP(LEFT($A603,4),Setor!$A:$E,5,0)),"")</f>
        <v>Transporte Ferroviário</v>
      </c>
      <c r="F603" s="64">
        <f>IFERROR(__xludf.DUMMYFUNCTION("IFERROR((GOOGLEFINANCE(A603)),"""")"),0.0)</f>
        <v>0</v>
      </c>
      <c r="G603" s="65" t="str">
        <f>IFERROR(__xludf.DUMMYFUNCTION("IFERROR((sparkline(GOOGLEFINANCE($A603,""price"",TODAY()-30,TODAY(),""DAILY""),{""charttype"",""line"";""linewidth"",1;""color"",""#5f88cc""})),"""")"),"")</f>
        <v/>
      </c>
      <c r="H603" s="66" t="str">
        <f>IFERROR(__xludf.DUMMYFUNCTION("IFERROR((((GOOGLEFINANCE(A603))-(INDEX(GoogleFinance(A603,""PRICE"",$AQ$1),2,2)))/(INDEX(GoogleFinance(A603,""PRICE"",$AQ$1),2,2))),"""")"),"")</f>
        <v/>
      </c>
      <c r="I603" s="47" t="str">
        <f>IFERROR(__xludf.DUMMYFUNCTION("IFERROR((GOOGLEFINANCE($A603,""high52"")),"""")"),"")</f>
        <v/>
      </c>
      <c r="J603" s="68" t="str">
        <f>IFERROR(__xludf.DUMMYFUNCTION("IFERROR((sparkline(GOOGLEFINANCE($A603,""price"",TODAY()-365,TODAY(),""DAILY""),{""charttype"",""line"";""linewidth"",1;""color"",""#5f88cc""})),"""")"),"")</f>
        <v/>
      </c>
      <c r="K603" s="66" t="str">
        <f>IFERROR(__xludf.DUMMYFUNCTION("IFERROR((((GOOGLEFINANCE(A603))-(INDEX(GoogleFinance(A603,""PRICE"",$AP$1),2,2)))/(INDEX(GoogleFinance(A603,""PRICE"",$AP$1),2,2))),"""")"),"")</f>
        <v/>
      </c>
      <c r="L603" s="69">
        <f t="shared" si="1"/>
        <v>0</v>
      </c>
      <c r="M603" s="52">
        <f>IFERROR((VLOOKUP($A603,'Dados StatusInvest'!$A:$AZ,COLUMN(M603)-$A$5,0)*VLOOKUP($A603,'Dados StatusInvest'!$A:$AZ,2,0)/$F603/100),0)</f>
        <v>0</v>
      </c>
      <c r="N603" s="53" t="str">
        <f>IFERROR((VLOOKUP($A603,'Dados StatusInvest'!$A:$AZ,COLUMN(N603)-$A$5,0)/VLOOKUP($A603,'Dados StatusInvest'!$A:$AZ,2,0)*$F603),"")</f>
        <v/>
      </c>
      <c r="O603" s="53">
        <f>IFERROR((VLOOKUP($A603,'Dados StatusInvest'!$A:$AZ,COLUMN(O603)-$A$5,0)/VLOOKUP($A603,'Dados StatusInvest'!$A:$AZ,2,0)*$F603),0)</f>
        <v>0</v>
      </c>
      <c r="P603" s="54">
        <f>IFERROR((VLOOKUP($A603,'Dados StatusInvest'!$A:$AZ,COLUMN(P603)-$A$5,0)/VLOOKUP($A603,'Dados StatusInvest'!$A:$AZ,2,0)*$F603),0)</f>
        <v>0</v>
      </c>
      <c r="Q603" s="55">
        <f>IFERROR((VLOOKUP($A603,'Dados StatusInvest'!$A:$AZ,COLUMN(Q603)-$A$5,0)/100),0)</f>
        <v>-0.0054</v>
      </c>
      <c r="R603" s="56">
        <f>VLOOKUP($A603,'Dados StatusInvest'!$A:$AZ,COLUMN(R603)-$A$5,0)</f>
        <v>-0.08</v>
      </c>
      <c r="S603" s="56">
        <f>IFERROR((VLOOKUP($A603,'Dados StatusInvest'!$A:$AZ,COLUMN(S603)-$A$5,0)),0)</f>
        <v>0</v>
      </c>
      <c r="T603" s="53">
        <f>IFERROR((VLOOKUP($A603,'Dados StatusInvest'!$A:$AZ,COLUMN(T603)-$A$5,0)/VLOOKUP($A603,'Dados StatusInvest'!$A:$AZ,2,0)*$F603),0)</f>
        <v>0</v>
      </c>
      <c r="U603" s="53">
        <f>IFERROR((VLOOKUP($A603,'Dados StatusInvest'!$A:$AZ,COLUMN(U603)-$A$5,0)-VLOOKUP($A603,'Dados StatusInvest'!$A:$AZ,COLUMN(U603)-$A$5-1,0)+T603),0)</f>
        <v>0</v>
      </c>
      <c r="V603" s="56">
        <f>IFERROR((VLOOKUP($A603,'Dados StatusInvest'!$A:$AZ,COLUMN(V603)-$A$5,0)),0)</f>
        <v>0.64</v>
      </c>
      <c r="W603" s="56">
        <f>IFERROR((VLOOKUP($A603,'Dados StatusInvest'!$A:$AZ,COLUMN(W603)-$A$5,0)),0)</f>
        <v>10.55</v>
      </c>
      <c r="X603" s="53">
        <f>IFERROR((VLOOKUP($A603,'Dados StatusInvest'!$A:$AZ,COLUMN(X603)-$A$5,0)/VLOOKUP($A603,'Dados StatusInvest'!$A:$AZ,2,0)*$F603),0)</f>
        <v>0</v>
      </c>
      <c r="Y603" s="54">
        <f>IFERROR((VLOOKUP($A603,'Dados StatusInvest'!$A:$AZ,COLUMN(Y603)-$A$5,0)/VLOOKUP($A603,'Dados StatusInvest'!$A:$AZ,2,0)*$F603),0)</f>
        <v>0</v>
      </c>
      <c r="Z603" s="56">
        <f>IFERROR((VLOOKUP($A603,'Dados StatusInvest'!$A:$AZ,COLUMN(Z603)-$A$5,0)),0)</f>
        <v>0.56</v>
      </c>
      <c r="AA603" s="57">
        <f>IFERROR((VLOOKUP($A603,'Dados StatusInvest'!$A:$AZ,COLUMN(AA603)-$A$5,0)),0)</f>
        <v>0.44</v>
      </c>
      <c r="AB603" s="57">
        <f>IFERROR((VLOOKUP($A603,'Dados StatusInvest'!$A:$AZ,COLUMN(AB603)-$A$5,0)),0)</f>
        <v>0.55</v>
      </c>
      <c r="AC603" s="58">
        <f>IFERROR((VLOOKUP($A603,'Dados StatusInvest'!$A:$AZ,COLUMN(AC603)-$A$5,0)),0)</f>
        <v>10.07</v>
      </c>
      <c r="AD603" s="57">
        <f>IFERROR((VLOOKUP($A603,'Dados StatusInvest'!$A:$AZ,COLUMN(AD603)-$A$5,0)),0)</f>
        <v>0</v>
      </c>
      <c r="AE603" s="56">
        <f>IFERROR((VLOOKUP($A603,'Dados StatusInvest'!$A:$AZ,COLUMN(AE603)-$A$5,0)),0)</f>
        <v>0</v>
      </c>
      <c r="AF603" s="56">
        <f>IFERROR((VLOOKUP($A603,'Dados StatusInvest'!$A:$AZ,COLUMN(AF603)-$A$5,0)),0)</f>
        <v>10.64</v>
      </c>
      <c r="AG603" s="56">
        <f>IFERROR((VLOOKUP($A603,'Dados StatusInvest'!$A:$AZ,COLUMN(AG603)-$A$5,0)),0)</f>
        <v>1.12</v>
      </c>
      <c r="AH603" s="56">
        <f>IFERROR((VLOOKUP($A603,'Dados StatusInvest'!$A:$AZ,COLUMN(AH603)-$A$5,0)),0)</f>
        <v>0</v>
      </c>
      <c r="AI603" s="57">
        <f>IFERROR((VLOOKUP($A603,'Dados StatusInvest'!$A:$AZ,COLUMN(AI603)-$A$5,0)),0)</f>
        <v>1780029215</v>
      </c>
      <c r="AJ603" s="59" t="str">
        <f>IFERROR((VLOOKUP($A603,'Dados StatusInvest'!$A:$AZ,COLUMN(AJ603)-$A$5,0)),0)</f>
        <v/>
      </c>
      <c r="AK603" s="67" t="str">
        <f>IFERROR(__xludf.DUMMYFUNCTION("IFERROR(GOOGLEFINANCE($A603,""high""),"""")"),"")</f>
        <v/>
      </c>
      <c r="AL603" s="67" t="str">
        <f>IFERROR(__xludf.DUMMYFUNCTION("IFERROR(GOOGLEFINANCE($A603,""low""),"""")"),"")</f>
        <v/>
      </c>
      <c r="AM603" s="70">
        <f t="shared" si="2"/>
        <v>0</v>
      </c>
      <c r="AN603" s="71">
        <f>IFERROR(__xludf.DUMMYFUNCTION("IFERROR((GOOGLEFINANCE($A603,""volume"")),0)"),0.0)</f>
        <v>0</v>
      </c>
      <c r="AO603" s="67" t="str">
        <f>IFERROR(__xludf.DUMMYFUNCTION("IFERROR((GOOGLEFINANCE($A603,""closeyest"")),"""")"),"")</f>
        <v/>
      </c>
      <c r="AP603" s="67">
        <f>IFERROR(__xludf.DUMMYFUNCTION("IFERROR((GOOGLEFINANCE($A603,""shares"")),"""")"),19.0)</f>
        <v>19</v>
      </c>
      <c r="AQ603" s="60"/>
    </row>
    <row r="604">
      <c r="A604" s="45" t="str">
        <f>'Dados StatusInvest'!A599:A1218</f>
        <v>VSTE3</v>
      </c>
      <c r="B604" s="63" t="str">
        <f>IFERROR(__xludf.DUMMYFUNCTION("IFERROR((GOOGLEFINANCE(A604,""name"")),"""")"),"Veste SA Estilo")</f>
        <v>Veste SA Estilo</v>
      </c>
      <c r="C604" s="63" t="str">
        <f>IFERROR((VLOOKUP(LEFT($A604,4),Setor!$A:$E,3,0)),"")</f>
        <v/>
      </c>
      <c r="D604" s="63" t="str">
        <f>IFERROR((VLOOKUP(LEFT($A604,4),Setor!$A:$E,4,0)),"")</f>
        <v/>
      </c>
      <c r="E604" s="63" t="str">
        <f>IFERROR((VLOOKUP(LEFT($A604,4),Setor!$A:$E,5,0)),"")</f>
        <v/>
      </c>
      <c r="F604" s="64">
        <f>IFERROR(__xludf.DUMMYFUNCTION("IFERROR((GOOGLEFINANCE(A604)),"""")"),3.62)</f>
        <v>3.62</v>
      </c>
      <c r="G604" s="65" t="str">
        <f>IFERROR(__xludf.DUMMYFUNCTION("IFERROR((sparkline(GOOGLEFINANCE($A604,""price"",TODAY()-30,TODAY(),""DAILY""),{""charttype"",""line"";""linewidth"",1;""color"",""#5f88cc""})),"""")"),"")</f>
        <v/>
      </c>
      <c r="H604" s="66">
        <f>IFERROR(__xludf.DUMMYFUNCTION("IFERROR((((GOOGLEFINANCE(A604))-(INDEX(GoogleFinance(A604,""PRICE"",$AQ$1),2,2)))/(INDEX(GoogleFinance(A604,""PRICE"",$AQ$1),2,2))),"""")"),-0.06459948320413436)</f>
        <v>-0.0645994832</v>
      </c>
      <c r="I604" s="47">
        <f>IFERROR(__xludf.DUMMYFUNCTION("IFERROR((GOOGLEFINANCE($A604,""high52"")),"""")"),7.2)</f>
        <v>7.2</v>
      </c>
      <c r="J604" s="68" t="str">
        <f>IFERROR(__xludf.DUMMYFUNCTION("IFERROR((sparkline(GOOGLEFINANCE($A604,""price"",TODAY()-365,TODAY(),""DAILY""),{""charttype"",""line"";""linewidth"",1;""color"",""#5f88cc""})),"""")"),"")</f>
        <v/>
      </c>
      <c r="K604" s="66">
        <f>IFERROR(__xludf.DUMMYFUNCTION("IFERROR((((GOOGLEFINANCE(A604))-(INDEX(GoogleFinance(A604,""PRICE"",$AP$1),2,2)))/(INDEX(GoogleFinance(A604,""PRICE"",$AP$1),2,2))),"""")"),-0.4094616639477977)</f>
        <v>-0.4094616639</v>
      </c>
      <c r="L604" s="69">
        <f t="shared" si="1"/>
        <v>-0.4972222222</v>
      </c>
      <c r="M604" s="52">
        <f>IFERROR((VLOOKUP($A604,'Dados StatusInvest'!$A:$AZ,COLUMN(M604)-$A$5,0)*VLOOKUP($A604,'Dados StatusInvest'!$A:$AZ,2,0)/$F604/100),0)</f>
        <v>0.06565138122</v>
      </c>
      <c r="N604" s="53">
        <f>IFERROR((VLOOKUP($A604,'Dados StatusInvest'!$A:$AZ,COLUMN(N604)-$A$5,0)/VLOOKUP($A604,'Dados StatusInvest'!$A:$AZ,2,0)*$F604),"")</f>
        <v>1.694038997</v>
      </c>
      <c r="O604" s="53">
        <f>IFERROR((VLOOKUP($A604,'Dados StatusInvest'!$A:$AZ,COLUMN(O604)-$A$5,0)/VLOOKUP($A604,'Dados StatusInvest'!$A:$AZ,2,0)*$F604),0)</f>
        <v>5.193036212</v>
      </c>
      <c r="P604" s="54">
        <f>IFERROR((VLOOKUP($A604,'Dados StatusInvest'!$A:$AZ,COLUMN(P604)-$A$5,0)/VLOOKUP($A604,'Dados StatusInvest'!$A:$AZ,2,0)*$F604),0)</f>
        <v>9.075208914</v>
      </c>
      <c r="Q604" s="55">
        <f>IFERROR((VLOOKUP($A604,'Dados StatusInvest'!$A:$AZ,COLUMN(Q604)-$A$5,0)/100),0)</f>
        <v>0.0385</v>
      </c>
      <c r="R604" s="56">
        <f>VLOOKUP($A604,'Dados StatusInvest'!$A:$AZ,COLUMN(R604)-$A$5,0)</f>
        <v>0.29</v>
      </c>
      <c r="S604" s="56">
        <f>IFERROR((VLOOKUP($A604,'Dados StatusInvest'!$A:$AZ,COLUMN(S604)-$A$5,0)),0)</f>
        <v>0.34</v>
      </c>
      <c r="T604" s="53">
        <f>IFERROR((VLOOKUP($A604,'Dados StatusInvest'!$A:$AZ,COLUMN(T604)-$A$5,0)/VLOOKUP($A604,'Dados StatusInvest'!$A:$AZ,2,0)*$F604),0)</f>
        <v>2.783064067</v>
      </c>
      <c r="U604" s="53">
        <f>IFERROR((VLOOKUP($A604,'Dados StatusInvest'!$A:$AZ,COLUMN(U604)-$A$5,0)-VLOOKUP($A604,'Dados StatusInvest'!$A:$AZ,COLUMN(U604)-$A$5-1,0)+T604),0)</f>
        <v>-0.3369359331</v>
      </c>
      <c r="V604" s="56">
        <f>IFERROR((VLOOKUP($A604,'Dados StatusInvest'!$A:$AZ,COLUMN(V604)-$A$5,0)),0)</f>
        <v>1.39</v>
      </c>
      <c r="W604" s="56">
        <f>IFERROR((VLOOKUP($A604,'Dados StatusInvest'!$A:$AZ,COLUMN(W604)-$A$5,0)),0)</f>
        <v>1.92</v>
      </c>
      <c r="X604" s="53">
        <f>IFERROR((VLOOKUP($A604,'Dados StatusInvest'!$A:$AZ,COLUMN(X604)-$A$5,0)/VLOOKUP($A604,'Dados StatusInvest'!$A:$AZ,2,0)*$F604),0)</f>
        <v>1.210027855</v>
      </c>
      <c r="Y604" s="54">
        <f>IFERROR((VLOOKUP($A604,'Dados StatusInvest'!$A:$AZ,COLUMN(Y604)-$A$5,0)/VLOOKUP($A604,'Dados StatusInvest'!$A:$AZ,2,0)*$F604),0)</f>
        <v>5.747632312</v>
      </c>
      <c r="Z604" s="56">
        <f>IFERROR((VLOOKUP($A604,'Dados StatusInvest'!$A:$AZ,COLUMN(Z604)-$A$5,0)),0)</f>
        <v>0.63</v>
      </c>
      <c r="AA604" s="57">
        <f>IFERROR((VLOOKUP($A604,'Dados StatusInvest'!$A:$AZ,COLUMN(AA604)-$A$5,0)),0)</f>
        <v>0.37</v>
      </c>
      <c r="AB604" s="57">
        <f>IFERROR((VLOOKUP($A604,'Dados StatusInvest'!$A:$AZ,COLUMN(AB604)-$A$5,0)),0)</f>
        <v>0.71</v>
      </c>
      <c r="AC604" s="58">
        <f>IFERROR((VLOOKUP($A604,'Dados StatusInvest'!$A:$AZ,COLUMN(AC604)-$A$5,0)),0)</f>
        <v>3.1</v>
      </c>
      <c r="AD604" s="57">
        <f>IFERROR((VLOOKUP($A604,'Dados StatusInvest'!$A:$AZ,COLUMN(AD604)-$A$5,0)),0)</f>
        <v>0</v>
      </c>
      <c r="AE604" s="56">
        <f>IFERROR((VLOOKUP($A604,'Dados StatusInvest'!$A:$AZ,COLUMN(AE604)-$A$5,0)),0)</f>
        <v>109454.9</v>
      </c>
      <c r="AF604" s="56">
        <f>IFERROR((VLOOKUP($A604,'Dados StatusInvest'!$A:$AZ,COLUMN(AF604)-$A$5,0)),0)</f>
        <v>9.23</v>
      </c>
      <c r="AG604" s="56">
        <f>IFERROR((VLOOKUP($A604,'Dados StatusInvest'!$A:$AZ,COLUMN(AG604)-$A$5,0)),0)</f>
        <v>0.18</v>
      </c>
      <c r="AH604" s="56">
        <f>IFERROR((VLOOKUP($A604,'Dados StatusInvest'!$A:$AZ,COLUMN(AH604)-$A$5,0)),0)</f>
        <v>-0.02</v>
      </c>
      <c r="AI604" s="57">
        <f>IFERROR((VLOOKUP($A604,'Dados StatusInvest'!$A:$AZ,COLUMN(AI604)-$A$5,0)),0)</f>
        <v>410458496.4</v>
      </c>
      <c r="AJ604" s="59" t="str">
        <f>IFERROR((VLOOKUP($A604,'Dados StatusInvest'!$A:$AZ,COLUMN(AJ604)-$A$5,0)),0)</f>
        <v/>
      </c>
      <c r="AK604" s="67" t="str">
        <f>IFERROR(__xludf.DUMMYFUNCTION("IFERROR(GOOGLEFINANCE($A604,""high""),"""")"),"")</f>
        <v/>
      </c>
      <c r="AL604" s="67" t="str">
        <f>IFERROR(__xludf.DUMMYFUNCTION("IFERROR(GOOGLEFINANCE($A604,""low""),"""")"),"")</f>
        <v/>
      </c>
      <c r="AM604" s="70">
        <f t="shared" si="2"/>
        <v>0</v>
      </c>
      <c r="AN604" s="71">
        <f>IFERROR(__xludf.DUMMYFUNCTION("IFERROR((GOOGLEFINANCE($A604,""volume"")),0)"),1200.0)</f>
        <v>1200</v>
      </c>
      <c r="AO604" s="67">
        <f>IFERROR(__xludf.DUMMYFUNCTION("IFERROR((GOOGLEFINANCE($A604,""closeyest"")),"""")"),3.59)</f>
        <v>3.59</v>
      </c>
      <c r="AP604" s="67">
        <f>IFERROR(__xludf.DUMMYFUNCTION("IFERROR((GOOGLEFINANCE($A604,""shares"")),"""")"),1.14333843E8)</f>
        <v>114333843</v>
      </c>
      <c r="AQ604" s="60"/>
    </row>
    <row r="605">
      <c r="A605" s="45" t="str">
        <f>'Dados StatusInvest'!A600:A1219</f>
        <v>VTRU3</v>
      </c>
      <c r="B605" s="63" t="str">
        <f>IFERROR(__xludf.DUMMYFUNCTION("IFERROR((GOOGLEFINANCE(A605,""name"")),"""")"),"Vitru Brsl Emprndmnts Prtcpcs e Cmrc SA")</f>
        <v>Vitru Brsl Emprndmnts Prtcpcs e Cmrc SA</v>
      </c>
      <c r="C605" s="63" t="str">
        <f>IFERROR((VLOOKUP(LEFT($A605,4),Setor!$A:$E,3,0)),"")</f>
        <v/>
      </c>
      <c r="D605" s="63" t="str">
        <f>IFERROR((VLOOKUP(LEFT($A605,4),Setor!$A:$E,4,0)),"")</f>
        <v/>
      </c>
      <c r="E605" s="63" t="str">
        <f>IFERROR((VLOOKUP(LEFT($A605,4),Setor!$A:$E,5,0)),"")</f>
        <v/>
      </c>
      <c r="F605" s="64">
        <f>IFERROR(__xludf.DUMMYFUNCTION("IFERROR((GOOGLEFINANCE(A605)),"""")"),15.11)</f>
        <v>15.11</v>
      </c>
      <c r="G605" s="65" t="str">
        <f>IFERROR(__xludf.DUMMYFUNCTION("IFERROR((sparkline(GOOGLEFINANCE($A605,""price"",TODAY()-30,TODAY(),""DAILY""),{""charttype"",""line"";""linewidth"",1;""color"",""#5f88cc""})),"""")"),"")</f>
        <v/>
      </c>
      <c r="H605" s="66">
        <f>IFERROR(__xludf.DUMMYFUNCTION("IFERROR((((GOOGLEFINANCE(A605))-(INDEX(GoogleFinance(A605,""PRICE"",$AQ$1),2,2)))/(INDEX(GoogleFinance(A605,""PRICE"",$AQ$1),2,2))),"""")"),-0.02137305699481866)</f>
        <v>-0.02137305699</v>
      </c>
      <c r="I605" s="47">
        <f>IFERROR(__xludf.DUMMYFUNCTION("IFERROR((GOOGLEFINANCE($A605,""high52"")),"""")"),17.38)</f>
        <v>17.38</v>
      </c>
      <c r="J605" s="68" t="str">
        <f>IFERROR(__xludf.DUMMYFUNCTION("IFERROR((sparkline(GOOGLEFINANCE($A605,""price"",TODAY()-365,TODAY(),""DAILY""),{""charttype"",""line"";""linewidth"",1;""color"",""#5f88cc""})),"""")"),"")</f>
        <v/>
      </c>
      <c r="K605" s="66">
        <f>IFERROR(__xludf.DUMMYFUNCTION("IFERROR((((GOOGLEFINANCE(A605))-(INDEX(GoogleFinance(A605,""PRICE"",$AP$1),2,2)))/(INDEX(GoogleFinance(A605,""PRICE"",$AP$1),2,2))),"""")"),1.3795275590551181)</f>
        <v>1.379527559</v>
      </c>
      <c r="L605" s="69">
        <f t="shared" si="1"/>
        <v>-0.1306098964</v>
      </c>
      <c r="M605" s="52">
        <f>IFERROR((VLOOKUP($A605,'Dados StatusInvest'!$A:$AZ,COLUMN(M605)-$A$5,0)*VLOOKUP($A605,'Dados StatusInvest'!$A:$AZ,2,0)/$F605/100),0)</f>
        <v>-0.07372892124</v>
      </c>
      <c r="N605" s="53">
        <f>IFERROR((VLOOKUP($A605,'Dados StatusInvest'!$A:$AZ,COLUMN(N605)-$A$5,0)/VLOOKUP($A605,'Dados StatusInvest'!$A:$AZ,2,0)*$F605),"")</f>
        <v>-14.68366798</v>
      </c>
      <c r="O605" s="53">
        <f>IFERROR((VLOOKUP($A605,'Dados StatusInvest'!$A:$AZ,COLUMN(O605)-$A$5,0)/VLOOKUP($A605,'Dados StatusInvest'!$A:$AZ,2,0)*$F605),0)</f>
        <v>-15.19923228</v>
      </c>
      <c r="P605" s="54">
        <f>IFERROR((VLOOKUP($A605,'Dados StatusInvest'!$A:$AZ,COLUMN(P605)-$A$5,0)/VLOOKUP($A605,'Dados StatusInvest'!$A:$AZ,2,0)*$F605),0)</f>
        <v>-11.55062336</v>
      </c>
      <c r="Q605" s="55">
        <f>IFERROR((VLOOKUP($A605,'Dados StatusInvest'!$A:$AZ,COLUMN(Q605)-$A$5,0)/100),0)</f>
        <v>0.0368</v>
      </c>
      <c r="R605" s="56">
        <f>VLOOKUP($A605,'Dados StatusInvest'!$A:$AZ,COLUMN(R605)-$A$5,0)</f>
        <v>-0.54</v>
      </c>
      <c r="S605" s="56">
        <f>IFERROR((VLOOKUP($A605,'Dados StatusInvest'!$A:$AZ,COLUMN(S605)-$A$5,0)),0)</f>
        <v>1.12</v>
      </c>
      <c r="T605" s="53">
        <f>IFERROR((VLOOKUP($A605,'Dados StatusInvest'!$A:$AZ,COLUMN(T605)-$A$5,0)/VLOOKUP($A605,'Dados StatusInvest'!$A:$AZ,2,0)*$F605),0)</f>
        <v>4.283149606</v>
      </c>
      <c r="U605" s="53">
        <f>IFERROR((VLOOKUP($A605,'Dados StatusInvest'!$A:$AZ,COLUMN(U605)-$A$5,0)-VLOOKUP($A605,'Dados StatusInvest'!$A:$AZ,COLUMN(U605)-$A$5-1,0)+T605),0)</f>
        <v>-4.006850394</v>
      </c>
      <c r="V605" s="56">
        <f>IFERROR((VLOOKUP($A605,'Dados StatusInvest'!$A:$AZ,COLUMN(V605)-$A$5,0)),0)</f>
        <v>4.48</v>
      </c>
      <c r="W605" s="56">
        <f>IFERROR((VLOOKUP($A605,'Dados StatusInvest'!$A:$AZ,COLUMN(W605)-$A$5,0)),0)</f>
        <v>-29.57</v>
      </c>
      <c r="X605" s="53">
        <f>IFERROR((VLOOKUP($A605,'Dados StatusInvest'!$A:$AZ,COLUMN(X605)-$A$5,0)/VLOOKUP($A605,'Dados StatusInvest'!$A:$AZ,2,0)*$F605),0)</f>
        <v>-23.81510499</v>
      </c>
      <c r="Y605" s="54">
        <f>IFERROR((VLOOKUP($A605,'Dados StatusInvest'!$A:$AZ,COLUMN(Y605)-$A$5,0)/VLOOKUP($A605,'Dados StatusInvest'!$A:$AZ,2,0)*$F605),0)</f>
        <v>-29.26818898</v>
      </c>
      <c r="Z605" s="56">
        <f>IFERROR((VLOOKUP($A605,'Dados StatusInvest'!$A:$AZ,COLUMN(Z605)-$A$5,0)),0)</f>
        <v>0.81</v>
      </c>
      <c r="AA605" s="57">
        <f>IFERROR((VLOOKUP($A605,'Dados StatusInvest'!$A:$AZ,COLUMN(AA605)-$A$5,0)),0)</f>
        <v>0.19</v>
      </c>
      <c r="AB605" s="57">
        <f>IFERROR((VLOOKUP($A605,'Dados StatusInvest'!$A:$AZ,COLUMN(AB605)-$A$5,0)),0)</f>
        <v>1.62</v>
      </c>
      <c r="AC605" s="58">
        <f>IFERROR((VLOOKUP($A605,'Dados StatusInvest'!$A:$AZ,COLUMN(AC605)-$A$5,0)),0)</f>
        <v>0</v>
      </c>
      <c r="AD605" s="57">
        <f>IFERROR((VLOOKUP($A605,'Dados StatusInvest'!$A:$AZ,COLUMN(AD605)-$A$5,0)),0)</f>
        <v>0</v>
      </c>
      <c r="AE605" s="56">
        <f>IFERROR((VLOOKUP($A605,'Dados StatusInvest'!$A:$AZ,COLUMN(AE605)-$A$5,0)),0)</f>
        <v>9220640</v>
      </c>
      <c r="AF605" s="56">
        <f>IFERROR((VLOOKUP($A605,'Dados StatusInvest'!$A:$AZ,COLUMN(AF605)-$A$5,0)),0)</f>
        <v>6.81</v>
      </c>
      <c r="AG605" s="56">
        <f>IFERROR((VLOOKUP($A605,'Dados StatusInvest'!$A:$AZ,COLUMN(AG605)-$A$5,0)),0)</f>
        <v>-2.01</v>
      </c>
      <c r="AH605" s="56">
        <f>IFERROR((VLOOKUP($A605,'Dados StatusInvest'!$A:$AZ,COLUMN(AH605)-$A$5,0)),0)</f>
        <v>0</v>
      </c>
      <c r="AI605" s="57">
        <f>IFERROR((VLOOKUP($A605,'Dados StatusInvest'!$A:$AZ,COLUMN(AI605)-$A$5,0)),0)</f>
        <v>577383508.7</v>
      </c>
      <c r="AJ605" s="59" t="str">
        <f>IFERROR((VLOOKUP($A605,'Dados StatusInvest'!$A:$AZ,COLUMN(AJ605)-$A$5,0)),0)</f>
        <v/>
      </c>
      <c r="AK605" s="67">
        <f>IFERROR(__xludf.DUMMYFUNCTION("IFERROR(GOOGLEFINANCE($A605,""high""),"""")"),15.26)</f>
        <v>15.26</v>
      </c>
      <c r="AL605" s="67">
        <f>IFERROR(__xludf.DUMMYFUNCTION("IFERROR(GOOGLEFINANCE($A605,""low""),"""")"),15.07)</f>
        <v>15.07</v>
      </c>
      <c r="AM605" s="70">
        <f t="shared" si="2"/>
        <v>0.01260783013</v>
      </c>
      <c r="AN605" s="71">
        <f>IFERROR(__xludf.DUMMYFUNCTION("IFERROR((GOOGLEFINANCE($A605,""volume"")),0)"),6000.0)</f>
        <v>6000</v>
      </c>
      <c r="AO605" s="67">
        <f>IFERROR(__xludf.DUMMYFUNCTION("IFERROR((GOOGLEFINANCE($A605,""closeyest"")),"""")"),15.24)</f>
        <v>15.24</v>
      </c>
      <c r="AP605" s="67">
        <f>IFERROR(__xludf.DUMMYFUNCTION("IFERROR((GOOGLEFINANCE($A605,""shares"")),"""")"),1.34172428E8)</f>
        <v>134172428</v>
      </c>
      <c r="AQ605" s="60"/>
    </row>
    <row r="606">
      <c r="A606" s="45" t="str">
        <f>'Dados StatusInvest'!A601:A1220</f>
        <v>VULC3</v>
      </c>
      <c r="B606" s="63" t="str">
        <f>IFERROR(__xludf.DUMMYFUNCTION("IFERROR((GOOGLEFINANCE(A606,""name"")),"""")"),"Vulcabras S/A")</f>
        <v>Vulcabras S/A</v>
      </c>
      <c r="C606" s="63" t="str">
        <f>IFERROR((VLOOKUP(LEFT($A606,4),Setor!$A:$E,3,0)),"")</f>
        <v>Consumo Cíclico</v>
      </c>
      <c r="D606" s="63" t="str">
        <f>IFERROR((VLOOKUP(LEFT($A606,4),Setor!$A:$E,4,0)),"")</f>
        <v>Tecidos, Vestuário e Calçados</v>
      </c>
      <c r="E606" s="63" t="str">
        <f>IFERROR((VLOOKUP(LEFT($A606,4),Setor!$A:$E,5,0)),"")</f>
        <v>Calçados</v>
      </c>
      <c r="F606" s="64">
        <f>IFERROR(__xludf.DUMMYFUNCTION("IFERROR((GOOGLEFINANCE(A606)),"""")"),18.75)</f>
        <v>18.75</v>
      </c>
      <c r="G606" s="65" t="str">
        <f>IFERROR(__xludf.DUMMYFUNCTION("IFERROR((sparkline(GOOGLEFINANCE($A606,""price"",TODAY()-30,TODAY(),""DAILY""),{""charttype"",""line"";""linewidth"",1;""color"",""#5f88cc""})),"""")"),"")</f>
        <v/>
      </c>
      <c r="H606" s="66">
        <f>IFERROR(__xludf.DUMMYFUNCTION("IFERROR((((GOOGLEFINANCE(A606))-(INDEX(GoogleFinance(A606,""PRICE"",$AQ$1),2,2)))/(INDEX(GoogleFinance(A606,""PRICE"",$AQ$1),2,2))),"""")"),0.0434056761268782)</f>
        <v>0.04340567613</v>
      </c>
      <c r="I606" s="47">
        <f>IFERROR(__xludf.DUMMYFUNCTION("IFERROR((GOOGLEFINANCE($A606,""high52"")),"""")"),20.23)</f>
        <v>20.23</v>
      </c>
      <c r="J606" s="68" t="str">
        <f>IFERROR(__xludf.DUMMYFUNCTION("IFERROR((sparkline(GOOGLEFINANCE($A606,""price"",TODAY()-365,TODAY(),""DAILY""),{""charttype"",""line"";""linewidth"",1;""color"",""#5f88cc""})),"""")"),"")</f>
        <v/>
      </c>
      <c r="K606" s="66">
        <f>IFERROR(__xludf.DUMMYFUNCTION("IFERROR((((GOOGLEFINANCE(A606))-(INDEX(GoogleFinance(A606,""PRICE"",$AP$1),2,2)))/(INDEX(GoogleFinance(A606,""PRICE"",$AP$1),2,2))),"""")"),0.19731800766283525)</f>
        <v>0.1973180077</v>
      </c>
      <c r="L606" s="69">
        <f t="shared" si="1"/>
        <v>-0.07315867523</v>
      </c>
      <c r="M606" s="52">
        <f>IFERROR((VLOOKUP($A606,'Dados StatusInvest'!$A:$AZ,COLUMN(M606)-$A$5,0)*VLOOKUP($A606,'Dados StatusInvest'!$A:$AZ,2,0)/$F606/100),0)</f>
        <v>0.2114624</v>
      </c>
      <c r="N606" s="53">
        <f>IFERROR((VLOOKUP($A606,'Dados StatusInvest'!$A:$AZ,COLUMN(N606)-$A$5,0)/VLOOKUP($A606,'Dados StatusInvest'!$A:$AZ,2,0)*$F606),"")</f>
        <v>33.91954787</v>
      </c>
      <c r="O606" s="53">
        <f>IFERROR((VLOOKUP($A606,'Dados StatusInvest'!$A:$AZ,COLUMN(O606)-$A$5,0)/VLOOKUP($A606,'Dados StatusInvest'!$A:$AZ,2,0)*$F606),0)</f>
        <v>8.138297872</v>
      </c>
      <c r="P606" s="54">
        <f>IFERROR((VLOOKUP($A606,'Dados StatusInvest'!$A:$AZ,COLUMN(P606)-$A$5,0)/VLOOKUP($A606,'Dados StatusInvest'!$A:$AZ,2,0)*$F606),0)</f>
        <v>8.736702128</v>
      </c>
      <c r="Q606" s="55">
        <f>IFERROR((VLOOKUP($A606,'Dados StatusInvest'!$A:$AZ,COLUMN(Q606)-$A$5,0)/100),0)</f>
        <v>0.006</v>
      </c>
      <c r="R606" s="56">
        <f>VLOOKUP($A606,'Dados StatusInvest'!$A:$AZ,COLUMN(R606)-$A$5,0)</f>
        <v>0.18</v>
      </c>
      <c r="S606" s="56">
        <f>IFERROR((VLOOKUP($A606,'Dados StatusInvest'!$A:$AZ,COLUMN(S606)-$A$5,0)),0)</f>
        <v>1.72</v>
      </c>
      <c r="T606" s="53">
        <f>IFERROR((VLOOKUP($A606,'Dados StatusInvest'!$A:$AZ,COLUMN(T606)-$A$5,0)/VLOOKUP($A606,'Dados StatusInvest'!$A:$AZ,2,0)*$F606),0)</f>
        <v>3.450797872</v>
      </c>
      <c r="U606" s="53">
        <f>IFERROR((VLOOKUP($A606,'Dados StatusInvest'!$A:$AZ,COLUMN(U606)-$A$5,0)-VLOOKUP($A606,'Dados StatusInvest'!$A:$AZ,COLUMN(U606)-$A$5-1,0)+T606),0)</f>
        <v>-4.079202128</v>
      </c>
      <c r="V606" s="56">
        <f>IFERROR((VLOOKUP($A606,'Dados StatusInvest'!$A:$AZ,COLUMN(V606)-$A$5,0)),0)</f>
        <v>2.65</v>
      </c>
      <c r="W606" s="56">
        <f>IFERROR((VLOOKUP($A606,'Dados StatusInvest'!$A:$AZ,COLUMN(W606)-$A$5,0)),0)</f>
        <v>46.97</v>
      </c>
      <c r="X606" s="53">
        <f>IFERROR((VLOOKUP($A606,'Dados StatusInvest'!$A:$AZ,COLUMN(X606)-$A$5,0)/VLOOKUP($A606,'Dados StatusInvest'!$A:$AZ,2,0)*$F606),0)</f>
        <v>27.79587766</v>
      </c>
      <c r="Y606" s="54">
        <f>IFERROR((VLOOKUP($A606,'Dados StatusInvest'!$A:$AZ,COLUMN(Y606)-$A$5,0)/VLOOKUP($A606,'Dados StatusInvest'!$A:$AZ,2,0)*$F606),0)</f>
        <v>11.45944149</v>
      </c>
      <c r="Z606" s="56">
        <f>IFERROR((VLOOKUP($A606,'Dados StatusInvest'!$A:$AZ,COLUMN(Z606)-$A$5,0)),0)</f>
        <v>0.59</v>
      </c>
      <c r="AA606" s="57">
        <f>IFERROR((VLOOKUP($A606,'Dados StatusInvest'!$A:$AZ,COLUMN(AA606)-$A$5,0)),0)</f>
        <v>0.41</v>
      </c>
      <c r="AB606" s="57">
        <f>IFERROR((VLOOKUP($A606,'Dados StatusInvest'!$A:$AZ,COLUMN(AB606)-$A$5,0)),0)</f>
        <v>0.82</v>
      </c>
      <c r="AC606" s="58">
        <f>IFERROR((VLOOKUP($A606,'Dados StatusInvest'!$A:$AZ,COLUMN(AC606)-$A$5,0)),0)</f>
        <v>17.52</v>
      </c>
      <c r="AD606" s="57">
        <f>IFERROR((VLOOKUP($A606,'Dados StatusInvest'!$A:$AZ,COLUMN(AD606)-$A$5,0)),0)</f>
        <v>52.39</v>
      </c>
      <c r="AE606" s="56">
        <f>IFERROR((VLOOKUP($A606,'Dados StatusInvest'!$A:$AZ,COLUMN(AE606)-$A$5,0)),0)</f>
        <v>33789978</v>
      </c>
      <c r="AF606" s="56">
        <f>IFERROR((VLOOKUP($A606,'Dados StatusInvest'!$A:$AZ,COLUMN(AF606)-$A$5,0)),0)</f>
        <v>7.91</v>
      </c>
      <c r="AG606" s="56">
        <f>IFERROR((VLOOKUP($A606,'Dados StatusInvest'!$A:$AZ,COLUMN(AG606)-$A$5,0)),0)</f>
        <v>3.71</v>
      </c>
      <c r="AH606" s="56">
        <f>IFERROR((VLOOKUP($A606,'Dados StatusInvest'!$A:$AZ,COLUMN(AH606)-$A$5,0)),0)</f>
        <v>0.04</v>
      </c>
      <c r="AI606" s="57">
        <f>IFERROR((VLOOKUP($A606,'Dados StatusInvest'!$A:$AZ,COLUMN(AI606)-$A$5,0)),0)</f>
        <v>5950240796</v>
      </c>
      <c r="AJ606" s="59" t="str">
        <f>IFERROR((VLOOKUP($A606,'Dados StatusInvest'!$A:$AZ,COLUMN(AJ606)-$A$5,0)),0)</f>
        <v/>
      </c>
      <c r="AK606" s="67">
        <f>IFERROR(__xludf.DUMMYFUNCTION("IFERROR(GOOGLEFINANCE($A606,""high""),"""")"),19.19)</f>
        <v>19.19</v>
      </c>
      <c r="AL606" s="67">
        <f>IFERROR(__xludf.DUMMYFUNCTION("IFERROR(GOOGLEFINANCE($A606,""low""),"""")"),18.64)</f>
        <v>18.64</v>
      </c>
      <c r="AM606" s="70">
        <f t="shared" si="2"/>
        <v>0.02950643777</v>
      </c>
      <c r="AN606" s="71">
        <f>IFERROR(__xludf.DUMMYFUNCTION("IFERROR((GOOGLEFINANCE($A606,""volume"")),0)"),351700.0)</f>
        <v>351700</v>
      </c>
      <c r="AO606" s="67">
        <f>IFERROR(__xludf.DUMMYFUNCTION("IFERROR((GOOGLEFINANCE($A606,""closeyest"")),"""")"),18.8)</f>
        <v>18.8</v>
      </c>
      <c r="AP606" s="67">
        <f>IFERROR(__xludf.DUMMYFUNCTION("IFERROR((GOOGLEFINANCE($A606,""shares"")),"""")"),3.1650217E8)</f>
        <v>316502170</v>
      </c>
      <c r="AQ606" s="60"/>
    </row>
    <row r="607">
      <c r="A607" s="45" t="str">
        <f>'Dados StatusInvest'!A602:A1221</f>
        <v>VVEO3</v>
      </c>
      <c r="B607" s="63" t="str">
        <f>IFERROR(__xludf.DUMMYFUNCTION("IFERROR((GOOGLEFINANCE(A607,""name"")),"""")"),"CM Hospitalar SA")</f>
        <v>CM Hospitalar SA</v>
      </c>
      <c r="C607" s="63" t="str">
        <f>IFERROR((VLOOKUP(LEFT($A607,4),Setor!$A:$E,3,0)),"")</f>
        <v/>
      </c>
      <c r="D607" s="63" t="str">
        <f>IFERROR((VLOOKUP(LEFT($A607,4),Setor!$A:$E,4,0)),"")</f>
        <v/>
      </c>
      <c r="E607" s="63" t="str">
        <f>IFERROR((VLOOKUP(LEFT($A607,4),Setor!$A:$E,5,0)),"")</f>
        <v/>
      </c>
      <c r="F607" s="64">
        <f>IFERROR(__xludf.DUMMYFUNCTION("IFERROR((GOOGLEFINANCE(A607)),"""")"),1.54)</f>
        <v>1.54</v>
      </c>
      <c r="G607" s="65" t="str">
        <f>IFERROR(__xludf.DUMMYFUNCTION("IFERROR((sparkline(GOOGLEFINANCE($A607,""price"",TODAY()-30,TODAY(),""DAILY""),{""charttype"",""line"";""linewidth"",1;""color"",""#5f88cc""})),"""")"),"")</f>
        <v/>
      </c>
      <c r="H607" s="66">
        <f>IFERROR(__xludf.DUMMYFUNCTION("IFERROR((((GOOGLEFINANCE(A607))-(INDEX(GoogleFinance(A607,""PRICE"",$AQ$1),2,2)))/(INDEX(GoogleFinance(A607,""PRICE"",$AQ$1),2,2))),"""")"),0.10791366906474831)</f>
        <v>0.1079136691</v>
      </c>
      <c r="I607" s="47">
        <f>IFERROR(__xludf.DUMMYFUNCTION("IFERROR((GOOGLEFINANCE($A607,""high52"")),"""")"),1.82)</f>
        <v>1.82</v>
      </c>
      <c r="J607" s="68" t="str">
        <f>IFERROR(__xludf.DUMMYFUNCTION("IFERROR((sparkline(GOOGLEFINANCE($A607,""price"",TODAY()-365,TODAY(),""DAILY""),{""charttype"",""line"";""linewidth"",1;""color"",""#5f88cc""})),"""")"),"")</f>
        <v/>
      </c>
      <c r="K607" s="66">
        <f>IFERROR(__xludf.DUMMYFUNCTION("IFERROR((((GOOGLEFINANCE(A607))-(INDEX(GoogleFinance(A607,""PRICE"",$AP$1),2,2)))/(INDEX(GoogleFinance(A607,""PRICE"",$AP$1),2,2))),"""")"),-0.006451612903225812)</f>
        <v>-0.006451612903</v>
      </c>
      <c r="L607" s="69">
        <f t="shared" si="1"/>
        <v>-0.1538461538</v>
      </c>
      <c r="M607" s="52">
        <f>IFERROR((VLOOKUP($A607,'Dados StatusInvest'!$A:$AZ,COLUMN(M607)-$A$5,0)*VLOOKUP($A607,'Dados StatusInvest'!$A:$AZ,2,0)/$F607/100),0)</f>
        <v>-0.03180519481</v>
      </c>
      <c r="N607" s="53">
        <f>IFERROR((VLOOKUP($A607,'Dados StatusInvest'!$A:$AZ,COLUMN(N607)-$A$5,0)/VLOOKUP($A607,'Dados StatusInvest'!$A:$AZ,2,0)*$F607),"")</f>
        <v>-8.557721519</v>
      </c>
      <c r="O607" s="53">
        <f>IFERROR((VLOOKUP($A607,'Dados StatusInvest'!$A:$AZ,COLUMN(O607)-$A$5,0)/VLOOKUP($A607,'Dados StatusInvest'!$A:$AZ,2,0)*$F607),0)</f>
        <v>-1.413291139</v>
      </c>
      <c r="P607" s="54">
        <f>IFERROR((VLOOKUP($A607,'Dados StatusInvest'!$A:$AZ,COLUMN(P607)-$A$5,0)/VLOOKUP($A607,'Dados StatusInvest'!$A:$AZ,2,0)*$F607),0)</f>
        <v>-9.181518987</v>
      </c>
      <c r="Q607" s="55">
        <f>IFERROR((VLOOKUP($A607,'Dados StatusInvest'!$A:$AZ,COLUMN(Q607)-$A$5,0)/100),0)</f>
        <v>-0.0797</v>
      </c>
      <c r="R607" s="56">
        <f>VLOOKUP($A607,'Dados StatusInvest'!$A:$AZ,COLUMN(R607)-$A$5,0)</f>
        <v>1.39</v>
      </c>
      <c r="S607" s="56">
        <f>IFERROR((VLOOKUP($A607,'Dados StatusInvest'!$A:$AZ,COLUMN(S607)-$A$5,0)),0)</f>
        <v>0.04</v>
      </c>
      <c r="T607" s="53">
        <f>IFERROR((VLOOKUP($A607,'Dados StatusInvest'!$A:$AZ,COLUMN(T607)-$A$5,0)/VLOOKUP($A607,'Dados StatusInvest'!$A:$AZ,2,0)*$F607),0)</f>
        <v>0.3216455696</v>
      </c>
      <c r="U607" s="53">
        <f>IFERROR((VLOOKUP($A607,'Dados StatusInvest'!$A:$AZ,COLUMN(U607)-$A$5,0)-VLOOKUP($A607,'Dados StatusInvest'!$A:$AZ,COLUMN(U607)-$A$5-1,0)+T607),0)</f>
        <v>-0.1283544304</v>
      </c>
      <c r="V607" s="56">
        <f>IFERROR((VLOOKUP($A607,'Dados StatusInvest'!$A:$AZ,COLUMN(V607)-$A$5,0)),0)</f>
        <v>1.49</v>
      </c>
      <c r="W607" s="56">
        <f>IFERROR((VLOOKUP($A607,'Dados StatusInvest'!$A:$AZ,COLUMN(W607)-$A$5,0)),0)</f>
        <v>-49.46</v>
      </c>
      <c r="X607" s="53">
        <f>IFERROR((VLOOKUP($A607,'Dados StatusInvest'!$A:$AZ,COLUMN(X607)-$A$5,0)/VLOOKUP($A607,'Dados StatusInvest'!$A:$AZ,2,0)*$F607),0)</f>
        <v>-10.71177215</v>
      </c>
      <c r="Y607" s="54">
        <f>IFERROR((VLOOKUP($A607,'Dados StatusInvest'!$A:$AZ,COLUMN(Y607)-$A$5,0)/VLOOKUP($A607,'Dados StatusInvest'!$A:$AZ,2,0)*$F607),0)</f>
        <v>-7.280886076</v>
      </c>
      <c r="Z607" s="56">
        <f>IFERROR((VLOOKUP($A607,'Dados StatusInvest'!$A:$AZ,COLUMN(Z607)-$A$5,0)),0)</f>
        <v>0.22</v>
      </c>
      <c r="AA607" s="57">
        <f>IFERROR((VLOOKUP($A607,'Dados StatusInvest'!$A:$AZ,COLUMN(AA607)-$A$5,0)),0)</f>
        <v>0.78</v>
      </c>
      <c r="AB607" s="57">
        <f>IFERROR((VLOOKUP($A607,'Dados StatusInvest'!$A:$AZ,COLUMN(AB607)-$A$5,0)),0)</f>
        <v>1.25</v>
      </c>
      <c r="AC607" s="58">
        <f>IFERROR((VLOOKUP($A607,'Dados StatusInvest'!$A:$AZ,COLUMN(AC607)-$A$5,0)),0)</f>
        <v>30.99</v>
      </c>
      <c r="AD607" s="57">
        <f>IFERROR((VLOOKUP($A607,'Dados StatusInvest'!$A:$AZ,COLUMN(AD607)-$A$5,0)),0)</f>
        <v>0</v>
      </c>
      <c r="AE607" s="56">
        <f>IFERROR((VLOOKUP($A607,'Dados StatusInvest'!$A:$AZ,COLUMN(AE607)-$A$5,0)),0)</f>
        <v>1848521</v>
      </c>
      <c r="AF607" s="56">
        <f>IFERROR((VLOOKUP($A607,'Dados StatusInvest'!$A:$AZ,COLUMN(AF607)-$A$5,0)),0)</f>
        <v>6.24</v>
      </c>
      <c r="AG607" s="56">
        <f>IFERROR((VLOOKUP($A607,'Dados StatusInvest'!$A:$AZ,COLUMN(AG607)-$A$5,0)),0)</f>
        <v>-3.09</v>
      </c>
      <c r="AH607" s="56">
        <f>IFERROR((VLOOKUP($A607,'Dados StatusInvest'!$A:$AZ,COLUMN(AH607)-$A$5,0)),0)</f>
        <v>0</v>
      </c>
      <c r="AI607" s="57">
        <f>IFERROR((VLOOKUP($A607,'Dados StatusInvest'!$A:$AZ,COLUMN(AI607)-$A$5,0)),0)</f>
        <v>510056560.6</v>
      </c>
      <c r="AJ607" s="59" t="str">
        <f>IFERROR((VLOOKUP($A607,'Dados StatusInvest'!$A:$AZ,COLUMN(AJ607)-$A$5,0)),0)</f>
        <v/>
      </c>
      <c r="AK607" s="67">
        <f>IFERROR(__xludf.DUMMYFUNCTION("IFERROR(GOOGLEFINANCE($A607,""high""),"""")"),1.57)</f>
        <v>1.57</v>
      </c>
      <c r="AL607" s="67">
        <f>IFERROR(__xludf.DUMMYFUNCTION("IFERROR(GOOGLEFINANCE($A607,""low""),"""")"),1.55)</f>
        <v>1.55</v>
      </c>
      <c r="AM607" s="70">
        <f t="shared" si="2"/>
        <v>0.01290322581</v>
      </c>
      <c r="AN607" s="71">
        <f>IFERROR(__xludf.DUMMYFUNCTION("IFERROR((GOOGLEFINANCE($A607,""volume"")),0)"),20200.0)</f>
        <v>20200</v>
      </c>
      <c r="AO607" s="67">
        <f>IFERROR(__xludf.DUMMYFUNCTION("IFERROR((GOOGLEFINANCE($A607,""closeyest"")),"""")"),1.58)</f>
        <v>1.58</v>
      </c>
      <c r="AP607" s="67">
        <f>IFERROR(__xludf.DUMMYFUNCTION("IFERROR((GOOGLEFINANCE($A607,""shares"")),"""")"),3.22820608E8)</f>
        <v>322820608</v>
      </c>
      <c r="AQ607" s="60"/>
    </row>
    <row r="608">
      <c r="A608" s="45" t="str">
        <f>'Dados StatusInvest'!A603:A1222</f>
        <v>WDCN3</v>
      </c>
      <c r="B608" s="63" t="str">
        <f>IFERROR(__xludf.DUMMYFUNCTION("IFERROR((GOOGLEFINANCE(A608,""name"")),"""")"),"Livetech da Bahia Industria e Cmrc SA")</f>
        <v>Livetech da Bahia Industria e Cmrc SA</v>
      </c>
      <c r="C608" s="46" t="str">
        <f>IFERROR((VLOOKUP(LEFT($A608,4),Setor!$A:$E,3,0)),"")</f>
        <v/>
      </c>
      <c r="D608" s="46" t="str">
        <f>IFERROR((VLOOKUP(LEFT($A608,4),Setor!$A:$E,4,0)),"")</f>
        <v/>
      </c>
      <c r="E608" s="46" t="str">
        <f>IFERROR((VLOOKUP(LEFT($A608,4),Setor!$A:$E,5,0)),"")</f>
        <v/>
      </c>
      <c r="F608" s="47">
        <f>IFERROR(__xludf.DUMMYFUNCTION("IFERROR((GOOGLEFINANCE(A608)),"""")"),2.61)</f>
        <v>2.61</v>
      </c>
      <c r="G608" s="65" t="str">
        <f>IFERROR(__xludf.DUMMYFUNCTION("IFERROR((sparkline(GOOGLEFINANCE($A608,""price"",TODAY()-30,TODAY(),""DAILY""),{""charttype"",""line"";""linewidth"",1;""color"",""#5f88cc""})),"""")"),"")</f>
        <v/>
      </c>
      <c r="H608" s="47"/>
      <c r="I608" s="47">
        <f>IFERROR(__xludf.DUMMYFUNCTION("IFERROR((GOOGLEFINANCE($A608,""high52"")),"""")"),3.83)</f>
        <v>3.83</v>
      </c>
      <c r="J608" s="68" t="str">
        <f>IFERROR(__xludf.DUMMYFUNCTION("IFERROR((sparkline(GOOGLEFINANCE($A608,""price"",TODAY()-365,TODAY(),""DAILY""),{""charttype"",""line"";""linewidth"",1;""color"",""#5f88cc""})),"""")"),"")</f>
        <v/>
      </c>
      <c r="K608" s="66">
        <f>IFERROR(__xludf.DUMMYFUNCTION("IFERROR((((GOOGLEFINANCE(A608))-(INDEX(GoogleFinance(A608,""PRICE"",$AP$1),2,2)))/(INDEX(GoogleFinance(A608,""PRICE"",$AP$1),2,2))),"""")"),0.18099547511312214)</f>
        <v>0.1809954751</v>
      </c>
      <c r="L608" s="69">
        <f t="shared" si="1"/>
        <v>-0.318537859</v>
      </c>
      <c r="M608" s="52">
        <f>IFERROR((VLOOKUP($A608,'Dados StatusInvest'!$A:$AZ,COLUMN(M608)-$A$5,0)*VLOOKUP($A608,'Dados StatusInvest'!$A:$AZ,2,0)/$F608/100),0)</f>
        <v>0.05644137931</v>
      </c>
      <c r="N608" s="53">
        <f>IFERROR((VLOOKUP($A608,'Dados StatusInvest'!$A:$AZ,COLUMN(N608)-$A$5,0)/VLOOKUP($A608,'Dados StatusInvest'!$A:$AZ,2,0)*$F608),"")</f>
        <v>-0.07909090909</v>
      </c>
      <c r="O608" s="53">
        <f>IFERROR((VLOOKUP($A608,'Dados StatusInvest'!$A:$AZ,COLUMN(O608)-$A$5,0)/VLOOKUP($A608,'Dados StatusInvest'!$A:$AZ,2,0)*$F608),0)</f>
        <v>3.37125</v>
      </c>
      <c r="P608" s="54">
        <f>IFERROR((VLOOKUP($A608,'Dados StatusInvest'!$A:$AZ,COLUMN(P608)-$A$5,0)/VLOOKUP($A608,'Dados StatusInvest'!$A:$AZ,2,0)*$F608),0)</f>
        <v>-0.76125</v>
      </c>
      <c r="Q608" s="55">
        <f>IFERROR((VLOOKUP($A608,'Dados StatusInvest'!$A:$AZ,COLUMN(Q608)-$A$5,0)/100),0)</f>
        <v>-0.0417</v>
      </c>
      <c r="R608" s="56">
        <f>VLOOKUP($A608,'Dados StatusInvest'!$A:$AZ,COLUMN(R608)-$A$5,0)</f>
        <v>-0.32</v>
      </c>
      <c r="S608" s="56">
        <f>IFERROR((VLOOKUP($A608,'Dados StatusInvest'!$A:$AZ,COLUMN(S608)-$A$5,0)),0)</f>
        <v>0.19</v>
      </c>
      <c r="T608" s="53">
        <f>IFERROR((VLOOKUP($A608,'Dados StatusInvest'!$A:$AZ,COLUMN(T608)-$A$5,0)/VLOOKUP($A608,'Dados StatusInvest'!$A:$AZ,2,0)*$F608),0)</f>
        <v>0.5042045455</v>
      </c>
      <c r="U608" s="53">
        <f>IFERROR((VLOOKUP($A608,'Dados StatusInvest'!$A:$AZ,COLUMN(U608)-$A$5,0)-VLOOKUP($A608,'Dados StatusInvest'!$A:$AZ,COLUMN(U608)-$A$5-1,0)+T608),0)</f>
        <v>-0.2357954545</v>
      </c>
      <c r="V608" s="56">
        <f>IFERROR((VLOOKUP($A608,'Dados StatusInvest'!$A:$AZ,COLUMN(V608)-$A$5,0)),0)</f>
        <v>1.84</v>
      </c>
      <c r="W608" s="56">
        <f>IFERROR((VLOOKUP($A608,'Dados StatusInvest'!$A:$AZ,COLUMN(W608)-$A$5,0)),0)</f>
        <v>-0.11</v>
      </c>
      <c r="X608" s="53">
        <f>IFERROR((VLOOKUP($A608,'Dados StatusInvest'!$A:$AZ,COLUMN(X608)-$A$5,0)/VLOOKUP($A608,'Dados StatusInvest'!$A:$AZ,2,0)*$F608),0)</f>
        <v>-0.04943181818</v>
      </c>
      <c r="Y608" s="54">
        <f>IFERROR((VLOOKUP($A608,'Dados StatusInvest'!$A:$AZ,COLUMN(Y608)-$A$5,0)/VLOOKUP($A608,'Dados StatusInvest'!$A:$AZ,2,0)*$F608),0)</f>
        <v>5.427613636</v>
      </c>
      <c r="Z608" s="56">
        <f>IFERROR((VLOOKUP($A608,'Dados StatusInvest'!$A:$AZ,COLUMN(Z608)-$A$5,0)),0)</f>
        <v>0.44</v>
      </c>
      <c r="AA608" s="57">
        <f>IFERROR((VLOOKUP($A608,'Dados StatusInvest'!$A:$AZ,COLUMN(AA608)-$A$5,0)),0)</f>
        <v>0.55</v>
      </c>
      <c r="AB608" s="57">
        <f>IFERROR((VLOOKUP($A608,'Dados StatusInvest'!$A:$AZ,COLUMN(AB608)-$A$5,0)),0)</f>
        <v>0.61</v>
      </c>
      <c r="AC608" s="58">
        <f>IFERROR((VLOOKUP($A608,'Dados StatusInvest'!$A:$AZ,COLUMN(AC608)-$A$5,0)),0)</f>
        <v>10.59</v>
      </c>
      <c r="AD608" s="57">
        <f>IFERROR((VLOOKUP($A608,'Dados StatusInvest'!$A:$AZ,COLUMN(AD608)-$A$5,0)),0)</f>
        <v>0</v>
      </c>
      <c r="AE608" s="56">
        <f>IFERROR((VLOOKUP($A608,'Dados StatusInvest'!$A:$AZ,COLUMN(AE608)-$A$5,0)),0)</f>
        <v>75438.1</v>
      </c>
      <c r="AF608" s="56">
        <f>IFERROR((VLOOKUP($A608,'Dados StatusInvest'!$A:$AZ,COLUMN(AF608)-$A$5,0)),0)</f>
        <v>10.13</v>
      </c>
      <c r="AG608" s="56">
        <f>IFERROR((VLOOKUP($A608,'Dados StatusInvest'!$A:$AZ,COLUMN(AG608)-$A$5,0)),0)</f>
        <v>-0.01</v>
      </c>
      <c r="AH608" s="56">
        <f>IFERROR((VLOOKUP($A608,'Dados StatusInvest'!$A:$AZ,COLUMN(AH608)-$A$5,0)),0)</f>
        <v>2.24</v>
      </c>
      <c r="AI608" s="57">
        <f>IFERROR((VLOOKUP($A608,'Dados StatusInvest'!$A:$AZ,COLUMN(AI608)-$A$5,0)),0)</f>
        <v>167538262.3</v>
      </c>
      <c r="AJ608" s="59" t="str">
        <f>IFERROR((VLOOKUP($A608,'Dados StatusInvest'!$A:$AZ,COLUMN(AJ608)-$A$5,0)),0)</f>
        <v/>
      </c>
      <c r="AK608" s="67">
        <f>IFERROR(__xludf.DUMMYFUNCTION("IFERROR(GOOGLEFINANCE($A608,""high""),"""")"),2.61)</f>
        <v>2.61</v>
      </c>
      <c r="AL608" s="67">
        <f>IFERROR(__xludf.DUMMYFUNCTION("IFERROR(GOOGLEFINANCE($A608,""low""),"""")"),2.61)</f>
        <v>2.61</v>
      </c>
      <c r="AM608" s="70">
        <f t="shared" si="2"/>
        <v>0</v>
      </c>
      <c r="AN608" s="71">
        <f>IFERROR(__xludf.DUMMYFUNCTION("IFERROR((GOOGLEFINANCE($A608,""volume"")),0)"),4000.0)</f>
        <v>4000</v>
      </c>
      <c r="AO608" s="67">
        <f>IFERROR(__xludf.DUMMYFUNCTION("IFERROR((GOOGLEFINANCE($A608,""closeyest"")),"""")"),2.64)</f>
        <v>2.64</v>
      </c>
      <c r="AP608" s="67">
        <f>IFERROR(__xludf.DUMMYFUNCTION("IFERROR((GOOGLEFINANCE($A608,""shares"")),"""")"),6.3461463E7)</f>
        <v>63461463</v>
      </c>
      <c r="AQ608" s="60"/>
    </row>
    <row r="609">
      <c r="A609" s="45" t="str">
        <f>'Dados StatusInvest'!A604:A1223</f>
        <v>WEGE3</v>
      </c>
      <c r="B609" s="63" t="str">
        <f>IFERROR(__xludf.DUMMYFUNCTION("IFERROR((GOOGLEFINANCE(A609,""name"")),"""")"),"Weg Cedear")</f>
        <v>Weg Cedear</v>
      </c>
      <c r="C609" s="46" t="str">
        <f>IFERROR((VLOOKUP(LEFT($A609,4),Setor!$A:$E,3,0)),"")</f>
        <v>Bens Industriais</v>
      </c>
      <c r="D609" s="46" t="str">
        <f>IFERROR((VLOOKUP(LEFT($A609,4),Setor!$A:$E,4,0)),"")</f>
        <v>Máquinas e Equipamentos</v>
      </c>
      <c r="E609" s="46" t="str">
        <f>IFERROR((VLOOKUP(LEFT($A609,4),Setor!$A:$E,5,0)),"")</f>
        <v>Motores, Compressores e Outros</v>
      </c>
      <c r="F609" s="47">
        <f>IFERROR(__xludf.DUMMYFUNCTION("IFERROR((GOOGLEFINANCE(A609)),"""")"),14370.0)</f>
        <v>14370</v>
      </c>
      <c r="G609" s="65" t="str">
        <f>IFERROR(__xludf.DUMMYFUNCTION("IFERROR((sparkline(GOOGLEFINANCE($A609,""price"",TODAY()-30,TODAY(),""DAILY""),{""charttype"",""line"";""linewidth"",1;""color"",""#5f88cc""})),"""")"),"")</f>
        <v/>
      </c>
      <c r="H609" s="47"/>
      <c r="I609" s="47">
        <f>IFERROR(__xludf.DUMMYFUNCTION("IFERROR((GOOGLEFINANCE($A609,""high52"")),"""")"),16000.0)</f>
        <v>16000</v>
      </c>
      <c r="J609" s="68" t="str">
        <f>IFERROR(__xludf.DUMMYFUNCTION("IFERROR((sparkline(GOOGLEFINANCE($A609,""price"",TODAY()-365,TODAY(),""DAILY""),{""charttype"",""line"";""linewidth"",1;""color"",""#5f88cc""})),"""")"),"")</f>
        <v/>
      </c>
      <c r="K609" s="66">
        <f>IFERROR(__xludf.DUMMYFUNCTION("IFERROR((((GOOGLEFINANCE(A609))-(INDEX(GoogleFinance(A609,""PRICE"",$AP$1),2,2)))/(INDEX(GoogleFinance(A609,""PRICE"",$AP$1),2,2))),"""")"),0.28878923766816145)</f>
        <v>0.2887892377</v>
      </c>
      <c r="L609" s="69">
        <f t="shared" si="1"/>
        <v>-0.101875</v>
      </c>
      <c r="M609" s="52">
        <f>IFERROR((VLOOKUP($A609,'Dados StatusInvest'!$A:$AZ,COLUMN(M609)-$A$5,0)*VLOOKUP($A609,'Dados StatusInvest'!$A:$AZ,2,0)/$F609/100),0)</f>
        <v>0.0007035223382</v>
      </c>
      <c r="N609" s="53">
        <f>IFERROR((VLOOKUP($A609,'Dados StatusInvest'!$A:$AZ,COLUMN(N609)-$A$5,0)/VLOOKUP($A609,'Dados StatusInvest'!$A:$AZ,2,0)*$F609),"")</f>
        <v>4383.451431</v>
      </c>
      <c r="O609" s="53">
        <f>IFERROR((VLOOKUP($A609,'Dados StatusInvest'!$A:$AZ,COLUMN(O609)-$A$5,0)/VLOOKUP($A609,'Dados StatusInvest'!$A:$AZ,2,0)*$F609),0)</f>
        <v>7404.592174</v>
      </c>
      <c r="P609" s="54">
        <f>IFERROR((VLOOKUP($A609,'Dados StatusInvest'!$A:$AZ,COLUMN(P609)-$A$5,0)/VLOOKUP($A609,'Dados StatusInvest'!$A:$AZ,2,0)*$F609),0)</f>
        <v>7284.306015</v>
      </c>
      <c r="Q609" s="55">
        <f>IFERROR((VLOOKUP($A609,'Dados StatusInvest'!$A:$AZ,COLUMN(Q609)-$A$5,0)/100),0)</f>
        <v>-0.0043</v>
      </c>
      <c r="R609" s="56">
        <f>VLOOKUP($A609,'Dados StatusInvest'!$A:$AZ,COLUMN(R609)-$A$5,0)</f>
        <v>-0.16</v>
      </c>
      <c r="S609" s="56">
        <f>IFERROR((VLOOKUP($A609,'Dados StatusInvest'!$A:$AZ,COLUMN(S609)-$A$5,0)),0)</f>
        <v>5.21</v>
      </c>
      <c r="T609" s="53">
        <f>IFERROR((VLOOKUP($A609,'Dados StatusInvest'!$A:$AZ,COLUMN(T609)-$A$5,0)/VLOOKUP($A609,'Dados StatusInvest'!$A:$AZ,2,0)*$F609),0)</f>
        <v>5147.128674</v>
      </c>
      <c r="U609" s="53">
        <f>IFERROR((VLOOKUP($A609,'Dados StatusInvest'!$A:$AZ,COLUMN(U609)-$A$5,0)-VLOOKUP($A609,'Dados StatusInvest'!$A:$AZ,COLUMN(U609)-$A$5-1,0)+T609),0)</f>
        <v>5114.078674</v>
      </c>
      <c r="V609" s="56">
        <f>IFERROR((VLOOKUP($A609,'Dados StatusInvest'!$A:$AZ,COLUMN(V609)-$A$5,0)),0)</f>
        <v>1.78</v>
      </c>
      <c r="W609" s="56">
        <f>IFERROR((VLOOKUP($A609,'Dados StatusInvest'!$A:$AZ,COLUMN(W609)-$A$5,0)),0)</f>
        <v>28.93</v>
      </c>
      <c r="X609" s="53">
        <f>IFERROR((VLOOKUP($A609,'Dados StatusInvest'!$A:$AZ,COLUMN(X609)-$A$5,0)/VLOOKUP($A609,'Dados StatusInvest'!$A:$AZ,2,0)*$F609),0)</f>
        <v>4369.464668</v>
      </c>
      <c r="Y609" s="54">
        <f>IFERROR((VLOOKUP($A609,'Dados StatusInvest'!$A:$AZ,COLUMN(Y609)-$A$5,0)/VLOOKUP($A609,'Dados StatusInvest'!$A:$AZ,2,0)*$F609),0)</f>
        <v>6875.892544</v>
      </c>
      <c r="Z609" s="56">
        <f>IFERROR((VLOOKUP($A609,'Dados StatusInvest'!$A:$AZ,COLUMN(Z609)-$A$5,0)),0)</f>
        <v>0.54</v>
      </c>
      <c r="AA609" s="57">
        <f>IFERROR((VLOOKUP($A609,'Dados StatusInvest'!$A:$AZ,COLUMN(AA609)-$A$5,0)),0)</f>
        <v>0.44</v>
      </c>
      <c r="AB609" s="57">
        <f>IFERROR((VLOOKUP($A609,'Dados StatusInvest'!$A:$AZ,COLUMN(AB609)-$A$5,0)),0)</f>
        <v>1</v>
      </c>
      <c r="AC609" s="58">
        <f>IFERROR((VLOOKUP($A609,'Dados StatusInvest'!$A:$AZ,COLUMN(AC609)-$A$5,0)),0)</f>
        <v>23.27</v>
      </c>
      <c r="AD609" s="57">
        <f>IFERROR((VLOOKUP($A609,'Dados StatusInvest'!$A:$AZ,COLUMN(AD609)-$A$5,0)),0)</f>
        <v>32.05</v>
      </c>
      <c r="AE609" s="56">
        <f>IFERROR((VLOOKUP($A609,'Dados StatusInvest'!$A:$AZ,COLUMN(AE609)-$A$5,0)),0)</f>
        <v>438000000</v>
      </c>
      <c r="AF609" s="56">
        <f>IFERROR((VLOOKUP($A609,'Dados StatusInvest'!$A:$AZ,COLUMN(AF609)-$A$5,0)),0)</f>
        <v>5.34</v>
      </c>
      <c r="AG609" s="56">
        <f>IFERROR((VLOOKUP($A609,'Dados StatusInvest'!$A:$AZ,COLUMN(AG609)-$A$5,0)),0)</f>
        <v>1.54</v>
      </c>
      <c r="AH609" s="56">
        <f>IFERROR((VLOOKUP($A609,'Dados StatusInvest'!$A:$AZ,COLUMN(AH609)-$A$5,0)),0)</f>
        <v>5.2</v>
      </c>
      <c r="AI609" s="57">
        <f>IFERROR((VLOOKUP($A609,'Dados StatusInvest'!$A:$AZ,COLUMN(AI609)-$A$5,0)),0)</f>
        <v>215616000000</v>
      </c>
      <c r="AJ609" s="59" t="str">
        <f>IFERROR((VLOOKUP($A609,'Dados StatusInvest'!$A:$AZ,COLUMN(AJ609)-$A$5,0)),0)</f>
        <v/>
      </c>
      <c r="AK609" s="67" t="str">
        <f>IFERROR(__xludf.DUMMYFUNCTION("IFERROR(GOOGLEFINANCE($A609,""high""),"""")"),"")</f>
        <v/>
      </c>
      <c r="AL609" s="67" t="str">
        <f>IFERROR(__xludf.DUMMYFUNCTION("IFERROR(GOOGLEFINANCE($A609,""low""),"""")"),"")</f>
        <v/>
      </c>
      <c r="AM609" s="70">
        <f t="shared" si="2"/>
        <v>0</v>
      </c>
      <c r="AN609" s="71">
        <f>IFERROR(__xludf.DUMMYFUNCTION("IFERROR((GOOGLEFINANCE($A609,""volume"")),0)"),0.0)</f>
        <v>0</v>
      </c>
      <c r="AO609" s="67">
        <f>IFERROR(__xludf.DUMMYFUNCTION("IFERROR((GOOGLEFINANCE($A609,""closeyest"")),"""")"),14370.0)</f>
        <v>14370</v>
      </c>
      <c r="AP609" s="67" t="str">
        <f>IFERROR(__xludf.DUMMYFUNCTION("IFERROR((GOOGLEFINANCE($A609,""shares"")),"""")"),"")</f>
        <v/>
      </c>
      <c r="AQ609" s="60"/>
    </row>
    <row r="610">
      <c r="A610" s="45" t="str">
        <f>'Dados StatusInvest'!A605:A1224</f>
        <v>WEST3</v>
      </c>
      <c r="B610" s="63" t="str">
        <f>IFERROR(__xludf.DUMMYFUNCTION("IFERROR((GOOGLEFINANCE(A610,""name"")),"""")"),"Westwing Comercio Varejista SA")</f>
        <v>Westwing Comercio Varejista SA</v>
      </c>
      <c r="C610" s="46" t="str">
        <f>IFERROR((VLOOKUP(LEFT($A610,4),Setor!$A:$E,3,0)),"")</f>
        <v/>
      </c>
      <c r="D610" s="46" t="str">
        <f>IFERROR((VLOOKUP(LEFT($A610,4),Setor!$A:$E,4,0)),"")</f>
        <v/>
      </c>
      <c r="E610" s="46" t="str">
        <f>IFERROR((VLOOKUP(LEFT($A610,4),Setor!$A:$E,5,0)),"")</f>
        <v/>
      </c>
      <c r="F610" s="47">
        <f>IFERROR(__xludf.DUMMYFUNCTION("IFERROR((GOOGLEFINANCE(A610)),"""")"),6.02)</f>
        <v>6.02</v>
      </c>
      <c r="G610" s="65" t="str">
        <f>IFERROR(__xludf.DUMMYFUNCTION("IFERROR((sparkline(GOOGLEFINANCE($A610,""price"",TODAY()-30,TODAY(),""DAILY""),{""charttype"",""line"";""linewidth"",1;""color"",""#5f88cc""})),"""")"),"")</f>
        <v/>
      </c>
      <c r="H610" s="47"/>
      <c r="I610" s="47">
        <f>IFERROR(__xludf.DUMMYFUNCTION("IFERROR((GOOGLEFINANCE($A610,""high52"")),"""")"),7.0)</f>
        <v>7</v>
      </c>
      <c r="J610" s="68" t="str">
        <f>IFERROR(__xludf.DUMMYFUNCTION("IFERROR((sparkline(GOOGLEFINANCE($A610,""price"",TODAY()-365,TODAY(),""DAILY""),{""charttype"",""line"";""linewidth"",1;""color"",""#5f88cc""})),"""")"),"")</f>
        <v/>
      </c>
      <c r="K610" s="66">
        <f>IFERROR(__xludf.DUMMYFUNCTION("IFERROR((((GOOGLEFINANCE(A610))-(INDEX(GoogleFinance(A610,""PRICE"",$AP$1),2,2)))/(INDEX(GoogleFinance(A610,""PRICE"",$AP$1),2,2))),"""")"),0.16666666666666655)</f>
        <v>0.1666666667</v>
      </c>
      <c r="L610" s="69">
        <f t="shared" si="1"/>
        <v>-0.14</v>
      </c>
      <c r="M610" s="52">
        <f>IFERROR((VLOOKUP($A610,'Dados StatusInvest'!$A:$AZ,COLUMN(M610)-$A$5,0)*VLOOKUP($A610,'Dados StatusInvest'!$A:$AZ,2,0)/$F610/100),0)</f>
        <v>-0.1988</v>
      </c>
      <c r="N610" s="53">
        <f>IFERROR((VLOOKUP($A610,'Dados StatusInvest'!$A:$AZ,COLUMN(N610)-$A$5,0)/VLOOKUP($A610,'Dados StatusInvest'!$A:$AZ,2,0)*$F610),"")</f>
        <v>-7.82</v>
      </c>
      <c r="O610" s="53">
        <f>IFERROR((VLOOKUP($A610,'Dados StatusInvest'!$A:$AZ,COLUMN(O610)-$A$5,0)/VLOOKUP($A610,'Dados StatusInvest'!$A:$AZ,2,0)*$F610),0)</f>
        <v>-2.3</v>
      </c>
      <c r="P610" s="54">
        <f>IFERROR((VLOOKUP($A610,'Dados StatusInvest'!$A:$AZ,COLUMN(P610)-$A$5,0)/VLOOKUP($A610,'Dados StatusInvest'!$A:$AZ,2,0)*$F610),0)</f>
        <v>0.95</v>
      </c>
      <c r="Q610" s="55">
        <f>IFERROR((VLOOKUP($A610,'Dados StatusInvest'!$A:$AZ,COLUMN(Q610)-$A$5,0)/100),0)</f>
        <v>0.0325</v>
      </c>
      <c r="R610" s="56">
        <f>VLOOKUP($A610,'Dados StatusInvest'!$A:$AZ,COLUMN(R610)-$A$5,0)</f>
        <v>-0.43</v>
      </c>
      <c r="S610" s="56">
        <f>IFERROR((VLOOKUP($A610,'Dados StatusInvest'!$A:$AZ,COLUMN(S610)-$A$5,0)),0)</f>
        <v>0.46</v>
      </c>
      <c r="T610" s="53">
        <f>IFERROR((VLOOKUP($A610,'Dados StatusInvest'!$A:$AZ,COLUMN(T610)-$A$5,0)/VLOOKUP($A610,'Dados StatusInvest'!$A:$AZ,2,0)*$F610),0)</f>
        <v>0.56</v>
      </c>
      <c r="U610" s="53">
        <f>IFERROR((VLOOKUP($A610,'Dados StatusInvest'!$A:$AZ,COLUMN(U610)-$A$5,0)-VLOOKUP($A610,'Dados StatusInvest'!$A:$AZ,COLUMN(U610)-$A$5-1,0)+T610),0)</f>
        <v>-0.56</v>
      </c>
      <c r="V610" s="56">
        <f>IFERROR((VLOOKUP($A610,'Dados StatusInvest'!$A:$AZ,COLUMN(V610)-$A$5,0)),0)</f>
        <v>2.97</v>
      </c>
      <c r="W610" s="56">
        <f>IFERROR((VLOOKUP($A610,'Dados StatusInvest'!$A:$AZ,COLUMN(W610)-$A$5,0)),0)</f>
        <v>-5.19</v>
      </c>
      <c r="X610" s="53">
        <f>IFERROR((VLOOKUP($A610,'Dados StatusInvest'!$A:$AZ,COLUMN(X610)-$A$5,0)/VLOOKUP($A610,'Dados StatusInvest'!$A:$AZ,2,0)*$F610),0)</f>
        <v>-3.82</v>
      </c>
      <c r="Y610" s="54">
        <f>IFERROR((VLOOKUP($A610,'Dados StatusInvest'!$A:$AZ,COLUMN(Y610)-$A$5,0)/VLOOKUP($A610,'Dados StatusInvest'!$A:$AZ,2,0)*$F610),0)</f>
        <v>-12.97</v>
      </c>
      <c r="Z610" s="56">
        <f>IFERROR((VLOOKUP($A610,'Dados StatusInvest'!$A:$AZ,COLUMN(Z610)-$A$5,0)),0)</f>
        <v>0.74</v>
      </c>
      <c r="AA610" s="57">
        <f>IFERROR((VLOOKUP($A610,'Dados StatusInvest'!$A:$AZ,COLUMN(AA610)-$A$5,0)),0)</f>
        <v>0.26</v>
      </c>
      <c r="AB610" s="57">
        <f>IFERROR((VLOOKUP($A610,'Dados StatusInvest'!$A:$AZ,COLUMN(AB610)-$A$5,0)),0)</f>
        <v>0.49</v>
      </c>
      <c r="AC610" s="58">
        <f>IFERROR((VLOOKUP($A610,'Dados StatusInvest'!$A:$AZ,COLUMN(AC610)-$A$5,0)),0)</f>
        <v>5.08</v>
      </c>
      <c r="AD610" s="57">
        <f>IFERROR((VLOOKUP($A610,'Dados StatusInvest'!$A:$AZ,COLUMN(AD610)-$A$5,0)),0)</f>
        <v>0</v>
      </c>
      <c r="AE610" s="56">
        <f>IFERROR((VLOOKUP($A610,'Dados StatusInvest'!$A:$AZ,COLUMN(AE610)-$A$5,0)),0)</f>
        <v>979481.2</v>
      </c>
      <c r="AF610" s="56">
        <f>IFERROR((VLOOKUP($A610,'Dados StatusInvest'!$A:$AZ,COLUMN(AF610)-$A$5,0)),0)</f>
        <v>19.87</v>
      </c>
      <c r="AG610" s="56">
        <f>IFERROR((VLOOKUP($A610,'Dados StatusInvest'!$A:$AZ,COLUMN(AG610)-$A$5,0)),0)</f>
        <v>-1.03</v>
      </c>
      <c r="AH610" s="56">
        <f>IFERROR((VLOOKUP($A610,'Dados StatusInvest'!$A:$AZ,COLUMN(AH610)-$A$5,0)),0)</f>
        <v>0.08</v>
      </c>
      <c r="AI610" s="57">
        <f>IFERROR((VLOOKUP($A610,'Dados StatusInvest'!$A:$AZ,COLUMN(AI610)-$A$5,0)),0)</f>
        <v>66878274.96</v>
      </c>
      <c r="AJ610" s="59" t="str">
        <f>IFERROR((VLOOKUP($A610,'Dados StatusInvest'!$A:$AZ,COLUMN(AJ610)-$A$5,0)),0)</f>
        <v/>
      </c>
      <c r="AK610" s="67" t="str">
        <f>IFERROR(__xludf.DUMMYFUNCTION("IFERROR(GOOGLEFINANCE($A610,""high""),"""")"),"")</f>
        <v/>
      </c>
      <c r="AL610" s="67" t="str">
        <f>IFERROR(__xludf.DUMMYFUNCTION("IFERROR(GOOGLEFINANCE($A610,""low""),"""")"),"")</f>
        <v/>
      </c>
      <c r="AM610" s="70">
        <f t="shared" si="2"/>
        <v>0</v>
      </c>
      <c r="AN610" s="71">
        <f>IFERROR(__xludf.DUMMYFUNCTION("IFERROR((GOOGLEFINANCE($A610,""volume"")),0)"),0.0)</f>
        <v>0</v>
      </c>
      <c r="AO610" s="67">
        <f>IFERROR(__xludf.DUMMYFUNCTION("IFERROR((GOOGLEFINANCE($A610,""closeyest"")),"""")"),6.02)</f>
        <v>6.02</v>
      </c>
      <c r="AP610" s="67">
        <f>IFERROR(__xludf.DUMMYFUNCTION("IFERROR((GOOGLEFINANCE($A610,""shares"")),"""")"),1.1109348E7)</f>
        <v>11109348</v>
      </c>
      <c r="AQ610" s="60"/>
    </row>
    <row r="611">
      <c r="A611" s="45" t="str">
        <f>'Dados StatusInvest'!A606:A1225</f>
        <v>WHRL3</v>
      </c>
      <c r="B611" s="63" t="str">
        <f>IFERROR(__xludf.DUMMYFUNCTION("IFERROR((GOOGLEFINANCE(A611,""name"")),"""")"),"Whirlpool SA")</f>
        <v>Whirlpool SA</v>
      </c>
      <c r="C611" s="46" t="str">
        <f>IFERROR((VLOOKUP(LEFT($A611,4),Setor!$A:$E,3,0)),"")</f>
        <v>Consumo Cíclico</v>
      </c>
      <c r="D611" s="46" t="str">
        <f>IFERROR((VLOOKUP(LEFT($A611,4),Setor!$A:$E,4,0)),"")</f>
        <v>Utilidades Domésticas</v>
      </c>
      <c r="E611" s="46" t="str">
        <f>IFERROR((VLOOKUP(LEFT($A611,4),Setor!$A:$E,5,0)),"")</f>
        <v>Eletrodomésticos</v>
      </c>
      <c r="F611" s="47">
        <f>IFERROR(__xludf.DUMMYFUNCTION("IFERROR((GOOGLEFINANCE(A611)),"""")"),4.44)</f>
        <v>4.44</v>
      </c>
      <c r="G611" s="65" t="str">
        <f>IFERROR(__xludf.DUMMYFUNCTION("IFERROR((sparkline(GOOGLEFINANCE($A611,""price"",TODAY()-30,TODAY(),""DAILY""),{""charttype"",""line"";""linewidth"",1;""color"",""#5f88cc""})),"""")"),"")</f>
        <v/>
      </c>
      <c r="H611" s="47"/>
      <c r="I611" s="47">
        <f>IFERROR(__xludf.DUMMYFUNCTION("IFERROR((GOOGLEFINANCE($A611,""high52"")),"""")"),4.64)</f>
        <v>4.64</v>
      </c>
      <c r="J611" s="68" t="str">
        <f>IFERROR(__xludf.DUMMYFUNCTION("IFERROR((sparkline(GOOGLEFINANCE($A611,""price"",TODAY()-365,TODAY(),""DAILY""),{""charttype"",""line"";""linewidth"",1;""color"",""#5f88cc""})),"""")"),"")</f>
        <v/>
      </c>
      <c r="K611" s="66">
        <f>IFERROR(__xludf.DUMMYFUNCTION("IFERROR((((GOOGLEFINANCE(A611))-(INDEX(GoogleFinance(A611,""PRICE"",$AP$1),2,2)))/(INDEX(GoogleFinance(A611,""PRICE"",$AP$1),2,2))),"""")"),0.15926892950391652)</f>
        <v>0.1592689295</v>
      </c>
      <c r="L611" s="69">
        <f t="shared" si="1"/>
        <v>-0.04310344828</v>
      </c>
      <c r="M611" s="52">
        <f>IFERROR((VLOOKUP($A611,'Dados StatusInvest'!$A:$AZ,COLUMN(M611)-$A$5,0)*VLOOKUP($A611,'Dados StatusInvest'!$A:$AZ,2,0)/$F611/100),0)</f>
        <v>0.0985</v>
      </c>
      <c r="N611" s="53">
        <f>IFERROR((VLOOKUP($A611,'Dados StatusInvest'!$A:$AZ,COLUMN(N611)-$A$5,0)/VLOOKUP($A611,'Dados StatusInvest'!$A:$AZ,2,0)*$F611),"")</f>
        <v>5.45</v>
      </c>
      <c r="O611" s="53">
        <f>IFERROR((VLOOKUP($A611,'Dados StatusInvest'!$A:$AZ,COLUMN(O611)-$A$5,0)/VLOOKUP($A611,'Dados StatusInvest'!$A:$AZ,2,0)*$F611),0)</f>
        <v>5.26</v>
      </c>
      <c r="P611" s="54">
        <f>IFERROR((VLOOKUP($A611,'Dados StatusInvest'!$A:$AZ,COLUMN(P611)-$A$5,0)/VLOOKUP($A611,'Dados StatusInvest'!$A:$AZ,2,0)*$F611),0)</f>
        <v>5.26</v>
      </c>
      <c r="Q611" s="55">
        <f>IFERROR((VLOOKUP($A611,'Dados StatusInvest'!$A:$AZ,COLUMN(Q611)-$A$5,0)/100),0)</f>
        <v>-0.0011</v>
      </c>
      <c r="R611" s="56">
        <f>VLOOKUP($A611,'Dados StatusInvest'!$A:$AZ,COLUMN(R611)-$A$5,0)</f>
        <v>-0.07</v>
      </c>
      <c r="S611" s="56">
        <f>IFERROR((VLOOKUP($A611,'Dados StatusInvest'!$A:$AZ,COLUMN(S611)-$A$5,0)),0)</f>
        <v>0.52</v>
      </c>
      <c r="T611" s="53">
        <f>IFERROR((VLOOKUP($A611,'Dados StatusInvest'!$A:$AZ,COLUMN(T611)-$A$5,0)/VLOOKUP($A611,'Dados StatusInvest'!$A:$AZ,2,0)*$F611),0)</f>
        <v>-23.28</v>
      </c>
      <c r="U611" s="53">
        <f>IFERROR((VLOOKUP($A611,'Dados StatusInvest'!$A:$AZ,COLUMN(U611)-$A$5,0)-VLOOKUP($A611,'Dados StatusInvest'!$A:$AZ,COLUMN(U611)-$A$5-1,0)+T611),0)</f>
        <v>-2.05</v>
      </c>
      <c r="V611" s="56">
        <f>IFERROR((VLOOKUP($A611,'Dados StatusInvest'!$A:$AZ,COLUMN(V611)-$A$5,0)),0)</f>
        <v>0.96</v>
      </c>
      <c r="W611" s="56">
        <f>IFERROR((VLOOKUP($A611,'Dados StatusInvest'!$A:$AZ,COLUMN(W611)-$A$5,0)),0)</f>
        <v>32.74</v>
      </c>
      <c r="X611" s="53">
        <f>IFERROR((VLOOKUP($A611,'Dados StatusInvest'!$A:$AZ,COLUMN(X611)-$A$5,0)/VLOOKUP($A611,'Dados StatusInvest'!$A:$AZ,2,0)*$F611),0)</f>
        <v>7</v>
      </c>
      <c r="Y611" s="54">
        <f>IFERROR((VLOOKUP($A611,'Dados StatusInvest'!$A:$AZ,COLUMN(Y611)-$A$5,0)/VLOOKUP($A611,'Dados StatusInvest'!$A:$AZ,2,0)*$F611),0)</f>
        <v>25.21</v>
      </c>
      <c r="Z611" s="56">
        <f>IFERROR((VLOOKUP($A611,'Dados StatusInvest'!$A:$AZ,COLUMN(Z611)-$A$5,0)),0)</f>
        <v>0.21</v>
      </c>
      <c r="AA611" s="57">
        <f>IFERROR((VLOOKUP($A611,'Dados StatusInvest'!$A:$AZ,COLUMN(AA611)-$A$5,0)),0)</f>
        <v>0.79</v>
      </c>
      <c r="AB611" s="57">
        <f>IFERROR((VLOOKUP($A611,'Dados StatusInvest'!$A:$AZ,COLUMN(AB611)-$A$5,0)),0)</f>
        <v>1.29</v>
      </c>
      <c r="AC611" s="58">
        <f>IFERROR((VLOOKUP($A611,'Dados StatusInvest'!$A:$AZ,COLUMN(AC611)-$A$5,0)),0)</f>
        <v>10.8</v>
      </c>
      <c r="AD611" s="57">
        <f>IFERROR((VLOOKUP($A611,'Dados StatusInvest'!$A:$AZ,COLUMN(AD611)-$A$5,0)),0)</f>
        <v>-16.94</v>
      </c>
      <c r="AE611" s="56">
        <f>IFERROR((VLOOKUP($A611,'Dados StatusInvest'!$A:$AZ,COLUMN(AE611)-$A$5,0)),0)</f>
        <v>14478.62</v>
      </c>
      <c r="AF611" s="56">
        <f>IFERROR((VLOOKUP($A611,'Dados StatusInvest'!$A:$AZ,COLUMN(AF611)-$A$5,0)),0)</f>
        <v>1.43</v>
      </c>
      <c r="AG611" s="56">
        <f>IFERROR((VLOOKUP($A611,'Dados StatusInvest'!$A:$AZ,COLUMN(AG611)-$A$5,0)),0)</f>
        <v>0.47</v>
      </c>
      <c r="AH611" s="56">
        <f>IFERROR((VLOOKUP($A611,'Dados StatusInvest'!$A:$AZ,COLUMN(AH611)-$A$5,0)),0)</f>
        <v>0.39</v>
      </c>
      <c r="AI611" s="57">
        <f>IFERROR((VLOOKUP($A611,'Dados StatusInvest'!$A:$AZ,COLUMN(AI611)-$A$5,0)),0)</f>
        <v>6814595401</v>
      </c>
      <c r="AJ611" s="59" t="str">
        <f>IFERROR((VLOOKUP($A611,'Dados StatusInvest'!$A:$AZ,COLUMN(AJ611)-$A$5,0)),0)</f>
        <v/>
      </c>
      <c r="AK611" s="67" t="str">
        <f>IFERROR(__xludf.DUMMYFUNCTION("IFERROR(GOOGLEFINANCE($A611,""high""),"""")"),"")</f>
        <v/>
      </c>
      <c r="AL611" s="67" t="str">
        <f>IFERROR(__xludf.DUMMYFUNCTION("IFERROR(GOOGLEFINANCE($A611,""low""),"""")"),"")</f>
        <v/>
      </c>
      <c r="AM611" s="70">
        <f t="shared" si="2"/>
        <v>0</v>
      </c>
      <c r="AN611" s="71">
        <f>IFERROR(__xludf.DUMMYFUNCTION("IFERROR((GOOGLEFINANCE($A611,""volume"")),0)"),0.0)</f>
        <v>0</v>
      </c>
      <c r="AO611" s="67">
        <f>IFERROR(__xludf.DUMMYFUNCTION("IFERROR((GOOGLEFINANCE($A611,""closeyest"")),"""")"),4.44)</f>
        <v>4.44</v>
      </c>
      <c r="AP611" s="67">
        <f>IFERROR(__xludf.DUMMYFUNCTION("IFERROR((GOOGLEFINANCE($A611,""shares"")),"""")"),1.028700892E9)</f>
        <v>1028700892</v>
      </c>
      <c r="AQ611" s="60"/>
    </row>
    <row r="612">
      <c r="A612" s="45" t="str">
        <f>'Dados StatusInvest'!A607:A1226</f>
        <v>WHRL4</v>
      </c>
      <c r="B612" s="63" t="str">
        <f>IFERROR(__xludf.DUMMYFUNCTION("IFERROR((GOOGLEFINANCE(A612,""name"")),"""")"),"Whirlpool SA Preference Shares")</f>
        <v>Whirlpool SA Preference Shares</v>
      </c>
      <c r="C612" s="46" t="str">
        <f>IFERROR((VLOOKUP(LEFT($A612,4),Setor!$A:$E,3,0)),"")</f>
        <v>Consumo Cíclico</v>
      </c>
      <c r="D612" s="46" t="str">
        <f>IFERROR((VLOOKUP(LEFT($A612,4),Setor!$A:$E,4,0)),"")</f>
        <v>Utilidades Domésticas</v>
      </c>
      <c r="E612" s="46" t="str">
        <f>IFERROR((VLOOKUP(LEFT($A612,4),Setor!$A:$E,5,0)),"")</f>
        <v>Eletrodomésticos</v>
      </c>
      <c r="F612" s="47">
        <f>IFERROR(__xludf.DUMMYFUNCTION("IFERROR((GOOGLEFINANCE(A612)),"""")"),4.74)</f>
        <v>4.74</v>
      </c>
      <c r="G612" s="65" t="str">
        <f>IFERROR(__xludf.DUMMYFUNCTION("IFERROR((sparkline(GOOGLEFINANCE($A612,""price"",TODAY()-30,TODAY(),""DAILY""),{""charttype"",""line"";""linewidth"",1;""color"",""#5f88cc""})),"""")"),"")</f>
        <v/>
      </c>
      <c r="H612" s="47"/>
      <c r="I612" s="47">
        <f>IFERROR(__xludf.DUMMYFUNCTION("IFERROR((GOOGLEFINANCE($A612,""high52"")),"""")"),4.91)</f>
        <v>4.91</v>
      </c>
      <c r="J612" s="68" t="str">
        <f>IFERROR(__xludf.DUMMYFUNCTION("IFERROR((sparkline(GOOGLEFINANCE($A612,""price"",TODAY()-365,TODAY(),""DAILY""),{""charttype"",""line"";""linewidth"",1;""color"",""#5f88cc""})),"""")"),"")</f>
        <v/>
      </c>
      <c r="K612" s="66">
        <f>IFERROR(__xludf.DUMMYFUNCTION("IFERROR((((GOOGLEFINANCE(A612))-(INDEX(GoogleFinance(A612,""PRICE"",$AP$1),2,2)))/(INDEX(GoogleFinance(A612,""PRICE"",$AP$1),2,2))),"""")"),0.14216867469879513)</f>
        <v>0.1421686747</v>
      </c>
      <c r="L612" s="69">
        <f t="shared" si="1"/>
        <v>-0.03462321792</v>
      </c>
      <c r="M612" s="52">
        <f>IFERROR((VLOOKUP($A612,'Dados StatusInvest'!$A:$AZ,COLUMN(M612)-$A$5,0)*VLOOKUP($A612,'Dados StatusInvest'!$A:$AZ,2,0)/$F612/100),0)</f>
        <v>0.0985</v>
      </c>
      <c r="N612" s="53">
        <f>IFERROR((VLOOKUP($A612,'Dados StatusInvest'!$A:$AZ,COLUMN(N612)-$A$5,0)/VLOOKUP($A612,'Dados StatusInvest'!$A:$AZ,2,0)*$F612),"")</f>
        <v>5.45</v>
      </c>
      <c r="O612" s="53">
        <f>IFERROR((VLOOKUP($A612,'Dados StatusInvest'!$A:$AZ,COLUMN(O612)-$A$5,0)/VLOOKUP($A612,'Dados StatusInvest'!$A:$AZ,2,0)*$F612),0)</f>
        <v>5.61</v>
      </c>
      <c r="P612" s="54">
        <f>IFERROR((VLOOKUP($A612,'Dados StatusInvest'!$A:$AZ,COLUMN(P612)-$A$5,0)/VLOOKUP($A612,'Dados StatusInvest'!$A:$AZ,2,0)*$F612),0)</f>
        <v>5.26</v>
      </c>
      <c r="Q612" s="55">
        <f>IFERROR((VLOOKUP($A612,'Dados StatusInvest'!$A:$AZ,COLUMN(Q612)-$A$5,0)/100),0)</f>
        <v>-0.0011</v>
      </c>
      <c r="R612" s="56">
        <f>VLOOKUP($A612,'Dados StatusInvest'!$A:$AZ,COLUMN(R612)-$A$5,0)</f>
        <v>-0.07</v>
      </c>
      <c r="S612" s="56">
        <f>IFERROR((VLOOKUP($A612,'Dados StatusInvest'!$A:$AZ,COLUMN(S612)-$A$5,0)),0)</f>
        <v>0.55</v>
      </c>
      <c r="T612" s="53">
        <f>IFERROR((VLOOKUP($A612,'Dados StatusInvest'!$A:$AZ,COLUMN(T612)-$A$5,0)/VLOOKUP($A612,'Dados StatusInvest'!$A:$AZ,2,0)*$F612),0)</f>
        <v>-24.86</v>
      </c>
      <c r="U612" s="53">
        <f>IFERROR((VLOOKUP($A612,'Dados StatusInvest'!$A:$AZ,COLUMN(U612)-$A$5,0)-VLOOKUP($A612,'Dados StatusInvest'!$A:$AZ,COLUMN(U612)-$A$5-1,0)+T612),0)</f>
        <v>-2.19</v>
      </c>
      <c r="V612" s="56">
        <f>IFERROR((VLOOKUP($A612,'Dados StatusInvest'!$A:$AZ,COLUMN(V612)-$A$5,0)),0)</f>
        <v>0.96</v>
      </c>
      <c r="W612" s="56">
        <f>IFERROR((VLOOKUP($A612,'Dados StatusInvest'!$A:$AZ,COLUMN(W612)-$A$5,0)),0)</f>
        <v>32.74</v>
      </c>
      <c r="X612" s="53">
        <f>IFERROR((VLOOKUP($A612,'Dados StatusInvest'!$A:$AZ,COLUMN(X612)-$A$5,0)/VLOOKUP($A612,'Dados StatusInvest'!$A:$AZ,2,0)*$F612),0)</f>
        <v>7</v>
      </c>
      <c r="Y612" s="54">
        <f>IFERROR((VLOOKUP($A612,'Dados StatusInvest'!$A:$AZ,COLUMN(Y612)-$A$5,0)/VLOOKUP($A612,'Dados StatusInvest'!$A:$AZ,2,0)*$F612),0)</f>
        <v>25.21</v>
      </c>
      <c r="Z612" s="56">
        <f>IFERROR((VLOOKUP($A612,'Dados StatusInvest'!$A:$AZ,COLUMN(Z612)-$A$5,0)),0)</f>
        <v>0.21</v>
      </c>
      <c r="AA612" s="57">
        <f>IFERROR((VLOOKUP($A612,'Dados StatusInvest'!$A:$AZ,COLUMN(AA612)-$A$5,0)),0)</f>
        <v>0.79</v>
      </c>
      <c r="AB612" s="57">
        <f>IFERROR((VLOOKUP($A612,'Dados StatusInvest'!$A:$AZ,COLUMN(AB612)-$A$5,0)),0)</f>
        <v>1.29</v>
      </c>
      <c r="AC612" s="58">
        <f>IFERROR((VLOOKUP($A612,'Dados StatusInvest'!$A:$AZ,COLUMN(AC612)-$A$5,0)),0)</f>
        <v>10.8</v>
      </c>
      <c r="AD612" s="57">
        <f>IFERROR((VLOOKUP($A612,'Dados StatusInvest'!$A:$AZ,COLUMN(AD612)-$A$5,0)),0)</f>
        <v>-16.94</v>
      </c>
      <c r="AE612" s="56">
        <f>IFERROR((VLOOKUP($A612,'Dados StatusInvest'!$A:$AZ,COLUMN(AE612)-$A$5,0)),0)</f>
        <v>26775.05</v>
      </c>
      <c r="AF612" s="56">
        <f>IFERROR((VLOOKUP($A612,'Dados StatusInvest'!$A:$AZ,COLUMN(AF612)-$A$5,0)),0)</f>
        <v>1.43</v>
      </c>
      <c r="AG612" s="56">
        <f>IFERROR((VLOOKUP($A612,'Dados StatusInvest'!$A:$AZ,COLUMN(AG612)-$A$5,0)),0)</f>
        <v>0.47</v>
      </c>
      <c r="AH612" s="56">
        <f>IFERROR((VLOOKUP($A612,'Dados StatusInvest'!$A:$AZ,COLUMN(AH612)-$A$5,0)),0)</f>
        <v>0.41</v>
      </c>
      <c r="AI612" s="57">
        <f>IFERROR((VLOOKUP($A612,'Dados StatusInvest'!$A:$AZ,COLUMN(AI612)-$A$5,0)),0)</f>
        <v>6814595401</v>
      </c>
      <c r="AJ612" s="59" t="str">
        <f>IFERROR((VLOOKUP($A612,'Dados StatusInvest'!$A:$AZ,COLUMN(AJ612)-$A$5,0)),0)</f>
        <v/>
      </c>
      <c r="AK612" s="67" t="str">
        <f>IFERROR(__xludf.DUMMYFUNCTION("IFERROR(GOOGLEFINANCE($A612,""high""),"""")"),"")</f>
        <v/>
      </c>
      <c r="AL612" s="67" t="str">
        <f>IFERROR(__xludf.DUMMYFUNCTION("IFERROR(GOOGLEFINANCE($A612,""low""),"""")"),"")</f>
        <v/>
      </c>
      <c r="AM612" s="70">
        <f t="shared" si="2"/>
        <v>0</v>
      </c>
      <c r="AN612" s="71">
        <f>IFERROR(__xludf.DUMMYFUNCTION("IFERROR((GOOGLEFINANCE($A612,""volume"")),0)"),0.0)</f>
        <v>0</v>
      </c>
      <c r="AO612" s="67">
        <f>IFERROR(__xludf.DUMMYFUNCTION("IFERROR((GOOGLEFINANCE($A612,""closeyest"")),"""")"),4.74)</f>
        <v>4.74</v>
      </c>
      <c r="AP612" s="67">
        <f>IFERROR(__xludf.DUMMYFUNCTION("IFERROR((GOOGLEFINANCE($A612,""shares"")),"""")"),4.74085114E8)</f>
        <v>474085114</v>
      </c>
      <c r="AQ612" s="60"/>
    </row>
    <row r="613">
      <c r="A613" s="45" t="str">
        <f>'Dados StatusInvest'!A608:A1227</f>
        <v>WIZC3</v>
      </c>
      <c r="B613" s="63" t="str">
        <f>IFERROR(__xludf.DUMMYFUNCTION("IFERROR((GOOGLEFINANCE(A613,""name"")),"""")"),"Wiz Co Participacos e Cortgm de Sgurs SA")</f>
        <v>Wiz Co Participacos e Cortgm de Sgurs SA</v>
      </c>
      <c r="C613" s="46" t="str">
        <f>IFERROR((VLOOKUP(LEFT($A613,4),Setor!$A:$E,3,0)),"")</f>
        <v/>
      </c>
      <c r="D613" s="46" t="str">
        <f>IFERROR((VLOOKUP(LEFT($A613,4),Setor!$A:$E,4,0)),"")</f>
        <v/>
      </c>
      <c r="E613" s="46" t="str">
        <f>IFERROR((VLOOKUP(LEFT($A613,4),Setor!$A:$E,5,0)),"")</f>
        <v/>
      </c>
      <c r="F613" s="47">
        <f>IFERROR(__xludf.DUMMYFUNCTION("IFERROR((GOOGLEFINANCE(A613)),"""")"),9.01)</f>
        <v>9.01</v>
      </c>
      <c r="G613" s="65" t="str">
        <f>IFERROR(__xludf.DUMMYFUNCTION("IFERROR((sparkline(GOOGLEFINANCE($A613,""price"",TODAY()-30,TODAY(),""DAILY""),{""charttype"",""line"";""linewidth"",1;""color"",""#5f88cc""})),"""")"),"")</f>
        <v/>
      </c>
      <c r="H613" s="47"/>
      <c r="I613" s="47">
        <f>IFERROR(__xludf.DUMMYFUNCTION("IFERROR((GOOGLEFINANCE($A613,""high52"")),"""")"),10.37)</f>
        <v>10.37</v>
      </c>
      <c r="J613" s="68" t="str">
        <f>IFERROR(__xludf.DUMMYFUNCTION("IFERROR((sparkline(GOOGLEFINANCE($A613,""price"",TODAY()-365,TODAY(),""DAILY""),{""charttype"",""line"";""linewidth"",1;""color"",""#5f88cc""})),"""")"),"")</f>
        <v/>
      </c>
      <c r="K613" s="66">
        <f>IFERROR(__xludf.DUMMYFUNCTION("IFERROR((((GOOGLEFINANCE(A613))-(INDEX(GoogleFinance(A613,""PRICE"",$AP$1),2,2)))/(INDEX(GoogleFinance(A613,""PRICE"",$AP$1),2,2))),"""")"),0.5041736227045074)</f>
        <v>0.5041736227</v>
      </c>
      <c r="L613" s="69">
        <f t="shared" si="1"/>
        <v>-0.131147541</v>
      </c>
      <c r="M613" s="52">
        <f>IFERROR((VLOOKUP($A613,'Dados StatusInvest'!$A:$AZ,COLUMN(M613)-$A$5,0)*VLOOKUP($A613,'Dados StatusInvest'!$A:$AZ,2,0)/$F613/100),0)</f>
        <v>0.4563129856</v>
      </c>
      <c r="N613" s="53">
        <f>IFERROR((VLOOKUP($A613,'Dados StatusInvest'!$A:$AZ,COLUMN(N613)-$A$5,0)/VLOOKUP($A613,'Dados StatusInvest'!$A:$AZ,2,0)*$F613),"")</f>
        <v>13.78232967</v>
      </c>
      <c r="O613" s="53">
        <f>IFERROR((VLOOKUP($A613,'Dados StatusInvest'!$A:$AZ,COLUMN(O613)-$A$5,0)/VLOOKUP($A613,'Dados StatusInvest'!$A:$AZ,2,0)*$F613),0)</f>
        <v>2.336659341</v>
      </c>
      <c r="P613" s="54">
        <f>IFERROR((VLOOKUP($A613,'Dados StatusInvest'!$A:$AZ,COLUMN(P613)-$A$5,0)/VLOOKUP($A613,'Dados StatusInvest'!$A:$AZ,2,0)*$F613),0)</f>
        <v>2.475274725</v>
      </c>
      <c r="Q613" s="55">
        <f>IFERROR((VLOOKUP($A613,'Dados StatusInvest'!$A:$AZ,COLUMN(Q613)-$A$5,0)/100),0)</f>
        <v>0.0014</v>
      </c>
      <c r="R613" s="56">
        <f>VLOOKUP($A613,'Dados StatusInvest'!$A:$AZ,COLUMN(R613)-$A$5,0)</f>
        <v>0.13</v>
      </c>
      <c r="S613" s="56">
        <f>IFERROR((VLOOKUP($A613,'Dados StatusInvest'!$A:$AZ,COLUMN(S613)-$A$5,0)),0)</f>
        <v>1.07</v>
      </c>
      <c r="T613" s="53">
        <f>IFERROR((VLOOKUP($A613,'Dados StatusInvest'!$A:$AZ,COLUMN(T613)-$A$5,0)/VLOOKUP($A613,'Dados StatusInvest'!$A:$AZ,2,0)*$F613),0)</f>
        <v>38.01031868</v>
      </c>
      <c r="U613" s="53">
        <f>IFERROR((VLOOKUP($A613,'Dados StatusInvest'!$A:$AZ,COLUMN(U613)-$A$5,0)-VLOOKUP($A613,'Dados StatusInvest'!$A:$AZ,COLUMN(U613)-$A$5-1,0)+T613),0)</f>
        <v>-1.169681319</v>
      </c>
      <c r="V613" s="56">
        <f>IFERROR((VLOOKUP($A613,'Dados StatusInvest'!$A:$AZ,COLUMN(V613)-$A$5,0)),0)</f>
        <v>1.07</v>
      </c>
      <c r="W613" s="56">
        <f>IFERROR((VLOOKUP($A613,'Dados StatusInvest'!$A:$AZ,COLUMN(W613)-$A$5,0)),0)</f>
        <v>27.23</v>
      </c>
      <c r="X613" s="53">
        <f>IFERROR((VLOOKUP($A613,'Dados StatusInvest'!$A:$AZ,COLUMN(X613)-$A$5,0)/VLOOKUP($A613,'Dados StatusInvest'!$A:$AZ,2,0)*$F613),0)</f>
        <v>7.792164835</v>
      </c>
      <c r="Y613" s="54">
        <f>IFERROR((VLOOKUP($A613,'Dados StatusInvest'!$A:$AZ,COLUMN(Y613)-$A$5,0)/VLOOKUP($A613,'Dados StatusInvest'!$A:$AZ,2,0)*$F613),0)</f>
        <v>24.47551648</v>
      </c>
      <c r="Z613" s="56">
        <f>IFERROR((VLOOKUP($A613,'Dados StatusInvest'!$A:$AZ,COLUMN(Z613)-$A$5,0)),0)</f>
        <v>0.29</v>
      </c>
      <c r="AA613" s="57">
        <f>IFERROR((VLOOKUP($A613,'Dados StatusInvest'!$A:$AZ,COLUMN(AA613)-$A$5,0)),0)</f>
        <v>0.46</v>
      </c>
      <c r="AB613" s="57">
        <f>IFERROR((VLOOKUP($A613,'Dados StatusInvest'!$A:$AZ,COLUMN(AB613)-$A$5,0)),0)</f>
        <v>0.57</v>
      </c>
      <c r="AC613" s="58">
        <f>IFERROR((VLOOKUP($A613,'Dados StatusInvest'!$A:$AZ,COLUMN(AC613)-$A$5,0)),0)</f>
        <v>13.02</v>
      </c>
      <c r="AD613" s="57">
        <f>IFERROR((VLOOKUP($A613,'Dados StatusInvest'!$A:$AZ,COLUMN(AD613)-$A$5,0)),0)</f>
        <v>-2.34</v>
      </c>
      <c r="AE613" s="56">
        <f>IFERROR((VLOOKUP($A613,'Dados StatusInvest'!$A:$AZ,COLUMN(AE613)-$A$5,0)),0)</f>
        <v>5751102</v>
      </c>
      <c r="AF613" s="56">
        <f>IFERROR((VLOOKUP($A613,'Dados StatusInvest'!$A:$AZ,COLUMN(AF613)-$A$5,0)),0)</f>
        <v>4.36</v>
      </c>
      <c r="AG613" s="56">
        <f>IFERROR((VLOOKUP($A613,'Dados StatusInvest'!$A:$AZ,COLUMN(AG613)-$A$5,0)),0)</f>
        <v>1.19</v>
      </c>
      <c r="AH613" s="56">
        <f>IFERROR((VLOOKUP($A613,'Dados StatusInvest'!$A:$AZ,COLUMN(AH613)-$A$5,0)),0)</f>
        <v>1.33</v>
      </c>
      <c r="AI613" s="57">
        <f>IFERROR((VLOOKUP($A613,'Dados StatusInvest'!$A:$AZ,COLUMN(AI613)-$A$5,0)),0)</f>
        <v>1455156266</v>
      </c>
      <c r="AJ613" s="59" t="str">
        <f>IFERROR((VLOOKUP($A613,'Dados StatusInvest'!$A:$AZ,COLUMN(AJ613)-$A$5,0)),0)</f>
        <v/>
      </c>
      <c r="AK613" s="67">
        <f>IFERROR(__xludf.DUMMYFUNCTION("IFERROR(GOOGLEFINANCE($A613,""high""),"""")"),9.1)</f>
        <v>9.1</v>
      </c>
      <c r="AL613" s="67">
        <f>IFERROR(__xludf.DUMMYFUNCTION("IFERROR(GOOGLEFINANCE($A613,""low""),"""")"),8.95)</f>
        <v>8.95</v>
      </c>
      <c r="AM613" s="70">
        <f t="shared" si="2"/>
        <v>0.01675977654</v>
      </c>
      <c r="AN613" s="71">
        <f>IFERROR(__xludf.DUMMYFUNCTION("IFERROR((GOOGLEFINANCE($A613,""volume"")),0)"),41400.0)</f>
        <v>41400</v>
      </c>
      <c r="AO613" s="67">
        <f>IFERROR(__xludf.DUMMYFUNCTION("IFERROR((GOOGLEFINANCE($A613,""closeyest"")),"""")"),9.1)</f>
        <v>9.1</v>
      </c>
      <c r="AP613" s="67">
        <f>IFERROR(__xludf.DUMMYFUNCTION("IFERROR((GOOGLEFINANCE($A613,""shares"")),"""")"),1.59907282E8)</f>
        <v>159907282</v>
      </c>
      <c r="AQ613" s="60"/>
    </row>
    <row r="614">
      <c r="A614" s="45" t="str">
        <f>'Dados StatusInvest'!A609:A1228</f>
        <v>WLMM3</v>
      </c>
      <c r="B614" s="63" t="str">
        <f>IFERROR(__xludf.DUMMYFUNCTION("IFERROR((GOOGLEFINANCE(A614,""name"")),"""")"),"WLM Participacoes e Cmrc d Mqns e Vcs SA")</f>
        <v>WLM Participacoes e Cmrc d Mqns e Vcs SA</v>
      </c>
      <c r="C614" s="46" t="str">
        <f>IFERROR((VLOOKUP(LEFT($A614,4),Setor!$A:$E,3,0)),"")</f>
        <v>Bens Industriais</v>
      </c>
      <c r="D614" s="46" t="str">
        <f>IFERROR((VLOOKUP(LEFT($A614,4),Setor!$A:$E,4,0)),"")</f>
        <v>Comércio</v>
      </c>
      <c r="E614" s="46" t="str">
        <f>IFERROR((VLOOKUP(LEFT($A614,4),Setor!$A:$E,5,0)),"")</f>
        <v>Material de Transporte</v>
      </c>
      <c r="F614" s="47">
        <f>IFERROR(__xludf.DUMMYFUNCTION("IFERROR((GOOGLEFINANCE(A614)),"""")"),22.43)</f>
        <v>22.43</v>
      </c>
      <c r="G614" s="65" t="str">
        <f>IFERROR(__xludf.DUMMYFUNCTION("IFERROR((sparkline(GOOGLEFINANCE($A614,""price"",TODAY()-30,TODAY(),""DAILY""),{""charttype"",""line"";""linewidth"",1;""color"",""#5f88cc""})),"""")"),"")</f>
        <v/>
      </c>
      <c r="H614" s="47"/>
      <c r="I614" s="47">
        <f>IFERROR(__xludf.DUMMYFUNCTION("IFERROR((GOOGLEFINANCE($A614,""high52"")),"""")"),25.17)</f>
        <v>25.17</v>
      </c>
      <c r="J614" s="68" t="str">
        <f>IFERROR(__xludf.DUMMYFUNCTION("IFERROR((sparkline(GOOGLEFINANCE($A614,""price"",TODAY()-365,TODAY(),""DAILY""),{""charttype"",""line"";""linewidth"",1;""color"",""#5f88cc""})),"""")"),"")</f>
        <v/>
      </c>
      <c r="K614" s="66">
        <f>IFERROR(__xludf.DUMMYFUNCTION("IFERROR((((GOOGLEFINANCE(A614))-(INDEX(GoogleFinance(A614,""PRICE"",$AP$1),2,2)))/(INDEX(GoogleFinance(A614,""PRICE"",$AP$1),2,2))),"""")"),-0.06619483763530391)</f>
        <v>-0.06619483764</v>
      </c>
      <c r="L614" s="69">
        <f t="shared" si="1"/>
        <v>-0.1088597537</v>
      </c>
      <c r="M614" s="52">
        <f>IFERROR((VLOOKUP($A614,'Dados StatusInvest'!$A:$AZ,COLUMN(M614)-$A$5,0)*VLOOKUP($A614,'Dados StatusInvest'!$A:$AZ,2,0)/$F614/100),0)</f>
        <v>0.0658</v>
      </c>
      <c r="N614" s="53">
        <f>IFERROR((VLOOKUP($A614,'Dados StatusInvest'!$A:$AZ,COLUMN(N614)-$A$5,0)/VLOOKUP($A614,'Dados StatusInvest'!$A:$AZ,2,0)*$F614),"")</f>
        <v>3.85</v>
      </c>
      <c r="O614" s="53">
        <f>IFERROR((VLOOKUP($A614,'Dados StatusInvest'!$A:$AZ,COLUMN(O614)-$A$5,0)/VLOOKUP($A614,'Dados StatusInvest'!$A:$AZ,2,0)*$F614),0)</f>
        <v>4.05</v>
      </c>
      <c r="P614" s="54">
        <f>IFERROR((VLOOKUP($A614,'Dados StatusInvest'!$A:$AZ,COLUMN(P614)-$A$5,0)/VLOOKUP($A614,'Dados StatusInvest'!$A:$AZ,2,0)*$F614),0)</f>
        <v>5.94</v>
      </c>
      <c r="Q614" s="55">
        <f>IFERROR((VLOOKUP($A614,'Dados StatusInvest'!$A:$AZ,COLUMN(Q614)-$A$5,0)/100),0)</f>
        <v>0.016</v>
      </c>
      <c r="R614" s="56">
        <f>VLOOKUP($A614,'Dados StatusInvest'!$A:$AZ,COLUMN(R614)-$A$5,0)</f>
        <v>0.39</v>
      </c>
      <c r="S614" s="56">
        <f>IFERROR((VLOOKUP($A614,'Dados StatusInvest'!$A:$AZ,COLUMN(S614)-$A$5,0)),0)</f>
        <v>0.27</v>
      </c>
      <c r="T614" s="53">
        <f>IFERROR((VLOOKUP($A614,'Dados StatusInvest'!$A:$AZ,COLUMN(T614)-$A$5,0)/VLOOKUP($A614,'Dados StatusInvest'!$A:$AZ,2,0)*$F614),0)</f>
        <v>1.85</v>
      </c>
      <c r="U614" s="53">
        <f>IFERROR((VLOOKUP($A614,'Dados StatusInvest'!$A:$AZ,COLUMN(U614)-$A$5,0)-VLOOKUP($A614,'Dados StatusInvest'!$A:$AZ,COLUMN(U614)-$A$5-1,0)+T614),0)</f>
        <v>-1.29</v>
      </c>
      <c r="V614" s="56">
        <f>IFERROR((VLOOKUP($A614,'Dados StatusInvest'!$A:$AZ,COLUMN(V614)-$A$5,0)),0)</f>
        <v>1.96</v>
      </c>
      <c r="W614" s="56">
        <f>IFERROR((VLOOKUP($A614,'Dados StatusInvest'!$A:$AZ,COLUMN(W614)-$A$5,0)),0)</f>
        <v>14.25</v>
      </c>
      <c r="X614" s="53">
        <f>IFERROR((VLOOKUP($A614,'Dados StatusInvest'!$A:$AZ,COLUMN(X614)-$A$5,0)/VLOOKUP($A614,'Dados StatusInvest'!$A:$AZ,2,0)*$F614),0)</f>
        <v>7.68</v>
      </c>
      <c r="Y614" s="54">
        <f>IFERROR((VLOOKUP($A614,'Dados StatusInvest'!$A:$AZ,COLUMN(Y614)-$A$5,0)/VLOOKUP($A614,'Dados StatusInvest'!$A:$AZ,2,0)*$F614),0)</f>
        <v>9.83</v>
      </c>
      <c r="Z614" s="56">
        <f>IFERROR((VLOOKUP($A614,'Dados StatusInvest'!$A:$AZ,COLUMN(Z614)-$A$5,0)),0)</f>
        <v>0.54</v>
      </c>
      <c r="AA614" s="57">
        <f>IFERROR((VLOOKUP($A614,'Dados StatusInvest'!$A:$AZ,COLUMN(AA614)-$A$5,0)),0)</f>
        <v>0.46</v>
      </c>
      <c r="AB614" s="57">
        <f>IFERROR((VLOOKUP($A614,'Dados StatusInvest'!$A:$AZ,COLUMN(AB614)-$A$5,0)),0)</f>
        <v>2</v>
      </c>
      <c r="AC614" s="58">
        <f>IFERROR((VLOOKUP($A614,'Dados StatusInvest'!$A:$AZ,COLUMN(AC614)-$A$5,0)),0)</f>
        <v>23.58</v>
      </c>
      <c r="AD614" s="57">
        <f>IFERROR((VLOOKUP($A614,'Dados StatusInvest'!$A:$AZ,COLUMN(AD614)-$A$5,0)),0)</f>
        <v>18.79</v>
      </c>
      <c r="AE614" s="56">
        <f>IFERROR((VLOOKUP($A614,'Dados StatusInvest'!$A:$AZ,COLUMN(AE614)-$A$5,0)),0)</f>
        <v>1654.44</v>
      </c>
      <c r="AF614" s="56">
        <f>IFERROR((VLOOKUP($A614,'Dados StatusInvest'!$A:$AZ,COLUMN(AF614)-$A$5,0)),0)</f>
        <v>22.69</v>
      </c>
      <c r="AG614" s="56">
        <f>IFERROR((VLOOKUP($A614,'Dados StatusInvest'!$A:$AZ,COLUMN(AG614)-$A$5,0)),0)</f>
        <v>3.23</v>
      </c>
      <c r="AH614" s="56">
        <f>IFERROR((VLOOKUP($A614,'Dados StatusInvest'!$A:$AZ,COLUMN(AH614)-$A$5,0)),0)</f>
        <v>-0.45</v>
      </c>
      <c r="AI614" s="57">
        <f>IFERROR((VLOOKUP($A614,'Dados StatusInvest'!$A:$AZ,COLUMN(AI614)-$A$5,0)),0)</f>
        <v>873533315.1</v>
      </c>
      <c r="AJ614" s="59" t="str">
        <f>IFERROR((VLOOKUP($A614,'Dados StatusInvest'!$A:$AZ,COLUMN(AJ614)-$A$5,0)),0)</f>
        <v/>
      </c>
      <c r="AK614" s="67" t="str">
        <f>IFERROR(__xludf.DUMMYFUNCTION("IFERROR(GOOGLEFINANCE($A614,""high""),"""")"),"")</f>
        <v/>
      </c>
      <c r="AL614" s="67" t="str">
        <f>IFERROR(__xludf.DUMMYFUNCTION("IFERROR(GOOGLEFINANCE($A614,""low""),"""")"),"")</f>
        <v/>
      </c>
      <c r="AM614" s="70">
        <f t="shared" si="2"/>
        <v>0</v>
      </c>
      <c r="AN614" s="71">
        <f>IFERROR(__xludf.DUMMYFUNCTION("IFERROR((GOOGLEFINANCE($A614,""volume"")),0)"),0.0)</f>
        <v>0</v>
      </c>
      <c r="AO614" s="67">
        <f>IFERROR(__xludf.DUMMYFUNCTION("IFERROR((GOOGLEFINANCE($A614,""closeyest"")),"""")"),22.43)</f>
        <v>22.43</v>
      </c>
      <c r="AP614" s="67">
        <f>IFERROR(__xludf.DUMMYFUNCTION("IFERROR((GOOGLEFINANCE($A614,""shares"")),"""")"),1.657122E7)</f>
        <v>16571220</v>
      </c>
      <c r="AQ614" s="60"/>
    </row>
    <row r="615">
      <c r="A615" s="45" t="str">
        <f>'Dados StatusInvest'!A610:A1229</f>
        <v>WLMM4</v>
      </c>
      <c r="B615" s="63" t="str">
        <f>IFERROR(__xludf.DUMMYFUNCTION("IFERROR((GOOGLEFINANCE(A615,""name"")),"""")"),"WLM Participacoes e Cmrc d Mqns e Vcs SA Preference Shares")</f>
        <v>WLM Participacoes e Cmrc d Mqns e Vcs SA Preference Shares</v>
      </c>
      <c r="C615" s="46" t="str">
        <f>IFERROR((VLOOKUP(LEFT($A615,4),Setor!$A:$E,3,0)),"")</f>
        <v>Bens Industriais</v>
      </c>
      <c r="D615" s="46" t="str">
        <f>IFERROR((VLOOKUP(LEFT($A615,4),Setor!$A:$E,4,0)),"")</f>
        <v>Comércio</v>
      </c>
      <c r="E615" s="46" t="str">
        <f>IFERROR((VLOOKUP(LEFT($A615,4),Setor!$A:$E,5,0)),"")</f>
        <v>Material de Transporte</v>
      </c>
      <c r="F615" s="47">
        <f>IFERROR(__xludf.DUMMYFUNCTION("IFERROR((GOOGLEFINANCE(A615)),"""")"),25.37)</f>
        <v>25.37</v>
      </c>
      <c r="G615" s="65" t="str">
        <f>IFERROR(__xludf.DUMMYFUNCTION("IFERROR((sparkline(GOOGLEFINANCE($A615,""price"",TODAY()-30,TODAY(),""DAILY""),{""charttype"",""line"";""linewidth"",1;""color"",""#5f88cc""})),"""")"),"")</f>
        <v/>
      </c>
      <c r="H615" s="47"/>
      <c r="I615" s="47">
        <f>IFERROR(__xludf.DUMMYFUNCTION("IFERROR((GOOGLEFINANCE($A615,""high52"")),"""")"),30.32)</f>
        <v>30.32</v>
      </c>
      <c r="J615" s="68" t="str">
        <f>IFERROR(__xludf.DUMMYFUNCTION("IFERROR((sparkline(GOOGLEFINANCE($A615,""price"",TODAY()-365,TODAY(),""DAILY""),{""charttype"",""line"";""linewidth"",1;""color"",""#5f88cc""})),"""")"),"")</f>
        <v/>
      </c>
      <c r="K615" s="66" t="str">
        <f>IFERROR(__xludf.DUMMYFUNCTION("IFERROR((((GOOGLEFINANCE(A615))-(INDEX(GoogleFinance(A615,""PRICE"",$AP$1),2,2)))/(INDEX(GoogleFinance(A615,""PRICE"",$AP$1),2,2))),"""")"),"")</f>
        <v/>
      </c>
      <c r="L615" s="69">
        <f t="shared" si="1"/>
        <v>-0.1632585752</v>
      </c>
      <c r="M615" s="52">
        <f>IFERROR((VLOOKUP($A615,'Dados StatusInvest'!$A:$AZ,COLUMN(M615)-$A$5,0)*VLOOKUP($A615,'Dados StatusInvest'!$A:$AZ,2,0)/$F615/100),0)</f>
        <v>0.06559251084</v>
      </c>
      <c r="N615" s="53">
        <f>IFERROR((VLOOKUP($A615,'Dados StatusInvest'!$A:$AZ,COLUMN(N615)-$A$5,0)/VLOOKUP($A615,'Dados StatusInvest'!$A:$AZ,2,0)*$F615),"")</f>
        <v>3.862178727</v>
      </c>
      <c r="O615" s="53">
        <f>IFERROR((VLOOKUP($A615,'Dados StatusInvest'!$A:$AZ,COLUMN(O615)-$A$5,0)/VLOOKUP($A615,'Dados StatusInvest'!$A:$AZ,2,0)*$F615),0)</f>
        <v>4.584456307</v>
      </c>
      <c r="P615" s="54">
        <f>IFERROR((VLOOKUP($A615,'Dados StatusInvest'!$A:$AZ,COLUMN(P615)-$A$5,0)/VLOOKUP($A615,'Dados StatusInvest'!$A:$AZ,2,0)*$F615),0)</f>
        <v>5.958790036</v>
      </c>
      <c r="Q615" s="55">
        <f>IFERROR((VLOOKUP($A615,'Dados StatusInvest'!$A:$AZ,COLUMN(Q615)-$A$5,0)/100),0)</f>
        <v>0.016</v>
      </c>
      <c r="R615" s="56">
        <f>VLOOKUP($A615,'Dados StatusInvest'!$A:$AZ,COLUMN(R615)-$A$5,0)</f>
        <v>0.39</v>
      </c>
      <c r="S615" s="56">
        <f>IFERROR((VLOOKUP($A615,'Dados StatusInvest'!$A:$AZ,COLUMN(S615)-$A$5,0)),0)</f>
        <v>0.3</v>
      </c>
      <c r="T615" s="53">
        <f>IFERROR((VLOOKUP($A615,'Dados StatusInvest'!$A:$AZ,COLUMN(T615)-$A$5,0)/VLOOKUP($A615,'Dados StatusInvest'!$A:$AZ,2,0)*$F615),0)</f>
        <v>2.086579676</v>
      </c>
      <c r="U615" s="53">
        <f>IFERROR((VLOOKUP($A615,'Dados StatusInvest'!$A:$AZ,COLUMN(U615)-$A$5,0)-VLOOKUP($A615,'Dados StatusInvest'!$A:$AZ,COLUMN(U615)-$A$5-1,0)+T615),0)</f>
        <v>-1.453420324</v>
      </c>
      <c r="V615" s="56">
        <f>IFERROR((VLOOKUP($A615,'Dados StatusInvest'!$A:$AZ,COLUMN(V615)-$A$5,0)),0)</f>
        <v>1.96</v>
      </c>
      <c r="W615" s="56">
        <f>IFERROR((VLOOKUP($A615,'Dados StatusInvest'!$A:$AZ,COLUMN(W615)-$A$5,0)),0)</f>
        <v>14.25</v>
      </c>
      <c r="X615" s="53">
        <f>IFERROR((VLOOKUP($A615,'Dados StatusInvest'!$A:$AZ,COLUMN(X615)-$A$5,0)/VLOOKUP($A615,'Dados StatusInvest'!$A:$AZ,2,0)*$F615),0)</f>
        <v>7.704294187</v>
      </c>
      <c r="Y615" s="54">
        <f>IFERROR((VLOOKUP($A615,'Dados StatusInvest'!$A:$AZ,COLUMN(Y615)-$A$5,0)/VLOOKUP($A615,'Dados StatusInvest'!$A:$AZ,2,0)*$F615),0)</f>
        <v>9.861095295</v>
      </c>
      <c r="Z615" s="56">
        <f>IFERROR((VLOOKUP($A615,'Dados StatusInvest'!$A:$AZ,COLUMN(Z615)-$A$5,0)),0)</f>
        <v>0.54</v>
      </c>
      <c r="AA615" s="57">
        <f>IFERROR((VLOOKUP($A615,'Dados StatusInvest'!$A:$AZ,COLUMN(AA615)-$A$5,0)),0)</f>
        <v>0.46</v>
      </c>
      <c r="AB615" s="57">
        <f>IFERROR((VLOOKUP($A615,'Dados StatusInvest'!$A:$AZ,COLUMN(AB615)-$A$5,0)),0)</f>
        <v>2</v>
      </c>
      <c r="AC615" s="58">
        <f>IFERROR((VLOOKUP($A615,'Dados StatusInvest'!$A:$AZ,COLUMN(AC615)-$A$5,0)),0)</f>
        <v>23.58</v>
      </c>
      <c r="AD615" s="57">
        <f>IFERROR((VLOOKUP($A615,'Dados StatusInvest'!$A:$AZ,COLUMN(AD615)-$A$5,0)),0)</f>
        <v>18.79</v>
      </c>
      <c r="AE615" s="56">
        <f>IFERROR((VLOOKUP($A615,'Dados StatusInvest'!$A:$AZ,COLUMN(AE615)-$A$5,0)),0)</f>
        <v>46932.81</v>
      </c>
      <c r="AF615" s="56">
        <f>IFERROR((VLOOKUP($A615,'Dados StatusInvest'!$A:$AZ,COLUMN(AF615)-$A$5,0)),0)</f>
        <v>22.69</v>
      </c>
      <c r="AG615" s="56">
        <f>IFERROR((VLOOKUP($A615,'Dados StatusInvest'!$A:$AZ,COLUMN(AG615)-$A$5,0)),0)</f>
        <v>3.23</v>
      </c>
      <c r="AH615" s="56">
        <f>IFERROR((VLOOKUP($A615,'Dados StatusInvest'!$A:$AZ,COLUMN(AH615)-$A$5,0)),0)</f>
        <v>-0.5</v>
      </c>
      <c r="AI615" s="57">
        <f>IFERROR((VLOOKUP($A615,'Dados StatusInvest'!$A:$AZ,COLUMN(AI615)-$A$5,0)),0)</f>
        <v>873533315.1</v>
      </c>
      <c r="AJ615" s="59" t="str">
        <f>IFERROR((VLOOKUP($A615,'Dados StatusInvest'!$A:$AZ,COLUMN(AJ615)-$A$5,0)),0)</f>
        <v/>
      </c>
      <c r="AK615" s="67">
        <f>IFERROR(__xludf.DUMMYFUNCTION("IFERROR(GOOGLEFINANCE($A615,""high""),"""")"),25.37)</f>
        <v>25.37</v>
      </c>
      <c r="AL615" s="67">
        <f>IFERROR(__xludf.DUMMYFUNCTION("IFERROR(GOOGLEFINANCE($A615,""low""),"""")"),25.37)</f>
        <v>25.37</v>
      </c>
      <c r="AM615" s="70">
        <f t="shared" si="2"/>
        <v>0</v>
      </c>
      <c r="AN615" s="71">
        <f>IFERROR(__xludf.DUMMYFUNCTION("IFERROR((GOOGLEFINANCE($A615,""volume"")),0)"),100.0)</f>
        <v>100</v>
      </c>
      <c r="AO615" s="67">
        <f>IFERROR(__xludf.DUMMYFUNCTION("IFERROR((GOOGLEFINANCE($A615,""closeyest"")),"""")"),25.29)</f>
        <v>25.29</v>
      </c>
      <c r="AP615" s="67">
        <f>IFERROR(__xludf.DUMMYFUNCTION("IFERROR((GOOGLEFINANCE($A615,""shares"")),"""")"),1.984345E7)</f>
        <v>19843450</v>
      </c>
      <c r="AQ615" s="60"/>
    </row>
    <row r="616">
      <c r="A616" s="45" t="str">
        <f>'Dados StatusInvest'!A611:A1230</f>
        <v>YDUQ3</v>
      </c>
      <c r="B616" s="63" t="str">
        <f>IFERROR(__xludf.DUMMYFUNCTION("IFERROR((GOOGLEFINANCE(A616,""name"")),"""")"),"YDUQS Participacoes SA")</f>
        <v>YDUQS Participacoes SA</v>
      </c>
      <c r="C616" s="46" t="str">
        <f>IFERROR((VLOOKUP(LEFT($A616,4),Setor!$A:$E,3,0)),"")</f>
        <v>Consumo Cíclico</v>
      </c>
      <c r="D616" s="46" t="str">
        <f>IFERROR((VLOOKUP(LEFT($A616,4),Setor!$A:$E,4,0)),"")</f>
        <v>Diversos</v>
      </c>
      <c r="E616" s="46" t="str">
        <f>IFERROR((VLOOKUP(LEFT($A616,4),Setor!$A:$E,5,0)),"")</f>
        <v>Serviços Educacionais</v>
      </c>
      <c r="F616" s="47">
        <f>IFERROR(__xludf.DUMMYFUNCTION("IFERROR((GOOGLEFINANCE(A616)),"""")"),13.08)</f>
        <v>13.08</v>
      </c>
      <c r="G616" s="65" t="str">
        <f>IFERROR(__xludf.DUMMYFUNCTION("IFERROR((sparkline(GOOGLEFINANCE($A616,""price"",TODAY()-30,TODAY(),""DAILY""),{""charttype"",""line"";""linewidth"",1;""color"",""#5f88cc""})),"""")"),"")</f>
        <v/>
      </c>
      <c r="H616" s="47"/>
      <c r="I616" s="47">
        <f>IFERROR(__xludf.DUMMYFUNCTION("IFERROR((GOOGLEFINANCE($A616,""high52"")),"""")"),16.99)</f>
        <v>16.99</v>
      </c>
      <c r="J616" s="68" t="str">
        <f>IFERROR(__xludf.DUMMYFUNCTION("IFERROR((sparkline(GOOGLEFINANCE($A616,""price"",TODAY()-365,TODAY(),""DAILY""),{""charttype"",""line"";""linewidth"",1;""color"",""#5f88cc""})),"""")"),"")</f>
        <v/>
      </c>
      <c r="K616" s="66">
        <f>IFERROR(__xludf.DUMMYFUNCTION("IFERROR((((GOOGLEFINANCE(A616))-(INDEX(GoogleFinance(A616,""PRICE"",$AP$1),2,2)))/(INDEX(GoogleFinance(A616,""PRICE"",$AP$1),2,2))),"""")"),0.11604095563139927)</f>
        <v>0.1160409556</v>
      </c>
      <c r="L616" s="69">
        <f t="shared" si="1"/>
        <v>-0.2301353737</v>
      </c>
      <c r="M616" s="52">
        <f>IFERROR((VLOOKUP($A616,'Dados StatusInvest'!$A:$AZ,COLUMN(M616)-$A$5,0)*VLOOKUP($A616,'Dados StatusInvest'!$A:$AZ,2,0)/$F616/100),0)</f>
        <v>0.1654816514</v>
      </c>
      <c r="N616" s="53">
        <f>IFERROR((VLOOKUP($A616,'Dados StatusInvest'!$A:$AZ,COLUMN(N616)-$A$5,0)/VLOOKUP($A616,'Dados StatusInvest'!$A:$AZ,2,0)*$F616),"")</f>
        <v>4.37963964</v>
      </c>
      <c r="O616" s="53">
        <f>IFERROR((VLOOKUP($A616,'Dados StatusInvest'!$A:$AZ,COLUMN(O616)-$A$5,0)/VLOOKUP($A616,'Dados StatusInvest'!$A:$AZ,2,0)*$F616),0)</f>
        <v>4.026126126</v>
      </c>
      <c r="P616" s="54">
        <f>IFERROR((VLOOKUP($A616,'Dados StatusInvest'!$A:$AZ,COLUMN(P616)-$A$5,0)/VLOOKUP($A616,'Dados StatusInvest'!$A:$AZ,2,0)*$F616),0)</f>
        <v>8.72</v>
      </c>
      <c r="Q616" s="55">
        <f>IFERROR((VLOOKUP($A616,'Dados StatusInvest'!$A:$AZ,COLUMN(Q616)-$A$5,0)/100),0)</f>
        <v>0.0478</v>
      </c>
      <c r="R616" s="56">
        <f>VLOOKUP($A616,'Dados StatusInvest'!$A:$AZ,COLUMN(R616)-$A$5,0)</f>
        <v>1.36</v>
      </c>
      <c r="S616" s="56">
        <f>IFERROR((VLOOKUP($A616,'Dados StatusInvest'!$A:$AZ,COLUMN(S616)-$A$5,0)),0)</f>
        <v>0.67</v>
      </c>
      <c r="T616" s="53">
        <f>IFERROR((VLOOKUP($A616,'Dados StatusInvest'!$A:$AZ,COLUMN(T616)-$A$5,0)/VLOOKUP($A616,'Dados StatusInvest'!$A:$AZ,2,0)*$F616),0)</f>
        <v>9.770720721</v>
      </c>
      <c r="U616" s="53">
        <f>IFERROR((VLOOKUP($A616,'Dados StatusInvest'!$A:$AZ,COLUMN(U616)-$A$5,0)-VLOOKUP($A616,'Dados StatusInvest'!$A:$AZ,COLUMN(U616)-$A$5-1,0)+T616),0)</f>
        <v>-0.6792792793</v>
      </c>
      <c r="V616" s="56">
        <f>IFERROR((VLOOKUP($A616,'Dados StatusInvest'!$A:$AZ,COLUMN(V616)-$A$5,0)),0)</f>
        <v>1.18</v>
      </c>
      <c r="W616" s="56">
        <f>IFERROR((VLOOKUP($A616,'Dados StatusInvest'!$A:$AZ,COLUMN(W616)-$A$5,0)),0)</f>
        <v>7.8</v>
      </c>
      <c r="X616" s="53">
        <f>IFERROR((VLOOKUP($A616,'Dados StatusInvest'!$A:$AZ,COLUMN(X616)-$A$5,0)/VLOOKUP($A616,'Dados StatusInvest'!$A:$AZ,2,0)*$F616),0)</f>
        <v>2.474594595</v>
      </c>
      <c r="Y616" s="54">
        <f>IFERROR((VLOOKUP($A616,'Dados StatusInvest'!$A:$AZ,COLUMN(Y616)-$A$5,0)/VLOOKUP($A616,'Dados StatusInvest'!$A:$AZ,2,0)*$F616),0)</f>
        <v>9.593963964</v>
      </c>
      <c r="Z616" s="56">
        <f>IFERROR((VLOOKUP($A616,'Dados StatusInvest'!$A:$AZ,COLUMN(Z616)-$A$5,0)),0)</f>
        <v>0.32</v>
      </c>
      <c r="AA616" s="57">
        <f>IFERROR((VLOOKUP($A616,'Dados StatusInvest'!$A:$AZ,COLUMN(AA616)-$A$5,0)),0)</f>
        <v>0.67</v>
      </c>
      <c r="AB616" s="57">
        <f>IFERROR((VLOOKUP($A616,'Dados StatusInvest'!$A:$AZ,COLUMN(AB616)-$A$5,0)),0)</f>
        <v>0.56</v>
      </c>
      <c r="AC616" s="58">
        <f>IFERROR((VLOOKUP($A616,'Dados StatusInvest'!$A:$AZ,COLUMN(AC616)-$A$5,0)),0)</f>
        <v>8.46</v>
      </c>
      <c r="AD616" s="57">
        <f>IFERROR((VLOOKUP($A616,'Dados StatusInvest'!$A:$AZ,COLUMN(AD616)-$A$5,0)),0)</f>
        <v>-17.66</v>
      </c>
      <c r="AE616" s="56">
        <f>IFERROR((VLOOKUP($A616,'Dados StatusInvest'!$A:$AZ,COLUMN(AE616)-$A$5,0)),0)</f>
        <v>58230737</v>
      </c>
      <c r="AF616" s="56">
        <f>IFERROR((VLOOKUP($A616,'Dados StatusInvest'!$A:$AZ,COLUMN(AF616)-$A$5,0)),0)</f>
        <v>11.44</v>
      </c>
      <c r="AG616" s="56">
        <f>IFERROR((VLOOKUP($A616,'Dados StatusInvest'!$A:$AZ,COLUMN(AG616)-$A$5,0)),0)</f>
        <v>0.89</v>
      </c>
      <c r="AH616" s="56">
        <f>IFERROR((VLOOKUP($A616,'Dados StatusInvest'!$A:$AZ,COLUMN(AH616)-$A$5,0)),0)</f>
        <v>0.79</v>
      </c>
      <c r="AI616" s="57">
        <f>IFERROR((VLOOKUP($A616,'Dados StatusInvest'!$A:$AZ,COLUMN(AI616)-$A$5,0)),0)</f>
        <v>3650863495</v>
      </c>
      <c r="AJ616" s="59" t="str">
        <f>IFERROR((VLOOKUP($A616,'Dados StatusInvest'!$A:$AZ,COLUMN(AJ616)-$A$5,0)),0)</f>
        <v/>
      </c>
      <c r="AK616" s="67">
        <f>IFERROR(__xludf.DUMMYFUNCTION("IFERROR(GOOGLEFINANCE($A616,""high""),"""")"),13.3)</f>
        <v>13.3</v>
      </c>
      <c r="AL616" s="67">
        <f>IFERROR(__xludf.DUMMYFUNCTION("IFERROR(GOOGLEFINANCE($A616,""low""),"""")"),13.04)</f>
        <v>13.04</v>
      </c>
      <c r="AM616" s="70">
        <f t="shared" si="2"/>
        <v>0.01993865031</v>
      </c>
      <c r="AN616" s="71">
        <f>IFERROR(__xludf.DUMMYFUNCTION("IFERROR((GOOGLEFINANCE($A616,""volume"")),0)"),134400.0)</f>
        <v>134400</v>
      </c>
      <c r="AO616" s="67">
        <f>IFERROR(__xludf.DUMMYFUNCTION("IFERROR((GOOGLEFINANCE($A616,""closeyest"")),"""")"),13.32)</f>
        <v>13.32</v>
      </c>
      <c r="AP616" s="67">
        <f>IFERROR(__xludf.DUMMYFUNCTION("IFERROR((GOOGLEFINANCE($A616,""shares"")),"""")"),2.74088851E8)</f>
        <v>274088851</v>
      </c>
      <c r="AQ616" s="60"/>
    </row>
    <row r="617">
      <c r="A617" s="45" t="str">
        <f>'Dados StatusInvest'!A612:A1231</f>
        <v>ZAMP3</v>
      </c>
      <c r="B617" s="63" t="str">
        <f>IFERROR(__xludf.DUMMYFUNCTION("IFERROR((GOOGLEFINANCE(A617,""name"")),"""")"),"")</f>
        <v/>
      </c>
      <c r="C617" s="46" t="str">
        <f>IFERROR((VLOOKUP(LEFT($A617,4),Setor!$A:$E,3,0)),"")</f>
        <v/>
      </c>
      <c r="D617" s="46" t="str">
        <f>IFERROR((VLOOKUP(LEFT($A617,4),Setor!$A:$E,4,0)),"")</f>
        <v/>
      </c>
      <c r="E617" s="46" t="str">
        <f>IFERROR((VLOOKUP(LEFT($A617,4),Setor!$A:$E,5,0)),"")</f>
        <v/>
      </c>
      <c r="F617" s="47" t="str">
        <f>IFERROR(__xludf.DUMMYFUNCTION("IFERROR((GOOGLEFINANCE(A617)),"""")"),"")</f>
        <v/>
      </c>
      <c r="G617" s="65" t="str">
        <f>IFERROR(__xludf.DUMMYFUNCTION("IFERROR((sparkline(GOOGLEFINANCE($A617,""price"",TODAY()-30,TODAY(),""DAILY""),{""charttype"",""line"";""linewidth"",1;""color"",""#5f88cc""})),"""")"),"")</f>
        <v/>
      </c>
      <c r="H617" s="47"/>
      <c r="I617" s="47" t="str">
        <f>IFERROR(__xludf.DUMMYFUNCTION("IFERROR((GOOGLEFINANCE($A617,""high52"")),"""")"),"")</f>
        <v/>
      </c>
      <c r="J617" s="68" t="str">
        <f>IFERROR(__xludf.DUMMYFUNCTION("IFERROR((sparkline(GOOGLEFINANCE($A617,""price"",TODAY()-365,TODAY(),""DAILY""),{""charttype"",""line"";""linewidth"",1;""color"",""#5f88cc""})),"""")"),"")</f>
        <v/>
      </c>
      <c r="K617" s="66" t="str">
        <f>IFERROR(__xludf.DUMMYFUNCTION("IFERROR((((GOOGLEFINANCE(A617))-(INDEX(GoogleFinance(A617,""PRICE"",$AP$1),2,2)))/(INDEX(GoogleFinance(A617,""PRICE"",$AP$1),2,2))),"""")"),"")</f>
        <v/>
      </c>
      <c r="L617" s="69">
        <f t="shared" si="1"/>
        <v>0</v>
      </c>
      <c r="M617" s="52">
        <f>IFERROR((VLOOKUP($A617,'Dados StatusInvest'!$A:$AZ,COLUMN(M617)-$A$5,0)*VLOOKUP($A617,'Dados StatusInvest'!$A:$AZ,2,0)/$F617/100),0)</f>
        <v>0</v>
      </c>
      <c r="N617" s="53">
        <f>IFERROR((VLOOKUP($A617,'Dados StatusInvest'!$A:$AZ,COLUMN(N617)-$A$5,0)/VLOOKUP($A617,'Dados StatusInvest'!$A:$AZ,2,0)*$F617),"")</f>
        <v>0</v>
      </c>
      <c r="O617" s="53">
        <f>IFERROR((VLOOKUP($A617,'Dados StatusInvest'!$A:$AZ,COLUMN(O617)-$A$5,0)/VLOOKUP($A617,'Dados StatusInvest'!$A:$AZ,2,0)*$F617),0)</f>
        <v>0</v>
      </c>
      <c r="P617" s="54">
        <f>IFERROR((VLOOKUP($A617,'Dados StatusInvest'!$A:$AZ,COLUMN(P617)-$A$5,0)/VLOOKUP($A617,'Dados StatusInvest'!$A:$AZ,2,0)*$F617),0)</f>
        <v>0</v>
      </c>
      <c r="Q617" s="55">
        <f>IFERROR((VLOOKUP($A617,'Dados StatusInvest'!$A:$AZ,COLUMN(Q617)-$A$5,0)/100),0)</f>
        <v>0.1984</v>
      </c>
      <c r="R617" s="56">
        <f>VLOOKUP($A617,'Dados StatusInvest'!$A:$AZ,COLUMN(R617)-$A$5,0)</f>
        <v>0.52</v>
      </c>
      <c r="S617" s="56">
        <f>IFERROR((VLOOKUP($A617,'Dados StatusInvest'!$A:$AZ,COLUMN(S617)-$A$5,0)),0)</f>
        <v>0.28</v>
      </c>
      <c r="T617" s="53">
        <f>IFERROR((VLOOKUP($A617,'Dados StatusInvest'!$A:$AZ,COLUMN(T617)-$A$5,0)/VLOOKUP($A617,'Dados StatusInvest'!$A:$AZ,2,0)*$F617),0)</f>
        <v>0</v>
      </c>
      <c r="U617" s="53">
        <f>IFERROR((VLOOKUP($A617,'Dados StatusInvest'!$A:$AZ,COLUMN(U617)-$A$5,0)-VLOOKUP($A617,'Dados StatusInvest'!$A:$AZ,COLUMN(U617)-$A$5-1,0)+T617),0)</f>
        <v>9.07</v>
      </c>
      <c r="V617" s="56">
        <f>IFERROR((VLOOKUP($A617,'Dados StatusInvest'!$A:$AZ,COLUMN(V617)-$A$5,0)),0)</f>
        <v>0.87</v>
      </c>
      <c r="W617" s="56">
        <f>IFERROR((VLOOKUP($A617,'Dados StatusInvest'!$A:$AZ,COLUMN(W617)-$A$5,0)),0)</f>
        <v>-12.35</v>
      </c>
      <c r="X617" s="53">
        <f>IFERROR((VLOOKUP($A617,'Dados StatusInvest'!$A:$AZ,COLUMN(X617)-$A$5,0)/VLOOKUP($A617,'Dados StatusInvest'!$A:$AZ,2,0)*$F617),0)</f>
        <v>0</v>
      </c>
      <c r="Y617" s="54">
        <f>IFERROR((VLOOKUP($A617,'Dados StatusInvest'!$A:$AZ,COLUMN(Y617)-$A$5,0)/VLOOKUP($A617,'Dados StatusInvest'!$A:$AZ,2,0)*$F617),0)</f>
        <v>0</v>
      </c>
      <c r="Z617" s="56">
        <f>IFERROR((VLOOKUP($A617,'Dados StatusInvest'!$A:$AZ,COLUMN(Z617)-$A$5,0)),0)</f>
        <v>0.33</v>
      </c>
      <c r="AA617" s="57">
        <f>IFERROR((VLOOKUP($A617,'Dados StatusInvest'!$A:$AZ,COLUMN(AA617)-$A$5,0)),0)</f>
        <v>0.67</v>
      </c>
      <c r="AB617" s="57">
        <f>IFERROR((VLOOKUP($A617,'Dados StatusInvest'!$A:$AZ,COLUMN(AB617)-$A$5,0)),0)</f>
        <v>1.17</v>
      </c>
      <c r="AC617" s="58">
        <f>IFERROR((VLOOKUP($A617,'Dados StatusInvest'!$A:$AZ,COLUMN(AC617)-$A$5,0)),0)</f>
        <v>9.7</v>
      </c>
      <c r="AD617" s="57">
        <f>IFERROR((VLOOKUP($A617,'Dados StatusInvest'!$A:$AZ,COLUMN(AD617)-$A$5,0)),0)</f>
        <v>0</v>
      </c>
      <c r="AE617" s="56">
        <f>IFERROR((VLOOKUP($A617,'Dados StatusInvest'!$A:$AZ,COLUMN(AE617)-$A$5,0)),0)</f>
        <v>247849</v>
      </c>
      <c r="AF617" s="56">
        <f>IFERROR((VLOOKUP($A617,'Dados StatusInvest'!$A:$AZ,COLUMN(AF617)-$A$5,0)),0)</f>
        <v>3.56</v>
      </c>
      <c r="AG617" s="56">
        <f>IFERROR((VLOOKUP($A617,'Dados StatusInvest'!$A:$AZ,COLUMN(AG617)-$A$5,0)),0)</f>
        <v>-0.44</v>
      </c>
      <c r="AH617" s="56">
        <f>IFERROR((VLOOKUP($A617,'Dados StatusInvest'!$A:$AZ,COLUMN(AH617)-$A$5,0)),0)</f>
        <v>-0.08</v>
      </c>
      <c r="AI617" s="57">
        <f>IFERROR((VLOOKUP($A617,'Dados StatusInvest'!$A:$AZ,COLUMN(AI617)-$A$5,0)),0)</f>
        <v>1424270383</v>
      </c>
      <c r="AJ617" s="59" t="str">
        <f>IFERROR((VLOOKUP($A617,'Dados StatusInvest'!$A:$AZ,COLUMN(AJ617)-$A$5,0)),0)</f>
        <v/>
      </c>
      <c r="AK617" s="67" t="str">
        <f>IFERROR(__xludf.DUMMYFUNCTION("IFERROR(GOOGLEFINANCE($A617,""high""),"""")"),"")</f>
        <v/>
      </c>
      <c r="AL617" s="67" t="str">
        <f>IFERROR(__xludf.DUMMYFUNCTION("IFERROR(GOOGLEFINANCE($A617,""low""),"""")"),"")</f>
        <v/>
      </c>
      <c r="AM617" s="70">
        <f t="shared" si="2"/>
        <v>0</v>
      </c>
      <c r="AN617" s="71">
        <f>IFERROR(__xludf.DUMMYFUNCTION("IFERROR((GOOGLEFINANCE($A617,""volume"")),0)"),0.0)</f>
        <v>0</v>
      </c>
      <c r="AO617" s="67" t="str">
        <f>IFERROR(__xludf.DUMMYFUNCTION("IFERROR((GOOGLEFINANCE($A617,""closeyest"")),"""")"),"")</f>
        <v/>
      </c>
      <c r="AP617" s="67" t="str">
        <f>IFERROR(__xludf.DUMMYFUNCTION("IFERROR((GOOGLEFINANCE($A617,""shares"")),"""")"),"")</f>
        <v/>
      </c>
      <c r="AQ617" s="60"/>
    </row>
    <row r="618">
      <c r="A618" s="45" t="str">
        <f>'Dados StatusInvest'!A613:A1232</f>
        <v>WLMM3</v>
      </c>
      <c r="B618" s="63" t="str">
        <f>IFERROR(__xludf.DUMMYFUNCTION("IFERROR((GOOGLEFINANCE(A618,""name"")),"""")"),"WLM Participacoes e Cmrc d Mqns e Vcs SA")</f>
        <v>WLM Participacoes e Cmrc d Mqns e Vcs SA</v>
      </c>
      <c r="C618" s="46" t="str">
        <f>IFERROR((VLOOKUP(LEFT($A618,4),Setor!$A:$E,3,0)),"")</f>
        <v>Bens Industriais</v>
      </c>
      <c r="D618" s="46" t="str">
        <f>IFERROR((VLOOKUP(LEFT($A618,4),Setor!$A:$E,4,0)),"")</f>
        <v>Comércio</v>
      </c>
      <c r="E618" s="46" t="str">
        <f>IFERROR((VLOOKUP(LEFT($A618,4),Setor!$A:$E,5,0)),"")</f>
        <v>Material de Transporte</v>
      </c>
      <c r="F618" s="47">
        <f>IFERROR(__xludf.DUMMYFUNCTION("IFERROR((GOOGLEFINANCE(A618)),"""")"),22.43)</f>
        <v>22.43</v>
      </c>
      <c r="G618" s="65" t="str">
        <f>IFERROR(__xludf.DUMMYFUNCTION("IFERROR((sparkline(GOOGLEFINANCE($A618,""price"",TODAY()-30,TODAY(),""DAILY""),{""charttype"",""line"";""linewidth"",1;""color"",""#5f88cc""})),"""")"),"")</f>
        <v/>
      </c>
      <c r="H618" s="47"/>
      <c r="I618" s="47">
        <f>IFERROR(__xludf.DUMMYFUNCTION("IFERROR((GOOGLEFINANCE($A618,""high52"")),"""")"),25.17)</f>
        <v>25.17</v>
      </c>
      <c r="J618" s="68" t="str">
        <f>IFERROR(__xludf.DUMMYFUNCTION("IFERROR((sparkline(GOOGLEFINANCE($A618,""price"",TODAY()-365,TODAY(),""DAILY""),{""charttype"",""line"";""linewidth"",1;""color"",""#5f88cc""})),"""")"),"")</f>
        <v/>
      </c>
      <c r="K618" s="66">
        <f>IFERROR(__xludf.DUMMYFUNCTION("IFERROR((((GOOGLEFINANCE(A618))-(INDEX(GoogleFinance(A618,""PRICE"",$AP$1),2,2)))/(INDEX(GoogleFinance(A618,""PRICE"",$AP$1),2,2))),"""")"),-0.06619483763530391)</f>
        <v>-0.06619483764</v>
      </c>
      <c r="L618" s="69">
        <f t="shared" si="1"/>
        <v>-0.1088597537</v>
      </c>
      <c r="M618" s="52">
        <f>IFERROR((VLOOKUP($A618,'Dados StatusInvest'!$A:$AZ,COLUMN(M618)-$A$5,0)*VLOOKUP($A618,'Dados StatusInvest'!$A:$AZ,2,0)/$F618/100),0)</f>
        <v>0.0658</v>
      </c>
      <c r="N618" s="53">
        <f>IFERROR((VLOOKUP($A618,'Dados StatusInvest'!$A:$AZ,COLUMN(N618)-$A$5,0)/VLOOKUP($A618,'Dados StatusInvest'!$A:$AZ,2,0)*$F618),"")</f>
        <v>3.85</v>
      </c>
      <c r="O618" s="53">
        <f>IFERROR((VLOOKUP($A618,'Dados StatusInvest'!$A:$AZ,COLUMN(O618)-$A$5,0)/VLOOKUP($A618,'Dados StatusInvest'!$A:$AZ,2,0)*$F618),0)</f>
        <v>4.05</v>
      </c>
      <c r="P618" s="54">
        <f>IFERROR((VLOOKUP($A618,'Dados StatusInvest'!$A:$AZ,COLUMN(P618)-$A$5,0)/VLOOKUP($A618,'Dados StatusInvest'!$A:$AZ,2,0)*$F618),0)</f>
        <v>5.94</v>
      </c>
      <c r="Q618" s="55">
        <f>IFERROR((VLOOKUP($A618,'Dados StatusInvest'!$A:$AZ,COLUMN(Q618)-$A$5,0)/100),0)</f>
        <v>0.016</v>
      </c>
      <c r="R618" s="56">
        <f>VLOOKUP($A618,'Dados StatusInvest'!$A:$AZ,COLUMN(R618)-$A$5,0)</f>
        <v>0.39</v>
      </c>
      <c r="S618" s="56">
        <f>IFERROR((VLOOKUP($A618,'Dados StatusInvest'!$A:$AZ,COLUMN(S618)-$A$5,0)),0)</f>
        <v>0.27</v>
      </c>
      <c r="T618" s="53">
        <f>IFERROR((VLOOKUP($A618,'Dados StatusInvest'!$A:$AZ,COLUMN(T618)-$A$5,0)/VLOOKUP($A618,'Dados StatusInvest'!$A:$AZ,2,0)*$F618),0)</f>
        <v>1.85</v>
      </c>
      <c r="U618" s="53">
        <f>IFERROR((VLOOKUP($A618,'Dados StatusInvest'!$A:$AZ,COLUMN(U618)-$A$5,0)-VLOOKUP($A618,'Dados StatusInvest'!$A:$AZ,COLUMN(U618)-$A$5-1,0)+T618),0)</f>
        <v>-1.29</v>
      </c>
      <c r="V618" s="56">
        <f>IFERROR((VLOOKUP($A618,'Dados StatusInvest'!$A:$AZ,COLUMN(V618)-$A$5,0)),0)</f>
        <v>1.96</v>
      </c>
      <c r="W618" s="56">
        <f>IFERROR((VLOOKUP($A618,'Dados StatusInvest'!$A:$AZ,COLUMN(W618)-$A$5,0)),0)</f>
        <v>14.25</v>
      </c>
      <c r="X618" s="53">
        <f>IFERROR((VLOOKUP($A618,'Dados StatusInvest'!$A:$AZ,COLUMN(X618)-$A$5,0)/VLOOKUP($A618,'Dados StatusInvest'!$A:$AZ,2,0)*$F618),0)</f>
        <v>7.68</v>
      </c>
      <c r="Y618" s="54">
        <f>IFERROR((VLOOKUP($A618,'Dados StatusInvest'!$A:$AZ,COLUMN(Y618)-$A$5,0)/VLOOKUP($A618,'Dados StatusInvest'!$A:$AZ,2,0)*$F618),0)</f>
        <v>9.83</v>
      </c>
      <c r="Z618" s="56">
        <f>IFERROR((VLOOKUP($A618,'Dados StatusInvest'!$A:$AZ,COLUMN(Z618)-$A$5,0)),0)</f>
        <v>0.54</v>
      </c>
      <c r="AA618" s="57">
        <f>IFERROR((VLOOKUP($A618,'Dados StatusInvest'!$A:$AZ,COLUMN(AA618)-$A$5,0)),0)</f>
        <v>0.46</v>
      </c>
      <c r="AB618" s="57">
        <f>IFERROR((VLOOKUP($A618,'Dados StatusInvest'!$A:$AZ,COLUMN(AB618)-$A$5,0)),0)</f>
        <v>2</v>
      </c>
      <c r="AC618" s="58">
        <f>IFERROR((VLOOKUP($A618,'Dados StatusInvest'!$A:$AZ,COLUMN(AC618)-$A$5,0)),0)</f>
        <v>23.58</v>
      </c>
      <c r="AD618" s="57">
        <f>IFERROR((VLOOKUP($A618,'Dados StatusInvest'!$A:$AZ,COLUMN(AD618)-$A$5,0)),0)</f>
        <v>18.79</v>
      </c>
      <c r="AE618" s="56">
        <f>IFERROR((VLOOKUP($A618,'Dados StatusInvest'!$A:$AZ,COLUMN(AE618)-$A$5,0)),0)</f>
        <v>1654.44</v>
      </c>
      <c r="AF618" s="56">
        <f>IFERROR((VLOOKUP($A618,'Dados StatusInvest'!$A:$AZ,COLUMN(AF618)-$A$5,0)),0)</f>
        <v>22.69</v>
      </c>
      <c r="AG618" s="56">
        <f>IFERROR((VLOOKUP($A618,'Dados StatusInvest'!$A:$AZ,COLUMN(AG618)-$A$5,0)),0)</f>
        <v>3.23</v>
      </c>
      <c r="AH618" s="56">
        <f>IFERROR((VLOOKUP($A618,'Dados StatusInvest'!$A:$AZ,COLUMN(AH618)-$A$5,0)),0)</f>
        <v>-0.45</v>
      </c>
      <c r="AI618" s="57">
        <f>IFERROR((VLOOKUP($A618,'Dados StatusInvest'!$A:$AZ,COLUMN(AI618)-$A$5,0)),0)</f>
        <v>873533315.1</v>
      </c>
      <c r="AJ618" s="59" t="str">
        <f>IFERROR((VLOOKUP($A618,'Dados StatusInvest'!$A:$AZ,COLUMN(AJ618)-$A$5,0)),0)</f>
        <v/>
      </c>
      <c r="AK618" s="67" t="str">
        <f>IFERROR(__xludf.DUMMYFUNCTION("IFERROR(GOOGLEFINANCE($A618,""high""),"""")"),"")</f>
        <v/>
      </c>
      <c r="AL618" s="67" t="str">
        <f>IFERROR(__xludf.DUMMYFUNCTION("IFERROR(GOOGLEFINANCE($A618,""low""),"""")"),"")</f>
        <v/>
      </c>
      <c r="AM618" s="70">
        <f t="shared" si="2"/>
        <v>0</v>
      </c>
      <c r="AN618" s="71">
        <f>IFERROR(__xludf.DUMMYFUNCTION("IFERROR((GOOGLEFINANCE($A618,""volume"")),0)"),0.0)</f>
        <v>0</v>
      </c>
      <c r="AO618" s="67">
        <f>IFERROR(__xludf.DUMMYFUNCTION("IFERROR((GOOGLEFINANCE($A618,""closeyest"")),"""")"),22.43)</f>
        <v>22.43</v>
      </c>
      <c r="AP618" s="67">
        <f>IFERROR(__xludf.DUMMYFUNCTION("IFERROR((GOOGLEFINANCE($A618,""shares"")),"""")"),1.657122E7)</f>
        <v>16571220</v>
      </c>
      <c r="AQ618" s="60"/>
    </row>
    <row r="619">
      <c r="A619" s="45" t="str">
        <f>'Dados StatusInvest'!A614:A1233</f>
        <v>WLMM4</v>
      </c>
      <c r="B619" s="63" t="str">
        <f>IFERROR(__xludf.DUMMYFUNCTION("IFERROR((GOOGLEFINANCE(A619,""name"")),"""")"),"WLM Participacoes e Cmrc d Mqns e Vcs SA Preference Shares")</f>
        <v>WLM Participacoes e Cmrc d Mqns e Vcs SA Preference Shares</v>
      </c>
      <c r="C619" s="46" t="str">
        <f>IFERROR((VLOOKUP(LEFT($A619,4),Setor!$A:$E,3,0)),"")</f>
        <v>Bens Industriais</v>
      </c>
      <c r="D619" s="46" t="str">
        <f>IFERROR((VLOOKUP(LEFT($A619,4),Setor!$A:$E,4,0)),"")</f>
        <v>Comércio</v>
      </c>
      <c r="E619" s="46" t="str">
        <f>IFERROR((VLOOKUP(LEFT($A619,4),Setor!$A:$E,5,0)),"")</f>
        <v>Material de Transporte</v>
      </c>
      <c r="F619" s="47">
        <f>IFERROR(__xludf.DUMMYFUNCTION("IFERROR((GOOGLEFINANCE(A619)),"""")"),25.37)</f>
        <v>25.37</v>
      </c>
      <c r="G619" s="65" t="str">
        <f>IFERROR(__xludf.DUMMYFUNCTION("IFERROR((sparkline(GOOGLEFINANCE($A619,""price"",TODAY()-30,TODAY(),""DAILY""),{""charttype"",""line"";""linewidth"",1;""color"",""#5f88cc""})),"""")"),"")</f>
        <v/>
      </c>
      <c r="H619" s="47"/>
      <c r="I619" s="47">
        <f>IFERROR(__xludf.DUMMYFUNCTION("IFERROR((GOOGLEFINANCE($A619,""high52"")),"""")"),30.32)</f>
        <v>30.32</v>
      </c>
      <c r="J619" s="68" t="str">
        <f>IFERROR(__xludf.DUMMYFUNCTION("IFERROR((sparkline(GOOGLEFINANCE($A619,""price"",TODAY()-365,TODAY(),""DAILY""),{""charttype"",""line"";""linewidth"",1;""color"",""#5f88cc""})),"""")"),"")</f>
        <v/>
      </c>
      <c r="K619" s="66" t="str">
        <f>IFERROR(__xludf.DUMMYFUNCTION("IFERROR((((GOOGLEFINANCE(A619))-(INDEX(GoogleFinance(A619,""PRICE"",$AP$1),2,2)))/(INDEX(GoogleFinance(A619,""PRICE"",$AP$1),2,2))),"""")"),"")</f>
        <v/>
      </c>
      <c r="L619" s="69">
        <f t="shared" si="1"/>
        <v>-0.1632585752</v>
      </c>
      <c r="M619" s="52">
        <f>IFERROR((VLOOKUP($A619,'Dados StatusInvest'!$A:$AZ,COLUMN(M619)-$A$5,0)*VLOOKUP($A619,'Dados StatusInvest'!$A:$AZ,2,0)/$F619/100),0)</f>
        <v>0.06559251084</v>
      </c>
      <c r="N619" s="53">
        <f>IFERROR((VLOOKUP($A619,'Dados StatusInvest'!$A:$AZ,COLUMN(N619)-$A$5,0)/VLOOKUP($A619,'Dados StatusInvest'!$A:$AZ,2,0)*$F619),"")</f>
        <v>3.862178727</v>
      </c>
      <c r="O619" s="53">
        <f>IFERROR((VLOOKUP($A619,'Dados StatusInvest'!$A:$AZ,COLUMN(O619)-$A$5,0)/VLOOKUP($A619,'Dados StatusInvest'!$A:$AZ,2,0)*$F619),0)</f>
        <v>4.584456307</v>
      </c>
      <c r="P619" s="54">
        <f>IFERROR((VLOOKUP($A619,'Dados StatusInvest'!$A:$AZ,COLUMN(P619)-$A$5,0)/VLOOKUP($A619,'Dados StatusInvest'!$A:$AZ,2,0)*$F619),0)</f>
        <v>5.958790036</v>
      </c>
      <c r="Q619" s="55">
        <f>IFERROR((VLOOKUP($A619,'Dados StatusInvest'!$A:$AZ,COLUMN(Q619)-$A$5,0)/100),0)</f>
        <v>0.016</v>
      </c>
      <c r="R619" s="56">
        <f>VLOOKUP($A619,'Dados StatusInvest'!$A:$AZ,COLUMN(R619)-$A$5,0)</f>
        <v>0.39</v>
      </c>
      <c r="S619" s="56">
        <f>IFERROR((VLOOKUP($A619,'Dados StatusInvest'!$A:$AZ,COLUMN(S619)-$A$5,0)),0)</f>
        <v>0.3</v>
      </c>
      <c r="T619" s="53">
        <f>IFERROR((VLOOKUP($A619,'Dados StatusInvest'!$A:$AZ,COLUMN(T619)-$A$5,0)/VLOOKUP($A619,'Dados StatusInvest'!$A:$AZ,2,0)*$F619),0)</f>
        <v>2.086579676</v>
      </c>
      <c r="U619" s="53">
        <f>IFERROR((VLOOKUP($A619,'Dados StatusInvest'!$A:$AZ,COLUMN(U619)-$A$5,0)-VLOOKUP($A619,'Dados StatusInvest'!$A:$AZ,COLUMN(U619)-$A$5-1,0)+T619),0)</f>
        <v>-1.453420324</v>
      </c>
      <c r="V619" s="56">
        <f>IFERROR((VLOOKUP($A619,'Dados StatusInvest'!$A:$AZ,COLUMN(V619)-$A$5,0)),0)</f>
        <v>1.96</v>
      </c>
      <c r="W619" s="56">
        <f>IFERROR((VLOOKUP($A619,'Dados StatusInvest'!$A:$AZ,COLUMN(W619)-$A$5,0)),0)</f>
        <v>14.25</v>
      </c>
      <c r="X619" s="53">
        <f>IFERROR((VLOOKUP($A619,'Dados StatusInvest'!$A:$AZ,COLUMN(X619)-$A$5,0)/VLOOKUP($A619,'Dados StatusInvest'!$A:$AZ,2,0)*$F619),0)</f>
        <v>7.704294187</v>
      </c>
      <c r="Y619" s="54">
        <f>IFERROR((VLOOKUP($A619,'Dados StatusInvest'!$A:$AZ,COLUMN(Y619)-$A$5,0)/VLOOKUP($A619,'Dados StatusInvest'!$A:$AZ,2,0)*$F619),0)</f>
        <v>9.861095295</v>
      </c>
      <c r="Z619" s="56">
        <f>IFERROR((VLOOKUP($A619,'Dados StatusInvest'!$A:$AZ,COLUMN(Z619)-$A$5,0)),0)</f>
        <v>0.54</v>
      </c>
      <c r="AA619" s="57">
        <f>IFERROR((VLOOKUP($A619,'Dados StatusInvest'!$A:$AZ,COLUMN(AA619)-$A$5,0)),0)</f>
        <v>0.46</v>
      </c>
      <c r="AB619" s="57">
        <f>IFERROR((VLOOKUP($A619,'Dados StatusInvest'!$A:$AZ,COLUMN(AB619)-$A$5,0)),0)</f>
        <v>2</v>
      </c>
      <c r="AC619" s="58">
        <f>IFERROR((VLOOKUP($A619,'Dados StatusInvest'!$A:$AZ,COLUMN(AC619)-$A$5,0)),0)</f>
        <v>23.58</v>
      </c>
      <c r="AD619" s="57">
        <f>IFERROR((VLOOKUP($A619,'Dados StatusInvest'!$A:$AZ,COLUMN(AD619)-$A$5,0)),0)</f>
        <v>18.79</v>
      </c>
      <c r="AE619" s="56">
        <f>IFERROR((VLOOKUP($A619,'Dados StatusInvest'!$A:$AZ,COLUMN(AE619)-$A$5,0)),0)</f>
        <v>46932.81</v>
      </c>
      <c r="AF619" s="56">
        <f>IFERROR((VLOOKUP($A619,'Dados StatusInvest'!$A:$AZ,COLUMN(AF619)-$A$5,0)),0)</f>
        <v>22.69</v>
      </c>
      <c r="AG619" s="56">
        <f>IFERROR((VLOOKUP($A619,'Dados StatusInvest'!$A:$AZ,COLUMN(AG619)-$A$5,0)),0)</f>
        <v>3.23</v>
      </c>
      <c r="AH619" s="56">
        <f>IFERROR((VLOOKUP($A619,'Dados StatusInvest'!$A:$AZ,COLUMN(AH619)-$A$5,0)),0)</f>
        <v>-0.5</v>
      </c>
      <c r="AI619" s="57">
        <f>IFERROR((VLOOKUP($A619,'Dados StatusInvest'!$A:$AZ,COLUMN(AI619)-$A$5,0)),0)</f>
        <v>873533315.1</v>
      </c>
      <c r="AJ619" s="59" t="str">
        <f>IFERROR((VLOOKUP($A619,'Dados StatusInvest'!$A:$AZ,COLUMN(AJ619)-$A$5,0)),0)</f>
        <v/>
      </c>
      <c r="AK619" s="67">
        <f>IFERROR(__xludf.DUMMYFUNCTION("IFERROR(GOOGLEFINANCE($A619,""high""),"""")"),25.37)</f>
        <v>25.37</v>
      </c>
      <c r="AL619" s="67">
        <f>IFERROR(__xludf.DUMMYFUNCTION("IFERROR(GOOGLEFINANCE($A619,""low""),"""")"),25.37)</f>
        <v>25.37</v>
      </c>
      <c r="AM619" s="70">
        <f t="shared" si="2"/>
        <v>0</v>
      </c>
      <c r="AN619" s="71">
        <f>IFERROR(__xludf.DUMMYFUNCTION("IFERROR((GOOGLEFINANCE($A619,""volume"")),0)"),100.0)</f>
        <v>100</v>
      </c>
      <c r="AO619" s="67">
        <f>IFERROR(__xludf.DUMMYFUNCTION("IFERROR((GOOGLEFINANCE($A619,""closeyest"")),"""")"),25.29)</f>
        <v>25.29</v>
      </c>
      <c r="AP619" s="67">
        <f>IFERROR(__xludf.DUMMYFUNCTION("IFERROR((GOOGLEFINANCE($A619,""shares"")),"""")"),1.984345E7)</f>
        <v>19843450</v>
      </c>
      <c r="AQ619" s="60"/>
    </row>
    <row r="620">
      <c r="A620" s="45" t="str">
        <f>'Dados StatusInvest'!A615:A1234</f>
        <v>YDUQ3</v>
      </c>
      <c r="B620" s="63" t="str">
        <f>IFERROR(__xludf.DUMMYFUNCTION("IFERROR((GOOGLEFINANCE(A620,""name"")),"""")"),"YDUQS Participacoes SA")</f>
        <v>YDUQS Participacoes SA</v>
      </c>
      <c r="C620" s="46" t="str">
        <f>IFERROR((VLOOKUP(LEFT($A620,4),Setor!$A:$E,3,0)),"")</f>
        <v>Consumo Cíclico</v>
      </c>
      <c r="D620" s="46" t="str">
        <f>IFERROR((VLOOKUP(LEFT($A620,4),Setor!$A:$E,4,0)),"")</f>
        <v>Diversos</v>
      </c>
      <c r="E620" s="46" t="str">
        <f>IFERROR((VLOOKUP(LEFT($A620,4),Setor!$A:$E,5,0)),"")</f>
        <v>Serviços Educacionais</v>
      </c>
      <c r="F620" s="47">
        <f>IFERROR(__xludf.DUMMYFUNCTION("IFERROR((GOOGLEFINANCE(A620)),"""")"),13.08)</f>
        <v>13.08</v>
      </c>
      <c r="G620" s="65" t="str">
        <f>IFERROR(__xludf.DUMMYFUNCTION("IFERROR((sparkline(GOOGLEFINANCE($A620,""price"",TODAY()-30,TODAY(),""DAILY""),{""charttype"",""line"";""linewidth"",1;""color"",""#5f88cc""})),"""")"),"")</f>
        <v/>
      </c>
      <c r="H620" s="47"/>
      <c r="I620" s="47">
        <f>IFERROR(__xludf.DUMMYFUNCTION("IFERROR((GOOGLEFINANCE($A620,""high52"")),"""")"),16.99)</f>
        <v>16.99</v>
      </c>
      <c r="J620" s="68" t="str">
        <f>IFERROR(__xludf.DUMMYFUNCTION("IFERROR((sparkline(GOOGLEFINANCE($A620,""price"",TODAY()-365,TODAY(),""DAILY""),{""charttype"",""line"";""linewidth"",1;""color"",""#5f88cc""})),"""")"),"")</f>
        <v/>
      </c>
      <c r="K620" s="66">
        <f>IFERROR(__xludf.DUMMYFUNCTION("IFERROR((((GOOGLEFINANCE(A620))-(INDEX(GoogleFinance(A620,""PRICE"",$AP$1),2,2)))/(INDEX(GoogleFinance(A620,""PRICE"",$AP$1),2,2))),"""")"),0.11604095563139927)</f>
        <v>0.1160409556</v>
      </c>
      <c r="L620" s="69">
        <f t="shared" si="1"/>
        <v>-0.2301353737</v>
      </c>
      <c r="M620" s="52">
        <f>IFERROR((VLOOKUP($A620,'Dados StatusInvest'!$A:$AZ,COLUMN(M620)-$A$5,0)*VLOOKUP($A620,'Dados StatusInvest'!$A:$AZ,2,0)/$F620/100),0)</f>
        <v>0.1654816514</v>
      </c>
      <c r="N620" s="53">
        <f>IFERROR((VLOOKUP($A620,'Dados StatusInvest'!$A:$AZ,COLUMN(N620)-$A$5,0)/VLOOKUP($A620,'Dados StatusInvest'!$A:$AZ,2,0)*$F620),"")</f>
        <v>4.37963964</v>
      </c>
      <c r="O620" s="53">
        <f>IFERROR((VLOOKUP($A620,'Dados StatusInvest'!$A:$AZ,COLUMN(O620)-$A$5,0)/VLOOKUP($A620,'Dados StatusInvest'!$A:$AZ,2,0)*$F620),0)</f>
        <v>4.026126126</v>
      </c>
      <c r="P620" s="54">
        <f>IFERROR((VLOOKUP($A620,'Dados StatusInvest'!$A:$AZ,COLUMN(P620)-$A$5,0)/VLOOKUP($A620,'Dados StatusInvest'!$A:$AZ,2,0)*$F620),0)</f>
        <v>8.72</v>
      </c>
      <c r="Q620" s="55">
        <f>IFERROR((VLOOKUP($A620,'Dados StatusInvest'!$A:$AZ,COLUMN(Q620)-$A$5,0)/100),0)</f>
        <v>0.0478</v>
      </c>
      <c r="R620" s="56">
        <f>VLOOKUP($A620,'Dados StatusInvest'!$A:$AZ,COLUMN(R620)-$A$5,0)</f>
        <v>1.36</v>
      </c>
      <c r="S620" s="56">
        <f>IFERROR((VLOOKUP($A620,'Dados StatusInvest'!$A:$AZ,COLUMN(S620)-$A$5,0)),0)</f>
        <v>0.67</v>
      </c>
      <c r="T620" s="53">
        <f>IFERROR((VLOOKUP($A620,'Dados StatusInvest'!$A:$AZ,COLUMN(T620)-$A$5,0)/VLOOKUP($A620,'Dados StatusInvest'!$A:$AZ,2,0)*$F620),0)</f>
        <v>9.770720721</v>
      </c>
      <c r="U620" s="53">
        <f>IFERROR((VLOOKUP($A620,'Dados StatusInvest'!$A:$AZ,COLUMN(U620)-$A$5,0)-VLOOKUP($A620,'Dados StatusInvest'!$A:$AZ,COLUMN(U620)-$A$5-1,0)+T620),0)</f>
        <v>-0.6792792793</v>
      </c>
      <c r="V620" s="56">
        <f>IFERROR((VLOOKUP($A620,'Dados StatusInvest'!$A:$AZ,COLUMN(V620)-$A$5,0)),0)</f>
        <v>1.18</v>
      </c>
      <c r="W620" s="56">
        <f>IFERROR((VLOOKUP($A620,'Dados StatusInvest'!$A:$AZ,COLUMN(W620)-$A$5,0)),0)</f>
        <v>7.8</v>
      </c>
      <c r="X620" s="53">
        <f>IFERROR((VLOOKUP($A620,'Dados StatusInvest'!$A:$AZ,COLUMN(X620)-$A$5,0)/VLOOKUP($A620,'Dados StatusInvest'!$A:$AZ,2,0)*$F620),0)</f>
        <v>2.474594595</v>
      </c>
      <c r="Y620" s="54">
        <f>IFERROR((VLOOKUP($A620,'Dados StatusInvest'!$A:$AZ,COLUMN(Y620)-$A$5,0)/VLOOKUP($A620,'Dados StatusInvest'!$A:$AZ,2,0)*$F620),0)</f>
        <v>9.593963964</v>
      </c>
      <c r="Z620" s="56">
        <f>IFERROR((VLOOKUP($A620,'Dados StatusInvest'!$A:$AZ,COLUMN(Z620)-$A$5,0)),0)</f>
        <v>0.32</v>
      </c>
      <c r="AA620" s="57">
        <f>IFERROR((VLOOKUP($A620,'Dados StatusInvest'!$A:$AZ,COLUMN(AA620)-$A$5,0)),0)</f>
        <v>0.67</v>
      </c>
      <c r="AB620" s="57">
        <f>IFERROR((VLOOKUP($A620,'Dados StatusInvest'!$A:$AZ,COLUMN(AB620)-$A$5,0)),0)</f>
        <v>0.56</v>
      </c>
      <c r="AC620" s="58">
        <f>IFERROR((VLOOKUP($A620,'Dados StatusInvest'!$A:$AZ,COLUMN(AC620)-$A$5,0)),0)</f>
        <v>8.46</v>
      </c>
      <c r="AD620" s="57">
        <f>IFERROR((VLOOKUP($A620,'Dados StatusInvest'!$A:$AZ,COLUMN(AD620)-$A$5,0)),0)</f>
        <v>-17.66</v>
      </c>
      <c r="AE620" s="56">
        <f>IFERROR((VLOOKUP($A620,'Dados StatusInvest'!$A:$AZ,COLUMN(AE620)-$A$5,0)),0)</f>
        <v>58230737</v>
      </c>
      <c r="AF620" s="56">
        <f>IFERROR((VLOOKUP($A620,'Dados StatusInvest'!$A:$AZ,COLUMN(AF620)-$A$5,0)),0)</f>
        <v>11.44</v>
      </c>
      <c r="AG620" s="56">
        <f>IFERROR((VLOOKUP($A620,'Dados StatusInvest'!$A:$AZ,COLUMN(AG620)-$A$5,0)),0)</f>
        <v>0.89</v>
      </c>
      <c r="AH620" s="56">
        <f>IFERROR((VLOOKUP($A620,'Dados StatusInvest'!$A:$AZ,COLUMN(AH620)-$A$5,0)),0)</f>
        <v>0.79</v>
      </c>
      <c r="AI620" s="57">
        <f>IFERROR((VLOOKUP($A620,'Dados StatusInvest'!$A:$AZ,COLUMN(AI620)-$A$5,0)),0)</f>
        <v>3650863495</v>
      </c>
      <c r="AJ620" s="59" t="str">
        <f>IFERROR((VLOOKUP($A620,'Dados StatusInvest'!$A:$AZ,COLUMN(AJ620)-$A$5,0)),0)</f>
        <v/>
      </c>
      <c r="AK620" s="67">
        <f>IFERROR(__xludf.DUMMYFUNCTION("IFERROR(GOOGLEFINANCE($A620,""high""),"""")"),13.3)</f>
        <v>13.3</v>
      </c>
      <c r="AL620" s="67">
        <f>IFERROR(__xludf.DUMMYFUNCTION("IFERROR(GOOGLEFINANCE($A620,""low""),"""")"),13.04)</f>
        <v>13.04</v>
      </c>
      <c r="AM620" s="70">
        <f t="shared" si="2"/>
        <v>0.01993865031</v>
      </c>
      <c r="AN620" s="71">
        <f>IFERROR(__xludf.DUMMYFUNCTION("IFERROR((GOOGLEFINANCE($A620,""volume"")),0)"),134400.0)</f>
        <v>134400</v>
      </c>
      <c r="AO620" s="67">
        <f>IFERROR(__xludf.DUMMYFUNCTION("IFERROR((GOOGLEFINANCE($A620,""closeyest"")),"""")"),13.32)</f>
        <v>13.32</v>
      </c>
      <c r="AP620" s="67">
        <f>IFERROR(__xludf.DUMMYFUNCTION("IFERROR((GOOGLEFINANCE($A620,""shares"")),"""")"),2.74088851E8)</f>
        <v>274088851</v>
      </c>
      <c r="AQ620" s="60"/>
    </row>
    <row r="621">
      <c r="A621" s="45" t="str">
        <f>'Dados StatusInvest'!A616:A1235</f>
        <v>ZAMP3</v>
      </c>
      <c r="B621" s="63" t="str">
        <f>IFERROR(__xludf.DUMMYFUNCTION("IFERROR((GOOGLEFINANCE(A621,""name"")),"""")"),"")</f>
        <v/>
      </c>
      <c r="C621" s="46" t="str">
        <f>IFERROR((VLOOKUP(LEFT($A621,4),Setor!$A:$E,3,0)),"")</f>
        <v/>
      </c>
      <c r="D621" s="46" t="str">
        <f>IFERROR((VLOOKUP(LEFT($A621,4),Setor!$A:$E,4,0)),"")</f>
        <v/>
      </c>
      <c r="E621" s="46" t="str">
        <f>IFERROR((VLOOKUP(LEFT($A621,4),Setor!$A:$E,5,0)),"")</f>
        <v/>
      </c>
      <c r="F621" s="47" t="str">
        <f>IFERROR(__xludf.DUMMYFUNCTION("IFERROR((GOOGLEFINANCE(A621)),"""")"),"")</f>
        <v/>
      </c>
      <c r="G621" s="65" t="str">
        <f>IFERROR(__xludf.DUMMYFUNCTION("IFERROR((sparkline(GOOGLEFINANCE($A621,""price"",TODAY()-30,TODAY(),""DAILY""),{""charttype"",""line"";""linewidth"",1;""color"",""#5f88cc""})),"""")"),"")</f>
        <v/>
      </c>
      <c r="H621" s="47"/>
      <c r="I621" s="47" t="str">
        <f>IFERROR(__xludf.DUMMYFUNCTION("IFERROR((GOOGLEFINANCE($A621,""high52"")),"""")"),"")</f>
        <v/>
      </c>
      <c r="J621" s="68" t="str">
        <f>IFERROR(__xludf.DUMMYFUNCTION("IFERROR((sparkline(GOOGLEFINANCE($A621,""price"",TODAY()-365,TODAY(),""DAILY""),{""charttype"",""line"";""linewidth"",1;""color"",""#5f88cc""})),"""")"),"")</f>
        <v/>
      </c>
      <c r="K621" s="66" t="str">
        <f>IFERROR(__xludf.DUMMYFUNCTION("IFERROR((((GOOGLEFINANCE(A621))-(INDEX(GoogleFinance(A621,""PRICE"",$AP$1),2,2)))/(INDEX(GoogleFinance(A621,""PRICE"",$AP$1),2,2))),"""")"),"")</f>
        <v/>
      </c>
      <c r="L621" s="69">
        <f t="shared" si="1"/>
        <v>0</v>
      </c>
      <c r="M621" s="52">
        <f>IFERROR((VLOOKUP($A621,'Dados StatusInvest'!$A:$AZ,COLUMN(M621)-$A$5,0)*VLOOKUP($A621,'Dados StatusInvest'!$A:$AZ,2,0)/$F621/100),0)</f>
        <v>0</v>
      </c>
      <c r="N621" s="53">
        <f>IFERROR((VLOOKUP($A621,'Dados StatusInvest'!$A:$AZ,COLUMN(N621)-$A$5,0)/VLOOKUP($A621,'Dados StatusInvest'!$A:$AZ,2,0)*$F621),"")</f>
        <v>0</v>
      </c>
      <c r="O621" s="53">
        <f>IFERROR((VLOOKUP($A621,'Dados StatusInvest'!$A:$AZ,COLUMN(O621)-$A$5,0)/VLOOKUP($A621,'Dados StatusInvest'!$A:$AZ,2,0)*$F621),0)</f>
        <v>0</v>
      </c>
      <c r="P621" s="54">
        <f>IFERROR((VLOOKUP($A621,'Dados StatusInvest'!$A:$AZ,COLUMN(P621)-$A$5,0)/VLOOKUP($A621,'Dados StatusInvest'!$A:$AZ,2,0)*$F621),0)</f>
        <v>0</v>
      </c>
      <c r="Q621" s="55">
        <f>IFERROR((VLOOKUP($A621,'Dados StatusInvest'!$A:$AZ,COLUMN(Q621)-$A$5,0)/100),0)</f>
        <v>0.1984</v>
      </c>
      <c r="R621" s="56">
        <f>VLOOKUP($A621,'Dados StatusInvest'!$A:$AZ,COLUMN(R621)-$A$5,0)</f>
        <v>0.52</v>
      </c>
      <c r="S621" s="56">
        <f>IFERROR((VLOOKUP($A621,'Dados StatusInvest'!$A:$AZ,COLUMN(S621)-$A$5,0)),0)</f>
        <v>0.28</v>
      </c>
      <c r="T621" s="53">
        <f>IFERROR((VLOOKUP($A621,'Dados StatusInvest'!$A:$AZ,COLUMN(T621)-$A$5,0)/VLOOKUP($A621,'Dados StatusInvest'!$A:$AZ,2,0)*$F621),0)</f>
        <v>0</v>
      </c>
      <c r="U621" s="53">
        <f>IFERROR((VLOOKUP($A621,'Dados StatusInvest'!$A:$AZ,COLUMN(U621)-$A$5,0)-VLOOKUP($A621,'Dados StatusInvest'!$A:$AZ,COLUMN(U621)-$A$5-1,0)+T621),0)</f>
        <v>9.07</v>
      </c>
      <c r="V621" s="56">
        <f>IFERROR((VLOOKUP($A621,'Dados StatusInvest'!$A:$AZ,COLUMN(V621)-$A$5,0)),0)</f>
        <v>0.87</v>
      </c>
      <c r="W621" s="56">
        <f>IFERROR((VLOOKUP($A621,'Dados StatusInvest'!$A:$AZ,COLUMN(W621)-$A$5,0)),0)</f>
        <v>-12.35</v>
      </c>
      <c r="X621" s="53">
        <f>IFERROR((VLOOKUP($A621,'Dados StatusInvest'!$A:$AZ,COLUMN(X621)-$A$5,0)/VLOOKUP($A621,'Dados StatusInvest'!$A:$AZ,2,0)*$F621),0)</f>
        <v>0</v>
      </c>
      <c r="Y621" s="54">
        <f>IFERROR((VLOOKUP($A621,'Dados StatusInvest'!$A:$AZ,COLUMN(Y621)-$A$5,0)/VLOOKUP($A621,'Dados StatusInvest'!$A:$AZ,2,0)*$F621),0)</f>
        <v>0</v>
      </c>
      <c r="Z621" s="56">
        <f>IFERROR((VLOOKUP($A621,'Dados StatusInvest'!$A:$AZ,COLUMN(Z621)-$A$5,0)),0)</f>
        <v>0.33</v>
      </c>
      <c r="AA621" s="57">
        <f>IFERROR((VLOOKUP($A621,'Dados StatusInvest'!$A:$AZ,COLUMN(AA621)-$A$5,0)),0)</f>
        <v>0.67</v>
      </c>
      <c r="AB621" s="57">
        <f>IFERROR((VLOOKUP($A621,'Dados StatusInvest'!$A:$AZ,COLUMN(AB621)-$A$5,0)),0)</f>
        <v>1.17</v>
      </c>
      <c r="AC621" s="58">
        <f>IFERROR((VLOOKUP($A621,'Dados StatusInvest'!$A:$AZ,COLUMN(AC621)-$A$5,0)),0)</f>
        <v>9.7</v>
      </c>
      <c r="AD621" s="57">
        <f>IFERROR((VLOOKUP($A621,'Dados StatusInvest'!$A:$AZ,COLUMN(AD621)-$A$5,0)),0)</f>
        <v>0</v>
      </c>
      <c r="AE621" s="56">
        <f>IFERROR((VLOOKUP($A621,'Dados StatusInvest'!$A:$AZ,COLUMN(AE621)-$A$5,0)),0)</f>
        <v>247849</v>
      </c>
      <c r="AF621" s="56">
        <f>IFERROR((VLOOKUP($A621,'Dados StatusInvest'!$A:$AZ,COLUMN(AF621)-$A$5,0)),0)</f>
        <v>3.56</v>
      </c>
      <c r="AG621" s="56">
        <f>IFERROR((VLOOKUP($A621,'Dados StatusInvest'!$A:$AZ,COLUMN(AG621)-$A$5,0)),0)</f>
        <v>-0.44</v>
      </c>
      <c r="AH621" s="56">
        <f>IFERROR((VLOOKUP($A621,'Dados StatusInvest'!$A:$AZ,COLUMN(AH621)-$A$5,0)),0)</f>
        <v>-0.08</v>
      </c>
      <c r="AI621" s="57">
        <f>IFERROR((VLOOKUP($A621,'Dados StatusInvest'!$A:$AZ,COLUMN(AI621)-$A$5,0)),0)</f>
        <v>1424270383</v>
      </c>
      <c r="AJ621" s="59" t="str">
        <f>IFERROR((VLOOKUP($A621,'Dados StatusInvest'!$A:$AZ,COLUMN(AJ621)-$A$5,0)),0)</f>
        <v/>
      </c>
      <c r="AK621" s="67" t="str">
        <f>IFERROR(__xludf.DUMMYFUNCTION("IFERROR(GOOGLEFINANCE($A621,""high""),"""")"),"")</f>
        <v/>
      </c>
      <c r="AL621" s="67" t="str">
        <f>IFERROR(__xludf.DUMMYFUNCTION("IFERROR(GOOGLEFINANCE($A621,""low""),"""")"),"")</f>
        <v/>
      </c>
      <c r="AM621" s="70">
        <f t="shared" si="2"/>
        <v>0</v>
      </c>
      <c r="AN621" s="71">
        <f>IFERROR(__xludf.DUMMYFUNCTION("IFERROR((GOOGLEFINANCE($A621,""volume"")),0)"),0.0)</f>
        <v>0</v>
      </c>
      <c r="AO621" s="67" t="str">
        <f>IFERROR(__xludf.DUMMYFUNCTION("IFERROR((GOOGLEFINANCE($A621,""closeyest"")),"""")"),"")</f>
        <v/>
      </c>
      <c r="AP621" s="67" t="str">
        <f>IFERROR(__xludf.DUMMYFUNCTION("IFERROR((GOOGLEFINANCE($A621,""shares"")),"""")"),"")</f>
        <v/>
      </c>
      <c r="AQ621" s="60"/>
    </row>
    <row r="622">
      <c r="A622" s="45" t="str">
        <f>'Dados StatusInvest'!A617:A1236</f>
        <v/>
      </c>
      <c r="B622" s="46"/>
      <c r="C622" s="46" t="str">
        <f>IFERROR((VLOOKUP(LEFT($A622,4),Setor!$A:$E,3,0)),"")</f>
        <v/>
      </c>
      <c r="D622" s="46" t="str">
        <f>IFERROR((VLOOKUP(LEFT($A622,4),Setor!$A:$E,4,0)),"")</f>
        <v/>
      </c>
      <c r="E622" s="46" t="str">
        <f>IFERROR((VLOOKUP(LEFT($A622,4),Setor!$A:$E,5,0)),"")</f>
        <v/>
      </c>
      <c r="F622" s="47" t="str">
        <f>IFERROR(__xludf.DUMMYFUNCTION("IFERROR((GOOGLEFINANCE(A622)),"""")"),"")</f>
        <v/>
      </c>
      <c r="G622" s="47"/>
      <c r="H622" s="47"/>
      <c r="I622" s="47" t="str">
        <f>IFERROR(__xludf.DUMMYFUNCTION("IFERROR((GOOGLEFINANCE($A622,""high52"")),"""")"),"")</f>
        <v/>
      </c>
      <c r="J622" s="51"/>
      <c r="K622" s="51"/>
      <c r="L622" s="51"/>
      <c r="M622" s="52"/>
      <c r="N622" s="53"/>
      <c r="O622" s="53"/>
      <c r="P622" s="54"/>
      <c r="Q622" s="55"/>
      <c r="R622" s="56"/>
      <c r="S622" s="56"/>
      <c r="T622" s="53"/>
      <c r="U622" s="53"/>
      <c r="V622" s="56"/>
      <c r="W622" s="56"/>
      <c r="X622" s="53"/>
      <c r="Y622" s="54"/>
      <c r="Z622" s="56"/>
      <c r="AA622" s="57"/>
      <c r="AB622" s="57"/>
      <c r="AC622" s="58"/>
      <c r="AD622" s="57"/>
      <c r="AE622" s="56"/>
      <c r="AF622" s="56"/>
      <c r="AG622" s="56"/>
      <c r="AH622" s="56"/>
      <c r="AI622" s="57"/>
      <c r="AJ622" s="59"/>
      <c r="AK622" s="60"/>
      <c r="AL622" s="60"/>
      <c r="AM622" s="61"/>
      <c r="AN622" s="62"/>
      <c r="AO622" s="60"/>
      <c r="AP622" s="60"/>
      <c r="AQ622" s="18"/>
    </row>
    <row r="623">
      <c r="A623" s="45" t="str">
        <f>'Dados StatusInvest'!A618:A1237</f>
        <v/>
      </c>
      <c r="B623" s="46"/>
      <c r="C623" s="46" t="str">
        <f>IFERROR((VLOOKUP(LEFT($A623,4),Setor!$A:$E,3,0)),"")</f>
        <v/>
      </c>
      <c r="D623" s="46" t="str">
        <f>IFERROR((VLOOKUP(LEFT($A623,4),Setor!$A:$E,4,0)),"")</f>
        <v/>
      </c>
      <c r="E623" s="46" t="str">
        <f>IFERROR((VLOOKUP(LEFT($A623,4),Setor!$A:$E,5,0)),"")</f>
        <v/>
      </c>
      <c r="F623" s="47" t="str">
        <f>IFERROR(__xludf.DUMMYFUNCTION("IFERROR((GOOGLEFINANCE(A623)),"""")"),"")</f>
        <v/>
      </c>
      <c r="G623" s="47"/>
      <c r="H623" s="47"/>
      <c r="I623" s="47" t="str">
        <f>IFERROR(__xludf.DUMMYFUNCTION("IFERROR((GOOGLEFINANCE($A623,""high52"")),"""")"),"")</f>
        <v/>
      </c>
      <c r="J623" s="51"/>
      <c r="K623" s="51"/>
      <c r="L623" s="51"/>
      <c r="M623" s="52"/>
      <c r="N623" s="53"/>
      <c r="O623" s="53"/>
      <c r="P623" s="54"/>
      <c r="Q623" s="55"/>
      <c r="R623" s="56"/>
      <c r="S623" s="56"/>
      <c r="T623" s="53"/>
      <c r="U623" s="53"/>
      <c r="V623" s="56"/>
      <c r="W623" s="56"/>
      <c r="X623" s="53"/>
      <c r="Y623" s="54"/>
      <c r="Z623" s="56"/>
      <c r="AA623" s="57"/>
      <c r="AB623" s="57"/>
      <c r="AC623" s="58"/>
      <c r="AD623" s="57"/>
      <c r="AE623" s="56"/>
      <c r="AF623" s="56"/>
      <c r="AG623" s="56"/>
      <c r="AH623" s="56"/>
      <c r="AI623" s="57"/>
      <c r="AJ623" s="59"/>
      <c r="AK623" s="60"/>
      <c r="AL623" s="60"/>
      <c r="AM623" s="61"/>
      <c r="AN623" s="62"/>
      <c r="AO623" s="60"/>
      <c r="AP623" s="60"/>
      <c r="AQ623" s="18"/>
    </row>
    <row r="624">
      <c r="A624" s="45" t="str">
        <f>'Dados StatusInvest'!A619:A1238</f>
        <v/>
      </c>
      <c r="B624" s="46"/>
      <c r="C624" s="46" t="str">
        <f>IFERROR((VLOOKUP(LEFT($A624,4),Setor!$A:$E,3,0)),"")</f>
        <v/>
      </c>
      <c r="D624" s="46" t="str">
        <f>IFERROR((VLOOKUP(LEFT($A624,4),Setor!$A:$E,4,0)),"")</f>
        <v/>
      </c>
      <c r="E624" s="46" t="str">
        <f>IFERROR((VLOOKUP(LEFT($A624,4),Setor!$A:$E,5,0)),"")</f>
        <v/>
      </c>
      <c r="F624" s="47" t="str">
        <f>IFERROR(__xludf.DUMMYFUNCTION("IFERROR((GOOGLEFINANCE(A624)),"""")"),"")</f>
        <v/>
      </c>
      <c r="G624" s="47"/>
      <c r="H624" s="47"/>
      <c r="I624" s="47" t="str">
        <f>IFERROR(__xludf.DUMMYFUNCTION("IFERROR((GOOGLEFINANCE($A624,""high52"")),"""")"),"")</f>
        <v/>
      </c>
      <c r="J624" s="51"/>
      <c r="K624" s="51"/>
      <c r="L624" s="51"/>
      <c r="M624" s="52"/>
      <c r="N624" s="53"/>
      <c r="O624" s="53"/>
      <c r="P624" s="54"/>
      <c r="Q624" s="55"/>
      <c r="R624" s="56"/>
      <c r="S624" s="56"/>
      <c r="T624" s="53"/>
      <c r="U624" s="53"/>
      <c r="V624" s="56"/>
      <c r="W624" s="56"/>
      <c r="X624" s="53"/>
      <c r="Y624" s="54"/>
      <c r="Z624" s="56"/>
      <c r="AA624" s="57"/>
      <c r="AB624" s="57"/>
      <c r="AC624" s="58"/>
      <c r="AD624" s="57"/>
      <c r="AE624" s="56"/>
      <c r="AF624" s="56"/>
      <c r="AG624" s="56"/>
      <c r="AH624" s="56"/>
      <c r="AI624" s="57"/>
      <c r="AJ624" s="59"/>
      <c r="AK624" s="60"/>
      <c r="AL624" s="60"/>
      <c r="AM624" s="61"/>
      <c r="AN624" s="62"/>
      <c r="AO624" s="60"/>
      <c r="AP624" s="60"/>
      <c r="AQ624" s="18"/>
    </row>
    <row r="625">
      <c r="A625" s="45" t="str">
        <f>'Dados StatusInvest'!A620:A1239</f>
        <v/>
      </c>
      <c r="B625" s="46"/>
      <c r="C625" s="46" t="str">
        <f>IFERROR((VLOOKUP(LEFT($A625,4),Setor!$A:$E,3,0)),"")</f>
        <v/>
      </c>
      <c r="D625" s="46" t="str">
        <f>IFERROR((VLOOKUP(LEFT($A625,4),Setor!$A:$E,4,0)),"")</f>
        <v/>
      </c>
      <c r="E625" s="46" t="str">
        <f>IFERROR((VLOOKUP(LEFT($A625,4),Setor!$A:$E,5,0)),"")</f>
        <v/>
      </c>
      <c r="F625" s="47" t="str">
        <f>IFERROR(__xludf.DUMMYFUNCTION("IFERROR((GOOGLEFINANCE(A625)),"""")"),"")</f>
        <v/>
      </c>
      <c r="G625" s="47"/>
      <c r="H625" s="47"/>
      <c r="I625" s="47" t="str">
        <f>IFERROR(__xludf.DUMMYFUNCTION("IFERROR((GOOGLEFINANCE($A625,""high52"")),"""")"),"")</f>
        <v/>
      </c>
      <c r="J625" s="51"/>
      <c r="K625" s="51"/>
      <c r="L625" s="51"/>
      <c r="M625" s="52"/>
      <c r="N625" s="53"/>
      <c r="O625" s="53"/>
      <c r="P625" s="54"/>
      <c r="Q625" s="55"/>
      <c r="R625" s="56"/>
      <c r="S625" s="56"/>
      <c r="T625" s="53"/>
      <c r="U625" s="53"/>
      <c r="V625" s="56"/>
      <c r="W625" s="56"/>
      <c r="X625" s="53"/>
      <c r="Y625" s="54"/>
      <c r="Z625" s="56"/>
      <c r="AA625" s="57"/>
      <c r="AB625" s="57"/>
      <c r="AC625" s="58"/>
      <c r="AD625" s="57"/>
      <c r="AE625" s="56"/>
      <c r="AF625" s="56"/>
      <c r="AG625" s="56"/>
      <c r="AH625" s="56"/>
      <c r="AI625" s="57"/>
      <c r="AJ625" s="59"/>
      <c r="AK625" s="60"/>
      <c r="AL625" s="60"/>
      <c r="AM625" s="61"/>
      <c r="AN625" s="62"/>
      <c r="AO625" s="60"/>
      <c r="AP625" s="60"/>
      <c r="AQ625" s="18"/>
    </row>
    <row r="626">
      <c r="A626" s="45" t="str">
        <f>'Dados StatusInvest'!A621:A1240</f>
        <v/>
      </c>
      <c r="B626" s="46"/>
      <c r="C626" s="46" t="str">
        <f>IFERROR((VLOOKUP(LEFT($A626,4),Setor!$A:$E,3,0)),"")</f>
        <v/>
      </c>
      <c r="D626" s="46" t="str">
        <f>IFERROR((VLOOKUP(LEFT($A626,4),Setor!$A:$E,4,0)),"")</f>
        <v/>
      </c>
      <c r="E626" s="46" t="str">
        <f>IFERROR((VLOOKUP(LEFT($A626,4),Setor!$A:$E,5,0)),"")</f>
        <v/>
      </c>
      <c r="F626" s="47" t="str">
        <f>IFERROR(__xludf.DUMMYFUNCTION("IFERROR((GOOGLEFINANCE(A626)),"""")"),"")</f>
        <v/>
      </c>
      <c r="G626" s="47"/>
      <c r="H626" s="47"/>
      <c r="I626" s="47" t="str">
        <f>IFERROR(__xludf.DUMMYFUNCTION("IFERROR((GOOGLEFINANCE($A626,""high52"")),"""")"),"")</f>
        <v/>
      </c>
      <c r="J626" s="51"/>
      <c r="K626" s="51"/>
      <c r="L626" s="51"/>
      <c r="M626" s="52"/>
      <c r="N626" s="53"/>
      <c r="O626" s="53"/>
      <c r="P626" s="54"/>
      <c r="Q626" s="55"/>
      <c r="R626" s="56"/>
      <c r="S626" s="56"/>
      <c r="T626" s="53"/>
      <c r="U626" s="53"/>
      <c r="V626" s="56"/>
      <c r="W626" s="56"/>
      <c r="X626" s="53"/>
      <c r="Y626" s="54"/>
      <c r="Z626" s="56"/>
      <c r="AA626" s="57"/>
      <c r="AB626" s="57"/>
      <c r="AC626" s="58"/>
      <c r="AD626" s="57"/>
      <c r="AE626" s="56"/>
      <c r="AF626" s="56"/>
      <c r="AG626" s="56"/>
      <c r="AH626" s="56"/>
      <c r="AI626" s="57"/>
      <c r="AJ626" s="59"/>
      <c r="AK626" s="60"/>
      <c r="AL626" s="60"/>
      <c r="AM626" s="61"/>
      <c r="AN626" s="62"/>
      <c r="AO626" s="60"/>
      <c r="AP626" s="60"/>
      <c r="AQ626" s="18"/>
    </row>
    <row r="627">
      <c r="A627" s="45" t="str">
        <f>'Dados StatusInvest'!A622:A1241</f>
        <v/>
      </c>
      <c r="B627" s="46"/>
      <c r="C627" s="46" t="str">
        <f>IFERROR((VLOOKUP(LEFT($A627,4),Setor!$A:$E,3,0)),"")</f>
        <v/>
      </c>
      <c r="D627" s="46" t="str">
        <f>IFERROR((VLOOKUP(LEFT($A627,4),Setor!$A:$E,4,0)),"")</f>
        <v/>
      </c>
      <c r="E627" s="46" t="str">
        <f>IFERROR((VLOOKUP(LEFT($A627,4),Setor!$A:$E,5,0)),"")</f>
        <v/>
      </c>
      <c r="F627" s="47" t="str">
        <f>IFERROR(__xludf.DUMMYFUNCTION("IFERROR((GOOGLEFINANCE(A627)),"""")"),"")</f>
        <v/>
      </c>
      <c r="G627" s="47"/>
      <c r="H627" s="47"/>
      <c r="I627" s="47" t="str">
        <f>IFERROR(__xludf.DUMMYFUNCTION("IFERROR((GOOGLEFINANCE($A627,""high52"")),"""")"),"")</f>
        <v/>
      </c>
      <c r="J627" s="51"/>
      <c r="K627" s="51"/>
      <c r="L627" s="51"/>
      <c r="M627" s="52"/>
      <c r="N627" s="53"/>
      <c r="O627" s="53"/>
      <c r="P627" s="54"/>
      <c r="Q627" s="55"/>
      <c r="R627" s="56"/>
      <c r="S627" s="56"/>
      <c r="T627" s="53"/>
      <c r="U627" s="53"/>
      <c r="V627" s="56"/>
      <c r="W627" s="56"/>
      <c r="X627" s="53"/>
      <c r="Y627" s="54"/>
      <c r="Z627" s="56"/>
      <c r="AA627" s="57"/>
      <c r="AB627" s="57"/>
      <c r="AC627" s="58"/>
      <c r="AD627" s="57"/>
      <c r="AE627" s="56"/>
      <c r="AF627" s="56"/>
      <c r="AG627" s="56"/>
      <c r="AH627" s="56"/>
      <c r="AI627" s="57"/>
      <c r="AJ627" s="59"/>
      <c r="AK627" s="60"/>
      <c r="AL627" s="60"/>
      <c r="AM627" s="61"/>
      <c r="AN627" s="62"/>
      <c r="AO627" s="60"/>
      <c r="AP627" s="60"/>
      <c r="AQ627" s="18"/>
    </row>
    <row r="628">
      <c r="A628" s="45" t="str">
        <f>'Dados StatusInvest'!A623:A1242</f>
        <v/>
      </c>
      <c r="B628" s="46"/>
      <c r="C628" s="46" t="str">
        <f>IFERROR((VLOOKUP(LEFT($A628,4),Setor!$A:$E,3,0)),"")</f>
        <v/>
      </c>
      <c r="D628" s="46" t="str">
        <f>IFERROR((VLOOKUP(LEFT($A628,4),Setor!$A:$E,4,0)),"")</f>
        <v/>
      </c>
      <c r="E628" s="46" t="str">
        <f>IFERROR((VLOOKUP(LEFT($A628,4),Setor!$A:$E,5,0)),"")</f>
        <v/>
      </c>
      <c r="F628" s="47" t="str">
        <f>IFERROR(__xludf.DUMMYFUNCTION("IFERROR((GOOGLEFINANCE(A628)),"""")"),"")</f>
        <v/>
      </c>
      <c r="G628" s="47"/>
      <c r="H628" s="47"/>
      <c r="I628" s="47" t="str">
        <f>IFERROR(__xludf.DUMMYFUNCTION("IFERROR((GOOGLEFINANCE($A628,""high52"")),"""")"),"")</f>
        <v/>
      </c>
      <c r="J628" s="51"/>
      <c r="K628" s="51"/>
      <c r="L628" s="51"/>
      <c r="M628" s="52"/>
      <c r="N628" s="53"/>
      <c r="O628" s="53"/>
      <c r="P628" s="54"/>
      <c r="Q628" s="55"/>
      <c r="R628" s="56"/>
      <c r="S628" s="56"/>
      <c r="T628" s="53"/>
      <c r="U628" s="53"/>
      <c r="V628" s="56"/>
      <c r="W628" s="56"/>
      <c r="X628" s="53"/>
      <c r="Y628" s="54"/>
      <c r="Z628" s="56"/>
      <c r="AA628" s="57"/>
      <c r="AB628" s="57"/>
      <c r="AC628" s="58"/>
      <c r="AD628" s="57"/>
      <c r="AE628" s="56"/>
      <c r="AF628" s="56"/>
      <c r="AG628" s="56"/>
      <c r="AH628" s="56"/>
      <c r="AI628" s="57"/>
      <c r="AJ628" s="59"/>
      <c r="AK628" s="60"/>
      <c r="AL628" s="60"/>
      <c r="AM628" s="61"/>
      <c r="AN628" s="62"/>
      <c r="AO628" s="60"/>
      <c r="AP628" s="60"/>
      <c r="AQ628" s="18"/>
    </row>
    <row r="629">
      <c r="A629" s="45" t="str">
        <f>'Dados StatusInvest'!A624:A1243</f>
        <v/>
      </c>
      <c r="B629" s="46"/>
      <c r="C629" s="46" t="str">
        <f>IFERROR((VLOOKUP(LEFT($A629,4),Setor!$A:$E,3,0)),"")</f>
        <v/>
      </c>
      <c r="D629" s="46" t="str">
        <f>IFERROR((VLOOKUP(LEFT($A629,4),Setor!$A:$E,4,0)),"")</f>
        <v/>
      </c>
      <c r="E629" s="46" t="str">
        <f>IFERROR((VLOOKUP(LEFT($A629,4),Setor!$A:$E,5,0)),"")</f>
        <v/>
      </c>
      <c r="F629" s="47" t="str">
        <f>IFERROR(__xludf.DUMMYFUNCTION("IFERROR((GOOGLEFINANCE(A629)),"""")"),"")</f>
        <v/>
      </c>
      <c r="G629" s="47"/>
      <c r="H629" s="47"/>
      <c r="I629" s="47" t="str">
        <f>IFERROR(__xludf.DUMMYFUNCTION("IFERROR((GOOGLEFINANCE($A629,""high52"")),"""")"),"")</f>
        <v/>
      </c>
      <c r="J629" s="51"/>
      <c r="K629" s="51"/>
      <c r="L629" s="51"/>
      <c r="M629" s="52"/>
      <c r="N629" s="53"/>
      <c r="O629" s="53"/>
      <c r="P629" s="54"/>
      <c r="Q629" s="55"/>
      <c r="R629" s="56"/>
      <c r="S629" s="56"/>
      <c r="T629" s="53"/>
      <c r="U629" s="53"/>
      <c r="V629" s="56"/>
      <c r="W629" s="56"/>
      <c r="X629" s="53"/>
      <c r="Y629" s="54"/>
      <c r="Z629" s="56"/>
      <c r="AA629" s="57"/>
      <c r="AB629" s="57"/>
      <c r="AC629" s="58"/>
      <c r="AD629" s="57"/>
      <c r="AE629" s="56"/>
      <c r="AF629" s="56"/>
      <c r="AG629" s="56"/>
      <c r="AH629" s="56"/>
      <c r="AI629" s="57"/>
      <c r="AJ629" s="59"/>
      <c r="AK629" s="60"/>
      <c r="AL629" s="60"/>
      <c r="AM629" s="61"/>
      <c r="AN629" s="62"/>
      <c r="AO629" s="60"/>
      <c r="AP629" s="60"/>
      <c r="AQ629" s="18"/>
    </row>
    <row r="630">
      <c r="A630" s="45" t="str">
        <f>'Dados StatusInvest'!A625:A1244</f>
        <v/>
      </c>
      <c r="B630" s="46"/>
      <c r="C630" s="46" t="str">
        <f>IFERROR((VLOOKUP(LEFT($A630,4),Setor!$A:$E,3,0)),"")</f>
        <v/>
      </c>
      <c r="D630" s="46" t="str">
        <f>IFERROR((VLOOKUP(LEFT($A630,4),Setor!$A:$E,4,0)),"")</f>
        <v/>
      </c>
      <c r="E630" s="46" t="str">
        <f>IFERROR((VLOOKUP(LEFT($A630,4),Setor!$A:$E,5,0)),"")</f>
        <v/>
      </c>
      <c r="F630" s="47" t="str">
        <f>IFERROR(__xludf.DUMMYFUNCTION("IFERROR((GOOGLEFINANCE(A630)),"""")"),"")</f>
        <v/>
      </c>
      <c r="G630" s="47"/>
      <c r="H630" s="47"/>
      <c r="I630" s="47" t="str">
        <f>IFERROR(__xludf.DUMMYFUNCTION("IFERROR((GOOGLEFINANCE($A630,""high52"")),"""")"),"")</f>
        <v/>
      </c>
      <c r="J630" s="51"/>
      <c r="K630" s="51"/>
      <c r="L630" s="51"/>
      <c r="M630" s="52"/>
      <c r="N630" s="53"/>
      <c r="O630" s="53"/>
      <c r="P630" s="54"/>
      <c r="Q630" s="55"/>
      <c r="R630" s="56"/>
      <c r="S630" s="56"/>
      <c r="T630" s="53"/>
      <c r="U630" s="53"/>
      <c r="V630" s="56"/>
      <c r="W630" s="56"/>
      <c r="X630" s="53"/>
      <c r="Y630" s="54"/>
      <c r="Z630" s="56"/>
      <c r="AA630" s="57"/>
      <c r="AB630" s="57"/>
      <c r="AC630" s="58"/>
      <c r="AD630" s="57"/>
      <c r="AE630" s="56"/>
      <c r="AF630" s="56"/>
      <c r="AG630" s="56"/>
      <c r="AH630" s="56"/>
      <c r="AI630" s="57"/>
      <c r="AJ630" s="59"/>
      <c r="AK630" s="60"/>
      <c r="AL630" s="60"/>
      <c r="AM630" s="61"/>
      <c r="AN630" s="62"/>
      <c r="AO630" s="60"/>
      <c r="AP630" s="60"/>
      <c r="AQ630" s="18"/>
    </row>
    <row r="631">
      <c r="A631" s="72"/>
      <c r="B631" s="46"/>
      <c r="C631" s="46" t="str">
        <f>IFERROR((VLOOKUP(LEFT($A631,4),Setor!$A:$E,3,0)),"")</f>
        <v/>
      </c>
      <c r="D631" s="46" t="str">
        <f>IFERROR((VLOOKUP(LEFT($A631,4),Setor!$A:$E,4,0)),"")</f>
        <v/>
      </c>
      <c r="E631" s="46" t="str">
        <f>IFERROR((VLOOKUP(LEFT($A631,4),Setor!$A:$E,5,0)),"")</f>
        <v/>
      </c>
      <c r="F631" s="47" t="str">
        <f>IFERROR(__xludf.DUMMYFUNCTION("IFERROR((GOOGLEFINANCE(A631)),"""")"),"")</f>
        <v/>
      </c>
      <c r="G631" s="47"/>
      <c r="H631" s="47"/>
      <c r="I631" s="47" t="str">
        <f>IFERROR(__xludf.DUMMYFUNCTION("IFERROR((GOOGLEFINANCE($A631,""high52"")),"""")"),"")</f>
        <v/>
      </c>
      <c r="J631" s="51"/>
      <c r="K631" s="51"/>
      <c r="L631" s="51"/>
      <c r="M631" s="52"/>
      <c r="N631" s="53"/>
      <c r="O631" s="53"/>
      <c r="P631" s="54"/>
      <c r="Q631" s="55"/>
      <c r="R631" s="56"/>
      <c r="S631" s="56"/>
      <c r="T631" s="53"/>
      <c r="U631" s="53"/>
      <c r="V631" s="56"/>
      <c r="W631" s="56"/>
      <c r="X631" s="53"/>
      <c r="Y631" s="54"/>
      <c r="Z631" s="56"/>
      <c r="AA631" s="57"/>
      <c r="AB631" s="57"/>
      <c r="AC631" s="58"/>
      <c r="AD631" s="57"/>
      <c r="AE631" s="56"/>
      <c r="AF631" s="56"/>
      <c r="AG631" s="56"/>
      <c r="AH631" s="56"/>
      <c r="AI631" s="57"/>
      <c r="AJ631" s="59"/>
      <c r="AK631" s="60"/>
      <c r="AL631" s="60"/>
      <c r="AM631" s="61"/>
      <c r="AN631" s="62"/>
      <c r="AO631" s="60"/>
      <c r="AP631" s="60"/>
      <c r="AQ631" s="18"/>
    </row>
    <row r="632">
      <c r="A632" s="72"/>
      <c r="B632" s="46"/>
      <c r="C632" s="46" t="str">
        <f>IFERROR((VLOOKUP(LEFT($A632,4),Setor!$A:$E,3,0)),"")</f>
        <v/>
      </c>
      <c r="D632" s="46" t="str">
        <f>IFERROR((VLOOKUP(LEFT($A632,4),Setor!$A:$E,4,0)),"")</f>
        <v/>
      </c>
      <c r="E632" s="46" t="str">
        <f>IFERROR((VLOOKUP(LEFT($A632,4),Setor!$A:$E,5,0)),"")</f>
        <v/>
      </c>
      <c r="F632" s="47" t="str">
        <f>IFERROR(__xludf.DUMMYFUNCTION("IFERROR((GOOGLEFINANCE(A632)),"""")"),"")</f>
        <v/>
      </c>
      <c r="G632" s="47"/>
      <c r="H632" s="47"/>
      <c r="I632" s="47" t="str">
        <f>IFERROR(__xludf.DUMMYFUNCTION("IFERROR((GOOGLEFINANCE($A632,""high52"")),"""")"),"")</f>
        <v/>
      </c>
      <c r="J632" s="51"/>
      <c r="K632" s="51"/>
      <c r="L632" s="51"/>
      <c r="M632" s="52"/>
      <c r="N632" s="53"/>
      <c r="O632" s="53"/>
      <c r="P632" s="54"/>
      <c r="Q632" s="55"/>
      <c r="R632" s="56"/>
      <c r="S632" s="56"/>
      <c r="T632" s="53"/>
      <c r="U632" s="53"/>
      <c r="V632" s="56"/>
      <c r="W632" s="56"/>
      <c r="X632" s="53"/>
      <c r="Y632" s="54"/>
      <c r="Z632" s="56"/>
      <c r="AA632" s="57"/>
      <c r="AB632" s="57"/>
      <c r="AC632" s="58"/>
      <c r="AD632" s="57"/>
      <c r="AE632" s="56"/>
      <c r="AF632" s="56"/>
      <c r="AG632" s="56"/>
      <c r="AH632" s="56"/>
      <c r="AI632" s="57"/>
      <c r="AJ632" s="59"/>
      <c r="AK632" s="60"/>
      <c r="AL632" s="60"/>
      <c r="AM632" s="61"/>
      <c r="AN632" s="62"/>
      <c r="AO632" s="60"/>
      <c r="AP632" s="60"/>
      <c r="AQ632" s="18"/>
    </row>
    <row r="633">
      <c r="A633" s="72"/>
      <c r="B633" s="46"/>
      <c r="C633" s="46" t="str">
        <f>IFERROR((VLOOKUP(LEFT($A633,4),Setor!$A:$E,3,0)),"")</f>
        <v/>
      </c>
      <c r="D633" s="46" t="str">
        <f>IFERROR((VLOOKUP(LEFT($A633,4),Setor!$A:$E,4,0)),"")</f>
        <v/>
      </c>
      <c r="E633" s="46" t="str">
        <f>IFERROR((VLOOKUP(LEFT($A633,4),Setor!$A:$E,5,0)),"")</f>
        <v/>
      </c>
      <c r="F633" s="47" t="str">
        <f>IFERROR(__xludf.DUMMYFUNCTION("IFERROR((GOOGLEFINANCE(A633)),"""")"),"")</f>
        <v/>
      </c>
      <c r="G633" s="47"/>
      <c r="H633" s="47"/>
      <c r="I633" s="47" t="str">
        <f>IFERROR(__xludf.DUMMYFUNCTION("IFERROR((GOOGLEFINANCE($A633,""high52"")),"""")"),"")</f>
        <v/>
      </c>
      <c r="J633" s="51"/>
      <c r="K633" s="51"/>
      <c r="L633" s="51"/>
      <c r="M633" s="52"/>
      <c r="N633" s="53"/>
      <c r="O633" s="53"/>
      <c r="P633" s="54"/>
      <c r="Q633" s="55"/>
      <c r="R633" s="56"/>
      <c r="S633" s="56"/>
      <c r="T633" s="53"/>
      <c r="U633" s="53"/>
      <c r="V633" s="56"/>
      <c r="W633" s="56"/>
      <c r="X633" s="53"/>
      <c r="Y633" s="54"/>
      <c r="Z633" s="56"/>
      <c r="AA633" s="57"/>
      <c r="AB633" s="57"/>
      <c r="AC633" s="58"/>
      <c r="AD633" s="57"/>
      <c r="AE633" s="56"/>
      <c r="AF633" s="56"/>
      <c r="AG633" s="56"/>
      <c r="AH633" s="56"/>
      <c r="AI633" s="57"/>
      <c r="AJ633" s="59"/>
      <c r="AK633" s="60"/>
      <c r="AL633" s="60"/>
      <c r="AM633" s="61"/>
      <c r="AN633" s="62"/>
      <c r="AO633" s="60"/>
      <c r="AP633" s="60"/>
      <c r="AQ633" s="18"/>
    </row>
    <row r="634">
      <c r="A634" s="72"/>
      <c r="B634" s="46"/>
      <c r="C634" s="46" t="str">
        <f>IFERROR((VLOOKUP(LEFT($A634,4),Setor!$A:$E,3,0)),"")</f>
        <v/>
      </c>
      <c r="D634" s="46" t="str">
        <f>IFERROR((VLOOKUP(LEFT($A634,4),Setor!$A:$E,4,0)),"")</f>
        <v/>
      </c>
      <c r="E634" s="46" t="str">
        <f>IFERROR((VLOOKUP(LEFT($A634,4),Setor!$A:$E,5,0)),"")</f>
        <v/>
      </c>
      <c r="F634" s="47" t="str">
        <f>IFERROR(__xludf.DUMMYFUNCTION("IFERROR((GOOGLEFINANCE(A634)),"""")"),"")</f>
        <v/>
      </c>
      <c r="G634" s="47"/>
      <c r="H634" s="47"/>
      <c r="I634" s="47" t="str">
        <f>IFERROR(__xludf.DUMMYFUNCTION("IFERROR((GOOGLEFINANCE($A634,""high52"")),"""")"),"")</f>
        <v/>
      </c>
      <c r="J634" s="51"/>
      <c r="K634" s="51"/>
      <c r="L634" s="51"/>
      <c r="M634" s="52"/>
      <c r="N634" s="53"/>
      <c r="O634" s="53"/>
      <c r="P634" s="54"/>
      <c r="Q634" s="55"/>
      <c r="R634" s="56"/>
      <c r="S634" s="56"/>
      <c r="T634" s="53"/>
      <c r="U634" s="53"/>
      <c r="V634" s="56"/>
      <c r="W634" s="56"/>
      <c r="X634" s="53"/>
      <c r="Y634" s="54"/>
      <c r="Z634" s="56"/>
      <c r="AA634" s="57"/>
      <c r="AB634" s="57"/>
      <c r="AC634" s="58"/>
      <c r="AD634" s="57"/>
      <c r="AE634" s="56"/>
      <c r="AF634" s="56"/>
      <c r="AG634" s="56"/>
      <c r="AH634" s="56"/>
      <c r="AI634" s="57"/>
      <c r="AJ634" s="59"/>
      <c r="AK634" s="60"/>
      <c r="AL634" s="60"/>
      <c r="AM634" s="61"/>
      <c r="AN634" s="62"/>
      <c r="AO634" s="60"/>
      <c r="AP634" s="60"/>
      <c r="AQ634" s="18"/>
    </row>
    <row r="635">
      <c r="A635" s="72"/>
      <c r="B635" s="46"/>
      <c r="C635" s="46" t="str">
        <f>IFERROR((VLOOKUP(LEFT($A635,4),Setor!$A:$E,3,0)),"")</f>
        <v/>
      </c>
      <c r="D635" s="46" t="str">
        <f>IFERROR((VLOOKUP(LEFT($A635,4),Setor!$A:$E,4,0)),"")</f>
        <v/>
      </c>
      <c r="E635" s="46" t="str">
        <f>IFERROR((VLOOKUP(LEFT($A635,4),Setor!$A:$E,5,0)),"")</f>
        <v/>
      </c>
      <c r="F635" s="47" t="str">
        <f>IFERROR(__xludf.DUMMYFUNCTION("IFERROR((GOOGLEFINANCE(A635)),"""")"),"")</f>
        <v/>
      </c>
      <c r="G635" s="47"/>
      <c r="H635" s="47"/>
      <c r="I635" s="47" t="str">
        <f>IFERROR(__xludf.DUMMYFUNCTION("IFERROR((GOOGLEFINANCE($A635,""high52"")),"""")"),"")</f>
        <v/>
      </c>
      <c r="J635" s="51"/>
      <c r="K635" s="51"/>
      <c r="L635" s="51"/>
      <c r="M635" s="52"/>
      <c r="N635" s="53"/>
      <c r="O635" s="53"/>
      <c r="P635" s="54"/>
      <c r="Q635" s="55"/>
      <c r="R635" s="56"/>
      <c r="S635" s="56"/>
      <c r="T635" s="53"/>
      <c r="U635" s="53"/>
      <c r="V635" s="56"/>
      <c r="W635" s="56"/>
      <c r="X635" s="53"/>
      <c r="Y635" s="54"/>
      <c r="Z635" s="56"/>
      <c r="AA635" s="57"/>
      <c r="AB635" s="57"/>
      <c r="AC635" s="58"/>
      <c r="AD635" s="57"/>
      <c r="AE635" s="56"/>
      <c r="AF635" s="56"/>
      <c r="AG635" s="56"/>
      <c r="AH635" s="56"/>
      <c r="AI635" s="57"/>
      <c r="AJ635" s="59"/>
      <c r="AK635" s="60"/>
      <c r="AL635" s="60"/>
      <c r="AM635" s="61"/>
      <c r="AN635" s="62"/>
      <c r="AO635" s="60"/>
      <c r="AP635" s="60"/>
      <c r="AQ635" s="18"/>
    </row>
    <row r="636">
      <c r="A636" s="72"/>
      <c r="B636" s="46"/>
      <c r="C636" s="46" t="str">
        <f>IFERROR((VLOOKUP(LEFT($A636,4),Setor!$A:$E,3,0)),"")</f>
        <v/>
      </c>
      <c r="D636" s="46" t="str">
        <f>IFERROR((VLOOKUP(LEFT($A636,4),Setor!$A:$E,4,0)),"")</f>
        <v/>
      </c>
      <c r="E636" s="46" t="str">
        <f>IFERROR((VLOOKUP(LEFT($A636,4),Setor!$A:$E,5,0)),"")</f>
        <v/>
      </c>
      <c r="F636" s="47" t="str">
        <f>IFERROR(__xludf.DUMMYFUNCTION("IFERROR((GOOGLEFINANCE(A636)),"""")"),"")</f>
        <v/>
      </c>
      <c r="G636" s="47"/>
      <c r="H636" s="47"/>
      <c r="I636" s="47" t="str">
        <f>IFERROR(__xludf.DUMMYFUNCTION("IFERROR((GOOGLEFINANCE($A636,""high52"")),"""")"),"")</f>
        <v/>
      </c>
      <c r="J636" s="51"/>
      <c r="K636" s="51"/>
      <c r="L636" s="51"/>
      <c r="M636" s="52"/>
      <c r="N636" s="53"/>
      <c r="O636" s="53"/>
      <c r="P636" s="54"/>
      <c r="Q636" s="55"/>
      <c r="R636" s="56"/>
      <c r="S636" s="56"/>
      <c r="T636" s="53"/>
      <c r="U636" s="53"/>
      <c r="V636" s="56"/>
      <c r="W636" s="56"/>
      <c r="X636" s="53"/>
      <c r="Y636" s="54"/>
      <c r="Z636" s="56"/>
      <c r="AA636" s="57"/>
      <c r="AB636" s="57"/>
      <c r="AC636" s="58"/>
      <c r="AD636" s="57"/>
      <c r="AE636" s="56"/>
      <c r="AF636" s="56"/>
      <c r="AG636" s="56"/>
      <c r="AH636" s="56"/>
      <c r="AI636" s="57"/>
      <c r="AJ636" s="59"/>
      <c r="AK636" s="60"/>
      <c r="AL636" s="60"/>
      <c r="AM636" s="61"/>
      <c r="AN636" s="62"/>
      <c r="AO636" s="60"/>
      <c r="AP636" s="60"/>
      <c r="AQ636" s="18"/>
    </row>
    <row r="637">
      <c r="A637" s="72"/>
      <c r="B637" s="46"/>
      <c r="C637" s="46" t="str">
        <f>IFERROR((VLOOKUP(LEFT($A637,4),Setor!$A:$E,3,0)),"")</f>
        <v/>
      </c>
      <c r="D637" s="46" t="str">
        <f>IFERROR((VLOOKUP(LEFT($A637,4),Setor!$A:$E,4,0)),"")</f>
        <v/>
      </c>
      <c r="E637" s="46" t="str">
        <f>IFERROR((VLOOKUP(LEFT($A637,4),Setor!$A:$E,5,0)),"")</f>
        <v/>
      </c>
      <c r="F637" s="47" t="str">
        <f>IFERROR(__xludf.DUMMYFUNCTION("IFERROR((GOOGLEFINANCE(A637)),"""")"),"")</f>
        <v/>
      </c>
      <c r="G637" s="47"/>
      <c r="H637" s="47"/>
      <c r="I637" s="47" t="str">
        <f>IFERROR(__xludf.DUMMYFUNCTION("IFERROR((GOOGLEFINANCE($A637,""high52"")),"""")"),"")</f>
        <v/>
      </c>
      <c r="J637" s="51"/>
      <c r="K637" s="51"/>
      <c r="L637" s="51"/>
      <c r="M637" s="52"/>
      <c r="N637" s="53"/>
      <c r="O637" s="53"/>
      <c r="P637" s="54"/>
      <c r="Q637" s="55"/>
      <c r="R637" s="56"/>
      <c r="S637" s="56"/>
      <c r="T637" s="53"/>
      <c r="U637" s="53"/>
      <c r="V637" s="56"/>
      <c r="W637" s="56"/>
      <c r="X637" s="53"/>
      <c r="Y637" s="54"/>
      <c r="Z637" s="56"/>
      <c r="AA637" s="57"/>
      <c r="AB637" s="57"/>
      <c r="AC637" s="58"/>
      <c r="AD637" s="57"/>
      <c r="AE637" s="56"/>
      <c r="AF637" s="56"/>
      <c r="AG637" s="56"/>
      <c r="AH637" s="56"/>
      <c r="AI637" s="57"/>
      <c r="AJ637" s="59"/>
      <c r="AK637" s="60"/>
      <c r="AL637" s="60"/>
      <c r="AM637" s="61"/>
      <c r="AN637" s="62"/>
      <c r="AO637" s="60"/>
      <c r="AP637" s="60"/>
      <c r="AQ637" s="18"/>
    </row>
    <row r="638">
      <c r="A638" s="72"/>
      <c r="B638" s="46"/>
      <c r="C638" s="46" t="str">
        <f>IFERROR((VLOOKUP(LEFT($A638,4),Setor!$A:$E,3,0)),"")</f>
        <v/>
      </c>
      <c r="D638" s="46" t="str">
        <f>IFERROR((VLOOKUP(LEFT($A638,4),Setor!$A:$E,4,0)),"")</f>
        <v/>
      </c>
      <c r="E638" s="46" t="str">
        <f>IFERROR((VLOOKUP(LEFT($A638,4),Setor!$A:$E,5,0)),"")</f>
        <v/>
      </c>
      <c r="F638" s="47" t="str">
        <f>IFERROR(__xludf.DUMMYFUNCTION("IFERROR((GOOGLEFINANCE(A638)),"""")"),"")</f>
        <v/>
      </c>
      <c r="G638" s="47"/>
      <c r="H638" s="47"/>
      <c r="I638" s="47" t="str">
        <f>IFERROR(__xludf.DUMMYFUNCTION("IFERROR((GOOGLEFINANCE($A638,""high52"")),"""")"),"")</f>
        <v/>
      </c>
      <c r="J638" s="51"/>
      <c r="K638" s="51"/>
      <c r="L638" s="51"/>
      <c r="M638" s="52"/>
      <c r="N638" s="53"/>
      <c r="O638" s="53"/>
      <c r="P638" s="54"/>
      <c r="Q638" s="55"/>
      <c r="R638" s="56"/>
      <c r="S638" s="56"/>
      <c r="T638" s="53"/>
      <c r="U638" s="53"/>
      <c r="V638" s="56"/>
      <c r="W638" s="56"/>
      <c r="X638" s="53"/>
      <c r="Y638" s="54"/>
      <c r="Z638" s="56"/>
      <c r="AA638" s="57"/>
      <c r="AB638" s="57"/>
      <c r="AC638" s="58"/>
      <c r="AD638" s="57"/>
      <c r="AE638" s="56"/>
      <c r="AF638" s="56"/>
      <c r="AG638" s="56"/>
      <c r="AH638" s="56"/>
      <c r="AI638" s="57"/>
      <c r="AJ638" s="59"/>
      <c r="AK638" s="60"/>
      <c r="AL638" s="60"/>
      <c r="AM638" s="61"/>
      <c r="AN638" s="62"/>
      <c r="AO638" s="60"/>
      <c r="AP638" s="60"/>
      <c r="AQ638" s="18"/>
    </row>
    <row r="639">
      <c r="A639" s="72"/>
      <c r="B639" s="46"/>
      <c r="C639" s="46" t="str">
        <f>IFERROR((VLOOKUP(LEFT($A639,4),Setor!$A:$E,3,0)),"")</f>
        <v/>
      </c>
      <c r="D639" s="46" t="str">
        <f>IFERROR((VLOOKUP(LEFT($A639,4),Setor!$A:$E,4,0)),"")</f>
        <v/>
      </c>
      <c r="E639" s="46" t="str">
        <f>IFERROR((VLOOKUP(LEFT($A639,4),Setor!$A:$E,5,0)),"")</f>
        <v/>
      </c>
      <c r="F639" s="47" t="str">
        <f>IFERROR(__xludf.DUMMYFUNCTION("IFERROR((GOOGLEFINANCE(A639)),"""")"),"")</f>
        <v/>
      </c>
      <c r="G639" s="47"/>
      <c r="H639" s="47"/>
      <c r="I639" s="47" t="str">
        <f>IFERROR(__xludf.DUMMYFUNCTION("IFERROR((GOOGLEFINANCE($A639,""high52"")),"""")"),"")</f>
        <v/>
      </c>
      <c r="J639" s="51"/>
      <c r="K639" s="51"/>
      <c r="L639" s="51"/>
      <c r="M639" s="52"/>
      <c r="N639" s="53"/>
      <c r="O639" s="53"/>
      <c r="P639" s="54"/>
      <c r="Q639" s="55"/>
      <c r="R639" s="56"/>
      <c r="S639" s="56"/>
      <c r="T639" s="53"/>
      <c r="U639" s="53"/>
      <c r="V639" s="56"/>
      <c r="W639" s="56"/>
      <c r="X639" s="53"/>
      <c r="Y639" s="54"/>
      <c r="Z639" s="56"/>
      <c r="AA639" s="57"/>
      <c r="AB639" s="57"/>
      <c r="AC639" s="58"/>
      <c r="AD639" s="57"/>
      <c r="AE639" s="56"/>
      <c r="AF639" s="56"/>
      <c r="AG639" s="56"/>
      <c r="AH639" s="56"/>
      <c r="AI639" s="57"/>
      <c r="AJ639" s="59"/>
      <c r="AK639" s="60"/>
      <c r="AL639" s="60"/>
      <c r="AM639" s="61"/>
      <c r="AN639" s="62"/>
      <c r="AO639" s="60"/>
      <c r="AP639" s="60"/>
      <c r="AQ639" s="18"/>
    </row>
    <row r="640">
      <c r="A640" s="72"/>
      <c r="B640" s="46"/>
      <c r="C640" s="46" t="str">
        <f>IFERROR((VLOOKUP(LEFT($A640,4),Setor!$A:$E,3,0)),"")</f>
        <v/>
      </c>
      <c r="D640" s="46" t="str">
        <f>IFERROR((VLOOKUP(LEFT($A640,4),Setor!$A:$E,4,0)),"")</f>
        <v/>
      </c>
      <c r="E640" s="46" t="str">
        <f>IFERROR((VLOOKUP(LEFT($A640,4),Setor!$A:$E,5,0)),"")</f>
        <v/>
      </c>
      <c r="F640" s="47" t="str">
        <f>IFERROR(__xludf.DUMMYFUNCTION("IFERROR((GOOGLEFINANCE(A640)),"""")"),"")</f>
        <v/>
      </c>
      <c r="G640" s="47"/>
      <c r="H640" s="47"/>
      <c r="I640" s="47" t="str">
        <f>IFERROR(__xludf.DUMMYFUNCTION("IFERROR((GOOGLEFINANCE($A640,""high52"")),"""")"),"")</f>
        <v/>
      </c>
      <c r="J640" s="51"/>
      <c r="K640" s="51"/>
      <c r="L640" s="51"/>
      <c r="M640" s="52"/>
      <c r="N640" s="53"/>
      <c r="O640" s="53"/>
      <c r="P640" s="54"/>
      <c r="Q640" s="55"/>
      <c r="R640" s="56"/>
      <c r="S640" s="56"/>
      <c r="T640" s="53"/>
      <c r="U640" s="53"/>
      <c r="V640" s="56"/>
      <c r="W640" s="56"/>
      <c r="X640" s="53"/>
      <c r="Y640" s="54"/>
      <c r="Z640" s="56"/>
      <c r="AA640" s="57"/>
      <c r="AB640" s="57"/>
      <c r="AC640" s="58"/>
      <c r="AD640" s="57"/>
      <c r="AE640" s="56"/>
      <c r="AF640" s="56"/>
      <c r="AG640" s="56"/>
      <c r="AH640" s="56"/>
      <c r="AI640" s="57"/>
      <c r="AJ640" s="59"/>
      <c r="AK640" s="60"/>
      <c r="AL640" s="60"/>
      <c r="AM640" s="61"/>
      <c r="AN640" s="62"/>
      <c r="AO640" s="60"/>
      <c r="AP640" s="60"/>
      <c r="AQ640" s="18"/>
    </row>
    <row r="641">
      <c r="A641" s="72"/>
      <c r="B641" s="46"/>
      <c r="C641" s="46" t="str">
        <f>IFERROR((VLOOKUP(LEFT($A641,4),Setor!$A:$E,3,0)),"")</f>
        <v/>
      </c>
      <c r="D641" s="46" t="str">
        <f>IFERROR((VLOOKUP(LEFT($A641,4),Setor!$A:$E,4,0)),"")</f>
        <v/>
      </c>
      <c r="E641" s="46" t="str">
        <f>IFERROR((VLOOKUP(LEFT($A641,4),Setor!$A:$E,5,0)),"")</f>
        <v/>
      </c>
      <c r="F641" s="47" t="str">
        <f>IFERROR(__xludf.DUMMYFUNCTION("IFERROR((GOOGLEFINANCE(A641)),"""")"),"")</f>
        <v/>
      </c>
      <c r="G641" s="47"/>
      <c r="H641" s="47"/>
      <c r="I641" s="47" t="str">
        <f>IFERROR(__xludf.DUMMYFUNCTION("IFERROR((GOOGLEFINANCE($A641,""high52"")),"""")"),"")</f>
        <v/>
      </c>
      <c r="J641" s="51"/>
      <c r="K641" s="51"/>
      <c r="L641" s="51"/>
      <c r="M641" s="52"/>
      <c r="N641" s="53"/>
      <c r="O641" s="53"/>
      <c r="P641" s="54"/>
      <c r="Q641" s="55"/>
      <c r="R641" s="56"/>
      <c r="S641" s="56"/>
      <c r="T641" s="53"/>
      <c r="U641" s="53"/>
      <c r="V641" s="56"/>
      <c r="W641" s="56"/>
      <c r="X641" s="53"/>
      <c r="Y641" s="54"/>
      <c r="Z641" s="56"/>
      <c r="AA641" s="57"/>
      <c r="AB641" s="57"/>
      <c r="AC641" s="58"/>
      <c r="AD641" s="57"/>
      <c r="AE641" s="56"/>
      <c r="AF641" s="56"/>
      <c r="AG641" s="56"/>
      <c r="AH641" s="56"/>
      <c r="AI641" s="57"/>
      <c r="AJ641" s="59"/>
      <c r="AK641" s="60"/>
      <c r="AL641" s="60"/>
      <c r="AM641" s="61"/>
      <c r="AN641" s="62"/>
      <c r="AO641" s="60"/>
      <c r="AP641" s="60"/>
      <c r="AQ641" s="18"/>
    </row>
    <row r="642">
      <c r="A642" s="72"/>
      <c r="B642" s="46"/>
      <c r="C642" s="46" t="str">
        <f>IFERROR((VLOOKUP(LEFT($A642,4),Setor!$A:$E,3,0)),"")</f>
        <v/>
      </c>
      <c r="D642" s="46" t="str">
        <f>IFERROR((VLOOKUP(LEFT($A642,4),Setor!$A:$E,4,0)),"")</f>
        <v/>
      </c>
      <c r="E642" s="46" t="str">
        <f>IFERROR((VLOOKUP(LEFT($A642,4),Setor!$A:$E,5,0)),"")</f>
        <v/>
      </c>
      <c r="F642" s="47" t="str">
        <f>IFERROR(__xludf.DUMMYFUNCTION("IFERROR((GOOGLEFINANCE(A642)),"""")"),"")</f>
        <v/>
      </c>
      <c r="G642" s="47"/>
      <c r="H642" s="47"/>
      <c r="I642" s="47" t="str">
        <f>IFERROR(__xludf.DUMMYFUNCTION("IFERROR((GOOGLEFINANCE($A642,""high52"")),"""")"),"")</f>
        <v/>
      </c>
      <c r="J642" s="51"/>
      <c r="K642" s="51"/>
      <c r="L642" s="51"/>
      <c r="M642" s="52"/>
      <c r="N642" s="53"/>
      <c r="O642" s="53"/>
      <c r="P642" s="54"/>
      <c r="Q642" s="55"/>
      <c r="R642" s="56"/>
      <c r="S642" s="56"/>
      <c r="T642" s="53"/>
      <c r="U642" s="53"/>
      <c r="V642" s="56"/>
      <c r="W642" s="56"/>
      <c r="X642" s="53"/>
      <c r="Y642" s="54"/>
      <c r="Z642" s="56"/>
      <c r="AA642" s="57"/>
      <c r="AB642" s="57"/>
      <c r="AC642" s="58"/>
      <c r="AD642" s="57"/>
      <c r="AE642" s="56"/>
      <c r="AF642" s="56"/>
      <c r="AG642" s="56"/>
      <c r="AH642" s="56"/>
      <c r="AI642" s="57"/>
      <c r="AJ642" s="59"/>
      <c r="AK642" s="60"/>
      <c r="AL642" s="60"/>
      <c r="AM642" s="61"/>
      <c r="AN642" s="62"/>
      <c r="AO642" s="60"/>
      <c r="AP642" s="60"/>
      <c r="AQ642" s="18"/>
    </row>
    <row r="643">
      <c r="A643" s="72"/>
      <c r="B643" s="46"/>
      <c r="C643" s="46" t="str">
        <f>IFERROR((VLOOKUP(LEFT($A643,4),Setor!$A:$E,3,0)),"")</f>
        <v/>
      </c>
      <c r="D643" s="46" t="str">
        <f>IFERROR((VLOOKUP(LEFT($A643,4),Setor!$A:$E,4,0)),"")</f>
        <v/>
      </c>
      <c r="E643" s="46" t="str">
        <f>IFERROR((VLOOKUP(LEFT($A643,4),Setor!$A:$E,5,0)),"")</f>
        <v/>
      </c>
      <c r="F643" s="47" t="str">
        <f>IFERROR(__xludf.DUMMYFUNCTION("IFERROR((GOOGLEFINANCE(A643)),"""")"),"")</f>
        <v/>
      </c>
      <c r="G643" s="47"/>
      <c r="H643" s="47"/>
      <c r="I643" s="47" t="str">
        <f>IFERROR(__xludf.DUMMYFUNCTION("IFERROR((GOOGLEFINANCE($A643,""high52"")),"""")"),"")</f>
        <v/>
      </c>
      <c r="J643" s="51"/>
      <c r="K643" s="51"/>
      <c r="L643" s="51"/>
      <c r="M643" s="52"/>
      <c r="N643" s="53"/>
      <c r="O643" s="53"/>
      <c r="P643" s="54"/>
      <c r="Q643" s="55"/>
      <c r="R643" s="56"/>
      <c r="S643" s="56"/>
      <c r="T643" s="53"/>
      <c r="U643" s="53"/>
      <c r="V643" s="56"/>
      <c r="W643" s="56"/>
      <c r="X643" s="53"/>
      <c r="Y643" s="54"/>
      <c r="Z643" s="56"/>
      <c r="AA643" s="57"/>
      <c r="AB643" s="57"/>
      <c r="AC643" s="58"/>
      <c r="AD643" s="57"/>
      <c r="AE643" s="56"/>
      <c r="AF643" s="56"/>
      <c r="AG643" s="56"/>
      <c r="AH643" s="56"/>
      <c r="AI643" s="57"/>
      <c r="AJ643" s="59"/>
      <c r="AK643" s="60"/>
      <c r="AL643" s="60"/>
      <c r="AM643" s="61"/>
      <c r="AN643" s="62"/>
      <c r="AO643" s="60"/>
      <c r="AP643" s="60"/>
      <c r="AQ643" s="18"/>
    </row>
    <row r="644">
      <c r="A644" s="72"/>
      <c r="B644" s="46"/>
      <c r="C644" s="46" t="str">
        <f>IFERROR((VLOOKUP(LEFT($A644,4),Setor!$A:$E,3,0)),"")</f>
        <v/>
      </c>
      <c r="D644" s="46" t="str">
        <f>IFERROR((VLOOKUP(LEFT($A644,4),Setor!$A:$E,4,0)),"")</f>
        <v/>
      </c>
      <c r="E644" s="46" t="str">
        <f>IFERROR((VLOOKUP(LEFT($A644,4),Setor!$A:$E,5,0)),"")</f>
        <v/>
      </c>
      <c r="F644" s="47" t="str">
        <f>IFERROR(__xludf.DUMMYFUNCTION("IFERROR((GOOGLEFINANCE(A644)),"""")"),"")</f>
        <v/>
      </c>
      <c r="G644" s="47"/>
      <c r="H644" s="47"/>
      <c r="I644" s="47" t="str">
        <f>IFERROR(__xludf.DUMMYFUNCTION("IFERROR((GOOGLEFINANCE($A644,""high52"")),"""")"),"")</f>
        <v/>
      </c>
      <c r="J644" s="51"/>
      <c r="K644" s="51"/>
      <c r="L644" s="51"/>
      <c r="M644" s="52"/>
      <c r="N644" s="53"/>
      <c r="O644" s="53"/>
      <c r="P644" s="54"/>
      <c r="Q644" s="55"/>
      <c r="R644" s="56"/>
      <c r="S644" s="56"/>
      <c r="T644" s="53"/>
      <c r="U644" s="53"/>
      <c r="V644" s="56"/>
      <c r="W644" s="56"/>
      <c r="X644" s="53"/>
      <c r="Y644" s="54"/>
      <c r="Z644" s="56"/>
      <c r="AA644" s="57"/>
      <c r="AB644" s="57"/>
      <c r="AC644" s="58"/>
      <c r="AD644" s="57"/>
      <c r="AE644" s="56"/>
      <c r="AF644" s="56"/>
      <c r="AG644" s="56"/>
      <c r="AH644" s="56"/>
      <c r="AI644" s="57"/>
      <c r="AJ644" s="59"/>
      <c r="AK644" s="60"/>
      <c r="AL644" s="60"/>
      <c r="AM644" s="61"/>
      <c r="AN644" s="62"/>
      <c r="AO644" s="60"/>
      <c r="AP644" s="60"/>
      <c r="AQ644" s="18"/>
    </row>
    <row r="645">
      <c r="A645" s="72"/>
      <c r="B645" s="46"/>
      <c r="C645" s="46" t="str">
        <f>IFERROR((VLOOKUP(LEFT($A645,4),Setor!$A:$E,3,0)),"")</f>
        <v/>
      </c>
      <c r="D645" s="46" t="str">
        <f>IFERROR((VLOOKUP(LEFT($A645,4),Setor!$A:$E,4,0)),"")</f>
        <v/>
      </c>
      <c r="E645" s="46" t="str">
        <f>IFERROR((VLOOKUP(LEFT($A645,4),Setor!$A:$E,5,0)),"")</f>
        <v/>
      </c>
      <c r="F645" s="47" t="str">
        <f>IFERROR(__xludf.DUMMYFUNCTION("IFERROR((GOOGLEFINANCE(A645)),"""")"),"")</f>
        <v/>
      </c>
      <c r="G645" s="47"/>
      <c r="H645" s="47"/>
      <c r="I645" s="47" t="str">
        <f>IFERROR(__xludf.DUMMYFUNCTION("IFERROR((GOOGLEFINANCE($A645,""high52"")),"""")"),"")</f>
        <v/>
      </c>
      <c r="J645" s="51"/>
      <c r="K645" s="51"/>
      <c r="L645" s="51"/>
      <c r="M645" s="52"/>
      <c r="N645" s="53"/>
      <c r="O645" s="53"/>
      <c r="P645" s="54"/>
      <c r="Q645" s="55"/>
      <c r="R645" s="56"/>
      <c r="S645" s="56"/>
      <c r="T645" s="53"/>
      <c r="U645" s="53"/>
      <c r="V645" s="56"/>
      <c r="W645" s="56"/>
      <c r="X645" s="53"/>
      <c r="Y645" s="54"/>
      <c r="Z645" s="56"/>
      <c r="AA645" s="57"/>
      <c r="AB645" s="57"/>
      <c r="AC645" s="58"/>
      <c r="AD645" s="57"/>
      <c r="AE645" s="56"/>
      <c r="AF645" s="56"/>
      <c r="AG645" s="56"/>
      <c r="AH645" s="56"/>
      <c r="AI645" s="57"/>
      <c r="AJ645" s="59"/>
      <c r="AK645" s="60"/>
      <c r="AL645" s="60"/>
      <c r="AM645" s="61"/>
      <c r="AN645" s="62"/>
      <c r="AO645" s="60"/>
      <c r="AP645" s="60"/>
      <c r="AQ645" s="18"/>
    </row>
    <row r="646">
      <c r="A646" s="72"/>
      <c r="B646" s="46"/>
      <c r="C646" s="46" t="str">
        <f>IFERROR((VLOOKUP(LEFT($A646,4),Setor!$A:$E,3,0)),"")</f>
        <v/>
      </c>
      <c r="D646" s="46" t="str">
        <f>IFERROR((VLOOKUP(LEFT($A646,4),Setor!$A:$E,4,0)),"")</f>
        <v/>
      </c>
      <c r="E646" s="46" t="str">
        <f>IFERROR((VLOOKUP(LEFT($A646,4),Setor!$A:$E,5,0)),"")</f>
        <v/>
      </c>
      <c r="F646" s="47" t="str">
        <f>IFERROR(__xludf.DUMMYFUNCTION("IFERROR((GOOGLEFINANCE(A646)),"""")"),"")</f>
        <v/>
      </c>
      <c r="G646" s="47"/>
      <c r="H646" s="47"/>
      <c r="I646" s="47" t="str">
        <f>IFERROR(__xludf.DUMMYFUNCTION("IFERROR((GOOGLEFINANCE($A646,""high52"")),"""")"),"")</f>
        <v/>
      </c>
      <c r="J646" s="51"/>
      <c r="K646" s="51"/>
      <c r="L646" s="51"/>
      <c r="M646" s="52"/>
      <c r="N646" s="53"/>
      <c r="O646" s="53"/>
      <c r="P646" s="54"/>
      <c r="Q646" s="55"/>
      <c r="R646" s="56"/>
      <c r="S646" s="56"/>
      <c r="T646" s="53"/>
      <c r="U646" s="53"/>
      <c r="V646" s="56"/>
      <c r="W646" s="56"/>
      <c r="X646" s="53"/>
      <c r="Y646" s="54"/>
      <c r="Z646" s="56"/>
      <c r="AA646" s="57"/>
      <c r="AB646" s="57"/>
      <c r="AC646" s="58"/>
      <c r="AD646" s="57"/>
      <c r="AE646" s="56"/>
      <c r="AF646" s="56"/>
      <c r="AG646" s="56"/>
      <c r="AH646" s="56"/>
      <c r="AI646" s="57"/>
      <c r="AJ646" s="59"/>
      <c r="AK646" s="60"/>
      <c r="AL646" s="60"/>
      <c r="AM646" s="61"/>
      <c r="AN646" s="62"/>
      <c r="AO646" s="60"/>
      <c r="AP646" s="60"/>
      <c r="AQ646" s="18"/>
    </row>
    <row r="647">
      <c r="A647" s="72"/>
      <c r="B647" s="46"/>
      <c r="C647" s="46" t="str">
        <f>IFERROR((VLOOKUP(LEFT($A647,4),Setor!$A:$E,3,0)),"")</f>
        <v/>
      </c>
      <c r="D647" s="46" t="str">
        <f>IFERROR((VLOOKUP(LEFT($A647,4),Setor!$A:$E,4,0)),"")</f>
        <v/>
      </c>
      <c r="E647" s="46" t="str">
        <f>IFERROR((VLOOKUP(LEFT($A647,4),Setor!$A:$E,5,0)),"")</f>
        <v/>
      </c>
      <c r="F647" s="47" t="str">
        <f>IFERROR(__xludf.DUMMYFUNCTION("IFERROR((GOOGLEFINANCE(A647)),"""")"),"")</f>
        <v/>
      </c>
      <c r="G647" s="47"/>
      <c r="H647" s="47"/>
      <c r="I647" s="47" t="str">
        <f>IFERROR(__xludf.DUMMYFUNCTION("IFERROR((GOOGLEFINANCE($A647,""high52"")),"""")"),"")</f>
        <v/>
      </c>
      <c r="J647" s="51"/>
      <c r="K647" s="51"/>
      <c r="L647" s="51"/>
      <c r="M647" s="52"/>
      <c r="N647" s="53"/>
      <c r="O647" s="53"/>
      <c r="P647" s="54"/>
      <c r="Q647" s="55"/>
      <c r="R647" s="56"/>
      <c r="S647" s="56"/>
      <c r="T647" s="53"/>
      <c r="U647" s="53"/>
      <c r="V647" s="56"/>
      <c r="W647" s="56"/>
      <c r="X647" s="53"/>
      <c r="Y647" s="54"/>
      <c r="Z647" s="56"/>
      <c r="AA647" s="57"/>
      <c r="AB647" s="57"/>
      <c r="AC647" s="58"/>
      <c r="AD647" s="57"/>
      <c r="AE647" s="56"/>
      <c r="AF647" s="56"/>
      <c r="AG647" s="56"/>
      <c r="AH647" s="56"/>
      <c r="AI647" s="57"/>
      <c r="AJ647" s="59"/>
      <c r="AK647" s="60"/>
      <c r="AL647" s="60"/>
      <c r="AM647" s="61"/>
      <c r="AN647" s="62"/>
      <c r="AO647" s="60"/>
      <c r="AP647" s="60"/>
      <c r="AQ647" s="18"/>
    </row>
    <row r="648">
      <c r="A648" s="72"/>
      <c r="B648" s="46"/>
      <c r="C648" s="46" t="str">
        <f>IFERROR((VLOOKUP(LEFT($A648,4),Setor!$A:$E,3,0)),"")</f>
        <v/>
      </c>
      <c r="D648" s="46" t="str">
        <f>IFERROR((VLOOKUP(LEFT($A648,4),Setor!$A:$E,4,0)),"")</f>
        <v/>
      </c>
      <c r="E648" s="46" t="str">
        <f>IFERROR((VLOOKUP(LEFT($A648,4),Setor!$A:$E,5,0)),"")</f>
        <v/>
      </c>
      <c r="F648" s="47" t="str">
        <f>IFERROR(__xludf.DUMMYFUNCTION("IFERROR((GOOGLEFINANCE(A648)),"""")"),"")</f>
        <v/>
      </c>
      <c r="G648" s="47"/>
      <c r="H648" s="47"/>
      <c r="I648" s="47" t="str">
        <f>IFERROR(__xludf.DUMMYFUNCTION("IFERROR((GOOGLEFINANCE($A648,""high52"")),"""")"),"")</f>
        <v/>
      </c>
      <c r="J648" s="51"/>
      <c r="K648" s="51"/>
      <c r="L648" s="51"/>
      <c r="M648" s="52"/>
      <c r="N648" s="53"/>
      <c r="O648" s="53"/>
      <c r="P648" s="54"/>
      <c r="Q648" s="55"/>
      <c r="R648" s="56"/>
      <c r="S648" s="56"/>
      <c r="T648" s="53"/>
      <c r="U648" s="53"/>
      <c r="V648" s="56"/>
      <c r="W648" s="56"/>
      <c r="X648" s="53"/>
      <c r="Y648" s="54"/>
      <c r="Z648" s="56"/>
      <c r="AA648" s="57"/>
      <c r="AB648" s="57"/>
      <c r="AC648" s="58"/>
      <c r="AD648" s="57"/>
      <c r="AE648" s="56"/>
      <c r="AF648" s="56"/>
      <c r="AG648" s="56"/>
      <c r="AH648" s="56"/>
      <c r="AI648" s="57"/>
      <c r="AJ648" s="59"/>
      <c r="AK648" s="60"/>
      <c r="AL648" s="60"/>
      <c r="AM648" s="61"/>
      <c r="AN648" s="62"/>
      <c r="AO648" s="60"/>
      <c r="AP648" s="60"/>
      <c r="AQ648" s="18"/>
    </row>
    <row r="649">
      <c r="A649" s="72"/>
      <c r="B649" s="46"/>
      <c r="C649" s="46" t="str">
        <f>IFERROR((VLOOKUP(LEFT($A649,4),Setor!$A:$E,3,0)),"")</f>
        <v/>
      </c>
      <c r="D649" s="46" t="str">
        <f>IFERROR((VLOOKUP(LEFT($A649,4),Setor!$A:$E,4,0)),"")</f>
        <v/>
      </c>
      <c r="E649" s="46" t="str">
        <f>IFERROR((VLOOKUP(LEFT($A649,4),Setor!$A:$E,5,0)),"")</f>
        <v/>
      </c>
      <c r="F649" s="47" t="str">
        <f>IFERROR(__xludf.DUMMYFUNCTION("IFERROR((GOOGLEFINANCE(A649)),"""")"),"")</f>
        <v/>
      </c>
      <c r="G649" s="47"/>
      <c r="H649" s="47"/>
      <c r="I649" s="47" t="str">
        <f>IFERROR(__xludf.DUMMYFUNCTION("IFERROR((GOOGLEFINANCE($A649,""high52"")),"""")"),"")</f>
        <v/>
      </c>
      <c r="J649" s="51"/>
      <c r="K649" s="51"/>
      <c r="L649" s="51"/>
      <c r="M649" s="52"/>
      <c r="N649" s="53"/>
      <c r="O649" s="53"/>
      <c r="P649" s="54"/>
      <c r="Q649" s="55"/>
      <c r="R649" s="56"/>
      <c r="S649" s="56"/>
      <c r="T649" s="53"/>
      <c r="U649" s="53"/>
      <c r="V649" s="56"/>
      <c r="W649" s="56"/>
      <c r="X649" s="53"/>
      <c r="Y649" s="54"/>
      <c r="Z649" s="56"/>
      <c r="AA649" s="57"/>
      <c r="AB649" s="57"/>
      <c r="AC649" s="58"/>
      <c r="AD649" s="57"/>
      <c r="AE649" s="56"/>
      <c r="AF649" s="56"/>
      <c r="AG649" s="56"/>
      <c r="AH649" s="56"/>
      <c r="AI649" s="57"/>
      <c r="AJ649" s="59"/>
      <c r="AK649" s="60"/>
      <c r="AL649" s="60"/>
      <c r="AM649" s="61"/>
      <c r="AN649" s="62"/>
      <c r="AO649" s="60"/>
      <c r="AP649" s="60"/>
      <c r="AQ649" s="18"/>
    </row>
    <row r="650">
      <c r="A650" s="72"/>
      <c r="B650" s="46"/>
      <c r="C650" s="46" t="str">
        <f>IFERROR((VLOOKUP(LEFT($A650,4),Setor!$A:$E,3,0)),"")</f>
        <v/>
      </c>
      <c r="D650" s="46" t="str">
        <f>IFERROR((VLOOKUP(LEFT($A650,4),Setor!$A:$E,4,0)),"")</f>
        <v/>
      </c>
      <c r="E650" s="46" t="str">
        <f>IFERROR((VLOOKUP(LEFT($A650,4),Setor!$A:$E,5,0)),"")</f>
        <v/>
      </c>
      <c r="F650" s="47" t="str">
        <f>IFERROR(__xludf.DUMMYFUNCTION("IFERROR((GOOGLEFINANCE(A650)),"""")"),"")</f>
        <v/>
      </c>
      <c r="G650" s="47"/>
      <c r="H650" s="47"/>
      <c r="I650" s="47" t="str">
        <f>IFERROR(__xludf.DUMMYFUNCTION("IFERROR((GOOGLEFINANCE($A650,""high52"")),"""")"),"")</f>
        <v/>
      </c>
      <c r="J650" s="51"/>
      <c r="K650" s="51"/>
      <c r="L650" s="51"/>
      <c r="M650" s="52"/>
      <c r="N650" s="53"/>
      <c r="O650" s="53"/>
      <c r="P650" s="54"/>
      <c r="Q650" s="55"/>
      <c r="R650" s="56"/>
      <c r="S650" s="56"/>
      <c r="T650" s="53"/>
      <c r="U650" s="53"/>
      <c r="V650" s="56"/>
      <c r="W650" s="56"/>
      <c r="X650" s="53"/>
      <c r="Y650" s="54"/>
      <c r="Z650" s="56"/>
      <c r="AA650" s="57"/>
      <c r="AB650" s="57"/>
      <c r="AC650" s="58"/>
      <c r="AD650" s="57"/>
      <c r="AE650" s="56"/>
      <c r="AF650" s="56"/>
      <c r="AG650" s="56"/>
      <c r="AH650" s="56"/>
      <c r="AI650" s="57"/>
      <c r="AJ650" s="59"/>
      <c r="AK650" s="60"/>
      <c r="AL650" s="60"/>
      <c r="AM650" s="61"/>
      <c r="AN650" s="62"/>
      <c r="AO650" s="60"/>
      <c r="AP650" s="60"/>
      <c r="AQ650" s="18"/>
    </row>
    <row r="651">
      <c r="A651" s="72"/>
      <c r="B651" s="46"/>
      <c r="C651" s="46" t="str">
        <f>IFERROR((VLOOKUP(LEFT($A651,4),Setor!$A:$E,3,0)),"")</f>
        <v/>
      </c>
      <c r="D651" s="46" t="str">
        <f>IFERROR((VLOOKUP(LEFT($A651,4),Setor!$A:$E,4,0)),"")</f>
        <v/>
      </c>
      <c r="E651" s="46" t="str">
        <f>IFERROR((VLOOKUP(LEFT($A651,4),Setor!$A:$E,5,0)),"")</f>
        <v/>
      </c>
      <c r="F651" s="47" t="str">
        <f>IFERROR(__xludf.DUMMYFUNCTION("IFERROR((GOOGLEFINANCE(A651)),"""")"),"")</f>
        <v/>
      </c>
      <c r="G651" s="47"/>
      <c r="H651" s="47"/>
      <c r="I651" s="47" t="str">
        <f>IFERROR(__xludf.DUMMYFUNCTION("IFERROR((GOOGLEFINANCE($A651,""high52"")),"""")"),"")</f>
        <v/>
      </c>
      <c r="J651" s="51"/>
      <c r="K651" s="51"/>
      <c r="L651" s="51"/>
      <c r="M651" s="52"/>
      <c r="N651" s="53"/>
      <c r="O651" s="53"/>
      <c r="P651" s="54"/>
      <c r="Q651" s="55"/>
      <c r="R651" s="56"/>
      <c r="S651" s="56"/>
      <c r="T651" s="53"/>
      <c r="U651" s="53"/>
      <c r="V651" s="56"/>
      <c r="W651" s="56"/>
      <c r="X651" s="53"/>
      <c r="Y651" s="54"/>
      <c r="Z651" s="56"/>
      <c r="AA651" s="57"/>
      <c r="AB651" s="57"/>
      <c r="AC651" s="58"/>
      <c r="AD651" s="57"/>
      <c r="AE651" s="56"/>
      <c r="AF651" s="56"/>
      <c r="AG651" s="56"/>
      <c r="AH651" s="56"/>
      <c r="AI651" s="57"/>
      <c r="AJ651" s="59"/>
      <c r="AK651" s="60"/>
      <c r="AL651" s="60"/>
      <c r="AM651" s="61"/>
      <c r="AN651" s="62"/>
      <c r="AO651" s="60"/>
      <c r="AP651" s="60"/>
      <c r="AQ651" s="18"/>
    </row>
    <row r="652">
      <c r="A652" s="72"/>
      <c r="B652" s="46"/>
      <c r="C652" s="46" t="str">
        <f>IFERROR((VLOOKUP(LEFT($A652,4),Setor!$A:$E,3,0)),"")</f>
        <v/>
      </c>
      <c r="D652" s="46" t="str">
        <f>IFERROR((VLOOKUP(LEFT($A652,4),Setor!$A:$E,4,0)),"")</f>
        <v/>
      </c>
      <c r="E652" s="46" t="str">
        <f>IFERROR((VLOOKUP(LEFT($A652,4),Setor!$A:$E,5,0)),"")</f>
        <v/>
      </c>
      <c r="F652" s="47" t="str">
        <f>IFERROR(__xludf.DUMMYFUNCTION("IFERROR((GOOGLEFINANCE(A652)),"""")"),"")</f>
        <v/>
      </c>
      <c r="G652" s="47"/>
      <c r="H652" s="47"/>
      <c r="I652" s="47" t="str">
        <f>IFERROR(__xludf.DUMMYFUNCTION("IFERROR((GOOGLEFINANCE($A652,""high52"")),"""")"),"")</f>
        <v/>
      </c>
      <c r="J652" s="51"/>
      <c r="K652" s="51"/>
      <c r="L652" s="51"/>
      <c r="M652" s="52"/>
      <c r="N652" s="53"/>
      <c r="O652" s="53"/>
      <c r="P652" s="54"/>
      <c r="Q652" s="55"/>
      <c r="R652" s="56"/>
      <c r="S652" s="56"/>
      <c r="T652" s="53"/>
      <c r="U652" s="53"/>
      <c r="V652" s="56"/>
      <c r="W652" s="56"/>
      <c r="X652" s="53"/>
      <c r="Y652" s="54"/>
      <c r="Z652" s="56"/>
      <c r="AA652" s="57"/>
      <c r="AB652" s="57"/>
      <c r="AC652" s="58"/>
      <c r="AD652" s="57"/>
      <c r="AE652" s="56"/>
      <c r="AF652" s="56"/>
      <c r="AG652" s="56"/>
      <c r="AH652" s="56"/>
      <c r="AI652" s="57"/>
      <c r="AJ652" s="59"/>
      <c r="AK652" s="60"/>
      <c r="AL652" s="60"/>
      <c r="AM652" s="61"/>
      <c r="AN652" s="62"/>
      <c r="AO652" s="60"/>
      <c r="AP652" s="60"/>
      <c r="AQ652" s="18"/>
    </row>
    <row r="653">
      <c r="A653" s="72"/>
      <c r="B653" s="46"/>
      <c r="C653" s="46" t="str">
        <f>IFERROR((VLOOKUP(LEFT($A653,4),Setor!$A:$E,3,0)),"")</f>
        <v/>
      </c>
      <c r="D653" s="46" t="str">
        <f>IFERROR((VLOOKUP(LEFT($A653,4),Setor!$A:$E,4,0)),"")</f>
        <v/>
      </c>
      <c r="E653" s="46" t="str">
        <f>IFERROR((VLOOKUP(LEFT($A653,4),Setor!$A:$E,5,0)),"")</f>
        <v/>
      </c>
      <c r="F653" s="47" t="str">
        <f>IFERROR(__xludf.DUMMYFUNCTION("IFERROR((GOOGLEFINANCE(A653)),"""")"),"")</f>
        <v/>
      </c>
      <c r="G653" s="47"/>
      <c r="H653" s="47"/>
      <c r="I653" s="47" t="str">
        <f>IFERROR(__xludf.DUMMYFUNCTION("IFERROR((GOOGLEFINANCE($A653,""high52"")),"""")"),"")</f>
        <v/>
      </c>
      <c r="J653" s="51"/>
      <c r="K653" s="51"/>
      <c r="L653" s="51"/>
      <c r="M653" s="52"/>
      <c r="N653" s="53"/>
      <c r="O653" s="53"/>
      <c r="P653" s="54"/>
      <c r="Q653" s="55"/>
      <c r="R653" s="56"/>
      <c r="S653" s="56"/>
      <c r="T653" s="53"/>
      <c r="U653" s="53"/>
      <c r="V653" s="56"/>
      <c r="W653" s="56"/>
      <c r="X653" s="53"/>
      <c r="Y653" s="54"/>
      <c r="Z653" s="56"/>
      <c r="AA653" s="57"/>
      <c r="AB653" s="57"/>
      <c r="AC653" s="58"/>
      <c r="AD653" s="57"/>
      <c r="AE653" s="56"/>
      <c r="AF653" s="56"/>
      <c r="AG653" s="56"/>
      <c r="AH653" s="56"/>
      <c r="AI653" s="57"/>
      <c r="AJ653" s="59"/>
      <c r="AK653" s="60"/>
      <c r="AL653" s="60"/>
      <c r="AM653" s="61"/>
      <c r="AN653" s="62"/>
      <c r="AO653" s="60"/>
      <c r="AP653" s="60"/>
      <c r="AQ653" s="18"/>
    </row>
    <row r="654">
      <c r="A654" s="72"/>
      <c r="B654" s="46"/>
      <c r="C654" s="46" t="str">
        <f>IFERROR((VLOOKUP(LEFT($A654,4),Setor!$A:$E,3,0)),"")</f>
        <v/>
      </c>
      <c r="D654" s="46" t="str">
        <f>IFERROR((VLOOKUP(LEFT($A654,4),Setor!$A:$E,4,0)),"")</f>
        <v/>
      </c>
      <c r="E654" s="46" t="str">
        <f>IFERROR((VLOOKUP(LEFT($A654,4),Setor!$A:$E,5,0)),"")</f>
        <v/>
      </c>
      <c r="F654" s="47" t="str">
        <f>IFERROR(__xludf.DUMMYFUNCTION("IFERROR((GOOGLEFINANCE(A654)),"""")"),"")</f>
        <v/>
      </c>
      <c r="G654" s="47"/>
      <c r="H654" s="47"/>
      <c r="I654" s="47" t="str">
        <f>IFERROR(__xludf.DUMMYFUNCTION("IFERROR((GOOGLEFINANCE($A654,""high52"")),"""")"),"")</f>
        <v/>
      </c>
      <c r="J654" s="51"/>
      <c r="K654" s="51"/>
      <c r="L654" s="51"/>
      <c r="M654" s="52"/>
      <c r="N654" s="53"/>
      <c r="O654" s="53"/>
      <c r="P654" s="54"/>
      <c r="Q654" s="55"/>
      <c r="R654" s="56"/>
      <c r="S654" s="56"/>
      <c r="T654" s="53"/>
      <c r="U654" s="53"/>
      <c r="V654" s="56"/>
      <c r="W654" s="56"/>
      <c r="X654" s="53"/>
      <c r="Y654" s="54"/>
      <c r="Z654" s="56"/>
      <c r="AA654" s="57"/>
      <c r="AB654" s="57"/>
      <c r="AC654" s="58"/>
      <c r="AD654" s="57"/>
      <c r="AE654" s="56"/>
      <c r="AF654" s="56"/>
      <c r="AG654" s="56"/>
      <c r="AH654" s="56"/>
      <c r="AI654" s="57"/>
      <c r="AJ654" s="59"/>
      <c r="AK654" s="60"/>
      <c r="AL654" s="60"/>
      <c r="AM654" s="61"/>
      <c r="AN654" s="62"/>
      <c r="AO654" s="60"/>
      <c r="AP654" s="60"/>
      <c r="AQ654" s="18"/>
    </row>
    <row r="655">
      <c r="A655" s="72"/>
      <c r="B655" s="46"/>
      <c r="C655" s="46" t="str">
        <f>IFERROR((VLOOKUP(LEFT($A655,4),Setor!$A:$E,3,0)),"")</f>
        <v/>
      </c>
      <c r="D655" s="46" t="str">
        <f>IFERROR((VLOOKUP(LEFT($A655,4),Setor!$A:$E,4,0)),"")</f>
        <v/>
      </c>
      <c r="E655" s="46" t="str">
        <f>IFERROR((VLOOKUP(LEFT($A655,4),Setor!$A:$E,5,0)),"")</f>
        <v/>
      </c>
      <c r="F655" s="47" t="str">
        <f>IFERROR(__xludf.DUMMYFUNCTION("IFERROR((GOOGLEFINANCE(A655)),"""")"),"")</f>
        <v/>
      </c>
      <c r="G655" s="47"/>
      <c r="H655" s="47"/>
      <c r="I655" s="47" t="str">
        <f>IFERROR(__xludf.DUMMYFUNCTION("IFERROR((GOOGLEFINANCE($A655,""high52"")),"""")"),"")</f>
        <v/>
      </c>
      <c r="J655" s="51"/>
      <c r="K655" s="51"/>
      <c r="L655" s="51"/>
      <c r="M655" s="52"/>
      <c r="N655" s="53"/>
      <c r="O655" s="53"/>
      <c r="P655" s="54"/>
      <c r="Q655" s="55"/>
      <c r="R655" s="56"/>
      <c r="S655" s="56"/>
      <c r="T655" s="53"/>
      <c r="U655" s="53"/>
      <c r="V655" s="56"/>
      <c r="W655" s="56"/>
      <c r="X655" s="53"/>
      <c r="Y655" s="54"/>
      <c r="Z655" s="56"/>
      <c r="AA655" s="57"/>
      <c r="AB655" s="57"/>
      <c r="AC655" s="58"/>
      <c r="AD655" s="57"/>
      <c r="AE655" s="56"/>
      <c r="AF655" s="56"/>
      <c r="AG655" s="56"/>
      <c r="AH655" s="56"/>
      <c r="AI655" s="57"/>
      <c r="AJ655" s="59"/>
      <c r="AK655" s="60"/>
      <c r="AL655" s="60"/>
      <c r="AM655" s="61"/>
      <c r="AN655" s="62"/>
      <c r="AO655" s="60"/>
      <c r="AP655" s="60"/>
      <c r="AQ655" s="18"/>
    </row>
    <row r="656">
      <c r="A656" s="72"/>
      <c r="B656" s="46"/>
      <c r="C656" s="46" t="str">
        <f>IFERROR((VLOOKUP(LEFT($A656,4),Setor!$A:$E,3,0)),"")</f>
        <v/>
      </c>
      <c r="D656" s="46" t="str">
        <f>IFERROR((VLOOKUP(LEFT($A656,4),Setor!$A:$E,4,0)),"")</f>
        <v/>
      </c>
      <c r="E656" s="46" t="str">
        <f>IFERROR((VLOOKUP(LEFT($A656,4),Setor!$A:$E,5,0)),"")</f>
        <v/>
      </c>
      <c r="F656" s="47" t="str">
        <f>IFERROR(__xludf.DUMMYFUNCTION("IFERROR((GOOGLEFINANCE(A656)),"""")"),"")</f>
        <v/>
      </c>
      <c r="G656" s="47"/>
      <c r="H656" s="47"/>
      <c r="I656" s="47" t="str">
        <f>IFERROR(__xludf.DUMMYFUNCTION("IFERROR((GOOGLEFINANCE($A656,""high52"")),"""")"),"")</f>
        <v/>
      </c>
      <c r="J656" s="51"/>
      <c r="K656" s="51"/>
      <c r="L656" s="51"/>
      <c r="M656" s="52"/>
      <c r="N656" s="53"/>
      <c r="O656" s="53"/>
      <c r="P656" s="54"/>
      <c r="Q656" s="55"/>
      <c r="R656" s="56"/>
      <c r="S656" s="56"/>
      <c r="T656" s="53"/>
      <c r="U656" s="53"/>
      <c r="V656" s="56"/>
      <c r="W656" s="56"/>
      <c r="X656" s="53"/>
      <c r="Y656" s="54"/>
      <c r="Z656" s="56"/>
      <c r="AA656" s="57"/>
      <c r="AB656" s="57"/>
      <c r="AC656" s="58"/>
      <c r="AD656" s="57"/>
      <c r="AE656" s="56"/>
      <c r="AF656" s="56"/>
      <c r="AG656" s="56"/>
      <c r="AH656" s="56"/>
      <c r="AI656" s="57"/>
      <c r="AJ656" s="59"/>
      <c r="AK656" s="60"/>
      <c r="AL656" s="60"/>
      <c r="AM656" s="61"/>
      <c r="AN656" s="62"/>
      <c r="AO656" s="60"/>
      <c r="AP656" s="60"/>
      <c r="AQ656" s="18"/>
    </row>
    <row r="657">
      <c r="A657" s="72"/>
      <c r="B657" s="46"/>
      <c r="C657" s="46" t="str">
        <f>IFERROR((VLOOKUP(LEFT($A657,4),Setor!$A:$E,3,0)),"")</f>
        <v/>
      </c>
      <c r="D657" s="46" t="str">
        <f>IFERROR((VLOOKUP(LEFT($A657,4),Setor!$A:$E,4,0)),"")</f>
        <v/>
      </c>
      <c r="E657" s="46" t="str">
        <f>IFERROR((VLOOKUP(LEFT($A657,4),Setor!$A:$E,5,0)),"")</f>
        <v/>
      </c>
      <c r="F657" s="47" t="str">
        <f>IFERROR(__xludf.DUMMYFUNCTION("IFERROR((GOOGLEFINANCE(A657)),"""")"),"")</f>
        <v/>
      </c>
      <c r="G657" s="47"/>
      <c r="H657" s="47"/>
      <c r="I657" s="47" t="str">
        <f>IFERROR(__xludf.DUMMYFUNCTION("IFERROR((GOOGLEFINANCE($A657,""high52"")),"""")"),"")</f>
        <v/>
      </c>
      <c r="J657" s="51"/>
      <c r="K657" s="51"/>
      <c r="L657" s="51"/>
      <c r="M657" s="52"/>
      <c r="N657" s="53"/>
      <c r="O657" s="53"/>
      <c r="P657" s="54"/>
      <c r="Q657" s="55"/>
      <c r="R657" s="56"/>
      <c r="S657" s="56"/>
      <c r="T657" s="53"/>
      <c r="U657" s="53"/>
      <c r="V657" s="56"/>
      <c r="W657" s="56"/>
      <c r="X657" s="53"/>
      <c r="Y657" s="54"/>
      <c r="Z657" s="56"/>
      <c r="AA657" s="57"/>
      <c r="AB657" s="57"/>
      <c r="AC657" s="58"/>
      <c r="AD657" s="57"/>
      <c r="AE657" s="56"/>
      <c r="AF657" s="56"/>
      <c r="AG657" s="56"/>
      <c r="AH657" s="56"/>
      <c r="AI657" s="57"/>
      <c r="AJ657" s="59"/>
      <c r="AK657" s="60"/>
      <c r="AL657" s="60"/>
      <c r="AM657" s="61"/>
      <c r="AN657" s="62"/>
      <c r="AO657" s="60"/>
      <c r="AP657" s="60"/>
      <c r="AQ657" s="18"/>
    </row>
    <row r="658">
      <c r="A658" s="72"/>
      <c r="B658" s="46"/>
      <c r="C658" s="46" t="str">
        <f>IFERROR((VLOOKUP(LEFT($A658,4),Setor!$A:$E,3,0)),"")</f>
        <v/>
      </c>
      <c r="D658" s="46" t="str">
        <f>IFERROR((VLOOKUP(LEFT($A658,4),Setor!$A:$E,4,0)),"")</f>
        <v/>
      </c>
      <c r="E658" s="46" t="str">
        <f>IFERROR((VLOOKUP(LEFT($A658,4),Setor!$A:$E,5,0)),"")</f>
        <v/>
      </c>
      <c r="F658" s="47" t="str">
        <f>IFERROR(__xludf.DUMMYFUNCTION("IFERROR((GOOGLEFINANCE(A658)),"""")"),"")</f>
        <v/>
      </c>
      <c r="G658" s="47"/>
      <c r="H658" s="47"/>
      <c r="I658" s="47" t="str">
        <f>IFERROR(__xludf.DUMMYFUNCTION("IFERROR((GOOGLEFINANCE($A658,""high52"")),"""")"),"")</f>
        <v/>
      </c>
      <c r="J658" s="51"/>
      <c r="K658" s="51"/>
      <c r="L658" s="51"/>
      <c r="M658" s="52"/>
      <c r="N658" s="53"/>
      <c r="O658" s="53"/>
      <c r="P658" s="54"/>
      <c r="Q658" s="55"/>
      <c r="R658" s="56"/>
      <c r="S658" s="56"/>
      <c r="T658" s="53"/>
      <c r="U658" s="53"/>
      <c r="V658" s="56"/>
      <c r="W658" s="56"/>
      <c r="X658" s="53"/>
      <c r="Y658" s="54"/>
      <c r="Z658" s="56"/>
      <c r="AA658" s="57"/>
      <c r="AB658" s="57"/>
      <c r="AC658" s="58"/>
      <c r="AD658" s="57"/>
      <c r="AE658" s="56"/>
      <c r="AF658" s="56"/>
      <c r="AG658" s="56"/>
      <c r="AH658" s="56"/>
      <c r="AI658" s="57"/>
      <c r="AJ658" s="59"/>
      <c r="AK658" s="60"/>
      <c r="AL658" s="60"/>
      <c r="AM658" s="61"/>
      <c r="AN658" s="62"/>
      <c r="AO658" s="60"/>
      <c r="AP658" s="60"/>
      <c r="AQ658" s="18"/>
    </row>
    <row r="659">
      <c r="A659" s="72"/>
      <c r="B659" s="46"/>
      <c r="C659" s="46" t="str">
        <f>IFERROR((VLOOKUP(LEFT($A659,4),Setor!$A:$E,3,0)),"")</f>
        <v/>
      </c>
      <c r="D659" s="46" t="str">
        <f>IFERROR((VLOOKUP(LEFT($A659,4),Setor!$A:$E,4,0)),"")</f>
        <v/>
      </c>
      <c r="E659" s="46" t="str">
        <f>IFERROR((VLOOKUP(LEFT($A659,4),Setor!$A:$E,5,0)),"")</f>
        <v/>
      </c>
      <c r="F659" s="47" t="str">
        <f>IFERROR(__xludf.DUMMYFUNCTION("IFERROR((GOOGLEFINANCE(A659)),"""")"),"")</f>
        <v/>
      </c>
      <c r="G659" s="47"/>
      <c r="H659" s="47"/>
      <c r="I659" s="47" t="str">
        <f>IFERROR(__xludf.DUMMYFUNCTION("IFERROR((GOOGLEFINANCE($A659,""high52"")),"""")"),"")</f>
        <v/>
      </c>
      <c r="J659" s="51"/>
      <c r="K659" s="51"/>
      <c r="L659" s="51"/>
      <c r="M659" s="52"/>
      <c r="N659" s="53"/>
      <c r="O659" s="53"/>
      <c r="P659" s="54"/>
      <c r="Q659" s="55"/>
      <c r="R659" s="56"/>
      <c r="S659" s="56"/>
      <c r="T659" s="53"/>
      <c r="U659" s="53"/>
      <c r="V659" s="56"/>
      <c r="W659" s="56"/>
      <c r="X659" s="53"/>
      <c r="Y659" s="54"/>
      <c r="Z659" s="56"/>
      <c r="AA659" s="57"/>
      <c r="AB659" s="57"/>
      <c r="AC659" s="58"/>
      <c r="AD659" s="57"/>
      <c r="AE659" s="56"/>
      <c r="AF659" s="56"/>
      <c r="AG659" s="56"/>
      <c r="AH659" s="56"/>
      <c r="AI659" s="57"/>
      <c r="AJ659" s="59"/>
      <c r="AK659" s="60"/>
      <c r="AL659" s="60"/>
      <c r="AM659" s="61"/>
      <c r="AN659" s="62"/>
      <c r="AO659" s="60"/>
      <c r="AP659" s="60"/>
      <c r="AQ659" s="18"/>
    </row>
    <row r="660">
      <c r="A660" s="72"/>
      <c r="B660" s="46"/>
      <c r="C660" s="46" t="str">
        <f>IFERROR((VLOOKUP(LEFT($A660,4),Setor!$A:$E,3,0)),"")</f>
        <v/>
      </c>
      <c r="D660" s="46" t="str">
        <f>IFERROR((VLOOKUP(LEFT($A660,4),Setor!$A:$E,4,0)),"")</f>
        <v/>
      </c>
      <c r="E660" s="46" t="str">
        <f>IFERROR((VLOOKUP(LEFT($A660,4),Setor!$A:$E,5,0)),"")</f>
        <v/>
      </c>
      <c r="F660" s="47" t="str">
        <f>IFERROR(__xludf.DUMMYFUNCTION("IFERROR((GOOGLEFINANCE(A660)),"""")"),"")</f>
        <v/>
      </c>
      <c r="G660" s="47"/>
      <c r="H660" s="47"/>
      <c r="I660" s="47" t="str">
        <f>IFERROR(__xludf.DUMMYFUNCTION("IFERROR((GOOGLEFINANCE($A660,""high52"")),"""")"),"")</f>
        <v/>
      </c>
      <c r="J660" s="51"/>
      <c r="K660" s="51"/>
      <c r="L660" s="51"/>
      <c r="M660" s="52"/>
      <c r="N660" s="53"/>
      <c r="O660" s="53"/>
      <c r="P660" s="54"/>
      <c r="Q660" s="55"/>
      <c r="R660" s="56"/>
      <c r="S660" s="56"/>
      <c r="T660" s="53"/>
      <c r="U660" s="53"/>
      <c r="V660" s="56"/>
      <c r="W660" s="56"/>
      <c r="X660" s="53"/>
      <c r="Y660" s="54"/>
      <c r="Z660" s="56"/>
      <c r="AA660" s="57"/>
      <c r="AB660" s="57"/>
      <c r="AC660" s="58"/>
      <c r="AD660" s="57"/>
      <c r="AE660" s="56"/>
      <c r="AF660" s="56"/>
      <c r="AG660" s="56"/>
      <c r="AH660" s="56"/>
      <c r="AI660" s="57"/>
      <c r="AJ660" s="59"/>
      <c r="AK660" s="60"/>
      <c r="AL660" s="60"/>
      <c r="AM660" s="61"/>
      <c r="AN660" s="62"/>
      <c r="AO660" s="60"/>
      <c r="AP660" s="60"/>
      <c r="AQ660" s="18"/>
    </row>
    <row r="661">
      <c r="A661" s="72"/>
      <c r="B661" s="46"/>
      <c r="C661" s="46" t="str">
        <f>IFERROR((VLOOKUP(LEFT($A661,4),Setor!$A:$E,3,0)),"")</f>
        <v/>
      </c>
      <c r="D661" s="46" t="str">
        <f>IFERROR((VLOOKUP(LEFT($A661,4),Setor!$A:$E,4,0)),"")</f>
        <v/>
      </c>
      <c r="E661" s="46" t="str">
        <f>IFERROR((VLOOKUP(LEFT($A661,4),Setor!$A:$E,5,0)),"")</f>
        <v/>
      </c>
      <c r="F661" s="47" t="str">
        <f>IFERROR(__xludf.DUMMYFUNCTION("IFERROR((GOOGLEFINANCE(A661)),"""")"),"")</f>
        <v/>
      </c>
      <c r="G661" s="47"/>
      <c r="H661" s="47"/>
      <c r="I661" s="47" t="str">
        <f>IFERROR(__xludf.DUMMYFUNCTION("IFERROR((GOOGLEFINANCE($A661,""high52"")),"""")"),"")</f>
        <v/>
      </c>
      <c r="J661" s="51"/>
      <c r="K661" s="51"/>
      <c r="L661" s="51"/>
      <c r="M661" s="52"/>
      <c r="N661" s="53"/>
      <c r="O661" s="53"/>
      <c r="P661" s="54"/>
      <c r="Q661" s="55"/>
      <c r="R661" s="56"/>
      <c r="S661" s="56"/>
      <c r="T661" s="53"/>
      <c r="U661" s="53"/>
      <c r="V661" s="56"/>
      <c r="W661" s="56"/>
      <c r="X661" s="53"/>
      <c r="Y661" s="54"/>
      <c r="Z661" s="56"/>
      <c r="AA661" s="57"/>
      <c r="AB661" s="57"/>
      <c r="AC661" s="58"/>
      <c r="AD661" s="57"/>
      <c r="AE661" s="56"/>
      <c r="AF661" s="56"/>
      <c r="AG661" s="56"/>
      <c r="AH661" s="56"/>
      <c r="AI661" s="57"/>
      <c r="AJ661" s="59"/>
      <c r="AK661" s="60"/>
      <c r="AL661" s="60"/>
      <c r="AM661" s="61"/>
      <c r="AN661" s="62"/>
      <c r="AO661" s="60"/>
      <c r="AP661" s="60"/>
      <c r="AQ661" s="18"/>
    </row>
    <row r="662">
      <c r="A662" s="72"/>
      <c r="B662" s="46"/>
      <c r="C662" s="46" t="str">
        <f>IFERROR((VLOOKUP(LEFT($A662,4),Setor!$A:$E,3,0)),"")</f>
        <v/>
      </c>
      <c r="D662" s="46" t="str">
        <f>IFERROR((VLOOKUP(LEFT($A662,4),Setor!$A:$E,4,0)),"")</f>
        <v/>
      </c>
      <c r="E662" s="46" t="str">
        <f>IFERROR((VLOOKUP(LEFT($A662,4),Setor!$A:$E,5,0)),"")</f>
        <v/>
      </c>
      <c r="F662" s="47" t="str">
        <f>IFERROR(__xludf.DUMMYFUNCTION("IFERROR((GOOGLEFINANCE(A662)),"""")"),"")</f>
        <v/>
      </c>
      <c r="G662" s="47"/>
      <c r="H662" s="47"/>
      <c r="I662" s="47" t="str">
        <f>IFERROR(__xludf.DUMMYFUNCTION("IFERROR((GOOGLEFINANCE($A662,""high52"")),"""")"),"")</f>
        <v/>
      </c>
      <c r="J662" s="51"/>
      <c r="K662" s="51"/>
      <c r="L662" s="51"/>
      <c r="M662" s="52"/>
      <c r="N662" s="53"/>
      <c r="O662" s="53"/>
      <c r="P662" s="54"/>
      <c r="Q662" s="55"/>
      <c r="R662" s="56"/>
      <c r="S662" s="56"/>
      <c r="T662" s="53"/>
      <c r="U662" s="53"/>
      <c r="V662" s="56"/>
      <c r="W662" s="56"/>
      <c r="X662" s="53"/>
      <c r="Y662" s="54"/>
      <c r="Z662" s="56"/>
      <c r="AA662" s="57"/>
      <c r="AB662" s="57"/>
      <c r="AC662" s="58"/>
      <c r="AD662" s="57"/>
      <c r="AE662" s="56"/>
      <c r="AF662" s="56"/>
      <c r="AG662" s="56"/>
      <c r="AH662" s="56"/>
      <c r="AI662" s="57"/>
      <c r="AJ662" s="59"/>
      <c r="AK662" s="60"/>
      <c r="AL662" s="60"/>
      <c r="AM662" s="61"/>
      <c r="AN662" s="62"/>
      <c r="AO662" s="60"/>
      <c r="AP662" s="60"/>
      <c r="AQ662" s="18"/>
    </row>
    <row r="663">
      <c r="A663" s="72"/>
      <c r="B663" s="46"/>
      <c r="C663" s="46" t="str">
        <f>IFERROR((VLOOKUP(LEFT($A663,4),Setor!$A:$E,3,0)),"")</f>
        <v/>
      </c>
      <c r="D663" s="46" t="str">
        <f>IFERROR((VLOOKUP(LEFT($A663,4),Setor!$A:$E,4,0)),"")</f>
        <v/>
      </c>
      <c r="E663" s="46" t="str">
        <f>IFERROR((VLOOKUP(LEFT($A663,4),Setor!$A:$E,5,0)),"")</f>
        <v/>
      </c>
      <c r="F663" s="47" t="str">
        <f>IFERROR(__xludf.DUMMYFUNCTION("IFERROR((GOOGLEFINANCE(A663)),"""")"),"")</f>
        <v/>
      </c>
      <c r="G663" s="47"/>
      <c r="H663" s="47"/>
      <c r="I663" s="47" t="str">
        <f>IFERROR(__xludf.DUMMYFUNCTION("IFERROR((GOOGLEFINANCE($A663,""high52"")),"""")"),"")</f>
        <v/>
      </c>
      <c r="J663" s="51"/>
      <c r="K663" s="51"/>
      <c r="L663" s="51"/>
      <c r="M663" s="52"/>
      <c r="N663" s="53"/>
      <c r="O663" s="53"/>
      <c r="P663" s="54"/>
      <c r="Q663" s="55"/>
      <c r="R663" s="56"/>
      <c r="S663" s="56"/>
      <c r="T663" s="53"/>
      <c r="U663" s="53"/>
      <c r="V663" s="56"/>
      <c r="W663" s="56"/>
      <c r="X663" s="53"/>
      <c r="Y663" s="54"/>
      <c r="Z663" s="56"/>
      <c r="AA663" s="57"/>
      <c r="AB663" s="57"/>
      <c r="AC663" s="58"/>
      <c r="AD663" s="57"/>
      <c r="AE663" s="56"/>
      <c r="AF663" s="56"/>
      <c r="AG663" s="56"/>
      <c r="AH663" s="56"/>
      <c r="AI663" s="57"/>
      <c r="AJ663" s="59"/>
      <c r="AK663" s="60"/>
      <c r="AL663" s="60"/>
      <c r="AM663" s="61"/>
      <c r="AN663" s="62"/>
      <c r="AO663" s="60"/>
      <c r="AP663" s="60"/>
      <c r="AQ663" s="18"/>
    </row>
    <row r="664">
      <c r="A664" s="72"/>
      <c r="B664" s="46"/>
      <c r="C664" s="46" t="str">
        <f>IFERROR((VLOOKUP(LEFT($A664,4),Setor!$A:$E,3,0)),"")</f>
        <v/>
      </c>
      <c r="D664" s="46" t="str">
        <f>IFERROR((VLOOKUP(LEFT($A664,4),Setor!$A:$E,4,0)),"")</f>
        <v/>
      </c>
      <c r="E664" s="46" t="str">
        <f>IFERROR((VLOOKUP(LEFT($A664,4),Setor!$A:$E,5,0)),"")</f>
        <v/>
      </c>
      <c r="F664" s="47" t="str">
        <f>IFERROR(__xludf.DUMMYFUNCTION("IFERROR((GOOGLEFINANCE(A664)),"""")"),"")</f>
        <v/>
      </c>
      <c r="G664" s="47"/>
      <c r="H664" s="47"/>
      <c r="I664" s="47" t="str">
        <f>IFERROR(__xludf.DUMMYFUNCTION("IFERROR((GOOGLEFINANCE($A664,""high52"")),"""")"),"")</f>
        <v/>
      </c>
      <c r="J664" s="51"/>
      <c r="K664" s="51"/>
      <c r="L664" s="51"/>
      <c r="M664" s="52"/>
      <c r="N664" s="53"/>
      <c r="O664" s="53"/>
      <c r="P664" s="54"/>
      <c r="Q664" s="55"/>
      <c r="R664" s="56"/>
      <c r="S664" s="56"/>
      <c r="T664" s="53"/>
      <c r="U664" s="53"/>
      <c r="V664" s="56"/>
      <c r="W664" s="56"/>
      <c r="X664" s="53"/>
      <c r="Y664" s="54"/>
      <c r="Z664" s="56"/>
      <c r="AA664" s="57"/>
      <c r="AB664" s="57"/>
      <c r="AC664" s="58"/>
      <c r="AD664" s="57"/>
      <c r="AE664" s="56"/>
      <c r="AF664" s="56"/>
      <c r="AG664" s="56"/>
      <c r="AH664" s="56"/>
      <c r="AI664" s="57"/>
      <c r="AJ664" s="59"/>
      <c r="AK664" s="60"/>
      <c r="AL664" s="60"/>
      <c r="AM664" s="61"/>
      <c r="AN664" s="62"/>
      <c r="AO664" s="60"/>
      <c r="AP664" s="60"/>
      <c r="AQ664" s="18"/>
    </row>
    <row r="665">
      <c r="A665" s="72"/>
      <c r="B665" s="46"/>
      <c r="C665" s="46" t="str">
        <f>IFERROR((VLOOKUP(LEFT($A665,4),Setor!$A:$E,3,0)),"")</f>
        <v/>
      </c>
      <c r="D665" s="46" t="str">
        <f>IFERROR((VLOOKUP(LEFT($A665,4),Setor!$A:$E,4,0)),"")</f>
        <v/>
      </c>
      <c r="E665" s="46" t="str">
        <f>IFERROR((VLOOKUP(LEFT($A665,4),Setor!$A:$E,5,0)),"")</f>
        <v/>
      </c>
      <c r="F665" s="47" t="str">
        <f>IFERROR(__xludf.DUMMYFUNCTION("IFERROR((GOOGLEFINANCE(A665)),"""")"),"")</f>
        <v/>
      </c>
      <c r="G665" s="47"/>
      <c r="H665" s="47"/>
      <c r="I665" s="47" t="str">
        <f>IFERROR(__xludf.DUMMYFUNCTION("IFERROR((GOOGLEFINANCE($A665,""high52"")),"""")"),"")</f>
        <v/>
      </c>
      <c r="J665" s="51"/>
      <c r="K665" s="51"/>
      <c r="L665" s="51"/>
      <c r="M665" s="52"/>
      <c r="N665" s="53"/>
      <c r="O665" s="53"/>
      <c r="P665" s="54"/>
      <c r="Q665" s="55"/>
      <c r="R665" s="56"/>
      <c r="S665" s="56"/>
      <c r="T665" s="53"/>
      <c r="U665" s="53"/>
      <c r="V665" s="56"/>
      <c r="W665" s="56"/>
      <c r="X665" s="53"/>
      <c r="Y665" s="54"/>
      <c r="Z665" s="56"/>
      <c r="AA665" s="57"/>
      <c r="AB665" s="57"/>
      <c r="AC665" s="58"/>
      <c r="AD665" s="57"/>
      <c r="AE665" s="56"/>
      <c r="AF665" s="56"/>
      <c r="AG665" s="56"/>
      <c r="AH665" s="56"/>
      <c r="AI665" s="57"/>
      <c r="AJ665" s="59"/>
      <c r="AK665" s="60"/>
      <c r="AL665" s="60"/>
      <c r="AM665" s="61"/>
      <c r="AN665" s="62"/>
      <c r="AO665" s="60"/>
      <c r="AP665" s="60"/>
      <c r="AQ665" s="18"/>
    </row>
    <row r="666">
      <c r="A666" s="72"/>
      <c r="B666" s="46"/>
      <c r="C666" s="46" t="str">
        <f>IFERROR((VLOOKUP(LEFT($A666,4),Setor!$A:$E,3,0)),"")</f>
        <v/>
      </c>
      <c r="D666" s="46" t="str">
        <f>IFERROR((VLOOKUP(LEFT($A666,4),Setor!$A:$E,4,0)),"")</f>
        <v/>
      </c>
      <c r="E666" s="46" t="str">
        <f>IFERROR((VLOOKUP(LEFT($A666,4),Setor!$A:$E,5,0)),"")</f>
        <v/>
      </c>
      <c r="F666" s="47" t="str">
        <f>IFERROR(__xludf.DUMMYFUNCTION("IFERROR((GOOGLEFINANCE(A666)),"""")"),"")</f>
        <v/>
      </c>
      <c r="G666" s="47"/>
      <c r="H666" s="47"/>
      <c r="I666" s="47" t="str">
        <f>IFERROR(__xludf.DUMMYFUNCTION("IFERROR((GOOGLEFINANCE($A666,""high52"")),"""")"),"")</f>
        <v/>
      </c>
      <c r="J666" s="51"/>
      <c r="K666" s="51"/>
      <c r="L666" s="51"/>
      <c r="M666" s="52"/>
      <c r="N666" s="53"/>
      <c r="O666" s="53"/>
      <c r="P666" s="54"/>
      <c r="Q666" s="55"/>
      <c r="R666" s="56"/>
      <c r="S666" s="56"/>
      <c r="T666" s="53"/>
      <c r="U666" s="53"/>
      <c r="V666" s="56"/>
      <c r="W666" s="56"/>
      <c r="X666" s="53"/>
      <c r="Y666" s="54"/>
      <c r="Z666" s="56"/>
      <c r="AA666" s="57"/>
      <c r="AB666" s="57"/>
      <c r="AC666" s="58"/>
      <c r="AD666" s="57"/>
      <c r="AE666" s="56"/>
      <c r="AF666" s="56"/>
      <c r="AG666" s="56"/>
      <c r="AH666" s="56"/>
      <c r="AI666" s="57"/>
      <c r="AJ666" s="59"/>
      <c r="AK666" s="60"/>
      <c r="AL666" s="60"/>
      <c r="AM666" s="61"/>
      <c r="AN666" s="62"/>
      <c r="AO666" s="60"/>
      <c r="AP666" s="60"/>
      <c r="AQ666" s="18"/>
    </row>
    <row r="667">
      <c r="A667" s="72"/>
      <c r="B667" s="46"/>
      <c r="C667" s="46" t="str">
        <f>IFERROR((VLOOKUP(LEFT($A667,4),Setor!$A:$E,3,0)),"")</f>
        <v/>
      </c>
      <c r="D667" s="46" t="str">
        <f>IFERROR((VLOOKUP(LEFT($A667,4),Setor!$A:$E,4,0)),"")</f>
        <v/>
      </c>
      <c r="E667" s="46" t="str">
        <f>IFERROR((VLOOKUP(LEFT($A667,4),Setor!$A:$E,5,0)),"")</f>
        <v/>
      </c>
      <c r="F667" s="47" t="str">
        <f>IFERROR(__xludf.DUMMYFUNCTION("IFERROR((GOOGLEFINANCE(A667)),"""")"),"")</f>
        <v/>
      </c>
      <c r="G667" s="47"/>
      <c r="H667" s="47"/>
      <c r="I667" s="47" t="str">
        <f>IFERROR(__xludf.DUMMYFUNCTION("IFERROR((GOOGLEFINANCE($A667,""high52"")),"""")"),"")</f>
        <v/>
      </c>
      <c r="J667" s="51"/>
      <c r="K667" s="51"/>
      <c r="L667" s="51"/>
      <c r="M667" s="52"/>
      <c r="N667" s="53"/>
      <c r="O667" s="53"/>
      <c r="P667" s="54"/>
      <c r="Q667" s="55"/>
      <c r="R667" s="56"/>
      <c r="S667" s="56"/>
      <c r="T667" s="53"/>
      <c r="U667" s="53"/>
      <c r="V667" s="56"/>
      <c r="W667" s="56"/>
      <c r="X667" s="53"/>
      <c r="Y667" s="54"/>
      <c r="Z667" s="56"/>
      <c r="AA667" s="57"/>
      <c r="AB667" s="57"/>
      <c r="AC667" s="58"/>
      <c r="AD667" s="57"/>
      <c r="AE667" s="56"/>
      <c r="AF667" s="56"/>
      <c r="AG667" s="56"/>
      <c r="AH667" s="56"/>
      <c r="AI667" s="57"/>
      <c r="AJ667" s="59"/>
      <c r="AK667" s="60"/>
      <c r="AL667" s="60"/>
      <c r="AM667" s="61"/>
      <c r="AN667" s="62"/>
      <c r="AO667" s="60"/>
      <c r="AP667" s="60"/>
      <c r="AQ667" s="18"/>
    </row>
    <row r="668">
      <c r="A668" s="72"/>
      <c r="B668" s="46"/>
      <c r="C668" s="46" t="str">
        <f>IFERROR((VLOOKUP(LEFT($A668,4),Setor!$A:$E,3,0)),"")</f>
        <v/>
      </c>
      <c r="D668" s="46" t="str">
        <f>IFERROR((VLOOKUP(LEFT($A668,4),Setor!$A:$E,4,0)),"")</f>
        <v/>
      </c>
      <c r="E668" s="46" t="str">
        <f>IFERROR((VLOOKUP(LEFT($A668,4),Setor!$A:$E,5,0)),"")</f>
        <v/>
      </c>
      <c r="F668" s="47" t="str">
        <f>IFERROR(__xludf.DUMMYFUNCTION("IFERROR((GOOGLEFINANCE(A668)),"""")"),"")</f>
        <v/>
      </c>
      <c r="G668" s="47"/>
      <c r="H668" s="47"/>
      <c r="I668" s="47" t="str">
        <f>IFERROR(__xludf.DUMMYFUNCTION("IFERROR((GOOGLEFINANCE($A668,""high52"")),"""")"),"")</f>
        <v/>
      </c>
      <c r="J668" s="51"/>
      <c r="K668" s="51"/>
      <c r="L668" s="51"/>
      <c r="M668" s="52"/>
      <c r="N668" s="53"/>
      <c r="O668" s="53"/>
      <c r="P668" s="54"/>
      <c r="Q668" s="55"/>
      <c r="R668" s="56"/>
      <c r="S668" s="56"/>
      <c r="T668" s="53"/>
      <c r="U668" s="53"/>
      <c r="V668" s="56"/>
      <c r="W668" s="56"/>
      <c r="X668" s="53"/>
      <c r="Y668" s="54"/>
      <c r="Z668" s="56"/>
      <c r="AA668" s="57"/>
      <c r="AB668" s="57"/>
      <c r="AC668" s="58"/>
      <c r="AD668" s="57"/>
      <c r="AE668" s="56"/>
      <c r="AF668" s="56"/>
      <c r="AG668" s="56"/>
      <c r="AH668" s="56"/>
      <c r="AI668" s="57"/>
      <c r="AJ668" s="59"/>
      <c r="AK668" s="60"/>
      <c r="AL668" s="60"/>
      <c r="AM668" s="61"/>
      <c r="AN668" s="62"/>
      <c r="AO668" s="60"/>
      <c r="AP668" s="60"/>
      <c r="AQ668" s="18"/>
    </row>
    <row r="669">
      <c r="A669" s="72"/>
      <c r="B669" s="46"/>
      <c r="C669" s="46" t="str">
        <f>IFERROR((VLOOKUP(LEFT($A669,4),Setor!$A:$E,3,0)),"")</f>
        <v/>
      </c>
      <c r="D669" s="46" t="str">
        <f>IFERROR((VLOOKUP(LEFT($A669,4),Setor!$A:$E,4,0)),"")</f>
        <v/>
      </c>
      <c r="E669" s="46" t="str">
        <f>IFERROR((VLOOKUP(LEFT($A669,4),Setor!$A:$E,5,0)),"")</f>
        <v/>
      </c>
      <c r="F669" s="47" t="str">
        <f>IFERROR(__xludf.DUMMYFUNCTION("IFERROR((GOOGLEFINANCE(A669)),"""")"),"")</f>
        <v/>
      </c>
      <c r="G669" s="47"/>
      <c r="H669" s="47"/>
      <c r="I669" s="47" t="str">
        <f>IFERROR(__xludf.DUMMYFUNCTION("IFERROR((GOOGLEFINANCE($A669,""high52"")),"""")"),"")</f>
        <v/>
      </c>
      <c r="J669" s="51"/>
      <c r="K669" s="51"/>
      <c r="L669" s="51"/>
      <c r="M669" s="52"/>
      <c r="N669" s="53"/>
      <c r="O669" s="53"/>
      <c r="P669" s="54"/>
      <c r="Q669" s="55"/>
      <c r="R669" s="56"/>
      <c r="S669" s="56"/>
      <c r="T669" s="53"/>
      <c r="U669" s="53"/>
      <c r="V669" s="56"/>
      <c r="W669" s="56"/>
      <c r="X669" s="53"/>
      <c r="Y669" s="54"/>
      <c r="Z669" s="56"/>
      <c r="AA669" s="57"/>
      <c r="AB669" s="57"/>
      <c r="AC669" s="58"/>
      <c r="AD669" s="57"/>
      <c r="AE669" s="56"/>
      <c r="AF669" s="56"/>
      <c r="AG669" s="56"/>
      <c r="AH669" s="56"/>
      <c r="AI669" s="57"/>
      <c r="AJ669" s="59"/>
      <c r="AK669" s="60"/>
      <c r="AL669" s="60"/>
      <c r="AM669" s="61"/>
      <c r="AN669" s="62"/>
      <c r="AO669" s="60"/>
      <c r="AP669" s="60"/>
      <c r="AQ669" s="18"/>
    </row>
    <row r="670">
      <c r="A670" s="72"/>
      <c r="B670" s="46"/>
      <c r="C670" s="46" t="str">
        <f>IFERROR((VLOOKUP(LEFT($A670,4),Setor!$A:$E,3,0)),"")</f>
        <v/>
      </c>
      <c r="D670" s="46" t="str">
        <f>IFERROR((VLOOKUP(LEFT($A670,4),Setor!$A:$E,4,0)),"")</f>
        <v/>
      </c>
      <c r="E670" s="46" t="str">
        <f>IFERROR((VLOOKUP(LEFT($A670,4),Setor!$A:$E,5,0)),"")</f>
        <v/>
      </c>
      <c r="F670" s="47" t="str">
        <f>IFERROR(__xludf.DUMMYFUNCTION("IFERROR((GOOGLEFINANCE(A670)),"""")"),"")</f>
        <v/>
      </c>
      <c r="G670" s="47"/>
      <c r="H670" s="47"/>
      <c r="I670" s="47" t="str">
        <f>IFERROR(__xludf.DUMMYFUNCTION("IFERROR((GOOGLEFINANCE($A670,""high52"")),"""")"),"")</f>
        <v/>
      </c>
      <c r="J670" s="51"/>
      <c r="K670" s="51"/>
      <c r="L670" s="51"/>
      <c r="M670" s="52"/>
      <c r="N670" s="53"/>
      <c r="O670" s="53"/>
      <c r="P670" s="54"/>
      <c r="Q670" s="55"/>
      <c r="R670" s="56"/>
      <c r="S670" s="56"/>
      <c r="T670" s="53"/>
      <c r="U670" s="53"/>
      <c r="V670" s="56"/>
      <c r="W670" s="56"/>
      <c r="X670" s="53"/>
      <c r="Y670" s="54"/>
      <c r="Z670" s="56"/>
      <c r="AA670" s="57"/>
      <c r="AB670" s="57"/>
      <c r="AC670" s="58"/>
      <c r="AD670" s="57"/>
      <c r="AE670" s="56"/>
      <c r="AF670" s="56"/>
      <c r="AG670" s="56"/>
      <c r="AH670" s="56"/>
      <c r="AI670" s="57"/>
      <c r="AJ670" s="59"/>
      <c r="AK670" s="60"/>
      <c r="AL670" s="60"/>
      <c r="AM670" s="61"/>
      <c r="AN670" s="62"/>
      <c r="AO670" s="60"/>
      <c r="AP670" s="60"/>
      <c r="AQ670" s="18"/>
    </row>
    <row r="671">
      <c r="A671" s="72"/>
      <c r="B671" s="46"/>
      <c r="C671" s="46" t="str">
        <f>IFERROR((VLOOKUP(LEFT($A671,4),Setor!$A:$E,3,0)),"")</f>
        <v/>
      </c>
      <c r="D671" s="46" t="str">
        <f>IFERROR((VLOOKUP(LEFT($A671,4),Setor!$A:$E,4,0)),"")</f>
        <v/>
      </c>
      <c r="E671" s="46" t="str">
        <f>IFERROR((VLOOKUP(LEFT($A671,4),Setor!$A:$E,5,0)),"")</f>
        <v/>
      </c>
      <c r="F671" s="47" t="str">
        <f>IFERROR(__xludf.DUMMYFUNCTION("IFERROR((GOOGLEFINANCE(A671)),"""")"),"")</f>
        <v/>
      </c>
      <c r="G671" s="47"/>
      <c r="H671" s="47"/>
      <c r="I671" s="47" t="str">
        <f>IFERROR(__xludf.DUMMYFUNCTION("IFERROR((GOOGLEFINANCE($A671,""high52"")),"""")"),"")</f>
        <v/>
      </c>
      <c r="J671" s="51"/>
      <c r="K671" s="51"/>
      <c r="L671" s="51"/>
      <c r="M671" s="52"/>
      <c r="N671" s="53"/>
      <c r="O671" s="53"/>
      <c r="P671" s="54"/>
      <c r="Q671" s="55"/>
      <c r="R671" s="56"/>
      <c r="S671" s="56"/>
      <c r="T671" s="53"/>
      <c r="U671" s="53"/>
      <c r="V671" s="56"/>
      <c r="W671" s="56"/>
      <c r="X671" s="53"/>
      <c r="Y671" s="54"/>
      <c r="Z671" s="56"/>
      <c r="AA671" s="57"/>
      <c r="AB671" s="57"/>
      <c r="AC671" s="58"/>
      <c r="AD671" s="57"/>
      <c r="AE671" s="56"/>
      <c r="AF671" s="56"/>
      <c r="AG671" s="56"/>
      <c r="AH671" s="56"/>
      <c r="AI671" s="57"/>
      <c r="AJ671" s="59"/>
      <c r="AK671" s="60"/>
      <c r="AL671" s="60"/>
      <c r="AM671" s="61"/>
      <c r="AN671" s="62"/>
      <c r="AO671" s="60"/>
      <c r="AP671" s="60"/>
      <c r="AQ671" s="18"/>
    </row>
    <row r="672">
      <c r="A672" s="72"/>
      <c r="B672" s="46"/>
      <c r="C672" s="46" t="str">
        <f>IFERROR((VLOOKUP(LEFT($A672,4),Setor!$A:$E,3,0)),"")</f>
        <v/>
      </c>
      <c r="D672" s="46" t="str">
        <f>IFERROR((VLOOKUP(LEFT($A672,4),Setor!$A:$E,4,0)),"")</f>
        <v/>
      </c>
      <c r="E672" s="46" t="str">
        <f>IFERROR((VLOOKUP(LEFT($A672,4),Setor!$A:$E,5,0)),"")</f>
        <v/>
      </c>
      <c r="F672" s="47" t="str">
        <f>IFERROR(__xludf.DUMMYFUNCTION("IFERROR((GOOGLEFINANCE(A672)),"""")"),"")</f>
        <v/>
      </c>
      <c r="G672" s="47"/>
      <c r="H672" s="47"/>
      <c r="I672" s="47" t="str">
        <f>IFERROR(__xludf.DUMMYFUNCTION("IFERROR((GOOGLEFINANCE($A672,""high52"")),"""")"),"")</f>
        <v/>
      </c>
      <c r="J672" s="51"/>
      <c r="K672" s="51"/>
      <c r="L672" s="51"/>
      <c r="M672" s="52"/>
      <c r="N672" s="53"/>
      <c r="O672" s="53"/>
      <c r="P672" s="54"/>
      <c r="Q672" s="55"/>
      <c r="R672" s="56"/>
      <c r="S672" s="56"/>
      <c r="T672" s="53"/>
      <c r="U672" s="53"/>
      <c r="V672" s="56"/>
      <c r="W672" s="56"/>
      <c r="X672" s="53"/>
      <c r="Y672" s="54"/>
      <c r="Z672" s="56"/>
      <c r="AA672" s="57"/>
      <c r="AB672" s="57"/>
      <c r="AC672" s="58"/>
      <c r="AD672" s="57"/>
      <c r="AE672" s="56"/>
      <c r="AF672" s="56"/>
      <c r="AG672" s="56"/>
      <c r="AH672" s="56"/>
      <c r="AI672" s="57"/>
      <c r="AJ672" s="59"/>
      <c r="AK672" s="60"/>
      <c r="AL672" s="60"/>
      <c r="AM672" s="61"/>
      <c r="AN672" s="62"/>
      <c r="AO672" s="60"/>
      <c r="AP672" s="60"/>
      <c r="AQ672" s="18"/>
    </row>
    <row r="673">
      <c r="A673" s="72"/>
      <c r="B673" s="46"/>
      <c r="C673" s="46" t="str">
        <f>IFERROR((VLOOKUP(LEFT($A673,4),Setor!$A:$E,3,0)),"")</f>
        <v/>
      </c>
      <c r="D673" s="46" t="str">
        <f>IFERROR((VLOOKUP(LEFT($A673,4),Setor!$A:$E,4,0)),"")</f>
        <v/>
      </c>
      <c r="E673" s="46" t="str">
        <f>IFERROR((VLOOKUP(LEFT($A673,4),Setor!$A:$E,5,0)),"")</f>
        <v/>
      </c>
      <c r="F673" s="47" t="str">
        <f>IFERROR(__xludf.DUMMYFUNCTION("IFERROR((GOOGLEFINANCE(A673)),"""")"),"")</f>
        <v/>
      </c>
      <c r="G673" s="47"/>
      <c r="H673" s="47"/>
      <c r="I673" s="47" t="str">
        <f>IFERROR(__xludf.DUMMYFUNCTION("IFERROR((GOOGLEFINANCE($A673,""high52"")),"""")"),"")</f>
        <v/>
      </c>
      <c r="J673" s="51"/>
      <c r="K673" s="51"/>
      <c r="L673" s="51"/>
      <c r="M673" s="52"/>
      <c r="N673" s="53"/>
      <c r="O673" s="53"/>
      <c r="P673" s="54"/>
      <c r="Q673" s="55"/>
      <c r="R673" s="56"/>
      <c r="S673" s="56"/>
      <c r="T673" s="53"/>
      <c r="U673" s="53"/>
      <c r="V673" s="56"/>
      <c r="W673" s="56"/>
      <c r="X673" s="53"/>
      <c r="Y673" s="54"/>
      <c r="Z673" s="56"/>
      <c r="AA673" s="57"/>
      <c r="AB673" s="57"/>
      <c r="AC673" s="58"/>
      <c r="AD673" s="57"/>
      <c r="AE673" s="56"/>
      <c r="AF673" s="56"/>
      <c r="AG673" s="56"/>
      <c r="AH673" s="56"/>
      <c r="AI673" s="57"/>
      <c r="AJ673" s="59"/>
      <c r="AK673" s="60"/>
      <c r="AL673" s="60"/>
      <c r="AM673" s="61"/>
      <c r="AN673" s="62"/>
      <c r="AO673" s="60"/>
      <c r="AP673" s="60"/>
      <c r="AQ673" s="18"/>
    </row>
    <row r="674">
      <c r="A674" s="72"/>
      <c r="B674" s="46"/>
      <c r="C674" s="46" t="str">
        <f>IFERROR((VLOOKUP(LEFT($A674,4),Setor!$A:$E,3,0)),"")</f>
        <v/>
      </c>
      <c r="D674" s="46" t="str">
        <f>IFERROR((VLOOKUP(LEFT($A674,4),Setor!$A:$E,4,0)),"")</f>
        <v/>
      </c>
      <c r="E674" s="46" t="str">
        <f>IFERROR((VLOOKUP(LEFT($A674,4),Setor!$A:$E,5,0)),"")</f>
        <v/>
      </c>
      <c r="F674" s="47" t="str">
        <f>IFERROR(__xludf.DUMMYFUNCTION("IFERROR((GOOGLEFINANCE(A674)),"""")"),"")</f>
        <v/>
      </c>
      <c r="G674" s="47"/>
      <c r="H674" s="47"/>
      <c r="I674" s="47" t="str">
        <f>IFERROR(__xludf.DUMMYFUNCTION("IFERROR((GOOGLEFINANCE($A674,""high52"")),"""")"),"")</f>
        <v/>
      </c>
      <c r="J674" s="51"/>
      <c r="K674" s="51"/>
      <c r="L674" s="51"/>
      <c r="M674" s="52"/>
      <c r="N674" s="53"/>
      <c r="O674" s="53"/>
      <c r="P674" s="54"/>
      <c r="Q674" s="55"/>
      <c r="R674" s="56"/>
      <c r="S674" s="56"/>
      <c r="T674" s="53"/>
      <c r="U674" s="53"/>
      <c r="V674" s="56"/>
      <c r="W674" s="56"/>
      <c r="X674" s="53"/>
      <c r="Y674" s="54"/>
      <c r="Z674" s="56"/>
      <c r="AA674" s="57"/>
      <c r="AB674" s="57"/>
      <c r="AC674" s="58"/>
      <c r="AD674" s="57"/>
      <c r="AE674" s="56"/>
      <c r="AF674" s="56"/>
      <c r="AG674" s="56"/>
      <c r="AH674" s="56"/>
      <c r="AI674" s="57"/>
      <c r="AJ674" s="59"/>
      <c r="AK674" s="60"/>
      <c r="AL674" s="60"/>
      <c r="AM674" s="61"/>
      <c r="AN674" s="62"/>
      <c r="AO674" s="60"/>
      <c r="AP674" s="60"/>
      <c r="AQ674" s="18"/>
    </row>
    <row r="675">
      <c r="A675" s="72"/>
      <c r="B675" s="46"/>
      <c r="C675" s="46" t="str">
        <f>IFERROR((VLOOKUP(LEFT($A675,4),Setor!$A:$E,3,0)),"")</f>
        <v/>
      </c>
      <c r="D675" s="46" t="str">
        <f>IFERROR((VLOOKUP(LEFT($A675,4),Setor!$A:$E,4,0)),"")</f>
        <v/>
      </c>
      <c r="E675" s="46" t="str">
        <f>IFERROR((VLOOKUP(LEFT($A675,4),Setor!$A:$E,5,0)),"")</f>
        <v/>
      </c>
      <c r="F675" s="47" t="str">
        <f>IFERROR(__xludf.DUMMYFUNCTION("IFERROR((GOOGLEFINANCE(A675)),"""")"),"")</f>
        <v/>
      </c>
      <c r="G675" s="47"/>
      <c r="H675" s="47"/>
      <c r="I675" s="47" t="str">
        <f>IFERROR(__xludf.DUMMYFUNCTION("IFERROR((GOOGLEFINANCE($A675,""high52"")),"""")"),"")</f>
        <v/>
      </c>
      <c r="J675" s="51"/>
      <c r="K675" s="51"/>
      <c r="L675" s="51"/>
      <c r="M675" s="52"/>
      <c r="N675" s="53"/>
      <c r="O675" s="53"/>
      <c r="P675" s="54"/>
      <c r="Q675" s="55"/>
      <c r="R675" s="56"/>
      <c r="S675" s="56"/>
      <c r="T675" s="53"/>
      <c r="U675" s="53"/>
      <c r="V675" s="56"/>
      <c r="W675" s="56"/>
      <c r="X675" s="53"/>
      <c r="Y675" s="54"/>
      <c r="Z675" s="56"/>
      <c r="AA675" s="57"/>
      <c r="AB675" s="57"/>
      <c r="AC675" s="58"/>
      <c r="AD675" s="57"/>
      <c r="AE675" s="56"/>
      <c r="AF675" s="56"/>
      <c r="AG675" s="56"/>
      <c r="AH675" s="56"/>
      <c r="AI675" s="57"/>
      <c r="AJ675" s="59"/>
      <c r="AK675" s="60"/>
      <c r="AL675" s="60"/>
      <c r="AM675" s="61"/>
      <c r="AN675" s="62"/>
      <c r="AO675" s="60"/>
      <c r="AP675" s="60"/>
      <c r="AQ675" s="18"/>
    </row>
    <row r="676">
      <c r="A676" s="72"/>
      <c r="B676" s="46"/>
      <c r="C676" s="46" t="str">
        <f>IFERROR((VLOOKUP(LEFT($A676,4),Setor!$A:$E,3,0)),"")</f>
        <v/>
      </c>
      <c r="D676" s="46" t="str">
        <f>IFERROR((VLOOKUP(LEFT($A676,4),Setor!$A:$E,4,0)),"")</f>
        <v/>
      </c>
      <c r="E676" s="46" t="str">
        <f>IFERROR((VLOOKUP(LEFT($A676,4),Setor!$A:$E,5,0)),"")</f>
        <v/>
      </c>
      <c r="F676" s="47" t="str">
        <f>IFERROR(__xludf.DUMMYFUNCTION("IFERROR((GOOGLEFINANCE(A676)),"""")"),"")</f>
        <v/>
      </c>
      <c r="G676" s="47"/>
      <c r="H676" s="47"/>
      <c r="I676" s="47" t="str">
        <f>IFERROR(__xludf.DUMMYFUNCTION("IFERROR((GOOGLEFINANCE($A676,""high52"")),"""")"),"")</f>
        <v/>
      </c>
      <c r="J676" s="51"/>
      <c r="K676" s="51"/>
      <c r="L676" s="51"/>
      <c r="M676" s="52"/>
      <c r="N676" s="53"/>
      <c r="O676" s="53"/>
      <c r="P676" s="54"/>
      <c r="Q676" s="55"/>
      <c r="R676" s="56"/>
      <c r="S676" s="56"/>
      <c r="T676" s="53"/>
      <c r="U676" s="53"/>
      <c r="V676" s="56"/>
      <c r="W676" s="56"/>
      <c r="X676" s="53"/>
      <c r="Y676" s="54"/>
      <c r="Z676" s="56"/>
      <c r="AA676" s="57"/>
      <c r="AB676" s="57"/>
      <c r="AC676" s="58"/>
      <c r="AD676" s="57"/>
      <c r="AE676" s="56"/>
      <c r="AF676" s="56"/>
      <c r="AG676" s="56"/>
      <c r="AH676" s="56"/>
      <c r="AI676" s="57"/>
      <c r="AJ676" s="59"/>
      <c r="AK676" s="60"/>
      <c r="AL676" s="60"/>
      <c r="AM676" s="61"/>
      <c r="AN676" s="62"/>
      <c r="AO676" s="60"/>
      <c r="AP676" s="60"/>
      <c r="AQ676" s="18"/>
    </row>
    <row r="677">
      <c r="A677" s="72"/>
      <c r="B677" s="46"/>
      <c r="C677" s="46" t="str">
        <f>IFERROR((VLOOKUP(LEFT($A677,4),Setor!$A:$E,3,0)),"")</f>
        <v/>
      </c>
      <c r="D677" s="46" t="str">
        <f>IFERROR((VLOOKUP(LEFT($A677,4),Setor!$A:$E,4,0)),"")</f>
        <v/>
      </c>
      <c r="E677" s="46" t="str">
        <f>IFERROR((VLOOKUP(LEFT($A677,4),Setor!$A:$E,5,0)),"")</f>
        <v/>
      </c>
      <c r="F677" s="47" t="str">
        <f>IFERROR(__xludf.DUMMYFUNCTION("IFERROR((GOOGLEFINANCE(A677)),"""")"),"")</f>
        <v/>
      </c>
      <c r="G677" s="47"/>
      <c r="H677" s="47"/>
      <c r="I677" s="47" t="str">
        <f>IFERROR(__xludf.DUMMYFUNCTION("IFERROR((GOOGLEFINANCE($A677,""high52"")),"""")"),"")</f>
        <v/>
      </c>
      <c r="J677" s="51"/>
      <c r="K677" s="51"/>
      <c r="L677" s="51"/>
      <c r="M677" s="52"/>
      <c r="N677" s="53"/>
      <c r="O677" s="53"/>
      <c r="P677" s="54"/>
      <c r="Q677" s="55"/>
      <c r="R677" s="56"/>
      <c r="S677" s="56"/>
      <c r="T677" s="53"/>
      <c r="U677" s="53"/>
      <c r="V677" s="56"/>
      <c r="W677" s="56"/>
      <c r="X677" s="53"/>
      <c r="Y677" s="54"/>
      <c r="Z677" s="56"/>
      <c r="AA677" s="57"/>
      <c r="AB677" s="57"/>
      <c r="AC677" s="58"/>
      <c r="AD677" s="57"/>
      <c r="AE677" s="56"/>
      <c r="AF677" s="56"/>
      <c r="AG677" s="56"/>
      <c r="AH677" s="56"/>
      <c r="AI677" s="57"/>
      <c r="AJ677" s="59"/>
      <c r="AK677" s="60"/>
      <c r="AL677" s="60"/>
      <c r="AM677" s="61"/>
      <c r="AN677" s="62"/>
      <c r="AO677" s="60"/>
      <c r="AP677" s="60"/>
      <c r="AQ677" s="18"/>
    </row>
    <row r="678">
      <c r="A678" s="72"/>
      <c r="B678" s="46"/>
      <c r="C678" s="46" t="str">
        <f>IFERROR((VLOOKUP(LEFT($A678,4),Setor!$A:$E,3,0)),"")</f>
        <v/>
      </c>
      <c r="D678" s="46" t="str">
        <f>IFERROR((VLOOKUP(LEFT($A678,4),Setor!$A:$E,4,0)),"")</f>
        <v/>
      </c>
      <c r="E678" s="46" t="str">
        <f>IFERROR((VLOOKUP(LEFT($A678,4),Setor!$A:$E,5,0)),"")</f>
        <v/>
      </c>
      <c r="F678" s="47" t="str">
        <f>IFERROR(__xludf.DUMMYFUNCTION("IFERROR((GOOGLEFINANCE(A678)),"""")"),"")</f>
        <v/>
      </c>
      <c r="G678" s="47"/>
      <c r="H678" s="47"/>
      <c r="I678" s="47" t="str">
        <f>IFERROR(__xludf.DUMMYFUNCTION("IFERROR((GOOGLEFINANCE($A678,""high52"")),"""")"),"")</f>
        <v/>
      </c>
      <c r="J678" s="51"/>
      <c r="K678" s="51"/>
      <c r="L678" s="51"/>
      <c r="M678" s="52"/>
      <c r="N678" s="53"/>
      <c r="O678" s="53"/>
      <c r="P678" s="54"/>
      <c r="Q678" s="55"/>
      <c r="R678" s="56"/>
      <c r="S678" s="56"/>
      <c r="T678" s="53"/>
      <c r="U678" s="53"/>
      <c r="V678" s="56"/>
      <c r="W678" s="56"/>
      <c r="X678" s="53"/>
      <c r="Y678" s="54"/>
      <c r="Z678" s="56"/>
      <c r="AA678" s="57"/>
      <c r="AB678" s="57"/>
      <c r="AC678" s="58"/>
      <c r="AD678" s="57"/>
      <c r="AE678" s="56"/>
      <c r="AF678" s="56"/>
      <c r="AG678" s="56"/>
      <c r="AH678" s="56"/>
      <c r="AI678" s="57"/>
      <c r="AJ678" s="59"/>
      <c r="AK678" s="60"/>
      <c r="AL678" s="60"/>
      <c r="AM678" s="61"/>
      <c r="AN678" s="62"/>
      <c r="AO678" s="60"/>
      <c r="AP678" s="60"/>
      <c r="AQ678" s="18"/>
    </row>
    <row r="679">
      <c r="A679" s="72"/>
      <c r="B679" s="46"/>
      <c r="C679" s="46" t="str">
        <f>IFERROR((VLOOKUP(LEFT($A679,4),Setor!$A:$E,3,0)),"")</f>
        <v/>
      </c>
      <c r="D679" s="46" t="str">
        <f>IFERROR((VLOOKUP(LEFT($A679,4),Setor!$A:$E,4,0)),"")</f>
        <v/>
      </c>
      <c r="E679" s="46" t="str">
        <f>IFERROR((VLOOKUP(LEFT($A679,4),Setor!$A:$E,5,0)),"")</f>
        <v/>
      </c>
      <c r="F679" s="47" t="str">
        <f>IFERROR(__xludf.DUMMYFUNCTION("IFERROR((GOOGLEFINANCE(A679)),"""")"),"")</f>
        <v/>
      </c>
      <c r="G679" s="47"/>
      <c r="H679" s="47"/>
      <c r="I679" s="47" t="str">
        <f>IFERROR(__xludf.DUMMYFUNCTION("IFERROR((GOOGLEFINANCE($A679,""high52"")),"""")"),"")</f>
        <v/>
      </c>
      <c r="J679" s="51"/>
      <c r="K679" s="51"/>
      <c r="L679" s="51"/>
      <c r="M679" s="52"/>
      <c r="N679" s="53"/>
      <c r="O679" s="53"/>
      <c r="P679" s="54"/>
      <c r="Q679" s="55"/>
      <c r="R679" s="56"/>
      <c r="S679" s="56"/>
      <c r="T679" s="53"/>
      <c r="U679" s="53"/>
      <c r="V679" s="56"/>
      <c r="W679" s="56"/>
      <c r="X679" s="53"/>
      <c r="Y679" s="54"/>
      <c r="Z679" s="56"/>
      <c r="AA679" s="57"/>
      <c r="AB679" s="57"/>
      <c r="AC679" s="58"/>
      <c r="AD679" s="57"/>
      <c r="AE679" s="56"/>
      <c r="AF679" s="56"/>
      <c r="AG679" s="56"/>
      <c r="AH679" s="56"/>
      <c r="AI679" s="57"/>
      <c r="AJ679" s="59"/>
      <c r="AK679" s="60"/>
      <c r="AL679" s="60"/>
      <c r="AM679" s="61"/>
      <c r="AN679" s="62"/>
      <c r="AO679" s="60"/>
      <c r="AP679" s="60"/>
      <c r="AQ679" s="18"/>
    </row>
    <row r="680">
      <c r="A680" s="72"/>
      <c r="B680" s="46"/>
      <c r="C680" s="46" t="str">
        <f>IFERROR((VLOOKUP(LEFT($A680,4),Setor!$A:$E,3,0)),"")</f>
        <v/>
      </c>
      <c r="D680" s="46" t="str">
        <f>IFERROR((VLOOKUP(LEFT($A680,4),Setor!$A:$E,4,0)),"")</f>
        <v/>
      </c>
      <c r="E680" s="46" t="str">
        <f>IFERROR((VLOOKUP(LEFT($A680,4),Setor!$A:$E,5,0)),"")</f>
        <v/>
      </c>
      <c r="F680" s="47" t="str">
        <f>IFERROR(__xludf.DUMMYFUNCTION("IFERROR((GOOGLEFINANCE(A680)),"""")"),"")</f>
        <v/>
      </c>
      <c r="G680" s="47"/>
      <c r="H680" s="47"/>
      <c r="I680" s="47" t="str">
        <f>IFERROR(__xludf.DUMMYFUNCTION("IFERROR((GOOGLEFINANCE($A680,""high52"")),"""")"),"")</f>
        <v/>
      </c>
      <c r="J680" s="51"/>
      <c r="K680" s="51"/>
      <c r="L680" s="51"/>
      <c r="M680" s="52"/>
      <c r="N680" s="53"/>
      <c r="O680" s="53"/>
      <c r="P680" s="54"/>
      <c r="Q680" s="55"/>
      <c r="R680" s="56"/>
      <c r="S680" s="56"/>
      <c r="T680" s="53"/>
      <c r="U680" s="53"/>
      <c r="V680" s="56"/>
      <c r="W680" s="56"/>
      <c r="X680" s="53"/>
      <c r="Y680" s="54"/>
      <c r="Z680" s="56"/>
      <c r="AA680" s="57"/>
      <c r="AB680" s="57"/>
      <c r="AC680" s="58"/>
      <c r="AD680" s="57"/>
      <c r="AE680" s="56"/>
      <c r="AF680" s="56"/>
      <c r="AG680" s="56"/>
      <c r="AH680" s="56"/>
      <c r="AI680" s="57"/>
      <c r="AJ680" s="59"/>
      <c r="AK680" s="60"/>
      <c r="AL680" s="60"/>
      <c r="AM680" s="61"/>
      <c r="AN680" s="62"/>
      <c r="AO680" s="60"/>
      <c r="AP680" s="60"/>
      <c r="AQ680" s="18"/>
    </row>
    <row r="681">
      <c r="A681" s="72"/>
      <c r="B681" s="46"/>
      <c r="C681" s="46" t="str">
        <f>IFERROR((VLOOKUP(LEFT($A681,4),Setor!$A:$E,3,0)),"")</f>
        <v/>
      </c>
      <c r="D681" s="46" t="str">
        <f>IFERROR((VLOOKUP(LEFT($A681,4),Setor!$A:$E,4,0)),"")</f>
        <v/>
      </c>
      <c r="E681" s="46" t="str">
        <f>IFERROR((VLOOKUP(LEFT($A681,4),Setor!$A:$E,5,0)),"")</f>
        <v/>
      </c>
      <c r="F681" s="47" t="str">
        <f>IFERROR(__xludf.DUMMYFUNCTION("IFERROR((GOOGLEFINANCE(A681)),"""")"),"")</f>
        <v/>
      </c>
      <c r="G681" s="47"/>
      <c r="H681" s="47"/>
      <c r="I681" s="47" t="str">
        <f>IFERROR(__xludf.DUMMYFUNCTION("IFERROR((GOOGLEFINANCE($A681,""high52"")),"""")"),"")</f>
        <v/>
      </c>
      <c r="J681" s="51"/>
      <c r="K681" s="51"/>
      <c r="L681" s="51"/>
      <c r="M681" s="52"/>
      <c r="N681" s="53"/>
      <c r="O681" s="53"/>
      <c r="P681" s="54"/>
      <c r="Q681" s="55"/>
      <c r="R681" s="56"/>
      <c r="S681" s="56"/>
      <c r="T681" s="53"/>
      <c r="U681" s="53"/>
      <c r="V681" s="56"/>
      <c r="W681" s="56"/>
      <c r="X681" s="53"/>
      <c r="Y681" s="54"/>
      <c r="Z681" s="56"/>
      <c r="AA681" s="57"/>
      <c r="AB681" s="57"/>
      <c r="AC681" s="58"/>
      <c r="AD681" s="57"/>
      <c r="AE681" s="56"/>
      <c r="AF681" s="56"/>
      <c r="AG681" s="56"/>
      <c r="AH681" s="56"/>
      <c r="AI681" s="57"/>
      <c r="AJ681" s="59"/>
      <c r="AK681" s="60"/>
      <c r="AL681" s="60"/>
      <c r="AM681" s="61"/>
      <c r="AN681" s="62"/>
      <c r="AO681" s="60"/>
      <c r="AP681" s="60"/>
      <c r="AQ681" s="18"/>
    </row>
    <row r="682">
      <c r="A682" s="72"/>
      <c r="B682" s="46"/>
      <c r="C682" s="46" t="str">
        <f>IFERROR((VLOOKUP(LEFT($A682,4),Setor!$A:$E,3,0)),"")</f>
        <v/>
      </c>
      <c r="D682" s="46" t="str">
        <f>IFERROR((VLOOKUP(LEFT($A682,4),Setor!$A:$E,4,0)),"")</f>
        <v/>
      </c>
      <c r="E682" s="46" t="str">
        <f>IFERROR((VLOOKUP(LEFT($A682,4),Setor!$A:$E,5,0)),"")</f>
        <v/>
      </c>
      <c r="F682" s="47" t="str">
        <f>IFERROR(__xludf.DUMMYFUNCTION("IFERROR((GOOGLEFINANCE(A682)),"""")"),"")</f>
        <v/>
      </c>
      <c r="G682" s="47"/>
      <c r="H682" s="47"/>
      <c r="I682" s="47" t="str">
        <f>IFERROR(__xludf.DUMMYFUNCTION("IFERROR((GOOGLEFINANCE($A682,""high52"")),"""")"),"")</f>
        <v/>
      </c>
      <c r="J682" s="51"/>
      <c r="K682" s="51"/>
      <c r="L682" s="51"/>
      <c r="M682" s="52"/>
      <c r="N682" s="53"/>
      <c r="O682" s="53"/>
      <c r="P682" s="54"/>
      <c r="Q682" s="55"/>
      <c r="R682" s="56"/>
      <c r="S682" s="56"/>
      <c r="T682" s="53"/>
      <c r="U682" s="53"/>
      <c r="V682" s="56"/>
      <c r="W682" s="56"/>
      <c r="X682" s="53"/>
      <c r="Y682" s="54"/>
      <c r="Z682" s="56"/>
      <c r="AA682" s="57"/>
      <c r="AB682" s="57"/>
      <c r="AC682" s="58"/>
      <c r="AD682" s="57"/>
      <c r="AE682" s="56"/>
      <c r="AF682" s="56"/>
      <c r="AG682" s="56"/>
      <c r="AH682" s="56"/>
      <c r="AI682" s="57"/>
      <c r="AJ682" s="59"/>
      <c r="AK682" s="60"/>
      <c r="AL682" s="60"/>
      <c r="AM682" s="61"/>
      <c r="AN682" s="62"/>
      <c r="AO682" s="60"/>
      <c r="AP682" s="60"/>
      <c r="AQ682" s="18"/>
    </row>
    <row r="683">
      <c r="A683" s="72"/>
      <c r="B683" s="46"/>
      <c r="C683" s="46" t="str">
        <f>IFERROR((VLOOKUP(LEFT($A683,4),Setor!$A:$E,3,0)),"")</f>
        <v/>
      </c>
      <c r="D683" s="46" t="str">
        <f>IFERROR((VLOOKUP(LEFT($A683,4),Setor!$A:$E,4,0)),"")</f>
        <v/>
      </c>
      <c r="E683" s="46" t="str">
        <f>IFERROR((VLOOKUP(LEFT($A683,4),Setor!$A:$E,5,0)),"")</f>
        <v/>
      </c>
      <c r="F683" s="47" t="str">
        <f>IFERROR(__xludf.DUMMYFUNCTION("IFERROR((GOOGLEFINANCE(A683)),"""")"),"")</f>
        <v/>
      </c>
      <c r="G683" s="47"/>
      <c r="H683" s="47"/>
      <c r="I683" s="47" t="str">
        <f>IFERROR(__xludf.DUMMYFUNCTION("IFERROR((GOOGLEFINANCE($A683,""high52"")),"""")"),"")</f>
        <v/>
      </c>
      <c r="J683" s="51"/>
      <c r="K683" s="51"/>
      <c r="L683" s="51"/>
      <c r="M683" s="52"/>
      <c r="N683" s="53"/>
      <c r="O683" s="53"/>
      <c r="P683" s="54"/>
      <c r="Q683" s="55"/>
      <c r="R683" s="56"/>
      <c r="S683" s="56"/>
      <c r="T683" s="53"/>
      <c r="U683" s="53"/>
      <c r="V683" s="56"/>
      <c r="W683" s="56"/>
      <c r="X683" s="53"/>
      <c r="Y683" s="54"/>
      <c r="Z683" s="56"/>
      <c r="AA683" s="57"/>
      <c r="AB683" s="57"/>
      <c r="AC683" s="58"/>
      <c r="AD683" s="57"/>
      <c r="AE683" s="56"/>
      <c r="AF683" s="56"/>
      <c r="AG683" s="56"/>
      <c r="AH683" s="56"/>
      <c r="AI683" s="57"/>
      <c r="AJ683" s="59"/>
      <c r="AK683" s="60"/>
      <c r="AL683" s="60"/>
      <c r="AM683" s="61"/>
      <c r="AN683" s="62"/>
      <c r="AO683" s="60"/>
      <c r="AP683" s="60"/>
      <c r="AQ683" s="18"/>
    </row>
    <row r="684">
      <c r="A684" s="72"/>
      <c r="B684" s="46"/>
      <c r="C684" s="46" t="str">
        <f>IFERROR((VLOOKUP(LEFT($A684,4),Setor!$A:$E,3,0)),"")</f>
        <v/>
      </c>
      <c r="D684" s="46" t="str">
        <f>IFERROR((VLOOKUP(LEFT($A684,4),Setor!$A:$E,4,0)),"")</f>
        <v/>
      </c>
      <c r="E684" s="46" t="str">
        <f>IFERROR((VLOOKUP(LEFT($A684,4),Setor!$A:$E,5,0)),"")</f>
        <v/>
      </c>
      <c r="F684" s="47" t="str">
        <f>IFERROR(__xludf.DUMMYFUNCTION("IFERROR((GOOGLEFINANCE(A684)),"""")"),"")</f>
        <v/>
      </c>
      <c r="G684" s="47"/>
      <c r="H684" s="47"/>
      <c r="I684" s="47" t="str">
        <f>IFERROR(__xludf.DUMMYFUNCTION("IFERROR((GOOGLEFINANCE($A684,""high52"")),"""")"),"")</f>
        <v/>
      </c>
      <c r="J684" s="51"/>
      <c r="K684" s="51"/>
      <c r="L684" s="51"/>
      <c r="M684" s="52"/>
      <c r="N684" s="53"/>
      <c r="O684" s="53"/>
      <c r="P684" s="54"/>
      <c r="Q684" s="55"/>
      <c r="R684" s="56"/>
      <c r="S684" s="56"/>
      <c r="T684" s="53"/>
      <c r="U684" s="53"/>
      <c r="V684" s="56"/>
      <c r="W684" s="56"/>
      <c r="X684" s="53"/>
      <c r="Y684" s="54"/>
      <c r="Z684" s="56"/>
      <c r="AA684" s="57"/>
      <c r="AB684" s="57"/>
      <c r="AC684" s="58"/>
      <c r="AD684" s="57"/>
      <c r="AE684" s="56"/>
      <c r="AF684" s="56"/>
      <c r="AG684" s="56"/>
      <c r="AH684" s="56"/>
      <c r="AI684" s="57"/>
      <c r="AJ684" s="59"/>
      <c r="AK684" s="60"/>
      <c r="AL684" s="60"/>
      <c r="AM684" s="61"/>
      <c r="AN684" s="62"/>
      <c r="AO684" s="60"/>
      <c r="AP684" s="60"/>
      <c r="AQ684" s="18"/>
    </row>
    <row r="685">
      <c r="A685" s="72"/>
      <c r="B685" s="46"/>
      <c r="C685" s="46" t="str">
        <f>IFERROR((VLOOKUP(LEFT($A685,4),Setor!$A:$E,3,0)),"")</f>
        <v/>
      </c>
      <c r="D685" s="46" t="str">
        <f>IFERROR((VLOOKUP(LEFT($A685,4),Setor!$A:$E,4,0)),"")</f>
        <v/>
      </c>
      <c r="E685" s="46" t="str">
        <f>IFERROR((VLOOKUP(LEFT($A685,4),Setor!$A:$E,5,0)),"")</f>
        <v/>
      </c>
      <c r="F685" s="47" t="str">
        <f>IFERROR(__xludf.DUMMYFUNCTION("IFERROR((GOOGLEFINANCE(A685)),"""")"),"")</f>
        <v/>
      </c>
      <c r="G685" s="47"/>
      <c r="H685" s="47"/>
      <c r="I685" s="47" t="str">
        <f>IFERROR(__xludf.DUMMYFUNCTION("IFERROR((GOOGLEFINANCE($A685,""high52"")),"""")"),"")</f>
        <v/>
      </c>
      <c r="J685" s="51"/>
      <c r="K685" s="51"/>
      <c r="L685" s="51"/>
      <c r="M685" s="52"/>
      <c r="N685" s="53"/>
      <c r="O685" s="53"/>
      <c r="P685" s="54"/>
      <c r="Q685" s="55"/>
      <c r="R685" s="56"/>
      <c r="S685" s="56"/>
      <c r="T685" s="53"/>
      <c r="U685" s="53"/>
      <c r="V685" s="56"/>
      <c r="W685" s="56"/>
      <c r="X685" s="53"/>
      <c r="Y685" s="54"/>
      <c r="Z685" s="56"/>
      <c r="AA685" s="57"/>
      <c r="AB685" s="57"/>
      <c r="AC685" s="58"/>
      <c r="AD685" s="57"/>
      <c r="AE685" s="56"/>
      <c r="AF685" s="56"/>
      <c r="AG685" s="56"/>
      <c r="AH685" s="56"/>
      <c r="AI685" s="57"/>
      <c r="AJ685" s="59"/>
      <c r="AK685" s="60"/>
      <c r="AL685" s="60"/>
      <c r="AM685" s="61"/>
      <c r="AN685" s="62"/>
      <c r="AO685" s="60"/>
      <c r="AP685" s="60"/>
      <c r="AQ685" s="18"/>
    </row>
    <row r="686">
      <c r="A686" s="72"/>
      <c r="B686" s="46"/>
      <c r="C686" s="46" t="str">
        <f>IFERROR((VLOOKUP(LEFT($A686,4),Setor!$A:$E,3,0)),"")</f>
        <v/>
      </c>
      <c r="D686" s="46" t="str">
        <f>IFERROR((VLOOKUP(LEFT($A686,4),Setor!$A:$E,4,0)),"")</f>
        <v/>
      </c>
      <c r="E686" s="46" t="str">
        <f>IFERROR((VLOOKUP(LEFT($A686,4),Setor!$A:$E,5,0)),"")</f>
        <v/>
      </c>
      <c r="F686" s="47" t="str">
        <f>IFERROR(__xludf.DUMMYFUNCTION("IFERROR((GOOGLEFINANCE(A686)),"""")"),"")</f>
        <v/>
      </c>
      <c r="G686" s="47"/>
      <c r="H686" s="47"/>
      <c r="I686" s="47" t="str">
        <f>IFERROR(__xludf.DUMMYFUNCTION("IFERROR((GOOGLEFINANCE($A686,""high52"")),"""")"),"")</f>
        <v/>
      </c>
      <c r="J686" s="51"/>
      <c r="K686" s="51"/>
      <c r="L686" s="51"/>
      <c r="M686" s="52"/>
      <c r="N686" s="53"/>
      <c r="O686" s="53"/>
      <c r="P686" s="54"/>
      <c r="Q686" s="55"/>
      <c r="R686" s="56"/>
      <c r="S686" s="56"/>
      <c r="T686" s="53"/>
      <c r="U686" s="53"/>
      <c r="V686" s="56"/>
      <c r="W686" s="56"/>
      <c r="X686" s="53"/>
      <c r="Y686" s="54"/>
      <c r="Z686" s="56"/>
      <c r="AA686" s="57"/>
      <c r="AB686" s="57"/>
      <c r="AC686" s="58"/>
      <c r="AD686" s="57"/>
      <c r="AE686" s="56"/>
      <c r="AF686" s="56"/>
      <c r="AG686" s="56"/>
      <c r="AH686" s="56"/>
      <c r="AI686" s="57"/>
      <c r="AJ686" s="59"/>
      <c r="AK686" s="60"/>
      <c r="AL686" s="60"/>
      <c r="AM686" s="61"/>
      <c r="AN686" s="62"/>
      <c r="AO686" s="60"/>
      <c r="AP686" s="60"/>
      <c r="AQ686" s="18"/>
    </row>
    <row r="687">
      <c r="A687" s="72"/>
      <c r="B687" s="46"/>
      <c r="C687" s="46" t="str">
        <f>IFERROR((VLOOKUP(LEFT($A687,4),Setor!$A:$E,3,0)),"")</f>
        <v/>
      </c>
      <c r="D687" s="46" t="str">
        <f>IFERROR((VLOOKUP(LEFT($A687,4),Setor!$A:$E,4,0)),"")</f>
        <v/>
      </c>
      <c r="E687" s="46" t="str">
        <f>IFERROR((VLOOKUP(LEFT($A687,4),Setor!$A:$E,5,0)),"")</f>
        <v/>
      </c>
      <c r="F687" s="47" t="str">
        <f>IFERROR(__xludf.DUMMYFUNCTION("IFERROR((GOOGLEFINANCE(A687)),"""")"),"")</f>
        <v/>
      </c>
      <c r="G687" s="47"/>
      <c r="H687" s="47"/>
      <c r="I687" s="47" t="str">
        <f>IFERROR(__xludf.DUMMYFUNCTION("IFERROR((GOOGLEFINANCE($A687,""high52"")),"""")"),"")</f>
        <v/>
      </c>
      <c r="J687" s="51"/>
      <c r="K687" s="51"/>
      <c r="L687" s="51"/>
      <c r="M687" s="52"/>
      <c r="N687" s="53"/>
      <c r="O687" s="53"/>
      <c r="P687" s="54"/>
      <c r="Q687" s="55"/>
      <c r="R687" s="56"/>
      <c r="S687" s="56"/>
      <c r="T687" s="53"/>
      <c r="U687" s="53"/>
      <c r="V687" s="56"/>
      <c r="W687" s="56"/>
      <c r="X687" s="53"/>
      <c r="Y687" s="54"/>
      <c r="Z687" s="56"/>
      <c r="AA687" s="57"/>
      <c r="AB687" s="57"/>
      <c r="AC687" s="58"/>
      <c r="AD687" s="57"/>
      <c r="AE687" s="56"/>
      <c r="AF687" s="56"/>
      <c r="AG687" s="56"/>
      <c r="AH687" s="56"/>
      <c r="AI687" s="57"/>
      <c r="AJ687" s="59"/>
      <c r="AK687" s="60"/>
      <c r="AL687" s="60"/>
      <c r="AM687" s="61"/>
      <c r="AN687" s="62"/>
      <c r="AO687" s="60"/>
      <c r="AP687" s="60"/>
      <c r="AQ687" s="18"/>
    </row>
    <row r="688">
      <c r="A688" s="72"/>
      <c r="B688" s="46"/>
      <c r="C688" s="46" t="str">
        <f>IFERROR((VLOOKUP(LEFT($A688,4),Setor!$A:$E,3,0)),"")</f>
        <v/>
      </c>
      <c r="D688" s="46" t="str">
        <f>IFERROR((VLOOKUP(LEFT($A688,4),Setor!$A:$E,4,0)),"")</f>
        <v/>
      </c>
      <c r="E688" s="46" t="str">
        <f>IFERROR((VLOOKUP(LEFT($A688,4),Setor!$A:$E,5,0)),"")</f>
        <v/>
      </c>
      <c r="F688" s="47" t="str">
        <f>IFERROR(__xludf.DUMMYFUNCTION("IFERROR((GOOGLEFINANCE(A688)),"""")"),"")</f>
        <v/>
      </c>
      <c r="G688" s="47"/>
      <c r="H688" s="47"/>
      <c r="I688" s="47" t="str">
        <f>IFERROR(__xludf.DUMMYFUNCTION("IFERROR((GOOGLEFINANCE($A688,""high52"")),"""")"),"")</f>
        <v/>
      </c>
      <c r="J688" s="51"/>
      <c r="K688" s="51"/>
      <c r="L688" s="51"/>
      <c r="M688" s="52"/>
      <c r="N688" s="53"/>
      <c r="O688" s="53"/>
      <c r="P688" s="54"/>
      <c r="Q688" s="55"/>
      <c r="R688" s="56"/>
      <c r="S688" s="56"/>
      <c r="T688" s="53"/>
      <c r="U688" s="53"/>
      <c r="V688" s="56"/>
      <c r="W688" s="56"/>
      <c r="X688" s="53"/>
      <c r="Y688" s="54"/>
      <c r="Z688" s="56"/>
      <c r="AA688" s="57"/>
      <c r="AB688" s="57"/>
      <c r="AC688" s="58"/>
      <c r="AD688" s="57"/>
      <c r="AE688" s="56"/>
      <c r="AF688" s="56"/>
      <c r="AG688" s="56"/>
      <c r="AH688" s="56"/>
      <c r="AI688" s="57"/>
      <c r="AJ688" s="59"/>
      <c r="AK688" s="60"/>
      <c r="AL688" s="60"/>
      <c r="AM688" s="61"/>
      <c r="AN688" s="62"/>
      <c r="AO688" s="60"/>
      <c r="AP688" s="60"/>
      <c r="AQ688" s="18"/>
    </row>
    <row r="689">
      <c r="A689" s="72"/>
      <c r="B689" s="46"/>
      <c r="C689" s="46" t="str">
        <f>IFERROR((VLOOKUP(LEFT($A689,4),Setor!$A:$E,3,0)),"")</f>
        <v/>
      </c>
      <c r="D689" s="46" t="str">
        <f>IFERROR((VLOOKUP(LEFT($A689,4),Setor!$A:$E,4,0)),"")</f>
        <v/>
      </c>
      <c r="E689" s="46" t="str">
        <f>IFERROR((VLOOKUP(LEFT($A689,4),Setor!$A:$E,5,0)),"")</f>
        <v/>
      </c>
      <c r="F689" s="47" t="str">
        <f>IFERROR(__xludf.DUMMYFUNCTION("IFERROR((GOOGLEFINANCE(A689)),"""")"),"")</f>
        <v/>
      </c>
      <c r="G689" s="47"/>
      <c r="H689" s="47"/>
      <c r="I689" s="47" t="str">
        <f>IFERROR(__xludf.DUMMYFUNCTION("IFERROR((GOOGLEFINANCE($A689,""high52"")),"""")"),"")</f>
        <v/>
      </c>
      <c r="J689" s="51"/>
      <c r="K689" s="51"/>
      <c r="L689" s="51"/>
      <c r="M689" s="52"/>
      <c r="N689" s="53"/>
      <c r="O689" s="53"/>
      <c r="P689" s="54"/>
      <c r="Q689" s="55"/>
      <c r="R689" s="56"/>
      <c r="S689" s="56"/>
      <c r="T689" s="53"/>
      <c r="U689" s="53"/>
      <c r="V689" s="56"/>
      <c r="W689" s="56"/>
      <c r="X689" s="53"/>
      <c r="Y689" s="54"/>
      <c r="Z689" s="56"/>
      <c r="AA689" s="57"/>
      <c r="AB689" s="57"/>
      <c r="AC689" s="58"/>
      <c r="AD689" s="57"/>
      <c r="AE689" s="56"/>
      <c r="AF689" s="56"/>
      <c r="AG689" s="56"/>
      <c r="AH689" s="56"/>
      <c r="AI689" s="57"/>
      <c r="AJ689" s="59"/>
      <c r="AK689" s="60"/>
      <c r="AL689" s="60"/>
      <c r="AM689" s="61"/>
      <c r="AN689" s="62"/>
      <c r="AO689" s="60"/>
      <c r="AP689" s="60"/>
      <c r="AQ689" s="18"/>
    </row>
    <row r="690">
      <c r="A690" s="72"/>
      <c r="B690" s="46"/>
      <c r="C690" s="46" t="str">
        <f>IFERROR((VLOOKUP(LEFT($A690,4),Setor!$A:$E,3,0)),"")</f>
        <v/>
      </c>
      <c r="D690" s="46" t="str">
        <f>IFERROR((VLOOKUP(LEFT($A690,4),Setor!$A:$E,4,0)),"")</f>
        <v/>
      </c>
      <c r="E690" s="46" t="str">
        <f>IFERROR((VLOOKUP(LEFT($A690,4),Setor!$A:$E,5,0)),"")</f>
        <v/>
      </c>
      <c r="F690" s="47" t="str">
        <f>IFERROR(__xludf.DUMMYFUNCTION("IFERROR((GOOGLEFINANCE(A690)),"""")"),"")</f>
        <v/>
      </c>
      <c r="G690" s="47"/>
      <c r="H690" s="47"/>
      <c r="I690" s="47" t="str">
        <f>IFERROR(__xludf.DUMMYFUNCTION("IFERROR((GOOGLEFINANCE($A690,""high52"")),"""")"),"")</f>
        <v/>
      </c>
      <c r="J690" s="51"/>
      <c r="K690" s="51"/>
      <c r="L690" s="51"/>
      <c r="M690" s="52"/>
      <c r="N690" s="53"/>
      <c r="O690" s="53"/>
      <c r="P690" s="54"/>
      <c r="Q690" s="55"/>
      <c r="R690" s="56"/>
      <c r="S690" s="56"/>
      <c r="T690" s="53"/>
      <c r="U690" s="53"/>
      <c r="V690" s="56"/>
      <c r="W690" s="56"/>
      <c r="X690" s="53"/>
      <c r="Y690" s="54"/>
      <c r="Z690" s="56"/>
      <c r="AA690" s="57"/>
      <c r="AB690" s="57"/>
      <c r="AC690" s="58"/>
      <c r="AD690" s="57"/>
      <c r="AE690" s="56"/>
      <c r="AF690" s="56"/>
      <c r="AG690" s="56"/>
      <c r="AH690" s="56"/>
      <c r="AI690" s="57"/>
      <c r="AJ690" s="59"/>
      <c r="AK690" s="60"/>
      <c r="AL690" s="60"/>
      <c r="AM690" s="61"/>
      <c r="AN690" s="62"/>
      <c r="AO690" s="60"/>
      <c r="AP690" s="60"/>
      <c r="AQ690" s="18"/>
    </row>
    <row r="691">
      <c r="A691" s="72"/>
      <c r="B691" s="46"/>
      <c r="C691" s="46" t="str">
        <f>IFERROR((VLOOKUP(LEFT($A691,4),Setor!$A:$E,3,0)),"")</f>
        <v/>
      </c>
      <c r="D691" s="46" t="str">
        <f>IFERROR((VLOOKUP(LEFT($A691,4),Setor!$A:$E,4,0)),"")</f>
        <v/>
      </c>
      <c r="E691" s="46" t="str">
        <f>IFERROR((VLOOKUP(LEFT($A691,4),Setor!$A:$E,5,0)),"")</f>
        <v/>
      </c>
      <c r="F691" s="47" t="str">
        <f>IFERROR(__xludf.DUMMYFUNCTION("IFERROR((GOOGLEFINANCE(A691)),"""")"),"")</f>
        <v/>
      </c>
      <c r="G691" s="47"/>
      <c r="H691" s="47"/>
      <c r="I691" s="47" t="str">
        <f>IFERROR(__xludf.DUMMYFUNCTION("IFERROR((GOOGLEFINANCE($A691,""high52"")),"""")"),"")</f>
        <v/>
      </c>
      <c r="J691" s="51"/>
      <c r="K691" s="51"/>
      <c r="L691" s="51"/>
      <c r="M691" s="52"/>
      <c r="N691" s="53"/>
      <c r="O691" s="53"/>
      <c r="P691" s="54"/>
      <c r="Q691" s="55"/>
      <c r="R691" s="56"/>
      <c r="S691" s="56"/>
      <c r="T691" s="53"/>
      <c r="U691" s="53"/>
      <c r="V691" s="56"/>
      <c r="W691" s="56"/>
      <c r="X691" s="53"/>
      <c r="Y691" s="54"/>
      <c r="Z691" s="56"/>
      <c r="AA691" s="57"/>
      <c r="AB691" s="57"/>
      <c r="AC691" s="58"/>
      <c r="AD691" s="57"/>
      <c r="AE691" s="56"/>
      <c r="AF691" s="56"/>
      <c r="AG691" s="56"/>
      <c r="AH691" s="56"/>
      <c r="AI691" s="57"/>
      <c r="AJ691" s="59"/>
      <c r="AK691" s="60"/>
      <c r="AL691" s="60"/>
      <c r="AM691" s="61"/>
      <c r="AN691" s="62"/>
      <c r="AO691" s="60"/>
      <c r="AP691" s="60"/>
      <c r="AQ691" s="18"/>
    </row>
    <row r="692">
      <c r="A692" s="72"/>
      <c r="B692" s="46"/>
      <c r="C692" s="46" t="str">
        <f>IFERROR((VLOOKUP(LEFT($A692,4),Setor!$A:$E,3,0)),"")</f>
        <v/>
      </c>
      <c r="D692" s="46" t="str">
        <f>IFERROR((VLOOKUP(LEFT($A692,4),Setor!$A:$E,4,0)),"")</f>
        <v/>
      </c>
      <c r="E692" s="46" t="str">
        <f>IFERROR((VLOOKUP(LEFT($A692,4),Setor!$A:$E,5,0)),"")</f>
        <v/>
      </c>
      <c r="F692" s="47" t="str">
        <f>IFERROR(__xludf.DUMMYFUNCTION("IFERROR((GOOGLEFINANCE(A692)),"""")"),"")</f>
        <v/>
      </c>
      <c r="G692" s="47"/>
      <c r="H692" s="47"/>
      <c r="I692" s="47" t="str">
        <f>IFERROR(__xludf.DUMMYFUNCTION("IFERROR((GOOGLEFINANCE($A692,""high52"")),"""")"),"")</f>
        <v/>
      </c>
      <c r="J692" s="51"/>
      <c r="K692" s="51"/>
      <c r="L692" s="51"/>
      <c r="M692" s="52"/>
      <c r="N692" s="53"/>
      <c r="O692" s="53"/>
      <c r="P692" s="54"/>
      <c r="Q692" s="55"/>
      <c r="R692" s="56"/>
      <c r="S692" s="56"/>
      <c r="T692" s="53"/>
      <c r="U692" s="53"/>
      <c r="V692" s="56"/>
      <c r="W692" s="56"/>
      <c r="X692" s="53"/>
      <c r="Y692" s="54"/>
      <c r="Z692" s="56"/>
      <c r="AA692" s="57"/>
      <c r="AB692" s="57"/>
      <c r="AC692" s="58"/>
      <c r="AD692" s="57"/>
      <c r="AE692" s="56"/>
      <c r="AF692" s="56"/>
      <c r="AG692" s="56"/>
      <c r="AH692" s="56"/>
      <c r="AI692" s="57"/>
      <c r="AJ692" s="59"/>
      <c r="AK692" s="60"/>
      <c r="AL692" s="60"/>
      <c r="AM692" s="61"/>
      <c r="AN692" s="62"/>
      <c r="AO692" s="60"/>
      <c r="AP692" s="60"/>
      <c r="AQ692" s="18"/>
    </row>
    <row r="693">
      <c r="A693" s="72"/>
      <c r="B693" s="46"/>
      <c r="C693" s="46" t="str">
        <f>IFERROR((VLOOKUP(LEFT($A693,4),Setor!$A:$E,3,0)),"")</f>
        <v/>
      </c>
      <c r="D693" s="46" t="str">
        <f>IFERROR((VLOOKUP(LEFT($A693,4),Setor!$A:$E,4,0)),"")</f>
        <v/>
      </c>
      <c r="E693" s="46" t="str">
        <f>IFERROR((VLOOKUP(LEFT($A693,4),Setor!$A:$E,5,0)),"")</f>
        <v/>
      </c>
      <c r="F693" s="47" t="str">
        <f>IFERROR(__xludf.DUMMYFUNCTION("IFERROR((GOOGLEFINANCE(A693)),"""")"),"")</f>
        <v/>
      </c>
      <c r="G693" s="47"/>
      <c r="H693" s="47"/>
      <c r="I693" s="47" t="str">
        <f>IFERROR(__xludf.DUMMYFUNCTION("IFERROR((GOOGLEFINANCE($A693,""high52"")),"""")"),"")</f>
        <v/>
      </c>
      <c r="J693" s="51"/>
      <c r="K693" s="51"/>
      <c r="L693" s="51"/>
      <c r="M693" s="52"/>
      <c r="N693" s="53"/>
      <c r="O693" s="53"/>
      <c r="P693" s="54"/>
      <c r="Q693" s="55"/>
      <c r="R693" s="56"/>
      <c r="S693" s="56"/>
      <c r="T693" s="53"/>
      <c r="U693" s="53"/>
      <c r="V693" s="56"/>
      <c r="W693" s="56"/>
      <c r="X693" s="53"/>
      <c r="Y693" s="54"/>
      <c r="Z693" s="56"/>
      <c r="AA693" s="57"/>
      <c r="AB693" s="57"/>
      <c r="AC693" s="58"/>
      <c r="AD693" s="57"/>
      <c r="AE693" s="56"/>
      <c r="AF693" s="56"/>
      <c r="AG693" s="56"/>
      <c r="AH693" s="56"/>
      <c r="AI693" s="57"/>
      <c r="AJ693" s="59"/>
      <c r="AK693" s="60"/>
      <c r="AL693" s="60"/>
      <c r="AM693" s="61"/>
      <c r="AN693" s="62"/>
      <c r="AO693" s="60"/>
      <c r="AP693" s="60"/>
      <c r="AQ693" s="18"/>
    </row>
    <row r="694">
      <c r="A694" s="72"/>
      <c r="B694" s="46"/>
      <c r="C694" s="46" t="str">
        <f>IFERROR((VLOOKUP(LEFT($A694,4),Setor!$A:$E,3,0)),"")</f>
        <v/>
      </c>
      <c r="D694" s="46" t="str">
        <f>IFERROR((VLOOKUP(LEFT($A694,4),Setor!$A:$E,4,0)),"")</f>
        <v/>
      </c>
      <c r="E694" s="46" t="str">
        <f>IFERROR((VLOOKUP(LEFT($A694,4),Setor!$A:$E,5,0)),"")</f>
        <v/>
      </c>
      <c r="F694" s="47" t="str">
        <f>IFERROR(__xludf.DUMMYFUNCTION("IFERROR((GOOGLEFINANCE(A694)),"""")"),"")</f>
        <v/>
      </c>
      <c r="G694" s="47"/>
      <c r="H694" s="47"/>
      <c r="I694" s="47" t="str">
        <f>IFERROR(__xludf.DUMMYFUNCTION("IFERROR((GOOGLEFINANCE($A694,""high52"")),"""")"),"")</f>
        <v/>
      </c>
      <c r="J694" s="51"/>
      <c r="K694" s="51"/>
      <c r="L694" s="51"/>
      <c r="M694" s="52"/>
      <c r="N694" s="53"/>
      <c r="O694" s="53"/>
      <c r="P694" s="54"/>
      <c r="Q694" s="55"/>
      <c r="R694" s="56"/>
      <c r="S694" s="56"/>
      <c r="T694" s="53"/>
      <c r="U694" s="53"/>
      <c r="V694" s="56"/>
      <c r="W694" s="56"/>
      <c r="X694" s="53"/>
      <c r="Y694" s="54"/>
      <c r="Z694" s="56"/>
      <c r="AA694" s="57"/>
      <c r="AB694" s="57"/>
      <c r="AC694" s="58"/>
      <c r="AD694" s="57"/>
      <c r="AE694" s="56"/>
      <c r="AF694" s="56"/>
      <c r="AG694" s="56"/>
      <c r="AH694" s="56"/>
      <c r="AI694" s="57"/>
      <c r="AJ694" s="59"/>
      <c r="AK694" s="60"/>
      <c r="AL694" s="60"/>
      <c r="AM694" s="61"/>
      <c r="AN694" s="62"/>
      <c r="AO694" s="60"/>
      <c r="AP694" s="60"/>
      <c r="AQ694" s="18"/>
    </row>
    <row r="695">
      <c r="A695" s="72"/>
      <c r="B695" s="46"/>
      <c r="C695" s="46" t="str">
        <f>IFERROR((VLOOKUP(LEFT($A695,4),Setor!$A:$E,3,0)),"")</f>
        <v/>
      </c>
      <c r="D695" s="46" t="str">
        <f>IFERROR((VLOOKUP(LEFT($A695,4),Setor!$A:$E,4,0)),"")</f>
        <v/>
      </c>
      <c r="E695" s="46" t="str">
        <f>IFERROR((VLOOKUP(LEFT($A695,4),Setor!$A:$E,5,0)),"")</f>
        <v/>
      </c>
      <c r="F695" s="47" t="str">
        <f>IFERROR(__xludf.DUMMYFUNCTION("IFERROR((GOOGLEFINANCE(A695)),"""")"),"")</f>
        <v/>
      </c>
      <c r="G695" s="47"/>
      <c r="H695" s="47"/>
      <c r="I695" s="47" t="str">
        <f>IFERROR(__xludf.DUMMYFUNCTION("IFERROR((GOOGLEFINANCE($A695,""high52"")),"""")"),"")</f>
        <v/>
      </c>
      <c r="J695" s="51"/>
      <c r="K695" s="51"/>
      <c r="L695" s="51"/>
      <c r="M695" s="52"/>
      <c r="N695" s="53"/>
      <c r="O695" s="53"/>
      <c r="P695" s="54"/>
      <c r="Q695" s="55"/>
      <c r="R695" s="56"/>
      <c r="S695" s="56"/>
      <c r="T695" s="53"/>
      <c r="U695" s="53"/>
      <c r="V695" s="56"/>
      <c r="W695" s="56"/>
      <c r="X695" s="53"/>
      <c r="Y695" s="54"/>
      <c r="Z695" s="56"/>
      <c r="AA695" s="57"/>
      <c r="AB695" s="57"/>
      <c r="AC695" s="58"/>
      <c r="AD695" s="57"/>
      <c r="AE695" s="56"/>
      <c r="AF695" s="56"/>
      <c r="AG695" s="56"/>
      <c r="AH695" s="56"/>
      <c r="AI695" s="57"/>
      <c r="AJ695" s="59"/>
      <c r="AK695" s="60"/>
      <c r="AL695" s="60"/>
      <c r="AM695" s="61"/>
      <c r="AN695" s="62"/>
      <c r="AO695" s="60"/>
      <c r="AP695" s="60"/>
      <c r="AQ695" s="18"/>
    </row>
    <row r="696">
      <c r="A696" s="72"/>
      <c r="B696" s="46"/>
      <c r="C696" s="46" t="str">
        <f>IFERROR((VLOOKUP(LEFT($A696,4),Setor!$A:$E,3,0)),"")</f>
        <v/>
      </c>
      <c r="D696" s="46" t="str">
        <f>IFERROR((VLOOKUP(LEFT($A696,4),Setor!$A:$E,4,0)),"")</f>
        <v/>
      </c>
      <c r="E696" s="46" t="str">
        <f>IFERROR((VLOOKUP(LEFT($A696,4),Setor!$A:$E,5,0)),"")</f>
        <v/>
      </c>
      <c r="F696" s="47" t="str">
        <f>IFERROR(__xludf.DUMMYFUNCTION("IFERROR((GOOGLEFINANCE(A696)),"""")"),"")</f>
        <v/>
      </c>
      <c r="G696" s="47"/>
      <c r="H696" s="47"/>
      <c r="I696" s="47" t="str">
        <f>IFERROR(__xludf.DUMMYFUNCTION("IFERROR((GOOGLEFINANCE($A696,""high52"")),"""")"),"")</f>
        <v/>
      </c>
      <c r="J696" s="51"/>
      <c r="K696" s="51"/>
      <c r="L696" s="51"/>
      <c r="M696" s="52"/>
      <c r="N696" s="53"/>
      <c r="O696" s="53"/>
      <c r="P696" s="54"/>
      <c r="Q696" s="55"/>
      <c r="R696" s="56"/>
      <c r="S696" s="56"/>
      <c r="T696" s="53"/>
      <c r="U696" s="53"/>
      <c r="V696" s="56"/>
      <c r="W696" s="56"/>
      <c r="X696" s="53"/>
      <c r="Y696" s="54"/>
      <c r="Z696" s="56"/>
      <c r="AA696" s="57"/>
      <c r="AB696" s="57"/>
      <c r="AC696" s="58"/>
      <c r="AD696" s="57"/>
      <c r="AE696" s="56"/>
      <c r="AF696" s="56"/>
      <c r="AG696" s="56"/>
      <c r="AH696" s="56"/>
      <c r="AI696" s="57"/>
      <c r="AJ696" s="59"/>
      <c r="AK696" s="60"/>
      <c r="AL696" s="60"/>
      <c r="AM696" s="61"/>
      <c r="AN696" s="62"/>
      <c r="AO696" s="60"/>
      <c r="AP696" s="60"/>
      <c r="AQ696" s="18"/>
    </row>
    <row r="697">
      <c r="A697" s="72"/>
      <c r="B697" s="46"/>
      <c r="C697" s="46" t="str">
        <f>IFERROR((VLOOKUP(LEFT($A697,4),Setor!$A:$E,3,0)),"")</f>
        <v/>
      </c>
      <c r="D697" s="46" t="str">
        <f>IFERROR((VLOOKUP(LEFT($A697,4),Setor!$A:$E,4,0)),"")</f>
        <v/>
      </c>
      <c r="E697" s="46" t="str">
        <f>IFERROR((VLOOKUP(LEFT($A697,4),Setor!$A:$E,5,0)),"")</f>
        <v/>
      </c>
      <c r="F697" s="47" t="str">
        <f>IFERROR(__xludf.DUMMYFUNCTION("IFERROR((GOOGLEFINANCE(A697)),"""")"),"")</f>
        <v/>
      </c>
      <c r="G697" s="47"/>
      <c r="H697" s="47"/>
      <c r="I697" s="47" t="str">
        <f>IFERROR(__xludf.DUMMYFUNCTION("IFERROR((GOOGLEFINANCE($A697,""high52"")),"""")"),"")</f>
        <v/>
      </c>
      <c r="J697" s="51"/>
      <c r="K697" s="51"/>
      <c r="L697" s="51"/>
      <c r="M697" s="52"/>
      <c r="N697" s="53"/>
      <c r="O697" s="53"/>
      <c r="P697" s="54"/>
      <c r="Q697" s="55"/>
      <c r="R697" s="56"/>
      <c r="S697" s="56"/>
      <c r="T697" s="53"/>
      <c r="U697" s="53"/>
      <c r="V697" s="56"/>
      <c r="W697" s="56"/>
      <c r="X697" s="53"/>
      <c r="Y697" s="54"/>
      <c r="Z697" s="56"/>
      <c r="AA697" s="57"/>
      <c r="AB697" s="57"/>
      <c r="AC697" s="58"/>
      <c r="AD697" s="57"/>
      <c r="AE697" s="56"/>
      <c r="AF697" s="56"/>
      <c r="AG697" s="56"/>
      <c r="AH697" s="56"/>
      <c r="AI697" s="57"/>
      <c r="AJ697" s="59"/>
      <c r="AK697" s="60"/>
      <c r="AL697" s="60"/>
      <c r="AM697" s="61"/>
      <c r="AN697" s="62"/>
      <c r="AO697" s="60"/>
      <c r="AP697" s="60"/>
      <c r="AQ697" s="18"/>
    </row>
    <row r="698">
      <c r="A698" s="72"/>
      <c r="B698" s="46"/>
      <c r="C698" s="46" t="str">
        <f>IFERROR((VLOOKUP(LEFT($A698,4),Setor!$A:$E,3,0)),"")</f>
        <v/>
      </c>
      <c r="D698" s="46" t="str">
        <f>IFERROR((VLOOKUP(LEFT($A698,4),Setor!$A:$E,4,0)),"")</f>
        <v/>
      </c>
      <c r="E698" s="46" t="str">
        <f>IFERROR((VLOOKUP(LEFT($A698,4),Setor!$A:$E,5,0)),"")</f>
        <v/>
      </c>
      <c r="F698" s="47" t="str">
        <f>IFERROR(__xludf.DUMMYFUNCTION("IFERROR((GOOGLEFINANCE(A698)),"""")"),"")</f>
        <v/>
      </c>
      <c r="G698" s="47"/>
      <c r="H698" s="47"/>
      <c r="I698" s="47" t="str">
        <f>IFERROR(__xludf.DUMMYFUNCTION("IFERROR((GOOGLEFINANCE($A698,""high52"")),"""")"),"")</f>
        <v/>
      </c>
      <c r="J698" s="51"/>
      <c r="K698" s="51"/>
      <c r="L698" s="51"/>
      <c r="M698" s="52"/>
      <c r="N698" s="53"/>
      <c r="O698" s="53"/>
      <c r="P698" s="54"/>
      <c r="Q698" s="55"/>
      <c r="R698" s="56"/>
      <c r="S698" s="56"/>
      <c r="T698" s="53"/>
      <c r="U698" s="53"/>
      <c r="V698" s="56"/>
      <c r="W698" s="56"/>
      <c r="X698" s="53"/>
      <c r="Y698" s="54"/>
      <c r="Z698" s="56"/>
      <c r="AA698" s="57"/>
      <c r="AB698" s="57"/>
      <c r="AC698" s="58"/>
      <c r="AD698" s="57"/>
      <c r="AE698" s="56"/>
      <c r="AF698" s="56"/>
      <c r="AG698" s="56"/>
      <c r="AH698" s="56"/>
      <c r="AI698" s="57"/>
      <c r="AJ698" s="59"/>
      <c r="AK698" s="60"/>
      <c r="AL698" s="60"/>
      <c r="AM698" s="61"/>
      <c r="AN698" s="62"/>
      <c r="AO698" s="60"/>
      <c r="AP698" s="60"/>
      <c r="AQ698" s="18"/>
    </row>
    <row r="699">
      <c r="A699" s="72"/>
      <c r="B699" s="46"/>
      <c r="C699" s="46" t="str">
        <f>IFERROR((VLOOKUP(LEFT($A699,4),Setor!$A:$E,3,0)),"")</f>
        <v/>
      </c>
      <c r="D699" s="46" t="str">
        <f>IFERROR((VLOOKUP(LEFT($A699,4),Setor!$A:$E,4,0)),"")</f>
        <v/>
      </c>
      <c r="E699" s="46" t="str">
        <f>IFERROR((VLOOKUP(LEFT($A699,4),Setor!$A:$E,5,0)),"")</f>
        <v/>
      </c>
      <c r="F699" s="47" t="str">
        <f>IFERROR(__xludf.DUMMYFUNCTION("IFERROR((GOOGLEFINANCE(A699)),"""")"),"")</f>
        <v/>
      </c>
      <c r="G699" s="47"/>
      <c r="H699" s="47"/>
      <c r="I699" s="47" t="str">
        <f>IFERROR(__xludf.DUMMYFUNCTION("IFERROR((GOOGLEFINANCE($A699,""high52"")),"""")"),"")</f>
        <v/>
      </c>
      <c r="J699" s="51"/>
      <c r="K699" s="51"/>
      <c r="L699" s="51"/>
      <c r="M699" s="52"/>
      <c r="N699" s="53"/>
      <c r="O699" s="53"/>
      <c r="P699" s="54"/>
      <c r="Q699" s="55"/>
      <c r="R699" s="56"/>
      <c r="S699" s="56"/>
      <c r="T699" s="53"/>
      <c r="U699" s="53"/>
      <c r="V699" s="56"/>
      <c r="W699" s="56"/>
      <c r="X699" s="53"/>
      <c r="Y699" s="54"/>
      <c r="Z699" s="56"/>
      <c r="AA699" s="57"/>
      <c r="AB699" s="57"/>
      <c r="AC699" s="58"/>
      <c r="AD699" s="57"/>
      <c r="AE699" s="56"/>
      <c r="AF699" s="56"/>
      <c r="AG699" s="56"/>
      <c r="AH699" s="56"/>
      <c r="AI699" s="57"/>
      <c r="AJ699" s="59"/>
      <c r="AK699" s="60"/>
      <c r="AL699" s="60"/>
      <c r="AM699" s="61"/>
      <c r="AN699" s="62"/>
      <c r="AO699" s="60"/>
      <c r="AP699" s="60"/>
      <c r="AQ699" s="18"/>
    </row>
    <row r="700">
      <c r="A700" s="72"/>
      <c r="B700" s="46"/>
      <c r="C700" s="46" t="str">
        <f>IFERROR((VLOOKUP(LEFT($A700,4),Setor!$A:$E,3,0)),"")</f>
        <v/>
      </c>
      <c r="D700" s="46" t="str">
        <f>IFERROR((VLOOKUP(LEFT($A700,4),Setor!$A:$E,4,0)),"")</f>
        <v/>
      </c>
      <c r="E700" s="46" t="str">
        <f>IFERROR((VLOOKUP(LEFT($A700,4),Setor!$A:$E,5,0)),"")</f>
        <v/>
      </c>
      <c r="F700" s="47" t="str">
        <f>IFERROR(__xludf.DUMMYFUNCTION("IFERROR((GOOGLEFINANCE(A700)),"""")"),"")</f>
        <v/>
      </c>
      <c r="G700" s="47"/>
      <c r="H700" s="47"/>
      <c r="I700" s="47" t="str">
        <f>IFERROR(__xludf.DUMMYFUNCTION("IFERROR((GOOGLEFINANCE($A700,""high52"")),"""")"),"")</f>
        <v/>
      </c>
      <c r="J700" s="51"/>
      <c r="K700" s="51"/>
      <c r="L700" s="51"/>
      <c r="M700" s="52"/>
      <c r="N700" s="53"/>
      <c r="O700" s="53"/>
      <c r="P700" s="54"/>
      <c r="Q700" s="55"/>
      <c r="R700" s="56"/>
      <c r="S700" s="56"/>
      <c r="T700" s="53"/>
      <c r="U700" s="53"/>
      <c r="V700" s="56"/>
      <c r="W700" s="56"/>
      <c r="X700" s="53"/>
      <c r="Y700" s="54"/>
      <c r="Z700" s="56"/>
      <c r="AA700" s="57"/>
      <c r="AB700" s="57"/>
      <c r="AC700" s="58"/>
      <c r="AD700" s="57"/>
      <c r="AE700" s="56"/>
      <c r="AF700" s="56"/>
      <c r="AG700" s="56"/>
      <c r="AH700" s="56"/>
      <c r="AI700" s="57"/>
      <c r="AJ700" s="59"/>
      <c r="AK700" s="60"/>
      <c r="AL700" s="60"/>
      <c r="AM700" s="61"/>
      <c r="AN700" s="62"/>
      <c r="AO700" s="60"/>
      <c r="AP700" s="60"/>
      <c r="AQ700" s="18"/>
    </row>
    <row r="701">
      <c r="A701" s="72"/>
      <c r="B701" s="46"/>
      <c r="C701" s="46" t="str">
        <f>IFERROR((VLOOKUP(LEFT($A701,4),Setor!$A:$E,3,0)),"")</f>
        <v/>
      </c>
      <c r="D701" s="46" t="str">
        <f>IFERROR((VLOOKUP(LEFT($A701,4),Setor!$A:$E,4,0)),"")</f>
        <v/>
      </c>
      <c r="E701" s="46" t="str">
        <f>IFERROR((VLOOKUP(LEFT($A701,4),Setor!$A:$E,5,0)),"")</f>
        <v/>
      </c>
      <c r="F701" s="47" t="str">
        <f>IFERROR(__xludf.DUMMYFUNCTION("IFERROR((GOOGLEFINANCE(A701)),"""")"),"")</f>
        <v/>
      </c>
      <c r="G701" s="47"/>
      <c r="H701" s="47"/>
      <c r="I701" s="47" t="str">
        <f>IFERROR(__xludf.DUMMYFUNCTION("IFERROR((GOOGLEFINANCE($A701,""high52"")),"""")"),"")</f>
        <v/>
      </c>
      <c r="J701" s="51"/>
      <c r="K701" s="51"/>
      <c r="L701" s="51"/>
      <c r="M701" s="52"/>
      <c r="N701" s="53"/>
      <c r="O701" s="53"/>
      <c r="P701" s="54"/>
      <c r="Q701" s="55"/>
      <c r="R701" s="56"/>
      <c r="S701" s="56"/>
      <c r="T701" s="53"/>
      <c r="U701" s="53"/>
      <c r="V701" s="56"/>
      <c r="W701" s="56"/>
      <c r="X701" s="53"/>
      <c r="Y701" s="54"/>
      <c r="Z701" s="56"/>
      <c r="AA701" s="57"/>
      <c r="AB701" s="57"/>
      <c r="AC701" s="58"/>
      <c r="AD701" s="57"/>
      <c r="AE701" s="56"/>
      <c r="AF701" s="56"/>
      <c r="AG701" s="56"/>
      <c r="AH701" s="56"/>
      <c r="AI701" s="57"/>
      <c r="AJ701" s="59"/>
      <c r="AK701" s="60"/>
      <c r="AL701" s="60"/>
      <c r="AM701" s="61"/>
      <c r="AN701" s="62"/>
      <c r="AO701" s="60"/>
      <c r="AP701" s="60"/>
      <c r="AQ701" s="18"/>
    </row>
    <row r="702">
      <c r="A702" s="72"/>
      <c r="B702" s="46"/>
      <c r="C702" s="46" t="str">
        <f>IFERROR((VLOOKUP(LEFT($A702,4),Setor!$A:$E,3,0)),"")</f>
        <v/>
      </c>
      <c r="D702" s="46" t="str">
        <f>IFERROR((VLOOKUP(LEFT($A702,4),Setor!$A:$E,4,0)),"")</f>
        <v/>
      </c>
      <c r="E702" s="46" t="str">
        <f>IFERROR((VLOOKUP(LEFT($A702,4),Setor!$A:$E,5,0)),"")</f>
        <v/>
      </c>
      <c r="F702" s="47" t="str">
        <f>IFERROR(__xludf.DUMMYFUNCTION("IFERROR((GOOGLEFINANCE(A702)),"""")"),"")</f>
        <v/>
      </c>
      <c r="G702" s="47"/>
      <c r="H702" s="47"/>
      <c r="I702" s="47" t="str">
        <f>IFERROR(__xludf.DUMMYFUNCTION("IFERROR((GOOGLEFINANCE($A702,""high52"")),"""")"),"")</f>
        <v/>
      </c>
      <c r="J702" s="51"/>
      <c r="K702" s="51"/>
      <c r="L702" s="51"/>
      <c r="M702" s="52"/>
      <c r="N702" s="53"/>
      <c r="O702" s="53"/>
      <c r="P702" s="54"/>
      <c r="Q702" s="55"/>
      <c r="R702" s="56"/>
      <c r="S702" s="56"/>
      <c r="T702" s="53"/>
      <c r="U702" s="53"/>
      <c r="V702" s="56"/>
      <c r="W702" s="56"/>
      <c r="X702" s="53"/>
      <c r="Y702" s="54"/>
      <c r="Z702" s="56"/>
      <c r="AA702" s="57"/>
      <c r="AB702" s="57"/>
      <c r="AC702" s="58"/>
      <c r="AD702" s="57"/>
      <c r="AE702" s="56"/>
      <c r="AF702" s="56"/>
      <c r="AG702" s="56"/>
      <c r="AH702" s="56"/>
      <c r="AI702" s="57"/>
      <c r="AJ702" s="59"/>
      <c r="AK702" s="60"/>
      <c r="AL702" s="60"/>
      <c r="AM702" s="61"/>
      <c r="AN702" s="62"/>
      <c r="AO702" s="60"/>
      <c r="AP702" s="60"/>
      <c r="AQ702" s="18"/>
    </row>
    <row r="703">
      <c r="A703" s="72"/>
      <c r="B703" s="46"/>
      <c r="C703" s="46" t="str">
        <f>IFERROR((VLOOKUP(LEFT($A703,4),Setor!$A:$E,3,0)),"")</f>
        <v/>
      </c>
      <c r="D703" s="46" t="str">
        <f>IFERROR((VLOOKUP(LEFT($A703,4),Setor!$A:$E,4,0)),"")</f>
        <v/>
      </c>
      <c r="E703" s="46" t="str">
        <f>IFERROR((VLOOKUP(LEFT($A703,4),Setor!$A:$E,5,0)),"")</f>
        <v/>
      </c>
      <c r="F703" s="47" t="str">
        <f>IFERROR(__xludf.DUMMYFUNCTION("IFERROR((GOOGLEFINANCE(A703)),"""")"),"")</f>
        <v/>
      </c>
      <c r="G703" s="47"/>
      <c r="H703" s="47"/>
      <c r="I703" s="47" t="str">
        <f>IFERROR(__xludf.DUMMYFUNCTION("IFERROR((GOOGLEFINANCE($A703,""high52"")),"""")"),"")</f>
        <v/>
      </c>
      <c r="J703" s="51"/>
      <c r="K703" s="51"/>
      <c r="L703" s="51"/>
      <c r="M703" s="52"/>
      <c r="N703" s="53"/>
      <c r="O703" s="53"/>
      <c r="P703" s="54"/>
      <c r="Q703" s="55"/>
      <c r="R703" s="56"/>
      <c r="S703" s="56"/>
      <c r="T703" s="53"/>
      <c r="U703" s="53"/>
      <c r="V703" s="56"/>
      <c r="W703" s="56"/>
      <c r="X703" s="53"/>
      <c r="Y703" s="54"/>
      <c r="Z703" s="56"/>
      <c r="AA703" s="57"/>
      <c r="AB703" s="57"/>
      <c r="AC703" s="58"/>
      <c r="AD703" s="57"/>
      <c r="AE703" s="56"/>
      <c r="AF703" s="56"/>
      <c r="AG703" s="56"/>
      <c r="AH703" s="56"/>
      <c r="AI703" s="57"/>
      <c r="AJ703" s="59"/>
      <c r="AK703" s="60"/>
      <c r="AL703" s="60"/>
      <c r="AM703" s="61"/>
      <c r="AN703" s="62"/>
      <c r="AO703" s="60"/>
      <c r="AP703" s="60"/>
      <c r="AQ703" s="18"/>
    </row>
    <row r="704">
      <c r="A704" s="72"/>
      <c r="B704" s="46"/>
      <c r="C704" s="46" t="str">
        <f>IFERROR((VLOOKUP(LEFT($A704,4),Setor!$A:$E,3,0)),"")</f>
        <v/>
      </c>
      <c r="D704" s="46" t="str">
        <f>IFERROR((VLOOKUP(LEFT($A704,4),Setor!$A:$E,4,0)),"")</f>
        <v/>
      </c>
      <c r="E704" s="46" t="str">
        <f>IFERROR((VLOOKUP(LEFT($A704,4),Setor!$A:$E,5,0)),"")</f>
        <v/>
      </c>
      <c r="F704" s="47" t="str">
        <f>IFERROR(__xludf.DUMMYFUNCTION("IFERROR((GOOGLEFINANCE(A704)),"""")"),"")</f>
        <v/>
      </c>
      <c r="G704" s="47"/>
      <c r="H704" s="47"/>
      <c r="I704" s="47" t="str">
        <f>IFERROR(__xludf.DUMMYFUNCTION("IFERROR((GOOGLEFINANCE($A704,""high52"")),"""")"),"")</f>
        <v/>
      </c>
      <c r="J704" s="51"/>
      <c r="K704" s="51"/>
      <c r="L704" s="51"/>
      <c r="M704" s="52"/>
      <c r="N704" s="53"/>
      <c r="O704" s="53"/>
      <c r="P704" s="54"/>
      <c r="Q704" s="55"/>
      <c r="R704" s="56"/>
      <c r="S704" s="56"/>
      <c r="T704" s="53"/>
      <c r="U704" s="53"/>
      <c r="V704" s="56"/>
      <c r="W704" s="56"/>
      <c r="X704" s="53"/>
      <c r="Y704" s="54"/>
      <c r="Z704" s="56"/>
      <c r="AA704" s="57"/>
      <c r="AB704" s="57"/>
      <c r="AC704" s="58"/>
      <c r="AD704" s="57"/>
      <c r="AE704" s="56"/>
      <c r="AF704" s="56"/>
      <c r="AG704" s="56"/>
      <c r="AH704" s="56"/>
      <c r="AI704" s="57"/>
      <c r="AJ704" s="59"/>
      <c r="AK704" s="60"/>
      <c r="AL704" s="60"/>
      <c r="AM704" s="61"/>
      <c r="AN704" s="62"/>
      <c r="AO704" s="60"/>
      <c r="AP704" s="60"/>
      <c r="AQ704" s="18"/>
    </row>
    <row r="705">
      <c r="A705" s="72"/>
      <c r="B705" s="46"/>
      <c r="C705" s="46" t="str">
        <f>IFERROR((VLOOKUP(LEFT($A705,4),Setor!$A:$E,3,0)),"")</f>
        <v/>
      </c>
      <c r="D705" s="46" t="str">
        <f>IFERROR((VLOOKUP(LEFT($A705,4),Setor!$A:$E,4,0)),"")</f>
        <v/>
      </c>
      <c r="E705" s="46" t="str">
        <f>IFERROR((VLOOKUP(LEFT($A705,4),Setor!$A:$E,5,0)),"")</f>
        <v/>
      </c>
      <c r="F705" s="47" t="str">
        <f>IFERROR(__xludf.DUMMYFUNCTION("IFERROR((GOOGLEFINANCE(A705)),"""")"),"")</f>
        <v/>
      </c>
      <c r="G705" s="47"/>
      <c r="H705" s="47"/>
      <c r="I705" s="47" t="str">
        <f>IFERROR(__xludf.DUMMYFUNCTION("IFERROR((GOOGLEFINANCE($A705,""high52"")),"""")"),"")</f>
        <v/>
      </c>
      <c r="J705" s="51"/>
      <c r="K705" s="51"/>
      <c r="L705" s="51"/>
      <c r="M705" s="52"/>
      <c r="N705" s="53"/>
      <c r="O705" s="53"/>
      <c r="P705" s="54"/>
      <c r="Q705" s="55"/>
      <c r="R705" s="56"/>
      <c r="S705" s="56"/>
      <c r="T705" s="53"/>
      <c r="U705" s="53"/>
      <c r="V705" s="56"/>
      <c r="W705" s="56"/>
      <c r="X705" s="53"/>
      <c r="Y705" s="54"/>
      <c r="Z705" s="56"/>
      <c r="AA705" s="57"/>
      <c r="AB705" s="57"/>
      <c r="AC705" s="58"/>
      <c r="AD705" s="57"/>
      <c r="AE705" s="56"/>
      <c r="AF705" s="56"/>
      <c r="AG705" s="56"/>
      <c r="AH705" s="56"/>
      <c r="AI705" s="57"/>
      <c r="AJ705" s="59"/>
      <c r="AK705" s="60"/>
      <c r="AL705" s="60"/>
      <c r="AM705" s="61"/>
      <c r="AN705" s="62"/>
      <c r="AO705" s="60"/>
      <c r="AP705" s="60"/>
      <c r="AQ705" s="18"/>
    </row>
    <row r="706">
      <c r="A706" s="72"/>
      <c r="B706" s="46"/>
      <c r="C706" s="46" t="str">
        <f>IFERROR((VLOOKUP(LEFT($A706,4),Setor!$A:$E,3,0)),"")</f>
        <v/>
      </c>
      <c r="D706" s="46" t="str">
        <f>IFERROR((VLOOKUP(LEFT($A706,4),Setor!$A:$E,4,0)),"")</f>
        <v/>
      </c>
      <c r="E706" s="46" t="str">
        <f>IFERROR((VLOOKUP(LEFT($A706,4),Setor!$A:$E,5,0)),"")</f>
        <v/>
      </c>
      <c r="F706" s="47" t="str">
        <f>IFERROR(__xludf.DUMMYFUNCTION("IFERROR((GOOGLEFINANCE(A706)),"""")"),"")</f>
        <v/>
      </c>
      <c r="G706" s="47"/>
      <c r="H706" s="47"/>
      <c r="I706" s="47" t="str">
        <f>IFERROR(__xludf.DUMMYFUNCTION("IFERROR((GOOGLEFINANCE($A706,""high52"")),"""")"),"")</f>
        <v/>
      </c>
      <c r="J706" s="51"/>
      <c r="K706" s="51"/>
      <c r="L706" s="51"/>
      <c r="M706" s="52"/>
      <c r="N706" s="53"/>
      <c r="O706" s="53"/>
      <c r="P706" s="54"/>
      <c r="Q706" s="55"/>
      <c r="R706" s="56"/>
      <c r="S706" s="56"/>
      <c r="T706" s="53"/>
      <c r="U706" s="53"/>
      <c r="V706" s="56"/>
      <c r="W706" s="56"/>
      <c r="X706" s="53"/>
      <c r="Y706" s="54"/>
      <c r="Z706" s="56"/>
      <c r="AA706" s="57"/>
      <c r="AB706" s="57"/>
      <c r="AC706" s="58"/>
      <c r="AD706" s="57"/>
      <c r="AE706" s="56"/>
      <c r="AF706" s="56"/>
      <c r="AG706" s="56"/>
      <c r="AH706" s="56"/>
      <c r="AI706" s="57"/>
      <c r="AJ706" s="59"/>
      <c r="AK706" s="60"/>
      <c r="AL706" s="60"/>
      <c r="AM706" s="61"/>
      <c r="AN706" s="62"/>
      <c r="AO706" s="60"/>
      <c r="AP706" s="60"/>
      <c r="AQ706" s="18"/>
    </row>
    <row r="707">
      <c r="A707" s="72"/>
      <c r="B707" s="46"/>
      <c r="C707" s="46" t="str">
        <f>IFERROR((VLOOKUP(LEFT($A707,4),Setor!$A:$E,3,0)),"")</f>
        <v/>
      </c>
      <c r="D707" s="46" t="str">
        <f>IFERROR((VLOOKUP(LEFT($A707,4),Setor!$A:$E,4,0)),"")</f>
        <v/>
      </c>
      <c r="E707" s="46" t="str">
        <f>IFERROR((VLOOKUP(LEFT($A707,4),Setor!$A:$E,5,0)),"")</f>
        <v/>
      </c>
      <c r="F707" s="47" t="str">
        <f>IFERROR(__xludf.DUMMYFUNCTION("IFERROR((GOOGLEFINANCE(A707)),"""")"),"")</f>
        <v/>
      </c>
      <c r="G707" s="47"/>
      <c r="H707" s="47"/>
      <c r="I707" s="47" t="str">
        <f>IFERROR(__xludf.DUMMYFUNCTION("IFERROR((GOOGLEFINANCE($A707,""high52"")),"""")"),"")</f>
        <v/>
      </c>
      <c r="J707" s="51"/>
      <c r="K707" s="51"/>
      <c r="L707" s="51"/>
      <c r="M707" s="52"/>
      <c r="N707" s="53"/>
      <c r="O707" s="53"/>
      <c r="P707" s="54"/>
      <c r="Q707" s="55"/>
      <c r="R707" s="56"/>
      <c r="S707" s="56"/>
      <c r="T707" s="53"/>
      <c r="U707" s="53"/>
      <c r="V707" s="56"/>
      <c r="W707" s="56"/>
      <c r="X707" s="53"/>
      <c r="Y707" s="54"/>
      <c r="Z707" s="56"/>
      <c r="AA707" s="57"/>
      <c r="AB707" s="57"/>
      <c r="AC707" s="58"/>
      <c r="AD707" s="57"/>
      <c r="AE707" s="56"/>
      <c r="AF707" s="56"/>
      <c r="AG707" s="56"/>
      <c r="AH707" s="56"/>
      <c r="AI707" s="57"/>
      <c r="AJ707" s="59"/>
      <c r="AK707" s="60"/>
      <c r="AL707" s="60"/>
      <c r="AM707" s="61"/>
      <c r="AN707" s="62"/>
      <c r="AO707" s="60"/>
      <c r="AP707" s="60"/>
      <c r="AQ707" s="18"/>
    </row>
    <row r="708">
      <c r="A708" s="72"/>
      <c r="B708" s="46"/>
      <c r="C708" s="46" t="str">
        <f>IFERROR((VLOOKUP(LEFT($A708,4),Setor!$A:$E,3,0)),"")</f>
        <v/>
      </c>
      <c r="D708" s="46" t="str">
        <f>IFERROR((VLOOKUP(LEFT($A708,4),Setor!$A:$E,4,0)),"")</f>
        <v/>
      </c>
      <c r="E708" s="46" t="str">
        <f>IFERROR((VLOOKUP(LEFT($A708,4),Setor!$A:$E,5,0)),"")</f>
        <v/>
      </c>
      <c r="F708" s="47" t="str">
        <f>IFERROR(__xludf.DUMMYFUNCTION("IFERROR((GOOGLEFINANCE(A708)),"""")"),"")</f>
        <v/>
      </c>
      <c r="G708" s="47"/>
      <c r="H708" s="47"/>
      <c r="I708" s="47" t="str">
        <f>IFERROR(__xludf.DUMMYFUNCTION("IFERROR((GOOGLEFINANCE($A708,""high52"")),"""")"),"")</f>
        <v/>
      </c>
      <c r="J708" s="51"/>
      <c r="K708" s="51"/>
      <c r="L708" s="51"/>
      <c r="M708" s="52"/>
      <c r="N708" s="53"/>
      <c r="O708" s="53"/>
      <c r="P708" s="54"/>
      <c r="Q708" s="55"/>
      <c r="R708" s="56"/>
      <c r="S708" s="56"/>
      <c r="T708" s="53"/>
      <c r="U708" s="53"/>
      <c r="V708" s="56"/>
      <c r="W708" s="56"/>
      <c r="X708" s="53"/>
      <c r="Y708" s="54"/>
      <c r="Z708" s="56"/>
      <c r="AA708" s="57"/>
      <c r="AB708" s="57"/>
      <c r="AC708" s="58"/>
      <c r="AD708" s="57"/>
      <c r="AE708" s="56"/>
      <c r="AF708" s="56"/>
      <c r="AG708" s="56"/>
      <c r="AH708" s="56"/>
      <c r="AI708" s="57"/>
      <c r="AJ708" s="59"/>
      <c r="AK708" s="60"/>
      <c r="AL708" s="60"/>
      <c r="AM708" s="61"/>
      <c r="AN708" s="62"/>
      <c r="AO708" s="60"/>
      <c r="AP708" s="60"/>
      <c r="AQ708" s="18"/>
    </row>
    <row r="709">
      <c r="A709" s="72"/>
      <c r="B709" s="46"/>
      <c r="C709" s="46" t="str">
        <f>IFERROR((VLOOKUP(LEFT($A709,4),Setor!$A:$E,3,0)),"")</f>
        <v/>
      </c>
      <c r="D709" s="46" t="str">
        <f>IFERROR((VLOOKUP(LEFT($A709,4),Setor!$A:$E,4,0)),"")</f>
        <v/>
      </c>
      <c r="E709" s="46" t="str">
        <f>IFERROR((VLOOKUP(LEFT($A709,4),Setor!$A:$E,5,0)),"")</f>
        <v/>
      </c>
      <c r="F709" s="47" t="str">
        <f>IFERROR(__xludf.DUMMYFUNCTION("IFERROR((GOOGLEFINANCE(A709)),"""")"),"")</f>
        <v/>
      </c>
      <c r="G709" s="47"/>
      <c r="H709" s="47"/>
      <c r="I709" s="47" t="str">
        <f>IFERROR(__xludf.DUMMYFUNCTION("IFERROR((GOOGLEFINANCE($A709,""high52"")),"""")"),"")</f>
        <v/>
      </c>
      <c r="J709" s="51"/>
      <c r="K709" s="51"/>
      <c r="L709" s="51"/>
      <c r="M709" s="52"/>
      <c r="N709" s="53"/>
      <c r="O709" s="53"/>
      <c r="P709" s="54"/>
      <c r="Q709" s="55"/>
      <c r="R709" s="56"/>
      <c r="S709" s="56"/>
      <c r="T709" s="53"/>
      <c r="U709" s="53"/>
      <c r="V709" s="56"/>
      <c r="W709" s="56"/>
      <c r="X709" s="53"/>
      <c r="Y709" s="54"/>
      <c r="Z709" s="56"/>
      <c r="AA709" s="57"/>
      <c r="AB709" s="57"/>
      <c r="AC709" s="58"/>
      <c r="AD709" s="57"/>
      <c r="AE709" s="56"/>
      <c r="AF709" s="56"/>
      <c r="AG709" s="56"/>
      <c r="AH709" s="56"/>
      <c r="AI709" s="57"/>
      <c r="AJ709" s="59"/>
      <c r="AK709" s="60"/>
      <c r="AL709" s="60"/>
      <c r="AM709" s="61"/>
      <c r="AN709" s="62"/>
      <c r="AO709" s="60"/>
      <c r="AP709" s="60"/>
      <c r="AQ709" s="18"/>
    </row>
    <row r="710">
      <c r="A710" s="72"/>
      <c r="B710" s="46"/>
      <c r="C710" s="46" t="str">
        <f>IFERROR((VLOOKUP(LEFT($A710,4),Setor!$A:$E,3,0)),"")</f>
        <v/>
      </c>
      <c r="D710" s="46" t="str">
        <f>IFERROR((VLOOKUP(LEFT($A710,4),Setor!$A:$E,4,0)),"")</f>
        <v/>
      </c>
      <c r="E710" s="46" t="str">
        <f>IFERROR((VLOOKUP(LEFT($A710,4),Setor!$A:$E,5,0)),"")</f>
        <v/>
      </c>
      <c r="F710" s="47" t="str">
        <f>IFERROR(__xludf.DUMMYFUNCTION("IFERROR((GOOGLEFINANCE(A710)),"""")"),"")</f>
        <v/>
      </c>
      <c r="G710" s="47"/>
      <c r="H710" s="47"/>
      <c r="I710" s="47" t="str">
        <f>IFERROR(__xludf.DUMMYFUNCTION("IFERROR((GOOGLEFINANCE($A710,""high52"")),"""")"),"")</f>
        <v/>
      </c>
      <c r="J710" s="51"/>
      <c r="K710" s="51"/>
      <c r="L710" s="51"/>
      <c r="M710" s="52"/>
      <c r="N710" s="53"/>
      <c r="O710" s="53"/>
      <c r="P710" s="54"/>
      <c r="Q710" s="55"/>
      <c r="R710" s="56"/>
      <c r="S710" s="56"/>
      <c r="T710" s="53"/>
      <c r="U710" s="53"/>
      <c r="V710" s="56"/>
      <c r="W710" s="56"/>
      <c r="X710" s="53"/>
      <c r="Y710" s="54"/>
      <c r="Z710" s="56"/>
      <c r="AA710" s="57"/>
      <c r="AB710" s="57"/>
      <c r="AC710" s="58"/>
      <c r="AD710" s="57"/>
      <c r="AE710" s="56"/>
      <c r="AF710" s="56"/>
      <c r="AG710" s="56"/>
      <c r="AH710" s="56"/>
      <c r="AI710" s="57"/>
      <c r="AJ710" s="59"/>
      <c r="AK710" s="60"/>
      <c r="AL710" s="60"/>
      <c r="AM710" s="61"/>
      <c r="AN710" s="62"/>
      <c r="AO710" s="60"/>
      <c r="AP710" s="60"/>
      <c r="AQ710" s="18"/>
    </row>
    <row r="711">
      <c r="A711" s="72"/>
      <c r="B711" s="46"/>
      <c r="C711" s="46" t="str">
        <f>IFERROR((VLOOKUP(LEFT($A711,4),Setor!$A:$E,3,0)),"")</f>
        <v/>
      </c>
      <c r="D711" s="46" t="str">
        <f>IFERROR((VLOOKUP(LEFT($A711,4),Setor!$A:$E,4,0)),"")</f>
        <v/>
      </c>
      <c r="E711" s="46" t="str">
        <f>IFERROR((VLOOKUP(LEFT($A711,4),Setor!$A:$E,5,0)),"")</f>
        <v/>
      </c>
      <c r="F711" s="47" t="str">
        <f>IFERROR(__xludf.DUMMYFUNCTION("IFERROR((GOOGLEFINANCE(A711)),"""")"),"")</f>
        <v/>
      </c>
      <c r="G711" s="47"/>
      <c r="H711" s="47"/>
      <c r="I711" s="47" t="str">
        <f>IFERROR(__xludf.DUMMYFUNCTION("IFERROR((GOOGLEFINANCE($A711,""high52"")),"""")"),"")</f>
        <v/>
      </c>
      <c r="J711" s="51"/>
      <c r="K711" s="51"/>
      <c r="L711" s="51"/>
      <c r="M711" s="52"/>
      <c r="N711" s="53"/>
      <c r="O711" s="53"/>
      <c r="P711" s="54"/>
      <c r="Q711" s="55"/>
      <c r="R711" s="56"/>
      <c r="S711" s="56"/>
      <c r="T711" s="53"/>
      <c r="U711" s="53"/>
      <c r="V711" s="56"/>
      <c r="W711" s="56"/>
      <c r="X711" s="53"/>
      <c r="Y711" s="54"/>
      <c r="Z711" s="56"/>
      <c r="AA711" s="57"/>
      <c r="AB711" s="57"/>
      <c r="AC711" s="58"/>
      <c r="AD711" s="57"/>
      <c r="AE711" s="56"/>
      <c r="AF711" s="56"/>
      <c r="AG711" s="56"/>
      <c r="AH711" s="56"/>
      <c r="AI711" s="57"/>
      <c r="AJ711" s="59"/>
      <c r="AK711" s="60"/>
      <c r="AL711" s="60"/>
      <c r="AM711" s="61"/>
      <c r="AN711" s="62"/>
      <c r="AO711" s="60"/>
      <c r="AP711" s="60"/>
      <c r="AQ711" s="18"/>
    </row>
    <row r="712">
      <c r="A712" s="72"/>
      <c r="B712" s="46"/>
      <c r="C712" s="46" t="str">
        <f>IFERROR((VLOOKUP(LEFT($A712,4),Setor!$A:$E,3,0)),"")</f>
        <v/>
      </c>
      <c r="D712" s="46" t="str">
        <f>IFERROR((VLOOKUP(LEFT($A712,4),Setor!$A:$E,4,0)),"")</f>
        <v/>
      </c>
      <c r="E712" s="46" t="str">
        <f>IFERROR((VLOOKUP(LEFT($A712,4),Setor!$A:$E,5,0)),"")</f>
        <v/>
      </c>
      <c r="F712" s="47" t="str">
        <f>IFERROR(__xludf.DUMMYFUNCTION("IFERROR((GOOGLEFINANCE(A712)),"""")"),"")</f>
        <v/>
      </c>
      <c r="G712" s="47"/>
      <c r="H712" s="47"/>
      <c r="I712" s="47" t="str">
        <f>IFERROR(__xludf.DUMMYFUNCTION("IFERROR((GOOGLEFINANCE($A712,""high52"")),"""")"),"")</f>
        <v/>
      </c>
      <c r="J712" s="51"/>
      <c r="K712" s="51"/>
      <c r="L712" s="51"/>
      <c r="M712" s="52"/>
      <c r="N712" s="53"/>
      <c r="O712" s="53"/>
      <c r="P712" s="54"/>
      <c r="Q712" s="55"/>
      <c r="R712" s="56"/>
      <c r="S712" s="56"/>
      <c r="T712" s="53"/>
      <c r="U712" s="53"/>
      <c r="V712" s="56"/>
      <c r="W712" s="56"/>
      <c r="X712" s="53"/>
      <c r="Y712" s="54"/>
      <c r="Z712" s="56"/>
      <c r="AA712" s="57"/>
      <c r="AB712" s="57"/>
      <c r="AC712" s="58"/>
      <c r="AD712" s="57"/>
      <c r="AE712" s="56"/>
      <c r="AF712" s="56"/>
      <c r="AG712" s="56"/>
      <c r="AH712" s="56"/>
      <c r="AI712" s="57"/>
      <c r="AJ712" s="59"/>
      <c r="AK712" s="60"/>
      <c r="AL712" s="60"/>
      <c r="AM712" s="61"/>
      <c r="AN712" s="62"/>
      <c r="AO712" s="60"/>
      <c r="AP712" s="60"/>
      <c r="AQ712" s="18"/>
    </row>
    <row r="713">
      <c r="A713" s="72"/>
      <c r="B713" s="46"/>
      <c r="C713" s="46" t="str">
        <f>IFERROR((VLOOKUP(LEFT($A713,4),Setor!$A:$E,3,0)),"")</f>
        <v/>
      </c>
      <c r="D713" s="46" t="str">
        <f>IFERROR((VLOOKUP(LEFT($A713,4),Setor!$A:$E,4,0)),"")</f>
        <v/>
      </c>
      <c r="E713" s="46" t="str">
        <f>IFERROR((VLOOKUP(LEFT($A713,4),Setor!$A:$E,5,0)),"")</f>
        <v/>
      </c>
      <c r="F713" s="47" t="str">
        <f>IFERROR(__xludf.DUMMYFUNCTION("IFERROR((GOOGLEFINANCE(A713)),"""")"),"")</f>
        <v/>
      </c>
      <c r="G713" s="47"/>
      <c r="H713" s="47"/>
      <c r="I713" s="47" t="str">
        <f>IFERROR(__xludf.DUMMYFUNCTION("IFERROR((GOOGLEFINANCE($A713,""high52"")),"""")"),"")</f>
        <v/>
      </c>
      <c r="J713" s="51"/>
      <c r="K713" s="51"/>
      <c r="L713" s="51"/>
      <c r="M713" s="52"/>
      <c r="N713" s="53"/>
      <c r="O713" s="53"/>
      <c r="P713" s="54"/>
      <c r="Q713" s="55"/>
      <c r="R713" s="56"/>
      <c r="S713" s="56"/>
      <c r="T713" s="53"/>
      <c r="U713" s="53"/>
      <c r="V713" s="56"/>
      <c r="W713" s="56"/>
      <c r="X713" s="53"/>
      <c r="Y713" s="54"/>
      <c r="Z713" s="56"/>
      <c r="AA713" s="57"/>
      <c r="AB713" s="57"/>
      <c r="AC713" s="58"/>
      <c r="AD713" s="57"/>
      <c r="AE713" s="56"/>
      <c r="AF713" s="56"/>
      <c r="AG713" s="56"/>
      <c r="AH713" s="56"/>
      <c r="AI713" s="57"/>
      <c r="AJ713" s="59"/>
      <c r="AK713" s="60"/>
      <c r="AL713" s="60"/>
      <c r="AM713" s="61"/>
      <c r="AN713" s="62"/>
      <c r="AO713" s="60"/>
      <c r="AP713" s="60"/>
      <c r="AQ713" s="18"/>
    </row>
    <row r="714">
      <c r="A714" s="72"/>
      <c r="B714" s="46"/>
      <c r="C714" s="46" t="str">
        <f>IFERROR((VLOOKUP(LEFT($A714,4),Setor!$A:$E,3,0)),"")</f>
        <v/>
      </c>
      <c r="D714" s="46" t="str">
        <f>IFERROR((VLOOKUP(LEFT($A714,4),Setor!$A:$E,4,0)),"")</f>
        <v/>
      </c>
      <c r="E714" s="46" t="str">
        <f>IFERROR((VLOOKUP(LEFT($A714,4),Setor!$A:$E,5,0)),"")</f>
        <v/>
      </c>
      <c r="F714" s="47" t="str">
        <f>IFERROR(__xludf.DUMMYFUNCTION("IFERROR((GOOGLEFINANCE(A714)),"""")"),"")</f>
        <v/>
      </c>
      <c r="G714" s="47"/>
      <c r="H714" s="47"/>
      <c r="I714" s="47" t="str">
        <f>IFERROR(__xludf.DUMMYFUNCTION("IFERROR((GOOGLEFINANCE($A714,""high52"")),"""")"),"")</f>
        <v/>
      </c>
      <c r="J714" s="51"/>
      <c r="K714" s="51"/>
      <c r="L714" s="51"/>
      <c r="M714" s="52"/>
      <c r="N714" s="53"/>
      <c r="O714" s="53"/>
      <c r="P714" s="54"/>
      <c r="Q714" s="55"/>
      <c r="R714" s="56"/>
      <c r="S714" s="56"/>
      <c r="T714" s="53"/>
      <c r="U714" s="53"/>
      <c r="V714" s="56"/>
      <c r="W714" s="56"/>
      <c r="X714" s="53"/>
      <c r="Y714" s="54"/>
      <c r="Z714" s="56"/>
      <c r="AA714" s="57"/>
      <c r="AB714" s="57"/>
      <c r="AC714" s="58"/>
      <c r="AD714" s="57"/>
      <c r="AE714" s="56"/>
      <c r="AF714" s="56"/>
      <c r="AG714" s="56"/>
      <c r="AH714" s="56"/>
      <c r="AI714" s="57"/>
      <c r="AJ714" s="59"/>
      <c r="AK714" s="60"/>
      <c r="AL714" s="60"/>
      <c r="AM714" s="61"/>
      <c r="AN714" s="62"/>
      <c r="AO714" s="60"/>
      <c r="AP714" s="60"/>
      <c r="AQ714" s="18"/>
    </row>
    <row r="715">
      <c r="A715" s="72"/>
      <c r="B715" s="46"/>
      <c r="C715" s="46" t="str">
        <f>IFERROR((VLOOKUP(LEFT($A715,4),Setor!$A:$E,3,0)),"")</f>
        <v/>
      </c>
      <c r="D715" s="46" t="str">
        <f>IFERROR((VLOOKUP(LEFT($A715,4),Setor!$A:$E,4,0)),"")</f>
        <v/>
      </c>
      <c r="E715" s="46" t="str">
        <f>IFERROR((VLOOKUP(LEFT($A715,4),Setor!$A:$E,5,0)),"")</f>
        <v/>
      </c>
      <c r="F715" s="47" t="str">
        <f>IFERROR(__xludf.DUMMYFUNCTION("IFERROR((GOOGLEFINANCE(A715)),"""")"),"")</f>
        <v/>
      </c>
      <c r="G715" s="47"/>
      <c r="H715" s="47"/>
      <c r="I715" s="47" t="str">
        <f>IFERROR(__xludf.DUMMYFUNCTION("IFERROR((GOOGLEFINANCE($A715,""high52"")),"""")"),"")</f>
        <v/>
      </c>
      <c r="J715" s="51"/>
      <c r="K715" s="51"/>
      <c r="L715" s="51"/>
      <c r="M715" s="52"/>
      <c r="N715" s="53"/>
      <c r="O715" s="53"/>
      <c r="P715" s="54"/>
      <c r="Q715" s="55"/>
      <c r="R715" s="56"/>
      <c r="S715" s="56"/>
      <c r="T715" s="53"/>
      <c r="U715" s="53"/>
      <c r="V715" s="56"/>
      <c r="W715" s="56"/>
      <c r="X715" s="53"/>
      <c r="Y715" s="54"/>
      <c r="Z715" s="56"/>
      <c r="AA715" s="57"/>
      <c r="AB715" s="57"/>
      <c r="AC715" s="58"/>
      <c r="AD715" s="57"/>
      <c r="AE715" s="56"/>
      <c r="AF715" s="56"/>
      <c r="AG715" s="56"/>
      <c r="AH715" s="56"/>
      <c r="AI715" s="57"/>
      <c r="AJ715" s="59"/>
      <c r="AK715" s="60"/>
      <c r="AL715" s="60"/>
      <c r="AM715" s="61"/>
      <c r="AN715" s="62"/>
      <c r="AO715" s="60"/>
      <c r="AP715" s="60"/>
      <c r="AQ715" s="18"/>
    </row>
    <row r="716">
      <c r="A716" s="72"/>
      <c r="B716" s="46"/>
      <c r="C716" s="46" t="str">
        <f>IFERROR((VLOOKUP(LEFT($A716,4),Setor!$A:$E,3,0)),"")</f>
        <v/>
      </c>
      <c r="D716" s="46" t="str">
        <f>IFERROR((VLOOKUP(LEFT($A716,4),Setor!$A:$E,4,0)),"")</f>
        <v/>
      </c>
      <c r="E716" s="46" t="str">
        <f>IFERROR((VLOOKUP(LEFT($A716,4),Setor!$A:$E,5,0)),"")</f>
        <v/>
      </c>
      <c r="F716" s="47" t="str">
        <f>IFERROR(__xludf.DUMMYFUNCTION("IFERROR((GOOGLEFINANCE(A716)),"""")"),"")</f>
        <v/>
      </c>
      <c r="G716" s="47"/>
      <c r="H716" s="47"/>
      <c r="I716" s="47" t="str">
        <f>IFERROR(__xludf.DUMMYFUNCTION("IFERROR((GOOGLEFINANCE($A716,""high52"")),"""")"),"")</f>
        <v/>
      </c>
      <c r="J716" s="51"/>
      <c r="K716" s="51"/>
      <c r="L716" s="51"/>
      <c r="M716" s="52"/>
      <c r="N716" s="53"/>
      <c r="O716" s="53"/>
      <c r="P716" s="54"/>
      <c r="Q716" s="55"/>
      <c r="R716" s="56"/>
      <c r="S716" s="56"/>
      <c r="T716" s="53"/>
      <c r="U716" s="53"/>
      <c r="V716" s="56"/>
      <c r="W716" s="56"/>
      <c r="X716" s="53"/>
      <c r="Y716" s="54"/>
      <c r="Z716" s="56"/>
      <c r="AA716" s="57"/>
      <c r="AB716" s="57"/>
      <c r="AC716" s="58"/>
      <c r="AD716" s="57"/>
      <c r="AE716" s="56"/>
      <c r="AF716" s="56"/>
      <c r="AG716" s="56"/>
      <c r="AH716" s="56"/>
      <c r="AI716" s="57"/>
      <c r="AJ716" s="59"/>
      <c r="AK716" s="60"/>
      <c r="AL716" s="60"/>
      <c r="AM716" s="61"/>
      <c r="AN716" s="62"/>
      <c r="AO716" s="60"/>
      <c r="AP716" s="60"/>
      <c r="AQ716" s="18"/>
    </row>
    <row r="717">
      <c r="A717" s="72"/>
      <c r="B717" s="46"/>
      <c r="C717" s="46" t="str">
        <f>IFERROR((VLOOKUP(LEFT($A717,4),Setor!$A:$E,3,0)),"")</f>
        <v/>
      </c>
      <c r="D717" s="46" t="str">
        <f>IFERROR((VLOOKUP(LEFT($A717,4),Setor!$A:$E,4,0)),"")</f>
        <v/>
      </c>
      <c r="E717" s="46" t="str">
        <f>IFERROR((VLOOKUP(LEFT($A717,4),Setor!$A:$E,5,0)),"")</f>
        <v/>
      </c>
      <c r="F717" s="47" t="str">
        <f>IFERROR(__xludf.DUMMYFUNCTION("IFERROR((GOOGLEFINANCE(A717)),"""")"),"")</f>
        <v/>
      </c>
      <c r="G717" s="47"/>
      <c r="H717" s="47"/>
      <c r="I717" s="47" t="str">
        <f>IFERROR(__xludf.DUMMYFUNCTION("IFERROR((GOOGLEFINANCE($A717,""high52"")),"""")"),"")</f>
        <v/>
      </c>
      <c r="J717" s="51"/>
      <c r="K717" s="51"/>
      <c r="L717" s="51"/>
      <c r="M717" s="52"/>
      <c r="N717" s="53"/>
      <c r="O717" s="53"/>
      <c r="P717" s="54"/>
      <c r="Q717" s="55"/>
      <c r="R717" s="56"/>
      <c r="S717" s="56"/>
      <c r="T717" s="53"/>
      <c r="U717" s="53"/>
      <c r="V717" s="56"/>
      <c r="W717" s="56"/>
      <c r="X717" s="53"/>
      <c r="Y717" s="54"/>
      <c r="Z717" s="56"/>
      <c r="AA717" s="57"/>
      <c r="AB717" s="57"/>
      <c r="AC717" s="58"/>
      <c r="AD717" s="57"/>
      <c r="AE717" s="56"/>
      <c r="AF717" s="56"/>
      <c r="AG717" s="56"/>
      <c r="AH717" s="56"/>
      <c r="AI717" s="57"/>
      <c r="AJ717" s="59"/>
      <c r="AK717" s="60"/>
      <c r="AL717" s="60"/>
      <c r="AM717" s="61"/>
      <c r="AN717" s="62"/>
      <c r="AO717" s="60"/>
      <c r="AP717" s="60"/>
      <c r="AQ717" s="18"/>
    </row>
    <row r="718">
      <c r="A718" s="72"/>
      <c r="B718" s="46"/>
      <c r="C718" s="46" t="str">
        <f>IFERROR((VLOOKUP(LEFT($A718,4),Setor!$A:$E,3,0)),"")</f>
        <v/>
      </c>
      <c r="D718" s="46" t="str">
        <f>IFERROR((VLOOKUP(LEFT($A718,4),Setor!$A:$E,4,0)),"")</f>
        <v/>
      </c>
      <c r="E718" s="46" t="str">
        <f>IFERROR((VLOOKUP(LEFT($A718,4),Setor!$A:$E,5,0)),"")</f>
        <v/>
      </c>
      <c r="F718" s="47" t="str">
        <f>IFERROR(__xludf.DUMMYFUNCTION("IFERROR((GOOGLEFINANCE(A718)),"""")"),"")</f>
        <v/>
      </c>
      <c r="G718" s="47"/>
      <c r="H718" s="47"/>
      <c r="I718" s="47" t="str">
        <f>IFERROR(__xludf.DUMMYFUNCTION("IFERROR((GOOGLEFINANCE($A718,""high52"")),"""")"),"")</f>
        <v/>
      </c>
      <c r="J718" s="51"/>
      <c r="K718" s="51"/>
      <c r="L718" s="51"/>
      <c r="M718" s="52"/>
      <c r="N718" s="53"/>
      <c r="O718" s="53"/>
      <c r="P718" s="54"/>
      <c r="Q718" s="55"/>
      <c r="R718" s="56"/>
      <c r="S718" s="56"/>
      <c r="T718" s="53"/>
      <c r="U718" s="53"/>
      <c r="V718" s="56"/>
      <c r="W718" s="56"/>
      <c r="X718" s="53"/>
      <c r="Y718" s="54"/>
      <c r="Z718" s="56"/>
      <c r="AA718" s="57"/>
      <c r="AB718" s="57"/>
      <c r="AC718" s="58"/>
      <c r="AD718" s="57"/>
      <c r="AE718" s="56"/>
      <c r="AF718" s="56"/>
      <c r="AG718" s="56"/>
      <c r="AH718" s="56"/>
      <c r="AI718" s="57"/>
      <c r="AJ718" s="59"/>
      <c r="AK718" s="60"/>
      <c r="AL718" s="60"/>
      <c r="AM718" s="61"/>
      <c r="AN718" s="62"/>
      <c r="AO718" s="60"/>
      <c r="AP718" s="60"/>
      <c r="AQ718" s="18"/>
    </row>
    <row r="719">
      <c r="A719" s="72"/>
      <c r="B719" s="46"/>
      <c r="C719" s="46" t="str">
        <f>IFERROR((VLOOKUP(LEFT($A719,4),Setor!$A:$E,3,0)),"")</f>
        <v/>
      </c>
      <c r="D719" s="46" t="str">
        <f>IFERROR((VLOOKUP(LEFT($A719,4),Setor!$A:$E,4,0)),"")</f>
        <v/>
      </c>
      <c r="E719" s="46" t="str">
        <f>IFERROR((VLOOKUP(LEFT($A719,4),Setor!$A:$E,5,0)),"")</f>
        <v/>
      </c>
      <c r="F719" s="47" t="str">
        <f>IFERROR(__xludf.DUMMYFUNCTION("IFERROR((GOOGLEFINANCE(A719)),"""")"),"")</f>
        <v/>
      </c>
      <c r="G719" s="47"/>
      <c r="H719" s="47"/>
      <c r="I719" s="47" t="str">
        <f>IFERROR(__xludf.DUMMYFUNCTION("IFERROR((GOOGLEFINANCE($A719,""high52"")),"""")"),"")</f>
        <v/>
      </c>
      <c r="J719" s="51"/>
      <c r="K719" s="51"/>
      <c r="L719" s="51"/>
      <c r="M719" s="52"/>
      <c r="N719" s="53"/>
      <c r="O719" s="53"/>
      <c r="P719" s="54"/>
      <c r="Q719" s="55"/>
      <c r="R719" s="56"/>
      <c r="S719" s="56"/>
      <c r="T719" s="53"/>
      <c r="U719" s="53"/>
      <c r="V719" s="56"/>
      <c r="W719" s="56"/>
      <c r="X719" s="53"/>
      <c r="Y719" s="54"/>
      <c r="Z719" s="56"/>
      <c r="AA719" s="57"/>
      <c r="AB719" s="57"/>
      <c r="AC719" s="58"/>
      <c r="AD719" s="57"/>
      <c r="AE719" s="56"/>
      <c r="AF719" s="56"/>
      <c r="AG719" s="56"/>
      <c r="AH719" s="56"/>
      <c r="AI719" s="57"/>
      <c r="AJ719" s="59"/>
      <c r="AK719" s="60"/>
      <c r="AL719" s="60"/>
      <c r="AM719" s="61"/>
      <c r="AN719" s="62"/>
      <c r="AO719" s="60"/>
      <c r="AP719" s="60"/>
      <c r="AQ719" s="18"/>
    </row>
    <row r="720">
      <c r="A720" s="72"/>
      <c r="B720" s="46"/>
      <c r="C720" s="46" t="str">
        <f>IFERROR((VLOOKUP(LEFT($A720,4),Setor!$A:$E,3,0)),"")</f>
        <v/>
      </c>
      <c r="D720" s="46" t="str">
        <f>IFERROR((VLOOKUP(LEFT($A720,4),Setor!$A:$E,4,0)),"")</f>
        <v/>
      </c>
      <c r="E720" s="46" t="str">
        <f>IFERROR((VLOOKUP(LEFT($A720,4),Setor!$A:$E,5,0)),"")</f>
        <v/>
      </c>
      <c r="F720" s="47" t="str">
        <f>IFERROR(__xludf.DUMMYFUNCTION("IFERROR((GOOGLEFINANCE(A720)),"""")"),"")</f>
        <v/>
      </c>
      <c r="G720" s="47"/>
      <c r="H720" s="47"/>
      <c r="I720" s="47" t="str">
        <f>IFERROR(__xludf.DUMMYFUNCTION("IFERROR((GOOGLEFINANCE($A720,""high52"")),"""")"),"")</f>
        <v/>
      </c>
      <c r="J720" s="51"/>
      <c r="K720" s="51"/>
      <c r="L720" s="51"/>
      <c r="M720" s="52"/>
      <c r="N720" s="53"/>
      <c r="O720" s="53"/>
      <c r="P720" s="54"/>
      <c r="Q720" s="55"/>
      <c r="R720" s="56"/>
      <c r="S720" s="56"/>
      <c r="T720" s="53"/>
      <c r="U720" s="53"/>
      <c r="V720" s="56"/>
      <c r="W720" s="56"/>
      <c r="X720" s="53"/>
      <c r="Y720" s="54"/>
      <c r="Z720" s="56"/>
      <c r="AA720" s="57"/>
      <c r="AB720" s="57"/>
      <c r="AC720" s="58"/>
      <c r="AD720" s="57"/>
      <c r="AE720" s="56"/>
      <c r="AF720" s="56"/>
      <c r="AG720" s="56"/>
      <c r="AH720" s="56"/>
      <c r="AI720" s="57"/>
      <c r="AJ720" s="59"/>
      <c r="AK720" s="60"/>
      <c r="AL720" s="60"/>
      <c r="AM720" s="61"/>
      <c r="AN720" s="62"/>
      <c r="AO720" s="60"/>
      <c r="AP720" s="60"/>
      <c r="AQ720" s="18"/>
    </row>
    <row r="721">
      <c r="A721" s="72"/>
      <c r="B721" s="46"/>
      <c r="C721" s="46" t="str">
        <f>IFERROR((VLOOKUP(LEFT($A721,4),Setor!$A:$E,3,0)),"")</f>
        <v/>
      </c>
      <c r="D721" s="46" t="str">
        <f>IFERROR((VLOOKUP(LEFT($A721,4),Setor!$A:$E,4,0)),"")</f>
        <v/>
      </c>
      <c r="E721" s="46" t="str">
        <f>IFERROR((VLOOKUP(LEFT($A721,4),Setor!$A:$E,5,0)),"")</f>
        <v/>
      </c>
      <c r="F721" s="47" t="str">
        <f>IFERROR(__xludf.DUMMYFUNCTION("IFERROR((GOOGLEFINANCE(A721)),"""")"),"")</f>
        <v/>
      </c>
      <c r="G721" s="47"/>
      <c r="H721" s="47"/>
      <c r="I721" s="47" t="str">
        <f>IFERROR(__xludf.DUMMYFUNCTION("IFERROR((GOOGLEFINANCE($A721,""high52"")),"""")"),"")</f>
        <v/>
      </c>
      <c r="J721" s="51"/>
      <c r="K721" s="51"/>
      <c r="L721" s="51"/>
      <c r="M721" s="52"/>
      <c r="N721" s="53"/>
      <c r="O721" s="53"/>
      <c r="P721" s="54"/>
      <c r="Q721" s="55"/>
      <c r="R721" s="56"/>
      <c r="S721" s="56"/>
      <c r="T721" s="53"/>
      <c r="U721" s="53"/>
      <c r="V721" s="56"/>
      <c r="W721" s="56"/>
      <c r="X721" s="53"/>
      <c r="Y721" s="54"/>
      <c r="Z721" s="56"/>
      <c r="AA721" s="57"/>
      <c r="AB721" s="57"/>
      <c r="AC721" s="58"/>
      <c r="AD721" s="57"/>
      <c r="AE721" s="56"/>
      <c r="AF721" s="56"/>
      <c r="AG721" s="56"/>
      <c r="AH721" s="56"/>
      <c r="AI721" s="57"/>
      <c r="AJ721" s="59"/>
      <c r="AK721" s="60"/>
      <c r="AL721" s="60"/>
      <c r="AM721" s="61"/>
      <c r="AN721" s="62"/>
      <c r="AO721" s="60"/>
      <c r="AP721" s="60"/>
      <c r="AQ721" s="18"/>
    </row>
    <row r="722">
      <c r="A722" s="72"/>
      <c r="B722" s="46"/>
      <c r="C722" s="46" t="str">
        <f>IFERROR((VLOOKUP(LEFT($A722,4),Setor!$A:$E,3,0)),"")</f>
        <v/>
      </c>
      <c r="D722" s="46" t="str">
        <f>IFERROR((VLOOKUP(LEFT($A722,4),Setor!$A:$E,4,0)),"")</f>
        <v/>
      </c>
      <c r="E722" s="46" t="str">
        <f>IFERROR((VLOOKUP(LEFT($A722,4),Setor!$A:$E,5,0)),"")</f>
        <v/>
      </c>
      <c r="F722" s="47" t="str">
        <f>IFERROR(__xludf.DUMMYFUNCTION("IFERROR((GOOGLEFINANCE(A722)),"""")"),"")</f>
        <v/>
      </c>
      <c r="G722" s="47"/>
      <c r="H722" s="47"/>
      <c r="I722" s="47" t="str">
        <f>IFERROR(__xludf.DUMMYFUNCTION("IFERROR((GOOGLEFINANCE($A722,""high52"")),"""")"),"")</f>
        <v/>
      </c>
      <c r="J722" s="51"/>
      <c r="K722" s="51"/>
      <c r="L722" s="51"/>
      <c r="M722" s="52"/>
      <c r="N722" s="53"/>
      <c r="O722" s="53"/>
      <c r="P722" s="54"/>
      <c r="Q722" s="55"/>
      <c r="R722" s="56"/>
      <c r="S722" s="56"/>
      <c r="T722" s="53"/>
      <c r="U722" s="53"/>
      <c r="V722" s="56"/>
      <c r="W722" s="56"/>
      <c r="X722" s="53"/>
      <c r="Y722" s="54"/>
      <c r="Z722" s="56"/>
      <c r="AA722" s="57"/>
      <c r="AB722" s="57"/>
      <c r="AC722" s="58"/>
      <c r="AD722" s="57"/>
      <c r="AE722" s="56"/>
      <c r="AF722" s="56"/>
      <c r="AG722" s="56"/>
      <c r="AH722" s="56"/>
      <c r="AI722" s="57"/>
      <c r="AJ722" s="59"/>
      <c r="AK722" s="60"/>
      <c r="AL722" s="60"/>
      <c r="AM722" s="61"/>
      <c r="AN722" s="62"/>
      <c r="AO722" s="60"/>
      <c r="AP722" s="60"/>
      <c r="AQ722" s="18"/>
    </row>
    <row r="723">
      <c r="A723" s="72"/>
      <c r="B723" s="46"/>
      <c r="C723" s="46" t="str">
        <f>IFERROR((VLOOKUP(LEFT($A723,4),Setor!$A:$E,3,0)),"")</f>
        <v/>
      </c>
      <c r="D723" s="46" t="str">
        <f>IFERROR((VLOOKUP(LEFT($A723,4),Setor!$A:$E,4,0)),"")</f>
        <v/>
      </c>
      <c r="E723" s="46" t="str">
        <f>IFERROR((VLOOKUP(LEFT($A723,4),Setor!$A:$E,5,0)),"")</f>
        <v/>
      </c>
      <c r="F723" s="47" t="str">
        <f>IFERROR(__xludf.DUMMYFUNCTION("IFERROR((GOOGLEFINANCE(A723)),"""")"),"")</f>
        <v/>
      </c>
      <c r="G723" s="47"/>
      <c r="H723" s="47"/>
      <c r="I723" s="47" t="str">
        <f>IFERROR(__xludf.DUMMYFUNCTION("IFERROR((GOOGLEFINANCE($A723,""high52"")),"""")"),"")</f>
        <v/>
      </c>
      <c r="J723" s="51"/>
      <c r="K723" s="51"/>
      <c r="L723" s="51"/>
      <c r="M723" s="52"/>
      <c r="N723" s="53"/>
      <c r="O723" s="53"/>
      <c r="P723" s="54"/>
      <c r="Q723" s="55"/>
      <c r="R723" s="56"/>
      <c r="S723" s="56"/>
      <c r="T723" s="53"/>
      <c r="U723" s="53"/>
      <c r="V723" s="56"/>
      <c r="W723" s="56"/>
      <c r="X723" s="53"/>
      <c r="Y723" s="54"/>
      <c r="Z723" s="56"/>
      <c r="AA723" s="57"/>
      <c r="AB723" s="57"/>
      <c r="AC723" s="58"/>
      <c r="AD723" s="57"/>
      <c r="AE723" s="56"/>
      <c r="AF723" s="56"/>
      <c r="AG723" s="56"/>
      <c r="AH723" s="56"/>
      <c r="AI723" s="57"/>
      <c r="AJ723" s="59"/>
      <c r="AK723" s="60"/>
      <c r="AL723" s="60"/>
      <c r="AM723" s="61"/>
      <c r="AN723" s="62"/>
      <c r="AO723" s="60"/>
      <c r="AP723" s="60"/>
      <c r="AQ723" s="18"/>
    </row>
  </sheetData>
  <autoFilter ref="$A$6:$AQ$723">
    <sortState ref="A6:AQ723">
      <sortCondition ref="A6:A723"/>
      <sortCondition descending="1" ref="M6:M723"/>
      <sortCondition descending="1" ref="K6:K723"/>
      <sortCondition descending="1" ref="H6:H723"/>
      <sortCondition ref="F6:F723"/>
      <sortCondition descending="1" ref="N6:N723"/>
      <sortCondition descending="1" ref="O6:O723"/>
    </sortState>
  </autoFilter>
  <customSheetViews>
    <customSheetView guid="{830104B7-79F9-479A-8B26-D5BD890D5455}" filter="1" showAutoFilter="1">
      <autoFilter ref="$A$6:$AJ$723">
        <sortState ref="A6:AJ723">
          <sortCondition ref="A6:A723"/>
          <sortCondition ref="O6:O723"/>
          <sortCondition descending="1" ref="M6:M723"/>
          <sortCondition descending="1" ref="F6:F723"/>
        </sortState>
      </autoFilter>
    </customSheetView>
  </customSheetViews>
  <mergeCells count="6">
    <mergeCell ref="E1:AA1"/>
    <mergeCell ref="D4:E4"/>
    <mergeCell ref="C5:D5"/>
    <mergeCell ref="F5:L5"/>
    <mergeCell ref="F6:H6"/>
    <mergeCell ref="I6:K6"/>
  </mergeCells>
  <conditionalFormatting sqref="H7:H509">
    <cfRule type="cellIs" dxfId="0" priority="1" operator="greaterThan">
      <formula>0</formula>
    </cfRule>
  </conditionalFormatting>
  <conditionalFormatting sqref="H7:H509">
    <cfRule type="cellIs" dxfId="1" priority="2" operator="lessThanOrEqual">
      <formula>0</formula>
    </cfRule>
  </conditionalFormatting>
  <conditionalFormatting sqref="K7:K509">
    <cfRule type="cellIs" dxfId="0" priority="3" operator="greaterThan">
      <formula>0</formula>
    </cfRule>
  </conditionalFormatting>
  <conditionalFormatting sqref="K7:K509">
    <cfRule type="cellIs" dxfId="1" priority="4" operator="lessThanOrEqual">
      <formula>0</formula>
    </cfRule>
  </conditionalFormatting>
  <conditionalFormatting sqref="F7:F509">
    <cfRule type="cellIs" dxfId="0" priority="5" operator="greaterThan">
      <formula>"I10"</formula>
    </cfRule>
  </conditionalFormatting>
  <conditionalFormatting sqref="F7:F509">
    <cfRule type="cellIs" dxfId="1" priority="6" operator="lessThanOrEqual">
      <formula>"I10"</formula>
    </cfRule>
  </conditionalFormatting>
  <hyperlinks>
    <hyperlink r:id="rId1" ref="E1"/>
    <hyperlink r:id="rId2" ref="D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5"/>
    <col customWidth="1" min="26" max="26" width="22.13"/>
    <col customWidth="1" min="27" max="27" width="9.38"/>
  </cols>
  <sheetData>
    <row r="1">
      <c r="A1" s="73" t="s">
        <v>9</v>
      </c>
      <c r="B1" s="73" t="s">
        <v>46</v>
      </c>
      <c r="C1" s="73" t="s">
        <v>17</v>
      </c>
      <c r="D1" s="73" t="s">
        <v>18</v>
      </c>
      <c r="E1" s="73" t="s">
        <v>19</v>
      </c>
      <c r="F1" s="73" t="s">
        <v>20</v>
      </c>
      <c r="G1" s="73" t="s">
        <v>21</v>
      </c>
      <c r="H1" s="73" t="s">
        <v>22</v>
      </c>
      <c r="I1" s="73" t="s">
        <v>23</v>
      </c>
      <c r="J1" s="73" t="s">
        <v>24</v>
      </c>
      <c r="K1" s="73" t="s">
        <v>25</v>
      </c>
      <c r="L1" s="73" t="s">
        <v>26</v>
      </c>
      <c r="M1" s="73" t="s">
        <v>27</v>
      </c>
      <c r="N1" s="73" t="s">
        <v>28</v>
      </c>
      <c r="O1" s="73" t="s">
        <v>29</v>
      </c>
      <c r="P1" s="73" t="s">
        <v>30</v>
      </c>
      <c r="Q1" s="73" t="s">
        <v>31</v>
      </c>
      <c r="R1" s="73" t="s">
        <v>32</v>
      </c>
      <c r="S1" s="73" t="s">
        <v>33</v>
      </c>
      <c r="T1" s="73" t="s">
        <v>34</v>
      </c>
      <c r="U1" s="73" t="s">
        <v>35</v>
      </c>
      <c r="V1" s="73" t="s">
        <v>36</v>
      </c>
      <c r="W1" s="73" t="s">
        <v>37</v>
      </c>
      <c r="X1" s="73" t="s">
        <v>38</v>
      </c>
      <c r="Y1" s="73" t="s">
        <v>39</v>
      </c>
      <c r="Z1" s="73" t="s">
        <v>40</v>
      </c>
      <c r="AA1" s="73" t="s">
        <v>47</v>
      </c>
      <c r="AB1" s="73" t="s">
        <v>48</v>
      </c>
      <c r="AC1" s="73" t="s">
        <v>49</v>
      </c>
      <c r="AD1" s="73" t="s">
        <v>50</v>
      </c>
      <c r="AE1" s="74"/>
    </row>
    <row r="2">
      <c r="A2" s="75" t="s">
        <v>51</v>
      </c>
      <c r="B2" s="76">
        <v>4.15</v>
      </c>
      <c r="C2" s="76">
        <v>0.0</v>
      </c>
      <c r="D2" s="76">
        <v>-7.86</v>
      </c>
      <c r="E2" s="76">
        <v>0.59</v>
      </c>
      <c r="F2" s="76">
        <v>0.21</v>
      </c>
      <c r="G2" s="76">
        <v>26.83</v>
      </c>
      <c r="H2" s="76">
        <v>9.47</v>
      </c>
      <c r="I2" s="76">
        <v>-6.49</v>
      </c>
      <c r="J2" s="76">
        <v>5.39</v>
      </c>
      <c r="K2" s="76">
        <v>8.48</v>
      </c>
      <c r="L2" s="76">
        <v>3.1</v>
      </c>
      <c r="M2" s="76">
        <v>0.34</v>
      </c>
      <c r="N2" s="76">
        <v>0.51</v>
      </c>
      <c r="O2" s="76">
        <v>144.59</v>
      </c>
      <c r="P2" s="76">
        <v>-0.29</v>
      </c>
      <c r="Q2" s="76">
        <v>1.01</v>
      </c>
      <c r="R2" s="76">
        <v>-7.54</v>
      </c>
      <c r="S2" s="76">
        <v>-2.66</v>
      </c>
      <c r="T2" s="76">
        <v>5.63</v>
      </c>
      <c r="U2" s="76">
        <v>0.35</v>
      </c>
      <c r="V2" s="76">
        <v>0.64</v>
      </c>
      <c r="W2" s="76">
        <v>0.41</v>
      </c>
      <c r="X2" s="76">
        <v>2.55</v>
      </c>
      <c r="Y2" s="76">
        <v>0.0</v>
      </c>
      <c r="Z2" s="77">
        <v>233843.0</v>
      </c>
      <c r="AA2" s="76">
        <v>7.0</v>
      </c>
      <c r="AB2" s="76">
        <v>-0.53</v>
      </c>
      <c r="AC2" s="76">
        <v>0.15</v>
      </c>
      <c r="AD2" s="77">
        <v>6.322918503E8</v>
      </c>
      <c r="AE2" s="78"/>
    </row>
    <row r="3">
      <c r="A3" s="73" t="s">
        <v>52</v>
      </c>
      <c r="B3" s="76">
        <v>27.42</v>
      </c>
      <c r="C3" s="76">
        <v>9.55</v>
      </c>
      <c r="D3" s="76">
        <v>6.7</v>
      </c>
      <c r="E3" s="76">
        <v>0.99</v>
      </c>
      <c r="F3" s="76">
        <v>0.11</v>
      </c>
      <c r="G3" s="76">
        <v>19.54</v>
      </c>
      <c r="H3" s="76">
        <v>14.15</v>
      </c>
      <c r="I3" s="76">
        <v>11.82</v>
      </c>
      <c r="J3" s="76">
        <v>5.6</v>
      </c>
      <c r="K3" s="76">
        <v>5.6</v>
      </c>
      <c r="L3" s="76">
        <v>0.0</v>
      </c>
      <c r="M3" s="76">
        <v>0.0</v>
      </c>
      <c r="N3" s="76">
        <v>0.79</v>
      </c>
      <c r="O3" s="76">
        <v>-3.23</v>
      </c>
      <c r="P3" s="76">
        <v>-0.11</v>
      </c>
      <c r="Q3" s="76">
        <v>0.24</v>
      </c>
      <c r="R3" s="76">
        <v>14.82</v>
      </c>
      <c r="S3" s="76">
        <v>1.57</v>
      </c>
      <c r="T3" s="76">
        <v>0.0</v>
      </c>
      <c r="U3" s="76">
        <v>0.11</v>
      </c>
      <c r="V3" s="76">
        <v>0.89</v>
      </c>
      <c r="W3" s="76">
        <v>0.13</v>
      </c>
      <c r="X3" s="76">
        <v>28.96</v>
      </c>
      <c r="Y3" s="76">
        <v>24.08</v>
      </c>
      <c r="Z3" s="77">
        <v>2.0208097E7</v>
      </c>
      <c r="AA3" s="76">
        <v>27.63</v>
      </c>
      <c r="AB3" s="76">
        <v>4.1</v>
      </c>
      <c r="AC3" s="76">
        <v>2.12</v>
      </c>
      <c r="AD3" s="77">
        <v>6.708491019E9</v>
      </c>
      <c r="AE3" s="78"/>
    </row>
    <row r="4">
      <c r="A4" s="73" t="s">
        <v>53</v>
      </c>
      <c r="B4" s="76">
        <v>16.17</v>
      </c>
      <c r="C4" s="76">
        <v>6.89</v>
      </c>
      <c r="D4" s="76">
        <v>15.89</v>
      </c>
      <c r="E4" s="76">
        <v>2.77</v>
      </c>
      <c r="F4" s="76">
        <v>1.81</v>
      </c>
      <c r="G4" s="76">
        <v>51.77</v>
      </c>
      <c r="H4" s="76">
        <v>26.45</v>
      </c>
      <c r="I4" s="76">
        <v>17.73</v>
      </c>
      <c r="J4" s="76">
        <v>10.65</v>
      </c>
      <c r="K4" s="76">
        <v>9.94</v>
      </c>
      <c r="L4" s="76">
        <v>-0.71</v>
      </c>
      <c r="M4" s="76">
        <v>-0.18</v>
      </c>
      <c r="N4" s="76">
        <v>2.82</v>
      </c>
      <c r="O4" s="76">
        <v>47.52</v>
      </c>
      <c r="P4" s="76">
        <v>-2.58</v>
      </c>
      <c r="Q4" s="76">
        <v>1.15</v>
      </c>
      <c r="R4" s="76">
        <v>17.43</v>
      </c>
      <c r="S4" s="76">
        <v>11.39</v>
      </c>
      <c r="T4" s="76">
        <v>20.93</v>
      </c>
      <c r="U4" s="76">
        <v>0.65</v>
      </c>
      <c r="V4" s="76">
        <v>0.34</v>
      </c>
      <c r="W4" s="76">
        <v>0.64</v>
      </c>
      <c r="X4" s="76">
        <v>11.2</v>
      </c>
      <c r="Y4" s="76">
        <v>6.36</v>
      </c>
      <c r="Z4" s="77">
        <v>4.56E8</v>
      </c>
      <c r="AA4" s="76">
        <v>5.84</v>
      </c>
      <c r="AB4" s="76">
        <v>1.02</v>
      </c>
      <c r="AC4" s="76">
        <v>1.06</v>
      </c>
      <c r="AD4" s="77">
        <v>2.54866E11</v>
      </c>
      <c r="AE4" s="78"/>
    </row>
    <row r="5">
      <c r="A5" s="73" t="s">
        <v>54</v>
      </c>
      <c r="B5" s="76">
        <v>1.56</v>
      </c>
      <c r="C5" s="76">
        <v>0.0</v>
      </c>
      <c r="D5" s="76">
        <v>-4.09</v>
      </c>
      <c r="E5" s="76">
        <v>-1.29</v>
      </c>
      <c r="F5" s="76">
        <v>105.12</v>
      </c>
      <c r="G5" s="76">
        <v>100.0</v>
      </c>
      <c r="H5" s="76">
        <v>-13548.5</v>
      </c>
      <c r="I5" s="76">
        <v>-18860.6</v>
      </c>
      <c r="J5" s="76">
        <v>-5.69</v>
      </c>
      <c r="K5" s="76">
        <v>-5.69</v>
      </c>
      <c r="L5" s="76">
        <v>0.0</v>
      </c>
      <c r="M5" s="76">
        <v>0.0</v>
      </c>
      <c r="N5" s="76">
        <v>770.9</v>
      </c>
      <c r="O5" s="76">
        <v>-1.43</v>
      </c>
      <c r="P5" s="76">
        <v>-116.16</v>
      </c>
      <c r="Q5" s="76">
        <v>0.0</v>
      </c>
      <c r="R5" s="76">
        <v>-31.47</v>
      </c>
      <c r="S5" s="77">
        <v>-2571.9</v>
      </c>
      <c r="T5" s="76">
        <v>22.61</v>
      </c>
      <c r="U5" s="76">
        <v>-81.72</v>
      </c>
      <c r="V5" s="76">
        <v>82.72</v>
      </c>
      <c r="W5" s="76">
        <v>0.14</v>
      </c>
      <c r="X5" s="76">
        <v>0.0</v>
      </c>
      <c r="Y5" s="76">
        <v>0.0</v>
      </c>
      <c r="Z5" s="77">
        <v>0.0</v>
      </c>
      <c r="AA5" s="76">
        <v>-1.21</v>
      </c>
      <c r="AB5" s="76">
        <v>-0.38</v>
      </c>
      <c r="AC5" s="76">
        <v>-0.58</v>
      </c>
      <c r="AD5" s="77">
        <v>2.54397702E7</v>
      </c>
      <c r="AE5" s="78"/>
    </row>
    <row r="6">
      <c r="A6" s="73" t="s">
        <v>55</v>
      </c>
      <c r="B6" s="76">
        <v>2.85</v>
      </c>
      <c r="C6" s="76">
        <v>0.0</v>
      </c>
      <c r="D6" s="76">
        <v>-0.14</v>
      </c>
      <c r="E6" s="76">
        <v>-0.85</v>
      </c>
      <c r="F6" s="76">
        <v>0.09</v>
      </c>
      <c r="G6" s="76">
        <v>1.74</v>
      </c>
      <c r="H6" s="76">
        <v>-117.42</v>
      </c>
      <c r="I6" s="76">
        <v>-147.83</v>
      </c>
      <c r="J6" s="76">
        <v>-0.18</v>
      </c>
      <c r="K6" s="76">
        <v>-1.92</v>
      </c>
      <c r="L6" s="76">
        <v>-1.74</v>
      </c>
      <c r="M6" s="76">
        <v>0.0</v>
      </c>
      <c r="N6" s="76">
        <v>0.21</v>
      </c>
      <c r="O6" s="76">
        <v>0.86</v>
      </c>
      <c r="P6" s="76">
        <v>-0.15</v>
      </c>
      <c r="Q6" s="76">
        <v>1.39</v>
      </c>
      <c r="R6" s="76">
        <v>-598.24</v>
      </c>
      <c r="S6" s="76">
        <v>-63.76</v>
      </c>
      <c r="T6" s="76">
        <v>-66.03</v>
      </c>
      <c r="U6" s="76">
        <v>-0.11</v>
      </c>
      <c r="V6" s="76">
        <v>1.11</v>
      </c>
      <c r="W6" s="76">
        <v>0.43</v>
      </c>
      <c r="X6" s="76">
        <v>12.7</v>
      </c>
      <c r="Y6" s="76">
        <v>0.0</v>
      </c>
      <c r="Z6" s="77">
        <v>207642.1</v>
      </c>
      <c r="AA6" s="76">
        <v>-3.35</v>
      </c>
      <c r="AB6" s="76">
        <v>-20.06</v>
      </c>
      <c r="AC6" s="76">
        <v>0.0</v>
      </c>
      <c r="AD6" s="77">
        <v>1.770425586E8</v>
      </c>
      <c r="AE6" s="78"/>
    </row>
    <row r="7">
      <c r="A7" s="73" t="s">
        <v>56</v>
      </c>
      <c r="B7" s="76">
        <v>8.12</v>
      </c>
      <c r="C7" s="76">
        <v>0.0</v>
      </c>
      <c r="D7" s="76">
        <v>-14.7</v>
      </c>
      <c r="E7" s="76">
        <v>1.8</v>
      </c>
      <c r="F7" s="76">
        <v>0.38</v>
      </c>
      <c r="G7" s="76">
        <v>27.47</v>
      </c>
      <c r="H7" s="76">
        <v>23.7</v>
      </c>
      <c r="I7" s="76">
        <v>-12.86</v>
      </c>
      <c r="J7" s="76">
        <v>7.98</v>
      </c>
      <c r="K7" s="76">
        <v>18.28</v>
      </c>
      <c r="L7" s="76">
        <v>10.3</v>
      </c>
      <c r="M7" s="76">
        <v>2.32</v>
      </c>
      <c r="N7" s="76">
        <v>1.89</v>
      </c>
      <c r="O7" s="76">
        <v>-50.54</v>
      </c>
      <c r="P7" s="76">
        <v>-0.46</v>
      </c>
      <c r="Q7" s="76">
        <v>0.95</v>
      </c>
      <c r="R7" s="76">
        <v>-12.23</v>
      </c>
      <c r="S7" s="76">
        <v>-2.6</v>
      </c>
      <c r="T7" s="76">
        <v>4.83</v>
      </c>
      <c r="U7" s="76">
        <v>0.21</v>
      </c>
      <c r="V7" s="76">
        <v>0.73</v>
      </c>
      <c r="W7" s="76">
        <v>0.2</v>
      </c>
      <c r="X7" s="76">
        <v>0.0</v>
      </c>
      <c r="Y7" s="76">
        <v>0.0</v>
      </c>
      <c r="Z7" s="77">
        <v>1.3684494E7</v>
      </c>
      <c r="AA7" s="76">
        <v>4.52</v>
      </c>
      <c r="AB7" s="76">
        <v>-0.55</v>
      </c>
      <c r="AC7" s="76">
        <v>-0.19</v>
      </c>
      <c r="AD7" s="77">
        <v>7.663439293E9</v>
      </c>
      <c r="AE7" s="78"/>
    </row>
    <row r="8">
      <c r="A8" s="73" t="s">
        <v>57</v>
      </c>
      <c r="B8" s="76">
        <v>7.39</v>
      </c>
      <c r="C8" s="76">
        <v>6.33</v>
      </c>
      <c r="D8" s="76">
        <v>13.37</v>
      </c>
      <c r="E8" s="76">
        <v>1.83</v>
      </c>
      <c r="F8" s="76">
        <v>1.24</v>
      </c>
      <c r="G8" s="76">
        <v>67.69</v>
      </c>
      <c r="H8" s="77">
        <v>61.47</v>
      </c>
      <c r="I8" s="77">
        <v>42.8</v>
      </c>
      <c r="J8" s="76">
        <v>9.31</v>
      </c>
      <c r="K8" s="76">
        <v>9.1</v>
      </c>
      <c r="L8" s="76">
        <v>-0.21</v>
      </c>
      <c r="M8" s="76">
        <v>-0.04</v>
      </c>
      <c r="N8" s="76">
        <v>5.72</v>
      </c>
      <c r="O8" s="76">
        <v>5.92</v>
      </c>
      <c r="P8" s="76">
        <v>-1.82</v>
      </c>
      <c r="Q8" s="76">
        <v>2.9</v>
      </c>
      <c r="R8" s="76">
        <v>13.65</v>
      </c>
      <c r="S8" s="77">
        <v>9.25</v>
      </c>
      <c r="T8" s="76">
        <v>13.92</v>
      </c>
      <c r="U8" s="76">
        <v>0.68</v>
      </c>
      <c r="V8" s="76">
        <v>0.32</v>
      </c>
      <c r="W8" s="76">
        <v>0.22</v>
      </c>
      <c r="X8" s="76">
        <v>17.36</v>
      </c>
      <c r="Y8" s="76">
        <v>6.66</v>
      </c>
      <c r="Z8" s="77">
        <v>2146.31</v>
      </c>
      <c r="AA8" s="76">
        <v>4.05</v>
      </c>
      <c r="AB8" s="76">
        <v>0.55</v>
      </c>
      <c r="AC8" s="76">
        <v>0.25</v>
      </c>
      <c r="AD8" s="77">
        <v>4.66195933E8</v>
      </c>
      <c r="AE8" s="78"/>
    </row>
    <row r="9">
      <c r="A9" s="73" t="s">
        <v>58</v>
      </c>
      <c r="B9" s="76">
        <v>20.26</v>
      </c>
      <c r="C9" s="76">
        <v>3.72</v>
      </c>
      <c r="D9" s="76">
        <v>-1319.19</v>
      </c>
      <c r="E9" s="76">
        <v>1.0</v>
      </c>
      <c r="F9" s="76">
        <v>0.56</v>
      </c>
      <c r="G9" s="76">
        <v>14.71</v>
      </c>
      <c r="H9" s="77">
        <v>1.96</v>
      </c>
      <c r="I9" s="77">
        <v>-0.15</v>
      </c>
      <c r="J9" s="76">
        <v>104.04</v>
      </c>
      <c r="K9" s="76">
        <v>167.47</v>
      </c>
      <c r="L9" s="76">
        <v>63.43</v>
      </c>
      <c r="M9" s="76">
        <v>0.61</v>
      </c>
      <c r="N9" s="76">
        <v>2.04</v>
      </c>
      <c r="O9" s="76">
        <v>5.12</v>
      </c>
      <c r="P9" s="76">
        <v>-0.78</v>
      </c>
      <c r="Q9" s="76">
        <v>1.61</v>
      </c>
      <c r="R9" s="76">
        <v>-0.08</v>
      </c>
      <c r="S9" s="77">
        <v>-0.04</v>
      </c>
      <c r="T9" s="76">
        <v>-1.03</v>
      </c>
      <c r="U9" s="76">
        <v>0.56</v>
      </c>
      <c r="V9" s="76">
        <v>0.44</v>
      </c>
      <c r="W9" s="76">
        <v>0.27</v>
      </c>
      <c r="X9" s="76">
        <v>10.7</v>
      </c>
      <c r="Y9" s="76">
        <v>0.0</v>
      </c>
      <c r="Z9" s="77">
        <v>4102180.0</v>
      </c>
      <c r="AA9" s="76">
        <v>20.24</v>
      </c>
      <c r="AB9" s="76">
        <v>-0.02</v>
      </c>
      <c r="AC9" s="76">
        <v>13.12</v>
      </c>
      <c r="AD9" s="77">
        <v>2.080366575E9</v>
      </c>
      <c r="AE9" s="78"/>
    </row>
    <row r="10">
      <c r="A10" s="73" t="s">
        <v>59</v>
      </c>
      <c r="B10" s="76">
        <v>2.51</v>
      </c>
      <c r="C10" s="76">
        <v>0.0</v>
      </c>
      <c r="D10" s="76">
        <v>0.03</v>
      </c>
      <c r="E10" s="76">
        <v>-0.23</v>
      </c>
      <c r="F10" s="76">
        <v>0.02</v>
      </c>
      <c r="G10" s="76">
        <v>-1.14</v>
      </c>
      <c r="H10" s="76">
        <v>39.74</v>
      </c>
      <c r="I10" s="76">
        <v>70.06</v>
      </c>
      <c r="J10" s="76">
        <v>0.06</v>
      </c>
      <c r="K10" s="76">
        <v>1.42</v>
      </c>
      <c r="L10" s="76">
        <v>1.36</v>
      </c>
      <c r="M10" s="76">
        <v>0.0</v>
      </c>
      <c r="N10" s="76">
        <v>0.02</v>
      </c>
      <c r="O10" s="76">
        <v>0.09</v>
      </c>
      <c r="P10" s="76">
        <v>-0.03</v>
      </c>
      <c r="Q10" s="76">
        <v>2.19</v>
      </c>
      <c r="R10" s="76">
        <v>-661.54</v>
      </c>
      <c r="S10" s="76">
        <v>55.38</v>
      </c>
      <c r="T10" s="76">
        <v>83.66</v>
      </c>
      <c r="U10" s="76">
        <v>-0.08</v>
      </c>
      <c r="V10" s="76">
        <v>1.08</v>
      </c>
      <c r="W10" s="76">
        <v>0.79</v>
      </c>
      <c r="X10" s="76">
        <v>24.29</v>
      </c>
      <c r="Y10" s="76">
        <v>123.15</v>
      </c>
      <c r="Z10" s="77">
        <v>118357.5</v>
      </c>
      <c r="AA10" s="76">
        <v>-10.93</v>
      </c>
      <c r="AB10" s="76">
        <v>72.3</v>
      </c>
      <c r="AC10" s="76">
        <v>0.0</v>
      </c>
      <c r="AD10" s="77">
        <v>4.259362321E7</v>
      </c>
      <c r="AE10" s="78"/>
    </row>
    <row r="11">
      <c r="A11" s="73" t="s">
        <v>60</v>
      </c>
      <c r="B11" s="76">
        <v>25.0</v>
      </c>
      <c r="C11" s="76">
        <v>0.0</v>
      </c>
      <c r="D11" s="76">
        <v>2.59</v>
      </c>
      <c r="E11" s="76">
        <v>0.83</v>
      </c>
      <c r="F11" s="76">
        <v>0.36</v>
      </c>
      <c r="G11" s="76">
        <v>19.91</v>
      </c>
      <c r="H11" s="76">
        <v>11.04</v>
      </c>
      <c r="I11" s="76">
        <v>12.25</v>
      </c>
      <c r="J11" s="76">
        <v>2.87</v>
      </c>
      <c r="K11" s="76">
        <v>1.9</v>
      </c>
      <c r="L11" s="76">
        <v>-1.03</v>
      </c>
      <c r="M11" s="76">
        <v>-0.3</v>
      </c>
      <c r="N11" s="76">
        <v>0.32</v>
      </c>
      <c r="O11" s="76">
        <v>1.43</v>
      </c>
      <c r="P11" s="76">
        <v>-0.63</v>
      </c>
      <c r="Q11" s="76">
        <v>2.46</v>
      </c>
      <c r="R11" s="76">
        <v>32.19</v>
      </c>
      <c r="S11" s="76">
        <v>13.95</v>
      </c>
      <c r="T11" s="76">
        <v>27.08</v>
      </c>
      <c r="U11" s="76">
        <v>0.43</v>
      </c>
      <c r="V11" s="76">
        <v>0.57</v>
      </c>
      <c r="W11" s="76">
        <v>1.14</v>
      </c>
      <c r="X11" s="76">
        <v>44.62</v>
      </c>
      <c r="Y11" s="76">
        <v>0.0</v>
      </c>
      <c r="Z11" s="77">
        <v>2100.0</v>
      </c>
      <c r="AA11" s="76">
        <v>30.0</v>
      </c>
      <c r="AB11" s="76">
        <v>9.66</v>
      </c>
      <c r="AC11" s="76">
        <v>-0.06</v>
      </c>
      <c r="AD11" s="77">
        <v>2.1767786E8</v>
      </c>
      <c r="AE11" s="78"/>
    </row>
    <row r="12">
      <c r="A12" s="73" t="s">
        <v>61</v>
      </c>
      <c r="B12" s="76">
        <v>58.0</v>
      </c>
      <c r="C12" s="76">
        <v>0.0</v>
      </c>
      <c r="D12" s="77">
        <v>6.01</v>
      </c>
      <c r="E12" s="76">
        <v>1.93</v>
      </c>
      <c r="F12" s="76">
        <v>0.84</v>
      </c>
      <c r="G12" s="76">
        <v>19.91</v>
      </c>
      <c r="H12" s="76">
        <v>11.04</v>
      </c>
      <c r="I12" s="76">
        <v>12.25</v>
      </c>
      <c r="J12" s="77">
        <v>6.67</v>
      </c>
      <c r="K12" s="77">
        <v>1.9</v>
      </c>
      <c r="L12" s="76">
        <v>-1.03</v>
      </c>
      <c r="M12" s="76">
        <v>-0.3</v>
      </c>
      <c r="N12" s="76">
        <v>0.74</v>
      </c>
      <c r="O12" s="76">
        <v>3.33</v>
      </c>
      <c r="P12" s="76">
        <v>-1.45</v>
      </c>
      <c r="Q12" s="76">
        <v>2.46</v>
      </c>
      <c r="R12" s="76">
        <v>32.19</v>
      </c>
      <c r="S12" s="76">
        <v>13.95</v>
      </c>
      <c r="T12" s="76">
        <v>27.08</v>
      </c>
      <c r="U12" s="76">
        <v>0.43</v>
      </c>
      <c r="V12" s="76">
        <v>0.57</v>
      </c>
      <c r="W12" s="76">
        <v>1.14</v>
      </c>
      <c r="X12" s="76">
        <v>44.62</v>
      </c>
      <c r="Y12" s="76">
        <v>0.0</v>
      </c>
      <c r="Z12" s="77">
        <v>0.0</v>
      </c>
      <c r="AA12" s="76">
        <v>30.0</v>
      </c>
      <c r="AB12" s="76">
        <v>9.66</v>
      </c>
      <c r="AC12" s="76">
        <v>-0.14</v>
      </c>
      <c r="AD12" s="77">
        <v>2.1767786E8</v>
      </c>
      <c r="AE12" s="78"/>
    </row>
    <row r="13">
      <c r="A13" s="73" t="s">
        <v>62</v>
      </c>
      <c r="B13" s="76">
        <v>55.0</v>
      </c>
      <c r="C13" s="76">
        <v>0.0</v>
      </c>
      <c r="D13" s="77">
        <v>5.7</v>
      </c>
      <c r="E13" s="76">
        <v>1.83</v>
      </c>
      <c r="F13" s="76">
        <v>0.79</v>
      </c>
      <c r="G13" s="76">
        <v>19.91</v>
      </c>
      <c r="H13" s="76">
        <v>11.04</v>
      </c>
      <c r="I13" s="76">
        <v>12.25</v>
      </c>
      <c r="J13" s="77">
        <v>6.32</v>
      </c>
      <c r="K13" s="77">
        <v>1.9</v>
      </c>
      <c r="L13" s="76">
        <v>-1.03</v>
      </c>
      <c r="M13" s="76">
        <v>-0.3</v>
      </c>
      <c r="N13" s="76">
        <v>0.7</v>
      </c>
      <c r="O13" s="76">
        <v>3.15</v>
      </c>
      <c r="P13" s="76">
        <v>-1.38</v>
      </c>
      <c r="Q13" s="76">
        <v>2.46</v>
      </c>
      <c r="R13" s="76">
        <v>32.19</v>
      </c>
      <c r="S13" s="76">
        <v>13.95</v>
      </c>
      <c r="T13" s="76">
        <v>27.08</v>
      </c>
      <c r="U13" s="76">
        <v>0.43</v>
      </c>
      <c r="V13" s="76">
        <v>0.57</v>
      </c>
      <c r="W13" s="76">
        <v>1.14</v>
      </c>
      <c r="X13" s="76">
        <v>44.62</v>
      </c>
      <c r="Y13" s="76">
        <v>0.0</v>
      </c>
      <c r="Z13" s="77">
        <v>5500.0</v>
      </c>
      <c r="AA13" s="77">
        <v>30.0</v>
      </c>
      <c r="AB13" s="77">
        <v>9.66</v>
      </c>
      <c r="AC13" s="76">
        <v>-0.13</v>
      </c>
      <c r="AD13" s="77">
        <v>2.1767786E8</v>
      </c>
      <c r="AE13" s="78"/>
    </row>
    <row r="14">
      <c r="A14" s="73" t="s">
        <v>63</v>
      </c>
      <c r="B14" s="76">
        <v>7.52</v>
      </c>
      <c r="C14" s="76">
        <v>15.41</v>
      </c>
      <c r="D14" s="76">
        <v>2.04</v>
      </c>
      <c r="E14" s="76">
        <v>0.43</v>
      </c>
      <c r="F14" s="76">
        <v>0.19</v>
      </c>
      <c r="G14" s="76">
        <v>11.57</v>
      </c>
      <c r="H14" s="76">
        <v>9.29</v>
      </c>
      <c r="I14" s="76">
        <v>6.55</v>
      </c>
      <c r="J14" s="76">
        <v>1.44</v>
      </c>
      <c r="K14" s="76">
        <v>1.12</v>
      </c>
      <c r="L14" s="76">
        <v>-0.32</v>
      </c>
      <c r="M14" s="76">
        <v>-0.09</v>
      </c>
      <c r="N14" s="76">
        <v>0.13</v>
      </c>
      <c r="O14" s="76">
        <v>0.57</v>
      </c>
      <c r="P14" s="76">
        <v>-0.74</v>
      </c>
      <c r="Q14" s="76">
        <v>1.81</v>
      </c>
      <c r="R14" s="77">
        <v>20.88</v>
      </c>
      <c r="S14" s="76">
        <v>9.36</v>
      </c>
      <c r="T14" s="76">
        <v>17.18</v>
      </c>
      <c r="U14" s="76">
        <v>0.45</v>
      </c>
      <c r="V14" s="76">
        <v>0.55</v>
      </c>
      <c r="W14" s="76">
        <v>1.43</v>
      </c>
      <c r="X14" s="76">
        <v>8.27</v>
      </c>
      <c r="Y14" s="76">
        <v>28.55</v>
      </c>
      <c r="Z14" s="77">
        <v>5234240.0</v>
      </c>
      <c r="AA14" s="76">
        <v>17.68</v>
      </c>
      <c r="AB14" s="76">
        <v>3.69</v>
      </c>
      <c r="AC14" s="76">
        <v>0.02</v>
      </c>
      <c r="AD14" s="77">
        <v>7.195947182E8</v>
      </c>
      <c r="AE14" s="78"/>
    </row>
    <row r="15">
      <c r="A15" s="73" t="s">
        <v>64</v>
      </c>
      <c r="B15" s="76">
        <v>31.64</v>
      </c>
      <c r="C15" s="76">
        <v>6.57</v>
      </c>
      <c r="D15" s="76">
        <v>21.26</v>
      </c>
      <c r="E15" s="76">
        <v>1.19</v>
      </c>
      <c r="F15" s="76">
        <v>0.61</v>
      </c>
      <c r="G15" s="76">
        <v>75.35</v>
      </c>
      <c r="H15" s="76">
        <v>56.25</v>
      </c>
      <c r="I15" s="76">
        <v>26.6</v>
      </c>
      <c r="J15" s="76">
        <v>10.05</v>
      </c>
      <c r="K15" s="76">
        <v>8.22</v>
      </c>
      <c r="L15" s="76">
        <v>-1.83</v>
      </c>
      <c r="M15" s="76">
        <v>-0.22</v>
      </c>
      <c r="N15" s="76">
        <v>5.65</v>
      </c>
      <c r="O15" s="76">
        <v>6.25</v>
      </c>
      <c r="P15" s="76">
        <v>-0.71</v>
      </c>
      <c r="Q15" s="76">
        <v>3.06</v>
      </c>
      <c r="R15" s="77">
        <v>5.59</v>
      </c>
      <c r="S15" s="76">
        <v>2.85</v>
      </c>
      <c r="T15" s="76">
        <v>10.65</v>
      </c>
      <c r="U15" s="76">
        <v>0.51</v>
      </c>
      <c r="V15" s="76">
        <v>0.46</v>
      </c>
      <c r="W15" s="76">
        <v>0.11</v>
      </c>
      <c r="X15" s="76">
        <v>29.82</v>
      </c>
      <c r="Y15" s="76">
        <v>102.53</v>
      </c>
      <c r="Z15" s="77">
        <v>1.78E8</v>
      </c>
      <c r="AA15" s="76">
        <v>26.62</v>
      </c>
      <c r="AB15" s="76">
        <v>1.49</v>
      </c>
      <c r="AC15" s="76">
        <v>-11.03</v>
      </c>
      <c r="AD15" s="77">
        <v>1.5952601563E10</v>
      </c>
      <c r="AE15" s="78"/>
    </row>
    <row r="16">
      <c r="A16" s="73" t="s">
        <v>65</v>
      </c>
      <c r="B16" s="76">
        <v>12.35</v>
      </c>
      <c r="C16" s="76">
        <v>4.77</v>
      </c>
      <c r="D16" s="76">
        <v>22.57</v>
      </c>
      <c r="E16" s="76">
        <v>1.96</v>
      </c>
      <c r="F16" s="76">
        <v>1.35</v>
      </c>
      <c r="G16" s="77">
        <v>47.89</v>
      </c>
      <c r="H16" s="77">
        <v>8.78</v>
      </c>
      <c r="I16" s="77">
        <v>8.43</v>
      </c>
      <c r="J16" s="76">
        <v>21.67</v>
      </c>
      <c r="K16" s="76">
        <v>22.81</v>
      </c>
      <c r="L16" s="76">
        <v>-0.99</v>
      </c>
      <c r="M16" s="76">
        <v>-0.09</v>
      </c>
      <c r="N16" s="76">
        <v>1.9</v>
      </c>
      <c r="O16" s="76">
        <v>4.62</v>
      </c>
      <c r="P16" s="76">
        <v>-2.72</v>
      </c>
      <c r="Q16" s="76">
        <v>2.4</v>
      </c>
      <c r="R16" s="76">
        <v>8.69</v>
      </c>
      <c r="S16" s="76">
        <v>5.99</v>
      </c>
      <c r="T16" s="76">
        <v>7.82</v>
      </c>
      <c r="U16" s="76">
        <v>0.69</v>
      </c>
      <c r="V16" s="76">
        <v>0.31</v>
      </c>
      <c r="W16" s="76">
        <v>0.71</v>
      </c>
      <c r="X16" s="76">
        <v>2.05</v>
      </c>
      <c r="Y16" s="76">
        <v>6.4</v>
      </c>
      <c r="Z16" s="77">
        <v>270396.0</v>
      </c>
      <c r="AA16" s="76">
        <v>6.3</v>
      </c>
      <c r="AB16" s="76">
        <v>0.55</v>
      </c>
      <c r="AC16" s="76">
        <v>-0.18</v>
      </c>
      <c r="AD16" s="77">
        <v>9.260342121E9</v>
      </c>
      <c r="AE16" s="78"/>
    </row>
    <row r="17">
      <c r="A17" s="73" t="s">
        <v>66</v>
      </c>
      <c r="B17" s="76">
        <v>14.75</v>
      </c>
      <c r="C17" s="76">
        <v>4.39</v>
      </c>
      <c r="D17" s="76">
        <v>26.96</v>
      </c>
      <c r="E17" s="76">
        <v>2.34</v>
      </c>
      <c r="F17" s="76">
        <v>1.62</v>
      </c>
      <c r="G17" s="77">
        <v>47.89</v>
      </c>
      <c r="H17" s="77">
        <v>8.78</v>
      </c>
      <c r="I17" s="77">
        <v>8.43</v>
      </c>
      <c r="J17" s="76">
        <v>25.89</v>
      </c>
      <c r="K17" s="76">
        <v>22.81</v>
      </c>
      <c r="L17" s="76">
        <v>-0.99</v>
      </c>
      <c r="M17" s="76">
        <v>-0.09</v>
      </c>
      <c r="N17" s="76">
        <v>2.27</v>
      </c>
      <c r="O17" s="76">
        <v>5.52</v>
      </c>
      <c r="P17" s="76">
        <v>-3.24</v>
      </c>
      <c r="Q17" s="76">
        <v>2.4</v>
      </c>
      <c r="R17" s="76">
        <v>8.69</v>
      </c>
      <c r="S17" s="76">
        <v>5.99</v>
      </c>
      <c r="T17" s="76">
        <v>7.82</v>
      </c>
      <c r="U17" s="76">
        <v>0.69</v>
      </c>
      <c r="V17" s="76">
        <v>0.31</v>
      </c>
      <c r="W17" s="76">
        <v>0.71</v>
      </c>
      <c r="X17" s="76">
        <v>2.05</v>
      </c>
      <c r="Y17" s="76">
        <v>6.4</v>
      </c>
      <c r="Z17" s="77">
        <v>3.6061574E7</v>
      </c>
      <c r="AA17" s="76">
        <v>6.3</v>
      </c>
      <c r="AB17" s="76">
        <v>0.55</v>
      </c>
      <c r="AC17" s="76">
        <v>-0.22</v>
      </c>
      <c r="AD17" s="77">
        <v>9.260342121E9</v>
      </c>
      <c r="AE17" s="78"/>
    </row>
    <row r="18">
      <c r="A18" s="73" t="s">
        <v>67</v>
      </c>
      <c r="B18" s="76">
        <v>5.29</v>
      </c>
      <c r="C18" s="76">
        <v>0.0</v>
      </c>
      <c r="D18" s="76">
        <v>822.2</v>
      </c>
      <c r="E18" s="76">
        <v>3.25</v>
      </c>
      <c r="F18" s="76">
        <v>0.45</v>
      </c>
      <c r="G18" s="77">
        <v>32.33</v>
      </c>
      <c r="H18" s="77">
        <v>13.88</v>
      </c>
      <c r="I18" s="77">
        <v>0.08</v>
      </c>
      <c r="J18" s="76">
        <v>4.64</v>
      </c>
      <c r="K18" s="76">
        <v>9.32</v>
      </c>
      <c r="L18" s="76">
        <v>4.69</v>
      </c>
      <c r="M18" s="76">
        <v>3.29</v>
      </c>
      <c r="N18" s="76">
        <v>0.64</v>
      </c>
      <c r="O18" s="76">
        <v>-9.83</v>
      </c>
      <c r="P18" s="76">
        <v>-0.57</v>
      </c>
      <c r="Q18" s="76">
        <v>0.82</v>
      </c>
      <c r="R18" s="76">
        <v>0.4</v>
      </c>
      <c r="S18" s="76">
        <v>0.05</v>
      </c>
      <c r="T18" s="76">
        <v>12.74</v>
      </c>
      <c r="U18" s="76">
        <v>0.14</v>
      </c>
      <c r="V18" s="76">
        <v>0.86</v>
      </c>
      <c r="W18" s="76">
        <v>0.7</v>
      </c>
      <c r="X18" s="76">
        <v>7.96</v>
      </c>
      <c r="Y18" s="76">
        <v>0.0</v>
      </c>
      <c r="Z18" s="77">
        <v>997644.2</v>
      </c>
      <c r="AA18" s="76">
        <v>1.63</v>
      </c>
      <c r="AB18" s="76">
        <v>0.01</v>
      </c>
      <c r="AC18" s="76">
        <v>-7.71</v>
      </c>
      <c r="AD18" s="77">
        <v>1.160127328E9</v>
      </c>
      <c r="AE18" s="78"/>
    </row>
    <row r="19">
      <c r="A19" s="73" t="s">
        <v>68</v>
      </c>
      <c r="B19" s="76">
        <v>36.09</v>
      </c>
      <c r="C19" s="76">
        <v>3.57</v>
      </c>
      <c r="D19" s="76">
        <v>10.23</v>
      </c>
      <c r="E19" s="76">
        <v>1.32</v>
      </c>
      <c r="F19" s="76">
        <v>0.38</v>
      </c>
      <c r="G19" s="76">
        <v>69.61</v>
      </c>
      <c r="H19" s="76">
        <v>71.56</v>
      </c>
      <c r="I19" s="76">
        <v>26.7</v>
      </c>
      <c r="J19" s="76">
        <v>3.81</v>
      </c>
      <c r="K19" s="76">
        <v>6.78</v>
      </c>
      <c r="L19" s="76">
        <v>2.97</v>
      </c>
      <c r="M19" s="76">
        <v>1.03</v>
      </c>
      <c r="N19" s="76">
        <v>2.73</v>
      </c>
      <c r="O19" s="76">
        <v>3.22</v>
      </c>
      <c r="P19" s="76">
        <v>-0.47</v>
      </c>
      <c r="Q19" s="76">
        <v>2.55</v>
      </c>
      <c r="R19" s="76">
        <v>12.93</v>
      </c>
      <c r="S19" s="76">
        <v>3.7</v>
      </c>
      <c r="T19" s="76">
        <v>10.81</v>
      </c>
      <c r="U19" s="76">
        <v>0.29</v>
      </c>
      <c r="V19" s="76">
        <v>0.61</v>
      </c>
      <c r="W19" s="76">
        <v>0.14</v>
      </c>
      <c r="X19" s="76">
        <v>-2.71</v>
      </c>
      <c r="Y19" s="76">
        <v>5.5</v>
      </c>
      <c r="Z19" s="77">
        <v>3.2185667E7</v>
      </c>
      <c r="AA19" s="76">
        <v>27.3</v>
      </c>
      <c r="AB19" s="76">
        <v>3.53</v>
      </c>
      <c r="AC19" s="76">
        <v>0.61</v>
      </c>
      <c r="AD19" s="77">
        <v>1.189623363E10</v>
      </c>
      <c r="AE19" s="78"/>
    </row>
    <row r="20">
      <c r="A20" s="73" t="s">
        <v>69</v>
      </c>
      <c r="B20" s="76">
        <v>13.07</v>
      </c>
      <c r="C20" s="76">
        <v>3.29</v>
      </c>
      <c r="D20" s="76">
        <v>11.11</v>
      </c>
      <c r="E20" s="76">
        <v>1.44</v>
      </c>
      <c r="F20" s="76">
        <v>0.41</v>
      </c>
      <c r="G20" s="76">
        <v>69.61</v>
      </c>
      <c r="H20" s="76">
        <v>71.56</v>
      </c>
      <c r="I20" s="76">
        <v>26.7</v>
      </c>
      <c r="J20" s="76">
        <v>4.14</v>
      </c>
      <c r="K20" s="76">
        <v>6.78</v>
      </c>
      <c r="L20" s="76">
        <v>2.97</v>
      </c>
      <c r="M20" s="76">
        <v>1.03</v>
      </c>
      <c r="N20" s="76">
        <v>2.97</v>
      </c>
      <c r="O20" s="76">
        <v>3.5</v>
      </c>
      <c r="P20" s="76">
        <v>-0.51</v>
      </c>
      <c r="Q20" s="76">
        <v>2.55</v>
      </c>
      <c r="R20" s="76">
        <v>12.93</v>
      </c>
      <c r="S20" s="76">
        <v>3.7</v>
      </c>
      <c r="T20" s="76">
        <v>10.81</v>
      </c>
      <c r="U20" s="76">
        <v>0.29</v>
      </c>
      <c r="V20" s="76">
        <v>0.61</v>
      </c>
      <c r="W20" s="76">
        <v>0.14</v>
      </c>
      <c r="X20" s="76">
        <v>-2.71</v>
      </c>
      <c r="Y20" s="76">
        <v>5.5</v>
      </c>
      <c r="Z20" s="77">
        <v>120061.5</v>
      </c>
      <c r="AA20" s="76">
        <v>9.1</v>
      </c>
      <c r="AB20" s="76">
        <v>1.18</v>
      </c>
      <c r="AC20" s="76">
        <v>0.67</v>
      </c>
      <c r="AD20" s="77">
        <v>1.189623363E10</v>
      </c>
      <c r="AE20" s="78"/>
    </row>
    <row r="21">
      <c r="A21" s="73" t="s">
        <v>70</v>
      </c>
      <c r="B21" s="76">
        <v>11.25</v>
      </c>
      <c r="C21" s="76">
        <v>3.82</v>
      </c>
      <c r="D21" s="76">
        <v>9.56</v>
      </c>
      <c r="E21" s="76">
        <v>1.24</v>
      </c>
      <c r="F21" s="76">
        <v>0.35</v>
      </c>
      <c r="G21" s="76">
        <v>69.61</v>
      </c>
      <c r="H21" s="76">
        <v>71.56</v>
      </c>
      <c r="I21" s="76">
        <v>26.7</v>
      </c>
      <c r="J21" s="76">
        <v>3.57</v>
      </c>
      <c r="K21" s="76">
        <v>6.78</v>
      </c>
      <c r="L21" s="76">
        <v>2.97</v>
      </c>
      <c r="M21" s="76">
        <v>1.03</v>
      </c>
      <c r="N21" s="76">
        <v>2.55</v>
      </c>
      <c r="O21" s="76">
        <v>3.01</v>
      </c>
      <c r="P21" s="76">
        <v>-0.44</v>
      </c>
      <c r="Q21" s="76">
        <v>2.55</v>
      </c>
      <c r="R21" s="76">
        <v>12.93</v>
      </c>
      <c r="S21" s="76">
        <v>3.7</v>
      </c>
      <c r="T21" s="76">
        <v>10.81</v>
      </c>
      <c r="U21" s="76">
        <v>0.29</v>
      </c>
      <c r="V21" s="76">
        <v>0.61</v>
      </c>
      <c r="W21" s="76">
        <v>0.14</v>
      </c>
      <c r="X21" s="76">
        <v>-2.71</v>
      </c>
      <c r="Y21" s="76">
        <v>5.5</v>
      </c>
      <c r="Z21" s="77">
        <v>164248.6</v>
      </c>
      <c r="AA21" s="76">
        <v>9.1</v>
      </c>
      <c r="AB21" s="76">
        <v>1.18</v>
      </c>
      <c r="AC21" s="76">
        <v>0.57</v>
      </c>
      <c r="AD21" s="77">
        <v>1.189623363E10</v>
      </c>
      <c r="AE21" s="78"/>
    </row>
    <row r="22">
      <c r="A22" s="73" t="s">
        <v>71</v>
      </c>
      <c r="B22" s="77">
        <v>0.93</v>
      </c>
      <c r="C22" s="76">
        <v>0.0</v>
      </c>
      <c r="D22" s="77">
        <v>29.68</v>
      </c>
      <c r="E22" s="77">
        <v>1.62</v>
      </c>
      <c r="F22" s="76">
        <v>0.22</v>
      </c>
      <c r="G22" s="76">
        <v>52.44</v>
      </c>
      <c r="H22" s="76">
        <v>16.87</v>
      </c>
      <c r="I22" s="76">
        <v>1.08</v>
      </c>
      <c r="J22" s="77">
        <v>1.9</v>
      </c>
      <c r="K22" s="77">
        <v>5.08</v>
      </c>
      <c r="L22" s="76">
        <v>3.19</v>
      </c>
      <c r="M22" s="76">
        <v>2.72</v>
      </c>
      <c r="N22" s="77">
        <v>0.32</v>
      </c>
      <c r="O22" s="77">
        <v>-1.8</v>
      </c>
      <c r="P22" s="76">
        <v>-0.32</v>
      </c>
      <c r="Q22" s="76">
        <v>0.7</v>
      </c>
      <c r="R22" s="76">
        <v>5.45</v>
      </c>
      <c r="S22" s="76">
        <v>0.76</v>
      </c>
      <c r="T22" s="76">
        <v>21.48</v>
      </c>
      <c r="U22" s="76">
        <v>0.14</v>
      </c>
      <c r="V22" s="76">
        <v>0.86</v>
      </c>
      <c r="W22" s="76">
        <v>0.7</v>
      </c>
      <c r="X22" s="76">
        <v>-13.55</v>
      </c>
      <c r="Y22" s="76">
        <v>0.0</v>
      </c>
      <c r="Z22" s="77">
        <v>289427.5</v>
      </c>
      <c r="AA22" s="76">
        <v>0.58</v>
      </c>
      <c r="AB22" s="76">
        <v>0.03</v>
      </c>
      <c r="AC22" s="76">
        <v>-0.29</v>
      </c>
      <c r="AD22" s="77">
        <v>4.775701609E8</v>
      </c>
      <c r="AE22" s="78"/>
    </row>
    <row r="23">
      <c r="A23" s="73" t="s">
        <v>72</v>
      </c>
      <c r="B23" s="77">
        <v>0.26</v>
      </c>
      <c r="C23" s="76">
        <v>0.0</v>
      </c>
      <c r="D23" s="77">
        <v>-1.69</v>
      </c>
      <c r="E23" s="77">
        <v>0.4</v>
      </c>
      <c r="F23" s="76">
        <v>0.03</v>
      </c>
      <c r="G23" s="76">
        <v>18.22</v>
      </c>
      <c r="H23" s="76">
        <v>17.36</v>
      </c>
      <c r="I23" s="76">
        <v>-3.54</v>
      </c>
      <c r="J23" s="77">
        <v>0.35</v>
      </c>
      <c r="K23" s="77">
        <v>5.4</v>
      </c>
      <c r="L23" s="76">
        <v>5.06</v>
      </c>
      <c r="M23" s="76">
        <v>5.81</v>
      </c>
      <c r="N23" s="76">
        <v>0.06</v>
      </c>
      <c r="O23" s="77">
        <v>0.09</v>
      </c>
      <c r="P23" s="76">
        <v>-0.05</v>
      </c>
      <c r="Q23" s="76">
        <v>2.72</v>
      </c>
      <c r="R23" s="76">
        <v>-23.47</v>
      </c>
      <c r="S23" s="76">
        <v>-1.52</v>
      </c>
      <c r="T23" s="76">
        <v>8.91</v>
      </c>
      <c r="U23" s="76">
        <v>0.06</v>
      </c>
      <c r="V23" s="76">
        <v>0.87</v>
      </c>
      <c r="W23" s="76">
        <v>0.43</v>
      </c>
      <c r="X23" s="76">
        <v>67.64</v>
      </c>
      <c r="Y23" s="76">
        <v>0.0</v>
      </c>
      <c r="Z23" s="77">
        <v>2280300.0</v>
      </c>
      <c r="AA23" s="76">
        <v>0.65</v>
      </c>
      <c r="AB23" s="76">
        <v>-0.15</v>
      </c>
      <c r="AC23" s="76">
        <v>0.09</v>
      </c>
      <c r="AD23" s="77">
        <v>4.343088594E8</v>
      </c>
      <c r="AE23" s="78"/>
    </row>
    <row r="24">
      <c r="A24" s="73" t="s">
        <v>73</v>
      </c>
      <c r="B24" s="77">
        <v>5.68</v>
      </c>
      <c r="C24" s="76">
        <v>0.0</v>
      </c>
      <c r="D24" s="77">
        <v>-1.4</v>
      </c>
      <c r="E24" s="77">
        <v>0.24</v>
      </c>
      <c r="F24" s="76">
        <v>0.07</v>
      </c>
      <c r="G24" s="76">
        <v>28.74</v>
      </c>
      <c r="H24" s="76">
        <v>-2.45</v>
      </c>
      <c r="I24" s="76">
        <v>-5.85</v>
      </c>
      <c r="J24" s="77">
        <v>-3.34</v>
      </c>
      <c r="K24" s="77">
        <v>-7.24</v>
      </c>
      <c r="L24" s="76">
        <v>-3.91</v>
      </c>
      <c r="M24" s="76">
        <v>0.28</v>
      </c>
      <c r="N24" s="76">
        <v>0.08</v>
      </c>
      <c r="O24" s="77">
        <v>0.39</v>
      </c>
      <c r="P24" s="76">
        <v>-0.13</v>
      </c>
      <c r="Q24" s="76">
        <v>1.63</v>
      </c>
      <c r="R24" s="77">
        <v>-17.16</v>
      </c>
      <c r="S24" s="76">
        <v>-5.03</v>
      </c>
      <c r="T24" s="76">
        <v>-7.44</v>
      </c>
      <c r="U24" s="76">
        <v>0.29</v>
      </c>
      <c r="V24" s="76">
        <v>0.71</v>
      </c>
      <c r="W24" s="76">
        <v>0.86</v>
      </c>
      <c r="X24" s="76">
        <v>16.22</v>
      </c>
      <c r="Y24" s="76">
        <v>0.0</v>
      </c>
      <c r="Z24" s="77">
        <v>1.1446965E7</v>
      </c>
      <c r="AA24" s="76">
        <v>23.66</v>
      </c>
      <c r="AB24" s="76">
        <v>-4.06</v>
      </c>
      <c r="AC24" s="76">
        <v>0.01</v>
      </c>
      <c r="AD24" s="77">
        <v>1.137391594E9</v>
      </c>
      <c r="AE24" s="78"/>
    </row>
    <row r="25">
      <c r="A25" s="73" t="s">
        <v>74</v>
      </c>
      <c r="B25" s="76">
        <v>13.23</v>
      </c>
      <c r="C25" s="76">
        <v>0.0</v>
      </c>
      <c r="D25" s="76">
        <v>0.0</v>
      </c>
      <c r="E25" s="76">
        <v>0.0</v>
      </c>
      <c r="F25" s="76">
        <v>0.0</v>
      </c>
      <c r="G25" s="76">
        <v>3.6</v>
      </c>
      <c r="H25" s="76">
        <v>-46.82</v>
      </c>
      <c r="I25" s="76">
        <v>-57.58</v>
      </c>
      <c r="J25" s="76">
        <v>0.0</v>
      </c>
      <c r="K25" s="76">
        <v>0.0</v>
      </c>
      <c r="L25" s="76">
        <v>-0.01</v>
      </c>
      <c r="M25" s="76">
        <v>0.0</v>
      </c>
      <c r="N25" s="76">
        <v>0.0</v>
      </c>
      <c r="O25" s="76">
        <v>0.0</v>
      </c>
      <c r="P25" s="76">
        <v>0.0</v>
      </c>
      <c r="Q25" s="76">
        <v>0.19</v>
      </c>
      <c r="R25" s="77">
        <v>-2595.29</v>
      </c>
      <c r="S25" s="76">
        <v>-6030.26</v>
      </c>
      <c r="T25" s="77">
        <v>2660.36</v>
      </c>
      <c r="U25" s="76">
        <v>-2.32</v>
      </c>
      <c r="V25" s="76">
        <v>3.32</v>
      </c>
      <c r="W25" s="76">
        <v>104.73</v>
      </c>
      <c r="X25" s="76">
        <v>0.0</v>
      </c>
      <c r="Y25" s="76">
        <v>0.0</v>
      </c>
      <c r="Z25" s="77">
        <v>547696.1</v>
      </c>
      <c r="AA25" s="76">
        <v>0.0</v>
      </c>
      <c r="AB25" s="76">
        <v>0.0</v>
      </c>
      <c r="AC25" s="76">
        <v>0.0</v>
      </c>
      <c r="AD25" s="77">
        <v>0.0</v>
      </c>
      <c r="AE25" s="78"/>
    </row>
    <row r="26">
      <c r="A26" s="73" t="s">
        <v>75</v>
      </c>
      <c r="B26" s="76">
        <v>5.0</v>
      </c>
      <c r="C26" s="76">
        <v>1.07</v>
      </c>
      <c r="D26" s="76">
        <v>12.81</v>
      </c>
      <c r="E26" s="76">
        <v>0.86</v>
      </c>
      <c r="F26" s="76">
        <v>0.2</v>
      </c>
      <c r="G26" s="76">
        <v>62.16</v>
      </c>
      <c r="H26" s="76">
        <v>24.85</v>
      </c>
      <c r="I26" s="76">
        <v>3.99</v>
      </c>
      <c r="J26" s="76">
        <v>2.06</v>
      </c>
      <c r="K26" s="76">
        <v>5.97</v>
      </c>
      <c r="L26" s="76">
        <v>3.91</v>
      </c>
      <c r="M26" s="76">
        <v>1.63</v>
      </c>
      <c r="N26" s="76">
        <v>0.51</v>
      </c>
      <c r="O26" s="76">
        <v>1.66</v>
      </c>
      <c r="P26" s="76">
        <v>-0.27</v>
      </c>
      <c r="Q26" s="76">
        <v>1.92</v>
      </c>
      <c r="R26" s="76">
        <v>6.7</v>
      </c>
      <c r="S26" s="76">
        <v>1.56</v>
      </c>
      <c r="T26" s="76">
        <v>11.61</v>
      </c>
      <c r="U26" s="76">
        <v>0.23</v>
      </c>
      <c r="V26" s="76">
        <v>0.71</v>
      </c>
      <c r="W26" s="76">
        <v>0.39</v>
      </c>
      <c r="X26" s="76">
        <v>26.33</v>
      </c>
      <c r="Y26" s="76">
        <v>0.0</v>
      </c>
      <c r="Z26" s="77">
        <v>4.5686853E7</v>
      </c>
      <c r="AA26" s="76">
        <v>5.83</v>
      </c>
      <c r="AB26" s="76">
        <v>0.39</v>
      </c>
      <c r="AC26" s="76">
        <v>-0.03</v>
      </c>
      <c r="AD26" s="77">
        <v>2.019344025E9</v>
      </c>
      <c r="AE26" s="78"/>
    </row>
    <row r="27">
      <c r="A27" s="73" t="s">
        <v>76</v>
      </c>
      <c r="B27" s="76">
        <v>46.75</v>
      </c>
      <c r="C27" s="76">
        <v>0.0</v>
      </c>
      <c r="D27" s="76">
        <v>-32.82</v>
      </c>
      <c r="E27" s="76">
        <v>2.02</v>
      </c>
      <c r="F27" s="76">
        <v>1.01</v>
      </c>
      <c r="G27" s="76">
        <v>100.0</v>
      </c>
      <c r="H27" s="76">
        <v>6.6</v>
      </c>
      <c r="I27" s="76">
        <v>-8.16</v>
      </c>
      <c r="J27" s="76">
        <v>40.57</v>
      </c>
      <c r="K27" s="76">
        <v>43.31</v>
      </c>
      <c r="L27" s="76">
        <v>2.74</v>
      </c>
      <c r="M27" s="76">
        <v>0.14</v>
      </c>
      <c r="N27" s="76">
        <v>2.68</v>
      </c>
      <c r="O27" s="76">
        <v>115.28</v>
      </c>
      <c r="P27" s="76">
        <v>-1.38</v>
      </c>
      <c r="Q27" s="76">
        <v>1.03</v>
      </c>
      <c r="R27" s="76">
        <v>-6.15</v>
      </c>
      <c r="S27" s="76">
        <v>-3.09</v>
      </c>
      <c r="T27" s="76">
        <v>2.91</v>
      </c>
      <c r="U27" s="76">
        <v>0.5</v>
      </c>
      <c r="V27" s="76">
        <v>0.5</v>
      </c>
      <c r="W27" s="76">
        <v>0.38</v>
      </c>
      <c r="X27" s="76">
        <v>29.52</v>
      </c>
      <c r="Y27" s="76">
        <v>0.0</v>
      </c>
      <c r="Z27" s="77">
        <v>51166.0</v>
      </c>
      <c r="AA27" s="77">
        <v>23.16</v>
      </c>
      <c r="AB27" s="77">
        <v>-1.42</v>
      </c>
      <c r="AC27" s="76">
        <v>0.16</v>
      </c>
      <c r="AD27" s="77">
        <v>9.532699468E8</v>
      </c>
      <c r="AE27" s="78"/>
    </row>
    <row r="28">
      <c r="A28" s="73" t="s">
        <v>77</v>
      </c>
      <c r="B28" s="77">
        <v>197.64</v>
      </c>
      <c r="C28" s="76">
        <v>0.0</v>
      </c>
      <c r="D28" s="77">
        <v>0.12</v>
      </c>
      <c r="E28" s="76">
        <v>0.01</v>
      </c>
      <c r="F28" s="76">
        <v>0.01</v>
      </c>
      <c r="G28" s="76">
        <v>100.11</v>
      </c>
      <c r="H28" s="76">
        <v>45.32</v>
      </c>
      <c r="I28" s="76">
        <v>81.09</v>
      </c>
      <c r="J28" s="76">
        <v>0.22</v>
      </c>
      <c r="K28" s="76">
        <v>0.8</v>
      </c>
      <c r="L28" s="76">
        <v>-1.42</v>
      </c>
      <c r="M28" s="76">
        <v>-0.09</v>
      </c>
      <c r="N28" s="76">
        <v>0.1</v>
      </c>
      <c r="O28" s="76">
        <v>0.02</v>
      </c>
      <c r="P28" s="76">
        <v>-0.01</v>
      </c>
      <c r="Q28" s="76">
        <v>10.57</v>
      </c>
      <c r="R28" s="76">
        <v>10.94</v>
      </c>
      <c r="S28" s="76">
        <v>5.92</v>
      </c>
      <c r="T28" s="76">
        <v>3.06</v>
      </c>
      <c r="U28" s="76">
        <v>0.54</v>
      </c>
      <c r="V28" s="76">
        <v>0.46</v>
      </c>
      <c r="W28" s="76">
        <v>0.07</v>
      </c>
      <c r="X28" s="76">
        <v>-2.98</v>
      </c>
      <c r="Y28" s="76">
        <v>0.0</v>
      </c>
      <c r="Z28" s="77">
        <v>0.0</v>
      </c>
      <c r="AA28" s="77">
        <v>14822.32</v>
      </c>
      <c r="AB28" s="77">
        <v>1621.94</v>
      </c>
      <c r="AC28" s="76">
        <v>0.0</v>
      </c>
      <c r="AD28" s="77">
        <v>3.74174574E7</v>
      </c>
      <c r="AE28" s="78"/>
    </row>
    <row r="29">
      <c r="A29" s="73" t="s">
        <v>78</v>
      </c>
      <c r="B29" s="76">
        <v>2930.92</v>
      </c>
      <c r="C29" s="76">
        <v>0.0</v>
      </c>
      <c r="D29" s="77">
        <v>1.81</v>
      </c>
      <c r="E29" s="76">
        <v>0.2</v>
      </c>
      <c r="F29" s="76">
        <v>0.11</v>
      </c>
      <c r="G29" s="76">
        <v>100.11</v>
      </c>
      <c r="H29" s="76">
        <v>45.32</v>
      </c>
      <c r="I29" s="76">
        <v>81.09</v>
      </c>
      <c r="J29" s="76">
        <v>3.23</v>
      </c>
      <c r="K29" s="76">
        <v>0.8</v>
      </c>
      <c r="L29" s="76">
        <v>-1.42</v>
      </c>
      <c r="M29" s="76">
        <v>-0.09</v>
      </c>
      <c r="N29" s="76">
        <v>1.47</v>
      </c>
      <c r="O29" s="76">
        <v>0.25</v>
      </c>
      <c r="P29" s="76">
        <v>-0.2</v>
      </c>
      <c r="Q29" s="76">
        <v>10.57</v>
      </c>
      <c r="R29" s="76">
        <v>10.94</v>
      </c>
      <c r="S29" s="76">
        <v>5.92</v>
      </c>
      <c r="T29" s="76">
        <v>3.06</v>
      </c>
      <c r="U29" s="76">
        <v>0.54</v>
      </c>
      <c r="V29" s="76">
        <v>0.46</v>
      </c>
      <c r="W29" s="76">
        <v>0.07</v>
      </c>
      <c r="X29" s="76">
        <v>-2.98</v>
      </c>
      <c r="Y29" s="76">
        <v>0.0</v>
      </c>
      <c r="Z29" s="77">
        <v>0.0</v>
      </c>
      <c r="AA29" s="76">
        <v>14822.32</v>
      </c>
      <c r="AB29" s="76">
        <v>1621.94</v>
      </c>
      <c r="AC29" s="76">
        <v>-0.04</v>
      </c>
      <c r="AD29" s="77">
        <v>3.74174574E7</v>
      </c>
      <c r="AE29" s="78"/>
    </row>
    <row r="30">
      <c r="A30" s="73" t="s">
        <v>79</v>
      </c>
      <c r="B30" s="76">
        <v>5.57</v>
      </c>
      <c r="C30" s="76">
        <v>11.09</v>
      </c>
      <c r="D30" s="77">
        <v>35.62</v>
      </c>
      <c r="E30" s="76">
        <v>1.52</v>
      </c>
      <c r="F30" s="76">
        <v>0.42</v>
      </c>
      <c r="G30" s="76">
        <v>35.48</v>
      </c>
      <c r="H30" s="76">
        <v>22.22</v>
      </c>
      <c r="I30" s="76">
        <v>2.91</v>
      </c>
      <c r="J30" s="76">
        <v>4.67</v>
      </c>
      <c r="K30" s="76">
        <v>9.2</v>
      </c>
      <c r="L30" s="76">
        <v>4.53</v>
      </c>
      <c r="M30" s="76">
        <v>1.47</v>
      </c>
      <c r="N30" s="76">
        <v>1.04</v>
      </c>
      <c r="O30" s="76">
        <v>2.54</v>
      </c>
      <c r="P30" s="76">
        <v>-0.59</v>
      </c>
      <c r="Q30" s="76">
        <v>2.21</v>
      </c>
      <c r="R30" s="76">
        <v>4.26</v>
      </c>
      <c r="S30" s="76">
        <v>1.17</v>
      </c>
      <c r="T30" s="76">
        <v>10.45</v>
      </c>
      <c r="U30" s="76">
        <v>0.27</v>
      </c>
      <c r="V30" s="76">
        <v>0.72</v>
      </c>
      <c r="W30" s="76">
        <v>0.4</v>
      </c>
      <c r="X30" s="76">
        <v>95.79</v>
      </c>
      <c r="Y30" s="76">
        <v>42.68</v>
      </c>
      <c r="Z30" s="77">
        <v>4126765.0</v>
      </c>
      <c r="AA30" s="76">
        <v>3.67</v>
      </c>
      <c r="AB30" s="76">
        <v>0.16</v>
      </c>
      <c r="AC30" s="76">
        <v>-0.48</v>
      </c>
      <c r="AD30" s="77">
        <v>1.92997212E9</v>
      </c>
      <c r="AE30" s="78"/>
    </row>
    <row r="31">
      <c r="A31" s="73" t="s">
        <v>80</v>
      </c>
      <c r="B31" s="76">
        <v>0.8</v>
      </c>
      <c r="C31" s="76">
        <v>0.0</v>
      </c>
      <c r="D31" s="76">
        <v>3.35</v>
      </c>
      <c r="E31" s="76">
        <v>0.37</v>
      </c>
      <c r="F31" s="76">
        <v>0.1</v>
      </c>
      <c r="G31" s="76">
        <v>84.84</v>
      </c>
      <c r="H31" s="76">
        <v>-61.73</v>
      </c>
      <c r="I31" s="76">
        <v>56.03</v>
      </c>
      <c r="J31" s="76">
        <v>-3.04</v>
      </c>
      <c r="K31" s="76">
        <v>2.5</v>
      </c>
      <c r="L31" s="76">
        <v>5.54</v>
      </c>
      <c r="M31" s="76">
        <v>-0.67</v>
      </c>
      <c r="N31" s="76">
        <v>1.88</v>
      </c>
      <c r="O31" s="76">
        <v>0.41</v>
      </c>
      <c r="P31" s="76">
        <v>-3.27</v>
      </c>
      <c r="Q31" s="76">
        <v>1.34</v>
      </c>
      <c r="R31" s="76">
        <v>10.95</v>
      </c>
      <c r="S31" s="76">
        <v>3.02</v>
      </c>
      <c r="T31" s="76">
        <v>-17.48</v>
      </c>
      <c r="U31" s="76">
        <v>0.28</v>
      </c>
      <c r="V31" s="76">
        <v>0.72</v>
      </c>
      <c r="W31" s="76">
        <v>0.05</v>
      </c>
      <c r="X31" s="76">
        <v>22.22</v>
      </c>
      <c r="Y31" s="76">
        <v>0.0</v>
      </c>
      <c r="Z31" s="77">
        <v>956.45</v>
      </c>
      <c r="AA31" s="76">
        <v>2.18</v>
      </c>
      <c r="AB31" s="76">
        <v>0.24</v>
      </c>
      <c r="AC31" s="76">
        <v>0.0</v>
      </c>
      <c r="AD31" s="77">
        <v>1.127934448E8</v>
      </c>
      <c r="AE31" s="78"/>
    </row>
    <row r="32">
      <c r="A32" s="73" t="s">
        <v>81</v>
      </c>
      <c r="B32" s="76">
        <v>9.46</v>
      </c>
      <c r="C32" s="76">
        <v>1.26</v>
      </c>
      <c r="D32" s="76">
        <v>13.95</v>
      </c>
      <c r="E32" s="76">
        <v>2.24</v>
      </c>
      <c r="F32" s="76">
        <v>0.28</v>
      </c>
      <c r="G32" s="76">
        <v>16.75</v>
      </c>
      <c r="H32" s="76">
        <v>5.39</v>
      </c>
      <c r="I32" s="76">
        <v>1.2</v>
      </c>
      <c r="J32" s="76">
        <v>3.1</v>
      </c>
      <c r="K32" s="76">
        <v>5.96</v>
      </c>
      <c r="L32" s="76">
        <v>2.86</v>
      </c>
      <c r="M32" s="76">
        <v>2.07</v>
      </c>
      <c r="N32" s="76">
        <v>0.17</v>
      </c>
      <c r="O32" s="76">
        <v>7.77</v>
      </c>
      <c r="P32" s="76">
        <v>-0.44</v>
      </c>
      <c r="Q32" s="76">
        <v>1.12</v>
      </c>
      <c r="R32" s="76">
        <v>16.05</v>
      </c>
      <c r="S32" s="76">
        <v>2.03</v>
      </c>
      <c r="T32" s="76">
        <v>18.58</v>
      </c>
      <c r="U32" s="76">
        <v>0.13</v>
      </c>
      <c r="V32" s="76">
        <v>0.87</v>
      </c>
      <c r="W32" s="76">
        <v>1.7</v>
      </c>
      <c r="X32" s="76">
        <v>21.32</v>
      </c>
      <c r="Y32" s="76">
        <v>-2.6</v>
      </c>
      <c r="Z32" s="77">
        <v>1.79E8</v>
      </c>
      <c r="AA32" s="76">
        <v>4.23</v>
      </c>
      <c r="AB32" s="76">
        <v>0.68</v>
      </c>
      <c r="AC32" s="76">
        <v>0.31</v>
      </c>
      <c r="AD32" s="77">
        <v>1.2804081147E10</v>
      </c>
      <c r="AE32" s="78"/>
    </row>
    <row r="33">
      <c r="A33" s="73" t="s">
        <v>82</v>
      </c>
      <c r="B33" s="76">
        <v>3.05</v>
      </c>
      <c r="C33" s="76">
        <v>0.0</v>
      </c>
      <c r="D33" s="76">
        <v>0.0</v>
      </c>
      <c r="E33" s="76">
        <v>0.0</v>
      </c>
      <c r="F33" s="76">
        <v>0.0</v>
      </c>
      <c r="G33" s="76">
        <v>0.0</v>
      </c>
      <c r="H33" s="76">
        <v>0.0</v>
      </c>
      <c r="I33" s="76">
        <v>0.0</v>
      </c>
      <c r="J33" s="76">
        <v>0.0</v>
      </c>
      <c r="K33" s="76">
        <v>0.0</v>
      </c>
      <c r="L33" s="76">
        <v>0.0</v>
      </c>
      <c r="M33" s="76">
        <v>0.0</v>
      </c>
      <c r="N33" s="76">
        <v>0.0</v>
      </c>
      <c r="O33" s="76">
        <v>0.0</v>
      </c>
      <c r="P33" s="76">
        <v>0.0</v>
      </c>
      <c r="Q33" s="76">
        <v>0.0</v>
      </c>
      <c r="R33" s="76">
        <v>0.0</v>
      </c>
      <c r="S33" s="76">
        <v>0.0</v>
      </c>
      <c r="T33" s="77">
        <v>0.0</v>
      </c>
      <c r="U33" s="76">
        <v>0.0</v>
      </c>
      <c r="V33" s="76">
        <v>0.0</v>
      </c>
      <c r="W33" s="76">
        <v>0.0</v>
      </c>
      <c r="X33" s="76">
        <v>0.0</v>
      </c>
      <c r="Y33" s="76">
        <v>0.0</v>
      </c>
      <c r="Z33" s="77">
        <v>1.478212E7</v>
      </c>
      <c r="AA33" s="76">
        <v>0.0</v>
      </c>
      <c r="AB33" s="76">
        <v>0.0</v>
      </c>
      <c r="AC33" s="76">
        <v>0.0</v>
      </c>
      <c r="AD33" s="77">
        <v>0.0</v>
      </c>
      <c r="AE33" s="78"/>
    </row>
    <row r="34">
      <c r="A34" s="73" t="s">
        <v>83</v>
      </c>
      <c r="B34" s="76">
        <v>121.7</v>
      </c>
      <c r="C34" s="76">
        <v>2.23</v>
      </c>
      <c r="D34" s="76">
        <v>-103.67</v>
      </c>
      <c r="E34" s="76">
        <v>15.41</v>
      </c>
      <c r="F34" s="76">
        <v>3.48</v>
      </c>
      <c r="G34" s="76">
        <v>53.37</v>
      </c>
      <c r="H34" s="76">
        <v>46.68</v>
      </c>
      <c r="I34" s="76">
        <v>-5.82</v>
      </c>
      <c r="J34" s="76">
        <v>12.93</v>
      </c>
      <c r="K34" s="76">
        <v>13.14</v>
      </c>
      <c r="L34" s="76">
        <v>0.2</v>
      </c>
      <c r="M34" s="76">
        <v>0.24</v>
      </c>
      <c r="N34" s="76">
        <v>6.04</v>
      </c>
      <c r="O34" s="76">
        <v>25.65</v>
      </c>
      <c r="P34" s="76">
        <v>-5.4</v>
      </c>
      <c r="Q34" s="76">
        <v>1.62</v>
      </c>
      <c r="R34" s="76">
        <v>-14.87</v>
      </c>
      <c r="S34" s="76">
        <v>-3.35</v>
      </c>
      <c r="T34" s="76">
        <v>35.43</v>
      </c>
      <c r="U34" s="76">
        <v>0.23</v>
      </c>
      <c r="V34" s="76">
        <v>0.77</v>
      </c>
      <c r="W34" s="76">
        <v>0.58</v>
      </c>
      <c r="X34" s="76">
        <v>29.1</v>
      </c>
      <c r="Y34" s="76">
        <v>0.0</v>
      </c>
      <c r="Z34" s="77">
        <v>1.59E8</v>
      </c>
      <c r="AA34" s="76">
        <v>7.9</v>
      </c>
      <c r="AB34" s="76">
        <v>-1.17</v>
      </c>
      <c r="AC34" s="76">
        <v>13.98</v>
      </c>
      <c r="AD34" s="77">
        <v>2.6432701478E10</v>
      </c>
      <c r="AE34" s="78"/>
    </row>
    <row r="35">
      <c r="A35" s="73" t="s">
        <v>84</v>
      </c>
      <c r="B35" s="76">
        <v>11.77</v>
      </c>
      <c r="C35" s="76">
        <v>0.48</v>
      </c>
      <c r="D35" s="76">
        <v>-9.03</v>
      </c>
      <c r="E35" s="76">
        <v>1.01</v>
      </c>
      <c r="F35" s="77">
        <v>0.25</v>
      </c>
      <c r="G35" s="77">
        <v>17.27</v>
      </c>
      <c r="H35" s="77">
        <v>10.08</v>
      </c>
      <c r="I35" s="77">
        <v>-10.91</v>
      </c>
      <c r="J35" s="76">
        <v>9.78</v>
      </c>
      <c r="K35" s="76">
        <v>25.53</v>
      </c>
      <c r="L35" s="76">
        <v>15.75</v>
      </c>
      <c r="M35" s="76">
        <v>1.62</v>
      </c>
      <c r="N35" s="76">
        <v>0.99</v>
      </c>
      <c r="O35" s="76">
        <v>6.06</v>
      </c>
      <c r="P35" s="77">
        <v>-0.31</v>
      </c>
      <c r="Q35" s="76">
        <v>1.3</v>
      </c>
      <c r="R35" s="76">
        <v>-11.15</v>
      </c>
      <c r="S35" s="76">
        <v>-2.8</v>
      </c>
      <c r="T35" s="77">
        <v>3.22</v>
      </c>
      <c r="U35" s="76">
        <v>0.25</v>
      </c>
      <c r="V35" s="76">
        <v>0.72</v>
      </c>
      <c r="W35" s="76">
        <v>0.26</v>
      </c>
      <c r="X35" s="76">
        <v>0.0</v>
      </c>
      <c r="Y35" s="76">
        <v>0.0</v>
      </c>
      <c r="Z35" s="77">
        <v>5.8479399E7</v>
      </c>
      <c r="AA35" s="76">
        <v>11.69</v>
      </c>
      <c r="AB35" s="76">
        <v>-1.3</v>
      </c>
      <c r="AC35" s="76">
        <v>0.03</v>
      </c>
      <c r="AD35" s="77">
        <v>1.2362948754E10</v>
      </c>
      <c r="AE35" s="78"/>
    </row>
    <row r="36">
      <c r="A36" s="73" t="s">
        <v>85</v>
      </c>
      <c r="B36" s="76">
        <v>0.83</v>
      </c>
      <c r="C36" s="76">
        <v>0.0</v>
      </c>
      <c r="D36" s="76">
        <v>-1.36</v>
      </c>
      <c r="E36" s="76">
        <v>-0.86</v>
      </c>
      <c r="F36" s="77">
        <v>0.12</v>
      </c>
      <c r="G36" s="77">
        <v>35.8</v>
      </c>
      <c r="H36" s="77">
        <v>19.3</v>
      </c>
      <c r="I36" s="77">
        <v>-18.25</v>
      </c>
      <c r="J36" s="76">
        <v>1.29</v>
      </c>
      <c r="K36" s="76">
        <v>5.6</v>
      </c>
      <c r="L36" s="76">
        <v>4.31</v>
      </c>
      <c r="M36" s="76">
        <v>0.0</v>
      </c>
      <c r="N36" s="76">
        <v>0.25</v>
      </c>
      <c r="O36" s="77">
        <v>-3.06</v>
      </c>
      <c r="P36" s="77">
        <v>-0.2</v>
      </c>
      <c r="Q36" s="76">
        <v>0.91</v>
      </c>
      <c r="R36" s="76">
        <v>-62.83</v>
      </c>
      <c r="S36" s="77">
        <v>-8.86</v>
      </c>
      <c r="T36" s="77">
        <v>21.49</v>
      </c>
      <c r="U36" s="76">
        <v>-0.14</v>
      </c>
      <c r="V36" s="76">
        <v>1.11</v>
      </c>
      <c r="W36" s="76">
        <v>0.49</v>
      </c>
      <c r="X36" s="76">
        <v>32.82</v>
      </c>
      <c r="Y36" s="76">
        <v>0.0</v>
      </c>
      <c r="Z36" s="77">
        <v>11173.05</v>
      </c>
      <c r="AA36" s="76">
        <v>-0.97</v>
      </c>
      <c r="AB36" s="76">
        <v>-0.61</v>
      </c>
      <c r="AC36" s="76">
        <v>0.04</v>
      </c>
      <c r="AD36" s="77">
        <v>1.621239506E8</v>
      </c>
      <c r="AE36" s="78"/>
    </row>
    <row r="37">
      <c r="A37" s="73" t="s">
        <v>86</v>
      </c>
      <c r="B37" s="76">
        <v>61.18</v>
      </c>
      <c r="C37" s="76">
        <v>7.42</v>
      </c>
      <c r="D37" s="76">
        <v>-29.67</v>
      </c>
      <c r="E37" s="76">
        <v>1.63</v>
      </c>
      <c r="F37" s="76">
        <v>0.67</v>
      </c>
      <c r="G37" s="76">
        <v>43.59</v>
      </c>
      <c r="H37" s="76">
        <v>10.97</v>
      </c>
      <c r="I37" s="76">
        <v>-14.1</v>
      </c>
      <c r="J37" s="76">
        <v>38.14</v>
      </c>
      <c r="K37" s="76">
        <v>48.26</v>
      </c>
      <c r="L37" s="76">
        <v>9.11</v>
      </c>
      <c r="M37" s="76">
        <v>0.39</v>
      </c>
      <c r="N37" s="76">
        <v>4.18</v>
      </c>
      <c r="O37" s="76">
        <v>7.12</v>
      </c>
      <c r="P37" s="76">
        <v>-0.83</v>
      </c>
      <c r="Q37" s="76">
        <v>1.92</v>
      </c>
      <c r="R37" s="76">
        <v>-5.5</v>
      </c>
      <c r="S37" s="76">
        <v>-2.26</v>
      </c>
      <c r="T37" s="76">
        <v>1.65</v>
      </c>
      <c r="U37" s="76">
        <v>0.41</v>
      </c>
      <c r="V37" s="76">
        <v>0.59</v>
      </c>
      <c r="W37" s="76">
        <v>0.16</v>
      </c>
      <c r="X37" s="76">
        <v>7.7</v>
      </c>
      <c r="Y37" s="76">
        <v>0.0</v>
      </c>
      <c r="Z37" s="77">
        <v>6.87E8</v>
      </c>
      <c r="AA37" s="76">
        <v>37.49</v>
      </c>
      <c r="AB37" s="76">
        <v>-2.06</v>
      </c>
      <c r="AC37" s="76">
        <v>0.19</v>
      </c>
      <c r="AD37" s="77">
        <v>1.8312E11</v>
      </c>
      <c r="AE37" s="78"/>
    </row>
    <row r="38">
      <c r="A38" s="73" t="s">
        <v>87</v>
      </c>
      <c r="B38" s="76">
        <v>79.0</v>
      </c>
      <c r="C38" s="76">
        <v>4.23</v>
      </c>
      <c r="D38" s="76">
        <v>-38.31</v>
      </c>
      <c r="E38" s="76">
        <v>2.11</v>
      </c>
      <c r="F38" s="76">
        <v>0.86</v>
      </c>
      <c r="G38" s="76">
        <v>43.59</v>
      </c>
      <c r="H38" s="76">
        <v>10.97</v>
      </c>
      <c r="I38" s="76">
        <v>-14.1</v>
      </c>
      <c r="J38" s="76">
        <v>49.25</v>
      </c>
      <c r="K38" s="76">
        <v>48.26</v>
      </c>
      <c r="L38" s="76">
        <v>9.11</v>
      </c>
      <c r="M38" s="76">
        <v>0.39</v>
      </c>
      <c r="N38" s="76">
        <v>5.4</v>
      </c>
      <c r="O38" s="76">
        <v>9.19</v>
      </c>
      <c r="P38" s="76">
        <v>-1.08</v>
      </c>
      <c r="Q38" s="76">
        <v>1.92</v>
      </c>
      <c r="R38" s="76">
        <v>-5.5</v>
      </c>
      <c r="S38" s="76">
        <v>-2.26</v>
      </c>
      <c r="T38" s="76">
        <v>1.65</v>
      </c>
      <c r="U38" s="76">
        <v>0.41</v>
      </c>
      <c r="V38" s="76">
        <v>0.59</v>
      </c>
      <c r="W38" s="76">
        <v>0.16</v>
      </c>
      <c r="X38" s="76">
        <v>7.7</v>
      </c>
      <c r="Y38" s="76">
        <v>0.0</v>
      </c>
      <c r="Z38" s="77">
        <v>31051.0</v>
      </c>
      <c r="AA38" s="76">
        <v>37.49</v>
      </c>
      <c r="AB38" s="76">
        <v>-2.06</v>
      </c>
      <c r="AC38" s="76">
        <v>0.24</v>
      </c>
      <c r="AD38" s="77">
        <v>1.8312E11</v>
      </c>
      <c r="AE38" s="78"/>
    </row>
    <row r="39">
      <c r="A39" s="73" t="s">
        <v>88</v>
      </c>
      <c r="B39" s="76">
        <v>66.54</v>
      </c>
      <c r="C39" s="76">
        <v>6.2</v>
      </c>
      <c r="D39" s="76">
        <v>-32.27</v>
      </c>
      <c r="E39" s="76">
        <v>1.78</v>
      </c>
      <c r="F39" s="76">
        <v>0.73</v>
      </c>
      <c r="G39" s="76">
        <v>43.59</v>
      </c>
      <c r="H39" s="76">
        <v>10.97</v>
      </c>
      <c r="I39" s="76">
        <v>-14.1</v>
      </c>
      <c r="J39" s="76">
        <v>41.48</v>
      </c>
      <c r="K39" s="76">
        <v>48.26</v>
      </c>
      <c r="L39" s="76">
        <v>9.11</v>
      </c>
      <c r="M39" s="76">
        <v>0.39</v>
      </c>
      <c r="N39" s="76">
        <v>4.55</v>
      </c>
      <c r="O39" s="76">
        <v>7.74</v>
      </c>
      <c r="P39" s="76">
        <v>-0.91</v>
      </c>
      <c r="Q39" s="76">
        <v>1.92</v>
      </c>
      <c r="R39" s="76">
        <v>-5.5</v>
      </c>
      <c r="S39" s="76">
        <v>-2.26</v>
      </c>
      <c r="T39" s="76">
        <v>1.65</v>
      </c>
      <c r="U39" s="76">
        <v>0.41</v>
      </c>
      <c r="V39" s="76">
        <v>0.59</v>
      </c>
      <c r="W39" s="76">
        <v>0.16</v>
      </c>
      <c r="X39" s="76">
        <v>7.7</v>
      </c>
      <c r="Y39" s="76">
        <v>0.0</v>
      </c>
      <c r="Z39" s="77">
        <v>8.6185274E7</v>
      </c>
      <c r="AA39" s="76">
        <v>37.49</v>
      </c>
      <c r="AB39" s="76">
        <v>-2.06</v>
      </c>
      <c r="AC39" s="76">
        <v>0.2</v>
      </c>
      <c r="AD39" s="77">
        <v>1.8312E11</v>
      </c>
      <c r="AE39" s="78"/>
    </row>
    <row r="40">
      <c r="A40" s="73" t="s">
        <v>89</v>
      </c>
      <c r="B40" s="76">
        <v>59.19</v>
      </c>
      <c r="C40" s="76">
        <v>0.0</v>
      </c>
      <c r="D40" s="76">
        <v>-28.7</v>
      </c>
      <c r="E40" s="76">
        <v>1.58</v>
      </c>
      <c r="F40" s="76">
        <v>0.65</v>
      </c>
      <c r="G40" s="76">
        <v>43.59</v>
      </c>
      <c r="H40" s="76">
        <v>10.97</v>
      </c>
      <c r="I40" s="76">
        <v>-14.1</v>
      </c>
      <c r="J40" s="76">
        <v>36.9</v>
      </c>
      <c r="K40" s="76">
        <v>48.26</v>
      </c>
      <c r="L40" s="76">
        <v>9.11</v>
      </c>
      <c r="M40" s="76">
        <v>0.39</v>
      </c>
      <c r="N40" s="76">
        <v>4.05</v>
      </c>
      <c r="O40" s="76">
        <v>6.88</v>
      </c>
      <c r="P40" s="76">
        <v>-0.81</v>
      </c>
      <c r="Q40" s="76">
        <v>1.92</v>
      </c>
      <c r="R40" s="76">
        <v>-5.5</v>
      </c>
      <c r="S40" s="76">
        <v>-2.26</v>
      </c>
      <c r="T40" s="76">
        <v>1.65</v>
      </c>
      <c r="U40" s="76">
        <v>0.41</v>
      </c>
      <c r="V40" s="76">
        <v>0.59</v>
      </c>
      <c r="W40" s="76">
        <v>0.16</v>
      </c>
      <c r="X40" s="76">
        <v>7.7</v>
      </c>
      <c r="Y40" s="76">
        <v>0.0</v>
      </c>
      <c r="Z40" s="77">
        <v>1.89E8</v>
      </c>
      <c r="AA40" s="76">
        <v>37.49</v>
      </c>
      <c r="AB40" s="76">
        <v>-2.06</v>
      </c>
      <c r="AC40" s="76">
        <v>0.18</v>
      </c>
      <c r="AD40" s="77">
        <v>1.8312E11</v>
      </c>
      <c r="AE40" s="78"/>
    </row>
    <row r="41">
      <c r="A41" s="73" t="s">
        <v>90</v>
      </c>
      <c r="B41" s="76">
        <v>0.25</v>
      </c>
      <c r="C41" s="76">
        <v>0.0</v>
      </c>
      <c r="D41" s="76">
        <v>-0.21</v>
      </c>
      <c r="E41" s="76">
        <v>0.93</v>
      </c>
      <c r="F41" s="76">
        <v>0.14</v>
      </c>
      <c r="G41" s="76">
        <v>8.27</v>
      </c>
      <c r="H41" s="76">
        <v>-181.96</v>
      </c>
      <c r="I41" s="76">
        <v>-269.37</v>
      </c>
      <c r="J41" s="76">
        <v>-0.3</v>
      </c>
      <c r="K41" s="76">
        <v>-0.37</v>
      </c>
      <c r="L41" s="76">
        <v>-0.12</v>
      </c>
      <c r="M41" s="76">
        <v>0.36</v>
      </c>
      <c r="N41" s="76">
        <v>0.55</v>
      </c>
      <c r="O41" s="76">
        <v>-1.27</v>
      </c>
      <c r="P41" s="76">
        <v>-0.18</v>
      </c>
      <c r="Q41" s="76">
        <v>0.65</v>
      </c>
      <c r="R41" s="76">
        <v>-453.29</v>
      </c>
      <c r="S41" s="76">
        <v>-69.02</v>
      </c>
      <c r="T41" s="76">
        <v>-250.88</v>
      </c>
      <c r="U41" s="76">
        <v>0.15</v>
      </c>
      <c r="V41" s="76">
        <v>0.85</v>
      </c>
      <c r="W41" s="76">
        <v>0.26</v>
      </c>
      <c r="X41" s="76">
        <v>144.07</v>
      </c>
      <c r="Y41" s="76">
        <v>0.0</v>
      </c>
      <c r="Z41" s="77">
        <v>483773.5</v>
      </c>
      <c r="AA41" s="76">
        <v>0.27</v>
      </c>
      <c r="AB41" s="76">
        <v>-1.22</v>
      </c>
      <c r="AC41" s="76">
        <v>0.0</v>
      </c>
      <c r="AD41" s="77">
        <v>1.247422895E8</v>
      </c>
      <c r="AE41" s="78"/>
    </row>
    <row r="42">
      <c r="A42" s="73" t="s">
        <v>91</v>
      </c>
      <c r="B42" s="76">
        <v>0.19</v>
      </c>
      <c r="C42" s="76">
        <v>0.0</v>
      </c>
      <c r="D42" s="76">
        <v>-0.16</v>
      </c>
      <c r="E42" s="76">
        <v>0.71</v>
      </c>
      <c r="F42" s="76">
        <v>0.11</v>
      </c>
      <c r="G42" s="76">
        <v>8.27</v>
      </c>
      <c r="H42" s="76">
        <v>-181.96</v>
      </c>
      <c r="I42" s="76">
        <v>-269.37</v>
      </c>
      <c r="J42" s="76">
        <v>-0.23</v>
      </c>
      <c r="K42" s="76">
        <v>-0.37</v>
      </c>
      <c r="L42" s="76">
        <v>-0.12</v>
      </c>
      <c r="M42" s="76">
        <v>0.36</v>
      </c>
      <c r="N42" s="76">
        <v>0.42</v>
      </c>
      <c r="O42" s="76">
        <v>-0.97</v>
      </c>
      <c r="P42" s="76">
        <v>-0.14</v>
      </c>
      <c r="Q42" s="76">
        <v>0.65</v>
      </c>
      <c r="R42" s="76">
        <v>-453.29</v>
      </c>
      <c r="S42" s="76">
        <v>-69.02</v>
      </c>
      <c r="T42" s="76">
        <v>-250.88</v>
      </c>
      <c r="U42" s="76">
        <v>0.15</v>
      </c>
      <c r="V42" s="76">
        <v>0.85</v>
      </c>
      <c r="W42" s="76">
        <v>0.26</v>
      </c>
      <c r="X42" s="76">
        <v>144.07</v>
      </c>
      <c r="Y42" s="76">
        <v>0.0</v>
      </c>
      <c r="Z42" s="77">
        <v>927072.3</v>
      </c>
      <c r="AA42" s="76">
        <v>0.27</v>
      </c>
      <c r="AB42" s="76">
        <v>-1.22</v>
      </c>
      <c r="AC42" s="76">
        <v>0.0</v>
      </c>
      <c r="AD42" s="77">
        <v>1.247422895E8</v>
      </c>
      <c r="AE42" s="78"/>
    </row>
    <row r="43">
      <c r="A43" s="73" t="s">
        <v>92</v>
      </c>
      <c r="B43" s="76">
        <v>0.27</v>
      </c>
      <c r="C43" s="76">
        <v>0.0</v>
      </c>
      <c r="D43" s="76">
        <v>0.0</v>
      </c>
      <c r="E43" s="76">
        <v>0.0</v>
      </c>
      <c r="F43" s="76">
        <v>0.0</v>
      </c>
      <c r="G43" s="76">
        <v>0.0</v>
      </c>
      <c r="H43" s="76">
        <v>0.0</v>
      </c>
      <c r="I43" s="76">
        <v>0.0</v>
      </c>
      <c r="J43" s="76">
        <v>0.0</v>
      </c>
      <c r="K43" s="76">
        <v>0.0</v>
      </c>
      <c r="L43" s="76">
        <v>0.0</v>
      </c>
      <c r="M43" s="76">
        <v>0.0</v>
      </c>
      <c r="N43" s="76">
        <v>0.0</v>
      </c>
      <c r="O43" s="76">
        <v>0.0</v>
      </c>
      <c r="P43" s="76">
        <v>0.0</v>
      </c>
      <c r="Q43" s="76">
        <v>0.0</v>
      </c>
      <c r="R43" s="76">
        <v>0.0</v>
      </c>
      <c r="S43" s="76">
        <v>0.0</v>
      </c>
      <c r="T43" s="76">
        <v>0.0</v>
      </c>
      <c r="U43" s="76">
        <v>0.0</v>
      </c>
      <c r="V43" s="76">
        <v>0.0</v>
      </c>
      <c r="W43" s="76">
        <v>0.0</v>
      </c>
      <c r="X43" s="76">
        <v>0.0</v>
      </c>
      <c r="Y43" s="76">
        <v>0.0</v>
      </c>
      <c r="Z43" s="77">
        <v>803727.6</v>
      </c>
      <c r="AA43" s="76">
        <v>0.0</v>
      </c>
      <c r="AB43" s="76">
        <v>0.0</v>
      </c>
      <c r="AC43" s="76">
        <v>0.0</v>
      </c>
      <c r="AD43" s="77">
        <v>0.0</v>
      </c>
      <c r="AE43" s="78"/>
    </row>
    <row r="44">
      <c r="A44" s="73" t="s">
        <v>93</v>
      </c>
      <c r="B44" s="76">
        <v>162.5</v>
      </c>
      <c r="C44" s="76">
        <v>0.0</v>
      </c>
      <c r="D44" s="76">
        <v>567058.1</v>
      </c>
      <c r="E44" s="76">
        <v>-324510.0</v>
      </c>
      <c r="F44" s="76">
        <v>321932.1</v>
      </c>
      <c r="G44" s="76">
        <v>28.49</v>
      </c>
      <c r="H44" s="76">
        <v>14.99</v>
      </c>
      <c r="I44" s="76">
        <v>72.55</v>
      </c>
      <c r="J44" s="76">
        <v>2745167.0</v>
      </c>
      <c r="K44" s="76">
        <v>16341.21</v>
      </c>
      <c r="L44" s="76">
        <v>10.99</v>
      </c>
      <c r="M44" s="76">
        <v>0.0</v>
      </c>
      <c r="N44" s="76">
        <v>411381.4</v>
      </c>
      <c r="O44" s="76">
        <v>-455401.0</v>
      </c>
      <c r="P44" s="76">
        <v>-437525.0</v>
      </c>
      <c r="Q44" s="76">
        <v>0.27</v>
      </c>
      <c r="R44" s="76">
        <v>-57.23</v>
      </c>
      <c r="S44" s="76">
        <v>56.77</v>
      </c>
      <c r="T44" s="76">
        <v>32.52</v>
      </c>
      <c r="U44" s="76">
        <v>-0.99</v>
      </c>
      <c r="V44" s="76">
        <v>1.99</v>
      </c>
      <c r="W44" s="76">
        <v>0.78</v>
      </c>
      <c r="X44" s="76">
        <v>11.28</v>
      </c>
      <c r="Y44" s="76">
        <v>0.0</v>
      </c>
      <c r="Z44" s="77">
        <v>3868102.0</v>
      </c>
      <c r="AA44" s="76">
        <v>0.0</v>
      </c>
      <c r="AB44" s="76">
        <v>0.0</v>
      </c>
      <c r="AC44" s="76">
        <v>-25.25</v>
      </c>
      <c r="AD44" s="79">
        <v>5.29065E13</v>
      </c>
      <c r="AE44" s="80"/>
    </row>
    <row r="45">
      <c r="A45" s="73" t="s">
        <v>94</v>
      </c>
      <c r="B45" s="76">
        <v>72.5</v>
      </c>
      <c r="C45" s="76">
        <v>0.0</v>
      </c>
      <c r="D45" s="76">
        <v>252995.1</v>
      </c>
      <c r="E45" s="76">
        <v>-144781.0</v>
      </c>
      <c r="F45" s="76">
        <v>143631.2</v>
      </c>
      <c r="G45" s="76">
        <v>28.49</v>
      </c>
      <c r="H45" s="76">
        <v>14.99</v>
      </c>
      <c r="I45" s="76">
        <v>72.55</v>
      </c>
      <c r="J45" s="76">
        <v>1224767.0</v>
      </c>
      <c r="K45" s="76">
        <v>16341.21</v>
      </c>
      <c r="L45" s="76">
        <v>10.99</v>
      </c>
      <c r="M45" s="76">
        <v>0.0</v>
      </c>
      <c r="N45" s="76">
        <v>183539.4</v>
      </c>
      <c r="O45" s="76">
        <v>-203179.0</v>
      </c>
      <c r="P45" s="76">
        <v>-195204.0</v>
      </c>
      <c r="Q45" s="76">
        <v>0.27</v>
      </c>
      <c r="R45" s="76">
        <v>-57.23</v>
      </c>
      <c r="S45" s="76">
        <v>56.77</v>
      </c>
      <c r="T45" s="76">
        <v>32.52</v>
      </c>
      <c r="U45" s="76">
        <v>-0.99</v>
      </c>
      <c r="V45" s="76">
        <v>1.99</v>
      </c>
      <c r="W45" s="76">
        <v>0.78</v>
      </c>
      <c r="X45" s="76">
        <v>11.28</v>
      </c>
      <c r="Y45" s="76">
        <v>0.0</v>
      </c>
      <c r="Z45" s="77">
        <v>2.0945788E7</v>
      </c>
      <c r="AA45" s="76">
        <v>0.0</v>
      </c>
      <c r="AB45" s="76">
        <v>0.0</v>
      </c>
      <c r="AC45" s="76">
        <v>-11.27</v>
      </c>
      <c r="AD45" s="77">
        <v>5.29065E13</v>
      </c>
      <c r="AE45" s="78"/>
    </row>
    <row r="46">
      <c r="A46" s="73" t="s">
        <v>95</v>
      </c>
      <c r="B46" s="76">
        <v>25.42</v>
      </c>
      <c r="C46" s="76">
        <v>9.74</v>
      </c>
      <c r="D46" s="76">
        <v>6.97</v>
      </c>
      <c r="E46" s="76">
        <v>0.63</v>
      </c>
      <c r="F46" s="76">
        <v>0.34</v>
      </c>
      <c r="G46" s="76">
        <v>54.57</v>
      </c>
      <c r="H46" s="76">
        <v>5.76</v>
      </c>
      <c r="I46" s="76">
        <v>6.3</v>
      </c>
      <c r="J46" s="76">
        <v>7.61</v>
      </c>
      <c r="K46" s="76">
        <v>10.99</v>
      </c>
      <c r="L46" s="76">
        <v>3.38</v>
      </c>
      <c r="M46" s="76">
        <v>0.28</v>
      </c>
      <c r="N46" s="76">
        <v>0.44</v>
      </c>
      <c r="O46" s="76">
        <v>1.62</v>
      </c>
      <c r="P46" s="76">
        <v>-0.61</v>
      </c>
      <c r="Q46" s="76">
        <v>1.9</v>
      </c>
      <c r="R46" s="76">
        <v>9.02</v>
      </c>
      <c r="S46" s="76">
        <v>4.85</v>
      </c>
      <c r="T46" s="76">
        <v>-1.84</v>
      </c>
      <c r="U46" s="76">
        <v>0.54</v>
      </c>
      <c r="V46" s="76">
        <v>0.46</v>
      </c>
      <c r="W46" s="76">
        <v>0.77</v>
      </c>
      <c r="X46" s="76">
        <v>37.92</v>
      </c>
      <c r="Y46" s="76">
        <v>35.96</v>
      </c>
      <c r="Z46" s="77">
        <v>7.0676079E7</v>
      </c>
      <c r="AA46" s="76">
        <v>40.43</v>
      </c>
      <c r="AB46" s="76">
        <v>3.65</v>
      </c>
      <c r="AC46" s="76">
        <v>0.17</v>
      </c>
      <c r="AD46" s="77">
        <v>5.248971046E9</v>
      </c>
      <c r="AE46" s="78"/>
    </row>
    <row r="47">
      <c r="A47" s="73" t="s">
        <v>96</v>
      </c>
      <c r="B47" s="77">
        <v>17.75</v>
      </c>
      <c r="C47" s="76">
        <v>3.35</v>
      </c>
      <c r="D47" s="77">
        <v>19.25</v>
      </c>
      <c r="E47" s="77">
        <v>4.73</v>
      </c>
      <c r="F47" s="77">
        <v>1.97</v>
      </c>
      <c r="G47" s="76">
        <v>90.57</v>
      </c>
      <c r="H47" s="76">
        <v>59.0</v>
      </c>
      <c r="I47" s="76">
        <v>44.81</v>
      </c>
      <c r="J47" s="77">
        <v>14.62</v>
      </c>
      <c r="K47" s="77">
        <v>14.44</v>
      </c>
      <c r="L47" s="76">
        <v>-0.18</v>
      </c>
      <c r="M47" s="76">
        <v>-0.06</v>
      </c>
      <c r="N47" s="76">
        <v>8.63</v>
      </c>
      <c r="O47" s="77">
        <v>8.78</v>
      </c>
      <c r="P47" s="77">
        <v>-3.1</v>
      </c>
      <c r="Q47" s="76">
        <v>2.62</v>
      </c>
      <c r="R47" s="77">
        <v>24.55</v>
      </c>
      <c r="S47" s="76">
        <v>10.26</v>
      </c>
      <c r="T47" s="76">
        <v>9.47</v>
      </c>
      <c r="U47" s="76">
        <v>0.42</v>
      </c>
      <c r="V47" s="76">
        <v>0.58</v>
      </c>
      <c r="W47" s="76">
        <v>0.23</v>
      </c>
      <c r="X47" s="76">
        <v>12.34</v>
      </c>
      <c r="Y47" s="76">
        <v>12.34</v>
      </c>
      <c r="Z47" s="77">
        <v>8.66E8</v>
      </c>
      <c r="AA47" s="76">
        <v>3.76</v>
      </c>
      <c r="AB47" s="76">
        <v>0.92</v>
      </c>
      <c r="AC47" s="76">
        <v>1.53</v>
      </c>
      <c r="AD47" s="77">
        <v>9.3480375E10</v>
      </c>
      <c r="AE47" s="78"/>
    </row>
    <row r="48">
      <c r="A48" s="73" t="s">
        <v>97</v>
      </c>
      <c r="B48" s="76">
        <v>4.51</v>
      </c>
      <c r="C48" s="76">
        <v>0.0</v>
      </c>
      <c r="D48" s="76">
        <v>-2.17</v>
      </c>
      <c r="E48" s="76">
        <v>1.78</v>
      </c>
      <c r="F48" s="76">
        <v>0.27</v>
      </c>
      <c r="G48" s="76">
        <v>58.14</v>
      </c>
      <c r="H48" s="76">
        <v>-4.01</v>
      </c>
      <c r="I48" s="76">
        <v>-15.93</v>
      </c>
      <c r="J48" s="76">
        <v>-8.63</v>
      </c>
      <c r="K48" s="76">
        <v>-11.01</v>
      </c>
      <c r="L48" s="76">
        <v>-2.38</v>
      </c>
      <c r="M48" s="76">
        <v>0.49</v>
      </c>
      <c r="N48" s="76">
        <v>0.35</v>
      </c>
      <c r="O48" s="76">
        <v>-1.16</v>
      </c>
      <c r="P48" s="76">
        <v>-0.3</v>
      </c>
      <c r="Q48" s="76">
        <v>0.33</v>
      </c>
      <c r="R48" s="76">
        <v>-82.07</v>
      </c>
      <c r="S48" s="76">
        <v>-12.19</v>
      </c>
      <c r="T48" s="76">
        <v>-9.74</v>
      </c>
      <c r="U48" s="76">
        <v>0.15</v>
      </c>
      <c r="V48" s="76">
        <v>0.78</v>
      </c>
      <c r="W48" s="76">
        <v>0.77</v>
      </c>
      <c r="X48" s="76">
        <v>46.22</v>
      </c>
      <c r="Y48" s="76">
        <v>0.0</v>
      </c>
      <c r="Z48" s="77">
        <v>16499.0</v>
      </c>
      <c r="AA48" s="76">
        <v>2.53</v>
      </c>
      <c r="AB48" s="76">
        <v>-2.07</v>
      </c>
      <c r="AC48" s="76">
        <v>0.0</v>
      </c>
      <c r="AD48" s="77">
        <v>1.190215248E8</v>
      </c>
      <c r="AE48" s="78"/>
    </row>
    <row r="49">
      <c r="A49" s="73" t="s">
        <v>98</v>
      </c>
      <c r="B49" s="76">
        <v>26.0</v>
      </c>
      <c r="C49" s="76">
        <v>17.84</v>
      </c>
      <c r="D49" s="76">
        <v>10.3</v>
      </c>
      <c r="E49" s="76">
        <v>1.39</v>
      </c>
      <c r="F49" s="76">
        <v>0.85</v>
      </c>
      <c r="G49" s="76">
        <v>61.58</v>
      </c>
      <c r="H49" s="76">
        <v>20.78</v>
      </c>
      <c r="I49" s="76">
        <v>11.28</v>
      </c>
      <c r="J49" s="76">
        <v>5.59</v>
      </c>
      <c r="K49" s="76">
        <v>3.25</v>
      </c>
      <c r="L49" s="76">
        <v>-1.56</v>
      </c>
      <c r="M49" s="76">
        <v>-0.39</v>
      </c>
      <c r="N49" s="76">
        <v>1.16</v>
      </c>
      <c r="O49" s="76">
        <v>1.67</v>
      </c>
      <c r="P49" s="76">
        <v>-3.34</v>
      </c>
      <c r="Q49" s="76">
        <v>3.12</v>
      </c>
      <c r="R49" s="76">
        <v>13.52</v>
      </c>
      <c r="S49" s="76">
        <v>8.23</v>
      </c>
      <c r="T49" s="76">
        <v>19.28</v>
      </c>
      <c r="U49" s="76">
        <v>0.61</v>
      </c>
      <c r="V49" s="76">
        <v>0.39</v>
      </c>
      <c r="W49" s="76">
        <v>0.73</v>
      </c>
      <c r="X49" s="76">
        <v>5.42</v>
      </c>
      <c r="Y49" s="76">
        <v>31.66</v>
      </c>
      <c r="Z49" s="77">
        <v>7411.71</v>
      </c>
      <c r="AA49" s="76">
        <v>18.67</v>
      </c>
      <c r="AB49" s="76">
        <v>2.52</v>
      </c>
      <c r="AC49" s="76">
        <v>0.42</v>
      </c>
      <c r="AD49" s="77">
        <v>2.19324E8</v>
      </c>
      <c r="AE49" s="78"/>
    </row>
    <row r="50">
      <c r="A50" s="73" t="s">
        <v>99</v>
      </c>
      <c r="B50" s="76">
        <v>18.76</v>
      </c>
      <c r="C50" s="76">
        <v>24.73</v>
      </c>
      <c r="D50" s="76">
        <v>7.43</v>
      </c>
      <c r="E50" s="76">
        <v>1.0</v>
      </c>
      <c r="F50" s="76">
        <v>0.61</v>
      </c>
      <c r="G50" s="76">
        <v>61.58</v>
      </c>
      <c r="H50" s="76">
        <v>20.78</v>
      </c>
      <c r="I50" s="76">
        <v>11.28</v>
      </c>
      <c r="J50" s="76">
        <v>4.03</v>
      </c>
      <c r="K50" s="76">
        <v>3.25</v>
      </c>
      <c r="L50" s="76">
        <v>-1.56</v>
      </c>
      <c r="M50" s="76">
        <v>-0.39</v>
      </c>
      <c r="N50" s="76">
        <v>0.84</v>
      </c>
      <c r="O50" s="76">
        <v>1.21</v>
      </c>
      <c r="P50" s="76">
        <v>-2.41</v>
      </c>
      <c r="Q50" s="76">
        <v>3.12</v>
      </c>
      <c r="R50" s="76">
        <v>13.52</v>
      </c>
      <c r="S50" s="76">
        <v>8.23</v>
      </c>
      <c r="T50" s="76">
        <v>19.28</v>
      </c>
      <c r="U50" s="76">
        <v>0.61</v>
      </c>
      <c r="V50" s="76">
        <v>0.39</v>
      </c>
      <c r="W50" s="76">
        <v>0.73</v>
      </c>
      <c r="X50" s="76">
        <v>5.42</v>
      </c>
      <c r="Y50" s="76">
        <v>31.66</v>
      </c>
      <c r="Z50" s="77">
        <v>20127.4</v>
      </c>
      <c r="AA50" s="76">
        <v>18.67</v>
      </c>
      <c r="AB50" s="76">
        <v>2.52</v>
      </c>
      <c r="AC50" s="76">
        <v>0.3</v>
      </c>
      <c r="AD50" s="77">
        <v>2.19324E8</v>
      </c>
      <c r="AE50" s="78"/>
    </row>
    <row r="51">
      <c r="A51" s="73" t="s">
        <v>100</v>
      </c>
      <c r="B51" s="76">
        <v>0.0</v>
      </c>
      <c r="C51" s="76">
        <v>0.0</v>
      </c>
      <c r="D51" s="76">
        <v>0.0</v>
      </c>
      <c r="E51" s="76">
        <v>0.0</v>
      </c>
      <c r="F51" s="76">
        <v>0.0</v>
      </c>
      <c r="G51" s="76">
        <v>24.64</v>
      </c>
      <c r="H51" s="76">
        <v>7.97</v>
      </c>
      <c r="I51" s="76">
        <v>10.25</v>
      </c>
      <c r="J51" s="76">
        <v>0.0</v>
      </c>
      <c r="K51" s="76">
        <v>0.0</v>
      </c>
      <c r="L51" s="76">
        <v>-3.0</v>
      </c>
      <c r="M51" s="76">
        <v>-0.46</v>
      </c>
      <c r="N51" s="76">
        <v>0.0</v>
      </c>
      <c r="O51" s="76">
        <v>0.0</v>
      </c>
      <c r="P51" s="76">
        <v>0.0</v>
      </c>
      <c r="Q51" s="76">
        <v>1.93</v>
      </c>
      <c r="R51" s="76">
        <v>19.75</v>
      </c>
      <c r="S51" s="76">
        <v>13.66</v>
      </c>
      <c r="T51" s="76">
        <v>13.47</v>
      </c>
      <c r="U51" s="76">
        <v>0.69</v>
      </c>
      <c r="V51" s="76">
        <v>0.31</v>
      </c>
      <c r="W51" s="76">
        <v>1.33</v>
      </c>
      <c r="X51" s="76">
        <v>6.53</v>
      </c>
      <c r="Y51" s="76">
        <v>0.81</v>
      </c>
      <c r="Z51" s="77">
        <v>0.0</v>
      </c>
      <c r="AA51" s="76">
        <v>27.11</v>
      </c>
      <c r="AB51" s="76">
        <v>5.35</v>
      </c>
      <c r="AC51" s="76">
        <v>0.0</v>
      </c>
      <c r="AD51" s="77">
        <v>0.0</v>
      </c>
      <c r="AE51" s="78"/>
    </row>
    <row r="52">
      <c r="A52" s="73" t="s">
        <v>101</v>
      </c>
      <c r="B52" s="76">
        <v>92.99</v>
      </c>
      <c r="C52" s="76">
        <v>1.33</v>
      </c>
      <c r="D52" s="76">
        <v>17.37</v>
      </c>
      <c r="E52" s="76">
        <v>3.43</v>
      </c>
      <c r="F52" s="76">
        <v>2.37</v>
      </c>
      <c r="G52" s="76">
        <v>24.64</v>
      </c>
      <c r="H52" s="76">
        <v>7.97</v>
      </c>
      <c r="I52" s="76">
        <v>10.25</v>
      </c>
      <c r="J52" s="76">
        <v>22.33</v>
      </c>
      <c r="K52" s="76">
        <v>0.0</v>
      </c>
      <c r="L52" s="76">
        <v>-3.0</v>
      </c>
      <c r="M52" s="76">
        <v>-0.46</v>
      </c>
      <c r="N52" s="76">
        <v>1.78</v>
      </c>
      <c r="O52" s="76">
        <v>8.72</v>
      </c>
      <c r="P52" s="76">
        <v>-5.45</v>
      </c>
      <c r="Q52" s="76">
        <v>1.93</v>
      </c>
      <c r="R52" s="76">
        <v>19.75</v>
      </c>
      <c r="S52" s="76">
        <v>13.66</v>
      </c>
      <c r="T52" s="76">
        <v>13.47</v>
      </c>
      <c r="U52" s="76">
        <v>0.69</v>
      </c>
      <c r="V52" s="76">
        <v>0.31</v>
      </c>
      <c r="W52" s="76">
        <v>1.33</v>
      </c>
      <c r="X52" s="76">
        <v>6.53</v>
      </c>
      <c r="Y52" s="76">
        <v>0.81</v>
      </c>
      <c r="Z52" s="77">
        <v>57895.75</v>
      </c>
      <c r="AA52" s="76">
        <v>27.11</v>
      </c>
      <c r="AB52" s="76">
        <v>5.35</v>
      </c>
      <c r="AC52" s="76">
        <v>1.47</v>
      </c>
      <c r="AD52" s="77">
        <v>0.0</v>
      </c>
      <c r="AE52" s="78"/>
    </row>
    <row r="53">
      <c r="A53" s="73" t="s">
        <v>102</v>
      </c>
      <c r="B53" s="76">
        <v>88.98</v>
      </c>
      <c r="C53" s="76">
        <v>9.0</v>
      </c>
      <c r="D53" s="76">
        <v>4.65</v>
      </c>
      <c r="E53" s="76">
        <v>0.68</v>
      </c>
      <c r="F53" s="76">
        <v>0.08</v>
      </c>
      <c r="G53" s="76">
        <v>20.35</v>
      </c>
      <c r="H53" s="76">
        <v>18.56</v>
      </c>
      <c r="I53" s="76">
        <v>17.66</v>
      </c>
      <c r="J53" s="76">
        <v>4.42</v>
      </c>
      <c r="K53" s="76">
        <v>4.42</v>
      </c>
      <c r="L53" s="76">
        <v>0.0</v>
      </c>
      <c r="M53" s="76">
        <v>0.0</v>
      </c>
      <c r="N53" s="76">
        <v>0.82</v>
      </c>
      <c r="O53" s="76">
        <v>111.63</v>
      </c>
      <c r="P53" s="76">
        <v>-0.08</v>
      </c>
      <c r="Q53" s="76">
        <v>0.0</v>
      </c>
      <c r="R53" s="76">
        <v>14.74</v>
      </c>
      <c r="S53" s="76">
        <v>1.78</v>
      </c>
      <c r="T53" s="76">
        <v>0.0</v>
      </c>
      <c r="U53" s="76">
        <v>0.12</v>
      </c>
      <c r="V53" s="76">
        <v>0.88</v>
      </c>
      <c r="W53" s="76">
        <v>0.1</v>
      </c>
      <c r="X53" s="76">
        <v>26.63</v>
      </c>
      <c r="Y53" s="76">
        <v>31.27</v>
      </c>
      <c r="Z53" s="77">
        <v>413630.1</v>
      </c>
      <c r="AA53" s="76">
        <v>129.92</v>
      </c>
      <c r="AB53" s="76">
        <v>19.15</v>
      </c>
      <c r="AC53" s="76">
        <v>-0.26</v>
      </c>
      <c r="AD53" s="77">
        <v>4.988068869E9</v>
      </c>
      <c r="AE53" s="78"/>
    </row>
    <row r="54">
      <c r="A54" s="73" t="s">
        <v>103</v>
      </c>
      <c r="B54" s="76">
        <v>26.46</v>
      </c>
      <c r="C54" s="76">
        <v>4.47</v>
      </c>
      <c r="D54" s="76">
        <v>9.53</v>
      </c>
      <c r="E54" s="76">
        <v>0.83</v>
      </c>
      <c r="F54" s="76">
        <v>0.06</v>
      </c>
      <c r="G54" s="76">
        <v>32.84</v>
      </c>
      <c r="H54" s="76">
        <v>1.87</v>
      </c>
      <c r="I54" s="76">
        <v>5.2</v>
      </c>
      <c r="J54" s="76">
        <v>26.54</v>
      </c>
      <c r="K54" s="76">
        <v>26.54</v>
      </c>
      <c r="L54" s="76">
        <v>0.0</v>
      </c>
      <c r="M54" s="76">
        <v>0.0</v>
      </c>
      <c r="N54" s="76">
        <v>0.5</v>
      </c>
      <c r="O54" s="76">
        <v>2.67</v>
      </c>
      <c r="P54" s="76">
        <v>-0.06</v>
      </c>
      <c r="Q54" s="76">
        <v>7.39</v>
      </c>
      <c r="R54" s="76">
        <v>8.73</v>
      </c>
      <c r="S54" s="76">
        <v>0.63</v>
      </c>
      <c r="T54" s="76">
        <v>0.0</v>
      </c>
      <c r="U54" s="76">
        <v>0.07</v>
      </c>
      <c r="V54" s="76">
        <v>0.93</v>
      </c>
      <c r="W54" s="76">
        <v>0.12</v>
      </c>
      <c r="X54" s="76">
        <v>17.31</v>
      </c>
      <c r="Y54" s="76">
        <v>-0.6</v>
      </c>
      <c r="Z54" s="77">
        <v>9.83E8</v>
      </c>
      <c r="AA54" s="76">
        <v>31.78</v>
      </c>
      <c r="AB54" s="76">
        <v>2.78</v>
      </c>
      <c r="AC54" s="76">
        <v>-0.19</v>
      </c>
      <c r="AD54" s="77">
        <v>1.51638E11</v>
      </c>
      <c r="AE54" s="78"/>
    </row>
    <row r="55">
      <c r="A55" s="73" t="s">
        <v>104</v>
      </c>
      <c r="B55" s="76">
        <v>18.36</v>
      </c>
      <c r="C55" s="76">
        <v>7.22</v>
      </c>
      <c r="D55" s="76">
        <v>8.13</v>
      </c>
      <c r="E55" s="76">
        <v>1.09</v>
      </c>
      <c r="F55" s="76">
        <v>0.08</v>
      </c>
      <c r="G55" s="76">
        <v>28.25</v>
      </c>
      <c r="H55" s="76">
        <v>7.78</v>
      </c>
      <c r="I55" s="76">
        <v>8.85</v>
      </c>
      <c r="J55" s="76">
        <v>9.25</v>
      </c>
      <c r="K55" s="76">
        <v>10.0</v>
      </c>
      <c r="L55" s="76">
        <v>0.0</v>
      </c>
      <c r="M55" s="76">
        <v>0.0</v>
      </c>
      <c r="N55" s="76">
        <v>0.72</v>
      </c>
      <c r="O55" s="76">
        <v>1.11</v>
      </c>
      <c r="P55" s="76">
        <v>-0.09</v>
      </c>
      <c r="Q55" s="76">
        <v>10.59</v>
      </c>
      <c r="R55" s="76">
        <v>13.37</v>
      </c>
      <c r="S55" s="76">
        <v>1.03</v>
      </c>
      <c r="T55" s="76">
        <v>0.0</v>
      </c>
      <c r="U55" s="76">
        <v>0.08</v>
      </c>
      <c r="V55" s="76">
        <v>0.92</v>
      </c>
      <c r="W55" s="76">
        <v>0.12</v>
      </c>
      <c r="X55" s="76">
        <v>22.38</v>
      </c>
      <c r="Y55" s="76">
        <v>8.33</v>
      </c>
      <c r="Z55" s="77">
        <v>1.36E8</v>
      </c>
      <c r="AA55" s="76">
        <v>16.89</v>
      </c>
      <c r="AB55" s="77">
        <v>2.26</v>
      </c>
      <c r="AC55" s="76">
        <v>0.22</v>
      </c>
      <c r="AD55" s="77">
        <v>2.10175E11</v>
      </c>
      <c r="AE55" s="78"/>
    </row>
    <row r="56">
      <c r="A56" s="73" t="s">
        <v>105</v>
      </c>
      <c r="B56" s="76">
        <v>21.33</v>
      </c>
      <c r="C56" s="76">
        <v>6.67</v>
      </c>
      <c r="D56" s="76">
        <v>9.44</v>
      </c>
      <c r="E56" s="76">
        <v>1.26</v>
      </c>
      <c r="F56" s="76">
        <v>0.1</v>
      </c>
      <c r="G56" s="76">
        <v>28.25</v>
      </c>
      <c r="H56" s="76">
        <v>7.78</v>
      </c>
      <c r="I56" s="76">
        <v>8.85</v>
      </c>
      <c r="J56" s="76">
        <v>10.75</v>
      </c>
      <c r="K56" s="76">
        <v>10.0</v>
      </c>
      <c r="L56" s="76">
        <v>0.0</v>
      </c>
      <c r="M56" s="76">
        <v>0.0</v>
      </c>
      <c r="N56" s="76">
        <v>0.84</v>
      </c>
      <c r="O56" s="76">
        <v>1.29</v>
      </c>
      <c r="P56" s="76">
        <v>-0.11</v>
      </c>
      <c r="Q56" s="76">
        <v>10.59</v>
      </c>
      <c r="R56" s="76">
        <v>13.37</v>
      </c>
      <c r="S56" s="76">
        <v>1.03</v>
      </c>
      <c r="T56" s="76">
        <v>0.0</v>
      </c>
      <c r="U56" s="76">
        <v>0.08</v>
      </c>
      <c r="V56" s="76">
        <v>0.92</v>
      </c>
      <c r="W56" s="76">
        <v>0.12</v>
      </c>
      <c r="X56" s="76">
        <v>22.38</v>
      </c>
      <c r="Y56" s="76">
        <v>8.33</v>
      </c>
      <c r="Z56" s="77">
        <v>8.27E8</v>
      </c>
      <c r="AA56" s="76">
        <v>16.89</v>
      </c>
      <c r="AB56" s="77">
        <v>2.26</v>
      </c>
      <c r="AC56" s="76">
        <v>0.26</v>
      </c>
      <c r="AD56" s="77">
        <v>2.10175E11</v>
      </c>
      <c r="AE56" s="78"/>
    </row>
    <row r="57">
      <c r="A57" s="73" t="s">
        <v>106</v>
      </c>
      <c r="B57" s="76">
        <v>3936.42</v>
      </c>
      <c r="C57" s="76">
        <v>0.0</v>
      </c>
      <c r="D57" s="76">
        <v>-596.71</v>
      </c>
      <c r="E57" s="76">
        <v>-327.52</v>
      </c>
      <c r="F57" s="76">
        <v>146.41</v>
      </c>
      <c r="G57" s="76">
        <v>1.68</v>
      </c>
      <c r="H57" s="76">
        <v>-7.7</v>
      </c>
      <c r="I57" s="76">
        <v>-19.73</v>
      </c>
      <c r="J57" s="76">
        <v>-1528.39</v>
      </c>
      <c r="K57" s="76">
        <v>-1532.94</v>
      </c>
      <c r="L57" s="76">
        <v>-4.56</v>
      </c>
      <c r="M57" s="76">
        <v>0.0</v>
      </c>
      <c r="N57" s="76">
        <v>117.74</v>
      </c>
      <c r="O57" s="76">
        <v>-144.35</v>
      </c>
      <c r="P57" s="76">
        <v>-204.86</v>
      </c>
      <c r="Q57" s="76">
        <v>0.22</v>
      </c>
      <c r="R57" s="76">
        <v>-54.89</v>
      </c>
      <c r="S57" s="76">
        <v>-24.54</v>
      </c>
      <c r="T57" s="76">
        <v>-1205.95</v>
      </c>
      <c r="U57" s="76">
        <v>-0.45</v>
      </c>
      <c r="V57" s="76">
        <v>1.45</v>
      </c>
      <c r="W57" s="76">
        <v>1.24</v>
      </c>
      <c r="X57" s="76">
        <v>18.96</v>
      </c>
      <c r="Y57" s="76">
        <v>0.0</v>
      </c>
      <c r="Z57" s="77">
        <v>0.0</v>
      </c>
      <c r="AA57" s="76">
        <v>-12.02</v>
      </c>
      <c r="AB57" s="76">
        <v>-6.6</v>
      </c>
      <c r="AC57" s="76">
        <v>-9.99</v>
      </c>
      <c r="AD57" s="77">
        <v>1.60452E11</v>
      </c>
      <c r="AE57" s="78"/>
    </row>
    <row r="58">
      <c r="A58" s="73" t="s">
        <v>107</v>
      </c>
      <c r="B58" s="76">
        <v>33.58</v>
      </c>
      <c r="C58" s="76">
        <v>20.41</v>
      </c>
      <c r="D58" s="76">
        <v>7.46</v>
      </c>
      <c r="E58" s="76">
        <v>5.22</v>
      </c>
      <c r="F58" s="76">
        <v>3.29</v>
      </c>
      <c r="G58" s="76">
        <v>0.0</v>
      </c>
      <c r="H58" s="76">
        <v>0.0</v>
      </c>
      <c r="I58" s="76">
        <v>0.0</v>
      </c>
      <c r="J58" s="76">
        <v>6.79</v>
      </c>
      <c r="K58" s="76">
        <v>6.79</v>
      </c>
      <c r="L58" s="76">
        <v>0.0</v>
      </c>
      <c r="M58" s="76">
        <v>0.0</v>
      </c>
      <c r="N58" s="76">
        <v>0.0</v>
      </c>
      <c r="O58" s="76">
        <v>13.48</v>
      </c>
      <c r="P58" s="76">
        <v>-5.7</v>
      </c>
      <c r="Q58" s="76">
        <v>2.35</v>
      </c>
      <c r="R58" s="76">
        <v>69.93</v>
      </c>
      <c r="S58" s="76">
        <v>44.03</v>
      </c>
      <c r="T58" s="76">
        <v>0.0</v>
      </c>
      <c r="U58" s="76">
        <v>0.63</v>
      </c>
      <c r="V58" s="76">
        <v>0.37</v>
      </c>
      <c r="W58" s="76">
        <v>0.0</v>
      </c>
      <c r="X58" s="76">
        <v>0.0</v>
      </c>
      <c r="Y58" s="76">
        <v>6.21</v>
      </c>
      <c r="Z58" s="77">
        <v>3.09E8</v>
      </c>
      <c r="AA58" s="76">
        <v>6.43</v>
      </c>
      <c r="AB58" s="76">
        <v>4.5</v>
      </c>
      <c r="AC58" s="76">
        <v>1.31</v>
      </c>
      <c r="AD58" s="79">
        <v>6.716E10</v>
      </c>
      <c r="AE58" s="80"/>
    </row>
    <row r="59">
      <c r="A59" s="73" t="s">
        <v>108</v>
      </c>
      <c r="B59" s="76">
        <v>7.05</v>
      </c>
      <c r="C59" s="76">
        <v>0.0</v>
      </c>
      <c r="D59" s="77">
        <v>0.75</v>
      </c>
      <c r="E59" s="76">
        <v>-0.05</v>
      </c>
      <c r="F59" s="76">
        <v>0.03</v>
      </c>
      <c r="G59" s="76">
        <v>17.16</v>
      </c>
      <c r="H59" s="76">
        <v>19.16</v>
      </c>
      <c r="I59" s="76">
        <v>25.56</v>
      </c>
      <c r="J59" s="76">
        <v>1.0</v>
      </c>
      <c r="K59" s="76">
        <v>16.32</v>
      </c>
      <c r="L59" s="76">
        <v>15.39</v>
      </c>
      <c r="M59" s="76">
        <v>0.0</v>
      </c>
      <c r="N59" s="76">
        <v>0.19</v>
      </c>
      <c r="O59" s="76">
        <v>-0.07</v>
      </c>
      <c r="P59" s="76">
        <v>-0.05</v>
      </c>
      <c r="Q59" s="76">
        <v>0.55</v>
      </c>
      <c r="R59" s="76">
        <v>-6.83</v>
      </c>
      <c r="S59" s="76">
        <v>3.46</v>
      </c>
      <c r="T59" s="76">
        <v>23.3</v>
      </c>
      <c r="U59" s="76">
        <v>-0.51</v>
      </c>
      <c r="V59" s="76">
        <v>1.51</v>
      </c>
      <c r="W59" s="76">
        <v>0.14</v>
      </c>
      <c r="X59" s="76">
        <v>-2.75</v>
      </c>
      <c r="Y59" s="76">
        <v>0.0</v>
      </c>
      <c r="Z59" s="77">
        <v>448.13</v>
      </c>
      <c r="AA59" s="76">
        <v>-137.84</v>
      </c>
      <c r="AB59" s="76">
        <v>9.42</v>
      </c>
      <c r="AC59" s="76">
        <v>-0.01</v>
      </c>
      <c r="AD59" s="79">
        <v>1.059496248E7</v>
      </c>
      <c r="AE59" s="80"/>
    </row>
    <row r="60">
      <c r="A60" s="73" t="s">
        <v>109</v>
      </c>
      <c r="B60" s="76">
        <v>6.36</v>
      </c>
      <c r="C60" s="76">
        <v>0.0</v>
      </c>
      <c r="D60" s="77">
        <v>0.68</v>
      </c>
      <c r="E60" s="76">
        <v>-0.05</v>
      </c>
      <c r="F60" s="76">
        <v>0.02</v>
      </c>
      <c r="G60" s="76">
        <v>17.16</v>
      </c>
      <c r="H60" s="76">
        <v>19.16</v>
      </c>
      <c r="I60" s="76">
        <v>25.56</v>
      </c>
      <c r="J60" s="76">
        <v>0.9</v>
      </c>
      <c r="K60" s="76">
        <v>16.32</v>
      </c>
      <c r="L60" s="76">
        <v>15.39</v>
      </c>
      <c r="M60" s="76">
        <v>0.0</v>
      </c>
      <c r="N60" s="76">
        <v>0.17</v>
      </c>
      <c r="O60" s="76">
        <v>-0.06</v>
      </c>
      <c r="P60" s="76">
        <v>-0.04</v>
      </c>
      <c r="Q60" s="76">
        <v>0.55</v>
      </c>
      <c r="R60" s="76">
        <v>-6.83</v>
      </c>
      <c r="S60" s="76">
        <v>3.46</v>
      </c>
      <c r="T60" s="76">
        <v>23.3</v>
      </c>
      <c r="U60" s="76">
        <v>-0.51</v>
      </c>
      <c r="V60" s="76">
        <v>1.51</v>
      </c>
      <c r="W60" s="76">
        <v>0.14</v>
      </c>
      <c r="X60" s="76">
        <v>-2.75</v>
      </c>
      <c r="Y60" s="76">
        <v>0.0</v>
      </c>
      <c r="Z60" s="77">
        <v>2010.87</v>
      </c>
      <c r="AA60" s="76">
        <v>-137.84</v>
      </c>
      <c r="AB60" s="76">
        <v>9.42</v>
      </c>
      <c r="AC60" s="76">
        <v>-0.01</v>
      </c>
      <c r="AD60" s="77">
        <v>1.059496248E7</v>
      </c>
      <c r="AE60" s="78"/>
    </row>
    <row r="61">
      <c r="A61" s="73" t="s">
        <v>110</v>
      </c>
      <c r="B61" s="76">
        <v>5.66</v>
      </c>
      <c r="C61" s="76">
        <v>2.91</v>
      </c>
      <c r="D61" s="77">
        <v>-6.95</v>
      </c>
      <c r="E61" s="76">
        <v>4.38</v>
      </c>
      <c r="F61" s="76">
        <v>0.12</v>
      </c>
      <c r="G61" s="76">
        <v>17.94</v>
      </c>
      <c r="H61" s="76">
        <v>7.08</v>
      </c>
      <c r="I61" s="76">
        <v>-1.59</v>
      </c>
      <c r="J61" s="76">
        <v>1.56</v>
      </c>
      <c r="K61" s="76">
        <v>4.8</v>
      </c>
      <c r="L61" s="76">
        <v>3.25</v>
      </c>
      <c r="M61" s="76">
        <v>9.13</v>
      </c>
      <c r="N61" s="76">
        <v>0.11</v>
      </c>
      <c r="O61" s="76">
        <v>0.77</v>
      </c>
      <c r="P61" s="76">
        <v>-0.33</v>
      </c>
      <c r="Q61" s="76">
        <v>1.35</v>
      </c>
      <c r="R61" s="76">
        <v>-63.09</v>
      </c>
      <c r="S61" s="76">
        <v>-1.8</v>
      </c>
      <c r="T61" s="76">
        <v>12.71</v>
      </c>
      <c r="U61" s="76">
        <v>0.03</v>
      </c>
      <c r="V61" s="76">
        <v>0.96</v>
      </c>
      <c r="W61" s="76">
        <v>1.13</v>
      </c>
      <c r="X61" s="76">
        <v>14.75</v>
      </c>
      <c r="Y61" s="76">
        <v>0.0</v>
      </c>
      <c r="Z61" s="77">
        <v>7.6635501E7</v>
      </c>
      <c r="AA61" s="76">
        <v>1.29</v>
      </c>
      <c r="AB61" s="76">
        <v>-0.81</v>
      </c>
      <c r="AC61" s="76">
        <v>0.0</v>
      </c>
      <c r="AD61" s="77">
        <v>5.661726334E9</v>
      </c>
      <c r="AE61" s="78"/>
    </row>
    <row r="62">
      <c r="A62" s="73" t="s">
        <v>111</v>
      </c>
      <c r="B62" s="76">
        <v>8.34</v>
      </c>
      <c r="C62" s="76">
        <v>8.19</v>
      </c>
      <c r="D62" s="76">
        <v>8.48</v>
      </c>
      <c r="E62" s="76">
        <v>1.18</v>
      </c>
      <c r="F62" s="76">
        <v>0.07</v>
      </c>
      <c r="G62" s="76">
        <v>29.87</v>
      </c>
      <c r="H62" s="76">
        <v>8.53</v>
      </c>
      <c r="I62" s="76">
        <v>6.68</v>
      </c>
      <c r="J62" s="76">
        <v>6.64</v>
      </c>
      <c r="K62" s="76">
        <v>6.66</v>
      </c>
      <c r="L62" s="76">
        <v>0.0</v>
      </c>
      <c r="M62" s="76">
        <v>0.0</v>
      </c>
      <c r="N62" s="76">
        <v>0.57</v>
      </c>
      <c r="O62" s="76">
        <v>0.32</v>
      </c>
      <c r="P62" s="76">
        <v>-0.1</v>
      </c>
      <c r="Q62" s="76">
        <v>0.0</v>
      </c>
      <c r="R62" s="76">
        <v>13.96</v>
      </c>
      <c r="S62" s="76">
        <v>0.87</v>
      </c>
      <c r="T62" s="76">
        <v>0.0</v>
      </c>
      <c r="U62" s="76">
        <v>0.06</v>
      </c>
      <c r="V62" s="76">
        <v>0.94</v>
      </c>
      <c r="W62" s="76">
        <v>0.13</v>
      </c>
      <c r="X62" s="76">
        <v>17.11</v>
      </c>
      <c r="Y62" s="76">
        <v>9.69</v>
      </c>
      <c r="Z62" s="77">
        <v>147559.3</v>
      </c>
      <c r="AA62" s="76">
        <v>7.04</v>
      </c>
      <c r="AB62" s="76">
        <v>0.98</v>
      </c>
      <c r="AC62" s="76">
        <v>-0.85</v>
      </c>
      <c r="AD62" s="77">
        <v>2.905656381E9</v>
      </c>
      <c r="AE62" s="78"/>
    </row>
    <row r="63">
      <c r="A63" s="73" t="s">
        <v>112</v>
      </c>
      <c r="B63" s="76">
        <v>8.42</v>
      </c>
      <c r="C63" s="76">
        <v>8.5</v>
      </c>
      <c r="D63" s="76">
        <v>8.56</v>
      </c>
      <c r="E63" s="76">
        <v>1.2</v>
      </c>
      <c r="F63" s="76">
        <v>0.07</v>
      </c>
      <c r="G63" s="76">
        <v>29.87</v>
      </c>
      <c r="H63" s="76">
        <v>8.53</v>
      </c>
      <c r="I63" s="76">
        <v>6.68</v>
      </c>
      <c r="J63" s="76">
        <v>6.71</v>
      </c>
      <c r="K63" s="76">
        <v>6.66</v>
      </c>
      <c r="L63" s="76">
        <v>0.0</v>
      </c>
      <c r="M63" s="76">
        <v>0.0</v>
      </c>
      <c r="N63" s="76">
        <v>0.57</v>
      </c>
      <c r="O63" s="76">
        <v>0.32</v>
      </c>
      <c r="P63" s="76">
        <v>-0.1</v>
      </c>
      <c r="Q63" s="76">
        <v>0.0</v>
      </c>
      <c r="R63" s="76">
        <v>13.96</v>
      </c>
      <c r="S63" s="76">
        <v>0.87</v>
      </c>
      <c r="T63" s="76">
        <v>0.0</v>
      </c>
      <c r="U63" s="76">
        <v>0.06</v>
      </c>
      <c r="V63" s="76">
        <v>0.94</v>
      </c>
      <c r="W63" s="76">
        <v>0.13</v>
      </c>
      <c r="X63" s="76">
        <v>17.11</v>
      </c>
      <c r="Y63" s="76">
        <v>9.69</v>
      </c>
      <c r="Z63" s="77">
        <v>45167.33</v>
      </c>
      <c r="AA63" s="76">
        <v>7.04</v>
      </c>
      <c r="AB63" s="76">
        <v>0.98</v>
      </c>
      <c r="AC63" s="76">
        <v>-0.86</v>
      </c>
      <c r="AD63" s="77">
        <v>2.905656381E9</v>
      </c>
      <c r="AE63" s="78"/>
    </row>
    <row r="64">
      <c r="A64" s="73" t="s">
        <v>113</v>
      </c>
      <c r="B64" s="76">
        <v>0.0</v>
      </c>
      <c r="C64" s="76">
        <v>0.0</v>
      </c>
      <c r="D64" s="76">
        <v>0.0</v>
      </c>
      <c r="E64" s="76">
        <v>0.0</v>
      </c>
      <c r="F64" s="76">
        <v>0.0</v>
      </c>
      <c r="G64" s="76">
        <v>100.0</v>
      </c>
      <c r="H64" s="76">
        <v>195.96</v>
      </c>
      <c r="I64" s="76">
        <v>118.16</v>
      </c>
      <c r="J64" s="76">
        <v>0.0</v>
      </c>
      <c r="K64" s="76">
        <v>0.0</v>
      </c>
      <c r="L64" s="76">
        <v>0.0</v>
      </c>
      <c r="M64" s="76">
        <v>0.0</v>
      </c>
      <c r="N64" s="76">
        <v>0.0</v>
      </c>
      <c r="O64" s="76">
        <v>0.0</v>
      </c>
      <c r="P64" s="76">
        <v>0.0</v>
      </c>
      <c r="Q64" s="76">
        <v>0.0</v>
      </c>
      <c r="R64" s="76">
        <v>6.82</v>
      </c>
      <c r="S64" s="76">
        <v>5.98</v>
      </c>
      <c r="T64" s="76">
        <v>0.0</v>
      </c>
      <c r="U64" s="76">
        <v>0.88</v>
      </c>
      <c r="V64" s="76">
        <v>0.1</v>
      </c>
      <c r="W64" s="76">
        <v>0.05</v>
      </c>
      <c r="X64" s="76">
        <v>0.0</v>
      </c>
      <c r="Y64" s="76">
        <v>6.26</v>
      </c>
      <c r="Z64" s="77">
        <v>0.0</v>
      </c>
      <c r="AA64" s="76">
        <v>309815.9</v>
      </c>
      <c r="AB64" s="76">
        <v>21126.92</v>
      </c>
      <c r="AC64" s="76">
        <v>0.0</v>
      </c>
      <c r="AD64" s="77">
        <v>0.0</v>
      </c>
      <c r="AE64" s="78"/>
    </row>
    <row r="65">
      <c r="A65" s="73" t="s">
        <v>114</v>
      </c>
      <c r="B65" s="76">
        <v>0.0</v>
      </c>
      <c r="C65" s="76">
        <v>0.0</v>
      </c>
      <c r="D65" s="76">
        <v>0.0</v>
      </c>
      <c r="E65" s="76">
        <v>0.0</v>
      </c>
      <c r="F65" s="76">
        <v>0.0</v>
      </c>
      <c r="G65" s="76">
        <v>100.0</v>
      </c>
      <c r="H65" s="76">
        <v>195.96</v>
      </c>
      <c r="I65" s="76">
        <v>118.16</v>
      </c>
      <c r="J65" s="76">
        <v>0.0</v>
      </c>
      <c r="K65" s="76">
        <v>0.0</v>
      </c>
      <c r="L65" s="76">
        <v>0.0</v>
      </c>
      <c r="M65" s="76">
        <v>0.0</v>
      </c>
      <c r="N65" s="76">
        <v>0.0</v>
      </c>
      <c r="O65" s="76">
        <v>0.0</v>
      </c>
      <c r="P65" s="76">
        <v>0.0</v>
      </c>
      <c r="Q65" s="76">
        <v>0.0</v>
      </c>
      <c r="R65" s="76">
        <v>6.82</v>
      </c>
      <c r="S65" s="76">
        <v>5.98</v>
      </c>
      <c r="T65" s="76">
        <v>0.0</v>
      </c>
      <c r="U65" s="76">
        <v>0.88</v>
      </c>
      <c r="V65" s="76">
        <v>0.1</v>
      </c>
      <c r="W65" s="76">
        <v>0.05</v>
      </c>
      <c r="X65" s="76">
        <v>0.0</v>
      </c>
      <c r="Y65" s="76">
        <v>6.26</v>
      </c>
      <c r="Z65" s="77">
        <v>0.0</v>
      </c>
      <c r="AA65" s="76">
        <v>309815.9</v>
      </c>
      <c r="AB65" s="76">
        <v>21126.92</v>
      </c>
      <c r="AC65" s="76">
        <v>0.0</v>
      </c>
      <c r="AD65" s="77">
        <v>0.0</v>
      </c>
      <c r="AE65" s="78"/>
    </row>
    <row r="66">
      <c r="A66" s="73" t="s">
        <v>115</v>
      </c>
      <c r="B66" s="76">
        <v>51.74</v>
      </c>
      <c r="C66" s="76">
        <v>6.3</v>
      </c>
      <c r="D66" s="76">
        <v>8.42</v>
      </c>
      <c r="E66" s="76">
        <v>1.28</v>
      </c>
      <c r="F66" s="76">
        <v>0.08</v>
      </c>
      <c r="G66" s="76">
        <v>30.71</v>
      </c>
      <c r="H66" s="76">
        <v>11.76</v>
      </c>
      <c r="I66" s="76">
        <v>7.75</v>
      </c>
      <c r="J66" s="76">
        <v>5.55</v>
      </c>
      <c r="K66" s="76">
        <v>4.65</v>
      </c>
      <c r="L66" s="76">
        <v>0.0</v>
      </c>
      <c r="M66" s="76">
        <v>0.0</v>
      </c>
      <c r="N66" s="76">
        <v>0.65</v>
      </c>
      <c r="O66" s="76">
        <v>13.61</v>
      </c>
      <c r="P66" s="76">
        <v>-0.09</v>
      </c>
      <c r="Q66" s="76">
        <v>0.0</v>
      </c>
      <c r="R66" s="76">
        <v>15.25</v>
      </c>
      <c r="S66" s="76">
        <v>1.01</v>
      </c>
      <c r="T66" s="76">
        <v>0.0</v>
      </c>
      <c r="U66" s="76">
        <v>0.07</v>
      </c>
      <c r="V66" s="76">
        <v>0.93</v>
      </c>
      <c r="W66" s="76">
        <v>0.13</v>
      </c>
      <c r="X66" s="76">
        <v>13.57</v>
      </c>
      <c r="Y66" s="76">
        <v>9.63</v>
      </c>
      <c r="Z66" s="77">
        <v>15227.0</v>
      </c>
      <c r="AA66" s="76">
        <v>40.31</v>
      </c>
      <c r="AB66" s="76">
        <v>6.15</v>
      </c>
      <c r="AC66" s="76">
        <v>-0.83</v>
      </c>
      <c r="AD66" s="77">
        <v>9.33469237E8</v>
      </c>
      <c r="AE66" s="78"/>
    </row>
    <row r="67">
      <c r="A67" s="73" t="s">
        <v>116</v>
      </c>
      <c r="B67" s="76">
        <v>34.9</v>
      </c>
      <c r="C67" s="76">
        <v>12.7</v>
      </c>
      <c r="D67" s="76">
        <v>5.68</v>
      </c>
      <c r="E67" s="76">
        <v>0.87</v>
      </c>
      <c r="F67" s="76">
        <v>0.06</v>
      </c>
      <c r="G67" s="76">
        <v>30.71</v>
      </c>
      <c r="H67" s="77">
        <v>11.76</v>
      </c>
      <c r="I67" s="77">
        <v>7.75</v>
      </c>
      <c r="J67" s="76">
        <v>3.74</v>
      </c>
      <c r="K67" s="76">
        <v>4.65</v>
      </c>
      <c r="L67" s="76">
        <v>0.0</v>
      </c>
      <c r="M67" s="76">
        <v>0.0</v>
      </c>
      <c r="N67" s="76">
        <v>0.44</v>
      </c>
      <c r="O67" s="76">
        <v>9.18</v>
      </c>
      <c r="P67" s="76">
        <v>-0.06</v>
      </c>
      <c r="Q67" s="76">
        <v>0.0</v>
      </c>
      <c r="R67" s="76">
        <v>15.25</v>
      </c>
      <c r="S67" s="76">
        <v>1.01</v>
      </c>
      <c r="T67" s="76">
        <v>0.0</v>
      </c>
      <c r="U67" s="76">
        <v>0.07</v>
      </c>
      <c r="V67" s="76">
        <v>0.93</v>
      </c>
      <c r="W67" s="76">
        <v>0.13</v>
      </c>
      <c r="X67" s="76">
        <v>13.57</v>
      </c>
      <c r="Y67" s="76">
        <v>9.63</v>
      </c>
      <c r="Z67" s="77">
        <v>90723.38</v>
      </c>
      <c r="AA67" s="76">
        <v>40.31</v>
      </c>
      <c r="AB67" s="76">
        <v>6.15</v>
      </c>
      <c r="AC67" s="76">
        <v>-0.56</v>
      </c>
      <c r="AD67" s="77">
        <v>9.33469237E8</v>
      </c>
      <c r="AE67" s="78"/>
    </row>
    <row r="68">
      <c r="A68" s="73" t="s">
        <v>117</v>
      </c>
      <c r="B68" s="76">
        <v>3.01</v>
      </c>
      <c r="C68" s="76">
        <v>0.0</v>
      </c>
      <c r="D68" s="76">
        <v>-1.76</v>
      </c>
      <c r="E68" s="76">
        <v>0.87</v>
      </c>
      <c r="F68" s="76">
        <v>0.09</v>
      </c>
      <c r="G68" s="76">
        <v>30.06</v>
      </c>
      <c r="H68" s="76">
        <v>-1.82</v>
      </c>
      <c r="I68" s="76">
        <v>-5.98</v>
      </c>
      <c r="J68" s="76">
        <v>-5.8</v>
      </c>
      <c r="K68" s="76">
        <v>-20.17</v>
      </c>
      <c r="L68" s="76">
        <v>-14.38</v>
      </c>
      <c r="M68" s="76">
        <v>2.15</v>
      </c>
      <c r="N68" s="76">
        <v>0.11</v>
      </c>
      <c r="O68" s="76">
        <v>-0.69</v>
      </c>
      <c r="P68" s="76">
        <v>-0.15</v>
      </c>
      <c r="Q68" s="76">
        <v>0.76</v>
      </c>
      <c r="R68" s="76">
        <v>-49.14</v>
      </c>
      <c r="S68" s="76">
        <v>-5.11</v>
      </c>
      <c r="T68" s="76">
        <v>-11.4</v>
      </c>
      <c r="U68" s="76">
        <v>0.1</v>
      </c>
      <c r="V68" s="76">
        <v>0.9</v>
      </c>
      <c r="W68" s="76">
        <v>0.85</v>
      </c>
      <c r="X68" s="76">
        <v>1.39</v>
      </c>
      <c r="Y68" s="76">
        <v>0.0</v>
      </c>
      <c r="Z68" s="77">
        <v>1.2991516E7</v>
      </c>
      <c r="AA68" s="76">
        <v>3.48</v>
      </c>
      <c r="AB68" s="76">
        <v>-1.71</v>
      </c>
      <c r="AC68" s="76">
        <v>0.16</v>
      </c>
      <c r="AD68" s="77">
        <v>2.805369852E9</v>
      </c>
      <c r="AE68" s="78"/>
    </row>
    <row r="69">
      <c r="A69" s="73" t="s">
        <v>118</v>
      </c>
      <c r="B69" s="76">
        <v>10.4</v>
      </c>
      <c r="C69" s="76">
        <v>0.0</v>
      </c>
      <c r="D69" s="76">
        <v>-238.07</v>
      </c>
      <c r="E69" s="76">
        <v>1.08</v>
      </c>
      <c r="F69" s="76">
        <v>0.23</v>
      </c>
      <c r="G69" s="76">
        <v>50.04</v>
      </c>
      <c r="H69" s="76">
        <v>-13.62</v>
      </c>
      <c r="I69" s="76">
        <v>-5.22</v>
      </c>
      <c r="J69" s="76">
        <v>-91.21</v>
      </c>
      <c r="K69" s="76">
        <v>-91.21</v>
      </c>
      <c r="L69" s="76">
        <v>0.0</v>
      </c>
      <c r="M69" s="76">
        <v>0.0</v>
      </c>
      <c r="N69" s="76">
        <v>12.42</v>
      </c>
      <c r="O69" s="76">
        <v>0.0</v>
      </c>
      <c r="P69" s="76">
        <v>-0.24</v>
      </c>
      <c r="Q69" s="76">
        <v>0.0</v>
      </c>
      <c r="R69" s="76">
        <v>-0.45</v>
      </c>
      <c r="S69" s="76">
        <v>-0.1</v>
      </c>
      <c r="T69" s="76">
        <v>0.0</v>
      </c>
      <c r="U69" s="76">
        <v>0.22</v>
      </c>
      <c r="V69" s="76">
        <v>0.78</v>
      </c>
      <c r="W69" s="76">
        <v>0.02</v>
      </c>
      <c r="X69" s="76">
        <v>5.8</v>
      </c>
      <c r="Y69" s="76">
        <v>0.0</v>
      </c>
      <c r="Z69" s="77">
        <v>0.0</v>
      </c>
      <c r="AA69" s="76">
        <v>9.67</v>
      </c>
      <c r="AB69" s="76">
        <v>-0.04</v>
      </c>
      <c r="AC69" s="76">
        <v>0.13</v>
      </c>
      <c r="AD69" s="77">
        <v>8.991139765E9</v>
      </c>
      <c r="AE69" s="78"/>
    </row>
    <row r="70">
      <c r="A70" s="73" t="s">
        <v>119</v>
      </c>
      <c r="B70" s="76">
        <v>3.4</v>
      </c>
      <c r="C70" s="76">
        <v>0.0</v>
      </c>
      <c r="D70" s="76">
        <v>-233.49</v>
      </c>
      <c r="E70" s="76">
        <v>1.06</v>
      </c>
      <c r="F70" s="76">
        <v>0.23</v>
      </c>
      <c r="G70" s="76">
        <v>50.04</v>
      </c>
      <c r="H70" s="76">
        <v>-13.62</v>
      </c>
      <c r="I70" s="76">
        <v>-5.22</v>
      </c>
      <c r="J70" s="76">
        <v>-89.46</v>
      </c>
      <c r="K70" s="76">
        <v>-91.21</v>
      </c>
      <c r="L70" s="76">
        <v>0.0</v>
      </c>
      <c r="M70" s="76">
        <v>0.0</v>
      </c>
      <c r="N70" s="76">
        <v>12.19</v>
      </c>
      <c r="O70" s="76">
        <v>0.0</v>
      </c>
      <c r="P70" s="76">
        <v>-0.24</v>
      </c>
      <c r="Q70" s="76">
        <v>0.0</v>
      </c>
      <c r="R70" s="77">
        <v>-0.45</v>
      </c>
      <c r="S70" s="76">
        <v>-0.1</v>
      </c>
      <c r="T70" s="76">
        <v>0.0</v>
      </c>
      <c r="U70" s="76">
        <v>0.22</v>
      </c>
      <c r="V70" s="76">
        <v>0.78</v>
      </c>
      <c r="W70" s="76">
        <v>0.02</v>
      </c>
      <c r="X70" s="76">
        <v>5.8</v>
      </c>
      <c r="Y70" s="76">
        <v>0.0</v>
      </c>
      <c r="Z70" s="77">
        <v>0.0</v>
      </c>
      <c r="AA70" s="76">
        <v>3.22</v>
      </c>
      <c r="AB70" s="76">
        <v>-0.01</v>
      </c>
      <c r="AC70" s="76">
        <v>0.12</v>
      </c>
      <c r="AD70" s="77">
        <v>8.991139765E9</v>
      </c>
      <c r="AE70" s="78"/>
    </row>
    <row r="71">
      <c r="A71" s="73" t="s">
        <v>120</v>
      </c>
      <c r="B71" s="76">
        <v>3.41</v>
      </c>
      <c r="C71" s="76">
        <v>0.0</v>
      </c>
      <c r="D71" s="76">
        <v>-234.18</v>
      </c>
      <c r="E71" s="76">
        <v>1.06</v>
      </c>
      <c r="F71" s="76">
        <v>0.23</v>
      </c>
      <c r="G71" s="76">
        <v>50.04</v>
      </c>
      <c r="H71" s="76">
        <v>-13.62</v>
      </c>
      <c r="I71" s="76">
        <v>-5.22</v>
      </c>
      <c r="J71" s="76">
        <v>-89.72</v>
      </c>
      <c r="K71" s="76">
        <v>-91.21</v>
      </c>
      <c r="L71" s="76">
        <v>0.0</v>
      </c>
      <c r="M71" s="76">
        <v>0.0</v>
      </c>
      <c r="N71" s="76">
        <v>12.22</v>
      </c>
      <c r="O71" s="76">
        <v>0.0</v>
      </c>
      <c r="P71" s="76">
        <v>-0.24</v>
      </c>
      <c r="Q71" s="76">
        <v>0.0</v>
      </c>
      <c r="R71" s="76">
        <v>-0.45</v>
      </c>
      <c r="S71" s="76">
        <v>-0.1</v>
      </c>
      <c r="T71" s="76">
        <v>0.0</v>
      </c>
      <c r="U71" s="76">
        <v>0.22</v>
      </c>
      <c r="V71" s="76">
        <v>0.78</v>
      </c>
      <c r="W71" s="76">
        <v>0.02</v>
      </c>
      <c r="X71" s="76">
        <v>5.8</v>
      </c>
      <c r="Y71" s="76">
        <v>0.0</v>
      </c>
      <c r="Z71" s="77">
        <v>0.0</v>
      </c>
      <c r="AA71" s="76">
        <v>3.22</v>
      </c>
      <c r="AB71" s="76">
        <v>-0.01</v>
      </c>
      <c r="AC71" s="76">
        <v>0.12</v>
      </c>
      <c r="AD71" s="77">
        <v>8.991139765E9</v>
      </c>
      <c r="AE71" s="78"/>
    </row>
    <row r="72">
      <c r="A72" s="73" t="s">
        <v>121</v>
      </c>
      <c r="B72" s="76">
        <v>6.2</v>
      </c>
      <c r="C72" s="76">
        <v>0.0</v>
      </c>
      <c r="D72" s="77">
        <v>-13.76</v>
      </c>
      <c r="E72" s="76">
        <v>2.99</v>
      </c>
      <c r="F72" s="76">
        <v>1.75</v>
      </c>
      <c r="G72" s="76">
        <v>15.98</v>
      </c>
      <c r="H72" s="76">
        <v>-30.34</v>
      </c>
      <c r="I72" s="76">
        <v>-43.27</v>
      </c>
      <c r="J72" s="76">
        <v>-19.62</v>
      </c>
      <c r="K72" s="77">
        <v>-20.25</v>
      </c>
      <c r="L72" s="76">
        <v>-0.63</v>
      </c>
      <c r="M72" s="76">
        <v>0.1</v>
      </c>
      <c r="N72" s="76">
        <v>5.95</v>
      </c>
      <c r="O72" s="76">
        <v>5.54</v>
      </c>
      <c r="P72" s="76">
        <v>-3.75</v>
      </c>
      <c r="Q72" s="76">
        <v>2.45</v>
      </c>
      <c r="R72" s="76">
        <v>-21.71</v>
      </c>
      <c r="S72" s="76">
        <v>-12.72</v>
      </c>
      <c r="T72" s="76">
        <v>-11.51</v>
      </c>
      <c r="U72" s="76">
        <v>0.59</v>
      </c>
      <c r="V72" s="76">
        <v>0.41</v>
      </c>
      <c r="W72" s="76">
        <v>0.29</v>
      </c>
      <c r="X72" s="76">
        <v>74.06</v>
      </c>
      <c r="Y72" s="76">
        <v>0.0</v>
      </c>
      <c r="Z72" s="77">
        <v>624041.3</v>
      </c>
      <c r="AA72" s="76">
        <v>2.08</v>
      </c>
      <c r="AB72" s="76">
        <v>-0.45</v>
      </c>
      <c r="AC72" s="76">
        <v>0.78</v>
      </c>
      <c r="AD72" s="77">
        <v>8.484174984E8</v>
      </c>
      <c r="AE72" s="78"/>
    </row>
    <row r="73">
      <c r="A73" s="73" t="s">
        <v>122</v>
      </c>
      <c r="B73" s="76">
        <v>11.25</v>
      </c>
      <c r="C73" s="76">
        <v>9.11</v>
      </c>
      <c r="D73" s="77">
        <v>8.29</v>
      </c>
      <c r="E73" s="76">
        <v>1.12</v>
      </c>
      <c r="F73" s="76">
        <v>0.72</v>
      </c>
      <c r="G73" s="76">
        <v>40.23</v>
      </c>
      <c r="H73" s="76">
        <v>23.08</v>
      </c>
      <c r="I73" s="76">
        <v>17.89</v>
      </c>
      <c r="J73" s="76">
        <v>6.43</v>
      </c>
      <c r="K73" s="76">
        <v>7.0</v>
      </c>
      <c r="L73" s="76">
        <v>0.57</v>
      </c>
      <c r="M73" s="76">
        <v>0.1</v>
      </c>
      <c r="N73" s="76">
        <v>1.48</v>
      </c>
      <c r="O73" s="76">
        <v>2.03</v>
      </c>
      <c r="P73" s="76">
        <v>-1.59</v>
      </c>
      <c r="Q73" s="76">
        <v>2.9</v>
      </c>
      <c r="R73" s="76">
        <v>13.47</v>
      </c>
      <c r="S73" s="76">
        <v>8.74</v>
      </c>
      <c r="T73" s="76">
        <v>7.66</v>
      </c>
      <c r="U73" s="76">
        <v>0.65</v>
      </c>
      <c r="V73" s="76">
        <v>0.36</v>
      </c>
      <c r="W73" s="76">
        <v>0.49</v>
      </c>
      <c r="X73" s="76">
        <v>12.41</v>
      </c>
      <c r="Y73" s="76">
        <v>9.59</v>
      </c>
      <c r="Z73" s="77">
        <v>7043886.0</v>
      </c>
      <c r="AA73" s="76">
        <v>10.08</v>
      </c>
      <c r="AB73" s="76">
        <v>1.36</v>
      </c>
      <c r="AC73" s="76">
        <v>0.12</v>
      </c>
      <c r="AD73" s="77">
        <v>2.623636361E9</v>
      </c>
      <c r="AE73" s="78"/>
    </row>
    <row r="74">
      <c r="A74" s="73" t="s">
        <v>123</v>
      </c>
      <c r="B74" s="76">
        <v>5.14</v>
      </c>
      <c r="C74" s="76">
        <v>0.0</v>
      </c>
      <c r="D74" s="77">
        <v>-5.63</v>
      </c>
      <c r="E74" s="76">
        <v>0.46</v>
      </c>
      <c r="F74" s="76">
        <v>0.14</v>
      </c>
      <c r="G74" s="76">
        <v>0.0</v>
      </c>
      <c r="H74" s="76">
        <v>0.0</v>
      </c>
      <c r="I74" s="76">
        <v>0.0</v>
      </c>
      <c r="J74" s="76">
        <v>-6.17</v>
      </c>
      <c r="K74" s="77">
        <v>-4.91</v>
      </c>
      <c r="L74" s="76">
        <v>-1.59</v>
      </c>
      <c r="M74" s="76">
        <v>0.12</v>
      </c>
      <c r="N74" s="76">
        <v>0.0</v>
      </c>
      <c r="O74" s="76">
        <v>-0.76</v>
      </c>
      <c r="P74" s="76">
        <v>-0.14</v>
      </c>
      <c r="Q74" s="76">
        <v>0.0</v>
      </c>
      <c r="R74" s="76">
        <v>-8.24</v>
      </c>
      <c r="S74" s="76">
        <v>-2.45</v>
      </c>
      <c r="T74" s="76">
        <v>-6.72</v>
      </c>
      <c r="U74" s="76">
        <v>0.3</v>
      </c>
      <c r="V74" s="76">
        <v>0.7</v>
      </c>
      <c r="W74" s="76">
        <v>0.0</v>
      </c>
      <c r="X74" s="76">
        <v>0.0</v>
      </c>
      <c r="Y74" s="76">
        <v>0.0</v>
      </c>
      <c r="Z74" s="77">
        <v>0.0</v>
      </c>
      <c r="AA74" s="76">
        <v>11.09</v>
      </c>
      <c r="AB74" s="76">
        <v>-0.91</v>
      </c>
      <c r="AC74" s="76">
        <v>0.2</v>
      </c>
      <c r="AD74" s="77">
        <v>1.411560006E7</v>
      </c>
      <c r="AE74" s="78"/>
    </row>
    <row r="75">
      <c r="A75" s="73" t="s">
        <v>124</v>
      </c>
      <c r="B75" s="76">
        <v>1.52</v>
      </c>
      <c r="C75" s="76">
        <v>0.0</v>
      </c>
      <c r="D75" s="77">
        <v>-1.66</v>
      </c>
      <c r="E75" s="76">
        <v>0.14</v>
      </c>
      <c r="F75" s="76">
        <v>0.04</v>
      </c>
      <c r="G75" s="76">
        <v>0.0</v>
      </c>
      <c r="H75" s="76">
        <v>0.0</v>
      </c>
      <c r="I75" s="76">
        <v>0.0</v>
      </c>
      <c r="J75" s="76">
        <v>-1.82</v>
      </c>
      <c r="K75" s="76">
        <v>-4.91</v>
      </c>
      <c r="L75" s="76">
        <v>-1.59</v>
      </c>
      <c r="M75" s="76">
        <v>0.12</v>
      </c>
      <c r="N75" s="76">
        <v>0.0</v>
      </c>
      <c r="O75" s="76">
        <v>-0.22</v>
      </c>
      <c r="P75" s="76">
        <v>-0.04</v>
      </c>
      <c r="Q75" s="76">
        <v>0.0</v>
      </c>
      <c r="R75" s="76">
        <v>-8.24</v>
      </c>
      <c r="S75" s="76">
        <v>-2.45</v>
      </c>
      <c r="T75" s="76">
        <v>-6.72</v>
      </c>
      <c r="U75" s="76">
        <v>0.3</v>
      </c>
      <c r="V75" s="76">
        <v>0.7</v>
      </c>
      <c r="W75" s="76">
        <v>0.0</v>
      </c>
      <c r="X75" s="76">
        <v>0.0</v>
      </c>
      <c r="Y75" s="76">
        <v>0.0</v>
      </c>
      <c r="Z75" s="77">
        <v>0.0</v>
      </c>
      <c r="AA75" s="76">
        <v>11.09</v>
      </c>
      <c r="AB75" s="76">
        <v>-0.91</v>
      </c>
      <c r="AC75" s="76">
        <v>0.06</v>
      </c>
      <c r="AD75" s="77">
        <v>1.411560006E7</v>
      </c>
      <c r="AE75" s="78"/>
    </row>
    <row r="76">
      <c r="A76" s="73" t="s">
        <v>125</v>
      </c>
      <c r="B76" s="76">
        <v>56.0</v>
      </c>
      <c r="C76" s="76">
        <v>2.96</v>
      </c>
      <c r="D76" s="77">
        <v>9.45</v>
      </c>
      <c r="E76" s="76">
        <v>2.6</v>
      </c>
      <c r="F76" s="76">
        <v>0.19</v>
      </c>
      <c r="G76" s="76">
        <v>45.51</v>
      </c>
      <c r="H76" s="76">
        <v>8.04</v>
      </c>
      <c r="I76" s="76">
        <v>8.24</v>
      </c>
      <c r="J76" s="76">
        <v>9.67</v>
      </c>
      <c r="K76" s="76">
        <v>10.56</v>
      </c>
      <c r="L76" s="76">
        <v>0.0</v>
      </c>
      <c r="M76" s="76">
        <v>0.0</v>
      </c>
      <c r="N76" s="76">
        <v>0.78</v>
      </c>
      <c r="O76" s="76">
        <v>1.01</v>
      </c>
      <c r="P76" s="76">
        <v>-0.23</v>
      </c>
      <c r="Q76" s="76">
        <v>0.0</v>
      </c>
      <c r="R76" s="76">
        <v>27.54</v>
      </c>
      <c r="S76" s="76">
        <v>1.97</v>
      </c>
      <c r="T76" s="76">
        <v>0.0</v>
      </c>
      <c r="U76" s="76">
        <v>0.07</v>
      </c>
      <c r="V76" s="76">
        <v>0.93</v>
      </c>
      <c r="W76" s="76">
        <v>0.24</v>
      </c>
      <c r="X76" s="76">
        <v>21.54</v>
      </c>
      <c r="Y76" s="76">
        <v>41.2</v>
      </c>
      <c r="Z76" s="77">
        <v>169413.8</v>
      </c>
      <c r="AA76" s="76">
        <v>21.53</v>
      </c>
      <c r="AB76" s="76">
        <v>5.93</v>
      </c>
      <c r="AC76" s="76">
        <v>-1.23</v>
      </c>
      <c r="AD76" s="77">
        <v>6.406192266E9</v>
      </c>
      <c r="AE76" s="78"/>
    </row>
    <row r="77">
      <c r="A77" s="73" t="s">
        <v>126</v>
      </c>
      <c r="B77" s="76">
        <v>69.5</v>
      </c>
      <c r="C77" s="76">
        <v>2.63</v>
      </c>
      <c r="D77" s="76">
        <v>11.72</v>
      </c>
      <c r="E77" s="76">
        <v>3.23</v>
      </c>
      <c r="F77" s="76">
        <v>0.23</v>
      </c>
      <c r="G77" s="76">
        <v>45.51</v>
      </c>
      <c r="H77" s="76">
        <v>8.04</v>
      </c>
      <c r="I77" s="76">
        <v>8.24</v>
      </c>
      <c r="J77" s="77">
        <v>12.01</v>
      </c>
      <c r="K77" s="76">
        <v>10.56</v>
      </c>
      <c r="L77" s="76">
        <v>0.0</v>
      </c>
      <c r="M77" s="76">
        <v>0.0</v>
      </c>
      <c r="N77" s="76">
        <v>0.97</v>
      </c>
      <c r="O77" s="76">
        <v>1.25</v>
      </c>
      <c r="P77" s="76">
        <v>-0.28</v>
      </c>
      <c r="Q77" s="76">
        <v>0.0</v>
      </c>
      <c r="R77" s="76">
        <v>27.54</v>
      </c>
      <c r="S77" s="76">
        <v>1.97</v>
      </c>
      <c r="T77" s="76">
        <v>0.0</v>
      </c>
      <c r="U77" s="76">
        <v>0.07</v>
      </c>
      <c r="V77" s="76">
        <v>0.93</v>
      </c>
      <c r="W77" s="76">
        <v>0.24</v>
      </c>
      <c r="X77" s="76">
        <v>21.54</v>
      </c>
      <c r="Y77" s="76">
        <v>41.2</v>
      </c>
      <c r="Z77" s="77">
        <v>2506846.0</v>
      </c>
      <c r="AA77" s="76">
        <v>21.53</v>
      </c>
      <c r="AB77" s="76">
        <v>5.93</v>
      </c>
      <c r="AC77" s="76">
        <v>-1.52</v>
      </c>
      <c r="AD77" s="77">
        <v>6.406192266E9</v>
      </c>
      <c r="AE77" s="78"/>
    </row>
    <row r="78">
      <c r="A78" s="73" t="s">
        <v>127</v>
      </c>
      <c r="B78" s="76">
        <v>4.9</v>
      </c>
      <c r="C78" s="76">
        <v>11.16</v>
      </c>
      <c r="D78" s="76">
        <v>7.41</v>
      </c>
      <c r="E78" s="76">
        <v>0.64</v>
      </c>
      <c r="F78" s="76">
        <v>0.06</v>
      </c>
      <c r="G78" s="76">
        <v>39.56</v>
      </c>
      <c r="H78" s="76">
        <v>2.79</v>
      </c>
      <c r="I78" s="76">
        <v>4.32</v>
      </c>
      <c r="J78" s="76">
        <v>11.48</v>
      </c>
      <c r="K78" s="76">
        <v>11.48</v>
      </c>
      <c r="L78" s="76">
        <v>0.0</v>
      </c>
      <c r="M78" s="76">
        <v>0.0</v>
      </c>
      <c r="N78" s="76">
        <v>0.32</v>
      </c>
      <c r="O78" s="76">
        <v>-0.15</v>
      </c>
      <c r="P78" s="76">
        <v>-0.06</v>
      </c>
      <c r="Q78" s="76">
        <v>0.02</v>
      </c>
      <c r="R78" s="76">
        <v>8.62</v>
      </c>
      <c r="S78" s="76">
        <v>0.82</v>
      </c>
      <c r="T78" s="76">
        <v>0.0</v>
      </c>
      <c r="U78" s="76">
        <v>0.1</v>
      </c>
      <c r="V78" s="76">
        <v>0.9</v>
      </c>
      <c r="W78" s="76">
        <v>0.19</v>
      </c>
      <c r="X78" s="76">
        <v>20.01</v>
      </c>
      <c r="Y78" s="76">
        <v>0.44</v>
      </c>
      <c r="Z78" s="77">
        <v>6577541.0</v>
      </c>
      <c r="AA78" s="76">
        <v>7.67</v>
      </c>
      <c r="AB78" s="76">
        <v>0.66</v>
      </c>
      <c r="AC78" s="76">
        <v>1.03</v>
      </c>
      <c r="AD78" s="77">
        <v>2.935532641E9</v>
      </c>
      <c r="AE78" s="78"/>
    </row>
    <row r="79">
      <c r="A79" s="73" t="s">
        <v>128</v>
      </c>
      <c r="B79" s="76">
        <v>22.99</v>
      </c>
      <c r="C79" s="76">
        <v>0.0</v>
      </c>
      <c r="D79" s="76">
        <v>13.78</v>
      </c>
      <c r="E79" s="76">
        <v>0.77</v>
      </c>
      <c r="F79" s="76">
        <v>0.17</v>
      </c>
      <c r="G79" s="76">
        <v>14.65</v>
      </c>
      <c r="H79" s="76">
        <v>25.0</v>
      </c>
      <c r="I79" s="76">
        <v>12.76</v>
      </c>
      <c r="J79" s="76">
        <v>7.04</v>
      </c>
      <c r="K79" s="76">
        <v>6.86</v>
      </c>
      <c r="L79" s="76">
        <v>0.0</v>
      </c>
      <c r="M79" s="76">
        <v>0.0</v>
      </c>
      <c r="N79" s="76">
        <v>1.76</v>
      </c>
      <c r="O79" s="76">
        <v>35.98</v>
      </c>
      <c r="P79" s="76">
        <v>-0.17</v>
      </c>
      <c r="Q79" s="76">
        <v>0.0</v>
      </c>
      <c r="R79" s="76">
        <v>5.57</v>
      </c>
      <c r="S79" s="76">
        <v>1.23</v>
      </c>
      <c r="T79" s="76">
        <v>0.0</v>
      </c>
      <c r="U79" s="76">
        <v>0.22</v>
      </c>
      <c r="V79" s="76">
        <v>0.78</v>
      </c>
      <c r="W79" s="76">
        <v>0.1</v>
      </c>
      <c r="X79" s="76">
        <v>24.69</v>
      </c>
      <c r="Y79" s="76">
        <v>29.3</v>
      </c>
      <c r="Z79" s="77">
        <v>2299.0</v>
      </c>
      <c r="AA79" s="76">
        <v>29.92</v>
      </c>
      <c r="AB79" s="76">
        <v>1.67</v>
      </c>
      <c r="AC79" s="76">
        <v>-5.95</v>
      </c>
      <c r="AD79" s="77">
        <v>1.081333846E8</v>
      </c>
      <c r="AE79" s="78"/>
    </row>
    <row r="80">
      <c r="A80" s="73" t="s">
        <v>129</v>
      </c>
      <c r="B80" s="76">
        <v>19.05</v>
      </c>
      <c r="C80" s="76">
        <v>0.0</v>
      </c>
      <c r="D80" s="76">
        <v>11.42</v>
      </c>
      <c r="E80" s="76">
        <v>0.64</v>
      </c>
      <c r="F80" s="76">
        <v>0.14</v>
      </c>
      <c r="G80" s="76">
        <v>14.65</v>
      </c>
      <c r="H80" s="76">
        <v>25.0</v>
      </c>
      <c r="I80" s="76">
        <v>12.76</v>
      </c>
      <c r="J80" s="76">
        <v>5.83</v>
      </c>
      <c r="K80" s="76">
        <v>6.86</v>
      </c>
      <c r="L80" s="76">
        <v>0.0</v>
      </c>
      <c r="M80" s="76">
        <v>0.0</v>
      </c>
      <c r="N80" s="76">
        <v>1.46</v>
      </c>
      <c r="O80" s="76">
        <v>29.82</v>
      </c>
      <c r="P80" s="76">
        <v>-0.14</v>
      </c>
      <c r="Q80" s="76">
        <v>0.0</v>
      </c>
      <c r="R80" s="76">
        <v>5.57</v>
      </c>
      <c r="S80" s="76">
        <v>1.23</v>
      </c>
      <c r="T80" s="76">
        <v>0.0</v>
      </c>
      <c r="U80" s="76">
        <v>0.22</v>
      </c>
      <c r="V80" s="76">
        <v>0.78</v>
      </c>
      <c r="W80" s="76">
        <v>0.1</v>
      </c>
      <c r="X80" s="76">
        <v>24.69</v>
      </c>
      <c r="Y80" s="76">
        <v>29.3</v>
      </c>
      <c r="Z80" s="77">
        <v>3498.5</v>
      </c>
      <c r="AA80" s="76">
        <v>29.92</v>
      </c>
      <c r="AB80" s="76">
        <v>1.67</v>
      </c>
      <c r="AC80" s="76">
        <v>-4.93</v>
      </c>
      <c r="AD80" s="77">
        <v>1.081333846E8</v>
      </c>
      <c r="AE80" s="78"/>
    </row>
    <row r="81">
      <c r="A81" s="73" t="s">
        <v>130</v>
      </c>
      <c r="B81" s="76">
        <v>370.41</v>
      </c>
      <c r="C81" s="76">
        <v>41.34</v>
      </c>
      <c r="D81" s="76">
        <v>2.82</v>
      </c>
      <c r="E81" s="76">
        <v>0.69</v>
      </c>
      <c r="F81" s="76">
        <v>0.63</v>
      </c>
      <c r="G81" s="76">
        <v>29.43</v>
      </c>
      <c r="H81" s="77">
        <v>-152.67</v>
      </c>
      <c r="I81" s="77">
        <v>422.1</v>
      </c>
      <c r="J81" s="76">
        <v>-7.8</v>
      </c>
      <c r="K81" s="76">
        <v>0.69</v>
      </c>
      <c r="L81" s="76">
        <v>8.49</v>
      </c>
      <c r="M81" s="76">
        <v>-0.75</v>
      </c>
      <c r="N81" s="76">
        <v>11.9</v>
      </c>
      <c r="O81" s="76">
        <v>0.79</v>
      </c>
      <c r="P81" s="76">
        <v>-3.28</v>
      </c>
      <c r="Q81" s="76">
        <v>58.78</v>
      </c>
      <c r="R81" s="76">
        <v>24.32</v>
      </c>
      <c r="S81" s="77">
        <v>22.18</v>
      </c>
      <c r="T81" s="76">
        <v>-23.1</v>
      </c>
      <c r="U81" s="76">
        <v>0.91</v>
      </c>
      <c r="V81" s="76">
        <v>0.09</v>
      </c>
      <c r="W81" s="76">
        <v>0.05</v>
      </c>
      <c r="X81" s="76">
        <v>-0.59</v>
      </c>
      <c r="Y81" s="76">
        <v>85.96</v>
      </c>
      <c r="Z81" s="77">
        <v>43088.95</v>
      </c>
      <c r="AA81" s="76">
        <v>540.16</v>
      </c>
      <c r="AB81" s="76">
        <v>131.35</v>
      </c>
      <c r="AC81" s="76">
        <v>0.01</v>
      </c>
      <c r="AD81" s="77">
        <v>1.684439475E8</v>
      </c>
      <c r="AE81" s="78"/>
    </row>
    <row r="82">
      <c r="A82" s="73" t="s">
        <v>131</v>
      </c>
      <c r="B82" s="76">
        <v>25.11</v>
      </c>
      <c r="C82" s="76">
        <v>10.52</v>
      </c>
      <c r="D82" s="76">
        <v>14.64</v>
      </c>
      <c r="E82" s="76">
        <v>1.89</v>
      </c>
      <c r="F82" s="76">
        <v>1.24</v>
      </c>
      <c r="G82" s="76">
        <v>25.01</v>
      </c>
      <c r="H82" s="76">
        <v>8.65</v>
      </c>
      <c r="I82" s="77">
        <v>8.98</v>
      </c>
      <c r="J82" s="76">
        <v>15.21</v>
      </c>
      <c r="K82" s="76">
        <v>11.98</v>
      </c>
      <c r="L82" s="76">
        <v>-3.23</v>
      </c>
      <c r="M82" s="76">
        <v>-0.4</v>
      </c>
      <c r="N82" s="76">
        <v>1.32</v>
      </c>
      <c r="O82" s="76">
        <v>3.13</v>
      </c>
      <c r="P82" s="76">
        <v>-4.04</v>
      </c>
      <c r="Q82" s="76">
        <v>2.34</v>
      </c>
      <c r="R82" s="76">
        <v>12.93</v>
      </c>
      <c r="S82" s="76">
        <v>8.49</v>
      </c>
      <c r="T82" s="76">
        <v>7.66</v>
      </c>
      <c r="U82" s="76">
        <v>0.66</v>
      </c>
      <c r="V82" s="76">
        <v>0.34</v>
      </c>
      <c r="W82" s="76">
        <v>0.95</v>
      </c>
      <c r="X82" s="76">
        <v>57.5</v>
      </c>
      <c r="Y82" s="76">
        <v>32.15</v>
      </c>
      <c r="Z82" s="77">
        <v>1.0326971E7</v>
      </c>
      <c r="AA82" s="76">
        <v>13.27</v>
      </c>
      <c r="AB82" s="76">
        <v>1.72</v>
      </c>
      <c r="AC82" s="76">
        <v>0.63</v>
      </c>
      <c r="AD82" s="77">
        <v>2.149626723E9</v>
      </c>
      <c r="AE82" s="78"/>
    </row>
    <row r="83">
      <c r="A83" s="73" t="s">
        <v>132</v>
      </c>
      <c r="B83" s="76">
        <v>121.5</v>
      </c>
      <c r="C83" s="76">
        <v>4.92</v>
      </c>
      <c r="D83" s="76">
        <v>4.25</v>
      </c>
      <c r="E83" s="76">
        <v>0.77</v>
      </c>
      <c r="F83" s="76">
        <v>0.17</v>
      </c>
      <c r="G83" s="76">
        <v>45.77</v>
      </c>
      <c r="H83" s="76">
        <v>50.32</v>
      </c>
      <c r="I83" s="77">
        <v>28.85</v>
      </c>
      <c r="J83" s="76">
        <v>2.44</v>
      </c>
      <c r="K83" s="76">
        <v>2.44</v>
      </c>
      <c r="L83" s="76">
        <v>0.0</v>
      </c>
      <c r="M83" s="76">
        <v>0.0</v>
      </c>
      <c r="N83" s="76">
        <v>1.23</v>
      </c>
      <c r="O83" s="76">
        <v>18.84</v>
      </c>
      <c r="P83" s="76">
        <v>-0.17</v>
      </c>
      <c r="Q83" s="76">
        <v>0.0</v>
      </c>
      <c r="R83" s="76">
        <v>18.19</v>
      </c>
      <c r="S83" s="76">
        <v>3.97</v>
      </c>
      <c r="T83" s="76">
        <v>0.0</v>
      </c>
      <c r="U83" s="76">
        <v>0.22</v>
      </c>
      <c r="V83" s="76">
        <v>0.78</v>
      </c>
      <c r="W83" s="76">
        <v>0.14</v>
      </c>
      <c r="X83" s="76">
        <v>8.63</v>
      </c>
      <c r="Y83" s="76">
        <v>10.2</v>
      </c>
      <c r="Z83" s="77">
        <v>46197.88</v>
      </c>
      <c r="AA83" s="76">
        <v>157.26</v>
      </c>
      <c r="AB83" s="76">
        <v>28.6</v>
      </c>
      <c r="AC83" s="76">
        <v>0.13</v>
      </c>
      <c r="AD83" s="77">
        <v>1.1992019504E10</v>
      </c>
      <c r="AE83" s="78"/>
    </row>
    <row r="84">
      <c r="A84" s="73" t="s">
        <v>133</v>
      </c>
      <c r="B84" s="76">
        <v>7.95</v>
      </c>
      <c r="C84" s="76">
        <v>0.0</v>
      </c>
      <c r="D84" s="76">
        <v>15.22</v>
      </c>
      <c r="E84" s="76">
        <v>1.83</v>
      </c>
      <c r="F84" s="76">
        <v>1.7</v>
      </c>
      <c r="G84" s="76">
        <v>56.53</v>
      </c>
      <c r="H84" s="76">
        <v>19.25</v>
      </c>
      <c r="I84" s="77">
        <v>32.39</v>
      </c>
      <c r="J84" s="76">
        <v>25.6</v>
      </c>
      <c r="K84" s="76">
        <v>18.69</v>
      </c>
      <c r="L84" s="76">
        <v>-6.92</v>
      </c>
      <c r="M84" s="76">
        <v>-0.5</v>
      </c>
      <c r="N84" s="76">
        <v>4.93</v>
      </c>
      <c r="O84" s="76">
        <v>3.34</v>
      </c>
      <c r="P84" s="76">
        <v>-3.8</v>
      </c>
      <c r="Q84" s="76">
        <v>12.37</v>
      </c>
      <c r="R84" s="76">
        <v>12.04</v>
      </c>
      <c r="S84" s="76">
        <v>11.16</v>
      </c>
      <c r="T84" s="76">
        <v>0.99</v>
      </c>
      <c r="U84" s="76">
        <v>0.93</v>
      </c>
      <c r="V84" s="76">
        <v>0.07</v>
      </c>
      <c r="W84" s="76">
        <v>0.34</v>
      </c>
      <c r="X84" s="76">
        <v>8.81</v>
      </c>
      <c r="Y84" s="76">
        <v>74.34</v>
      </c>
      <c r="Z84" s="77">
        <v>0.0</v>
      </c>
      <c r="AA84" s="76">
        <v>4.34</v>
      </c>
      <c r="AB84" s="76">
        <v>0.52</v>
      </c>
      <c r="AC84" s="76">
        <v>5.59</v>
      </c>
      <c r="AD84" s="77">
        <v>4.212250618E9</v>
      </c>
      <c r="AE84" s="78"/>
    </row>
    <row r="85">
      <c r="A85" s="73" t="s">
        <v>134</v>
      </c>
      <c r="B85" s="76">
        <v>1.0</v>
      </c>
      <c r="C85" s="76">
        <v>0.0</v>
      </c>
      <c r="D85" s="76">
        <v>-0.17</v>
      </c>
      <c r="E85" s="77">
        <v>-0.16</v>
      </c>
      <c r="F85" s="77">
        <v>0.31</v>
      </c>
      <c r="G85" s="76">
        <v>41.07</v>
      </c>
      <c r="H85" s="76">
        <v>16.86</v>
      </c>
      <c r="I85" s="76">
        <v>-97.15</v>
      </c>
      <c r="J85" s="76">
        <v>0.97</v>
      </c>
      <c r="K85" s="76">
        <v>1.96</v>
      </c>
      <c r="L85" s="76">
        <v>0.9</v>
      </c>
      <c r="M85" s="76">
        <v>0.0</v>
      </c>
      <c r="N85" s="76">
        <v>0.16</v>
      </c>
      <c r="O85" s="77">
        <v>-5.27</v>
      </c>
      <c r="P85" s="77">
        <v>-0.58</v>
      </c>
      <c r="Q85" s="76">
        <v>0.89</v>
      </c>
      <c r="R85" s="77">
        <v>-96.55</v>
      </c>
      <c r="S85" s="77">
        <v>-187.1</v>
      </c>
      <c r="T85" s="77">
        <v>-15.91</v>
      </c>
      <c r="U85" s="76">
        <v>-1.94</v>
      </c>
      <c r="V85" s="76">
        <v>2.94</v>
      </c>
      <c r="W85" s="76">
        <v>1.93</v>
      </c>
      <c r="X85" s="76">
        <v>8.56</v>
      </c>
      <c r="Y85" s="76">
        <v>0.0</v>
      </c>
      <c r="Z85" s="77">
        <v>0.0</v>
      </c>
      <c r="AA85" s="76">
        <v>-6.17</v>
      </c>
      <c r="AB85" s="76">
        <v>-5.96</v>
      </c>
      <c r="AC85" s="76">
        <v>0.0</v>
      </c>
      <c r="AD85" s="77">
        <v>2.875465606E8</v>
      </c>
      <c r="AE85" s="78"/>
    </row>
    <row r="86">
      <c r="A86" s="73" t="s">
        <v>135</v>
      </c>
      <c r="B86" s="76">
        <v>1.22</v>
      </c>
      <c r="C86" s="76">
        <v>0.0</v>
      </c>
      <c r="D86" s="76">
        <v>-0.2</v>
      </c>
      <c r="E86" s="76">
        <v>-0.2</v>
      </c>
      <c r="F86" s="77">
        <v>0.38</v>
      </c>
      <c r="G86" s="76">
        <v>41.07</v>
      </c>
      <c r="H86" s="77">
        <v>16.86</v>
      </c>
      <c r="I86" s="77">
        <v>-97.15</v>
      </c>
      <c r="J86" s="76">
        <v>1.18</v>
      </c>
      <c r="K86" s="76">
        <v>1.96</v>
      </c>
      <c r="L86" s="76">
        <v>0.9</v>
      </c>
      <c r="M86" s="76">
        <v>0.0</v>
      </c>
      <c r="N86" s="77">
        <v>0.2</v>
      </c>
      <c r="O86" s="76">
        <v>-6.43</v>
      </c>
      <c r="P86" s="76">
        <v>-0.71</v>
      </c>
      <c r="Q86" s="76">
        <v>0.89</v>
      </c>
      <c r="R86" s="76">
        <v>-96.55</v>
      </c>
      <c r="S86" s="77">
        <v>-187.1</v>
      </c>
      <c r="T86" s="76">
        <v>-15.91</v>
      </c>
      <c r="U86" s="76">
        <v>-1.94</v>
      </c>
      <c r="V86" s="76">
        <v>2.94</v>
      </c>
      <c r="W86" s="76">
        <v>1.93</v>
      </c>
      <c r="X86" s="76">
        <v>8.56</v>
      </c>
      <c r="Y86" s="76">
        <v>0.0</v>
      </c>
      <c r="Z86" s="77">
        <v>20796.38</v>
      </c>
      <c r="AA86" s="76">
        <v>-6.17</v>
      </c>
      <c r="AB86" s="76">
        <v>-5.96</v>
      </c>
      <c r="AC86" s="76">
        <v>0.0</v>
      </c>
      <c r="AD86" s="77">
        <v>2.875465606E8</v>
      </c>
      <c r="AE86" s="78"/>
    </row>
    <row r="87">
      <c r="A87" s="73" t="s">
        <v>136</v>
      </c>
      <c r="B87" s="76">
        <v>61.85</v>
      </c>
      <c r="C87" s="76">
        <v>2.02</v>
      </c>
      <c r="D87" s="76">
        <v>16.97</v>
      </c>
      <c r="E87" s="77">
        <v>3.5</v>
      </c>
      <c r="F87" s="77">
        <v>0.35</v>
      </c>
      <c r="G87" s="76">
        <v>47.69</v>
      </c>
      <c r="H87" s="76">
        <v>45.56</v>
      </c>
      <c r="I87" s="77">
        <v>36.88</v>
      </c>
      <c r="J87" s="76">
        <v>13.74</v>
      </c>
      <c r="K87" s="76">
        <v>13.74</v>
      </c>
      <c r="L87" s="76">
        <v>0.0</v>
      </c>
      <c r="M87" s="76">
        <v>0.0</v>
      </c>
      <c r="N87" s="77">
        <v>6.26</v>
      </c>
      <c r="O87" s="77">
        <v>-0.47</v>
      </c>
      <c r="P87" s="77">
        <v>-0.35</v>
      </c>
      <c r="Q87" s="76">
        <v>0.01</v>
      </c>
      <c r="R87" s="77">
        <v>20.6</v>
      </c>
      <c r="S87" s="77">
        <v>2.06</v>
      </c>
      <c r="T87" s="77">
        <v>0.0</v>
      </c>
      <c r="U87" s="76">
        <v>0.1</v>
      </c>
      <c r="V87" s="76">
        <v>0.89</v>
      </c>
      <c r="W87" s="76">
        <v>0.06</v>
      </c>
      <c r="X87" s="76">
        <v>25.49</v>
      </c>
      <c r="Y87" s="76">
        <v>30.46</v>
      </c>
      <c r="Z87" s="77">
        <v>6.94E8</v>
      </c>
      <c r="AA87" s="76">
        <v>17.69</v>
      </c>
      <c r="AB87" s="76">
        <v>3.64</v>
      </c>
      <c r="AC87" s="76">
        <v>0.57</v>
      </c>
      <c r="AD87" s="77">
        <v>2.40598E11</v>
      </c>
      <c r="AE87" s="78"/>
    </row>
    <row r="88">
      <c r="A88" s="73" t="s">
        <v>137</v>
      </c>
      <c r="B88" s="76">
        <v>44.42</v>
      </c>
      <c r="C88" s="76">
        <v>0.94</v>
      </c>
      <c r="D88" s="76">
        <v>36.56</v>
      </c>
      <c r="E88" s="76">
        <v>7.53</v>
      </c>
      <c r="F88" s="77">
        <v>0.75</v>
      </c>
      <c r="G88" s="76">
        <v>47.69</v>
      </c>
      <c r="H88" s="76">
        <v>45.56</v>
      </c>
      <c r="I88" s="76">
        <v>36.88</v>
      </c>
      <c r="J88" s="76">
        <v>29.6</v>
      </c>
      <c r="K88" s="76">
        <v>13.74</v>
      </c>
      <c r="L88" s="76">
        <v>0.0</v>
      </c>
      <c r="M88" s="76">
        <v>0.0</v>
      </c>
      <c r="N88" s="76">
        <v>13.48</v>
      </c>
      <c r="O88" s="76">
        <v>-1.02</v>
      </c>
      <c r="P88" s="76">
        <v>-0.76</v>
      </c>
      <c r="Q88" s="76">
        <v>0.01</v>
      </c>
      <c r="R88" s="76">
        <v>20.6</v>
      </c>
      <c r="S88" s="77">
        <v>2.06</v>
      </c>
      <c r="T88" s="76">
        <v>0.0</v>
      </c>
      <c r="U88" s="76">
        <v>0.1</v>
      </c>
      <c r="V88" s="76">
        <v>0.89</v>
      </c>
      <c r="W88" s="76">
        <v>0.06</v>
      </c>
      <c r="X88" s="76">
        <v>25.49</v>
      </c>
      <c r="Y88" s="76">
        <v>30.46</v>
      </c>
      <c r="Z88" s="77">
        <v>366670.2</v>
      </c>
      <c r="AA88" s="76">
        <v>5.9</v>
      </c>
      <c r="AB88" s="76">
        <v>1.21</v>
      </c>
      <c r="AC88" s="76">
        <v>1.22</v>
      </c>
      <c r="AD88" s="79">
        <v>2.40598E11</v>
      </c>
      <c r="AE88" s="80"/>
    </row>
    <row r="89">
      <c r="A89" s="73" t="s">
        <v>138</v>
      </c>
      <c r="B89" s="76">
        <v>11.45</v>
      </c>
      <c r="C89" s="76">
        <v>3.63</v>
      </c>
      <c r="D89" s="76">
        <v>9.42</v>
      </c>
      <c r="E89" s="76">
        <v>1.94</v>
      </c>
      <c r="F89" s="76">
        <v>0.19</v>
      </c>
      <c r="G89" s="76">
        <v>47.69</v>
      </c>
      <c r="H89" s="76">
        <v>45.56</v>
      </c>
      <c r="I89" s="76">
        <v>36.88</v>
      </c>
      <c r="J89" s="76">
        <v>7.63</v>
      </c>
      <c r="K89" s="76">
        <v>13.74</v>
      </c>
      <c r="L89" s="76">
        <v>0.0</v>
      </c>
      <c r="M89" s="76">
        <v>0.0</v>
      </c>
      <c r="N89" s="76">
        <v>3.48</v>
      </c>
      <c r="O89" s="76">
        <v>-0.26</v>
      </c>
      <c r="P89" s="76">
        <v>-0.2</v>
      </c>
      <c r="Q89" s="76">
        <v>0.01</v>
      </c>
      <c r="R89" s="76">
        <v>20.6</v>
      </c>
      <c r="S89" s="76">
        <v>2.06</v>
      </c>
      <c r="T89" s="76">
        <v>0.0</v>
      </c>
      <c r="U89" s="76">
        <v>0.1</v>
      </c>
      <c r="V89" s="76">
        <v>0.89</v>
      </c>
      <c r="W89" s="76">
        <v>0.06</v>
      </c>
      <c r="X89" s="76">
        <v>25.49</v>
      </c>
      <c r="Y89" s="76">
        <v>30.46</v>
      </c>
      <c r="Z89" s="77">
        <v>152157.7</v>
      </c>
      <c r="AA89" s="76">
        <v>5.9</v>
      </c>
      <c r="AB89" s="76">
        <v>1.21</v>
      </c>
      <c r="AC89" s="76">
        <v>0.32</v>
      </c>
      <c r="AD89" s="77">
        <v>2.40598E11</v>
      </c>
      <c r="AE89" s="78"/>
    </row>
    <row r="90">
      <c r="A90" s="73" t="s">
        <v>139</v>
      </c>
      <c r="B90" s="76">
        <v>12.75</v>
      </c>
      <c r="C90" s="76">
        <v>0.0</v>
      </c>
      <c r="D90" s="76">
        <v>41.71</v>
      </c>
      <c r="E90" s="76">
        <v>2.13</v>
      </c>
      <c r="F90" s="76">
        <v>0.24</v>
      </c>
      <c r="G90" s="76">
        <v>34.9</v>
      </c>
      <c r="H90" s="76">
        <v>0.19</v>
      </c>
      <c r="I90" s="76">
        <v>2.58</v>
      </c>
      <c r="J90" s="76">
        <v>567.54</v>
      </c>
      <c r="K90" s="76">
        <v>567.54</v>
      </c>
      <c r="L90" s="76">
        <v>0.0</v>
      </c>
      <c r="M90" s="76">
        <v>0.0</v>
      </c>
      <c r="N90" s="76">
        <v>1.08</v>
      </c>
      <c r="O90" s="76">
        <v>-525.36</v>
      </c>
      <c r="P90" s="76">
        <v>-0.24</v>
      </c>
      <c r="Q90" s="76">
        <v>0.05</v>
      </c>
      <c r="R90" s="76">
        <v>5.1</v>
      </c>
      <c r="S90" s="76">
        <v>0.56</v>
      </c>
      <c r="T90" s="76">
        <v>0.0</v>
      </c>
      <c r="U90" s="76">
        <v>0.11</v>
      </c>
      <c r="V90" s="76">
        <v>0.89</v>
      </c>
      <c r="W90" s="76">
        <v>0.22</v>
      </c>
      <c r="X90" s="76">
        <v>10.77</v>
      </c>
      <c r="Y90" s="76">
        <v>-9.0</v>
      </c>
      <c r="Z90" s="77">
        <v>3.8432884E7</v>
      </c>
      <c r="AA90" s="76">
        <v>5.99</v>
      </c>
      <c r="AB90" s="76">
        <v>0.31</v>
      </c>
      <c r="AC90" s="76">
        <v>-1.09</v>
      </c>
      <c r="AD90" s="77">
        <v>1.6180643648E10</v>
      </c>
      <c r="AE90" s="78"/>
    </row>
    <row r="91">
      <c r="A91" s="73" t="s">
        <v>140</v>
      </c>
      <c r="B91" s="76">
        <v>117.42</v>
      </c>
      <c r="C91" s="76">
        <v>3.75</v>
      </c>
      <c r="D91" s="76">
        <v>4.43</v>
      </c>
      <c r="E91" s="76">
        <v>0.5</v>
      </c>
      <c r="F91" s="76">
        <v>0.06</v>
      </c>
      <c r="G91" s="76">
        <v>49.16</v>
      </c>
      <c r="H91" s="76">
        <v>11.13</v>
      </c>
      <c r="I91" s="76">
        <v>6.92</v>
      </c>
      <c r="J91" s="76">
        <v>2.76</v>
      </c>
      <c r="K91" s="76">
        <v>2.76</v>
      </c>
      <c r="L91" s="76">
        <v>0.0</v>
      </c>
      <c r="M91" s="76">
        <v>0.0</v>
      </c>
      <c r="N91" s="76">
        <v>0.31</v>
      </c>
      <c r="O91" s="76">
        <v>4.29</v>
      </c>
      <c r="P91" s="76">
        <v>-0.06</v>
      </c>
      <c r="Q91" s="76">
        <v>0.0</v>
      </c>
      <c r="R91" s="76">
        <v>11.35</v>
      </c>
      <c r="S91" s="76">
        <v>1.29</v>
      </c>
      <c r="T91" s="76">
        <v>0.0</v>
      </c>
      <c r="U91" s="76">
        <v>0.11</v>
      </c>
      <c r="V91" s="76">
        <v>0.89</v>
      </c>
      <c r="W91" s="76">
        <v>0.19</v>
      </c>
      <c r="X91" s="76">
        <v>14.76</v>
      </c>
      <c r="Y91" s="76">
        <v>-4.89</v>
      </c>
      <c r="Z91" s="77">
        <v>0.0</v>
      </c>
      <c r="AA91" s="76">
        <v>233.36</v>
      </c>
      <c r="AB91" s="76">
        <v>26.49</v>
      </c>
      <c r="AC91" s="76">
        <v>-0.14</v>
      </c>
      <c r="AD91" s="77">
        <v>1.118032026E9</v>
      </c>
      <c r="AE91" s="78"/>
    </row>
    <row r="92">
      <c r="A92" s="73" t="s">
        <v>141</v>
      </c>
      <c r="B92" s="76">
        <v>44.05</v>
      </c>
      <c r="C92" s="76">
        <v>0.0</v>
      </c>
      <c r="D92" s="76">
        <v>6.98</v>
      </c>
      <c r="E92" s="76">
        <v>0.66</v>
      </c>
      <c r="F92" s="76">
        <v>0.09</v>
      </c>
      <c r="G92" s="76">
        <v>51.56</v>
      </c>
      <c r="H92" s="76">
        <v>21.77</v>
      </c>
      <c r="I92" s="76">
        <v>5.61</v>
      </c>
      <c r="J92" s="76">
        <v>1.8</v>
      </c>
      <c r="K92" s="76">
        <v>1.8</v>
      </c>
      <c r="L92" s="76">
        <v>0.0</v>
      </c>
      <c r="M92" s="76">
        <v>0.0</v>
      </c>
      <c r="N92" s="76">
        <v>0.39</v>
      </c>
      <c r="O92" s="76">
        <v>0.0</v>
      </c>
      <c r="P92" s="76">
        <v>-0.12</v>
      </c>
      <c r="Q92" s="76">
        <v>0.0</v>
      </c>
      <c r="R92" s="76">
        <v>9.46</v>
      </c>
      <c r="S92" s="76">
        <v>1.35</v>
      </c>
      <c r="T92" s="76">
        <v>0.0</v>
      </c>
      <c r="U92" s="76">
        <v>0.14</v>
      </c>
      <c r="V92" s="76">
        <v>0.86</v>
      </c>
      <c r="W92" s="76">
        <v>0.24</v>
      </c>
      <c r="X92" s="76">
        <v>14.99</v>
      </c>
      <c r="Y92" s="76">
        <v>-18.89</v>
      </c>
      <c r="Z92" s="77">
        <v>0.0</v>
      </c>
      <c r="AA92" s="76">
        <v>66.71</v>
      </c>
      <c r="AB92" s="76">
        <v>6.31</v>
      </c>
      <c r="AC92" s="76">
        <v>-0.11</v>
      </c>
      <c r="AD92" s="77">
        <v>1.533769021E9</v>
      </c>
      <c r="AE92" s="78"/>
    </row>
    <row r="93">
      <c r="A93" s="73" t="s">
        <v>142</v>
      </c>
      <c r="B93" s="76">
        <v>0.62</v>
      </c>
      <c r="C93" s="76">
        <v>0.0</v>
      </c>
      <c r="D93" s="76">
        <v>0.06</v>
      </c>
      <c r="E93" s="76">
        <v>-0.24</v>
      </c>
      <c r="F93" s="76">
        <v>0.99</v>
      </c>
      <c r="G93" s="76">
        <v>98.02</v>
      </c>
      <c r="H93" s="76">
        <v>1029.99</v>
      </c>
      <c r="I93" s="76">
        <v>13896.67</v>
      </c>
      <c r="J93" s="76">
        <v>0.8</v>
      </c>
      <c r="K93" s="76">
        <v>1.66</v>
      </c>
      <c r="L93" s="76">
        <v>0.85</v>
      </c>
      <c r="M93" s="76">
        <v>0.0</v>
      </c>
      <c r="N93" s="76">
        <v>8.28</v>
      </c>
      <c r="O93" s="76">
        <v>-0.38</v>
      </c>
      <c r="P93" s="76">
        <v>-1.18</v>
      </c>
      <c r="Q93" s="76">
        <v>0.06</v>
      </c>
      <c r="R93" s="76">
        <v>-402.5</v>
      </c>
      <c r="S93" s="76">
        <v>1669.02</v>
      </c>
      <c r="T93" s="76">
        <v>-36.75</v>
      </c>
      <c r="U93" s="76">
        <v>-4.15</v>
      </c>
      <c r="V93" s="76">
        <v>5.15</v>
      </c>
      <c r="W93" s="76">
        <v>0.12</v>
      </c>
      <c r="X93" s="76">
        <v>-68.85</v>
      </c>
      <c r="Y93" s="76">
        <v>0.0</v>
      </c>
      <c r="Z93" s="77">
        <v>0.0</v>
      </c>
      <c r="AA93" s="76">
        <v>-2.58</v>
      </c>
      <c r="AB93" s="76">
        <v>10.4</v>
      </c>
      <c r="AC93" s="76">
        <v>0.0</v>
      </c>
      <c r="AD93" s="77">
        <v>7.011029874E7</v>
      </c>
      <c r="AE93" s="78"/>
    </row>
    <row r="94">
      <c r="A94" s="73" t="s">
        <v>143</v>
      </c>
      <c r="B94" s="76">
        <v>19.97</v>
      </c>
      <c r="C94" s="76">
        <v>14.92</v>
      </c>
      <c r="D94" s="76">
        <v>6.95</v>
      </c>
      <c r="E94" s="76">
        <v>0.86</v>
      </c>
      <c r="F94" s="76">
        <v>0.85</v>
      </c>
      <c r="G94" s="76">
        <v>0.0</v>
      </c>
      <c r="H94" s="76">
        <v>0.0</v>
      </c>
      <c r="I94" s="76">
        <v>0.0</v>
      </c>
      <c r="J94" s="76">
        <v>7.48</v>
      </c>
      <c r="K94" s="76">
        <v>7.78</v>
      </c>
      <c r="L94" s="76">
        <v>-0.51</v>
      </c>
      <c r="M94" s="76">
        <v>-0.06</v>
      </c>
      <c r="N94" s="76">
        <v>0.0</v>
      </c>
      <c r="O94" s="76">
        <v>17.73</v>
      </c>
      <c r="P94" s="76">
        <v>-0.9</v>
      </c>
      <c r="Q94" s="76">
        <v>5.95</v>
      </c>
      <c r="R94" s="76">
        <v>12.38</v>
      </c>
      <c r="S94" s="76">
        <v>12.25</v>
      </c>
      <c r="T94" s="76">
        <v>11.41</v>
      </c>
      <c r="U94" s="76">
        <v>0.99</v>
      </c>
      <c r="V94" s="76">
        <v>0.01</v>
      </c>
      <c r="W94" s="76">
        <v>0.0</v>
      </c>
      <c r="X94" s="76">
        <v>0.0</v>
      </c>
      <c r="Y94" s="76">
        <v>0.0</v>
      </c>
      <c r="Z94" s="77">
        <v>2234925.0</v>
      </c>
      <c r="AA94" s="76">
        <v>23.21</v>
      </c>
      <c r="AB94" s="76">
        <v>2.87</v>
      </c>
      <c r="AC94" s="76">
        <v>-0.19</v>
      </c>
      <c r="AD94" s="77">
        <v>8.697093586E9</v>
      </c>
      <c r="AE94" s="78"/>
    </row>
    <row r="95">
      <c r="A95" s="73" t="s">
        <v>144</v>
      </c>
      <c r="B95" s="76">
        <v>23.29</v>
      </c>
      <c r="C95" s="76">
        <v>14.07</v>
      </c>
      <c r="D95" s="76">
        <v>8.11</v>
      </c>
      <c r="E95" s="76">
        <v>1.0</v>
      </c>
      <c r="F95" s="76">
        <v>0.99</v>
      </c>
      <c r="G95" s="76">
        <v>0.0</v>
      </c>
      <c r="H95" s="76">
        <v>0.0</v>
      </c>
      <c r="I95" s="76">
        <v>0.0</v>
      </c>
      <c r="J95" s="76">
        <v>8.73</v>
      </c>
      <c r="K95" s="76">
        <v>7.78</v>
      </c>
      <c r="L95" s="76">
        <v>-0.51</v>
      </c>
      <c r="M95" s="76">
        <v>-0.06</v>
      </c>
      <c r="N95" s="76">
        <v>0.0</v>
      </c>
      <c r="O95" s="76">
        <v>20.67</v>
      </c>
      <c r="P95" s="76">
        <v>-1.05</v>
      </c>
      <c r="Q95" s="76">
        <v>5.95</v>
      </c>
      <c r="R95" s="76">
        <v>12.38</v>
      </c>
      <c r="S95" s="76">
        <v>12.25</v>
      </c>
      <c r="T95" s="76">
        <v>11.41</v>
      </c>
      <c r="U95" s="76">
        <v>0.99</v>
      </c>
      <c r="V95" s="76">
        <v>0.01</v>
      </c>
      <c r="W95" s="76">
        <v>0.0</v>
      </c>
      <c r="X95" s="76">
        <v>0.0</v>
      </c>
      <c r="Y95" s="76">
        <v>0.0</v>
      </c>
      <c r="Z95" s="77">
        <v>8.9738896E7</v>
      </c>
      <c r="AA95" s="76">
        <v>23.21</v>
      </c>
      <c r="AB95" s="76">
        <v>2.87</v>
      </c>
      <c r="AC95" s="76">
        <v>-0.22</v>
      </c>
      <c r="AD95" s="77">
        <v>8.697093586E9</v>
      </c>
      <c r="AE95" s="78"/>
    </row>
    <row r="96">
      <c r="A96" s="73" t="s">
        <v>145</v>
      </c>
      <c r="B96" s="76">
        <v>18.74</v>
      </c>
      <c r="C96" s="76">
        <v>0.0</v>
      </c>
      <c r="D96" s="76">
        <v>8.96</v>
      </c>
      <c r="E96" s="76">
        <v>0.7</v>
      </c>
      <c r="F96" s="76">
        <v>0.21</v>
      </c>
      <c r="G96" s="76">
        <v>30.2</v>
      </c>
      <c r="H96" s="76">
        <v>23.64</v>
      </c>
      <c r="I96" s="76">
        <v>8.81</v>
      </c>
      <c r="J96" s="76">
        <v>3.34</v>
      </c>
      <c r="K96" s="76">
        <v>7.35</v>
      </c>
      <c r="L96" s="76">
        <v>4.01</v>
      </c>
      <c r="M96" s="76">
        <v>0.84</v>
      </c>
      <c r="N96" s="76">
        <v>0.79</v>
      </c>
      <c r="O96" s="76">
        <v>2.48</v>
      </c>
      <c r="P96" s="76">
        <v>-0.26</v>
      </c>
      <c r="Q96" s="76">
        <v>1.72</v>
      </c>
      <c r="R96" s="76">
        <v>7.83</v>
      </c>
      <c r="S96" s="76">
        <v>2.31</v>
      </c>
      <c r="T96" s="76">
        <v>6.15</v>
      </c>
      <c r="U96" s="76">
        <v>0.29</v>
      </c>
      <c r="V96" s="76">
        <v>0.71</v>
      </c>
      <c r="W96" s="76">
        <v>0.26</v>
      </c>
      <c r="X96" s="76">
        <v>206.24</v>
      </c>
      <c r="Y96" s="76">
        <v>0.0</v>
      </c>
      <c r="Z96" s="77">
        <v>1.37E8</v>
      </c>
      <c r="AA96" s="76">
        <v>26.7</v>
      </c>
      <c r="AB96" s="76">
        <v>2.09</v>
      </c>
      <c r="AC96" s="76">
        <v>0.1</v>
      </c>
      <c r="AD96" s="79">
        <v>8.705803202E9</v>
      </c>
      <c r="AE96" s="80"/>
    </row>
    <row r="97">
      <c r="A97" s="73" t="s">
        <v>146</v>
      </c>
      <c r="B97" s="76">
        <v>19.2</v>
      </c>
      <c r="C97" s="76">
        <v>9.69</v>
      </c>
      <c r="D97" s="76">
        <v>11.51</v>
      </c>
      <c r="E97" s="76">
        <v>2.57</v>
      </c>
      <c r="F97" s="76">
        <v>0.12</v>
      </c>
      <c r="G97" s="76">
        <v>100.0</v>
      </c>
      <c r="H97" s="76">
        <v>6.59</v>
      </c>
      <c r="I97" s="76">
        <v>54.74</v>
      </c>
      <c r="J97" s="76">
        <v>95.65</v>
      </c>
      <c r="K97" s="76">
        <v>38.15</v>
      </c>
      <c r="L97" s="76">
        <v>-57.51</v>
      </c>
      <c r="M97" s="76">
        <v>-1.55</v>
      </c>
      <c r="N97" s="76">
        <v>6.3</v>
      </c>
      <c r="O97" s="76">
        <v>3.18</v>
      </c>
      <c r="P97" s="76">
        <v>-13.53</v>
      </c>
      <c r="Q97" s="76">
        <v>1.04</v>
      </c>
      <c r="R97" s="76">
        <v>22.35</v>
      </c>
      <c r="S97" s="76">
        <v>1.0</v>
      </c>
      <c r="T97" s="76">
        <v>-0.19</v>
      </c>
      <c r="U97" s="76">
        <v>0.04</v>
      </c>
      <c r="V97" s="76">
        <v>0.96</v>
      </c>
      <c r="W97" s="76">
        <v>0.02</v>
      </c>
      <c r="X97" s="76">
        <v>-23.54</v>
      </c>
      <c r="Y97" s="76">
        <v>14.56</v>
      </c>
      <c r="Z97" s="77">
        <v>7719310.0</v>
      </c>
      <c r="AA97" s="76">
        <v>7.46</v>
      </c>
      <c r="AB97" s="76">
        <v>1.67</v>
      </c>
      <c r="AC97" s="76">
        <v>-1.2</v>
      </c>
      <c r="AD97" s="77">
        <v>2.015917517E9</v>
      </c>
      <c r="AE97" s="78"/>
    </row>
    <row r="98">
      <c r="A98" s="73" t="s">
        <v>147</v>
      </c>
      <c r="B98" s="76">
        <v>0.0</v>
      </c>
      <c r="C98" s="76">
        <v>0.0</v>
      </c>
      <c r="D98" s="76">
        <v>0.0</v>
      </c>
      <c r="E98" s="76">
        <v>0.0</v>
      </c>
      <c r="F98" s="76">
        <v>0.0</v>
      </c>
      <c r="G98" s="76">
        <v>100.0</v>
      </c>
      <c r="H98" s="76">
        <v>6.59</v>
      </c>
      <c r="I98" s="76">
        <v>54.74</v>
      </c>
      <c r="J98" s="76">
        <v>0.0</v>
      </c>
      <c r="K98" s="76">
        <v>38.15</v>
      </c>
      <c r="L98" s="76">
        <v>-57.51</v>
      </c>
      <c r="M98" s="76">
        <v>-1.55</v>
      </c>
      <c r="N98" s="76">
        <v>0.0</v>
      </c>
      <c r="O98" s="76">
        <v>0.0</v>
      </c>
      <c r="P98" s="76">
        <v>0.0</v>
      </c>
      <c r="Q98" s="76">
        <v>1.04</v>
      </c>
      <c r="R98" s="76">
        <v>22.35</v>
      </c>
      <c r="S98" s="76">
        <v>1.0</v>
      </c>
      <c r="T98" s="76">
        <v>-0.19</v>
      </c>
      <c r="U98" s="76">
        <v>0.04</v>
      </c>
      <c r="V98" s="76">
        <v>0.96</v>
      </c>
      <c r="W98" s="76">
        <v>0.02</v>
      </c>
      <c r="X98" s="76">
        <v>-23.54</v>
      </c>
      <c r="Y98" s="76">
        <v>14.56</v>
      </c>
      <c r="Z98" s="77">
        <v>0.0</v>
      </c>
      <c r="AA98" s="76">
        <v>2.49</v>
      </c>
      <c r="AB98" s="76">
        <v>0.56</v>
      </c>
      <c r="AC98" s="76">
        <v>0.0</v>
      </c>
      <c r="AD98" s="77">
        <v>2.015917517E9</v>
      </c>
      <c r="AE98" s="78"/>
    </row>
    <row r="99">
      <c r="A99" s="73" t="s">
        <v>148</v>
      </c>
      <c r="B99" s="76">
        <v>0.0</v>
      </c>
      <c r="C99" s="76">
        <v>0.0</v>
      </c>
      <c r="D99" s="76">
        <v>0.0</v>
      </c>
      <c r="E99" s="76">
        <v>0.0</v>
      </c>
      <c r="F99" s="76">
        <v>0.0</v>
      </c>
      <c r="G99" s="76">
        <v>100.0</v>
      </c>
      <c r="H99" s="76">
        <v>6.59</v>
      </c>
      <c r="I99" s="76">
        <v>54.74</v>
      </c>
      <c r="J99" s="76">
        <v>0.0</v>
      </c>
      <c r="K99" s="76">
        <v>38.15</v>
      </c>
      <c r="L99" s="76">
        <v>-57.51</v>
      </c>
      <c r="M99" s="76">
        <v>-1.55</v>
      </c>
      <c r="N99" s="76">
        <v>0.0</v>
      </c>
      <c r="O99" s="76">
        <v>0.0</v>
      </c>
      <c r="P99" s="76">
        <v>0.0</v>
      </c>
      <c r="Q99" s="76">
        <v>1.04</v>
      </c>
      <c r="R99" s="76">
        <v>22.35</v>
      </c>
      <c r="S99" s="76">
        <v>1.0</v>
      </c>
      <c r="T99" s="76">
        <v>-0.19</v>
      </c>
      <c r="U99" s="76">
        <v>0.04</v>
      </c>
      <c r="V99" s="76">
        <v>0.96</v>
      </c>
      <c r="W99" s="76">
        <v>0.02</v>
      </c>
      <c r="X99" s="76">
        <v>-23.54</v>
      </c>
      <c r="Y99" s="76">
        <v>14.56</v>
      </c>
      <c r="Z99" s="77">
        <v>0.0</v>
      </c>
      <c r="AA99" s="76">
        <v>2.49</v>
      </c>
      <c r="AB99" s="76">
        <v>0.56</v>
      </c>
      <c r="AC99" s="76">
        <v>0.0</v>
      </c>
      <c r="AD99" s="77">
        <v>2.015917517E9</v>
      </c>
      <c r="AE99" s="78"/>
    </row>
    <row r="100">
      <c r="A100" s="73" t="s">
        <v>149</v>
      </c>
      <c r="B100" s="76">
        <v>17.95</v>
      </c>
      <c r="C100" s="76">
        <v>11.62</v>
      </c>
      <c r="D100" s="76">
        <v>8.49</v>
      </c>
      <c r="E100" s="76">
        <v>2.03</v>
      </c>
      <c r="F100" s="76">
        <v>0.44</v>
      </c>
      <c r="G100" s="76">
        <v>25.68</v>
      </c>
      <c r="H100" s="76">
        <v>10.73</v>
      </c>
      <c r="I100" s="76">
        <v>5.19</v>
      </c>
      <c r="J100" s="76">
        <v>4.11</v>
      </c>
      <c r="K100" s="76">
        <v>5.32</v>
      </c>
      <c r="L100" s="76">
        <v>1.21</v>
      </c>
      <c r="M100" s="76">
        <v>0.6</v>
      </c>
      <c r="N100" s="76">
        <v>0.44</v>
      </c>
      <c r="O100" s="76">
        <v>3.6</v>
      </c>
      <c r="P100" s="76">
        <v>-0.89</v>
      </c>
      <c r="Q100" s="76">
        <v>1.33</v>
      </c>
      <c r="R100" s="76">
        <v>23.9</v>
      </c>
      <c r="S100" s="76">
        <v>5.24</v>
      </c>
      <c r="T100" s="76">
        <v>13.44</v>
      </c>
      <c r="U100" s="76">
        <v>0.22</v>
      </c>
      <c r="V100" s="76">
        <v>0.76</v>
      </c>
      <c r="W100" s="76">
        <v>1.01</v>
      </c>
      <c r="X100" s="76">
        <v>12.91</v>
      </c>
      <c r="Y100" s="76">
        <v>62.44</v>
      </c>
      <c r="Z100" s="77">
        <v>3.78E8</v>
      </c>
      <c r="AA100" s="76">
        <v>8.85</v>
      </c>
      <c r="AB100" s="76">
        <v>2.11</v>
      </c>
      <c r="AC100" s="76">
        <v>2.85</v>
      </c>
      <c r="AD100" s="77">
        <v>2.8579854639E10</v>
      </c>
      <c r="AE100" s="78"/>
    </row>
    <row r="101">
      <c r="A101" s="73" t="s">
        <v>150</v>
      </c>
      <c r="B101" s="76">
        <v>13.18</v>
      </c>
      <c r="C101" s="76">
        <v>0.0</v>
      </c>
      <c r="D101" s="76">
        <v>33.11</v>
      </c>
      <c r="E101" s="76">
        <v>0.52</v>
      </c>
      <c r="F101" s="76">
        <v>0.32</v>
      </c>
      <c r="G101" s="76">
        <v>-4115.33</v>
      </c>
      <c r="H101" s="76">
        <v>-798.17</v>
      </c>
      <c r="I101" s="76">
        <v>824.67</v>
      </c>
      <c r="J101" s="76">
        <v>-34.21</v>
      </c>
      <c r="K101" s="76">
        <v>21.81</v>
      </c>
      <c r="L101" s="76">
        <v>56.17</v>
      </c>
      <c r="M101" s="76">
        <v>-0.85</v>
      </c>
      <c r="N101" s="76">
        <v>273.04</v>
      </c>
      <c r="O101" s="77">
        <v>0.85</v>
      </c>
      <c r="P101" s="77">
        <v>-0.75</v>
      </c>
      <c r="Q101" s="76">
        <v>3.06</v>
      </c>
      <c r="R101" s="76">
        <v>1.56</v>
      </c>
      <c r="S101" s="76">
        <v>0.98</v>
      </c>
      <c r="T101" s="76">
        <v>-2.91</v>
      </c>
      <c r="U101" s="76">
        <v>0.63</v>
      </c>
      <c r="V101" s="76">
        <v>0.37</v>
      </c>
      <c r="W101" s="76">
        <v>0.0</v>
      </c>
      <c r="X101" s="76">
        <v>-32.83</v>
      </c>
      <c r="Y101" s="76">
        <v>-11.18</v>
      </c>
      <c r="Z101" s="77">
        <v>0.0</v>
      </c>
      <c r="AA101" s="76">
        <v>25.56</v>
      </c>
      <c r="AB101" s="76">
        <v>0.4</v>
      </c>
      <c r="AC101" s="76">
        <v>-0.51</v>
      </c>
      <c r="AD101" s="77">
        <v>9.749403935E8</v>
      </c>
      <c r="AE101" s="78"/>
    </row>
    <row r="102">
      <c r="A102" s="73" t="s">
        <v>151</v>
      </c>
      <c r="B102" s="76">
        <v>13.47</v>
      </c>
      <c r="C102" s="76">
        <v>0.0</v>
      </c>
      <c r="D102" s="76">
        <v>33.84</v>
      </c>
      <c r="E102" s="76">
        <v>0.53</v>
      </c>
      <c r="F102" s="76">
        <v>0.33</v>
      </c>
      <c r="G102" s="76">
        <v>-4115.33</v>
      </c>
      <c r="H102" s="76">
        <v>-798.17</v>
      </c>
      <c r="I102" s="76">
        <v>824.67</v>
      </c>
      <c r="J102" s="76">
        <v>-34.96</v>
      </c>
      <c r="K102" s="76">
        <v>21.81</v>
      </c>
      <c r="L102" s="76">
        <v>56.17</v>
      </c>
      <c r="M102" s="76">
        <v>-0.85</v>
      </c>
      <c r="N102" s="76">
        <v>279.05</v>
      </c>
      <c r="O102" s="76">
        <v>0.87</v>
      </c>
      <c r="P102" s="76">
        <v>-0.77</v>
      </c>
      <c r="Q102" s="76">
        <v>3.06</v>
      </c>
      <c r="R102" s="76">
        <v>1.56</v>
      </c>
      <c r="S102" s="76">
        <v>0.98</v>
      </c>
      <c r="T102" s="76">
        <v>-2.91</v>
      </c>
      <c r="U102" s="76">
        <v>0.63</v>
      </c>
      <c r="V102" s="76">
        <v>0.37</v>
      </c>
      <c r="W102" s="76">
        <v>0.0</v>
      </c>
      <c r="X102" s="76">
        <v>-32.83</v>
      </c>
      <c r="Y102" s="76">
        <v>-11.18</v>
      </c>
      <c r="Z102" s="77">
        <v>0.0</v>
      </c>
      <c r="AA102" s="76">
        <v>25.56</v>
      </c>
      <c r="AB102" s="76">
        <v>0.4</v>
      </c>
      <c r="AC102" s="76">
        <v>-0.52</v>
      </c>
      <c r="AD102" s="77">
        <v>9.749403935E8</v>
      </c>
      <c r="AE102" s="78"/>
    </row>
    <row r="103">
      <c r="A103" s="73" t="s">
        <v>152</v>
      </c>
      <c r="B103" s="76">
        <v>13.5</v>
      </c>
      <c r="C103" s="76">
        <v>0.0</v>
      </c>
      <c r="D103" s="76">
        <v>33.91</v>
      </c>
      <c r="E103" s="76">
        <v>0.53</v>
      </c>
      <c r="F103" s="76">
        <v>0.33</v>
      </c>
      <c r="G103" s="76">
        <v>-4115.33</v>
      </c>
      <c r="H103" s="76">
        <v>-798.17</v>
      </c>
      <c r="I103" s="76">
        <v>824.67</v>
      </c>
      <c r="J103" s="76">
        <v>-35.04</v>
      </c>
      <c r="K103" s="76">
        <v>21.81</v>
      </c>
      <c r="L103" s="76">
        <v>56.17</v>
      </c>
      <c r="M103" s="76">
        <v>-0.85</v>
      </c>
      <c r="N103" s="76">
        <v>279.67</v>
      </c>
      <c r="O103" s="76">
        <v>0.87</v>
      </c>
      <c r="P103" s="76">
        <v>-0.77</v>
      </c>
      <c r="Q103" s="76">
        <v>3.06</v>
      </c>
      <c r="R103" s="76">
        <v>1.56</v>
      </c>
      <c r="S103" s="76">
        <v>0.98</v>
      </c>
      <c r="T103" s="76">
        <v>-2.91</v>
      </c>
      <c r="U103" s="76">
        <v>0.63</v>
      </c>
      <c r="V103" s="76">
        <v>0.37</v>
      </c>
      <c r="W103" s="76">
        <v>0.0</v>
      </c>
      <c r="X103" s="76">
        <v>-32.83</v>
      </c>
      <c r="Y103" s="76">
        <v>-11.18</v>
      </c>
      <c r="Z103" s="77">
        <v>0.0</v>
      </c>
      <c r="AA103" s="76">
        <v>25.56</v>
      </c>
      <c r="AB103" s="76">
        <v>0.4</v>
      </c>
      <c r="AC103" s="76">
        <v>-0.52</v>
      </c>
      <c r="AD103" s="77">
        <v>9.749403935E8</v>
      </c>
      <c r="AE103" s="78"/>
    </row>
    <row r="104">
      <c r="A104" s="73" t="s">
        <v>153</v>
      </c>
      <c r="B104" s="76">
        <v>13.18</v>
      </c>
      <c r="C104" s="76">
        <v>0.0</v>
      </c>
      <c r="D104" s="76">
        <v>33.11</v>
      </c>
      <c r="E104" s="76">
        <v>0.52</v>
      </c>
      <c r="F104" s="76">
        <v>0.32</v>
      </c>
      <c r="G104" s="76">
        <v>-4115.33</v>
      </c>
      <c r="H104" s="76">
        <v>-798.17</v>
      </c>
      <c r="I104" s="76">
        <v>824.67</v>
      </c>
      <c r="J104" s="76">
        <v>-34.21</v>
      </c>
      <c r="K104" s="76">
        <v>21.81</v>
      </c>
      <c r="L104" s="76">
        <v>56.17</v>
      </c>
      <c r="M104" s="76">
        <v>-0.85</v>
      </c>
      <c r="N104" s="76">
        <v>273.04</v>
      </c>
      <c r="O104" s="76">
        <v>0.85</v>
      </c>
      <c r="P104" s="76">
        <v>-0.75</v>
      </c>
      <c r="Q104" s="76">
        <v>3.06</v>
      </c>
      <c r="R104" s="76">
        <v>1.56</v>
      </c>
      <c r="S104" s="76">
        <v>0.98</v>
      </c>
      <c r="T104" s="76">
        <v>-2.91</v>
      </c>
      <c r="U104" s="76">
        <v>0.63</v>
      </c>
      <c r="V104" s="76">
        <v>0.37</v>
      </c>
      <c r="W104" s="76">
        <v>0.0</v>
      </c>
      <c r="X104" s="76">
        <v>-32.83</v>
      </c>
      <c r="Y104" s="76">
        <v>-11.18</v>
      </c>
      <c r="Z104" s="77">
        <v>0.0</v>
      </c>
      <c r="AA104" s="76">
        <v>25.56</v>
      </c>
      <c r="AB104" s="76">
        <v>0.4</v>
      </c>
      <c r="AC104" s="76">
        <v>-0.51</v>
      </c>
      <c r="AD104" s="77">
        <v>9.749403935E8</v>
      </c>
      <c r="AE104" s="78"/>
    </row>
    <row r="105">
      <c r="A105" s="73" t="s">
        <v>154</v>
      </c>
      <c r="B105" s="76">
        <v>12.92</v>
      </c>
      <c r="C105" s="76">
        <v>0.0</v>
      </c>
      <c r="D105" s="76">
        <v>32.46</v>
      </c>
      <c r="E105" s="76">
        <v>0.51</v>
      </c>
      <c r="F105" s="76">
        <v>0.32</v>
      </c>
      <c r="G105" s="76">
        <v>-4115.33</v>
      </c>
      <c r="H105" s="76">
        <v>-798.17</v>
      </c>
      <c r="I105" s="76">
        <v>824.67</v>
      </c>
      <c r="J105" s="76">
        <v>-33.53</v>
      </c>
      <c r="K105" s="76">
        <v>21.81</v>
      </c>
      <c r="L105" s="76">
        <v>56.17</v>
      </c>
      <c r="M105" s="76">
        <v>-0.85</v>
      </c>
      <c r="N105" s="76">
        <v>267.65</v>
      </c>
      <c r="O105" s="76">
        <v>0.83</v>
      </c>
      <c r="P105" s="76">
        <v>-0.74</v>
      </c>
      <c r="Q105" s="76">
        <v>3.06</v>
      </c>
      <c r="R105" s="76">
        <v>1.56</v>
      </c>
      <c r="S105" s="76">
        <v>0.98</v>
      </c>
      <c r="T105" s="76">
        <v>-2.91</v>
      </c>
      <c r="U105" s="76">
        <v>0.63</v>
      </c>
      <c r="V105" s="76">
        <v>0.37</v>
      </c>
      <c r="W105" s="76">
        <v>0.0</v>
      </c>
      <c r="X105" s="76">
        <v>-32.83</v>
      </c>
      <c r="Y105" s="76">
        <v>-11.18</v>
      </c>
      <c r="Z105" s="77">
        <v>0.0</v>
      </c>
      <c r="AA105" s="76">
        <v>25.56</v>
      </c>
      <c r="AB105" s="76">
        <v>0.4</v>
      </c>
      <c r="AC105" s="76">
        <v>-0.5</v>
      </c>
      <c r="AD105" s="77">
        <v>9.749403935E8</v>
      </c>
      <c r="AE105" s="78"/>
    </row>
    <row r="106">
      <c r="A106" s="73" t="s">
        <v>155</v>
      </c>
      <c r="B106" s="76">
        <v>13.07</v>
      </c>
      <c r="C106" s="76">
        <v>0.0</v>
      </c>
      <c r="D106" s="76">
        <v>32.83</v>
      </c>
      <c r="E106" s="76">
        <v>0.51</v>
      </c>
      <c r="F106" s="76">
        <v>0.32</v>
      </c>
      <c r="G106" s="76">
        <v>-4115.33</v>
      </c>
      <c r="H106" s="76">
        <v>-798.17</v>
      </c>
      <c r="I106" s="76">
        <v>824.67</v>
      </c>
      <c r="J106" s="76">
        <v>-33.92</v>
      </c>
      <c r="K106" s="76">
        <v>21.81</v>
      </c>
      <c r="L106" s="76">
        <v>56.17</v>
      </c>
      <c r="M106" s="76">
        <v>-0.85</v>
      </c>
      <c r="N106" s="76">
        <v>270.76</v>
      </c>
      <c r="O106" s="76">
        <v>0.84</v>
      </c>
      <c r="P106" s="76">
        <v>-0.74</v>
      </c>
      <c r="Q106" s="76">
        <v>3.06</v>
      </c>
      <c r="R106" s="76">
        <v>1.56</v>
      </c>
      <c r="S106" s="76">
        <v>0.98</v>
      </c>
      <c r="T106" s="76">
        <v>-2.91</v>
      </c>
      <c r="U106" s="76">
        <v>0.63</v>
      </c>
      <c r="V106" s="76">
        <v>0.37</v>
      </c>
      <c r="W106" s="76">
        <v>0.0</v>
      </c>
      <c r="X106" s="76">
        <v>-32.83</v>
      </c>
      <c r="Y106" s="76">
        <v>-11.18</v>
      </c>
      <c r="Z106" s="77">
        <v>0.0</v>
      </c>
      <c r="AA106" s="76">
        <v>25.56</v>
      </c>
      <c r="AB106" s="76">
        <v>0.4</v>
      </c>
      <c r="AC106" s="76">
        <v>-0.5</v>
      </c>
      <c r="AD106" s="77">
        <v>9.749403935E8</v>
      </c>
      <c r="AE106" s="78"/>
    </row>
    <row r="107">
      <c r="A107" s="73" t="s">
        <v>156</v>
      </c>
      <c r="B107" s="76">
        <v>13.17</v>
      </c>
      <c r="C107" s="76">
        <v>0.0</v>
      </c>
      <c r="D107" s="76">
        <v>33.08</v>
      </c>
      <c r="E107" s="76">
        <v>0.52</v>
      </c>
      <c r="F107" s="76">
        <v>0.32</v>
      </c>
      <c r="G107" s="76">
        <v>-4115.33</v>
      </c>
      <c r="H107" s="76">
        <v>-798.17</v>
      </c>
      <c r="I107" s="76">
        <v>824.67</v>
      </c>
      <c r="J107" s="76">
        <v>-34.18</v>
      </c>
      <c r="K107" s="76">
        <v>21.81</v>
      </c>
      <c r="L107" s="76">
        <v>56.17</v>
      </c>
      <c r="M107" s="76">
        <v>-0.85</v>
      </c>
      <c r="N107" s="76">
        <v>272.83</v>
      </c>
      <c r="O107" s="76">
        <v>0.85</v>
      </c>
      <c r="P107" s="76">
        <v>-0.75</v>
      </c>
      <c r="Q107" s="76">
        <v>3.06</v>
      </c>
      <c r="R107" s="76">
        <v>1.56</v>
      </c>
      <c r="S107" s="76">
        <v>0.98</v>
      </c>
      <c r="T107" s="76">
        <v>-2.91</v>
      </c>
      <c r="U107" s="76">
        <v>0.63</v>
      </c>
      <c r="V107" s="76">
        <v>0.37</v>
      </c>
      <c r="W107" s="76">
        <v>0.0</v>
      </c>
      <c r="X107" s="76">
        <v>-32.83</v>
      </c>
      <c r="Y107" s="76">
        <v>-11.18</v>
      </c>
      <c r="Z107" s="77">
        <v>0.0</v>
      </c>
      <c r="AA107" s="76">
        <v>25.56</v>
      </c>
      <c r="AB107" s="76">
        <v>0.4</v>
      </c>
      <c r="AC107" s="76">
        <v>-0.51</v>
      </c>
      <c r="AD107" s="77">
        <v>9.749403935E8</v>
      </c>
      <c r="AE107" s="78"/>
    </row>
    <row r="108">
      <c r="A108" s="73" t="s">
        <v>157</v>
      </c>
      <c r="B108" s="76">
        <v>12.86</v>
      </c>
      <c r="C108" s="76">
        <v>0.0</v>
      </c>
      <c r="D108" s="76">
        <v>388.74</v>
      </c>
      <c r="E108" s="76">
        <v>0.67</v>
      </c>
      <c r="F108" s="76">
        <v>0.04</v>
      </c>
      <c r="G108" s="76">
        <v>12.7</v>
      </c>
      <c r="H108" s="76">
        <v>-0.94</v>
      </c>
      <c r="I108" s="76">
        <v>0.09</v>
      </c>
      <c r="J108" s="76">
        <v>-37.4</v>
      </c>
      <c r="K108" s="76">
        <v>-37.03</v>
      </c>
      <c r="L108" s="76">
        <v>0.0</v>
      </c>
      <c r="M108" s="76">
        <v>0.0</v>
      </c>
      <c r="N108" s="76">
        <v>0.35</v>
      </c>
      <c r="O108" s="76">
        <v>2.19</v>
      </c>
      <c r="P108" s="76">
        <v>-0.04</v>
      </c>
      <c r="Q108" s="76">
        <v>4.0</v>
      </c>
      <c r="R108" s="76">
        <v>0.17</v>
      </c>
      <c r="S108" s="76">
        <v>0.01</v>
      </c>
      <c r="T108" s="76">
        <v>0.0</v>
      </c>
      <c r="U108" s="76">
        <v>0.06</v>
      </c>
      <c r="V108" s="76">
        <v>0.94</v>
      </c>
      <c r="W108" s="76">
        <v>0.12</v>
      </c>
      <c r="X108" s="76">
        <v>29.48</v>
      </c>
      <c r="Y108" s="76">
        <v>-43.98</v>
      </c>
      <c r="Z108" s="77">
        <v>0.0</v>
      </c>
      <c r="AA108" s="76">
        <v>19.32</v>
      </c>
      <c r="AB108" s="76">
        <v>0.03</v>
      </c>
      <c r="AC108" s="76">
        <v>-3.98</v>
      </c>
      <c r="AD108" s="77">
        <v>1.128165605E9</v>
      </c>
      <c r="AE108" s="78"/>
    </row>
    <row r="109">
      <c r="A109" s="73" t="s">
        <v>158</v>
      </c>
      <c r="B109" s="77">
        <v>12.54</v>
      </c>
      <c r="C109" s="76">
        <v>0.0</v>
      </c>
      <c r="D109" s="77">
        <v>379.07</v>
      </c>
      <c r="E109" s="77">
        <v>0.65</v>
      </c>
      <c r="F109" s="77">
        <v>0.04</v>
      </c>
      <c r="G109" s="76">
        <v>12.7</v>
      </c>
      <c r="H109" s="76">
        <v>-0.94</v>
      </c>
      <c r="I109" s="76">
        <v>0.09</v>
      </c>
      <c r="J109" s="77">
        <v>-36.47</v>
      </c>
      <c r="K109" s="76">
        <v>-37.03</v>
      </c>
      <c r="L109" s="76">
        <v>0.0</v>
      </c>
      <c r="M109" s="76">
        <v>0.0</v>
      </c>
      <c r="N109" s="76">
        <v>0.34</v>
      </c>
      <c r="O109" s="77">
        <v>2.14</v>
      </c>
      <c r="P109" s="77">
        <v>-0.04</v>
      </c>
      <c r="Q109" s="76">
        <v>4.0</v>
      </c>
      <c r="R109" s="76">
        <v>0.17</v>
      </c>
      <c r="S109" s="76">
        <v>0.01</v>
      </c>
      <c r="T109" s="76">
        <v>0.0</v>
      </c>
      <c r="U109" s="76">
        <v>0.06</v>
      </c>
      <c r="V109" s="76">
        <v>0.94</v>
      </c>
      <c r="W109" s="76">
        <v>0.12</v>
      </c>
      <c r="X109" s="76">
        <v>29.48</v>
      </c>
      <c r="Y109" s="76">
        <v>-43.98</v>
      </c>
      <c r="Z109" s="77">
        <v>0.0</v>
      </c>
      <c r="AA109" s="76">
        <v>19.32</v>
      </c>
      <c r="AB109" s="76">
        <v>0.03</v>
      </c>
      <c r="AC109" s="76">
        <v>-3.89</v>
      </c>
      <c r="AD109" s="77">
        <v>1.128165605E9</v>
      </c>
      <c r="AE109" s="78"/>
    </row>
    <row r="110">
      <c r="A110" s="73" t="s">
        <v>159</v>
      </c>
      <c r="B110" s="76">
        <v>9.36</v>
      </c>
      <c r="C110" s="76">
        <v>0.0</v>
      </c>
      <c r="D110" s="76">
        <v>-1.57</v>
      </c>
      <c r="E110" s="76">
        <v>-2.11</v>
      </c>
      <c r="F110" s="76">
        <v>0.09</v>
      </c>
      <c r="G110" s="76">
        <v>4.41</v>
      </c>
      <c r="H110" s="76">
        <v>-5.41</v>
      </c>
      <c r="I110" s="76">
        <v>-6.44</v>
      </c>
      <c r="J110" s="76">
        <v>-1.87</v>
      </c>
      <c r="K110" s="76">
        <v>-11.27</v>
      </c>
      <c r="L110" s="76">
        <v>-9.35</v>
      </c>
      <c r="M110" s="76">
        <v>0.0</v>
      </c>
      <c r="N110" s="76">
        <v>0.1</v>
      </c>
      <c r="O110" s="76">
        <v>1.9</v>
      </c>
      <c r="P110" s="76">
        <v>-0.12</v>
      </c>
      <c r="Q110" s="76">
        <v>1.18</v>
      </c>
      <c r="R110" s="76">
        <v>-134.56</v>
      </c>
      <c r="S110" s="76">
        <v>-5.44</v>
      </c>
      <c r="T110" s="76">
        <v>-21.87</v>
      </c>
      <c r="U110" s="76">
        <v>-0.04</v>
      </c>
      <c r="V110" s="76">
        <v>1.04</v>
      </c>
      <c r="W110" s="76">
        <v>0.84</v>
      </c>
      <c r="X110" s="76">
        <v>8.15</v>
      </c>
      <c r="Y110" s="76">
        <v>0.0</v>
      </c>
      <c r="Z110" s="77">
        <v>453130.5</v>
      </c>
      <c r="AA110" s="76">
        <v>-4.43</v>
      </c>
      <c r="AB110" s="76">
        <v>-5.96</v>
      </c>
      <c r="AC110" s="76">
        <v>0.04</v>
      </c>
      <c r="AD110" s="77">
        <v>7.669188835E9</v>
      </c>
      <c r="AE110" s="78"/>
    </row>
    <row r="111">
      <c r="A111" s="73" t="s">
        <v>160</v>
      </c>
      <c r="B111" s="76">
        <v>9.96</v>
      </c>
      <c r="C111" s="76">
        <v>0.0</v>
      </c>
      <c r="D111" s="76">
        <v>-1.67</v>
      </c>
      <c r="E111" s="76">
        <v>-2.25</v>
      </c>
      <c r="F111" s="76">
        <v>0.09</v>
      </c>
      <c r="G111" s="76">
        <v>4.41</v>
      </c>
      <c r="H111" s="77">
        <v>-5.41</v>
      </c>
      <c r="I111" s="77">
        <v>-6.44</v>
      </c>
      <c r="J111" s="76">
        <v>-1.99</v>
      </c>
      <c r="K111" s="76">
        <v>-11.27</v>
      </c>
      <c r="L111" s="76">
        <v>-9.35</v>
      </c>
      <c r="M111" s="76">
        <v>0.0</v>
      </c>
      <c r="N111" s="77">
        <v>0.11</v>
      </c>
      <c r="O111" s="76">
        <v>2.03</v>
      </c>
      <c r="P111" s="76">
        <v>-0.13</v>
      </c>
      <c r="Q111" s="76">
        <v>1.18</v>
      </c>
      <c r="R111" s="76">
        <v>-134.56</v>
      </c>
      <c r="S111" s="76">
        <v>-5.44</v>
      </c>
      <c r="T111" s="76">
        <v>-21.87</v>
      </c>
      <c r="U111" s="76">
        <v>-0.04</v>
      </c>
      <c r="V111" s="76">
        <v>1.04</v>
      </c>
      <c r="W111" s="76">
        <v>0.84</v>
      </c>
      <c r="X111" s="76">
        <v>8.15</v>
      </c>
      <c r="Y111" s="76">
        <v>0.0</v>
      </c>
      <c r="Z111" s="77">
        <v>4.1769222E7</v>
      </c>
      <c r="AA111" s="76">
        <v>-4.43</v>
      </c>
      <c r="AB111" s="76">
        <v>-5.96</v>
      </c>
      <c r="AC111" s="76">
        <v>0.04</v>
      </c>
      <c r="AD111" s="77">
        <v>7.669188835E9</v>
      </c>
      <c r="AE111" s="78"/>
    </row>
    <row r="112">
      <c r="A112" s="73" t="s">
        <v>161</v>
      </c>
      <c r="B112" s="76">
        <v>8.4</v>
      </c>
      <c r="C112" s="76">
        <v>0.0</v>
      </c>
      <c r="D112" s="76">
        <v>-1.41</v>
      </c>
      <c r="E112" s="76">
        <v>-1.9</v>
      </c>
      <c r="F112" s="76">
        <v>0.08</v>
      </c>
      <c r="G112" s="76">
        <v>4.41</v>
      </c>
      <c r="H112" s="76">
        <v>-5.41</v>
      </c>
      <c r="I112" s="76">
        <v>-6.44</v>
      </c>
      <c r="J112" s="76">
        <v>-1.68</v>
      </c>
      <c r="K112" s="76">
        <v>-11.27</v>
      </c>
      <c r="L112" s="76">
        <v>-9.35</v>
      </c>
      <c r="M112" s="76">
        <v>0.0</v>
      </c>
      <c r="N112" s="76">
        <v>0.09</v>
      </c>
      <c r="O112" s="76">
        <v>1.71</v>
      </c>
      <c r="P112" s="76">
        <v>-0.11</v>
      </c>
      <c r="Q112" s="76">
        <v>1.18</v>
      </c>
      <c r="R112" s="76">
        <v>-134.56</v>
      </c>
      <c r="S112" s="76">
        <v>-5.44</v>
      </c>
      <c r="T112" s="76">
        <v>-21.87</v>
      </c>
      <c r="U112" s="76">
        <v>-0.04</v>
      </c>
      <c r="V112" s="76">
        <v>1.04</v>
      </c>
      <c r="W112" s="76">
        <v>0.84</v>
      </c>
      <c r="X112" s="76">
        <v>8.15</v>
      </c>
      <c r="Y112" s="76">
        <v>0.0</v>
      </c>
      <c r="Z112" s="77">
        <v>1401.5</v>
      </c>
      <c r="AA112" s="76">
        <v>-4.43</v>
      </c>
      <c r="AB112" s="76">
        <v>-5.96</v>
      </c>
      <c r="AC112" s="76">
        <v>0.04</v>
      </c>
      <c r="AD112" s="77">
        <v>7.669188835E9</v>
      </c>
      <c r="AE112" s="78"/>
    </row>
    <row r="113">
      <c r="A113" s="73" t="s">
        <v>162</v>
      </c>
      <c r="B113" s="76">
        <v>8.26</v>
      </c>
      <c r="C113" s="76">
        <v>0.0</v>
      </c>
      <c r="D113" s="76">
        <v>12.56</v>
      </c>
      <c r="E113" s="76">
        <v>0.57</v>
      </c>
      <c r="F113" s="76">
        <v>0.34</v>
      </c>
      <c r="G113" s="76">
        <v>89.0</v>
      </c>
      <c r="H113" s="76">
        <v>65.8</v>
      </c>
      <c r="I113" s="76">
        <v>32.9</v>
      </c>
      <c r="J113" s="76">
        <v>6.28</v>
      </c>
      <c r="K113" s="76">
        <v>8.08</v>
      </c>
      <c r="L113" s="76">
        <v>1.8</v>
      </c>
      <c r="M113" s="76">
        <v>0.16</v>
      </c>
      <c r="N113" s="76">
        <v>4.13</v>
      </c>
      <c r="O113" s="76">
        <v>6.6</v>
      </c>
      <c r="P113" s="76">
        <v>-0.37</v>
      </c>
      <c r="Q113" s="76">
        <v>2.42</v>
      </c>
      <c r="R113" s="76">
        <v>4.53</v>
      </c>
      <c r="S113" s="76">
        <v>2.71</v>
      </c>
      <c r="T113" s="76">
        <v>6.98</v>
      </c>
      <c r="U113" s="76">
        <v>0.6</v>
      </c>
      <c r="V113" s="76">
        <v>0.4</v>
      </c>
      <c r="W113" s="76">
        <v>0.08</v>
      </c>
      <c r="X113" s="76">
        <v>4.55</v>
      </c>
      <c r="Y113" s="76">
        <v>-15.44</v>
      </c>
      <c r="Z113" s="77">
        <v>0.0</v>
      </c>
      <c r="AA113" s="76">
        <v>14.53</v>
      </c>
      <c r="AB113" s="76">
        <v>0.66</v>
      </c>
      <c r="AC113" s="76">
        <v>-0.16</v>
      </c>
      <c r="AD113" s="77">
        <v>6.77089128E9</v>
      </c>
      <c r="AE113" s="78"/>
    </row>
    <row r="114">
      <c r="A114" s="73" t="s">
        <v>163</v>
      </c>
      <c r="B114" s="76">
        <v>131.17</v>
      </c>
      <c r="C114" s="76">
        <v>0.0</v>
      </c>
      <c r="D114" s="76">
        <v>-0.56</v>
      </c>
      <c r="E114" s="76">
        <v>0.05</v>
      </c>
      <c r="F114" s="76">
        <v>0.04</v>
      </c>
      <c r="G114" s="76">
        <v>100.0</v>
      </c>
      <c r="H114" s="76">
        <v>-336.36</v>
      </c>
      <c r="I114" s="76">
        <v>-123.98</v>
      </c>
      <c r="J114" s="76">
        <v>-0.21</v>
      </c>
      <c r="K114" s="76">
        <v>0.06</v>
      </c>
      <c r="L114" s="76">
        <v>0.27</v>
      </c>
      <c r="M114" s="76">
        <v>-0.07</v>
      </c>
      <c r="N114" s="76">
        <v>0.7</v>
      </c>
      <c r="O114" s="76">
        <v>1.73</v>
      </c>
      <c r="P114" s="76">
        <v>-0.05</v>
      </c>
      <c r="Q114" s="76">
        <v>1.12</v>
      </c>
      <c r="R114" s="76">
        <v>-9.55</v>
      </c>
      <c r="S114" s="76">
        <v>-6.86</v>
      </c>
      <c r="T114" s="76">
        <v>-31.25</v>
      </c>
      <c r="U114" s="76">
        <v>0.72</v>
      </c>
      <c r="V114" s="76">
        <v>0.28</v>
      </c>
      <c r="W114" s="76">
        <v>0.06</v>
      </c>
      <c r="X114" s="76">
        <v>-7.12</v>
      </c>
      <c r="Y114" s="76">
        <v>0.0</v>
      </c>
      <c r="Z114" s="77">
        <v>0.0</v>
      </c>
      <c r="AA114" s="76">
        <v>2447.95</v>
      </c>
      <c r="AB114" s="76">
        <v>-233.75</v>
      </c>
      <c r="AC114" s="76">
        <v>0.01</v>
      </c>
      <c r="AD114" s="77">
        <v>6.091954544E7</v>
      </c>
      <c r="AE114" s="78"/>
    </row>
    <row r="115">
      <c r="A115" s="73" t="s">
        <v>164</v>
      </c>
      <c r="B115" s="76">
        <v>0.0</v>
      </c>
      <c r="C115" s="76">
        <v>0.0</v>
      </c>
      <c r="D115" s="76">
        <v>0.0</v>
      </c>
      <c r="E115" s="76">
        <v>0.0</v>
      </c>
      <c r="F115" s="76">
        <v>0.0</v>
      </c>
      <c r="G115" s="76">
        <v>36.45</v>
      </c>
      <c r="H115" s="77">
        <v>14.51</v>
      </c>
      <c r="I115" s="77">
        <v>11.33</v>
      </c>
      <c r="J115" s="76">
        <v>0.0</v>
      </c>
      <c r="K115" s="76">
        <v>-1.27</v>
      </c>
      <c r="L115" s="76">
        <v>-1.27</v>
      </c>
      <c r="M115" s="76">
        <v>-0.42</v>
      </c>
      <c r="N115" s="76">
        <v>0.0</v>
      </c>
      <c r="O115" s="76">
        <v>0.0</v>
      </c>
      <c r="P115" s="76">
        <v>0.0</v>
      </c>
      <c r="Q115" s="76">
        <v>2.91</v>
      </c>
      <c r="R115" s="77">
        <v>25.74</v>
      </c>
      <c r="S115" s="77">
        <v>15.73</v>
      </c>
      <c r="T115" s="77">
        <v>14.0</v>
      </c>
      <c r="U115" s="76">
        <v>0.61</v>
      </c>
      <c r="V115" s="76">
        <v>0.38</v>
      </c>
      <c r="W115" s="76">
        <v>1.39</v>
      </c>
      <c r="X115" s="76">
        <v>6.83</v>
      </c>
      <c r="Y115" s="76">
        <v>17.62</v>
      </c>
      <c r="Z115" s="77">
        <v>0.0</v>
      </c>
      <c r="AA115" s="76">
        <v>1.83</v>
      </c>
      <c r="AB115" s="76">
        <v>0.47</v>
      </c>
      <c r="AC115" s="76">
        <v>0.0</v>
      </c>
      <c r="AD115" s="77">
        <v>0.0</v>
      </c>
      <c r="AE115" s="78"/>
    </row>
    <row r="116">
      <c r="A116" s="73" t="s">
        <v>165</v>
      </c>
      <c r="B116" s="76">
        <v>19.36</v>
      </c>
      <c r="C116" s="76">
        <v>8.28</v>
      </c>
      <c r="D116" s="76">
        <v>6.23</v>
      </c>
      <c r="E116" s="76">
        <v>0.71</v>
      </c>
      <c r="F116" s="76">
        <v>0.05</v>
      </c>
      <c r="G116" s="76">
        <v>29.79</v>
      </c>
      <c r="H116" s="77">
        <v>7.77</v>
      </c>
      <c r="I116" s="77">
        <v>6.14</v>
      </c>
      <c r="J116" s="76">
        <v>4.93</v>
      </c>
      <c r="K116" s="76">
        <v>4.87</v>
      </c>
      <c r="L116" s="76">
        <v>0.0</v>
      </c>
      <c r="M116" s="76">
        <v>0.0</v>
      </c>
      <c r="N116" s="76">
        <v>0.38</v>
      </c>
      <c r="O116" s="76">
        <v>15.89</v>
      </c>
      <c r="P116" s="76">
        <v>-0.05</v>
      </c>
      <c r="Q116" s="76">
        <v>1.31</v>
      </c>
      <c r="R116" s="77">
        <v>11.45</v>
      </c>
      <c r="S116" s="77">
        <v>0.8</v>
      </c>
      <c r="T116" s="77">
        <v>0.0</v>
      </c>
      <c r="U116" s="76">
        <v>0.07</v>
      </c>
      <c r="V116" s="76">
        <v>0.93</v>
      </c>
      <c r="W116" s="76">
        <v>0.13</v>
      </c>
      <c r="X116" s="76">
        <v>15.28</v>
      </c>
      <c r="Y116" s="76">
        <v>0.02</v>
      </c>
      <c r="Z116" s="77">
        <v>200454.0</v>
      </c>
      <c r="AA116" s="76">
        <v>27.14</v>
      </c>
      <c r="AB116" s="76">
        <v>3.11</v>
      </c>
      <c r="AC116" s="76">
        <v>0.11</v>
      </c>
      <c r="AD116" s="79">
        <v>7.823947442E9</v>
      </c>
      <c r="AE116" s="80"/>
    </row>
    <row r="117">
      <c r="A117" s="73" t="s">
        <v>166</v>
      </c>
      <c r="B117" s="76">
        <v>18.73</v>
      </c>
      <c r="C117" s="76">
        <v>10.15</v>
      </c>
      <c r="D117" s="76">
        <v>6.03</v>
      </c>
      <c r="E117" s="76">
        <v>0.69</v>
      </c>
      <c r="F117" s="76">
        <v>0.05</v>
      </c>
      <c r="G117" s="76">
        <v>29.79</v>
      </c>
      <c r="H117" s="77">
        <v>7.77</v>
      </c>
      <c r="I117" s="77">
        <v>6.14</v>
      </c>
      <c r="J117" s="76">
        <v>4.77</v>
      </c>
      <c r="K117" s="76">
        <v>4.87</v>
      </c>
      <c r="L117" s="76">
        <v>0.0</v>
      </c>
      <c r="M117" s="76">
        <v>0.0</v>
      </c>
      <c r="N117" s="77">
        <v>0.37</v>
      </c>
      <c r="O117" s="76">
        <v>15.38</v>
      </c>
      <c r="P117" s="76">
        <v>-0.05</v>
      </c>
      <c r="Q117" s="76">
        <v>1.31</v>
      </c>
      <c r="R117" s="77">
        <v>11.45</v>
      </c>
      <c r="S117" s="77">
        <v>0.8</v>
      </c>
      <c r="T117" s="77">
        <v>0.0</v>
      </c>
      <c r="U117" s="76">
        <v>0.07</v>
      </c>
      <c r="V117" s="76">
        <v>0.93</v>
      </c>
      <c r="W117" s="76">
        <v>0.13</v>
      </c>
      <c r="X117" s="76">
        <v>15.28</v>
      </c>
      <c r="Y117" s="76">
        <v>0.02</v>
      </c>
      <c r="Z117" s="77">
        <v>4641.75</v>
      </c>
      <c r="AA117" s="76">
        <v>27.14</v>
      </c>
      <c r="AB117" s="76">
        <v>3.11</v>
      </c>
      <c r="AC117" s="76">
        <v>0.1</v>
      </c>
      <c r="AD117" s="77">
        <v>7.823947442E9</v>
      </c>
      <c r="AE117" s="78"/>
    </row>
    <row r="118">
      <c r="A118" s="73" t="s">
        <v>167</v>
      </c>
      <c r="B118" s="76">
        <v>18.9</v>
      </c>
      <c r="C118" s="76">
        <v>8.48</v>
      </c>
      <c r="D118" s="76">
        <v>6.08</v>
      </c>
      <c r="E118" s="76">
        <v>0.7</v>
      </c>
      <c r="F118" s="76">
        <v>0.05</v>
      </c>
      <c r="G118" s="76">
        <v>29.79</v>
      </c>
      <c r="H118" s="77">
        <v>7.77</v>
      </c>
      <c r="I118" s="77">
        <v>6.14</v>
      </c>
      <c r="J118" s="76">
        <v>4.81</v>
      </c>
      <c r="K118" s="76">
        <v>4.87</v>
      </c>
      <c r="L118" s="76">
        <v>0.0</v>
      </c>
      <c r="M118" s="76">
        <v>0.0</v>
      </c>
      <c r="N118" s="77">
        <v>0.37</v>
      </c>
      <c r="O118" s="76">
        <v>15.51</v>
      </c>
      <c r="P118" s="76">
        <v>-0.05</v>
      </c>
      <c r="Q118" s="76">
        <v>1.31</v>
      </c>
      <c r="R118" s="76">
        <v>11.45</v>
      </c>
      <c r="S118" s="76">
        <v>0.8</v>
      </c>
      <c r="T118" s="76">
        <v>0.0</v>
      </c>
      <c r="U118" s="76">
        <v>0.07</v>
      </c>
      <c r="V118" s="76">
        <v>0.93</v>
      </c>
      <c r="W118" s="76">
        <v>0.13</v>
      </c>
      <c r="X118" s="76">
        <v>15.28</v>
      </c>
      <c r="Y118" s="76">
        <v>0.02</v>
      </c>
      <c r="Z118" s="77">
        <v>3.2073916E7</v>
      </c>
      <c r="AA118" s="76">
        <v>27.14</v>
      </c>
      <c r="AB118" s="76">
        <v>3.11</v>
      </c>
      <c r="AC118" s="76">
        <v>0.1</v>
      </c>
      <c r="AD118" s="77">
        <v>7.823947442E9</v>
      </c>
      <c r="AE118" s="78"/>
    </row>
    <row r="119">
      <c r="A119" s="73" t="s">
        <v>168</v>
      </c>
      <c r="B119" s="76">
        <v>3.04</v>
      </c>
      <c r="C119" s="76">
        <v>0.0</v>
      </c>
      <c r="D119" s="76">
        <v>11.49</v>
      </c>
      <c r="E119" s="76">
        <v>0.85</v>
      </c>
      <c r="F119" s="76">
        <v>0.33</v>
      </c>
      <c r="G119" s="76">
        <v>42.4</v>
      </c>
      <c r="H119" s="77">
        <v>14.96</v>
      </c>
      <c r="I119" s="77">
        <v>8.46</v>
      </c>
      <c r="J119" s="76">
        <v>6.5</v>
      </c>
      <c r="K119" s="76">
        <v>11.53</v>
      </c>
      <c r="L119" s="76">
        <v>5.03</v>
      </c>
      <c r="M119" s="76">
        <v>0.66</v>
      </c>
      <c r="N119" s="76">
        <v>0.97</v>
      </c>
      <c r="O119" s="76">
        <v>3.29</v>
      </c>
      <c r="P119" s="76">
        <v>-0.46</v>
      </c>
      <c r="Q119" s="76">
        <v>1.54</v>
      </c>
      <c r="R119" s="76">
        <v>7.44</v>
      </c>
      <c r="S119" s="76">
        <v>2.86</v>
      </c>
      <c r="T119" s="76">
        <v>5.71</v>
      </c>
      <c r="U119" s="76">
        <v>0.38</v>
      </c>
      <c r="V119" s="76">
        <v>0.62</v>
      </c>
      <c r="W119" s="76">
        <v>0.34</v>
      </c>
      <c r="X119" s="76">
        <v>41.71</v>
      </c>
      <c r="Y119" s="76">
        <v>35.66</v>
      </c>
      <c r="Z119" s="77">
        <v>1124777.0</v>
      </c>
      <c r="AA119" s="76">
        <v>3.56</v>
      </c>
      <c r="AB119" s="76">
        <v>0.26</v>
      </c>
      <c r="AC119" s="76">
        <v>-0.97</v>
      </c>
      <c r="AD119" s="77">
        <v>1.331542912E9</v>
      </c>
      <c r="AE119" s="78"/>
    </row>
    <row r="120">
      <c r="A120" s="73" t="s">
        <v>169</v>
      </c>
      <c r="B120" s="76">
        <v>9.0</v>
      </c>
      <c r="C120" s="76">
        <v>0.0</v>
      </c>
      <c r="D120" s="76">
        <v>10.22</v>
      </c>
      <c r="E120" s="76">
        <v>-10.84</v>
      </c>
      <c r="F120" s="76">
        <v>0.78</v>
      </c>
      <c r="G120" s="76">
        <v>26.77</v>
      </c>
      <c r="H120" s="77">
        <v>17.92</v>
      </c>
      <c r="I120" s="77">
        <v>5.55</v>
      </c>
      <c r="J120" s="76">
        <v>3.17</v>
      </c>
      <c r="K120" s="76">
        <v>5.46</v>
      </c>
      <c r="L120" s="76">
        <v>2.3</v>
      </c>
      <c r="M120" s="76">
        <v>0.0</v>
      </c>
      <c r="N120" s="77">
        <v>0.57</v>
      </c>
      <c r="O120" s="76">
        <v>-1.59</v>
      </c>
      <c r="P120" s="76">
        <v>-1.13</v>
      </c>
      <c r="Q120" s="76">
        <v>0.39</v>
      </c>
      <c r="R120" s="76">
        <v>-106.05</v>
      </c>
      <c r="S120" s="76">
        <v>7.59</v>
      </c>
      <c r="T120" s="76">
        <v>30.9</v>
      </c>
      <c r="U120" s="76">
        <v>-0.07</v>
      </c>
      <c r="V120" s="76">
        <v>1.07</v>
      </c>
      <c r="W120" s="76">
        <v>1.37</v>
      </c>
      <c r="X120" s="76">
        <v>10.88</v>
      </c>
      <c r="Y120" s="76">
        <v>0.0</v>
      </c>
      <c r="Z120" s="77">
        <v>0.0</v>
      </c>
      <c r="AA120" s="76">
        <v>-0.83</v>
      </c>
      <c r="AB120" s="76">
        <v>0.88</v>
      </c>
      <c r="AC120" s="76">
        <v>-0.06</v>
      </c>
      <c r="AD120" s="77">
        <v>9.183864834E9</v>
      </c>
      <c r="AE120" s="78"/>
    </row>
    <row r="121">
      <c r="A121" s="73" t="s">
        <v>170</v>
      </c>
      <c r="B121" s="76">
        <v>5.43</v>
      </c>
      <c r="C121" s="76">
        <v>7.52</v>
      </c>
      <c r="D121" s="76">
        <v>3.27</v>
      </c>
      <c r="E121" s="77">
        <v>0.66</v>
      </c>
      <c r="F121" s="76">
        <v>0.04</v>
      </c>
      <c r="G121" s="76">
        <v>35.96</v>
      </c>
      <c r="H121" s="77">
        <v>11.12</v>
      </c>
      <c r="I121" s="77">
        <v>7.43</v>
      </c>
      <c r="J121" s="76">
        <v>2.18</v>
      </c>
      <c r="K121" s="76">
        <v>2.09</v>
      </c>
      <c r="L121" s="76">
        <v>0.0</v>
      </c>
      <c r="M121" s="76">
        <v>0.0</v>
      </c>
      <c r="N121" s="76">
        <v>0.24</v>
      </c>
      <c r="O121" s="77">
        <v>-1.34</v>
      </c>
      <c r="P121" s="77">
        <v>-0.04</v>
      </c>
      <c r="Q121" s="76">
        <v>0.11</v>
      </c>
      <c r="R121" s="77">
        <v>20.28</v>
      </c>
      <c r="S121" s="77">
        <v>1.08</v>
      </c>
      <c r="T121" s="77">
        <v>0.0</v>
      </c>
      <c r="U121" s="76">
        <v>0.05</v>
      </c>
      <c r="V121" s="76">
        <v>0.95</v>
      </c>
      <c r="W121" s="76">
        <v>0.15</v>
      </c>
      <c r="X121" s="76">
        <v>23.49</v>
      </c>
      <c r="Y121" s="76">
        <v>15.97</v>
      </c>
      <c r="Z121" s="77">
        <v>271538.4</v>
      </c>
      <c r="AA121" s="76">
        <v>8.2</v>
      </c>
      <c r="AB121" s="76">
        <v>1.66</v>
      </c>
      <c r="AC121" s="76">
        <v>0.0</v>
      </c>
      <c r="AD121" s="77">
        <v>2.525381939E9</v>
      </c>
      <c r="AE121" s="78"/>
    </row>
    <row r="122">
      <c r="A122" s="73" t="s">
        <v>171</v>
      </c>
      <c r="B122" s="76">
        <v>4.74</v>
      </c>
      <c r="C122" s="76">
        <v>9.48</v>
      </c>
      <c r="D122" s="76">
        <v>2.85</v>
      </c>
      <c r="E122" s="77">
        <v>0.58</v>
      </c>
      <c r="F122" s="76">
        <v>0.03</v>
      </c>
      <c r="G122" s="76">
        <v>35.96</v>
      </c>
      <c r="H122" s="77">
        <v>11.12</v>
      </c>
      <c r="I122" s="77">
        <v>7.43</v>
      </c>
      <c r="J122" s="76">
        <v>1.91</v>
      </c>
      <c r="K122" s="76">
        <v>2.09</v>
      </c>
      <c r="L122" s="76">
        <v>0.0</v>
      </c>
      <c r="M122" s="76">
        <v>0.0</v>
      </c>
      <c r="N122" s="77">
        <v>0.21</v>
      </c>
      <c r="O122" s="77">
        <v>-1.17</v>
      </c>
      <c r="P122" s="77">
        <v>-0.03</v>
      </c>
      <c r="Q122" s="76">
        <v>0.11</v>
      </c>
      <c r="R122" s="77">
        <v>20.28</v>
      </c>
      <c r="S122" s="77">
        <v>1.08</v>
      </c>
      <c r="T122" s="77">
        <v>0.0</v>
      </c>
      <c r="U122" s="76">
        <v>0.05</v>
      </c>
      <c r="V122" s="76">
        <v>0.95</v>
      </c>
      <c r="W122" s="76">
        <v>0.15</v>
      </c>
      <c r="X122" s="76">
        <v>23.49</v>
      </c>
      <c r="Y122" s="76">
        <v>15.97</v>
      </c>
      <c r="Z122" s="77">
        <v>115045.1</v>
      </c>
      <c r="AA122" s="76">
        <v>8.2</v>
      </c>
      <c r="AB122" s="76">
        <v>1.66</v>
      </c>
      <c r="AC122" s="76">
        <v>0.0</v>
      </c>
      <c r="AD122" s="77">
        <v>2.525381939E9</v>
      </c>
      <c r="AE122" s="78"/>
    </row>
    <row r="123">
      <c r="A123" s="73" t="s">
        <v>172</v>
      </c>
      <c r="B123" s="76">
        <v>11091.73</v>
      </c>
      <c r="C123" s="76">
        <v>0.0</v>
      </c>
      <c r="D123" s="76">
        <v>28209.72</v>
      </c>
      <c r="E123" s="77">
        <v>3945.65</v>
      </c>
      <c r="F123" s="76">
        <v>2893.88</v>
      </c>
      <c r="G123" s="76">
        <v>80.4</v>
      </c>
      <c r="H123" s="77">
        <v>-115.99</v>
      </c>
      <c r="I123" s="77">
        <v>273.93</v>
      </c>
      <c r="J123" s="76">
        <v>-66624.7</v>
      </c>
      <c r="K123" s="76">
        <v>-20.54</v>
      </c>
      <c r="L123" s="76">
        <v>1.38</v>
      </c>
      <c r="M123" s="76">
        <v>-0.08</v>
      </c>
      <c r="N123" s="76">
        <v>77275.86</v>
      </c>
      <c r="O123" s="77">
        <v>24488.1</v>
      </c>
      <c r="P123" s="77">
        <v>-3429.09</v>
      </c>
      <c r="Q123" s="76">
        <v>4.12</v>
      </c>
      <c r="R123" s="77">
        <v>13.99</v>
      </c>
      <c r="S123" s="77">
        <v>10.26</v>
      </c>
      <c r="T123" s="77">
        <v>-21.31</v>
      </c>
      <c r="U123" s="76">
        <v>0.73</v>
      </c>
      <c r="V123" s="76">
        <v>0.27</v>
      </c>
      <c r="W123" s="76">
        <v>0.04</v>
      </c>
      <c r="X123" s="76">
        <v>-44.69</v>
      </c>
      <c r="Y123" s="76">
        <v>-9.58</v>
      </c>
      <c r="Z123" s="77">
        <v>0.0</v>
      </c>
      <c r="AA123" s="76">
        <v>2.81</v>
      </c>
      <c r="AB123" s="76">
        <v>0.39</v>
      </c>
      <c r="AC123" s="76">
        <v>-205.61</v>
      </c>
      <c r="AD123" s="77">
        <v>5.42410732E7</v>
      </c>
      <c r="AE123" s="78"/>
    </row>
    <row r="124">
      <c r="A124" s="73" t="s">
        <v>173</v>
      </c>
      <c r="B124" s="76">
        <v>17.25</v>
      </c>
      <c r="C124" s="76">
        <v>1.57</v>
      </c>
      <c r="D124" s="76">
        <v>5.7</v>
      </c>
      <c r="E124" s="77">
        <v>0.67</v>
      </c>
      <c r="F124" s="76">
        <v>0.18</v>
      </c>
      <c r="G124" s="76">
        <v>28.56</v>
      </c>
      <c r="H124" s="77">
        <v>14.1</v>
      </c>
      <c r="I124" s="77">
        <v>11.18</v>
      </c>
      <c r="J124" s="76">
        <v>4.52</v>
      </c>
      <c r="K124" s="76">
        <v>7.45</v>
      </c>
      <c r="L124" s="76">
        <v>2.94</v>
      </c>
      <c r="M124" s="76">
        <v>0.44</v>
      </c>
      <c r="N124" s="76">
        <v>0.64</v>
      </c>
      <c r="O124" s="77">
        <v>0.3</v>
      </c>
      <c r="P124" s="77">
        <v>-0.61</v>
      </c>
      <c r="Q124" s="76">
        <v>5.79</v>
      </c>
      <c r="R124" s="77">
        <v>11.84</v>
      </c>
      <c r="S124" s="77">
        <v>3.08</v>
      </c>
      <c r="T124" s="77">
        <v>5.58</v>
      </c>
      <c r="U124" s="76">
        <v>0.26</v>
      </c>
      <c r="V124" s="76">
        <v>0.61</v>
      </c>
      <c r="W124" s="76">
        <v>0.28</v>
      </c>
      <c r="X124" s="76">
        <v>79.12</v>
      </c>
      <c r="Y124" s="76">
        <v>0.0</v>
      </c>
      <c r="Z124" s="77">
        <v>9354.83</v>
      </c>
      <c r="AA124" s="76">
        <v>25.57</v>
      </c>
      <c r="AB124" s="76">
        <v>3.03</v>
      </c>
      <c r="AC124" s="76">
        <v>0.0</v>
      </c>
      <c r="AD124" s="77">
        <v>1.205568E8</v>
      </c>
      <c r="AE124" s="78"/>
    </row>
    <row r="125">
      <c r="A125" s="73" t="s">
        <v>174</v>
      </c>
      <c r="B125" s="76">
        <v>50.0</v>
      </c>
      <c r="C125" s="76">
        <v>0.0</v>
      </c>
      <c r="D125" s="76">
        <v>16.51</v>
      </c>
      <c r="E125" s="76">
        <v>1.96</v>
      </c>
      <c r="F125" s="76">
        <v>0.51</v>
      </c>
      <c r="G125" s="76">
        <v>28.56</v>
      </c>
      <c r="H125" s="76">
        <v>14.1</v>
      </c>
      <c r="I125" s="76">
        <v>11.18</v>
      </c>
      <c r="J125" s="76">
        <v>13.09</v>
      </c>
      <c r="K125" s="76">
        <v>7.45</v>
      </c>
      <c r="L125" s="76">
        <v>2.94</v>
      </c>
      <c r="M125" s="76">
        <v>0.44</v>
      </c>
      <c r="N125" s="76">
        <v>1.85</v>
      </c>
      <c r="O125" s="76">
        <v>0.87</v>
      </c>
      <c r="P125" s="76">
        <v>-1.76</v>
      </c>
      <c r="Q125" s="76">
        <v>5.79</v>
      </c>
      <c r="R125" s="76">
        <v>11.84</v>
      </c>
      <c r="S125" s="76">
        <v>3.08</v>
      </c>
      <c r="T125" s="76">
        <v>5.58</v>
      </c>
      <c r="U125" s="76">
        <v>0.26</v>
      </c>
      <c r="V125" s="76">
        <v>0.61</v>
      </c>
      <c r="W125" s="76">
        <v>0.28</v>
      </c>
      <c r="X125" s="76">
        <v>79.12</v>
      </c>
      <c r="Y125" s="76">
        <v>0.0</v>
      </c>
      <c r="Z125" s="77">
        <v>0.0</v>
      </c>
      <c r="AA125" s="76">
        <v>25.57</v>
      </c>
      <c r="AB125" s="76">
        <v>3.03</v>
      </c>
      <c r="AC125" s="76">
        <v>0.0</v>
      </c>
      <c r="AD125" s="77">
        <v>1.205568E8</v>
      </c>
      <c r="AE125" s="78"/>
    </row>
    <row r="126">
      <c r="A126" s="73" t="s">
        <v>175</v>
      </c>
      <c r="B126" s="76">
        <v>9.6</v>
      </c>
      <c r="C126" s="76">
        <v>11.01</v>
      </c>
      <c r="D126" s="76">
        <v>6.15</v>
      </c>
      <c r="E126" s="76">
        <v>1.31</v>
      </c>
      <c r="F126" s="76">
        <v>1.02</v>
      </c>
      <c r="G126" s="76">
        <v>48.58</v>
      </c>
      <c r="H126" s="76">
        <v>18.02</v>
      </c>
      <c r="I126" s="76">
        <v>16.77</v>
      </c>
      <c r="J126" s="76">
        <v>5.72</v>
      </c>
      <c r="K126" s="76">
        <v>4.85</v>
      </c>
      <c r="L126" s="76">
        <v>-0.87</v>
      </c>
      <c r="M126" s="76">
        <v>-0.2</v>
      </c>
      <c r="N126" s="76">
        <v>1.03</v>
      </c>
      <c r="O126" s="76">
        <v>2.96</v>
      </c>
      <c r="P126" s="76">
        <v>-2.12</v>
      </c>
      <c r="Q126" s="76">
        <v>3.04</v>
      </c>
      <c r="R126" s="76">
        <v>21.24</v>
      </c>
      <c r="S126" s="76">
        <v>16.65</v>
      </c>
      <c r="T126" s="76">
        <v>17.34</v>
      </c>
      <c r="U126" s="76">
        <v>0.78</v>
      </c>
      <c r="V126" s="76">
        <v>0.22</v>
      </c>
      <c r="W126" s="76">
        <v>0.99</v>
      </c>
      <c r="X126" s="76">
        <v>14.78</v>
      </c>
      <c r="Y126" s="76">
        <v>26.72</v>
      </c>
      <c r="Z126" s="77">
        <v>331092.6</v>
      </c>
      <c r="AA126" s="76">
        <v>7.35</v>
      </c>
      <c r="AB126" s="76">
        <v>1.56</v>
      </c>
      <c r="AC126" s="76">
        <v>-0.54</v>
      </c>
      <c r="AD126" s="77">
        <v>4.05840768E8</v>
      </c>
      <c r="AE126" s="78"/>
    </row>
    <row r="127">
      <c r="A127" s="73" t="s">
        <v>176</v>
      </c>
      <c r="B127" s="76">
        <v>6.25</v>
      </c>
      <c r="C127" s="76">
        <v>0.0</v>
      </c>
      <c r="D127" s="76">
        <v>4.0</v>
      </c>
      <c r="E127" s="76">
        <v>0.85</v>
      </c>
      <c r="F127" s="76">
        <v>0.67</v>
      </c>
      <c r="G127" s="76">
        <v>48.58</v>
      </c>
      <c r="H127" s="76">
        <v>18.02</v>
      </c>
      <c r="I127" s="76">
        <v>16.77</v>
      </c>
      <c r="J127" s="76">
        <v>3.72</v>
      </c>
      <c r="K127" s="76">
        <v>4.85</v>
      </c>
      <c r="L127" s="76">
        <v>-0.87</v>
      </c>
      <c r="M127" s="76">
        <v>-0.2</v>
      </c>
      <c r="N127" s="76">
        <v>0.67</v>
      </c>
      <c r="O127" s="76">
        <v>1.92</v>
      </c>
      <c r="P127" s="76">
        <v>-1.38</v>
      </c>
      <c r="Q127" s="76">
        <v>3.04</v>
      </c>
      <c r="R127" s="76">
        <v>21.24</v>
      </c>
      <c r="S127" s="76">
        <v>16.65</v>
      </c>
      <c r="T127" s="76">
        <v>17.34</v>
      </c>
      <c r="U127" s="76">
        <v>0.78</v>
      </c>
      <c r="V127" s="76">
        <v>0.22</v>
      </c>
      <c r="W127" s="76">
        <v>0.99</v>
      </c>
      <c r="X127" s="76">
        <v>14.78</v>
      </c>
      <c r="Y127" s="76">
        <v>26.72</v>
      </c>
      <c r="Z127" s="77">
        <v>0.0</v>
      </c>
      <c r="AA127" s="76">
        <v>7.35</v>
      </c>
      <c r="AB127" s="76">
        <v>1.56</v>
      </c>
      <c r="AC127" s="76">
        <v>-0.35</v>
      </c>
      <c r="AD127" s="77">
        <v>4.05840768E8</v>
      </c>
      <c r="AE127" s="78"/>
    </row>
    <row r="128">
      <c r="A128" s="73" t="s">
        <v>177</v>
      </c>
      <c r="B128" s="76">
        <v>6.69</v>
      </c>
      <c r="C128" s="76">
        <v>4.12</v>
      </c>
      <c r="D128" s="76">
        <v>10.06</v>
      </c>
      <c r="E128" s="76">
        <v>0.68</v>
      </c>
      <c r="F128" s="76">
        <v>0.19</v>
      </c>
      <c r="G128" s="76">
        <v>22.65</v>
      </c>
      <c r="H128" s="76">
        <v>5.83</v>
      </c>
      <c r="I128" s="76">
        <v>2.01</v>
      </c>
      <c r="J128" s="76">
        <v>3.47</v>
      </c>
      <c r="K128" s="76">
        <v>9.64</v>
      </c>
      <c r="L128" s="76">
        <v>6.17</v>
      </c>
      <c r="M128" s="76">
        <v>1.21</v>
      </c>
      <c r="N128" s="76">
        <v>0.2</v>
      </c>
      <c r="O128" s="76">
        <v>0.76</v>
      </c>
      <c r="P128" s="76">
        <v>-0.45</v>
      </c>
      <c r="Q128" s="76">
        <v>1.77</v>
      </c>
      <c r="R128" s="76">
        <v>6.75</v>
      </c>
      <c r="S128" s="76">
        <v>1.89</v>
      </c>
      <c r="T128" s="76">
        <v>4.38</v>
      </c>
      <c r="U128" s="76">
        <v>0.28</v>
      </c>
      <c r="V128" s="76">
        <v>0.72</v>
      </c>
      <c r="W128" s="76">
        <v>0.94</v>
      </c>
      <c r="X128" s="76">
        <v>17.84</v>
      </c>
      <c r="Y128" s="76">
        <v>-0.57</v>
      </c>
      <c r="Z128" s="77">
        <v>9848453.0</v>
      </c>
      <c r="AA128" s="76">
        <v>9.85</v>
      </c>
      <c r="AB128" s="76">
        <v>0.67</v>
      </c>
      <c r="AC128" s="76">
        <v>-0.54</v>
      </c>
      <c r="AD128" s="77">
        <v>2.3415E9</v>
      </c>
      <c r="AE128" s="78"/>
    </row>
    <row r="129">
      <c r="A129" s="73" t="s">
        <v>178</v>
      </c>
      <c r="B129" s="76">
        <v>3.48</v>
      </c>
      <c r="C129" s="76">
        <v>0.0</v>
      </c>
      <c r="D129" s="76">
        <v>7.22</v>
      </c>
      <c r="E129" s="76">
        <v>0.72</v>
      </c>
      <c r="F129" s="76">
        <v>0.59</v>
      </c>
      <c r="G129" s="76">
        <v>18.02</v>
      </c>
      <c r="H129" s="76">
        <v>18.02</v>
      </c>
      <c r="I129" s="76">
        <v>12.8</v>
      </c>
      <c r="J129" s="76">
        <v>5.12</v>
      </c>
      <c r="K129" s="76">
        <v>4.25</v>
      </c>
      <c r="L129" s="76">
        <v>-0.87</v>
      </c>
      <c r="M129" s="76">
        <v>-0.12</v>
      </c>
      <c r="N129" s="76">
        <v>0.92</v>
      </c>
      <c r="O129" s="76">
        <v>5.67</v>
      </c>
      <c r="P129" s="76">
        <v>-0.78</v>
      </c>
      <c r="Q129" s="76">
        <v>1.73</v>
      </c>
      <c r="R129" s="76">
        <v>10.03</v>
      </c>
      <c r="S129" s="76">
        <v>8.18</v>
      </c>
      <c r="T129" s="76">
        <v>3.74</v>
      </c>
      <c r="U129" s="76">
        <v>0.82</v>
      </c>
      <c r="V129" s="76">
        <v>0.18</v>
      </c>
      <c r="W129" s="76">
        <v>0.64</v>
      </c>
      <c r="X129" s="76">
        <v>34.97</v>
      </c>
      <c r="Y129" s="76">
        <v>29.42</v>
      </c>
      <c r="Z129" s="77">
        <v>6702314.0</v>
      </c>
      <c r="AA129" s="76">
        <v>4.81</v>
      </c>
      <c r="AB129" s="76">
        <v>0.48</v>
      </c>
      <c r="AC129" s="76">
        <v>-0.03</v>
      </c>
      <c r="AD129" s="77">
        <v>3.940268176E8</v>
      </c>
      <c r="AE129" s="78"/>
    </row>
    <row r="130">
      <c r="A130" s="73" t="s">
        <v>179</v>
      </c>
      <c r="B130" s="76">
        <v>8.77</v>
      </c>
      <c r="C130" s="76">
        <v>0.54</v>
      </c>
      <c r="D130" s="76">
        <v>27.16</v>
      </c>
      <c r="E130" s="76">
        <v>4.07</v>
      </c>
      <c r="F130" s="76">
        <v>1.76</v>
      </c>
      <c r="G130" s="76">
        <v>52.92</v>
      </c>
      <c r="H130" s="76">
        <v>30.82</v>
      </c>
      <c r="I130" s="76">
        <v>17.94</v>
      </c>
      <c r="J130" s="76">
        <v>15.81</v>
      </c>
      <c r="K130" s="76">
        <v>16.62</v>
      </c>
      <c r="L130" s="76">
        <v>3.26</v>
      </c>
      <c r="M130" s="76">
        <v>0.84</v>
      </c>
      <c r="N130" s="76">
        <v>4.87</v>
      </c>
      <c r="O130" s="76">
        <v>80.32</v>
      </c>
      <c r="P130" s="76">
        <v>-2.15</v>
      </c>
      <c r="Q130" s="76">
        <v>1.13</v>
      </c>
      <c r="R130" s="76">
        <v>14.98</v>
      </c>
      <c r="S130" s="76">
        <v>6.46</v>
      </c>
      <c r="T130" s="76">
        <v>10.54</v>
      </c>
      <c r="U130" s="76">
        <v>0.43</v>
      </c>
      <c r="V130" s="76">
        <v>0.57</v>
      </c>
      <c r="W130" s="76">
        <v>0.36</v>
      </c>
      <c r="X130" s="76">
        <v>11.65</v>
      </c>
      <c r="Y130" s="76">
        <v>26.37</v>
      </c>
      <c r="Z130" s="77">
        <v>0.0</v>
      </c>
      <c r="AA130" s="76">
        <v>2.16</v>
      </c>
      <c r="AB130" s="76">
        <v>0.32</v>
      </c>
      <c r="AC130" s="76">
        <v>0.25</v>
      </c>
      <c r="AD130" s="77">
        <v>8.853637451E9</v>
      </c>
      <c r="AE130" s="78"/>
    </row>
    <row r="131">
      <c r="A131" s="73" t="s">
        <v>180</v>
      </c>
      <c r="B131" s="76">
        <v>6.07</v>
      </c>
      <c r="C131" s="76">
        <v>0.87</v>
      </c>
      <c r="D131" s="76">
        <v>18.8</v>
      </c>
      <c r="E131" s="76">
        <v>2.82</v>
      </c>
      <c r="F131" s="76">
        <v>1.22</v>
      </c>
      <c r="G131" s="76">
        <v>52.92</v>
      </c>
      <c r="H131" s="76">
        <v>30.82</v>
      </c>
      <c r="I131" s="76">
        <v>17.94</v>
      </c>
      <c r="J131" s="76">
        <v>10.95</v>
      </c>
      <c r="K131" s="76">
        <v>16.62</v>
      </c>
      <c r="L131" s="76">
        <v>3.26</v>
      </c>
      <c r="M131" s="76">
        <v>0.84</v>
      </c>
      <c r="N131" s="76">
        <v>3.37</v>
      </c>
      <c r="O131" s="76">
        <v>55.59</v>
      </c>
      <c r="P131" s="76">
        <v>-1.49</v>
      </c>
      <c r="Q131" s="76">
        <v>1.13</v>
      </c>
      <c r="R131" s="76">
        <v>14.98</v>
      </c>
      <c r="S131" s="76">
        <v>6.46</v>
      </c>
      <c r="T131" s="76">
        <v>10.54</v>
      </c>
      <c r="U131" s="76">
        <v>0.43</v>
      </c>
      <c r="V131" s="76">
        <v>0.57</v>
      </c>
      <c r="W131" s="76">
        <v>0.36</v>
      </c>
      <c r="X131" s="76">
        <v>11.65</v>
      </c>
      <c r="Y131" s="76">
        <v>26.37</v>
      </c>
      <c r="Z131" s="77">
        <v>0.0</v>
      </c>
      <c r="AA131" s="76">
        <v>2.16</v>
      </c>
      <c r="AB131" s="76">
        <v>0.32</v>
      </c>
      <c r="AC131" s="76">
        <v>0.17</v>
      </c>
      <c r="AD131" s="77">
        <v>8.853637451E9</v>
      </c>
      <c r="AE131" s="78"/>
    </row>
    <row r="132">
      <c r="A132" s="73" t="s">
        <v>181</v>
      </c>
      <c r="B132" s="76">
        <v>103.61</v>
      </c>
      <c r="C132" s="76">
        <v>6.63</v>
      </c>
      <c r="D132" s="76">
        <v>0.82</v>
      </c>
      <c r="E132" s="76">
        <v>0.07</v>
      </c>
      <c r="F132" s="76">
        <v>0.03</v>
      </c>
      <c r="G132" s="76">
        <v>26.05</v>
      </c>
      <c r="H132" s="76">
        <v>7.43</v>
      </c>
      <c r="I132" s="76">
        <v>5.8</v>
      </c>
      <c r="J132" s="76">
        <v>0.64</v>
      </c>
      <c r="K132" s="76">
        <v>4.08</v>
      </c>
      <c r="L132" s="76">
        <v>3.45</v>
      </c>
      <c r="M132" s="76">
        <v>0.39</v>
      </c>
      <c r="N132" s="76">
        <v>0.05</v>
      </c>
      <c r="O132" s="76">
        <v>0.13</v>
      </c>
      <c r="P132" s="76">
        <v>-0.09</v>
      </c>
      <c r="Q132" s="76">
        <v>1.78</v>
      </c>
      <c r="R132" s="76">
        <v>8.89</v>
      </c>
      <c r="S132" s="76">
        <v>4.22</v>
      </c>
      <c r="T132" s="76">
        <v>2.32</v>
      </c>
      <c r="U132" s="76">
        <v>0.47</v>
      </c>
      <c r="V132" s="76">
        <v>0.53</v>
      </c>
      <c r="W132" s="76">
        <v>0.73</v>
      </c>
      <c r="X132" s="76">
        <v>12.29</v>
      </c>
      <c r="Y132" s="76">
        <v>20.24</v>
      </c>
      <c r="Z132" s="77">
        <v>0.0</v>
      </c>
      <c r="AA132" s="76">
        <v>1418.62</v>
      </c>
      <c r="AB132" s="76">
        <v>126.09</v>
      </c>
      <c r="AC132" s="76">
        <v>-0.05</v>
      </c>
      <c r="AD132" s="77">
        <v>1.494035478E7</v>
      </c>
      <c r="AE132" s="78"/>
    </row>
    <row r="133">
      <c r="A133" s="73" t="s">
        <v>182</v>
      </c>
      <c r="B133" s="76">
        <v>0.0</v>
      </c>
      <c r="C133" s="76">
        <v>0.0</v>
      </c>
      <c r="D133" s="77">
        <v>0.0</v>
      </c>
      <c r="E133" s="76">
        <v>0.0</v>
      </c>
      <c r="F133" s="76">
        <v>0.0</v>
      </c>
      <c r="G133" s="76">
        <v>26.05</v>
      </c>
      <c r="H133" s="76">
        <v>7.43</v>
      </c>
      <c r="I133" s="76">
        <v>5.8</v>
      </c>
      <c r="J133" s="76">
        <v>0.0</v>
      </c>
      <c r="K133" s="76">
        <v>4.08</v>
      </c>
      <c r="L133" s="76">
        <v>3.45</v>
      </c>
      <c r="M133" s="76">
        <v>0.39</v>
      </c>
      <c r="N133" s="76">
        <v>0.0</v>
      </c>
      <c r="O133" s="76">
        <v>0.0</v>
      </c>
      <c r="P133" s="76">
        <v>0.0</v>
      </c>
      <c r="Q133" s="76">
        <v>1.78</v>
      </c>
      <c r="R133" s="76">
        <v>8.89</v>
      </c>
      <c r="S133" s="76">
        <v>4.22</v>
      </c>
      <c r="T133" s="76">
        <v>2.32</v>
      </c>
      <c r="U133" s="76">
        <v>0.47</v>
      </c>
      <c r="V133" s="76">
        <v>0.53</v>
      </c>
      <c r="W133" s="76">
        <v>0.73</v>
      </c>
      <c r="X133" s="76">
        <v>12.29</v>
      </c>
      <c r="Y133" s="76">
        <v>20.24</v>
      </c>
      <c r="Z133" s="77">
        <v>0.0</v>
      </c>
      <c r="AA133" s="76">
        <v>1418.62</v>
      </c>
      <c r="AB133" s="76">
        <v>126.09</v>
      </c>
      <c r="AC133" s="76">
        <v>0.0</v>
      </c>
      <c r="AD133" s="77">
        <v>1.494035478E7</v>
      </c>
      <c r="AE133" s="78"/>
    </row>
    <row r="134">
      <c r="A134" s="73" t="s">
        <v>183</v>
      </c>
      <c r="B134" s="76">
        <v>10.2</v>
      </c>
      <c r="C134" s="76">
        <v>0.0</v>
      </c>
      <c r="D134" s="77">
        <v>28.36</v>
      </c>
      <c r="E134" s="76">
        <v>1.47</v>
      </c>
      <c r="F134" s="76">
        <v>0.48</v>
      </c>
      <c r="G134" s="76">
        <v>9.04</v>
      </c>
      <c r="H134" s="76">
        <v>9.32</v>
      </c>
      <c r="I134" s="76">
        <v>2.64</v>
      </c>
      <c r="J134" s="76">
        <v>8.03</v>
      </c>
      <c r="K134" s="76">
        <v>11.85</v>
      </c>
      <c r="L134" s="76">
        <v>3.83</v>
      </c>
      <c r="M134" s="76">
        <v>0.7</v>
      </c>
      <c r="N134" s="76">
        <v>0.75</v>
      </c>
      <c r="O134" s="76">
        <v>2.86</v>
      </c>
      <c r="P134" s="76">
        <v>-0.72</v>
      </c>
      <c r="Q134" s="76">
        <v>2.01</v>
      </c>
      <c r="R134" s="76">
        <v>5.18</v>
      </c>
      <c r="S134" s="76">
        <v>1.69</v>
      </c>
      <c r="T134" s="76">
        <v>6.92</v>
      </c>
      <c r="U134" s="76">
        <v>0.33</v>
      </c>
      <c r="V134" s="76">
        <v>0.66</v>
      </c>
      <c r="W134" s="76">
        <v>0.64</v>
      </c>
      <c r="X134" s="76">
        <v>9.2</v>
      </c>
      <c r="Y134" s="76">
        <v>0.0</v>
      </c>
      <c r="Z134" s="77">
        <v>1.07E8</v>
      </c>
      <c r="AA134" s="76">
        <v>6.95</v>
      </c>
      <c r="AB134" s="76">
        <v>0.36</v>
      </c>
      <c r="AC134" s="76">
        <v>-0.21</v>
      </c>
      <c r="AD134" s="77">
        <v>6.640941509E9</v>
      </c>
      <c r="AE134" s="78"/>
    </row>
    <row r="135">
      <c r="A135" s="73" t="s">
        <v>184</v>
      </c>
      <c r="B135" s="76">
        <v>10.0</v>
      </c>
      <c r="C135" s="76">
        <v>0.0</v>
      </c>
      <c r="D135" s="77">
        <v>7.81</v>
      </c>
      <c r="E135" s="76">
        <v>0.55</v>
      </c>
      <c r="F135" s="76">
        <v>0.22</v>
      </c>
      <c r="G135" s="76">
        <v>13.85</v>
      </c>
      <c r="H135" s="76">
        <v>8.03</v>
      </c>
      <c r="I135" s="76">
        <v>6.19</v>
      </c>
      <c r="J135" s="76">
        <v>6.01</v>
      </c>
      <c r="K135" s="76">
        <v>12.79</v>
      </c>
      <c r="L135" s="76">
        <v>6.78</v>
      </c>
      <c r="M135" s="76">
        <v>0.61</v>
      </c>
      <c r="N135" s="76">
        <v>0.48</v>
      </c>
      <c r="O135" s="76">
        <v>-1.19</v>
      </c>
      <c r="P135" s="76">
        <v>-0.28</v>
      </c>
      <c r="Q135" s="76">
        <v>0.51</v>
      </c>
      <c r="R135" s="76">
        <v>6.99</v>
      </c>
      <c r="S135" s="76">
        <v>2.88</v>
      </c>
      <c r="T135" s="76">
        <v>0.25</v>
      </c>
      <c r="U135" s="76">
        <v>0.41</v>
      </c>
      <c r="V135" s="76">
        <v>0.59</v>
      </c>
      <c r="W135" s="76">
        <v>0.47</v>
      </c>
      <c r="X135" s="76">
        <v>8.16</v>
      </c>
      <c r="Y135" s="76">
        <v>15.76</v>
      </c>
      <c r="Z135" s="77">
        <v>1251.93</v>
      </c>
      <c r="AA135" s="76">
        <v>18.33</v>
      </c>
      <c r="AB135" s="76">
        <v>1.28</v>
      </c>
      <c r="AC135" s="76">
        <v>-0.01</v>
      </c>
      <c r="AD135" s="77">
        <v>4.53223943E9</v>
      </c>
      <c r="AE135" s="78"/>
    </row>
    <row r="136">
      <c r="A136" s="73" t="s">
        <v>185</v>
      </c>
      <c r="B136" s="76">
        <v>1.16</v>
      </c>
      <c r="C136" s="76">
        <v>0.0</v>
      </c>
      <c r="D136" s="77">
        <v>-0.25</v>
      </c>
      <c r="E136" s="76">
        <v>-0.03</v>
      </c>
      <c r="F136" s="76">
        <v>2.34</v>
      </c>
      <c r="G136" s="76">
        <v>0.0</v>
      </c>
      <c r="H136" s="76">
        <v>0.0</v>
      </c>
      <c r="I136" s="76">
        <v>0.0</v>
      </c>
      <c r="J136" s="76">
        <v>-3.26</v>
      </c>
      <c r="K136" s="76">
        <v>-3.21</v>
      </c>
      <c r="L136" s="76">
        <v>0.05</v>
      </c>
      <c r="M136" s="76">
        <v>0.0</v>
      </c>
      <c r="N136" s="76">
        <v>0.0</v>
      </c>
      <c r="O136" s="76">
        <v>-0.03</v>
      </c>
      <c r="P136" s="76">
        <v>0.0</v>
      </c>
      <c r="Q136" s="76">
        <v>0.01</v>
      </c>
      <c r="R136" s="76">
        <v>-10.66</v>
      </c>
      <c r="S136" s="76">
        <v>-946.44</v>
      </c>
      <c r="T136" s="76">
        <v>0.81</v>
      </c>
      <c r="U136" s="76">
        <v>-88.75</v>
      </c>
      <c r="V136" s="76">
        <v>89.75</v>
      </c>
      <c r="W136" s="76">
        <v>0.0</v>
      </c>
      <c r="X136" s="76">
        <v>0.0</v>
      </c>
      <c r="Y136" s="76">
        <v>0.0</v>
      </c>
      <c r="Z136" s="77">
        <v>0.0</v>
      </c>
      <c r="AA136" s="76">
        <v>-43.93</v>
      </c>
      <c r="AB136" s="76">
        <v>-4.68</v>
      </c>
      <c r="AC136" s="76">
        <v>0.0</v>
      </c>
      <c r="AD136" s="77">
        <v>1973425.64</v>
      </c>
      <c r="AE136" s="78"/>
    </row>
    <row r="137">
      <c r="A137" s="73" t="s">
        <v>186</v>
      </c>
      <c r="B137" s="76">
        <v>13.29</v>
      </c>
      <c r="C137" s="76">
        <v>6.4</v>
      </c>
      <c r="D137" s="77">
        <v>7.75</v>
      </c>
      <c r="E137" s="76">
        <v>1.16</v>
      </c>
      <c r="F137" s="76">
        <v>0.46</v>
      </c>
      <c r="G137" s="76">
        <v>55.15</v>
      </c>
      <c r="H137" s="76">
        <v>12.5</v>
      </c>
      <c r="I137" s="76">
        <v>6.56</v>
      </c>
      <c r="J137" s="76">
        <v>4.07</v>
      </c>
      <c r="K137" s="76">
        <v>4.13</v>
      </c>
      <c r="L137" s="76">
        <v>0.07</v>
      </c>
      <c r="M137" s="76">
        <v>0.02</v>
      </c>
      <c r="N137" s="76">
        <v>0.51</v>
      </c>
      <c r="O137" s="76">
        <v>2.89</v>
      </c>
      <c r="P137" s="76">
        <v>-0.88</v>
      </c>
      <c r="Q137" s="76">
        <v>1.5</v>
      </c>
      <c r="R137" s="76">
        <v>14.95</v>
      </c>
      <c r="S137" s="76">
        <v>5.93</v>
      </c>
      <c r="T137" s="76">
        <v>16.61</v>
      </c>
      <c r="U137" s="76">
        <v>0.4</v>
      </c>
      <c r="V137" s="76">
        <v>0.6</v>
      </c>
      <c r="W137" s="76">
        <v>0.9</v>
      </c>
      <c r="X137" s="76">
        <v>7.64</v>
      </c>
      <c r="Y137" s="76">
        <v>252.47</v>
      </c>
      <c r="Z137" s="77">
        <v>1.42E8</v>
      </c>
      <c r="AA137" s="76">
        <v>11.47</v>
      </c>
      <c r="AB137" s="76">
        <v>1.72</v>
      </c>
      <c r="AC137" s="76">
        <v>0.17</v>
      </c>
      <c r="AD137" s="79">
        <v>4.096576954E9</v>
      </c>
      <c r="AE137" s="80"/>
    </row>
    <row r="138">
      <c r="A138" s="73" t="s">
        <v>187</v>
      </c>
      <c r="B138" s="76">
        <v>30.46</v>
      </c>
      <c r="C138" s="76">
        <v>20.18</v>
      </c>
      <c r="D138" s="76">
        <v>11.4</v>
      </c>
      <c r="E138" s="76">
        <v>2.21</v>
      </c>
      <c r="F138" s="76">
        <v>1.53</v>
      </c>
      <c r="G138" s="76">
        <v>45.61</v>
      </c>
      <c r="H138" s="76">
        <v>49.84</v>
      </c>
      <c r="I138" s="76">
        <v>40.15</v>
      </c>
      <c r="J138" s="76">
        <v>9.18</v>
      </c>
      <c r="K138" s="76">
        <v>7.31</v>
      </c>
      <c r="L138" s="76">
        <v>-2.03</v>
      </c>
      <c r="M138" s="76">
        <v>-0.49</v>
      </c>
      <c r="N138" s="76">
        <v>4.58</v>
      </c>
      <c r="O138" s="76">
        <v>3.39</v>
      </c>
      <c r="P138" s="76">
        <v>-3.23</v>
      </c>
      <c r="Q138" s="76">
        <v>7.12</v>
      </c>
      <c r="R138" s="76">
        <v>19.36</v>
      </c>
      <c r="S138" s="76">
        <v>13.44</v>
      </c>
      <c r="T138" s="76">
        <v>14.02</v>
      </c>
      <c r="U138" s="76">
        <v>0.69</v>
      </c>
      <c r="V138" s="76">
        <v>0.13</v>
      </c>
      <c r="W138" s="76">
        <v>0.33</v>
      </c>
      <c r="X138" s="76">
        <v>-33.77</v>
      </c>
      <c r="Y138" s="76">
        <v>10.1</v>
      </c>
      <c r="Z138" s="77">
        <v>99352.19</v>
      </c>
      <c r="AA138" s="76">
        <v>13.8</v>
      </c>
      <c r="AB138" s="76">
        <v>2.67</v>
      </c>
      <c r="AC138" s="76">
        <v>0.96</v>
      </c>
      <c r="AD138" s="79">
        <v>2.233945817E9</v>
      </c>
      <c r="AE138" s="80"/>
    </row>
    <row r="139">
      <c r="A139" s="73" t="s">
        <v>188</v>
      </c>
      <c r="B139" s="76">
        <v>28.99</v>
      </c>
      <c r="C139" s="76">
        <v>15.46</v>
      </c>
      <c r="D139" s="76">
        <v>10.85</v>
      </c>
      <c r="E139" s="76">
        <v>2.1</v>
      </c>
      <c r="F139" s="76">
        <v>1.46</v>
      </c>
      <c r="G139" s="76">
        <v>45.61</v>
      </c>
      <c r="H139" s="76">
        <v>49.84</v>
      </c>
      <c r="I139" s="76">
        <v>40.15</v>
      </c>
      <c r="J139" s="76">
        <v>8.74</v>
      </c>
      <c r="K139" s="76">
        <v>7.31</v>
      </c>
      <c r="L139" s="76">
        <v>-2.03</v>
      </c>
      <c r="M139" s="76">
        <v>-0.49</v>
      </c>
      <c r="N139" s="76">
        <v>4.36</v>
      </c>
      <c r="O139" s="76">
        <v>3.22</v>
      </c>
      <c r="P139" s="76">
        <v>-3.08</v>
      </c>
      <c r="Q139" s="76">
        <v>7.12</v>
      </c>
      <c r="R139" s="76">
        <v>19.36</v>
      </c>
      <c r="S139" s="76">
        <v>13.44</v>
      </c>
      <c r="T139" s="76">
        <v>14.02</v>
      </c>
      <c r="U139" s="76">
        <v>0.69</v>
      </c>
      <c r="V139" s="76">
        <v>0.13</v>
      </c>
      <c r="W139" s="76">
        <v>0.33</v>
      </c>
      <c r="X139" s="76">
        <v>-33.77</v>
      </c>
      <c r="Y139" s="76">
        <v>10.1</v>
      </c>
      <c r="Z139" s="77">
        <v>43538.62</v>
      </c>
      <c r="AA139" s="76">
        <v>13.8</v>
      </c>
      <c r="AB139" s="76">
        <v>2.67</v>
      </c>
      <c r="AC139" s="76">
        <v>0.92</v>
      </c>
      <c r="AD139" s="77">
        <v>2.233945817E9</v>
      </c>
      <c r="AE139" s="78"/>
    </row>
    <row r="140">
      <c r="A140" s="73" t="s">
        <v>189</v>
      </c>
      <c r="B140" s="76">
        <v>31.52</v>
      </c>
      <c r="C140" s="76">
        <v>21.45</v>
      </c>
      <c r="D140" s="77">
        <v>11.8</v>
      </c>
      <c r="E140" s="76">
        <v>2.28</v>
      </c>
      <c r="F140" s="76">
        <v>1.59</v>
      </c>
      <c r="G140" s="76">
        <v>45.61</v>
      </c>
      <c r="H140" s="76">
        <v>49.84</v>
      </c>
      <c r="I140" s="76">
        <v>40.15</v>
      </c>
      <c r="J140" s="76">
        <v>9.5</v>
      </c>
      <c r="K140" s="76">
        <v>7.31</v>
      </c>
      <c r="L140" s="76">
        <v>-2.03</v>
      </c>
      <c r="M140" s="76">
        <v>-0.49</v>
      </c>
      <c r="N140" s="76">
        <v>4.74</v>
      </c>
      <c r="O140" s="76">
        <v>3.51</v>
      </c>
      <c r="P140" s="76">
        <v>-3.35</v>
      </c>
      <c r="Q140" s="76">
        <v>7.12</v>
      </c>
      <c r="R140" s="76">
        <v>19.36</v>
      </c>
      <c r="S140" s="76">
        <v>13.44</v>
      </c>
      <c r="T140" s="76">
        <v>14.02</v>
      </c>
      <c r="U140" s="76">
        <v>0.69</v>
      </c>
      <c r="V140" s="76">
        <v>0.13</v>
      </c>
      <c r="W140" s="76">
        <v>0.33</v>
      </c>
      <c r="X140" s="76">
        <v>-33.77</v>
      </c>
      <c r="Y140" s="76">
        <v>10.1</v>
      </c>
      <c r="Z140" s="77">
        <v>138506.8</v>
      </c>
      <c r="AA140" s="76">
        <v>13.8</v>
      </c>
      <c r="AB140" s="76">
        <v>2.67</v>
      </c>
      <c r="AC140" s="76">
        <v>1.0</v>
      </c>
      <c r="AD140" s="77">
        <v>2.233945817E9</v>
      </c>
      <c r="AE140" s="78"/>
    </row>
    <row r="141">
      <c r="A141" s="73" t="s">
        <v>190</v>
      </c>
      <c r="B141" s="76">
        <v>13.99</v>
      </c>
      <c r="C141" s="76">
        <v>0.0</v>
      </c>
      <c r="D141" s="77">
        <v>3.42</v>
      </c>
      <c r="E141" s="76">
        <v>0.48</v>
      </c>
      <c r="F141" s="76">
        <v>0.15</v>
      </c>
      <c r="G141" s="76">
        <v>27.41</v>
      </c>
      <c r="H141" s="76">
        <v>10.49</v>
      </c>
      <c r="I141" s="77">
        <v>4.31</v>
      </c>
      <c r="J141" s="76">
        <v>1.41</v>
      </c>
      <c r="K141" s="76">
        <v>5.07</v>
      </c>
      <c r="L141" s="76">
        <v>3.85</v>
      </c>
      <c r="M141" s="76">
        <v>1.32</v>
      </c>
      <c r="N141" s="76">
        <v>0.15</v>
      </c>
      <c r="O141" s="76">
        <v>3.99</v>
      </c>
      <c r="P141" s="76">
        <v>-0.25</v>
      </c>
      <c r="Q141" s="76">
        <v>1.1</v>
      </c>
      <c r="R141" s="76">
        <v>14.05</v>
      </c>
      <c r="S141" s="76">
        <v>4.27</v>
      </c>
      <c r="T141" s="76">
        <v>8.45</v>
      </c>
      <c r="U141" s="76">
        <v>0.3</v>
      </c>
      <c r="V141" s="76">
        <v>0.7</v>
      </c>
      <c r="W141" s="76">
        <v>0.99</v>
      </c>
      <c r="X141" s="76">
        <v>8.89</v>
      </c>
      <c r="Y141" s="76">
        <v>0.0</v>
      </c>
      <c r="Z141" s="77">
        <v>1399.0</v>
      </c>
      <c r="AA141" s="76">
        <v>29.08</v>
      </c>
      <c r="AB141" s="76">
        <v>4.09</v>
      </c>
      <c r="AC141" s="76">
        <v>-0.1</v>
      </c>
      <c r="AD141" s="77">
        <v>1.212688314E8</v>
      </c>
      <c r="AE141" s="78"/>
    </row>
    <row r="142">
      <c r="A142" s="73" t="s">
        <v>191</v>
      </c>
      <c r="B142" s="76">
        <v>9.65</v>
      </c>
      <c r="C142" s="76">
        <v>0.0</v>
      </c>
      <c r="D142" s="76">
        <v>2.36</v>
      </c>
      <c r="E142" s="76">
        <v>0.33</v>
      </c>
      <c r="F142" s="76">
        <v>0.1</v>
      </c>
      <c r="G142" s="76">
        <v>27.41</v>
      </c>
      <c r="H142" s="76">
        <v>10.49</v>
      </c>
      <c r="I142" s="77">
        <v>4.31</v>
      </c>
      <c r="J142" s="76">
        <v>0.97</v>
      </c>
      <c r="K142" s="76">
        <v>5.07</v>
      </c>
      <c r="L142" s="76">
        <v>3.85</v>
      </c>
      <c r="M142" s="76">
        <v>1.32</v>
      </c>
      <c r="N142" s="76">
        <v>0.1</v>
      </c>
      <c r="O142" s="76">
        <v>2.75</v>
      </c>
      <c r="P142" s="76">
        <v>-0.17</v>
      </c>
      <c r="Q142" s="76">
        <v>1.1</v>
      </c>
      <c r="R142" s="76">
        <v>14.05</v>
      </c>
      <c r="S142" s="76">
        <v>4.27</v>
      </c>
      <c r="T142" s="76">
        <v>8.45</v>
      </c>
      <c r="U142" s="76">
        <v>0.3</v>
      </c>
      <c r="V142" s="76">
        <v>0.7</v>
      </c>
      <c r="W142" s="76">
        <v>0.99</v>
      </c>
      <c r="X142" s="76">
        <v>8.89</v>
      </c>
      <c r="Y142" s="76">
        <v>0.0</v>
      </c>
      <c r="Z142" s="77">
        <v>9930.56</v>
      </c>
      <c r="AA142" s="76">
        <v>29.08</v>
      </c>
      <c r="AB142" s="76">
        <v>4.09</v>
      </c>
      <c r="AC142" s="76">
        <v>-0.07</v>
      </c>
      <c r="AD142" s="77">
        <v>1.212688314E8</v>
      </c>
      <c r="AE142" s="78"/>
    </row>
    <row r="143">
      <c r="A143" s="73" t="s">
        <v>192</v>
      </c>
      <c r="B143" s="76">
        <v>45.55</v>
      </c>
      <c r="C143" s="76">
        <v>11.62</v>
      </c>
      <c r="D143" s="76">
        <v>5.73</v>
      </c>
      <c r="E143" s="76">
        <v>1.39</v>
      </c>
      <c r="F143" s="76">
        <v>0.36</v>
      </c>
      <c r="G143" s="76">
        <v>29.88</v>
      </c>
      <c r="H143" s="76">
        <v>23.58</v>
      </c>
      <c r="I143" s="77">
        <v>11.36</v>
      </c>
      <c r="J143" s="76">
        <v>2.76</v>
      </c>
      <c r="K143" s="76">
        <v>6.8</v>
      </c>
      <c r="L143" s="76">
        <v>3.65</v>
      </c>
      <c r="M143" s="76">
        <v>1.84</v>
      </c>
      <c r="N143" s="76">
        <v>0.65</v>
      </c>
      <c r="O143" s="77">
        <v>-40.47</v>
      </c>
      <c r="P143" s="76">
        <v>-0.43</v>
      </c>
      <c r="Q143" s="76">
        <v>0.95</v>
      </c>
      <c r="R143" s="76">
        <v>24.33</v>
      </c>
      <c r="S143" s="76">
        <v>6.25</v>
      </c>
      <c r="T143" s="76">
        <v>16.82</v>
      </c>
      <c r="U143" s="76">
        <v>0.26</v>
      </c>
      <c r="V143" s="76">
        <v>0.74</v>
      </c>
      <c r="W143" s="76">
        <v>0.55</v>
      </c>
      <c r="X143" s="76">
        <v>10.09</v>
      </c>
      <c r="Y143" s="76">
        <v>15.61</v>
      </c>
      <c r="Z143" s="77">
        <v>27837.9</v>
      </c>
      <c r="AA143" s="76">
        <v>32.69</v>
      </c>
      <c r="AB143" s="76">
        <v>7.96</v>
      </c>
      <c r="AC143" s="76">
        <v>0.3</v>
      </c>
      <c r="AD143" s="77">
        <v>1.3604266735E10</v>
      </c>
      <c r="AE143" s="78"/>
    </row>
    <row r="144">
      <c r="A144" s="73" t="s">
        <v>193</v>
      </c>
      <c r="B144" s="76">
        <v>37.0</v>
      </c>
      <c r="C144" s="76">
        <v>14.31</v>
      </c>
      <c r="D144" s="76">
        <v>4.65</v>
      </c>
      <c r="E144" s="76">
        <v>1.13</v>
      </c>
      <c r="F144" s="76">
        <v>0.29</v>
      </c>
      <c r="G144" s="76">
        <v>29.88</v>
      </c>
      <c r="H144" s="76">
        <v>23.58</v>
      </c>
      <c r="I144" s="76">
        <v>11.36</v>
      </c>
      <c r="J144" s="76">
        <v>2.24</v>
      </c>
      <c r="K144" s="76">
        <v>6.8</v>
      </c>
      <c r="L144" s="76">
        <v>3.65</v>
      </c>
      <c r="M144" s="76">
        <v>1.84</v>
      </c>
      <c r="N144" s="76">
        <v>0.53</v>
      </c>
      <c r="O144" s="77">
        <v>-32.87</v>
      </c>
      <c r="P144" s="76">
        <v>-0.35</v>
      </c>
      <c r="Q144" s="76">
        <v>0.95</v>
      </c>
      <c r="R144" s="76">
        <v>24.33</v>
      </c>
      <c r="S144" s="76">
        <v>6.25</v>
      </c>
      <c r="T144" s="76">
        <v>16.82</v>
      </c>
      <c r="U144" s="76">
        <v>0.26</v>
      </c>
      <c r="V144" s="76">
        <v>0.74</v>
      </c>
      <c r="W144" s="76">
        <v>0.55</v>
      </c>
      <c r="X144" s="76">
        <v>10.09</v>
      </c>
      <c r="Y144" s="76">
        <v>15.61</v>
      </c>
      <c r="Z144" s="77">
        <v>7400.0</v>
      </c>
      <c r="AA144" s="76">
        <v>32.69</v>
      </c>
      <c r="AB144" s="76">
        <v>7.96</v>
      </c>
      <c r="AC144" s="76">
        <v>0.24</v>
      </c>
      <c r="AD144" s="77">
        <v>1.3604266735E10</v>
      </c>
      <c r="AE144" s="78"/>
    </row>
    <row r="145">
      <c r="A145" s="73" t="s">
        <v>194</v>
      </c>
      <c r="B145" s="77">
        <v>60.68</v>
      </c>
      <c r="C145" s="76">
        <v>9.6</v>
      </c>
      <c r="D145" s="77">
        <v>7.63</v>
      </c>
      <c r="E145" s="76">
        <v>1.86</v>
      </c>
      <c r="F145" s="76">
        <v>0.48</v>
      </c>
      <c r="G145" s="76">
        <v>29.88</v>
      </c>
      <c r="H145" s="76">
        <v>23.58</v>
      </c>
      <c r="I145" s="77">
        <v>11.36</v>
      </c>
      <c r="J145" s="77">
        <v>3.67</v>
      </c>
      <c r="K145" s="77">
        <v>6.8</v>
      </c>
      <c r="L145" s="76">
        <v>3.65</v>
      </c>
      <c r="M145" s="76">
        <v>1.84</v>
      </c>
      <c r="N145" s="76">
        <v>0.87</v>
      </c>
      <c r="O145" s="77">
        <v>-53.91</v>
      </c>
      <c r="P145" s="77">
        <v>-0.58</v>
      </c>
      <c r="Q145" s="76">
        <v>0.95</v>
      </c>
      <c r="R145" s="76">
        <v>24.33</v>
      </c>
      <c r="S145" s="76">
        <v>6.25</v>
      </c>
      <c r="T145" s="76">
        <v>16.82</v>
      </c>
      <c r="U145" s="76">
        <v>0.26</v>
      </c>
      <c r="V145" s="76">
        <v>0.74</v>
      </c>
      <c r="W145" s="76">
        <v>0.55</v>
      </c>
      <c r="X145" s="76">
        <v>10.09</v>
      </c>
      <c r="Y145" s="76">
        <v>15.61</v>
      </c>
      <c r="Z145" s="77">
        <v>0.0</v>
      </c>
      <c r="AA145" s="76">
        <v>32.69</v>
      </c>
      <c r="AB145" s="76">
        <v>7.96</v>
      </c>
      <c r="AC145" s="76">
        <v>0.4</v>
      </c>
      <c r="AD145" s="77">
        <v>1.3604266735E10</v>
      </c>
      <c r="AE145" s="78"/>
    </row>
    <row r="146">
      <c r="A146" s="73" t="s">
        <v>195</v>
      </c>
      <c r="B146" s="76">
        <v>9.79</v>
      </c>
      <c r="C146" s="76">
        <v>0.0</v>
      </c>
      <c r="D146" s="77">
        <v>-1.07</v>
      </c>
      <c r="E146" s="76">
        <v>-0.17</v>
      </c>
      <c r="F146" s="76">
        <v>0.07</v>
      </c>
      <c r="G146" s="76">
        <v>17.46</v>
      </c>
      <c r="H146" s="76">
        <v>6.84</v>
      </c>
      <c r="I146" s="76">
        <v>-10.25</v>
      </c>
      <c r="J146" s="77">
        <v>1.6</v>
      </c>
      <c r="K146" s="77">
        <v>15.88</v>
      </c>
      <c r="L146" s="76">
        <v>14.27</v>
      </c>
      <c r="M146" s="76">
        <v>0.0</v>
      </c>
      <c r="N146" s="76">
        <v>0.11</v>
      </c>
      <c r="O146" s="77">
        <v>1.33</v>
      </c>
      <c r="P146" s="77">
        <v>-0.11</v>
      </c>
      <c r="Q146" s="76">
        <v>1.22</v>
      </c>
      <c r="R146" s="77">
        <v>-15.49</v>
      </c>
      <c r="S146" s="77">
        <v>-6.99</v>
      </c>
      <c r="T146" s="76">
        <v>13.37</v>
      </c>
      <c r="U146" s="76">
        <v>-0.45</v>
      </c>
      <c r="V146" s="76">
        <v>1.45</v>
      </c>
      <c r="W146" s="76">
        <v>0.68</v>
      </c>
      <c r="X146" s="76">
        <v>9.53</v>
      </c>
      <c r="Y146" s="76">
        <v>0.0</v>
      </c>
      <c r="Z146" s="77">
        <v>583.25</v>
      </c>
      <c r="AA146" s="76">
        <v>-59.06</v>
      </c>
      <c r="AB146" s="76">
        <v>-9.15</v>
      </c>
      <c r="AC146" s="76">
        <v>-0.08</v>
      </c>
      <c r="AD146" s="77">
        <v>6.698903476E8</v>
      </c>
      <c r="AE146" s="78"/>
    </row>
    <row r="147">
      <c r="A147" s="73" t="s">
        <v>196</v>
      </c>
      <c r="B147" s="76">
        <v>20.0</v>
      </c>
      <c r="C147" s="76">
        <v>0.0</v>
      </c>
      <c r="D147" s="76">
        <v>-2.19</v>
      </c>
      <c r="E147" s="76">
        <v>-0.34</v>
      </c>
      <c r="F147" s="76">
        <v>0.15</v>
      </c>
      <c r="G147" s="76">
        <v>17.46</v>
      </c>
      <c r="H147" s="76">
        <v>6.84</v>
      </c>
      <c r="I147" s="76">
        <v>-10.25</v>
      </c>
      <c r="J147" s="76">
        <v>3.28</v>
      </c>
      <c r="K147" s="76">
        <v>15.88</v>
      </c>
      <c r="L147" s="76">
        <v>14.27</v>
      </c>
      <c r="M147" s="76">
        <v>0.0</v>
      </c>
      <c r="N147" s="76">
        <v>0.22</v>
      </c>
      <c r="O147" s="77">
        <v>2.72</v>
      </c>
      <c r="P147" s="76">
        <v>-0.22</v>
      </c>
      <c r="Q147" s="76">
        <v>1.22</v>
      </c>
      <c r="R147" s="76">
        <v>-15.49</v>
      </c>
      <c r="S147" s="76">
        <v>-6.99</v>
      </c>
      <c r="T147" s="76">
        <v>13.37</v>
      </c>
      <c r="U147" s="76">
        <v>-0.45</v>
      </c>
      <c r="V147" s="76">
        <v>1.45</v>
      </c>
      <c r="W147" s="76">
        <v>0.68</v>
      </c>
      <c r="X147" s="76">
        <v>9.53</v>
      </c>
      <c r="Y147" s="76">
        <v>0.0</v>
      </c>
      <c r="Z147" s="77">
        <v>0.0</v>
      </c>
      <c r="AA147" s="76">
        <v>-59.06</v>
      </c>
      <c r="AB147" s="76">
        <v>-9.15</v>
      </c>
      <c r="AC147" s="76">
        <v>-0.15</v>
      </c>
      <c r="AD147" s="77">
        <v>6.698903476E8</v>
      </c>
      <c r="AE147" s="78"/>
    </row>
    <row r="148">
      <c r="A148" s="73" t="s">
        <v>197</v>
      </c>
      <c r="B148" s="76">
        <v>55.0</v>
      </c>
      <c r="C148" s="76">
        <v>0.0</v>
      </c>
      <c r="D148" s="76">
        <v>24.76</v>
      </c>
      <c r="E148" s="76">
        <v>7.14</v>
      </c>
      <c r="F148" s="76">
        <v>3.06</v>
      </c>
      <c r="G148" s="76">
        <v>31.38</v>
      </c>
      <c r="H148" s="76">
        <v>20.13</v>
      </c>
      <c r="I148" s="76">
        <v>11.7</v>
      </c>
      <c r="J148" s="76">
        <v>14.39</v>
      </c>
      <c r="K148" s="76">
        <v>15.03</v>
      </c>
      <c r="L148" s="76">
        <v>0.65</v>
      </c>
      <c r="M148" s="76">
        <v>0.32</v>
      </c>
      <c r="N148" s="76">
        <v>2.9</v>
      </c>
      <c r="O148" s="77">
        <v>-42.29</v>
      </c>
      <c r="P148" s="76">
        <v>-3.99</v>
      </c>
      <c r="Q148" s="76">
        <v>0.76</v>
      </c>
      <c r="R148" s="76">
        <v>28.85</v>
      </c>
      <c r="S148" s="76">
        <v>12.36</v>
      </c>
      <c r="T148" s="76">
        <v>25.85</v>
      </c>
      <c r="U148" s="76">
        <v>0.43</v>
      </c>
      <c r="V148" s="76">
        <v>0.57</v>
      </c>
      <c r="W148" s="76">
        <v>1.06</v>
      </c>
      <c r="X148" s="76">
        <v>2.19</v>
      </c>
      <c r="Y148" s="76">
        <v>9.12</v>
      </c>
      <c r="Z148" s="77">
        <v>1100.0</v>
      </c>
      <c r="AA148" s="76">
        <v>7.7</v>
      </c>
      <c r="AB148" s="76">
        <v>2.22</v>
      </c>
      <c r="AC148" s="76">
        <v>1.88</v>
      </c>
      <c r="AD148" s="77">
        <v>1.428007526E10</v>
      </c>
      <c r="AE148" s="78"/>
    </row>
    <row r="149">
      <c r="A149" s="73" t="s">
        <v>198</v>
      </c>
      <c r="B149" s="76">
        <v>125.26</v>
      </c>
      <c r="C149" s="76">
        <v>0.0</v>
      </c>
      <c r="D149" s="76">
        <v>38.46</v>
      </c>
      <c r="E149" s="76">
        <v>10.88</v>
      </c>
      <c r="F149" s="76">
        <v>1.57</v>
      </c>
      <c r="G149" s="76">
        <v>22.37</v>
      </c>
      <c r="H149" s="76">
        <v>15.27</v>
      </c>
      <c r="I149" s="76">
        <v>7.09</v>
      </c>
      <c r="J149" s="76">
        <v>17.85</v>
      </c>
      <c r="K149" s="76">
        <v>23.55</v>
      </c>
      <c r="L149" s="76">
        <v>6.18</v>
      </c>
      <c r="M149" s="76">
        <v>3.77</v>
      </c>
      <c r="N149" s="76">
        <v>2.73</v>
      </c>
      <c r="O149" s="76">
        <v>46.96</v>
      </c>
      <c r="P149" s="76">
        <v>-2.03</v>
      </c>
      <c r="Q149" s="76">
        <v>1.17</v>
      </c>
      <c r="R149" s="76">
        <v>28.29</v>
      </c>
      <c r="S149" s="76">
        <v>4.08</v>
      </c>
      <c r="T149" s="76">
        <v>8.14</v>
      </c>
      <c r="U149" s="76">
        <v>0.14</v>
      </c>
      <c r="V149" s="76">
        <v>0.86</v>
      </c>
      <c r="W149" s="76">
        <v>0.58</v>
      </c>
      <c r="X149" s="76">
        <v>6.27</v>
      </c>
      <c r="Y149" s="76">
        <v>27.12</v>
      </c>
      <c r="Z149" s="77">
        <v>0.0</v>
      </c>
      <c r="AA149" s="76">
        <v>11.51</v>
      </c>
      <c r="AB149" s="76">
        <v>3.26</v>
      </c>
      <c r="AC149" s="76">
        <v>0.01</v>
      </c>
      <c r="AD149" s="77">
        <v>2.2522891703E10</v>
      </c>
      <c r="AE149" s="78"/>
    </row>
    <row r="150">
      <c r="A150" s="73" t="s">
        <v>199</v>
      </c>
      <c r="B150" s="76">
        <v>40.12</v>
      </c>
      <c r="C150" s="76">
        <v>0.0</v>
      </c>
      <c r="D150" s="76">
        <v>12.32</v>
      </c>
      <c r="E150" s="76">
        <v>3.48</v>
      </c>
      <c r="F150" s="76">
        <v>0.5</v>
      </c>
      <c r="G150" s="76">
        <v>22.37</v>
      </c>
      <c r="H150" s="76">
        <v>15.27</v>
      </c>
      <c r="I150" s="76">
        <v>7.09</v>
      </c>
      <c r="J150" s="76">
        <v>5.72</v>
      </c>
      <c r="K150" s="76">
        <v>23.55</v>
      </c>
      <c r="L150" s="76">
        <v>6.18</v>
      </c>
      <c r="M150" s="76">
        <v>3.77</v>
      </c>
      <c r="N150" s="76">
        <v>0.87</v>
      </c>
      <c r="O150" s="76">
        <v>15.04</v>
      </c>
      <c r="P150" s="76">
        <v>-0.65</v>
      </c>
      <c r="Q150" s="76">
        <v>1.17</v>
      </c>
      <c r="R150" s="76">
        <v>28.29</v>
      </c>
      <c r="S150" s="76">
        <v>4.08</v>
      </c>
      <c r="T150" s="76">
        <v>8.14</v>
      </c>
      <c r="U150" s="76">
        <v>0.14</v>
      </c>
      <c r="V150" s="76">
        <v>0.86</v>
      </c>
      <c r="W150" s="76">
        <v>0.58</v>
      </c>
      <c r="X150" s="76">
        <v>6.27</v>
      </c>
      <c r="Y150" s="76">
        <v>27.12</v>
      </c>
      <c r="Z150" s="77">
        <v>0.0</v>
      </c>
      <c r="AA150" s="77">
        <v>11.51</v>
      </c>
      <c r="AB150" s="76">
        <v>3.26</v>
      </c>
      <c r="AC150" s="76">
        <v>0.0</v>
      </c>
      <c r="AD150" s="77">
        <v>2.2522891703E10</v>
      </c>
      <c r="AE150" s="78"/>
    </row>
    <row r="151">
      <c r="A151" s="73" t="s">
        <v>200</v>
      </c>
      <c r="B151" s="76">
        <v>43.0</v>
      </c>
      <c r="C151" s="76">
        <v>0.0</v>
      </c>
      <c r="D151" s="76">
        <v>13.2</v>
      </c>
      <c r="E151" s="76">
        <v>3.73</v>
      </c>
      <c r="F151" s="76">
        <v>0.54</v>
      </c>
      <c r="G151" s="76">
        <v>22.37</v>
      </c>
      <c r="H151" s="77">
        <v>15.27</v>
      </c>
      <c r="I151" s="77">
        <v>7.09</v>
      </c>
      <c r="J151" s="76">
        <v>6.13</v>
      </c>
      <c r="K151" s="76">
        <v>23.55</v>
      </c>
      <c r="L151" s="76">
        <v>6.18</v>
      </c>
      <c r="M151" s="76">
        <v>3.77</v>
      </c>
      <c r="N151" s="76">
        <v>0.94</v>
      </c>
      <c r="O151" s="76">
        <v>16.12</v>
      </c>
      <c r="P151" s="76">
        <v>-0.7</v>
      </c>
      <c r="Q151" s="76">
        <v>1.17</v>
      </c>
      <c r="R151" s="76">
        <v>28.29</v>
      </c>
      <c r="S151" s="76">
        <v>4.08</v>
      </c>
      <c r="T151" s="76">
        <v>8.14</v>
      </c>
      <c r="U151" s="76">
        <v>0.14</v>
      </c>
      <c r="V151" s="76">
        <v>0.86</v>
      </c>
      <c r="W151" s="76">
        <v>0.58</v>
      </c>
      <c r="X151" s="76">
        <v>6.27</v>
      </c>
      <c r="Y151" s="76">
        <v>27.12</v>
      </c>
      <c r="Z151" s="77">
        <v>0.0</v>
      </c>
      <c r="AA151" s="77">
        <v>11.51</v>
      </c>
      <c r="AB151" s="76">
        <v>3.26</v>
      </c>
      <c r="AC151" s="76">
        <v>0.0</v>
      </c>
      <c r="AD151" s="77">
        <v>2.2522891703E10</v>
      </c>
      <c r="AE151" s="78"/>
    </row>
    <row r="152">
      <c r="A152" s="73" t="s">
        <v>201</v>
      </c>
      <c r="B152" s="76">
        <v>25.55</v>
      </c>
      <c r="C152" s="76">
        <v>0.0</v>
      </c>
      <c r="D152" s="76">
        <v>8.74</v>
      </c>
      <c r="E152" s="76">
        <v>1.81</v>
      </c>
      <c r="F152" s="76">
        <v>0.64</v>
      </c>
      <c r="G152" s="76">
        <v>29.87</v>
      </c>
      <c r="H152" s="77">
        <v>114.64</v>
      </c>
      <c r="I152" s="77">
        <v>57.81</v>
      </c>
      <c r="J152" s="76">
        <v>4.4</v>
      </c>
      <c r="K152" s="76">
        <v>7.24</v>
      </c>
      <c r="L152" s="76">
        <v>2.87</v>
      </c>
      <c r="M152" s="76">
        <v>1.18</v>
      </c>
      <c r="N152" s="76">
        <v>5.05</v>
      </c>
      <c r="O152" s="76">
        <v>12.17</v>
      </c>
      <c r="P152" s="76">
        <v>-0.7</v>
      </c>
      <c r="Q152" s="76">
        <v>2.37</v>
      </c>
      <c r="R152" s="76">
        <v>20.71</v>
      </c>
      <c r="S152" s="76">
        <v>7.31</v>
      </c>
      <c r="T152" s="76">
        <v>12.31</v>
      </c>
      <c r="U152" s="76">
        <v>0.35</v>
      </c>
      <c r="V152" s="76">
        <v>0.65</v>
      </c>
      <c r="W152" s="76">
        <v>0.13</v>
      </c>
      <c r="X152" s="76">
        <v>-1.33</v>
      </c>
      <c r="Y152" s="76">
        <v>-3.81</v>
      </c>
      <c r="Z152" s="77">
        <v>0.0</v>
      </c>
      <c r="AA152" s="77">
        <v>14.12</v>
      </c>
      <c r="AB152" s="76">
        <v>2.92</v>
      </c>
      <c r="AC152" s="76">
        <v>0.02</v>
      </c>
      <c r="AD152" s="77">
        <v>8.302192834E9</v>
      </c>
      <c r="AE152" s="78"/>
    </row>
    <row r="153">
      <c r="A153" s="73" t="s">
        <v>202</v>
      </c>
      <c r="B153" s="76">
        <v>25.0</v>
      </c>
      <c r="C153" s="76">
        <v>0.0</v>
      </c>
      <c r="D153" s="76">
        <v>8.55</v>
      </c>
      <c r="E153" s="76">
        <v>1.77</v>
      </c>
      <c r="F153" s="76">
        <v>0.63</v>
      </c>
      <c r="G153" s="76">
        <v>29.87</v>
      </c>
      <c r="H153" s="77">
        <v>114.64</v>
      </c>
      <c r="I153" s="77">
        <v>57.81</v>
      </c>
      <c r="J153" s="76">
        <v>4.31</v>
      </c>
      <c r="K153" s="76">
        <v>7.24</v>
      </c>
      <c r="L153" s="76">
        <v>2.87</v>
      </c>
      <c r="M153" s="76">
        <v>1.18</v>
      </c>
      <c r="N153" s="76">
        <v>4.94</v>
      </c>
      <c r="O153" s="76">
        <v>11.91</v>
      </c>
      <c r="P153" s="76">
        <v>-0.69</v>
      </c>
      <c r="Q153" s="76">
        <v>2.37</v>
      </c>
      <c r="R153" s="76">
        <v>20.71</v>
      </c>
      <c r="S153" s="76">
        <v>7.31</v>
      </c>
      <c r="T153" s="76">
        <v>12.31</v>
      </c>
      <c r="U153" s="76">
        <v>0.35</v>
      </c>
      <c r="V153" s="76">
        <v>0.65</v>
      </c>
      <c r="W153" s="76">
        <v>0.13</v>
      </c>
      <c r="X153" s="76">
        <v>-1.33</v>
      </c>
      <c r="Y153" s="76">
        <v>-3.81</v>
      </c>
      <c r="Z153" s="77">
        <v>0.0</v>
      </c>
      <c r="AA153" s="77">
        <v>14.12</v>
      </c>
      <c r="AB153" s="76">
        <v>2.92</v>
      </c>
      <c r="AC153" s="76">
        <v>0.02</v>
      </c>
      <c r="AD153" s="77">
        <v>8.302192834E9</v>
      </c>
      <c r="AE153" s="78"/>
    </row>
    <row r="154">
      <c r="A154" s="73" t="s">
        <v>203</v>
      </c>
      <c r="B154" s="76">
        <v>25.25</v>
      </c>
      <c r="C154" s="76">
        <v>0.0</v>
      </c>
      <c r="D154" s="76">
        <v>8.63</v>
      </c>
      <c r="E154" s="76">
        <v>1.79</v>
      </c>
      <c r="F154" s="76">
        <v>0.63</v>
      </c>
      <c r="G154" s="76">
        <v>29.87</v>
      </c>
      <c r="H154" s="77">
        <v>114.64</v>
      </c>
      <c r="I154" s="77">
        <v>57.81</v>
      </c>
      <c r="J154" s="76">
        <v>4.35</v>
      </c>
      <c r="K154" s="76">
        <v>7.24</v>
      </c>
      <c r="L154" s="76">
        <v>2.87</v>
      </c>
      <c r="M154" s="76">
        <v>1.18</v>
      </c>
      <c r="N154" s="77">
        <v>4.99</v>
      </c>
      <c r="O154" s="76">
        <v>12.03</v>
      </c>
      <c r="P154" s="76">
        <v>-0.69</v>
      </c>
      <c r="Q154" s="76">
        <v>2.37</v>
      </c>
      <c r="R154" s="76">
        <v>20.71</v>
      </c>
      <c r="S154" s="76">
        <v>7.31</v>
      </c>
      <c r="T154" s="76">
        <v>12.31</v>
      </c>
      <c r="U154" s="76">
        <v>0.35</v>
      </c>
      <c r="V154" s="76">
        <v>0.65</v>
      </c>
      <c r="W154" s="76">
        <v>0.13</v>
      </c>
      <c r="X154" s="76">
        <v>-1.33</v>
      </c>
      <c r="Y154" s="76">
        <v>-3.81</v>
      </c>
      <c r="Z154" s="77">
        <v>0.0</v>
      </c>
      <c r="AA154" s="77">
        <v>14.12</v>
      </c>
      <c r="AB154" s="76">
        <v>2.92</v>
      </c>
      <c r="AC154" s="76">
        <v>0.02</v>
      </c>
      <c r="AD154" s="77">
        <v>8.302192834E9</v>
      </c>
      <c r="AE154" s="78"/>
    </row>
    <row r="155">
      <c r="A155" s="73" t="s">
        <v>204</v>
      </c>
      <c r="B155" s="76">
        <v>127.01</v>
      </c>
      <c r="C155" s="76">
        <v>7.55</v>
      </c>
      <c r="D155" s="76">
        <v>10.41</v>
      </c>
      <c r="E155" s="76">
        <v>8.31</v>
      </c>
      <c r="F155" s="76">
        <v>1.13</v>
      </c>
      <c r="G155" s="76">
        <v>26.94</v>
      </c>
      <c r="H155" s="77">
        <v>22.97</v>
      </c>
      <c r="I155" s="77">
        <v>12.52</v>
      </c>
      <c r="J155" s="76">
        <v>5.68</v>
      </c>
      <c r="K155" s="76">
        <v>8.06</v>
      </c>
      <c r="L155" s="76">
        <v>2.38</v>
      </c>
      <c r="M155" s="76">
        <v>3.49</v>
      </c>
      <c r="N155" s="76">
        <v>1.3</v>
      </c>
      <c r="O155" s="77">
        <v>12.98</v>
      </c>
      <c r="P155" s="76">
        <v>-1.59</v>
      </c>
      <c r="Q155" s="76">
        <v>1.43</v>
      </c>
      <c r="R155" s="77">
        <v>79.8</v>
      </c>
      <c r="S155" s="76">
        <v>10.87</v>
      </c>
      <c r="T155" s="76">
        <v>22.09</v>
      </c>
      <c r="U155" s="76">
        <v>0.14</v>
      </c>
      <c r="V155" s="76">
        <v>0.86</v>
      </c>
      <c r="W155" s="76">
        <v>0.87</v>
      </c>
      <c r="X155" s="76">
        <v>10.17</v>
      </c>
      <c r="Y155" s="76">
        <v>3.41</v>
      </c>
      <c r="Z155" s="77">
        <v>21969.2</v>
      </c>
      <c r="AA155" s="76">
        <v>15.29</v>
      </c>
      <c r="AB155" s="76">
        <v>12.2</v>
      </c>
      <c r="AC155" s="76">
        <v>-0.24</v>
      </c>
      <c r="AD155" s="77">
        <v>1.6831439755E10</v>
      </c>
      <c r="AE155" s="78"/>
    </row>
    <row r="156">
      <c r="A156" s="73" t="s">
        <v>205</v>
      </c>
      <c r="B156" s="76">
        <v>131.3</v>
      </c>
      <c r="C156" s="76">
        <v>7.39</v>
      </c>
      <c r="D156" s="76">
        <v>10.76</v>
      </c>
      <c r="E156" s="76">
        <v>8.59</v>
      </c>
      <c r="F156" s="76">
        <v>1.17</v>
      </c>
      <c r="G156" s="76">
        <v>26.94</v>
      </c>
      <c r="H156" s="76">
        <v>22.97</v>
      </c>
      <c r="I156" s="76">
        <v>12.52</v>
      </c>
      <c r="J156" s="76">
        <v>5.87</v>
      </c>
      <c r="K156" s="76">
        <v>8.06</v>
      </c>
      <c r="L156" s="76">
        <v>2.38</v>
      </c>
      <c r="M156" s="76">
        <v>3.49</v>
      </c>
      <c r="N156" s="76">
        <v>1.35</v>
      </c>
      <c r="O156" s="76">
        <v>13.41</v>
      </c>
      <c r="P156" s="76">
        <v>-1.64</v>
      </c>
      <c r="Q156" s="76">
        <v>1.43</v>
      </c>
      <c r="R156" s="76">
        <v>79.8</v>
      </c>
      <c r="S156" s="76">
        <v>10.87</v>
      </c>
      <c r="T156" s="76">
        <v>22.09</v>
      </c>
      <c r="U156" s="76">
        <v>0.14</v>
      </c>
      <c r="V156" s="76">
        <v>0.86</v>
      </c>
      <c r="W156" s="76">
        <v>0.87</v>
      </c>
      <c r="X156" s="76">
        <v>10.17</v>
      </c>
      <c r="Y156" s="76">
        <v>3.41</v>
      </c>
      <c r="Z156" s="77">
        <v>67643.05</v>
      </c>
      <c r="AA156" s="77">
        <v>15.29</v>
      </c>
      <c r="AB156" s="76">
        <v>12.2</v>
      </c>
      <c r="AC156" s="76">
        <v>-0.25</v>
      </c>
      <c r="AD156" s="77">
        <v>1.6831439755E10</v>
      </c>
      <c r="AE156" s="78"/>
    </row>
    <row r="157">
      <c r="A157" s="73" t="s">
        <v>206</v>
      </c>
      <c r="B157" s="76">
        <v>27.5</v>
      </c>
      <c r="C157" s="76">
        <v>25.03</v>
      </c>
      <c r="D157" s="77">
        <v>6.46</v>
      </c>
      <c r="E157" s="76">
        <v>0.69</v>
      </c>
      <c r="F157" s="76">
        <v>0.5</v>
      </c>
      <c r="G157" s="76">
        <v>53.39</v>
      </c>
      <c r="H157" s="76">
        <v>8.92</v>
      </c>
      <c r="I157" s="76">
        <v>13.75</v>
      </c>
      <c r="J157" s="76">
        <v>9.95</v>
      </c>
      <c r="K157" s="76">
        <v>6.54</v>
      </c>
      <c r="L157" s="76">
        <v>-3.25</v>
      </c>
      <c r="M157" s="76">
        <v>-0.22</v>
      </c>
      <c r="N157" s="76">
        <v>0.89</v>
      </c>
      <c r="O157" s="76">
        <v>1.74</v>
      </c>
      <c r="P157" s="76">
        <v>-0.91</v>
      </c>
      <c r="Q157" s="76">
        <v>2.81</v>
      </c>
      <c r="R157" s="76">
        <v>10.65</v>
      </c>
      <c r="S157" s="76">
        <v>7.77</v>
      </c>
      <c r="T157" s="76">
        <v>6.37</v>
      </c>
      <c r="U157" s="76">
        <v>0.73</v>
      </c>
      <c r="V157" s="76">
        <v>0.27</v>
      </c>
      <c r="W157" s="76">
        <v>0.56</v>
      </c>
      <c r="X157" s="76">
        <v>8.68</v>
      </c>
      <c r="Y157" s="76">
        <v>-4.66</v>
      </c>
      <c r="Z157" s="77">
        <v>50002.95</v>
      </c>
      <c r="AA157" s="76">
        <v>39.96</v>
      </c>
      <c r="AB157" s="76">
        <v>4.26</v>
      </c>
      <c r="AC157" s="76">
        <v>0.46</v>
      </c>
      <c r="AD157" s="77">
        <v>6.476667773E8</v>
      </c>
      <c r="AE157" s="78"/>
    </row>
    <row r="158">
      <c r="A158" s="73" t="s">
        <v>207</v>
      </c>
      <c r="B158" s="76">
        <v>26.7</v>
      </c>
      <c r="C158" s="76">
        <v>25.78</v>
      </c>
      <c r="D158" s="77">
        <v>6.27</v>
      </c>
      <c r="E158" s="76">
        <v>0.67</v>
      </c>
      <c r="F158" s="76">
        <v>0.49</v>
      </c>
      <c r="G158" s="76">
        <v>53.39</v>
      </c>
      <c r="H158" s="76">
        <v>8.92</v>
      </c>
      <c r="I158" s="76">
        <v>13.75</v>
      </c>
      <c r="J158" s="76">
        <v>9.66</v>
      </c>
      <c r="K158" s="76">
        <v>6.54</v>
      </c>
      <c r="L158" s="76">
        <v>-3.25</v>
      </c>
      <c r="M158" s="76">
        <v>-0.22</v>
      </c>
      <c r="N158" s="76">
        <v>0.86</v>
      </c>
      <c r="O158" s="76">
        <v>1.69</v>
      </c>
      <c r="P158" s="76">
        <v>-0.88</v>
      </c>
      <c r="Q158" s="76">
        <v>2.81</v>
      </c>
      <c r="R158" s="76">
        <v>10.65</v>
      </c>
      <c r="S158" s="76">
        <v>7.77</v>
      </c>
      <c r="T158" s="76">
        <v>6.37</v>
      </c>
      <c r="U158" s="76">
        <v>0.73</v>
      </c>
      <c r="V158" s="76">
        <v>0.27</v>
      </c>
      <c r="W158" s="76">
        <v>0.56</v>
      </c>
      <c r="X158" s="76">
        <v>8.68</v>
      </c>
      <c r="Y158" s="76">
        <v>-4.66</v>
      </c>
      <c r="Z158" s="77">
        <v>251871.4</v>
      </c>
      <c r="AA158" s="76">
        <v>39.96</v>
      </c>
      <c r="AB158" s="76">
        <v>4.26</v>
      </c>
      <c r="AC158" s="76">
        <v>0.45</v>
      </c>
      <c r="AD158" s="77">
        <v>6.476667773E8</v>
      </c>
      <c r="AE158" s="78"/>
    </row>
    <row r="159">
      <c r="A159" s="73" t="s">
        <v>208</v>
      </c>
      <c r="B159" s="76">
        <v>5.83</v>
      </c>
      <c r="C159" s="76">
        <v>0.0</v>
      </c>
      <c r="D159" s="77">
        <v>8.39</v>
      </c>
      <c r="E159" s="76">
        <v>1.13</v>
      </c>
      <c r="F159" s="76">
        <v>0.13</v>
      </c>
      <c r="G159" s="76">
        <v>39.57</v>
      </c>
      <c r="H159" s="76">
        <v>21.03</v>
      </c>
      <c r="I159" s="76">
        <v>17.24</v>
      </c>
      <c r="J159" s="76">
        <v>6.88</v>
      </c>
      <c r="K159" s="76">
        <v>10.04</v>
      </c>
      <c r="L159" s="76">
        <v>3.17</v>
      </c>
      <c r="M159" s="76">
        <v>0.52</v>
      </c>
      <c r="N159" s="76">
        <v>1.45</v>
      </c>
      <c r="O159" s="76">
        <v>1.06</v>
      </c>
      <c r="P159" s="76">
        <v>-1.53</v>
      </c>
      <c r="Q159" s="76">
        <v>1.16</v>
      </c>
      <c r="R159" s="76">
        <v>13.5</v>
      </c>
      <c r="S159" s="76">
        <v>1.59</v>
      </c>
      <c r="T159" s="76">
        <v>5.77</v>
      </c>
      <c r="U159" s="76">
        <v>0.12</v>
      </c>
      <c r="V159" s="76">
        <v>0.88</v>
      </c>
      <c r="W159" s="76">
        <v>0.09</v>
      </c>
      <c r="X159" s="76">
        <v>-0.43</v>
      </c>
      <c r="Y159" s="76">
        <v>30.96</v>
      </c>
      <c r="Z159" s="77">
        <v>0.0</v>
      </c>
      <c r="AA159" s="76">
        <v>5.15</v>
      </c>
      <c r="AB159" s="76">
        <v>0.7</v>
      </c>
      <c r="AC159" s="76">
        <v>0.27</v>
      </c>
      <c r="AD159" s="77">
        <v>1.5839031806E10</v>
      </c>
      <c r="AE159" s="78"/>
    </row>
    <row r="160">
      <c r="A160" s="73" t="s">
        <v>209</v>
      </c>
      <c r="B160" s="76">
        <v>10.49</v>
      </c>
      <c r="C160" s="76">
        <v>0.0</v>
      </c>
      <c r="D160" s="76">
        <v>-24.41</v>
      </c>
      <c r="E160" s="76">
        <v>3.06</v>
      </c>
      <c r="F160" s="76">
        <v>2.3</v>
      </c>
      <c r="G160" s="76">
        <v>33.36</v>
      </c>
      <c r="H160" s="76">
        <v>-32.02</v>
      </c>
      <c r="I160" s="76">
        <v>-16.96</v>
      </c>
      <c r="J160" s="76">
        <v>-12.93</v>
      </c>
      <c r="K160" s="76">
        <v>-10.71</v>
      </c>
      <c r="L160" s="76">
        <v>2.22</v>
      </c>
      <c r="M160" s="76">
        <v>-0.52</v>
      </c>
      <c r="N160" s="76">
        <v>4.14</v>
      </c>
      <c r="O160" s="76">
        <v>7.9</v>
      </c>
      <c r="P160" s="76">
        <v>-4.94</v>
      </c>
      <c r="Q160" s="76">
        <v>2.19</v>
      </c>
      <c r="R160" s="76">
        <v>-12.52</v>
      </c>
      <c r="S160" s="76">
        <v>-9.4</v>
      </c>
      <c r="T160" s="76">
        <v>-34.71</v>
      </c>
      <c r="U160" s="76">
        <v>0.75</v>
      </c>
      <c r="V160" s="76">
        <v>0.25</v>
      </c>
      <c r="W160" s="76">
        <v>0.55</v>
      </c>
      <c r="X160" s="76">
        <v>17.88</v>
      </c>
      <c r="Y160" s="76">
        <v>0.0</v>
      </c>
      <c r="Z160" s="77">
        <v>5.777811E7</v>
      </c>
      <c r="AA160" s="76">
        <v>3.43</v>
      </c>
      <c r="AB160" s="76">
        <v>-0.43</v>
      </c>
      <c r="AC160" s="76">
        <v>-0.08</v>
      </c>
      <c r="AD160" s="77">
        <v>1.971344369E9</v>
      </c>
      <c r="AE160" s="78"/>
    </row>
    <row r="161">
      <c r="A161" s="73" t="s">
        <v>210</v>
      </c>
      <c r="B161" s="76">
        <v>131.0</v>
      </c>
      <c r="C161" s="76">
        <v>2.22</v>
      </c>
      <c r="D161" s="76">
        <v>7.2</v>
      </c>
      <c r="E161" s="76">
        <v>1.28</v>
      </c>
      <c r="F161" s="76">
        <v>0.37</v>
      </c>
      <c r="G161" s="76">
        <v>17.1</v>
      </c>
      <c r="H161" s="77">
        <v>11.73</v>
      </c>
      <c r="I161" s="77">
        <v>6.02</v>
      </c>
      <c r="J161" s="76">
        <v>3.7</v>
      </c>
      <c r="K161" s="76">
        <v>7.01</v>
      </c>
      <c r="L161" s="76">
        <v>3.02</v>
      </c>
      <c r="M161" s="76">
        <v>1.04</v>
      </c>
      <c r="N161" s="77">
        <v>0.43</v>
      </c>
      <c r="O161" s="76">
        <v>7.18</v>
      </c>
      <c r="P161" s="76">
        <v>-0.52</v>
      </c>
      <c r="Q161" s="76">
        <v>1.23</v>
      </c>
      <c r="R161" s="76">
        <v>17.75</v>
      </c>
      <c r="S161" s="76">
        <v>5.19</v>
      </c>
      <c r="T161" s="76">
        <v>13.54</v>
      </c>
      <c r="U161" s="76">
        <v>0.29</v>
      </c>
      <c r="V161" s="76">
        <v>0.71</v>
      </c>
      <c r="W161" s="76">
        <v>0.86</v>
      </c>
      <c r="X161" s="76">
        <v>5.86</v>
      </c>
      <c r="Y161" s="76">
        <v>19.86</v>
      </c>
      <c r="Z161" s="77">
        <v>32683.86</v>
      </c>
      <c r="AA161" s="76">
        <v>102.44</v>
      </c>
      <c r="AB161" s="76">
        <v>18.18</v>
      </c>
      <c r="AC161" s="76">
        <v>1.82</v>
      </c>
      <c r="AD161" s="77">
        <v>5.45177792E9</v>
      </c>
      <c r="AE161" s="78"/>
    </row>
    <row r="162">
      <c r="A162" s="73" t="s">
        <v>211</v>
      </c>
      <c r="B162" s="76">
        <v>148.31</v>
      </c>
      <c r="C162" s="76">
        <v>2.16</v>
      </c>
      <c r="D162" s="76">
        <v>8.16</v>
      </c>
      <c r="E162" s="76">
        <v>1.45</v>
      </c>
      <c r="F162" s="76">
        <v>0.42</v>
      </c>
      <c r="G162" s="76">
        <v>17.1</v>
      </c>
      <c r="H162" s="76">
        <v>11.73</v>
      </c>
      <c r="I162" s="77">
        <v>6.02</v>
      </c>
      <c r="J162" s="76">
        <v>4.19</v>
      </c>
      <c r="K162" s="76">
        <v>7.01</v>
      </c>
      <c r="L162" s="76">
        <v>3.02</v>
      </c>
      <c r="M162" s="76">
        <v>1.04</v>
      </c>
      <c r="N162" s="76">
        <v>0.49</v>
      </c>
      <c r="O162" s="76">
        <v>8.12</v>
      </c>
      <c r="P162" s="76">
        <v>-0.59</v>
      </c>
      <c r="Q162" s="76">
        <v>1.23</v>
      </c>
      <c r="R162" s="76">
        <v>17.75</v>
      </c>
      <c r="S162" s="76">
        <v>5.19</v>
      </c>
      <c r="T162" s="76">
        <v>13.54</v>
      </c>
      <c r="U162" s="76">
        <v>0.29</v>
      </c>
      <c r="V162" s="76">
        <v>0.71</v>
      </c>
      <c r="W162" s="76">
        <v>0.86</v>
      </c>
      <c r="X162" s="76">
        <v>5.86</v>
      </c>
      <c r="Y162" s="76">
        <v>19.86</v>
      </c>
      <c r="Z162" s="77">
        <v>522097.6</v>
      </c>
      <c r="AA162" s="76">
        <v>102.44</v>
      </c>
      <c r="AB162" s="76">
        <v>18.18</v>
      </c>
      <c r="AC162" s="76">
        <v>2.06</v>
      </c>
      <c r="AD162" s="77">
        <v>5.45177792E9</v>
      </c>
      <c r="AE162" s="78"/>
    </row>
    <row r="163">
      <c r="A163" s="73" t="s">
        <v>212</v>
      </c>
      <c r="B163" s="76">
        <v>15.35</v>
      </c>
      <c r="C163" s="76">
        <v>10.75</v>
      </c>
      <c r="D163" s="76">
        <v>10.93</v>
      </c>
      <c r="E163" s="76">
        <v>1.53</v>
      </c>
      <c r="F163" s="76">
        <v>0.68</v>
      </c>
      <c r="G163" s="76">
        <v>17.82</v>
      </c>
      <c r="H163" s="76">
        <v>13.62</v>
      </c>
      <c r="I163" s="76">
        <v>9.47</v>
      </c>
      <c r="J163" s="76">
        <v>7.6</v>
      </c>
      <c r="K163" s="76">
        <v>8.72</v>
      </c>
      <c r="L163" s="76">
        <v>2.27</v>
      </c>
      <c r="M163" s="76">
        <v>0.46</v>
      </c>
      <c r="N163" s="76">
        <v>1.04</v>
      </c>
      <c r="O163" s="76">
        <v>-26.83</v>
      </c>
      <c r="P163" s="76">
        <v>-0.85</v>
      </c>
      <c r="Q163" s="76">
        <v>0.89</v>
      </c>
      <c r="R163" s="77">
        <v>13.99</v>
      </c>
      <c r="S163" s="76">
        <v>6.21</v>
      </c>
      <c r="T163" s="76">
        <v>12.05</v>
      </c>
      <c r="U163" s="76">
        <v>0.44</v>
      </c>
      <c r="V163" s="76">
        <v>0.56</v>
      </c>
      <c r="W163" s="76">
        <v>0.66</v>
      </c>
      <c r="X163" s="76">
        <v>9.42</v>
      </c>
      <c r="Y163" s="76">
        <v>5.15</v>
      </c>
      <c r="Z163" s="77">
        <v>2097796.0</v>
      </c>
      <c r="AA163" s="76">
        <v>10.04</v>
      </c>
      <c r="AB163" s="76">
        <v>1.4</v>
      </c>
      <c r="AC163" s="76">
        <v>-0.28</v>
      </c>
      <c r="AD163" s="77">
        <v>3.7298325744E10</v>
      </c>
      <c r="AE163" s="78"/>
    </row>
    <row r="164">
      <c r="A164" s="73" t="s">
        <v>213</v>
      </c>
      <c r="B164" s="76">
        <v>11.87</v>
      </c>
      <c r="C164" s="76">
        <v>13.91</v>
      </c>
      <c r="D164" s="76">
        <v>8.45</v>
      </c>
      <c r="E164" s="76">
        <v>1.18</v>
      </c>
      <c r="F164" s="76">
        <v>0.52</v>
      </c>
      <c r="G164" s="76">
        <v>17.82</v>
      </c>
      <c r="H164" s="76">
        <v>13.62</v>
      </c>
      <c r="I164" s="76">
        <v>9.47</v>
      </c>
      <c r="J164" s="76">
        <v>5.88</v>
      </c>
      <c r="K164" s="76">
        <v>8.72</v>
      </c>
      <c r="L164" s="76">
        <v>2.27</v>
      </c>
      <c r="M164" s="76">
        <v>0.46</v>
      </c>
      <c r="N164" s="76">
        <v>0.8</v>
      </c>
      <c r="O164" s="76">
        <v>-20.75</v>
      </c>
      <c r="P164" s="76">
        <v>-0.66</v>
      </c>
      <c r="Q164" s="76">
        <v>0.89</v>
      </c>
      <c r="R164" s="76">
        <v>13.99</v>
      </c>
      <c r="S164" s="76">
        <v>6.21</v>
      </c>
      <c r="T164" s="76">
        <v>12.05</v>
      </c>
      <c r="U164" s="76">
        <v>0.44</v>
      </c>
      <c r="V164" s="76">
        <v>0.56</v>
      </c>
      <c r="W164" s="76">
        <v>0.66</v>
      </c>
      <c r="X164" s="76">
        <v>9.42</v>
      </c>
      <c r="Y164" s="76">
        <v>5.15</v>
      </c>
      <c r="Z164" s="77">
        <v>1.55E8</v>
      </c>
      <c r="AA164" s="76">
        <v>10.04</v>
      </c>
      <c r="AB164" s="76">
        <v>1.4</v>
      </c>
      <c r="AC164" s="76">
        <v>-0.22</v>
      </c>
      <c r="AD164" s="77">
        <v>3.7298325744E10</v>
      </c>
      <c r="AE164" s="78"/>
    </row>
    <row r="165">
      <c r="A165" s="73" t="s">
        <v>214</v>
      </c>
      <c r="B165" s="76">
        <v>5.33</v>
      </c>
      <c r="C165" s="76">
        <v>9.07</v>
      </c>
      <c r="D165" s="76">
        <v>11.83</v>
      </c>
      <c r="E165" s="76">
        <v>2.9</v>
      </c>
      <c r="F165" s="76">
        <v>0.81</v>
      </c>
      <c r="G165" s="76">
        <v>47.64</v>
      </c>
      <c r="H165" s="76">
        <v>29.29</v>
      </c>
      <c r="I165" s="76">
        <v>13.79</v>
      </c>
      <c r="J165" s="76">
        <v>5.57</v>
      </c>
      <c r="K165" s="76">
        <v>4.74</v>
      </c>
      <c r="L165" s="76">
        <v>-0.83</v>
      </c>
      <c r="M165" s="76">
        <v>-0.43</v>
      </c>
      <c r="N165" s="76">
        <v>1.63</v>
      </c>
      <c r="O165" s="76">
        <v>3.45</v>
      </c>
      <c r="P165" s="76">
        <v>-1.49</v>
      </c>
      <c r="Q165" s="76">
        <v>2.02</v>
      </c>
      <c r="R165" s="77">
        <v>24.47</v>
      </c>
      <c r="S165" s="76">
        <v>6.8</v>
      </c>
      <c r="T165" s="76">
        <v>19.37</v>
      </c>
      <c r="U165" s="76">
        <v>0.28</v>
      </c>
      <c r="V165" s="76">
        <v>0.72</v>
      </c>
      <c r="W165" s="76">
        <v>0.49</v>
      </c>
      <c r="X165" s="76">
        <v>7.57</v>
      </c>
      <c r="Y165" s="76">
        <v>-7.58</v>
      </c>
      <c r="Z165" s="77">
        <v>4.68052E7</v>
      </c>
      <c r="AA165" s="76">
        <v>1.84</v>
      </c>
      <c r="AB165" s="76">
        <v>0.45</v>
      </c>
      <c r="AC165" s="76">
        <v>-0.33</v>
      </c>
      <c r="AD165" s="79">
        <v>2.9236855991E10</v>
      </c>
      <c r="AE165" s="80"/>
    </row>
    <row r="166">
      <c r="A166" s="73" t="s">
        <v>215</v>
      </c>
      <c r="B166" s="76">
        <v>0.0</v>
      </c>
      <c r="C166" s="76">
        <v>0.0</v>
      </c>
      <c r="D166" s="76">
        <v>0.0</v>
      </c>
      <c r="E166" s="76">
        <v>0.0</v>
      </c>
      <c r="F166" s="76">
        <v>0.0</v>
      </c>
      <c r="G166" s="76">
        <v>0.0</v>
      </c>
      <c r="H166" s="76">
        <v>0.0</v>
      </c>
      <c r="I166" s="76">
        <v>0.0</v>
      </c>
      <c r="J166" s="76">
        <v>0.0</v>
      </c>
      <c r="K166" s="76">
        <v>0.07</v>
      </c>
      <c r="L166" s="76">
        <v>0.07</v>
      </c>
      <c r="M166" s="76">
        <v>-0.96</v>
      </c>
      <c r="N166" s="76">
        <v>0.0</v>
      </c>
      <c r="O166" s="76">
        <v>0.0</v>
      </c>
      <c r="P166" s="76">
        <v>0.0</v>
      </c>
      <c r="Q166" s="76">
        <v>38.28</v>
      </c>
      <c r="R166" s="77">
        <v>-1369.84</v>
      </c>
      <c r="S166" s="76">
        <v>-1336.29</v>
      </c>
      <c r="T166" s="76">
        <v>-1392.4</v>
      </c>
      <c r="U166" s="76">
        <v>0.98</v>
      </c>
      <c r="V166" s="76">
        <v>0.02</v>
      </c>
      <c r="W166" s="76">
        <v>0.0</v>
      </c>
      <c r="X166" s="76">
        <v>0.0</v>
      </c>
      <c r="Y166" s="76">
        <v>0.0</v>
      </c>
      <c r="Z166" s="77">
        <v>0.0</v>
      </c>
      <c r="AA166" s="76">
        <v>0.0</v>
      </c>
      <c r="AB166" s="76">
        <v>0.0</v>
      </c>
      <c r="AC166" s="76">
        <v>0.0</v>
      </c>
      <c r="AD166" s="77">
        <v>0.0</v>
      </c>
      <c r="AE166" s="78"/>
    </row>
    <row r="167">
      <c r="A167" s="73" t="s">
        <v>216</v>
      </c>
      <c r="B167" s="76">
        <v>0.0</v>
      </c>
      <c r="C167" s="76">
        <v>0.0</v>
      </c>
      <c r="D167" s="76">
        <v>0.0</v>
      </c>
      <c r="E167" s="76">
        <v>0.0</v>
      </c>
      <c r="F167" s="76">
        <v>0.0</v>
      </c>
      <c r="G167" s="76">
        <v>0.0</v>
      </c>
      <c r="H167" s="77">
        <v>0.0</v>
      </c>
      <c r="I167" s="77">
        <v>0.0</v>
      </c>
      <c r="J167" s="76">
        <v>0.0</v>
      </c>
      <c r="K167" s="76">
        <v>0.07</v>
      </c>
      <c r="L167" s="76">
        <v>0.07</v>
      </c>
      <c r="M167" s="76">
        <v>-0.96</v>
      </c>
      <c r="N167" s="76">
        <v>0.0</v>
      </c>
      <c r="O167" s="76">
        <v>0.0</v>
      </c>
      <c r="P167" s="76">
        <v>0.0</v>
      </c>
      <c r="Q167" s="76">
        <v>38.28</v>
      </c>
      <c r="R167" s="77">
        <v>-1369.84</v>
      </c>
      <c r="S167" s="76">
        <v>-1336.29</v>
      </c>
      <c r="T167" s="76">
        <v>-1392.4</v>
      </c>
      <c r="U167" s="76">
        <v>0.98</v>
      </c>
      <c r="V167" s="76">
        <v>0.02</v>
      </c>
      <c r="W167" s="76">
        <v>0.0</v>
      </c>
      <c r="X167" s="76">
        <v>0.0</v>
      </c>
      <c r="Y167" s="76">
        <v>0.0</v>
      </c>
      <c r="Z167" s="77">
        <v>0.0</v>
      </c>
      <c r="AA167" s="77">
        <v>0.0</v>
      </c>
      <c r="AB167" s="76">
        <v>0.0</v>
      </c>
      <c r="AC167" s="76">
        <v>0.0</v>
      </c>
      <c r="AD167" s="77">
        <v>0.0</v>
      </c>
      <c r="AE167" s="78"/>
    </row>
    <row r="168">
      <c r="A168" s="73" t="s">
        <v>217</v>
      </c>
      <c r="B168" s="76">
        <v>30.22</v>
      </c>
      <c r="C168" s="76">
        <v>0.0</v>
      </c>
      <c r="D168" s="77">
        <v>-86.19</v>
      </c>
      <c r="E168" s="77">
        <v>-23.75</v>
      </c>
      <c r="F168" s="76">
        <v>5.37</v>
      </c>
      <c r="G168" s="76">
        <v>18.72</v>
      </c>
      <c r="H168" s="76">
        <v>7.08</v>
      </c>
      <c r="I168" s="76">
        <v>-7.71</v>
      </c>
      <c r="J168" s="76">
        <v>93.87</v>
      </c>
      <c r="K168" s="76">
        <v>109.95</v>
      </c>
      <c r="L168" s="76">
        <v>16.08</v>
      </c>
      <c r="M168" s="76">
        <v>0.0</v>
      </c>
      <c r="N168" s="76">
        <v>6.65</v>
      </c>
      <c r="O168" s="77">
        <v>-28.61</v>
      </c>
      <c r="P168" s="77">
        <v>-6.18</v>
      </c>
      <c r="Q168" s="76">
        <v>0.41</v>
      </c>
      <c r="R168" s="77">
        <v>-27.56</v>
      </c>
      <c r="S168" s="76">
        <v>-6.23</v>
      </c>
      <c r="T168" s="77">
        <v>4.37</v>
      </c>
      <c r="U168" s="76">
        <v>-0.23</v>
      </c>
      <c r="V168" s="76">
        <v>1.23</v>
      </c>
      <c r="W168" s="76">
        <v>0.81</v>
      </c>
      <c r="X168" s="76">
        <v>2.97</v>
      </c>
      <c r="Y168" s="76">
        <v>0.0</v>
      </c>
      <c r="Z168" s="77">
        <v>0.0</v>
      </c>
      <c r="AA168" s="76">
        <v>-1.27</v>
      </c>
      <c r="AB168" s="76">
        <v>-0.35</v>
      </c>
      <c r="AC168" s="76">
        <v>0.14</v>
      </c>
      <c r="AD168" s="77">
        <v>9.358850839E8</v>
      </c>
      <c r="AE168" s="78"/>
    </row>
    <row r="169">
      <c r="A169" s="73" t="s">
        <v>218</v>
      </c>
      <c r="B169" s="76">
        <v>38.0</v>
      </c>
      <c r="C169" s="76">
        <v>3.56</v>
      </c>
      <c r="D169" s="76">
        <v>11.15</v>
      </c>
      <c r="E169" s="76">
        <v>0.63</v>
      </c>
      <c r="F169" s="76">
        <v>0.21</v>
      </c>
      <c r="G169" s="76">
        <v>17.1</v>
      </c>
      <c r="H169" s="77">
        <v>13.41</v>
      </c>
      <c r="I169" s="77">
        <v>3.33</v>
      </c>
      <c r="J169" s="76">
        <v>2.77</v>
      </c>
      <c r="K169" s="76">
        <v>7.37</v>
      </c>
      <c r="L169" s="76">
        <v>4.81</v>
      </c>
      <c r="M169" s="76">
        <v>1.09</v>
      </c>
      <c r="N169" s="76">
        <v>0.37</v>
      </c>
      <c r="O169" s="76">
        <v>-1.14</v>
      </c>
      <c r="P169" s="76">
        <v>-0.26</v>
      </c>
      <c r="Q169" s="76">
        <v>0.53</v>
      </c>
      <c r="R169" s="76">
        <v>5.64</v>
      </c>
      <c r="S169" s="76">
        <v>1.87</v>
      </c>
      <c r="T169" s="76">
        <v>9.92</v>
      </c>
      <c r="U169" s="76">
        <v>0.33</v>
      </c>
      <c r="V169" s="76">
        <v>0.67</v>
      </c>
      <c r="W169" s="76">
        <v>0.56</v>
      </c>
      <c r="X169" s="76">
        <v>9.44</v>
      </c>
      <c r="Y169" s="76">
        <v>-6.19</v>
      </c>
      <c r="Z169" s="77">
        <v>1450.25</v>
      </c>
      <c r="AA169" s="77">
        <v>60.39</v>
      </c>
      <c r="AB169" s="76">
        <v>3.41</v>
      </c>
      <c r="AC169" s="76">
        <v>10.56</v>
      </c>
      <c r="AD169" s="77">
        <v>3.023843761E9</v>
      </c>
      <c r="AE169" s="78"/>
    </row>
    <row r="170">
      <c r="A170" s="73" t="s">
        <v>219</v>
      </c>
      <c r="B170" s="76">
        <v>30.23</v>
      </c>
      <c r="C170" s="76">
        <v>4.47</v>
      </c>
      <c r="D170" s="77">
        <v>8.87</v>
      </c>
      <c r="E170" s="76">
        <v>0.5</v>
      </c>
      <c r="F170" s="76">
        <v>0.17</v>
      </c>
      <c r="G170" s="76">
        <v>17.1</v>
      </c>
      <c r="H170" s="76">
        <v>13.41</v>
      </c>
      <c r="I170" s="76">
        <v>3.33</v>
      </c>
      <c r="J170" s="76">
        <v>2.2</v>
      </c>
      <c r="K170" s="76">
        <v>7.37</v>
      </c>
      <c r="L170" s="76">
        <v>4.81</v>
      </c>
      <c r="M170" s="76">
        <v>1.09</v>
      </c>
      <c r="N170" s="76">
        <v>0.3</v>
      </c>
      <c r="O170" s="76">
        <v>-0.9</v>
      </c>
      <c r="P170" s="76">
        <v>-0.21</v>
      </c>
      <c r="Q170" s="76">
        <v>0.53</v>
      </c>
      <c r="R170" s="76">
        <v>5.64</v>
      </c>
      <c r="S170" s="76">
        <v>1.87</v>
      </c>
      <c r="T170" s="76">
        <v>9.92</v>
      </c>
      <c r="U170" s="76">
        <v>0.33</v>
      </c>
      <c r="V170" s="76">
        <v>0.67</v>
      </c>
      <c r="W170" s="76">
        <v>0.56</v>
      </c>
      <c r="X170" s="76">
        <v>9.44</v>
      </c>
      <c r="Y170" s="76">
        <v>-6.19</v>
      </c>
      <c r="Z170" s="77">
        <v>832583.2</v>
      </c>
      <c r="AA170" s="76">
        <v>60.39</v>
      </c>
      <c r="AB170" s="76">
        <v>3.41</v>
      </c>
      <c r="AC170" s="76">
        <v>8.4</v>
      </c>
      <c r="AD170" s="77">
        <v>3.023843761E9</v>
      </c>
      <c r="AE170" s="78"/>
    </row>
    <row r="171">
      <c r="A171" s="73" t="s">
        <v>220</v>
      </c>
      <c r="B171" s="76">
        <v>12.83</v>
      </c>
      <c r="C171" s="76">
        <v>13.9</v>
      </c>
      <c r="D171" s="77">
        <v>3.76</v>
      </c>
      <c r="E171" s="77">
        <v>0.21</v>
      </c>
      <c r="F171" s="76">
        <v>0.07</v>
      </c>
      <c r="G171" s="76">
        <v>17.1</v>
      </c>
      <c r="H171" s="76">
        <v>13.41</v>
      </c>
      <c r="I171" s="76">
        <v>3.33</v>
      </c>
      <c r="J171" s="76">
        <v>0.93</v>
      </c>
      <c r="K171" s="76">
        <v>7.37</v>
      </c>
      <c r="L171" s="76">
        <v>4.81</v>
      </c>
      <c r="M171" s="76">
        <v>1.09</v>
      </c>
      <c r="N171" s="76">
        <v>0.13</v>
      </c>
      <c r="O171" s="77">
        <v>-0.38</v>
      </c>
      <c r="P171" s="77">
        <v>-0.09</v>
      </c>
      <c r="Q171" s="76">
        <v>0.53</v>
      </c>
      <c r="R171" s="76">
        <v>5.64</v>
      </c>
      <c r="S171" s="76">
        <v>1.87</v>
      </c>
      <c r="T171" s="77">
        <v>9.92</v>
      </c>
      <c r="U171" s="76">
        <v>0.33</v>
      </c>
      <c r="V171" s="76">
        <v>0.67</v>
      </c>
      <c r="W171" s="76">
        <v>0.56</v>
      </c>
      <c r="X171" s="76">
        <v>9.44</v>
      </c>
      <c r="Y171" s="76">
        <v>-6.19</v>
      </c>
      <c r="Z171" s="77">
        <v>0.0</v>
      </c>
      <c r="AA171" s="76">
        <v>60.39</v>
      </c>
      <c r="AB171" s="76">
        <v>3.41</v>
      </c>
      <c r="AC171" s="76">
        <v>3.57</v>
      </c>
      <c r="AD171" s="77">
        <v>3.023843761E9</v>
      </c>
      <c r="AE171" s="78"/>
    </row>
    <row r="172">
      <c r="A172" s="73" t="s">
        <v>221</v>
      </c>
      <c r="B172" s="76">
        <v>3.59</v>
      </c>
      <c r="C172" s="76">
        <v>5.05</v>
      </c>
      <c r="D172" s="76">
        <v>5.57</v>
      </c>
      <c r="E172" s="76">
        <v>0.58</v>
      </c>
      <c r="F172" s="76">
        <v>0.31</v>
      </c>
      <c r="G172" s="76">
        <v>68.62</v>
      </c>
      <c r="H172" s="76">
        <v>22.42</v>
      </c>
      <c r="I172" s="76">
        <v>19.08</v>
      </c>
      <c r="J172" s="76">
        <v>4.74</v>
      </c>
      <c r="K172" s="76">
        <v>8.0</v>
      </c>
      <c r="L172" s="76">
        <v>3.26</v>
      </c>
      <c r="M172" s="76">
        <v>0.4</v>
      </c>
      <c r="N172" s="76">
        <v>1.06</v>
      </c>
      <c r="O172" s="76">
        <v>3.82</v>
      </c>
      <c r="P172" s="76">
        <v>-0.38</v>
      </c>
      <c r="Q172" s="76">
        <v>1.81</v>
      </c>
      <c r="R172" s="76">
        <v>10.43</v>
      </c>
      <c r="S172" s="76">
        <v>5.59</v>
      </c>
      <c r="T172" s="76">
        <v>5.58</v>
      </c>
      <c r="U172" s="76">
        <v>0.54</v>
      </c>
      <c r="V172" s="76">
        <v>0.42</v>
      </c>
      <c r="W172" s="76">
        <v>0.29</v>
      </c>
      <c r="X172" s="76">
        <v>-1.88</v>
      </c>
      <c r="Y172" s="76">
        <v>41.43</v>
      </c>
      <c r="Z172" s="77">
        <v>1.69E8</v>
      </c>
      <c r="AA172" s="76">
        <v>6.18</v>
      </c>
      <c r="AB172" s="76">
        <v>0.64</v>
      </c>
      <c r="AC172" s="76">
        <v>-0.01</v>
      </c>
      <c r="AD172" s="77">
        <v>7.410717923E9</v>
      </c>
      <c r="AE172" s="78"/>
    </row>
    <row r="173">
      <c r="A173" s="73" t="s">
        <v>222</v>
      </c>
      <c r="B173" s="76">
        <v>2.71</v>
      </c>
      <c r="C173" s="76">
        <v>0.0</v>
      </c>
      <c r="D173" s="77">
        <v>0.01</v>
      </c>
      <c r="E173" s="77">
        <v>0.01</v>
      </c>
      <c r="F173" s="76">
        <v>0.0</v>
      </c>
      <c r="G173" s="76">
        <v>100.0</v>
      </c>
      <c r="H173" s="76">
        <v>2560.96</v>
      </c>
      <c r="I173" s="76">
        <v>2141.14</v>
      </c>
      <c r="J173" s="76">
        <v>0.01</v>
      </c>
      <c r="K173" s="76">
        <v>-1.26</v>
      </c>
      <c r="L173" s="76">
        <v>-1.41</v>
      </c>
      <c r="M173" s="76">
        <v>-2.58</v>
      </c>
      <c r="N173" s="76">
        <v>0.19</v>
      </c>
      <c r="O173" s="77">
        <v>0.01</v>
      </c>
      <c r="P173" s="77">
        <v>-0.02</v>
      </c>
      <c r="Q173" s="76">
        <v>4.25</v>
      </c>
      <c r="R173" s="76">
        <v>152.84</v>
      </c>
      <c r="S173" s="76">
        <v>44.18</v>
      </c>
      <c r="T173" s="77">
        <v>126.45</v>
      </c>
      <c r="U173" s="76">
        <v>0.29</v>
      </c>
      <c r="V173" s="76">
        <v>0.71</v>
      </c>
      <c r="W173" s="76">
        <v>0.02</v>
      </c>
      <c r="X173" s="76">
        <v>-16.36</v>
      </c>
      <c r="Y173" s="76">
        <v>0.0</v>
      </c>
      <c r="Z173" s="77">
        <v>0.0</v>
      </c>
      <c r="AA173" s="76">
        <v>201.49</v>
      </c>
      <c r="AB173" s="76">
        <v>307.95</v>
      </c>
      <c r="AC173" s="76">
        <v>0.0</v>
      </c>
      <c r="AD173" s="77">
        <v>1278894.65</v>
      </c>
      <c r="AE173" s="78"/>
    </row>
    <row r="174">
      <c r="A174" s="73" t="s">
        <v>223</v>
      </c>
      <c r="B174" s="76">
        <v>82.0</v>
      </c>
      <c r="C174" s="76">
        <v>0.0</v>
      </c>
      <c r="D174" s="77">
        <v>0.27</v>
      </c>
      <c r="E174" s="76">
        <v>0.41</v>
      </c>
      <c r="F174" s="76">
        <v>0.12</v>
      </c>
      <c r="G174" s="76">
        <v>100.0</v>
      </c>
      <c r="H174" s="76">
        <v>2560.96</v>
      </c>
      <c r="I174" s="76">
        <v>2141.14</v>
      </c>
      <c r="J174" s="76">
        <v>0.22</v>
      </c>
      <c r="K174" s="76">
        <v>-1.26</v>
      </c>
      <c r="L174" s="76">
        <v>-1.41</v>
      </c>
      <c r="M174" s="76">
        <v>-2.58</v>
      </c>
      <c r="N174" s="76">
        <v>5.7</v>
      </c>
      <c r="O174" s="76">
        <v>0.2</v>
      </c>
      <c r="P174" s="76">
        <v>-0.48</v>
      </c>
      <c r="Q174" s="76">
        <v>4.25</v>
      </c>
      <c r="R174" s="76">
        <v>152.84</v>
      </c>
      <c r="S174" s="76">
        <v>44.18</v>
      </c>
      <c r="T174" s="76">
        <v>126.45</v>
      </c>
      <c r="U174" s="76">
        <v>0.29</v>
      </c>
      <c r="V174" s="76">
        <v>0.71</v>
      </c>
      <c r="W174" s="76">
        <v>0.02</v>
      </c>
      <c r="X174" s="76">
        <v>-16.36</v>
      </c>
      <c r="Y174" s="76">
        <v>0.0</v>
      </c>
      <c r="Z174" s="77">
        <v>0.0</v>
      </c>
      <c r="AA174" s="76">
        <v>201.49</v>
      </c>
      <c r="AB174" s="76">
        <v>307.95</v>
      </c>
      <c r="AC174" s="76">
        <v>0.0</v>
      </c>
      <c r="AD174" s="77">
        <v>1278894.65</v>
      </c>
      <c r="AE174" s="78"/>
    </row>
    <row r="175">
      <c r="A175" s="73" t="s">
        <v>224</v>
      </c>
      <c r="B175" s="76">
        <v>50.02</v>
      </c>
      <c r="C175" s="76">
        <v>5.59</v>
      </c>
      <c r="D175" s="76">
        <v>10.58</v>
      </c>
      <c r="E175" s="76">
        <v>2.54</v>
      </c>
      <c r="F175" s="76">
        <v>0.7</v>
      </c>
      <c r="G175" s="76">
        <v>31.43</v>
      </c>
      <c r="H175" s="77">
        <v>24.61</v>
      </c>
      <c r="I175" s="77">
        <v>12.25</v>
      </c>
      <c r="J175" s="76">
        <v>5.26</v>
      </c>
      <c r="K175" s="76">
        <v>7.35</v>
      </c>
      <c r="L175" s="76">
        <v>2.09</v>
      </c>
      <c r="M175" s="76">
        <v>1.01</v>
      </c>
      <c r="N175" s="76">
        <v>1.3</v>
      </c>
      <c r="O175" s="76">
        <v>566.78</v>
      </c>
      <c r="P175" s="76">
        <v>-0.9</v>
      </c>
      <c r="Q175" s="76">
        <v>1.01</v>
      </c>
      <c r="R175" s="76">
        <v>24.04</v>
      </c>
      <c r="S175" s="77">
        <v>6.61</v>
      </c>
      <c r="T175" s="76">
        <v>16.03</v>
      </c>
      <c r="U175" s="76">
        <v>0.27</v>
      </c>
      <c r="V175" s="76">
        <v>0.71</v>
      </c>
      <c r="W175" s="77">
        <v>0.54</v>
      </c>
      <c r="X175" s="76">
        <v>7.33</v>
      </c>
      <c r="Y175" s="76">
        <v>15.06</v>
      </c>
      <c r="Z175" s="77">
        <v>1.12E8</v>
      </c>
      <c r="AA175" s="76">
        <v>19.67</v>
      </c>
      <c r="AB175" s="76">
        <v>4.73</v>
      </c>
      <c r="AC175" s="76">
        <v>-15.36</v>
      </c>
      <c r="AD175" s="77">
        <v>5.7635767089E10</v>
      </c>
      <c r="AE175" s="78"/>
    </row>
    <row r="176">
      <c r="A176" s="73" t="s">
        <v>225</v>
      </c>
      <c r="B176" s="76">
        <v>14.28</v>
      </c>
      <c r="C176" s="76">
        <v>8.57</v>
      </c>
      <c r="D176" s="76">
        <v>19.29</v>
      </c>
      <c r="E176" s="76">
        <v>1.64</v>
      </c>
      <c r="F176" s="76">
        <v>0.69</v>
      </c>
      <c r="G176" s="76">
        <v>21.31</v>
      </c>
      <c r="H176" s="77">
        <v>18.07</v>
      </c>
      <c r="I176" s="77">
        <v>8.85</v>
      </c>
      <c r="J176" s="76">
        <v>9.45</v>
      </c>
      <c r="K176" s="76">
        <v>13.21</v>
      </c>
      <c r="L176" s="76">
        <v>3.76</v>
      </c>
      <c r="M176" s="76">
        <v>0.65</v>
      </c>
      <c r="N176" s="76">
        <v>1.71</v>
      </c>
      <c r="O176" s="76">
        <v>10.7</v>
      </c>
      <c r="P176" s="76">
        <v>-0.87</v>
      </c>
      <c r="Q176" s="76">
        <v>1.43</v>
      </c>
      <c r="R176" s="76">
        <v>8.5</v>
      </c>
      <c r="S176" s="77">
        <v>3.56</v>
      </c>
      <c r="T176" s="76">
        <v>8.15</v>
      </c>
      <c r="U176" s="76">
        <v>0.42</v>
      </c>
      <c r="V176" s="76">
        <v>0.58</v>
      </c>
      <c r="W176" s="77">
        <v>0.4</v>
      </c>
      <c r="X176" s="76">
        <v>6.88</v>
      </c>
      <c r="Y176" s="76">
        <v>2.1</v>
      </c>
      <c r="Z176" s="77">
        <v>2.78E8</v>
      </c>
      <c r="AA176" s="77">
        <v>8.71</v>
      </c>
      <c r="AB176" s="76">
        <v>0.74</v>
      </c>
      <c r="AC176" s="76">
        <v>-0.67</v>
      </c>
      <c r="AD176" s="77">
        <v>4.2594535239E10</v>
      </c>
      <c r="AE176" s="78"/>
    </row>
    <row r="177">
      <c r="A177" s="73" t="s">
        <v>226</v>
      </c>
      <c r="B177" s="76">
        <v>13.58</v>
      </c>
      <c r="C177" s="76">
        <v>3.23</v>
      </c>
      <c r="D177" s="76">
        <v>18.34</v>
      </c>
      <c r="E177" s="76">
        <v>1.56</v>
      </c>
      <c r="F177" s="76">
        <v>0.65</v>
      </c>
      <c r="G177" s="76">
        <v>21.31</v>
      </c>
      <c r="H177" s="76">
        <v>18.07</v>
      </c>
      <c r="I177" s="76">
        <v>8.85</v>
      </c>
      <c r="J177" s="76">
        <v>8.99</v>
      </c>
      <c r="K177" s="76">
        <v>13.21</v>
      </c>
      <c r="L177" s="76">
        <v>3.76</v>
      </c>
      <c r="M177" s="76">
        <v>0.65</v>
      </c>
      <c r="N177" s="76">
        <v>1.62</v>
      </c>
      <c r="O177" s="76">
        <v>10.18</v>
      </c>
      <c r="P177" s="76">
        <v>-0.83</v>
      </c>
      <c r="Q177" s="76">
        <v>1.43</v>
      </c>
      <c r="R177" s="76">
        <v>8.5</v>
      </c>
      <c r="S177" s="77">
        <v>3.56</v>
      </c>
      <c r="T177" s="76">
        <v>8.15</v>
      </c>
      <c r="U177" s="76">
        <v>0.42</v>
      </c>
      <c r="V177" s="76">
        <v>0.58</v>
      </c>
      <c r="W177" s="76">
        <v>0.4</v>
      </c>
      <c r="X177" s="76">
        <v>6.88</v>
      </c>
      <c r="Y177" s="76">
        <v>2.1</v>
      </c>
      <c r="Z177" s="77">
        <v>4.08E8</v>
      </c>
      <c r="AA177" s="76">
        <v>8.71</v>
      </c>
      <c r="AB177" s="76">
        <v>0.74</v>
      </c>
      <c r="AC177" s="76">
        <v>-0.64</v>
      </c>
      <c r="AD177" s="77">
        <v>4.2594535239E10</v>
      </c>
      <c r="AE177" s="78"/>
    </row>
    <row r="178">
      <c r="A178" s="73" t="s">
        <v>227</v>
      </c>
      <c r="B178" s="76">
        <v>14.22</v>
      </c>
      <c r="C178" s="76">
        <v>3.08</v>
      </c>
      <c r="D178" s="76">
        <v>19.21</v>
      </c>
      <c r="E178" s="76">
        <v>1.63</v>
      </c>
      <c r="F178" s="76">
        <v>0.68</v>
      </c>
      <c r="G178" s="76">
        <v>21.31</v>
      </c>
      <c r="H178" s="76">
        <v>18.07</v>
      </c>
      <c r="I178" s="76">
        <v>8.85</v>
      </c>
      <c r="J178" s="76">
        <v>9.41</v>
      </c>
      <c r="K178" s="76">
        <v>13.21</v>
      </c>
      <c r="L178" s="76">
        <v>3.76</v>
      </c>
      <c r="M178" s="76">
        <v>0.65</v>
      </c>
      <c r="N178" s="76">
        <v>1.7</v>
      </c>
      <c r="O178" s="76">
        <v>10.66</v>
      </c>
      <c r="P178" s="76">
        <v>-0.87</v>
      </c>
      <c r="Q178" s="76">
        <v>1.43</v>
      </c>
      <c r="R178" s="76">
        <v>8.5</v>
      </c>
      <c r="S178" s="76">
        <v>3.56</v>
      </c>
      <c r="T178" s="76">
        <v>8.15</v>
      </c>
      <c r="U178" s="76">
        <v>0.42</v>
      </c>
      <c r="V178" s="76">
        <v>0.58</v>
      </c>
      <c r="W178" s="76">
        <v>0.4</v>
      </c>
      <c r="X178" s="76">
        <v>6.88</v>
      </c>
      <c r="Y178" s="76">
        <v>2.1</v>
      </c>
      <c r="Z178" s="77">
        <v>1.21E8</v>
      </c>
      <c r="AA178" s="76">
        <v>8.71</v>
      </c>
      <c r="AB178" s="76">
        <v>0.74</v>
      </c>
      <c r="AC178" s="76">
        <v>-0.67</v>
      </c>
      <c r="AD178" s="77">
        <v>4.2594535239E10</v>
      </c>
      <c r="AE178" s="78"/>
    </row>
    <row r="179">
      <c r="A179" s="73" t="s">
        <v>228</v>
      </c>
      <c r="B179" s="76">
        <v>18.23</v>
      </c>
      <c r="C179" s="76">
        <v>0.0</v>
      </c>
      <c r="D179" s="76">
        <v>10.21</v>
      </c>
      <c r="E179" s="76">
        <v>2.26</v>
      </c>
      <c r="F179" s="76">
        <v>1.01</v>
      </c>
      <c r="G179" s="76">
        <v>63.22</v>
      </c>
      <c r="H179" s="76">
        <v>46.54</v>
      </c>
      <c r="I179" s="76">
        <v>29.15</v>
      </c>
      <c r="J179" s="76">
        <v>6.39</v>
      </c>
      <c r="K179" s="76">
        <v>6.38</v>
      </c>
      <c r="L179" s="76">
        <v>-0.01</v>
      </c>
      <c r="M179" s="76">
        <v>-0.01</v>
      </c>
      <c r="N179" s="76">
        <v>2.98</v>
      </c>
      <c r="O179" s="76">
        <v>3979.65</v>
      </c>
      <c r="P179" s="76">
        <v>-1.2</v>
      </c>
      <c r="Q179" s="76">
        <v>1.0</v>
      </c>
      <c r="R179" s="76">
        <v>22.18</v>
      </c>
      <c r="S179" s="76">
        <v>9.85</v>
      </c>
      <c r="T179" s="76">
        <v>20.91</v>
      </c>
      <c r="U179" s="76">
        <v>0.44</v>
      </c>
      <c r="V179" s="76">
        <v>0.55</v>
      </c>
      <c r="W179" s="76">
        <v>0.34</v>
      </c>
      <c r="X179" s="76">
        <v>13.5</v>
      </c>
      <c r="Y179" s="76">
        <v>61.47</v>
      </c>
      <c r="Z179" s="77">
        <v>0.0</v>
      </c>
      <c r="AA179" s="76">
        <v>8.05</v>
      </c>
      <c r="AB179" s="76">
        <v>1.79</v>
      </c>
      <c r="AC179" s="76">
        <v>-0.42</v>
      </c>
      <c r="AD179" s="77">
        <v>1.0824655048E10</v>
      </c>
      <c r="AE179" s="78"/>
    </row>
    <row r="180">
      <c r="A180" s="73" t="s">
        <v>229</v>
      </c>
      <c r="B180" s="76">
        <v>14.5</v>
      </c>
      <c r="C180" s="76">
        <v>0.0</v>
      </c>
      <c r="D180" s="76">
        <v>32.7</v>
      </c>
      <c r="E180" s="76">
        <v>2.45</v>
      </c>
      <c r="F180" s="76">
        <v>0.67</v>
      </c>
      <c r="G180" s="76">
        <v>30.3</v>
      </c>
      <c r="H180" s="76">
        <v>7.39</v>
      </c>
      <c r="I180" s="76">
        <v>2.1</v>
      </c>
      <c r="J180" s="76">
        <v>9.28</v>
      </c>
      <c r="K180" s="76">
        <v>13.11</v>
      </c>
      <c r="L180" s="76">
        <v>3.84</v>
      </c>
      <c r="M180" s="76">
        <v>1.01</v>
      </c>
      <c r="N180" s="76">
        <v>0.69</v>
      </c>
      <c r="O180" s="76">
        <v>4.89</v>
      </c>
      <c r="P180" s="76">
        <v>-1.69</v>
      </c>
      <c r="Q180" s="76">
        <v>1.29</v>
      </c>
      <c r="R180" s="76">
        <v>7.5</v>
      </c>
      <c r="S180" s="76">
        <v>2.05</v>
      </c>
      <c r="T180" s="76">
        <v>9.29</v>
      </c>
      <c r="U180" s="76">
        <v>0.27</v>
      </c>
      <c r="V180" s="76">
        <v>0.73</v>
      </c>
      <c r="W180" s="76">
        <v>0.98</v>
      </c>
      <c r="X180" s="76">
        <v>1.09</v>
      </c>
      <c r="Y180" s="76">
        <v>0.0</v>
      </c>
      <c r="Z180" s="77">
        <v>0.0</v>
      </c>
      <c r="AA180" s="76">
        <v>5.91</v>
      </c>
      <c r="AB180" s="76">
        <v>0.44</v>
      </c>
      <c r="AC180" s="76">
        <v>22.14</v>
      </c>
      <c r="AD180" s="77">
        <v>4.65122474E8</v>
      </c>
      <c r="AE180" s="78"/>
    </row>
    <row r="181">
      <c r="A181" s="73" t="s">
        <v>230</v>
      </c>
      <c r="B181" s="77">
        <v>8.48</v>
      </c>
      <c r="C181" s="76">
        <v>0.01</v>
      </c>
      <c r="D181" s="77">
        <v>9.84</v>
      </c>
      <c r="E181" s="76">
        <v>0.83</v>
      </c>
      <c r="F181" s="76">
        <v>0.19</v>
      </c>
      <c r="G181" s="76">
        <v>18.14</v>
      </c>
      <c r="H181" s="76">
        <v>3.75</v>
      </c>
      <c r="I181" s="76">
        <v>1.52</v>
      </c>
      <c r="J181" s="77">
        <v>3.99</v>
      </c>
      <c r="K181" s="77">
        <v>8.47</v>
      </c>
      <c r="L181" s="76">
        <v>4.49</v>
      </c>
      <c r="M181" s="76">
        <v>0.94</v>
      </c>
      <c r="N181" s="76">
        <v>0.15</v>
      </c>
      <c r="O181" s="77">
        <v>5.86</v>
      </c>
      <c r="P181" s="76">
        <v>-0.36</v>
      </c>
      <c r="Q181" s="76">
        <v>1.07</v>
      </c>
      <c r="R181" s="76">
        <v>8.48</v>
      </c>
      <c r="S181" s="76">
        <v>1.89</v>
      </c>
      <c r="T181" s="76">
        <v>8.28</v>
      </c>
      <c r="U181" s="76">
        <v>0.22</v>
      </c>
      <c r="V181" s="76">
        <v>0.76</v>
      </c>
      <c r="W181" s="76">
        <v>1.25</v>
      </c>
      <c r="X181" s="76">
        <v>14.0</v>
      </c>
      <c r="Y181" s="76">
        <v>12.41</v>
      </c>
      <c r="Z181" s="77">
        <v>1.22E8</v>
      </c>
      <c r="AA181" s="76">
        <v>10.16</v>
      </c>
      <c r="AB181" s="76">
        <v>0.86</v>
      </c>
      <c r="AC181" s="76">
        <v>0.0</v>
      </c>
      <c r="AD181" s="77">
        <v>1.7884800909E10</v>
      </c>
      <c r="AE181" s="78"/>
    </row>
    <row r="182">
      <c r="A182" s="73" t="s">
        <v>231</v>
      </c>
      <c r="B182" s="76">
        <v>6.98</v>
      </c>
      <c r="C182" s="76">
        <v>0.0</v>
      </c>
      <c r="D182" s="76">
        <v>35.1</v>
      </c>
      <c r="E182" s="76">
        <v>0.66</v>
      </c>
      <c r="F182" s="76">
        <v>0.04</v>
      </c>
      <c r="G182" s="76">
        <v>20.26</v>
      </c>
      <c r="H182" s="76">
        <v>0.43</v>
      </c>
      <c r="I182" s="76">
        <v>0.99</v>
      </c>
      <c r="J182" s="76">
        <v>81.37</v>
      </c>
      <c r="K182" s="76">
        <v>80.16</v>
      </c>
      <c r="L182" s="76">
        <v>0.0</v>
      </c>
      <c r="M182" s="76">
        <v>0.0</v>
      </c>
      <c r="N182" s="76">
        <v>0.35</v>
      </c>
      <c r="O182" s="76">
        <v>0.07</v>
      </c>
      <c r="P182" s="76">
        <v>-0.09</v>
      </c>
      <c r="Q182" s="76">
        <v>131.56</v>
      </c>
      <c r="R182" s="76">
        <v>1.89</v>
      </c>
      <c r="S182" s="76">
        <v>0.12</v>
      </c>
      <c r="T182" s="76">
        <v>0.0</v>
      </c>
      <c r="U182" s="76">
        <v>0.06</v>
      </c>
      <c r="V182" s="76">
        <v>0.94</v>
      </c>
      <c r="W182" s="76">
        <v>0.12</v>
      </c>
      <c r="X182" s="76">
        <v>27.56</v>
      </c>
      <c r="Y182" s="76">
        <v>-21.36</v>
      </c>
      <c r="Z182" s="77">
        <v>0.0</v>
      </c>
      <c r="AA182" s="76">
        <v>10.5</v>
      </c>
      <c r="AB182" s="76">
        <v>0.2</v>
      </c>
      <c r="AC182" s="76">
        <v>-0.75</v>
      </c>
      <c r="AD182" s="77">
        <v>7.07929532E8</v>
      </c>
      <c r="AE182" s="78"/>
    </row>
    <row r="183">
      <c r="A183" s="73" t="s">
        <v>232</v>
      </c>
      <c r="B183" s="77">
        <v>6.74</v>
      </c>
      <c r="C183" s="76">
        <v>0.0</v>
      </c>
      <c r="D183" s="77">
        <v>33.89</v>
      </c>
      <c r="E183" s="76">
        <v>0.64</v>
      </c>
      <c r="F183" s="76">
        <v>0.04</v>
      </c>
      <c r="G183" s="76">
        <v>20.26</v>
      </c>
      <c r="H183" s="76">
        <v>0.43</v>
      </c>
      <c r="I183" s="76">
        <v>0.99</v>
      </c>
      <c r="J183" s="77">
        <v>78.57</v>
      </c>
      <c r="K183" s="77">
        <v>80.16</v>
      </c>
      <c r="L183" s="76">
        <v>0.0</v>
      </c>
      <c r="M183" s="76">
        <v>0.0</v>
      </c>
      <c r="N183" s="76">
        <v>0.33</v>
      </c>
      <c r="O183" s="77">
        <v>0.07</v>
      </c>
      <c r="P183" s="76">
        <v>-0.09</v>
      </c>
      <c r="Q183" s="76">
        <v>131.56</v>
      </c>
      <c r="R183" s="76">
        <v>1.89</v>
      </c>
      <c r="S183" s="76">
        <v>0.12</v>
      </c>
      <c r="T183" s="76">
        <v>0.0</v>
      </c>
      <c r="U183" s="76">
        <v>0.06</v>
      </c>
      <c r="V183" s="76">
        <v>0.94</v>
      </c>
      <c r="W183" s="76">
        <v>0.12</v>
      </c>
      <c r="X183" s="76">
        <v>27.56</v>
      </c>
      <c r="Y183" s="76">
        <v>-21.36</v>
      </c>
      <c r="Z183" s="77">
        <v>0.0</v>
      </c>
      <c r="AA183" s="76">
        <v>10.5</v>
      </c>
      <c r="AB183" s="76">
        <v>0.2</v>
      </c>
      <c r="AC183" s="76">
        <v>-0.72</v>
      </c>
      <c r="AD183" s="77">
        <v>7.07929532E8</v>
      </c>
      <c r="AE183" s="78"/>
    </row>
    <row r="184">
      <c r="A184" s="73" t="s">
        <v>233</v>
      </c>
      <c r="B184" s="77">
        <v>19.35</v>
      </c>
      <c r="C184" s="76">
        <v>0.0</v>
      </c>
      <c r="D184" s="77">
        <v>-23.34</v>
      </c>
      <c r="E184" s="77">
        <v>1.0</v>
      </c>
      <c r="F184" s="76">
        <v>0.61</v>
      </c>
      <c r="G184" s="76">
        <v>2.16</v>
      </c>
      <c r="H184" s="76">
        <v>-4.84</v>
      </c>
      <c r="I184" s="76">
        <v>-3.16</v>
      </c>
      <c r="J184" s="77">
        <v>-15.24</v>
      </c>
      <c r="K184" s="77">
        <v>-13.53</v>
      </c>
      <c r="L184" s="76">
        <v>2.2</v>
      </c>
      <c r="M184" s="76">
        <v>-0.14</v>
      </c>
      <c r="N184" s="76">
        <v>0.74</v>
      </c>
      <c r="O184" s="77">
        <v>1.7</v>
      </c>
      <c r="P184" s="76">
        <v>-1.67</v>
      </c>
      <c r="Q184" s="76">
        <v>2.3</v>
      </c>
      <c r="R184" s="77">
        <v>-4.29</v>
      </c>
      <c r="S184" s="76">
        <v>-2.61</v>
      </c>
      <c r="T184" s="76">
        <v>-6.82</v>
      </c>
      <c r="U184" s="76">
        <v>0.61</v>
      </c>
      <c r="V184" s="76">
        <v>0.39</v>
      </c>
      <c r="W184" s="76">
        <v>0.83</v>
      </c>
      <c r="X184" s="76">
        <v>2.32</v>
      </c>
      <c r="Y184" s="76">
        <v>0.0</v>
      </c>
      <c r="Z184" s="77">
        <v>706.6</v>
      </c>
      <c r="AA184" s="76">
        <v>19.31</v>
      </c>
      <c r="AB184" s="76">
        <v>-0.83</v>
      </c>
      <c r="AC184" s="76">
        <v>0.3</v>
      </c>
      <c r="AD184" s="77">
        <v>5.79430086E8</v>
      </c>
      <c r="AE184" s="78"/>
    </row>
    <row r="185">
      <c r="A185" s="73" t="s">
        <v>234</v>
      </c>
      <c r="B185" s="77">
        <v>20.3</v>
      </c>
      <c r="C185" s="76">
        <v>0.0</v>
      </c>
      <c r="D185" s="77">
        <v>-24.49</v>
      </c>
      <c r="E185" s="77">
        <v>1.05</v>
      </c>
      <c r="F185" s="76">
        <v>0.64</v>
      </c>
      <c r="G185" s="76">
        <v>2.16</v>
      </c>
      <c r="H185" s="76">
        <v>-4.84</v>
      </c>
      <c r="I185" s="76">
        <v>-3.16</v>
      </c>
      <c r="J185" s="77">
        <v>-15.99</v>
      </c>
      <c r="K185" s="77">
        <v>-13.53</v>
      </c>
      <c r="L185" s="76">
        <v>2.2</v>
      </c>
      <c r="M185" s="76">
        <v>-0.14</v>
      </c>
      <c r="N185" s="76">
        <v>0.77</v>
      </c>
      <c r="O185" s="77">
        <v>1.79</v>
      </c>
      <c r="P185" s="76">
        <v>-1.75</v>
      </c>
      <c r="Q185" s="76">
        <v>2.3</v>
      </c>
      <c r="R185" s="77">
        <v>-4.29</v>
      </c>
      <c r="S185" s="76">
        <v>-2.61</v>
      </c>
      <c r="T185" s="76">
        <v>-6.82</v>
      </c>
      <c r="U185" s="76">
        <v>0.61</v>
      </c>
      <c r="V185" s="76">
        <v>0.39</v>
      </c>
      <c r="W185" s="76">
        <v>0.83</v>
      </c>
      <c r="X185" s="76">
        <v>2.32</v>
      </c>
      <c r="Y185" s="76">
        <v>0.0</v>
      </c>
      <c r="Z185" s="77">
        <v>40301.24</v>
      </c>
      <c r="AA185" s="76">
        <v>19.31</v>
      </c>
      <c r="AB185" s="76">
        <v>-0.83</v>
      </c>
      <c r="AC185" s="76">
        <v>0.31</v>
      </c>
      <c r="AD185" s="77">
        <v>5.79430086E8</v>
      </c>
      <c r="AE185" s="78"/>
    </row>
    <row r="186">
      <c r="A186" s="73" t="s">
        <v>235</v>
      </c>
      <c r="B186" s="76">
        <v>19.5</v>
      </c>
      <c r="C186" s="76">
        <v>0.0</v>
      </c>
      <c r="D186" s="76">
        <v>-23.52</v>
      </c>
      <c r="E186" s="76">
        <v>1.01</v>
      </c>
      <c r="F186" s="76">
        <v>0.61</v>
      </c>
      <c r="G186" s="76">
        <v>2.16</v>
      </c>
      <c r="H186" s="76">
        <v>-4.84</v>
      </c>
      <c r="I186" s="76">
        <v>-3.16</v>
      </c>
      <c r="J186" s="76">
        <v>-15.36</v>
      </c>
      <c r="K186" s="76">
        <v>-13.53</v>
      </c>
      <c r="L186" s="76">
        <v>2.2</v>
      </c>
      <c r="M186" s="76">
        <v>-0.14</v>
      </c>
      <c r="N186" s="76">
        <v>0.74</v>
      </c>
      <c r="O186" s="76">
        <v>1.71</v>
      </c>
      <c r="P186" s="76">
        <v>-1.68</v>
      </c>
      <c r="Q186" s="76">
        <v>2.3</v>
      </c>
      <c r="R186" s="76">
        <v>-4.29</v>
      </c>
      <c r="S186" s="76">
        <v>-2.61</v>
      </c>
      <c r="T186" s="76">
        <v>-6.82</v>
      </c>
      <c r="U186" s="76">
        <v>0.61</v>
      </c>
      <c r="V186" s="76">
        <v>0.39</v>
      </c>
      <c r="W186" s="76">
        <v>0.83</v>
      </c>
      <c r="X186" s="76">
        <v>2.32</v>
      </c>
      <c r="Y186" s="76">
        <v>0.0</v>
      </c>
      <c r="Z186" s="77">
        <v>12718.36</v>
      </c>
      <c r="AA186" s="76">
        <v>19.31</v>
      </c>
      <c r="AB186" s="76">
        <v>-0.83</v>
      </c>
      <c r="AC186" s="76">
        <v>0.3</v>
      </c>
      <c r="AD186" s="77">
        <v>5.79430086E8</v>
      </c>
      <c r="AE186" s="78"/>
    </row>
    <row r="187">
      <c r="A187" s="73" t="s">
        <v>236</v>
      </c>
      <c r="B187" s="76">
        <v>30.5</v>
      </c>
      <c r="C187" s="76">
        <v>0.0</v>
      </c>
      <c r="D187" s="76">
        <v>12.39</v>
      </c>
      <c r="E187" s="76">
        <v>1.11</v>
      </c>
      <c r="F187" s="76">
        <v>0.57</v>
      </c>
      <c r="G187" s="76">
        <v>-124.0</v>
      </c>
      <c r="H187" s="76">
        <v>1656.27</v>
      </c>
      <c r="I187" s="76">
        <v>2521.73</v>
      </c>
      <c r="J187" s="76">
        <v>18.86</v>
      </c>
      <c r="K187" s="76">
        <v>24.57</v>
      </c>
      <c r="L187" s="76">
        <v>0.0</v>
      </c>
      <c r="M187" s="76">
        <v>0.0</v>
      </c>
      <c r="N187" s="76">
        <v>312.32</v>
      </c>
      <c r="O187" s="76">
        <v>3.54</v>
      </c>
      <c r="P187" s="76">
        <v>-0.71</v>
      </c>
      <c r="Q187" s="76">
        <v>4.45</v>
      </c>
      <c r="R187" s="77">
        <v>8.94</v>
      </c>
      <c r="S187" s="77">
        <v>4.57</v>
      </c>
      <c r="T187" s="77">
        <v>0.0</v>
      </c>
      <c r="U187" s="76">
        <v>0.51</v>
      </c>
      <c r="V187" s="76">
        <v>0.49</v>
      </c>
      <c r="W187" s="76">
        <v>0.0</v>
      </c>
      <c r="X187" s="76">
        <v>-33.4</v>
      </c>
      <c r="Y187" s="76">
        <v>-1.31</v>
      </c>
      <c r="Z187" s="77">
        <v>0.0</v>
      </c>
      <c r="AA187" s="76">
        <v>27.56</v>
      </c>
      <c r="AB187" s="76">
        <v>2.46</v>
      </c>
      <c r="AC187" s="76">
        <v>-0.02</v>
      </c>
      <c r="AD187" s="77">
        <v>3.051648E8</v>
      </c>
      <c r="AE187" s="78"/>
    </row>
    <row r="188">
      <c r="A188" s="73" t="s">
        <v>237</v>
      </c>
      <c r="B188" s="76">
        <v>48.97</v>
      </c>
      <c r="C188" s="76">
        <v>0.0</v>
      </c>
      <c r="D188" s="76">
        <v>19.89</v>
      </c>
      <c r="E188" s="76">
        <v>1.78</v>
      </c>
      <c r="F188" s="76">
        <v>0.91</v>
      </c>
      <c r="G188" s="76">
        <v>-124.0</v>
      </c>
      <c r="H188" s="76">
        <v>1656.27</v>
      </c>
      <c r="I188" s="76">
        <v>2521.73</v>
      </c>
      <c r="J188" s="76">
        <v>30.28</v>
      </c>
      <c r="K188" s="76">
        <v>24.57</v>
      </c>
      <c r="L188" s="76">
        <v>0.0</v>
      </c>
      <c r="M188" s="76">
        <v>0.0</v>
      </c>
      <c r="N188" s="76">
        <v>501.45</v>
      </c>
      <c r="O188" s="76">
        <v>5.68</v>
      </c>
      <c r="P188" s="76">
        <v>-1.15</v>
      </c>
      <c r="Q188" s="76">
        <v>4.45</v>
      </c>
      <c r="R188" s="77">
        <v>8.94</v>
      </c>
      <c r="S188" s="77">
        <v>4.57</v>
      </c>
      <c r="T188" s="77">
        <v>0.0</v>
      </c>
      <c r="U188" s="76">
        <v>0.51</v>
      </c>
      <c r="V188" s="76">
        <v>0.49</v>
      </c>
      <c r="W188" s="76">
        <v>0.0</v>
      </c>
      <c r="X188" s="76">
        <v>-33.4</v>
      </c>
      <c r="Y188" s="76">
        <v>-1.31</v>
      </c>
      <c r="Z188" s="77">
        <v>0.0</v>
      </c>
      <c r="AA188" s="76">
        <v>27.56</v>
      </c>
      <c r="AB188" s="76">
        <v>2.46</v>
      </c>
      <c r="AC188" s="76">
        <v>-0.03</v>
      </c>
      <c r="AD188" s="77">
        <v>3.051648E8</v>
      </c>
      <c r="AE188" s="78"/>
    </row>
    <row r="189">
      <c r="A189" s="73" t="s">
        <v>238</v>
      </c>
      <c r="B189" s="77">
        <v>6.4</v>
      </c>
      <c r="C189" s="76">
        <v>0.0</v>
      </c>
      <c r="D189" s="77">
        <v>-1.92</v>
      </c>
      <c r="E189" s="76">
        <v>4.3</v>
      </c>
      <c r="F189" s="76">
        <v>0.2</v>
      </c>
      <c r="G189" s="76">
        <v>31.95</v>
      </c>
      <c r="H189" s="76">
        <v>3.94</v>
      </c>
      <c r="I189" s="76">
        <v>-31.04</v>
      </c>
      <c r="J189" s="77">
        <v>15.15</v>
      </c>
      <c r="K189" s="77">
        <v>47.59</v>
      </c>
      <c r="L189" s="76">
        <v>32.44</v>
      </c>
      <c r="M189" s="76">
        <v>9.21</v>
      </c>
      <c r="N189" s="76">
        <v>0.6</v>
      </c>
      <c r="O189" s="77">
        <v>2.13</v>
      </c>
      <c r="P189" s="76">
        <v>-0.26</v>
      </c>
      <c r="Q189" s="76">
        <v>1.8</v>
      </c>
      <c r="R189" s="76">
        <v>-223.96</v>
      </c>
      <c r="S189" s="76">
        <v>-10.51</v>
      </c>
      <c r="T189" s="76">
        <v>-3.92</v>
      </c>
      <c r="U189" s="76">
        <v>0.05</v>
      </c>
      <c r="V189" s="76">
        <v>0.75</v>
      </c>
      <c r="W189" s="76">
        <v>0.34</v>
      </c>
      <c r="X189" s="76">
        <v>26.51</v>
      </c>
      <c r="Y189" s="76">
        <v>0.0</v>
      </c>
      <c r="Z189" s="77">
        <v>2.2E8</v>
      </c>
      <c r="AA189" s="76">
        <v>1.49</v>
      </c>
      <c r="AB189" s="76">
        <v>-3.33</v>
      </c>
      <c r="AC189" s="77">
        <v>0.0</v>
      </c>
      <c r="AD189" s="77">
        <v>2.5386053965E10</v>
      </c>
      <c r="AE189" s="78"/>
    </row>
    <row r="190">
      <c r="A190" s="73" t="s">
        <v>239</v>
      </c>
      <c r="B190" s="76">
        <v>6.8</v>
      </c>
      <c r="C190" s="76">
        <v>7.14</v>
      </c>
      <c r="D190" s="76">
        <v>9.82</v>
      </c>
      <c r="E190" s="76">
        <v>1.5</v>
      </c>
      <c r="F190" s="76">
        <v>0.52</v>
      </c>
      <c r="G190" s="76">
        <v>50.81</v>
      </c>
      <c r="H190" s="76">
        <v>21.95</v>
      </c>
      <c r="I190" s="76">
        <v>9.18</v>
      </c>
      <c r="J190" s="76">
        <v>4.11</v>
      </c>
      <c r="K190" s="76">
        <v>4.81</v>
      </c>
      <c r="L190" s="76">
        <v>0.7</v>
      </c>
      <c r="M190" s="76">
        <v>0.26</v>
      </c>
      <c r="N190" s="76">
        <v>0.9</v>
      </c>
      <c r="O190" s="76">
        <v>7.24</v>
      </c>
      <c r="P190" s="76">
        <v>-0.68</v>
      </c>
      <c r="Q190" s="76">
        <v>1.44</v>
      </c>
      <c r="R190" s="76">
        <v>15.25</v>
      </c>
      <c r="S190" s="76">
        <v>5.28</v>
      </c>
      <c r="T190" s="76">
        <v>20.33</v>
      </c>
      <c r="U190" s="76">
        <v>0.35</v>
      </c>
      <c r="V190" s="76">
        <v>0.65</v>
      </c>
      <c r="W190" s="76">
        <v>0.58</v>
      </c>
      <c r="X190" s="76">
        <v>11.74</v>
      </c>
      <c r="Y190" s="76">
        <v>15.88</v>
      </c>
      <c r="Z190" s="77">
        <v>3622381.0</v>
      </c>
      <c r="AA190" s="76">
        <v>4.54</v>
      </c>
      <c r="AB190" s="76">
        <v>0.69</v>
      </c>
      <c r="AC190" s="76">
        <v>0.17</v>
      </c>
      <c r="AD190" s="77">
        <v>2.478889354E9</v>
      </c>
      <c r="AE190" s="78"/>
    </row>
    <row r="191">
      <c r="A191" s="73" t="s">
        <v>240</v>
      </c>
      <c r="B191" s="76">
        <v>58.15</v>
      </c>
      <c r="C191" s="76">
        <v>3.94</v>
      </c>
      <c r="D191" s="76">
        <v>16.37</v>
      </c>
      <c r="E191" s="76">
        <v>2.57</v>
      </c>
      <c r="F191" s="76">
        <v>1.32</v>
      </c>
      <c r="G191" s="76">
        <v>42.25</v>
      </c>
      <c r="H191" s="76">
        <v>23.95</v>
      </c>
      <c r="I191" s="76">
        <v>16.55</v>
      </c>
      <c r="J191" s="76">
        <v>11.31</v>
      </c>
      <c r="K191" s="76">
        <v>14.38</v>
      </c>
      <c r="L191" s="76">
        <v>3.07</v>
      </c>
      <c r="M191" s="76">
        <v>0.7</v>
      </c>
      <c r="N191" s="76">
        <v>2.71</v>
      </c>
      <c r="O191" s="76">
        <v>67.22</v>
      </c>
      <c r="P191" s="76">
        <v>-1.53</v>
      </c>
      <c r="Q191" s="76">
        <v>1.17</v>
      </c>
      <c r="R191" s="76">
        <v>15.68</v>
      </c>
      <c r="S191" s="76">
        <v>8.05</v>
      </c>
      <c r="T191" s="76">
        <v>8.75</v>
      </c>
      <c r="U191" s="76">
        <v>0.51</v>
      </c>
      <c r="V191" s="76">
        <v>0.49</v>
      </c>
      <c r="W191" s="76">
        <v>0.49</v>
      </c>
      <c r="X191" s="76">
        <v>8.84</v>
      </c>
      <c r="Y191" s="76">
        <v>12.36</v>
      </c>
      <c r="Z191" s="77">
        <v>1.6E8</v>
      </c>
      <c r="AA191" s="76">
        <v>22.65</v>
      </c>
      <c r="AB191" s="76">
        <v>3.55</v>
      </c>
      <c r="AC191" s="76">
        <v>-4.63</v>
      </c>
      <c r="AD191" s="77">
        <v>2.2111715962E10</v>
      </c>
      <c r="AE191" s="78"/>
    </row>
    <row r="192">
      <c r="A192" s="73" t="s">
        <v>241</v>
      </c>
      <c r="B192" s="76">
        <v>8.53</v>
      </c>
      <c r="C192" s="76">
        <v>0.0</v>
      </c>
      <c r="D192" s="77">
        <v>-7.27</v>
      </c>
      <c r="E192" s="77">
        <v>0.8</v>
      </c>
      <c r="F192" s="77">
        <v>0.11</v>
      </c>
      <c r="G192" s="76">
        <v>27.54</v>
      </c>
      <c r="H192" s="76">
        <v>12.21</v>
      </c>
      <c r="I192" s="76">
        <v>-3.42</v>
      </c>
      <c r="J192" s="77">
        <v>2.04</v>
      </c>
      <c r="K192" s="77">
        <v>8.3</v>
      </c>
      <c r="L192" s="76">
        <v>6.26</v>
      </c>
      <c r="M192" s="76">
        <v>2.45</v>
      </c>
      <c r="N192" s="77">
        <v>0.25</v>
      </c>
      <c r="O192" s="77">
        <v>1.41</v>
      </c>
      <c r="P192" s="77">
        <v>-0.17</v>
      </c>
      <c r="Q192" s="76">
        <v>1.32</v>
      </c>
      <c r="R192" s="76">
        <v>-11.0</v>
      </c>
      <c r="S192" s="76">
        <v>-1.54</v>
      </c>
      <c r="T192" s="76">
        <v>6.52</v>
      </c>
      <c r="U192" s="76">
        <v>0.14</v>
      </c>
      <c r="V192" s="76">
        <v>0.83</v>
      </c>
      <c r="W192" s="76">
        <v>0.45</v>
      </c>
      <c r="X192" s="76">
        <v>11.42</v>
      </c>
      <c r="Y192" s="76">
        <v>0.0</v>
      </c>
      <c r="Z192" s="77">
        <v>1.39E8</v>
      </c>
      <c r="AA192" s="76">
        <v>10.66</v>
      </c>
      <c r="AB192" s="76">
        <v>-1.17</v>
      </c>
      <c r="AC192" s="76">
        <v>-0.57</v>
      </c>
      <c r="AD192" s="77">
        <v>1.1311581368E10</v>
      </c>
      <c r="AE192" s="78"/>
    </row>
    <row r="193">
      <c r="A193" s="73" t="s">
        <v>242</v>
      </c>
      <c r="B193" s="76">
        <v>13.6</v>
      </c>
      <c r="C193" s="76">
        <v>0.0</v>
      </c>
      <c r="D193" s="76">
        <v>3.44</v>
      </c>
      <c r="E193" s="76">
        <v>1.19</v>
      </c>
      <c r="F193" s="76">
        <v>0.36</v>
      </c>
      <c r="G193" s="76">
        <v>30.22</v>
      </c>
      <c r="H193" s="76">
        <v>25.36</v>
      </c>
      <c r="I193" s="76">
        <v>15.9</v>
      </c>
      <c r="J193" s="76">
        <v>2.16</v>
      </c>
      <c r="K193" s="76">
        <v>4.64</v>
      </c>
      <c r="L193" s="76">
        <v>2.48</v>
      </c>
      <c r="M193" s="76">
        <v>1.36</v>
      </c>
      <c r="N193" s="76">
        <v>0.55</v>
      </c>
      <c r="O193" s="77">
        <v>9.63</v>
      </c>
      <c r="P193" s="76">
        <v>-0.46</v>
      </c>
      <c r="Q193" s="76">
        <v>1.2</v>
      </c>
      <c r="R193" s="77">
        <v>34.54</v>
      </c>
      <c r="S193" s="76">
        <v>10.32</v>
      </c>
      <c r="T193" s="76">
        <v>21.05</v>
      </c>
      <c r="U193" s="76">
        <v>0.3</v>
      </c>
      <c r="V193" s="76">
        <v>0.7</v>
      </c>
      <c r="W193" s="76">
        <v>0.65</v>
      </c>
      <c r="X193" s="76">
        <v>7.94</v>
      </c>
      <c r="Y193" s="76">
        <v>19.34</v>
      </c>
      <c r="Z193" s="77">
        <v>0.0</v>
      </c>
      <c r="AA193" s="76">
        <v>11.45</v>
      </c>
      <c r="AB193" s="76">
        <v>3.95</v>
      </c>
      <c r="AC193" s="77">
        <v>0.17</v>
      </c>
      <c r="AD193" s="77">
        <v>2.273440192E9</v>
      </c>
      <c r="AE193" s="78"/>
    </row>
    <row r="194">
      <c r="A194" s="73" t="s">
        <v>243</v>
      </c>
      <c r="B194" s="76">
        <v>15.1</v>
      </c>
      <c r="C194" s="76">
        <v>0.0</v>
      </c>
      <c r="D194" s="76">
        <v>3.82</v>
      </c>
      <c r="E194" s="76">
        <v>1.32</v>
      </c>
      <c r="F194" s="76">
        <v>0.39</v>
      </c>
      <c r="G194" s="76">
        <v>30.22</v>
      </c>
      <c r="H194" s="76">
        <v>25.36</v>
      </c>
      <c r="I194" s="76">
        <v>15.9</v>
      </c>
      <c r="J194" s="76">
        <v>2.39</v>
      </c>
      <c r="K194" s="76">
        <v>4.64</v>
      </c>
      <c r="L194" s="76">
        <v>2.48</v>
      </c>
      <c r="M194" s="76">
        <v>1.36</v>
      </c>
      <c r="N194" s="76">
        <v>0.61</v>
      </c>
      <c r="O194" s="76">
        <v>10.7</v>
      </c>
      <c r="P194" s="76">
        <v>-0.51</v>
      </c>
      <c r="Q194" s="76">
        <v>1.2</v>
      </c>
      <c r="R194" s="76">
        <v>34.54</v>
      </c>
      <c r="S194" s="76">
        <v>10.32</v>
      </c>
      <c r="T194" s="76">
        <v>21.05</v>
      </c>
      <c r="U194" s="76">
        <v>0.3</v>
      </c>
      <c r="V194" s="76">
        <v>0.7</v>
      </c>
      <c r="W194" s="76">
        <v>0.65</v>
      </c>
      <c r="X194" s="76">
        <v>7.94</v>
      </c>
      <c r="Y194" s="76">
        <v>19.34</v>
      </c>
      <c r="Z194" s="77">
        <v>0.0</v>
      </c>
      <c r="AA194" s="76">
        <v>11.45</v>
      </c>
      <c r="AB194" s="76">
        <v>3.95</v>
      </c>
      <c r="AC194" s="76">
        <v>0.19</v>
      </c>
      <c r="AD194" s="77">
        <v>2.273440192E9</v>
      </c>
      <c r="AE194" s="78"/>
    </row>
    <row r="195">
      <c r="A195" s="73" t="s">
        <v>244</v>
      </c>
      <c r="B195" s="76">
        <v>15.5</v>
      </c>
      <c r="C195" s="76">
        <v>0.0</v>
      </c>
      <c r="D195" s="76">
        <v>3.92</v>
      </c>
      <c r="E195" s="76">
        <v>1.35</v>
      </c>
      <c r="F195" s="76">
        <v>0.4</v>
      </c>
      <c r="G195" s="76">
        <v>30.22</v>
      </c>
      <c r="H195" s="76">
        <v>25.36</v>
      </c>
      <c r="I195" s="76">
        <v>15.9</v>
      </c>
      <c r="J195" s="76">
        <v>2.46</v>
      </c>
      <c r="K195" s="76">
        <v>4.64</v>
      </c>
      <c r="L195" s="76">
        <v>2.48</v>
      </c>
      <c r="M195" s="76">
        <v>1.36</v>
      </c>
      <c r="N195" s="76">
        <v>0.62</v>
      </c>
      <c r="O195" s="76">
        <v>10.98</v>
      </c>
      <c r="P195" s="76">
        <v>-0.52</v>
      </c>
      <c r="Q195" s="76">
        <v>1.2</v>
      </c>
      <c r="R195" s="76">
        <v>34.54</v>
      </c>
      <c r="S195" s="76">
        <v>10.32</v>
      </c>
      <c r="T195" s="76">
        <v>21.05</v>
      </c>
      <c r="U195" s="76">
        <v>0.3</v>
      </c>
      <c r="V195" s="76">
        <v>0.7</v>
      </c>
      <c r="W195" s="76">
        <v>0.65</v>
      </c>
      <c r="X195" s="76">
        <v>7.94</v>
      </c>
      <c r="Y195" s="76">
        <v>19.34</v>
      </c>
      <c r="Z195" s="77">
        <v>0.0</v>
      </c>
      <c r="AA195" s="76">
        <v>11.45</v>
      </c>
      <c r="AB195" s="76">
        <v>3.95</v>
      </c>
      <c r="AC195" s="76">
        <v>0.19</v>
      </c>
      <c r="AD195" s="77">
        <v>2.273440192E9</v>
      </c>
      <c r="AE195" s="78"/>
    </row>
    <row r="196">
      <c r="A196" s="73" t="s">
        <v>245</v>
      </c>
      <c r="B196" s="76">
        <v>19.45</v>
      </c>
      <c r="C196" s="76">
        <v>14.33</v>
      </c>
      <c r="D196" s="76">
        <v>8.63</v>
      </c>
      <c r="E196" s="76">
        <v>1.6</v>
      </c>
      <c r="F196" s="76">
        <v>1.09</v>
      </c>
      <c r="G196" s="76">
        <v>41.64</v>
      </c>
      <c r="H196" s="76">
        <v>20.82</v>
      </c>
      <c r="I196" s="76">
        <v>15.58</v>
      </c>
      <c r="J196" s="76">
        <v>6.46</v>
      </c>
      <c r="K196" s="76">
        <v>6.05</v>
      </c>
      <c r="L196" s="76">
        <v>-0.41</v>
      </c>
      <c r="M196" s="76">
        <v>-0.1</v>
      </c>
      <c r="N196" s="76">
        <v>1.34</v>
      </c>
      <c r="O196" s="76">
        <v>17.77</v>
      </c>
      <c r="P196" s="76">
        <v>-1.6</v>
      </c>
      <c r="Q196" s="76">
        <v>1.24</v>
      </c>
      <c r="R196" s="76">
        <v>18.49</v>
      </c>
      <c r="S196" s="76">
        <v>12.63</v>
      </c>
      <c r="T196" s="76">
        <v>13.85</v>
      </c>
      <c r="U196" s="76">
        <v>0.68</v>
      </c>
      <c r="V196" s="76">
        <v>0.32</v>
      </c>
      <c r="W196" s="76">
        <v>0.81</v>
      </c>
      <c r="X196" s="76">
        <v>5.53</v>
      </c>
      <c r="Y196" s="76">
        <v>28.57</v>
      </c>
      <c r="Z196" s="77">
        <v>1283933.0</v>
      </c>
      <c r="AA196" s="76">
        <v>12.19</v>
      </c>
      <c r="AB196" s="76">
        <v>2.25</v>
      </c>
      <c r="AC196" s="76">
        <v>5.82</v>
      </c>
      <c r="AD196" s="77">
        <v>8.1301E8</v>
      </c>
      <c r="AE196" s="78"/>
    </row>
    <row r="197">
      <c r="A197" s="73" t="s">
        <v>246</v>
      </c>
      <c r="B197" s="76">
        <v>0.83</v>
      </c>
      <c r="C197" s="76">
        <v>0.0</v>
      </c>
      <c r="D197" s="76">
        <v>-0.17</v>
      </c>
      <c r="E197" s="76">
        <v>0.25</v>
      </c>
      <c r="F197" s="76">
        <v>0.02</v>
      </c>
      <c r="G197" s="76">
        <v>16.15</v>
      </c>
      <c r="H197" s="76">
        <v>-1.89</v>
      </c>
      <c r="I197" s="76">
        <v>-29.79</v>
      </c>
      <c r="J197" s="77">
        <v>-2.7</v>
      </c>
      <c r="K197" s="76">
        <v>-19.66</v>
      </c>
      <c r="L197" s="76">
        <v>-16.96</v>
      </c>
      <c r="M197" s="76">
        <v>1.56</v>
      </c>
      <c r="N197" s="76">
        <v>0.05</v>
      </c>
      <c r="O197" s="76">
        <v>-0.07</v>
      </c>
      <c r="P197" s="76">
        <v>-0.02</v>
      </c>
      <c r="Q197" s="76">
        <v>0.38</v>
      </c>
      <c r="R197" s="76">
        <v>-144.99</v>
      </c>
      <c r="S197" s="76">
        <v>-11.36</v>
      </c>
      <c r="T197" s="76">
        <v>-3.01</v>
      </c>
      <c r="U197" s="76">
        <v>0.08</v>
      </c>
      <c r="V197" s="76">
        <v>0.92</v>
      </c>
      <c r="W197" s="76">
        <v>0.38</v>
      </c>
      <c r="X197" s="76">
        <v>-15.5</v>
      </c>
      <c r="Y197" s="76">
        <v>0.0</v>
      </c>
      <c r="Z197" s="77">
        <v>3160.71</v>
      </c>
      <c r="AA197" s="76">
        <v>3.33</v>
      </c>
      <c r="AB197" s="76">
        <v>-4.83</v>
      </c>
      <c r="AC197" s="76">
        <v>0.0</v>
      </c>
      <c r="AD197" s="79">
        <v>2.216959548E7</v>
      </c>
      <c r="AE197" s="80"/>
    </row>
    <row r="198">
      <c r="A198" s="73" t="s">
        <v>247</v>
      </c>
      <c r="B198" s="76">
        <v>0.0</v>
      </c>
      <c r="C198" s="76">
        <v>0.0</v>
      </c>
      <c r="D198" s="77">
        <v>0.0</v>
      </c>
      <c r="E198" s="76">
        <v>0.0</v>
      </c>
      <c r="F198" s="76">
        <v>0.0</v>
      </c>
      <c r="G198" s="76">
        <v>66.76</v>
      </c>
      <c r="H198" s="76">
        <v>35.31</v>
      </c>
      <c r="I198" s="77">
        <v>45.88</v>
      </c>
      <c r="J198" s="76">
        <v>0.0</v>
      </c>
      <c r="K198" s="76">
        <v>-2.85</v>
      </c>
      <c r="L198" s="76">
        <v>-2.85</v>
      </c>
      <c r="M198" s="76">
        <v>-0.41</v>
      </c>
      <c r="N198" s="76">
        <v>0.0</v>
      </c>
      <c r="O198" s="76">
        <v>0.0</v>
      </c>
      <c r="P198" s="76">
        <v>0.0</v>
      </c>
      <c r="Q198" s="76">
        <v>5.53</v>
      </c>
      <c r="R198" s="76">
        <v>18.55</v>
      </c>
      <c r="S198" s="76">
        <v>14.43</v>
      </c>
      <c r="T198" s="76">
        <v>10.0</v>
      </c>
      <c r="U198" s="76">
        <v>0.78</v>
      </c>
      <c r="V198" s="76">
        <v>0.22</v>
      </c>
      <c r="W198" s="76">
        <v>0.31</v>
      </c>
      <c r="X198" s="76">
        <v>11.54</v>
      </c>
      <c r="Y198" s="76">
        <v>60.86</v>
      </c>
      <c r="Z198" s="77">
        <v>0.0</v>
      </c>
      <c r="AA198" s="76">
        <v>3.51</v>
      </c>
      <c r="AB198" s="76">
        <v>0.65</v>
      </c>
      <c r="AC198" s="76">
        <v>0.0</v>
      </c>
      <c r="AD198" s="77">
        <v>0.0</v>
      </c>
      <c r="AE198" s="78"/>
    </row>
    <row r="199">
      <c r="A199" s="73" t="s">
        <v>248</v>
      </c>
      <c r="B199" s="76">
        <v>50.0</v>
      </c>
      <c r="C199" s="76">
        <v>0.0</v>
      </c>
      <c r="D199" s="76">
        <v>2.81</v>
      </c>
      <c r="E199" s="76">
        <v>5.75</v>
      </c>
      <c r="F199" s="76">
        <v>0.43</v>
      </c>
      <c r="G199" s="76">
        <v>46.03</v>
      </c>
      <c r="H199" s="77">
        <v>11.99</v>
      </c>
      <c r="I199" s="77">
        <v>14.68</v>
      </c>
      <c r="J199" s="77">
        <v>3.43</v>
      </c>
      <c r="K199" s="76">
        <v>7.31</v>
      </c>
      <c r="L199" s="76">
        <v>3.88</v>
      </c>
      <c r="M199" s="76">
        <v>6.5</v>
      </c>
      <c r="N199" s="77">
        <v>0.41</v>
      </c>
      <c r="O199" s="76">
        <v>1.35</v>
      </c>
      <c r="P199" s="76">
        <v>-1.28</v>
      </c>
      <c r="Q199" s="76">
        <v>1.91</v>
      </c>
      <c r="R199" s="76">
        <v>204.93</v>
      </c>
      <c r="S199" s="76">
        <v>15.25</v>
      </c>
      <c r="T199" s="76">
        <v>14.07</v>
      </c>
      <c r="U199" s="76">
        <v>0.07</v>
      </c>
      <c r="V199" s="76">
        <v>0.93</v>
      </c>
      <c r="W199" s="76">
        <v>1.04</v>
      </c>
      <c r="X199" s="76">
        <v>15.69</v>
      </c>
      <c r="Y199" s="76">
        <v>0.0</v>
      </c>
      <c r="Z199" s="77">
        <v>1666.67</v>
      </c>
      <c r="AA199" s="76">
        <v>8.69</v>
      </c>
      <c r="AB199" s="76">
        <v>17.81</v>
      </c>
      <c r="AC199" s="76">
        <v>0.04</v>
      </c>
      <c r="AD199" s="77">
        <v>3.095700861E8</v>
      </c>
      <c r="AE199" s="78"/>
    </row>
    <row r="200">
      <c r="A200" s="73" t="s">
        <v>249</v>
      </c>
      <c r="B200" s="76">
        <v>49.79</v>
      </c>
      <c r="C200" s="76">
        <v>0.0</v>
      </c>
      <c r="D200" s="76">
        <v>2.8</v>
      </c>
      <c r="E200" s="76">
        <v>5.73</v>
      </c>
      <c r="F200" s="76">
        <v>0.43</v>
      </c>
      <c r="G200" s="76">
        <v>46.03</v>
      </c>
      <c r="H200" s="77">
        <v>11.99</v>
      </c>
      <c r="I200" s="77">
        <v>14.68</v>
      </c>
      <c r="J200" s="76">
        <v>3.42</v>
      </c>
      <c r="K200" s="76">
        <v>7.31</v>
      </c>
      <c r="L200" s="76">
        <v>3.88</v>
      </c>
      <c r="M200" s="76">
        <v>6.5</v>
      </c>
      <c r="N200" s="77">
        <v>0.41</v>
      </c>
      <c r="O200" s="76">
        <v>1.35</v>
      </c>
      <c r="P200" s="76">
        <v>-1.28</v>
      </c>
      <c r="Q200" s="76">
        <v>1.91</v>
      </c>
      <c r="R200" s="76">
        <v>204.93</v>
      </c>
      <c r="S200" s="76">
        <v>15.25</v>
      </c>
      <c r="T200" s="76">
        <v>14.07</v>
      </c>
      <c r="U200" s="76">
        <v>0.07</v>
      </c>
      <c r="V200" s="76">
        <v>0.93</v>
      </c>
      <c r="W200" s="76">
        <v>1.04</v>
      </c>
      <c r="X200" s="76">
        <v>15.69</v>
      </c>
      <c r="Y200" s="76">
        <v>0.0</v>
      </c>
      <c r="Z200" s="77">
        <v>55933.88</v>
      </c>
      <c r="AA200" s="76">
        <v>8.69</v>
      </c>
      <c r="AB200" s="76">
        <v>17.81</v>
      </c>
      <c r="AC200" s="76">
        <v>0.04</v>
      </c>
      <c r="AD200" s="77">
        <v>3.095700861E8</v>
      </c>
      <c r="AE200" s="78"/>
    </row>
    <row r="201">
      <c r="A201" s="73" t="s">
        <v>250</v>
      </c>
      <c r="B201" s="76">
        <v>7.13</v>
      </c>
      <c r="C201" s="76">
        <v>0.0</v>
      </c>
      <c r="D201" s="76">
        <v>-0.52</v>
      </c>
      <c r="E201" s="76">
        <v>-0.24</v>
      </c>
      <c r="F201" s="76">
        <v>0.07</v>
      </c>
      <c r="G201" s="76">
        <v>-6.9</v>
      </c>
      <c r="H201" s="77">
        <v>-109.23</v>
      </c>
      <c r="I201" s="77">
        <v>-89.63</v>
      </c>
      <c r="J201" s="76">
        <v>-0.43</v>
      </c>
      <c r="K201" s="76">
        <v>-2.7</v>
      </c>
      <c r="L201" s="76">
        <v>-2.48</v>
      </c>
      <c r="M201" s="76">
        <v>0.0</v>
      </c>
      <c r="N201" s="77">
        <v>0.46</v>
      </c>
      <c r="O201" s="76">
        <v>-0.13</v>
      </c>
      <c r="P201" s="76">
        <v>-0.09</v>
      </c>
      <c r="Q201" s="76">
        <v>0.27</v>
      </c>
      <c r="R201" s="76">
        <v>-47.26</v>
      </c>
      <c r="S201" s="76">
        <v>-13.83</v>
      </c>
      <c r="T201" s="76">
        <v>-120.86</v>
      </c>
      <c r="U201" s="76">
        <v>-0.29</v>
      </c>
      <c r="V201" s="76">
        <v>1.29</v>
      </c>
      <c r="W201" s="76">
        <v>0.15</v>
      </c>
      <c r="X201" s="76">
        <v>-24.09</v>
      </c>
      <c r="Y201" s="76">
        <v>0.0</v>
      </c>
      <c r="Z201" s="77">
        <v>0.0</v>
      </c>
      <c r="AA201" s="76">
        <v>-29.11</v>
      </c>
      <c r="AB201" s="76">
        <v>-13.76</v>
      </c>
      <c r="AC201" s="76">
        <v>0.01</v>
      </c>
      <c r="AD201" s="77">
        <v>1.13580609E8</v>
      </c>
      <c r="AE201" s="78"/>
    </row>
    <row r="202">
      <c r="A202" s="73" t="s">
        <v>251</v>
      </c>
      <c r="B202" s="76">
        <v>0.86</v>
      </c>
      <c r="C202" s="76">
        <v>0.0</v>
      </c>
      <c r="D202" s="77">
        <v>-0.06</v>
      </c>
      <c r="E202" s="76">
        <v>-0.03</v>
      </c>
      <c r="F202" s="76">
        <v>0.01</v>
      </c>
      <c r="G202" s="76">
        <v>-6.9</v>
      </c>
      <c r="H202" s="77">
        <v>-109.23</v>
      </c>
      <c r="I202" s="77">
        <v>-89.63</v>
      </c>
      <c r="J202" s="76">
        <v>-0.05</v>
      </c>
      <c r="K202" s="76">
        <v>-2.7</v>
      </c>
      <c r="L202" s="76">
        <v>-2.48</v>
      </c>
      <c r="M202" s="76">
        <v>0.0</v>
      </c>
      <c r="N202" s="77">
        <v>0.06</v>
      </c>
      <c r="O202" s="76">
        <v>-0.02</v>
      </c>
      <c r="P202" s="76">
        <v>-0.01</v>
      </c>
      <c r="Q202" s="76">
        <v>0.27</v>
      </c>
      <c r="R202" s="76">
        <v>-47.26</v>
      </c>
      <c r="S202" s="76">
        <v>-13.83</v>
      </c>
      <c r="T202" s="76">
        <v>-120.86</v>
      </c>
      <c r="U202" s="76">
        <v>-0.29</v>
      </c>
      <c r="V202" s="76">
        <v>1.29</v>
      </c>
      <c r="W202" s="76">
        <v>0.15</v>
      </c>
      <c r="X202" s="76">
        <v>-24.09</v>
      </c>
      <c r="Y202" s="76">
        <v>0.0</v>
      </c>
      <c r="Z202" s="77">
        <v>0.0</v>
      </c>
      <c r="AA202" s="76">
        <v>-29.11</v>
      </c>
      <c r="AB202" s="76">
        <v>-13.76</v>
      </c>
      <c r="AC202" s="76">
        <v>0.0</v>
      </c>
      <c r="AD202" s="77">
        <v>1.13580609E8</v>
      </c>
      <c r="AE202" s="78"/>
    </row>
    <row r="203">
      <c r="A203" s="73" t="s">
        <v>252</v>
      </c>
      <c r="B203" s="76">
        <v>2.56</v>
      </c>
      <c r="C203" s="76">
        <v>0.0</v>
      </c>
      <c r="D203" s="76">
        <v>-0.11</v>
      </c>
      <c r="E203" s="76">
        <v>0.18</v>
      </c>
      <c r="F203" s="76">
        <v>0.03</v>
      </c>
      <c r="G203" s="76">
        <v>-143.89</v>
      </c>
      <c r="H203" s="77">
        <v>-304.16</v>
      </c>
      <c r="I203" s="77">
        <v>-453.89</v>
      </c>
      <c r="J203" s="77">
        <v>-0.16</v>
      </c>
      <c r="K203" s="76">
        <v>-2.35</v>
      </c>
      <c r="L203" s="76">
        <v>-2.18</v>
      </c>
      <c r="M203" s="76">
        <v>2.38</v>
      </c>
      <c r="N203" s="77">
        <v>0.5</v>
      </c>
      <c r="O203" s="76">
        <v>-0.06</v>
      </c>
      <c r="P203" s="76">
        <v>-0.03</v>
      </c>
      <c r="Q203" s="76">
        <v>0.28</v>
      </c>
      <c r="R203" s="76">
        <v>-162.82</v>
      </c>
      <c r="S203" s="76">
        <v>-23.97</v>
      </c>
      <c r="T203" s="76">
        <v>-34.34</v>
      </c>
      <c r="U203" s="76">
        <v>0.15</v>
      </c>
      <c r="V203" s="76">
        <v>0.85</v>
      </c>
      <c r="W203" s="76">
        <v>0.05</v>
      </c>
      <c r="X203" s="76">
        <v>-40.11</v>
      </c>
      <c r="Y203" s="76">
        <v>0.0</v>
      </c>
      <c r="Z203" s="77">
        <v>1979.23</v>
      </c>
      <c r="AA203" s="76">
        <v>14.25</v>
      </c>
      <c r="AB203" s="76">
        <v>-23.2</v>
      </c>
      <c r="AC203" s="76">
        <v>0.0</v>
      </c>
      <c r="AD203" s="77">
        <v>1.78078592E7</v>
      </c>
      <c r="AE203" s="78"/>
    </row>
    <row r="204">
      <c r="A204" s="73" t="s">
        <v>253</v>
      </c>
      <c r="B204" s="76">
        <v>1.72</v>
      </c>
      <c r="C204" s="76">
        <v>0.0</v>
      </c>
      <c r="D204" s="76">
        <v>-0.07</v>
      </c>
      <c r="E204" s="76">
        <v>0.12</v>
      </c>
      <c r="F204" s="76">
        <v>0.02</v>
      </c>
      <c r="G204" s="76">
        <v>-143.89</v>
      </c>
      <c r="H204" s="77">
        <v>-304.16</v>
      </c>
      <c r="I204" s="77">
        <v>-453.89</v>
      </c>
      <c r="J204" s="76">
        <v>-0.11</v>
      </c>
      <c r="K204" s="76">
        <v>-2.35</v>
      </c>
      <c r="L204" s="76">
        <v>-2.18</v>
      </c>
      <c r="M204" s="76">
        <v>2.38</v>
      </c>
      <c r="N204" s="77">
        <v>0.34</v>
      </c>
      <c r="O204" s="76">
        <v>-0.04</v>
      </c>
      <c r="P204" s="76">
        <v>-0.02</v>
      </c>
      <c r="Q204" s="76">
        <v>0.28</v>
      </c>
      <c r="R204" s="76">
        <v>-162.82</v>
      </c>
      <c r="S204" s="76">
        <v>-23.97</v>
      </c>
      <c r="T204" s="76">
        <v>-34.34</v>
      </c>
      <c r="U204" s="76">
        <v>0.15</v>
      </c>
      <c r="V204" s="76">
        <v>0.85</v>
      </c>
      <c r="W204" s="76">
        <v>0.05</v>
      </c>
      <c r="X204" s="76">
        <v>-40.11</v>
      </c>
      <c r="Y204" s="76">
        <v>0.0</v>
      </c>
      <c r="Z204" s="77">
        <v>985.47</v>
      </c>
      <c r="AA204" s="76">
        <v>14.25</v>
      </c>
      <c r="AB204" s="76">
        <v>-23.2</v>
      </c>
      <c r="AC204" s="76">
        <v>0.0</v>
      </c>
      <c r="AD204" s="77">
        <v>1.78078592E7</v>
      </c>
      <c r="AE204" s="78"/>
    </row>
    <row r="205">
      <c r="A205" s="73" t="s">
        <v>254</v>
      </c>
      <c r="B205" s="76">
        <v>0.0</v>
      </c>
      <c r="C205" s="76">
        <v>0.0</v>
      </c>
      <c r="D205" s="76">
        <v>0.0</v>
      </c>
      <c r="E205" s="76">
        <v>0.0</v>
      </c>
      <c r="F205" s="76">
        <v>0.0</v>
      </c>
      <c r="G205" s="76">
        <v>-143.89</v>
      </c>
      <c r="H205" s="77">
        <v>-304.16</v>
      </c>
      <c r="I205" s="77">
        <v>-453.89</v>
      </c>
      <c r="J205" s="76">
        <v>0.0</v>
      </c>
      <c r="K205" s="76">
        <v>-2.35</v>
      </c>
      <c r="L205" s="76">
        <v>-2.18</v>
      </c>
      <c r="M205" s="76">
        <v>2.38</v>
      </c>
      <c r="N205" s="77">
        <v>0.0</v>
      </c>
      <c r="O205" s="76">
        <v>0.0</v>
      </c>
      <c r="P205" s="76">
        <v>0.0</v>
      </c>
      <c r="Q205" s="76">
        <v>0.28</v>
      </c>
      <c r="R205" s="76">
        <v>-162.82</v>
      </c>
      <c r="S205" s="76">
        <v>-23.97</v>
      </c>
      <c r="T205" s="76">
        <v>-34.34</v>
      </c>
      <c r="U205" s="76">
        <v>0.15</v>
      </c>
      <c r="V205" s="76">
        <v>0.85</v>
      </c>
      <c r="W205" s="76">
        <v>0.05</v>
      </c>
      <c r="X205" s="76">
        <v>-40.11</v>
      </c>
      <c r="Y205" s="76">
        <v>0.0</v>
      </c>
      <c r="Z205" s="77">
        <v>0.0</v>
      </c>
      <c r="AA205" s="76">
        <v>14.25</v>
      </c>
      <c r="AB205" s="76">
        <v>-23.2</v>
      </c>
      <c r="AC205" s="76">
        <v>0.0</v>
      </c>
      <c r="AD205" s="77">
        <v>1.78078592E7</v>
      </c>
      <c r="AE205" s="78"/>
    </row>
    <row r="206">
      <c r="A206" s="73" t="s">
        <v>255</v>
      </c>
      <c r="B206" s="76">
        <v>41.32</v>
      </c>
      <c r="C206" s="76">
        <v>10.62</v>
      </c>
      <c r="D206" s="76">
        <v>14.61</v>
      </c>
      <c r="E206" s="76">
        <v>9.19</v>
      </c>
      <c r="F206" s="76">
        <v>2.26</v>
      </c>
      <c r="G206" s="76">
        <v>39.45</v>
      </c>
      <c r="H206" s="76">
        <v>22.92</v>
      </c>
      <c r="I206" s="76">
        <v>17.37</v>
      </c>
      <c r="J206" s="76">
        <v>11.07</v>
      </c>
      <c r="K206" s="76">
        <v>10.68</v>
      </c>
      <c r="L206" s="76">
        <v>-0.39</v>
      </c>
      <c r="M206" s="76">
        <v>-0.33</v>
      </c>
      <c r="N206" s="76">
        <v>2.54</v>
      </c>
      <c r="O206" s="76">
        <v>7.48</v>
      </c>
      <c r="P206" s="76">
        <v>-5.72</v>
      </c>
      <c r="Q206" s="76">
        <v>2.0</v>
      </c>
      <c r="R206" s="76">
        <v>62.9</v>
      </c>
      <c r="S206" s="76">
        <v>15.47</v>
      </c>
      <c r="T206" s="76">
        <v>34.56</v>
      </c>
      <c r="U206" s="76">
        <v>0.25</v>
      </c>
      <c r="V206" s="76">
        <v>0.71</v>
      </c>
      <c r="W206" s="76">
        <v>0.89</v>
      </c>
      <c r="X206" s="76">
        <v>30.96</v>
      </c>
      <c r="Y206" s="76">
        <v>40.32</v>
      </c>
      <c r="Z206" s="77">
        <v>1.16E8</v>
      </c>
      <c r="AA206" s="76">
        <v>4.5</v>
      </c>
      <c r="AB206" s="76">
        <v>2.83</v>
      </c>
      <c r="AC206" s="76">
        <v>0.41</v>
      </c>
      <c r="AD206" s="77">
        <v>1.2728526584E10</v>
      </c>
      <c r="AE206" s="78"/>
    </row>
    <row r="207">
      <c r="A207" s="73" t="s">
        <v>256</v>
      </c>
      <c r="B207" s="76">
        <v>2.36</v>
      </c>
      <c r="C207" s="76">
        <v>0.0</v>
      </c>
      <c r="D207" s="76">
        <v>-16.66</v>
      </c>
      <c r="E207" s="76">
        <v>2.46</v>
      </c>
      <c r="F207" s="76">
        <v>0.35</v>
      </c>
      <c r="G207" s="76">
        <v>96.57</v>
      </c>
      <c r="H207" s="77">
        <v>12.3</v>
      </c>
      <c r="I207" s="77">
        <v>-5.0</v>
      </c>
      <c r="J207" s="76">
        <v>6.78</v>
      </c>
      <c r="K207" s="76">
        <v>7.54</v>
      </c>
      <c r="L207" s="76">
        <v>0.76</v>
      </c>
      <c r="M207" s="76">
        <v>0.28</v>
      </c>
      <c r="N207" s="77">
        <v>0.83</v>
      </c>
      <c r="O207" s="76">
        <v>-2.59</v>
      </c>
      <c r="P207" s="76">
        <v>-0.8</v>
      </c>
      <c r="Q207" s="76">
        <v>0.81</v>
      </c>
      <c r="R207" s="76">
        <v>-14.79</v>
      </c>
      <c r="S207" s="76">
        <v>-2.08</v>
      </c>
      <c r="T207" s="76">
        <v>18.78</v>
      </c>
      <c r="U207" s="76">
        <v>0.14</v>
      </c>
      <c r="V207" s="76">
        <v>0.86</v>
      </c>
      <c r="W207" s="76">
        <v>0.42</v>
      </c>
      <c r="X207" s="76">
        <v>-4.2</v>
      </c>
      <c r="Y207" s="76">
        <v>0.0</v>
      </c>
      <c r="Z207" s="77">
        <v>8.8875473E7</v>
      </c>
      <c r="AA207" s="76">
        <v>0.96</v>
      </c>
      <c r="AB207" s="76">
        <v>-0.14</v>
      </c>
      <c r="AC207" s="76">
        <v>0.46</v>
      </c>
      <c r="AD207" s="77">
        <v>1.240394989E9</v>
      </c>
      <c r="AE207" s="78"/>
    </row>
    <row r="208">
      <c r="A208" s="73" t="s">
        <v>257</v>
      </c>
      <c r="B208" s="76">
        <v>17.8</v>
      </c>
      <c r="C208" s="76">
        <v>7.3</v>
      </c>
      <c r="D208" s="76">
        <v>12.17</v>
      </c>
      <c r="E208" s="76">
        <v>3.95</v>
      </c>
      <c r="F208" s="76">
        <v>3.65</v>
      </c>
      <c r="G208" s="76">
        <v>0.0</v>
      </c>
      <c r="H208" s="77">
        <v>0.0</v>
      </c>
      <c r="I208" s="77">
        <v>0.0</v>
      </c>
      <c r="J208" s="76">
        <v>11.16</v>
      </c>
      <c r="K208" s="76">
        <v>10.93</v>
      </c>
      <c r="L208" s="76">
        <v>-0.23</v>
      </c>
      <c r="M208" s="76">
        <v>-0.08</v>
      </c>
      <c r="N208" s="77">
        <v>0.0</v>
      </c>
      <c r="O208" s="76">
        <v>64.62</v>
      </c>
      <c r="P208" s="76">
        <v>-4.21</v>
      </c>
      <c r="Q208" s="76">
        <v>1.75</v>
      </c>
      <c r="R208" s="76">
        <v>32.48</v>
      </c>
      <c r="S208" s="76">
        <v>29.99</v>
      </c>
      <c r="T208" s="76">
        <v>31.0</v>
      </c>
      <c r="U208" s="76">
        <v>0.92</v>
      </c>
      <c r="V208" s="76">
        <v>0.08</v>
      </c>
      <c r="W208" s="76">
        <v>0.0</v>
      </c>
      <c r="X208" s="76">
        <v>0.0</v>
      </c>
      <c r="Y208" s="76">
        <v>23.35</v>
      </c>
      <c r="Z208" s="77">
        <v>7.3724892E7</v>
      </c>
      <c r="AA208" s="76">
        <v>4.5</v>
      </c>
      <c r="AB208" s="76">
        <v>1.46</v>
      </c>
      <c r="AC208" s="76">
        <v>0.5</v>
      </c>
      <c r="AD208" s="77">
        <v>5.34E10</v>
      </c>
      <c r="AE208" s="78"/>
    </row>
    <row r="209">
      <c r="A209" s="73" t="s">
        <v>258</v>
      </c>
      <c r="B209" s="76">
        <v>31.68</v>
      </c>
      <c r="C209" s="76">
        <v>11.99</v>
      </c>
      <c r="D209" s="76">
        <v>7.95</v>
      </c>
      <c r="E209" s="76">
        <v>1.39</v>
      </c>
      <c r="F209" s="76">
        <v>0.58</v>
      </c>
      <c r="G209" s="76">
        <v>32.51</v>
      </c>
      <c r="H209" s="77">
        <v>24.72</v>
      </c>
      <c r="I209" s="77">
        <v>20.95</v>
      </c>
      <c r="J209" s="77">
        <v>6.73</v>
      </c>
      <c r="K209" s="77">
        <v>8.27</v>
      </c>
      <c r="L209" s="76">
        <v>1.53</v>
      </c>
      <c r="M209" s="76">
        <v>0.32</v>
      </c>
      <c r="N209" s="77">
        <v>1.66</v>
      </c>
      <c r="O209" s="76">
        <v>1.39</v>
      </c>
      <c r="P209" s="76">
        <v>-1.39</v>
      </c>
      <c r="Q209" s="76">
        <v>3.51</v>
      </c>
      <c r="R209" s="76">
        <v>17.45</v>
      </c>
      <c r="S209" s="76">
        <v>7.3</v>
      </c>
      <c r="T209" s="76">
        <v>10.25</v>
      </c>
      <c r="U209" s="76">
        <v>0.42</v>
      </c>
      <c r="V209" s="76">
        <v>0.54</v>
      </c>
      <c r="W209" s="76">
        <v>0.35</v>
      </c>
      <c r="X209" s="76">
        <v>15.17</v>
      </c>
      <c r="Y209" s="76">
        <v>34.36</v>
      </c>
      <c r="Z209" s="77">
        <v>1.61E8</v>
      </c>
      <c r="AA209" s="76">
        <v>22.84</v>
      </c>
      <c r="AB209" s="76">
        <v>3.99</v>
      </c>
      <c r="AC209" s="76">
        <v>0.26</v>
      </c>
      <c r="AD209" s="77">
        <v>1.4471424E10</v>
      </c>
      <c r="AE209" s="78"/>
    </row>
    <row r="210">
      <c r="A210" s="73" t="s">
        <v>259</v>
      </c>
      <c r="B210" s="76">
        <v>30.16</v>
      </c>
      <c r="C210" s="76">
        <v>0.0</v>
      </c>
      <c r="D210" s="76">
        <v>7.56</v>
      </c>
      <c r="E210" s="76">
        <v>1.32</v>
      </c>
      <c r="F210" s="76">
        <v>0.55</v>
      </c>
      <c r="G210" s="76">
        <v>32.51</v>
      </c>
      <c r="H210" s="76">
        <v>24.72</v>
      </c>
      <c r="I210" s="76">
        <v>20.95</v>
      </c>
      <c r="J210" s="76">
        <v>6.41</v>
      </c>
      <c r="K210" s="76">
        <v>8.27</v>
      </c>
      <c r="L210" s="76">
        <v>1.53</v>
      </c>
      <c r="M210" s="76">
        <v>0.32</v>
      </c>
      <c r="N210" s="76">
        <v>1.58</v>
      </c>
      <c r="O210" s="76">
        <v>1.33</v>
      </c>
      <c r="P210" s="76">
        <v>-1.32</v>
      </c>
      <c r="Q210" s="76">
        <v>3.51</v>
      </c>
      <c r="R210" s="76">
        <v>17.45</v>
      </c>
      <c r="S210" s="76">
        <v>7.3</v>
      </c>
      <c r="T210" s="76">
        <v>10.25</v>
      </c>
      <c r="U210" s="76">
        <v>0.42</v>
      </c>
      <c r="V210" s="76">
        <v>0.54</v>
      </c>
      <c r="W210" s="76">
        <v>0.35</v>
      </c>
      <c r="X210" s="76">
        <v>15.17</v>
      </c>
      <c r="Y210" s="76">
        <v>34.36</v>
      </c>
      <c r="Z210" s="77">
        <v>1.7486544E7</v>
      </c>
      <c r="AA210" s="76">
        <v>22.84</v>
      </c>
      <c r="AB210" s="76">
        <v>3.99</v>
      </c>
      <c r="AC210" s="76">
        <v>0.25</v>
      </c>
      <c r="AD210" s="77">
        <v>1.4471424E10</v>
      </c>
      <c r="AE210" s="78"/>
    </row>
    <row r="211">
      <c r="A211" s="73" t="s">
        <v>260</v>
      </c>
      <c r="B211" s="76">
        <v>4.18</v>
      </c>
      <c r="C211" s="76">
        <v>0.0</v>
      </c>
      <c r="D211" s="76">
        <v>-5.1</v>
      </c>
      <c r="E211" s="76">
        <v>0.67</v>
      </c>
      <c r="F211" s="76">
        <v>0.25</v>
      </c>
      <c r="G211" s="76">
        <v>28.6</v>
      </c>
      <c r="H211" s="76">
        <v>10.06</v>
      </c>
      <c r="I211" s="76">
        <v>-8.18</v>
      </c>
      <c r="J211" s="76">
        <v>4.15</v>
      </c>
      <c r="K211" s="76">
        <v>8.78</v>
      </c>
      <c r="L211" s="76">
        <v>4.63</v>
      </c>
      <c r="M211" s="76">
        <v>0.75</v>
      </c>
      <c r="N211" s="76">
        <v>0.42</v>
      </c>
      <c r="O211" s="76">
        <v>4.31</v>
      </c>
      <c r="P211" s="76">
        <v>-0.36</v>
      </c>
      <c r="Q211" s="76">
        <v>1.23</v>
      </c>
      <c r="R211" s="76">
        <v>-13.14</v>
      </c>
      <c r="S211" s="76">
        <v>-4.87</v>
      </c>
      <c r="T211" s="76">
        <v>4.58</v>
      </c>
      <c r="U211" s="76">
        <v>0.37</v>
      </c>
      <c r="V211" s="76">
        <v>0.63</v>
      </c>
      <c r="W211" s="76">
        <v>0.6</v>
      </c>
      <c r="X211" s="76">
        <v>28.55</v>
      </c>
      <c r="Y211" s="76">
        <v>0.0</v>
      </c>
      <c r="Z211" s="77">
        <v>6882380.0</v>
      </c>
      <c r="AA211" s="76">
        <v>6.23</v>
      </c>
      <c r="AB211" s="76">
        <v>-0.82</v>
      </c>
      <c r="AC211" s="76">
        <v>-0.38</v>
      </c>
      <c r="AD211" s="77">
        <v>5.245929461E9</v>
      </c>
      <c r="AE211" s="78"/>
    </row>
    <row r="212">
      <c r="A212" s="73" t="s">
        <v>261</v>
      </c>
      <c r="B212" s="76">
        <v>15.87</v>
      </c>
      <c r="C212" s="76">
        <v>0.88</v>
      </c>
      <c r="D212" s="76">
        <v>25.15</v>
      </c>
      <c r="E212" s="76">
        <v>1.31</v>
      </c>
      <c r="F212" s="76">
        <v>0.49</v>
      </c>
      <c r="G212" s="76">
        <v>61.1</v>
      </c>
      <c r="H212" s="76">
        <v>30.18</v>
      </c>
      <c r="I212" s="76">
        <v>6.12</v>
      </c>
      <c r="J212" s="76">
        <v>5.1</v>
      </c>
      <c r="K212" s="76">
        <v>8.23</v>
      </c>
      <c r="L212" s="76">
        <v>3.13</v>
      </c>
      <c r="M212" s="76">
        <v>0.8</v>
      </c>
      <c r="N212" s="76">
        <v>1.54</v>
      </c>
      <c r="O212" s="76">
        <v>13.66</v>
      </c>
      <c r="P212" s="76">
        <v>-0.6</v>
      </c>
      <c r="Q212" s="76">
        <v>1.26</v>
      </c>
      <c r="R212" s="76">
        <v>5.22</v>
      </c>
      <c r="S212" s="76">
        <v>1.96</v>
      </c>
      <c r="T212" s="77">
        <v>11.49</v>
      </c>
      <c r="U212" s="76">
        <v>0.38</v>
      </c>
      <c r="V212" s="76">
        <v>0.62</v>
      </c>
      <c r="W212" s="76">
        <v>0.32</v>
      </c>
      <c r="X212" s="76">
        <v>0.0</v>
      </c>
      <c r="Y212" s="76">
        <v>0.0</v>
      </c>
      <c r="Z212" s="77">
        <v>3.1216178E7</v>
      </c>
      <c r="AA212" s="76">
        <v>12.09</v>
      </c>
      <c r="AB212" s="76">
        <v>0.63</v>
      </c>
      <c r="AC212" s="76">
        <v>-1.16</v>
      </c>
      <c r="AD212" s="77">
        <v>1.840673063E9</v>
      </c>
      <c r="AE212" s="78"/>
    </row>
    <row r="213">
      <c r="A213" s="73" t="s">
        <v>262</v>
      </c>
      <c r="B213" s="76">
        <v>7.74</v>
      </c>
      <c r="C213" s="76">
        <v>12.17</v>
      </c>
      <c r="D213" s="76">
        <v>6.1</v>
      </c>
      <c r="E213" s="76">
        <v>0.91</v>
      </c>
      <c r="F213" s="76">
        <v>0.59</v>
      </c>
      <c r="G213" s="76">
        <v>15.81</v>
      </c>
      <c r="H213" s="76">
        <v>10.66</v>
      </c>
      <c r="I213" s="76">
        <v>7.08</v>
      </c>
      <c r="J213" s="76">
        <v>4.04</v>
      </c>
      <c r="K213" s="76">
        <v>3.69</v>
      </c>
      <c r="L213" s="76">
        <v>-0.35</v>
      </c>
      <c r="M213" s="76">
        <v>-0.08</v>
      </c>
      <c r="N213" s="76">
        <v>0.43</v>
      </c>
      <c r="O213" s="76">
        <v>1.28</v>
      </c>
      <c r="P213" s="76">
        <v>-1.68</v>
      </c>
      <c r="Q213" s="76">
        <v>3.48</v>
      </c>
      <c r="R213" s="76">
        <v>15.0</v>
      </c>
      <c r="S213" s="76">
        <v>9.7</v>
      </c>
      <c r="T213" s="76">
        <v>12.78</v>
      </c>
      <c r="U213" s="76">
        <v>0.65</v>
      </c>
      <c r="V213" s="76">
        <v>0.35</v>
      </c>
      <c r="W213" s="76">
        <v>1.37</v>
      </c>
      <c r="X213" s="76">
        <v>17.81</v>
      </c>
      <c r="Y213" s="76">
        <v>44.31</v>
      </c>
      <c r="Z213" s="77">
        <v>1340591.0</v>
      </c>
      <c r="AA213" s="76">
        <v>8.46</v>
      </c>
      <c r="AB213" s="76">
        <v>1.27</v>
      </c>
      <c r="AC213" s="76">
        <v>-1.35</v>
      </c>
      <c r="AD213" s="77">
        <v>9.512379794E8</v>
      </c>
      <c r="AE213" s="78"/>
    </row>
    <row r="214">
      <c r="A214" s="73" t="s">
        <v>263</v>
      </c>
      <c r="B214" s="76">
        <v>7.65</v>
      </c>
      <c r="C214" s="76">
        <v>9.09</v>
      </c>
      <c r="D214" s="76">
        <v>6.03</v>
      </c>
      <c r="E214" s="76">
        <v>0.9</v>
      </c>
      <c r="F214" s="76">
        <v>0.58</v>
      </c>
      <c r="G214" s="76">
        <v>15.81</v>
      </c>
      <c r="H214" s="76">
        <v>10.66</v>
      </c>
      <c r="I214" s="76">
        <v>7.08</v>
      </c>
      <c r="J214" s="76">
        <v>4.0</v>
      </c>
      <c r="K214" s="76">
        <v>3.69</v>
      </c>
      <c r="L214" s="76">
        <v>-0.35</v>
      </c>
      <c r="M214" s="76">
        <v>-0.08</v>
      </c>
      <c r="N214" s="76">
        <v>0.43</v>
      </c>
      <c r="O214" s="76">
        <v>1.27</v>
      </c>
      <c r="P214" s="76">
        <v>-1.66</v>
      </c>
      <c r="Q214" s="76">
        <v>3.48</v>
      </c>
      <c r="R214" s="76">
        <v>15.0</v>
      </c>
      <c r="S214" s="76">
        <v>9.7</v>
      </c>
      <c r="T214" s="76">
        <v>12.78</v>
      </c>
      <c r="U214" s="76">
        <v>0.65</v>
      </c>
      <c r="V214" s="76">
        <v>0.35</v>
      </c>
      <c r="W214" s="76">
        <v>1.37</v>
      </c>
      <c r="X214" s="76">
        <v>17.81</v>
      </c>
      <c r="Y214" s="76">
        <v>44.31</v>
      </c>
      <c r="Z214" s="77">
        <v>34692.7</v>
      </c>
      <c r="AA214" s="76">
        <v>8.46</v>
      </c>
      <c r="AB214" s="76">
        <v>1.27</v>
      </c>
      <c r="AC214" s="76">
        <v>-1.33</v>
      </c>
      <c r="AD214" s="77">
        <v>9.512379794E8</v>
      </c>
      <c r="AE214" s="78"/>
    </row>
    <row r="215">
      <c r="A215" s="73" t="s">
        <v>264</v>
      </c>
      <c r="B215" s="76">
        <v>16.77</v>
      </c>
      <c r="C215" s="76">
        <v>13.22</v>
      </c>
      <c r="D215" s="76">
        <v>11.49</v>
      </c>
      <c r="E215" s="76">
        <v>3.57</v>
      </c>
      <c r="F215" s="76">
        <v>0.7</v>
      </c>
      <c r="G215" s="76">
        <v>38.74</v>
      </c>
      <c r="H215" s="76">
        <v>23.09</v>
      </c>
      <c r="I215" s="76">
        <v>18.79</v>
      </c>
      <c r="J215" s="76">
        <v>9.36</v>
      </c>
      <c r="K215" s="76">
        <v>9.59</v>
      </c>
      <c r="L215" s="76">
        <v>0.23</v>
      </c>
      <c r="M215" s="76">
        <v>0.09</v>
      </c>
      <c r="N215" s="76">
        <v>2.16</v>
      </c>
      <c r="O215" s="76">
        <v>2.09</v>
      </c>
      <c r="P215" s="76">
        <v>-1.28</v>
      </c>
      <c r="Q215" s="76">
        <v>3.93</v>
      </c>
      <c r="R215" s="76">
        <v>31.05</v>
      </c>
      <c r="S215" s="76">
        <v>6.12</v>
      </c>
      <c r="T215" s="76">
        <v>15.67</v>
      </c>
      <c r="U215" s="76">
        <v>0.2</v>
      </c>
      <c r="V215" s="76">
        <v>0.78</v>
      </c>
      <c r="W215" s="76">
        <v>0.33</v>
      </c>
      <c r="X215" s="76">
        <v>18.09</v>
      </c>
      <c r="Y215" s="76">
        <v>49.86</v>
      </c>
      <c r="Z215" s="77">
        <v>1.17E8</v>
      </c>
      <c r="AA215" s="76">
        <v>4.7</v>
      </c>
      <c r="AB215" s="76">
        <v>1.46</v>
      </c>
      <c r="AC215" s="76">
        <v>0.32</v>
      </c>
      <c r="AD215" s="77">
        <v>8.728785E9</v>
      </c>
      <c r="AE215" s="78"/>
    </row>
    <row r="216">
      <c r="A216" s="73" t="s">
        <v>265</v>
      </c>
      <c r="B216" s="76">
        <v>1.76</v>
      </c>
      <c r="C216" s="76">
        <v>0.0</v>
      </c>
      <c r="D216" s="76">
        <v>3.09</v>
      </c>
      <c r="E216" s="76">
        <v>0.41</v>
      </c>
      <c r="F216" s="76">
        <v>0.02</v>
      </c>
      <c r="G216" s="76">
        <v>45.67</v>
      </c>
      <c r="H216" s="76">
        <v>4.75</v>
      </c>
      <c r="I216" s="76">
        <v>3.87</v>
      </c>
      <c r="J216" s="76">
        <v>2.52</v>
      </c>
      <c r="K216" s="76">
        <v>2.52</v>
      </c>
      <c r="L216" s="76">
        <v>0.0</v>
      </c>
      <c r="M216" s="76">
        <v>0.0</v>
      </c>
      <c r="N216" s="76">
        <v>0.12</v>
      </c>
      <c r="O216" s="76">
        <v>4.72</v>
      </c>
      <c r="P216" s="76">
        <v>-0.02</v>
      </c>
      <c r="Q216" s="76">
        <v>0.0</v>
      </c>
      <c r="R216" s="76">
        <v>13.29</v>
      </c>
      <c r="S216" s="76">
        <v>0.62</v>
      </c>
      <c r="T216" s="76">
        <v>0.0</v>
      </c>
      <c r="U216" s="76">
        <v>0.05</v>
      </c>
      <c r="V216" s="76">
        <v>0.95</v>
      </c>
      <c r="W216" s="76">
        <v>0.16</v>
      </c>
      <c r="X216" s="76">
        <v>51.46</v>
      </c>
      <c r="Y216" s="76">
        <v>0.0</v>
      </c>
      <c r="Z216" s="77">
        <v>0.0</v>
      </c>
      <c r="AA216" s="76">
        <v>4.29</v>
      </c>
      <c r="AB216" s="76">
        <v>0.57</v>
      </c>
      <c r="AC216" s="76">
        <v>0.01</v>
      </c>
      <c r="AD216" s="77">
        <v>9.49254731E8</v>
      </c>
      <c r="AE216" s="78"/>
    </row>
    <row r="217">
      <c r="A217" s="73" t="s">
        <v>266</v>
      </c>
      <c r="B217" s="76">
        <v>6.98</v>
      </c>
      <c r="C217" s="76">
        <v>0.0</v>
      </c>
      <c r="D217" s="76">
        <v>21.2</v>
      </c>
      <c r="E217" s="76">
        <v>0.39</v>
      </c>
      <c r="F217" s="76">
        <v>0.18</v>
      </c>
      <c r="G217" s="76">
        <v>28.13</v>
      </c>
      <c r="H217" s="76">
        <v>2.63</v>
      </c>
      <c r="I217" s="76">
        <v>0.64</v>
      </c>
      <c r="J217" s="76">
        <v>5.17</v>
      </c>
      <c r="K217" s="76">
        <v>5.44</v>
      </c>
      <c r="L217" s="76">
        <v>0.27</v>
      </c>
      <c r="M217" s="76">
        <v>0.02</v>
      </c>
      <c r="N217" s="76">
        <v>0.14</v>
      </c>
      <c r="O217" s="76">
        <v>9.3</v>
      </c>
      <c r="P217" s="76">
        <v>-0.27</v>
      </c>
      <c r="Q217" s="76">
        <v>1.06</v>
      </c>
      <c r="R217" s="76">
        <v>1.83</v>
      </c>
      <c r="S217" s="76">
        <v>0.86</v>
      </c>
      <c r="T217" s="76">
        <v>6.67</v>
      </c>
      <c r="U217" s="76">
        <v>0.47</v>
      </c>
      <c r="V217" s="76">
        <v>0.53</v>
      </c>
      <c r="W217" s="76">
        <v>1.34</v>
      </c>
      <c r="X217" s="76">
        <v>353.03</v>
      </c>
      <c r="Y217" s="76">
        <v>0.0</v>
      </c>
      <c r="Z217" s="77">
        <v>301687.2</v>
      </c>
      <c r="AA217" s="76">
        <v>17.98</v>
      </c>
      <c r="AB217" s="76">
        <v>0.33</v>
      </c>
      <c r="AC217" s="76">
        <v>-0.45</v>
      </c>
      <c r="AD217" s="77">
        <v>3.532078372E8</v>
      </c>
      <c r="AE217" s="78"/>
    </row>
    <row r="218">
      <c r="A218" s="73" t="s">
        <v>267</v>
      </c>
      <c r="B218" s="76">
        <v>6.51</v>
      </c>
      <c r="C218" s="76">
        <v>0.15</v>
      </c>
      <c r="D218" s="76">
        <v>89.8</v>
      </c>
      <c r="E218" s="76">
        <v>0.71</v>
      </c>
      <c r="F218" s="76">
        <v>0.49</v>
      </c>
      <c r="G218" s="76">
        <v>18.5</v>
      </c>
      <c r="H218" s="76">
        <v>-1.35</v>
      </c>
      <c r="I218" s="76">
        <v>0.89</v>
      </c>
      <c r="J218" s="76">
        <v>-59.15</v>
      </c>
      <c r="K218" s="76">
        <v>-58.79</v>
      </c>
      <c r="L218" s="76">
        <v>-6.6</v>
      </c>
      <c r="M218" s="76">
        <v>0.08</v>
      </c>
      <c r="N218" s="76">
        <v>0.8</v>
      </c>
      <c r="O218" s="76">
        <v>1.07</v>
      </c>
      <c r="P218" s="76">
        <v>-1.14</v>
      </c>
      <c r="Q218" s="76">
        <v>5.27</v>
      </c>
      <c r="R218" s="76">
        <v>0.79</v>
      </c>
      <c r="S218" s="76">
        <v>0.55</v>
      </c>
      <c r="T218" s="76">
        <v>-1.03</v>
      </c>
      <c r="U218" s="76">
        <v>0.69</v>
      </c>
      <c r="V218" s="76">
        <v>0.31</v>
      </c>
      <c r="W218" s="76">
        <v>0.62</v>
      </c>
      <c r="X218" s="76">
        <v>4.67</v>
      </c>
      <c r="Y218" s="76">
        <v>-29.67</v>
      </c>
      <c r="Z218" s="77">
        <v>1953.0</v>
      </c>
      <c r="AA218" s="76">
        <v>9.14</v>
      </c>
      <c r="AB218" s="76">
        <v>0.07</v>
      </c>
      <c r="AC218" s="76">
        <v>-0.59</v>
      </c>
      <c r="AD218" s="77">
        <v>4.344245513E8</v>
      </c>
      <c r="AE218" s="78"/>
    </row>
    <row r="219">
      <c r="A219" s="73" t="s">
        <v>268</v>
      </c>
      <c r="B219" s="76">
        <v>3.77</v>
      </c>
      <c r="C219" s="76">
        <v>0.27</v>
      </c>
      <c r="D219" s="76">
        <v>52.0</v>
      </c>
      <c r="E219" s="76">
        <v>0.41</v>
      </c>
      <c r="F219" s="76">
        <v>0.29</v>
      </c>
      <c r="G219" s="76">
        <v>18.5</v>
      </c>
      <c r="H219" s="76">
        <v>-1.35</v>
      </c>
      <c r="I219" s="76">
        <v>0.89</v>
      </c>
      <c r="J219" s="76">
        <v>-34.26</v>
      </c>
      <c r="K219" s="76">
        <v>-58.79</v>
      </c>
      <c r="L219" s="76">
        <v>-6.6</v>
      </c>
      <c r="M219" s="76">
        <v>0.08</v>
      </c>
      <c r="N219" s="76">
        <v>0.46</v>
      </c>
      <c r="O219" s="76">
        <v>0.62</v>
      </c>
      <c r="P219" s="76">
        <v>-0.66</v>
      </c>
      <c r="Q219" s="76">
        <v>5.27</v>
      </c>
      <c r="R219" s="76">
        <v>0.79</v>
      </c>
      <c r="S219" s="76">
        <v>0.55</v>
      </c>
      <c r="T219" s="76">
        <v>-1.03</v>
      </c>
      <c r="U219" s="76">
        <v>0.69</v>
      </c>
      <c r="V219" s="76">
        <v>0.31</v>
      </c>
      <c r="W219" s="76">
        <v>0.62</v>
      </c>
      <c r="X219" s="76">
        <v>4.67</v>
      </c>
      <c r="Y219" s="76">
        <v>-29.67</v>
      </c>
      <c r="Z219" s="77">
        <v>10433.43</v>
      </c>
      <c r="AA219" s="76">
        <v>9.14</v>
      </c>
      <c r="AB219" s="76">
        <v>0.07</v>
      </c>
      <c r="AC219" s="76">
        <v>-0.34</v>
      </c>
      <c r="AD219" s="77">
        <v>4.344245513E8</v>
      </c>
      <c r="AE219" s="78"/>
    </row>
    <row r="220">
      <c r="A220" s="73" t="s">
        <v>269</v>
      </c>
      <c r="B220" s="76">
        <v>2.98</v>
      </c>
      <c r="C220" s="76">
        <v>0.0</v>
      </c>
      <c r="D220" s="76">
        <v>-14.06</v>
      </c>
      <c r="E220" s="76">
        <v>-0.16</v>
      </c>
      <c r="F220" s="76">
        <v>0.18</v>
      </c>
      <c r="G220" s="76">
        <v>83.0</v>
      </c>
      <c r="H220" s="76">
        <v>12.29</v>
      </c>
      <c r="I220" s="76">
        <v>-1.49</v>
      </c>
      <c r="J220" s="76">
        <v>1.71</v>
      </c>
      <c r="K220" s="76">
        <v>4.81</v>
      </c>
      <c r="L220" s="76">
        <v>3.1</v>
      </c>
      <c r="M220" s="76">
        <v>0.0</v>
      </c>
      <c r="N220" s="76">
        <v>0.21</v>
      </c>
      <c r="O220" s="76">
        <v>-0.23</v>
      </c>
      <c r="P220" s="76">
        <v>-0.31</v>
      </c>
      <c r="Q220" s="76">
        <v>0.35</v>
      </c>
      <c r="R220" s="76">
        <v>-1.13</v>
      </c>
      <c r="S220" s="76">
        <v>-1.26</v>
      </c>
      <c r="T220" s="76">
        <v>-11.09</v>
      </c>
      <c r="U220" s="76">
        <v>-1.11</v>
      </c>
      <c r="V220" s="76">
        <v>2.11</v>
      </c>
      <c r="W220" s="76">
        <v>0.84</v>
      </c>
      <c r="X220" s="76">
        <v>3.9</v>
      </c>
      <c r="Y220" s="76">
        <v>0.0</v>
      </c>
      <c r="Z220" s="77">
        <v>47562.48</v>
      </c>
      <c r="AA220" s="76">
        <v>-18.67</v>
      </c>
      <c r="AB220" s="76">
        <v>-0.21</v>
      </c>
      <c r="AC220" s="76">
        <v>0.16</v>
      </c>
      <c r="AD220" s="77">
        <v>3.969949444E7</v>
      </c>
      <c r="AE220" s="78"/>
    </row>
    <row r="221">
      <c r="A221" s="73" t="s">
        <v>270</v>
      </c>
      <c r="B221" s="76">
        <v>2.5</v>
      </c>
      <c r="C221" s="76">
        <v>0.0</v>
      </c>
      <c r="D221" s="76">
        <v>-169.68</v>
      </c>
      <c r="E221" s="76">
        <v>22.5</v>
      </c>
      <c r="F221" s="76">
        <v>3.81</v>
      </c>
      <c r="G221" s="76">
        <v>29.74</v>
      </c>
      <c r="H221" s="76">
        <v>1.5</v>
      </c>
      <c r="I221" s="76">
        <v>-1.98</v>
      </c>
      <c r="J221" s="76">
        <v>224.42</v>
      </c>
      <c r="K221" s="76">
        <v>413.65</v>
      </c>
      <c r="L221" s="76">
        <v>-29.19</v>
      </c>
      <c r="M221" s="76">
        <v>-2.93</v>
      </c>
      <c r="N221" s="76">
        <v>3.36</v>
      </c>
      <c r="O221" s="76">
        <v>8.72</v>
      </c>
      <c r="P221" s="76">
        <v>-123.13</v>
      </c>
      <c r="Q221" s="76">
        <v>1.82</v>
      </c>
      <c r="R221" s="76">
        <v>-13.26</v>
      </c>
      <c r="S221" s="76">
        <v>-2.24</v>
      </c>
      <c r="T221" s="76">
        <v>10.02</v>
      </c>
      <c r="U221" s="76">
        <v>0.17</v>
      </c>
      <c r="V221" s="76">
        <v>0.83</v>
      </c>
      <c r="W221" s="76">
        <v>1.13</v>
      </c>
      <c r="X221" s="76">
        <v>-12.65</v>
      </c>
      <c r="Y221" s="76">
        <v>0.0</v>
      </c>
      <c r="Z221" s="77">
        <v>1955.13</v>
      </c>
      <c r="AA221" s="76">
        <v>0.11</v>
      </c>
      <c r="AB221" s="76">
        <v>-0.01</v>
      </c>
      <c r="AC221" s="76">
        <v>1.78</v>
      </c>
      <c r="AD221" s="77">
        <v>5.4912193E7</v>
      </c>
      <c r="AE221" s="78"/>
    </row>
    <row r="222">
      <c r="A222" s="73" t="s">
        <v>271</v>
      </c>
      <c r="B222" s="76">
        <v>62.6</v>
      </c>
      <c r="C222" s="76">
        <v>0.0</v>
      </c>
      <c r="D222" s="76">
        <v>-4248.83</v>
      </c>
      <c r="E222" s="76">
        <v>563.31</v>
      </c>
      <c r="F222" s="76">
        <v>95.35</v>
      </c>
      <c r="G222" s="76">
        <v>29.74</v>
      </c>
      <c r="H222" s="76">
        <v>1.5</v>
      </c>
      <c r="I222" s="76">
        <v>-1.98</v>
      </c>
      <c r="J222" s="76">
        <v>5619.43</v>
      </c>
      <c r="K222" s="76">
        <v>413.65</v>
      </c>
      <c r="L222" s="76">
        <v>-29.19</v>
      </c>
      <c r="M222" s="76">
        <v>-2.93</v>
      </c>
      <c r="N222" s="76">
        <v>84.25</v>
      </c>
      <c r="O222" s="76">
        <v>218.37</v>
      </c>
      <c r="P222" s="76">
        <v>-3083.22</v>
      </c>
      <c r="Q222" s="76">
        <v>1.82</v>
      </c>
      <c r="R222" s="76">
        <v>-13.26</v>
      </c>
      <c r="S222" s="76">
        <v>-2.24</v>
      </c>
      <c r="T222" s="76">
        <v>10.02</v>
      </c>
      <c r="U222" s="76">
        <v>0.17</v>
      </c>
      <c r="V222" s="76">
        <v>0.83</v>
      </c>
      <c r="W222" s="76">
        <v>1.13</v>
      </c>
      <c r="X222" s="76">
        <v>-12.65</v>
      </c>
      <c r="Y222" s="76">
        <v>0.0</v>
      </c>
      <c r="Z222" s="77">
        <v>0.0</v>
      </c>
      <c r="AA222" s="76">
        <v>0.11</v>
      </c>
      <c r="AB222" s="76">
        <v>-0.01</v>
      </c>
      <c r="AC222" s="76">
        <v>44.69</v>
      </c>
      <c r="AD222" s="77">
        <v>5.4912193E7</v>
      </c>
      <c r="AE222" s="78"/>
    </row>
    <row r="223">
      <c r="A223" s="73" t="s">
        <v>272</v>
      </c>
      <c r="B223" s="76">
        <v>5.63</v>
      </c>
      <c r="C223" s="76">
        <v>0.13</v>
      </c>
      <c r="D223" s="76">
        <v>46.55</v>
      </c>
      <c r="E223" s="76">
        <v>0.77</v>
      </c>
      <c r="F223" s="76">
        <v>0.29</v>
      </c>
      <c r="G223" s="76">
        <v>23.52</v>
      </c>
      <c r="H223" s="76">
        <v>9.4</v>
      </c>
      <c r="I223" s="76">
        <v>1.35</v>
      </c>
      <c r="J223" s="77">
        <v>6.7</v>
      </c>
      <c r="K223" s="76">
        <v>13.3</v>
      </c>
      <c r="L223" s="76">
        <v>6.6</v>
      </c>
      <c r="M223" s="76">
        <v>0.76</v>
      </c>
      <c r="N223" s="76">
        <v>0.63</v>
      </c>
      <c r="O223" s="76">
        <v>3.94</v>
      </c>
      <c r="P223" s="76">
        <v>-0.41</v>
      </c>
      <c r="Q223" s="76">
        <v>1.33</v>
      </c>
      <c r="R223" s="76">
        <v>1.65</v>
      </c>
      <c r="S223" s="77">
        <v>0.62</v>
      </c>
      <c r="T223" s="76">
        <v>3.71</v>
      </c>
      <c r="U223" s="76">
        <v>0.37</v>
      </c>
      <c r="V223" s="76">
        <v>0.61</v>
      </c>
      <c r="W223" s="76">
        <v>0.46</v>
      </c>
      <c r="X223" s="76">
        <v>10.44</v>
      </c>
      <c r="Y223" s="76">
        <v>-22.81</v>
      </c>
      <c r="Z223" s="77">
        <v>1.3997355E7</v>
      </c>
      <c r="AA223" s="76">
        <v>7.34</v>
      </c>
      <c r="AB223" s="76">
        <v>0.12</v>
      </c>
      <c r="AC223" s="76">
        <v>-0.69</v>
      </c>
      <c r="AD223" s="77">
        <v>5.174162523E9</v>
      </c>
      <c r="AE223" s="78"/>
    </row>
    <row r="224">
      <c r="A224" s="73" t="s">
        <v>273</v>
      </c>
      <c r="B224" s="76">
        <v>14.01</v>
      </c>
      <c r="C224" s="76">
        <v>4.82</v>
      </c>
      <c r="D224" s="76">
        <v>2.98</v>
      </c>
      <c r="E224" s="76">
        <v>0.88</v>
      </c>
      <c r="F224" s="76">
        <v>0.5</v>
      </c>
      <c r="G224" s="76">
        <v>22.97</v>
      </c>
      <c r="H224" s="76">
        <v>14.12</v>
      </c>
      <c r="I224" s="76">
        <v>18.28</v>
      </c>
      <c r="J224" s="77">
        <v>3.85</v>
      </c>
      <c r="K224" s="76">
        <v>4.9</v>
      </c>
      <c r="L224" s="76">
        <v>1.01</v>
      </c>
      <c r="M224" s="76">
        <v>0.23</v>
      </c>
      <c r="N224" s="76">
        <v>0.54</v>
      </c>
      <c r="O224" s="76">
        <v>5.37</v>
      </c>
      <c r="P224" s="76">
        <v>-0.82</v>
      </c>
      <c r="Q224" s="76">
        <v>1.31</v>
      </c>
      <c r="R224" s="76">
        <v>29.71</v>
      </c>
      <c r="S224" s="77">
        <v>16.76</v>
      </c>
      <c r="T224" s="76">
        <v>11.99</v>
      </c>
      <c r="U224" s="76">
        <v>0.56</v>
      </c>
      <c r="V224" s="76">
        <v>0.44</v>
      </c>
      <c r="W224" s="76">
        <v>0.92</v>
      </c>
      <c r="X224" s="76">
        <v>13.53</v>
      </c>
      <c r="Y224" s="76">
        <v>44.42</v>
      </c>
      <c r="Z224" s="77">
        <v>24258.12</v>
      </c>
      <c r="AA224" s="76">
        <v>15.84</v>
      </c>
      <c r="AB224" s="76">
        <v>4.71</v>
      </c>
      <c r="AC224" s="76">
        <v>0.05</v>
      </c>
      <c r="AD224" s="77">
        <v>3.179025E8</v>
      </c>
      <c r="AE224" s="78"/>
    </row>
    <row r="225">
      <c r="A225" s="73" t="s">
        <v>274</v>
      </c>
      <c r="B225" s="76">
        <v>14.22</v>
      </c>
      <c r="C225" s="76">
        <v>5.23</v>
      </c>
      <c r="D225" s="76">
        <v>3.02</v>
      </c>
      <c r="E225" s="76">
        <v>0.9</v>
      </c>
      <c r="F225" s="76">
        <v>0.51</v>
      </c>
      <c r="G225" s="76">
        <v>22.97</v>
      </c>
      <c r="H225" s="76">
        <v>14.12</v>
      </c>
      <c r="I225" s="76">
        <v>18.28</v>
      </c>
      <c r="J225" s="77">
        <v>3.91</v>
      </c>
      <c r="K225" s="76">
        <v>4.9</v>
      </c>
      <c r="L225" s="76">
        <v>1.01</v>
      </c>
      <c r="M225" s="76">
        <v>0.23</v>
      </c>
      <c r="N225" s="76">
        <v>0.55</v>
      </c>
      <c r="O225" s="76">
        <v>5.45</v>
      </c>
      <c r="P225" s="76">
        <v>-0.83</v>
      </c>
      <c r="Q225" s="76">
        <v>1.31</v>
      </c>
      <c r="R225" s="76">
        <v>29.71</v>
      </c>
      <c r="S225" s="76">
        <v>16.76</v>
      </c>
      <c r="T225" s="76">
        <v>11.99</v>
      </c>
      <c r="U225" s="76">
        <v>0.56</v>
      </c>
      <c r="V225" s="76">
        <v>0.44</v>
      </c>
      <c r="W225" s="76">
        <v>0.92</v>
      </c>
      <c r="X225" s="76">
        <v>13.53</v>
      </c>
      <c r="Y225" s="76">
        <v>44.42</v>
      </c>
      <c r="Z225" s="77">
        <v>257406.3</v>
      </c>
      <c r="AA225" s="76">
        <v>15.84</v>
      </c>
      <c r="AB225" s="76">
        <v>4.71</v>
      </c>
      <c r="AC225" s="76">
        <v>0.05</v>
      </c>
      <c r="AD225" s="77">
        <v>3.179025E8</v>
      </c>
      <c r="AE225" s="78"/>
    </row>
    <row r="226">
      <c r="A226" s="73" t="s">
        <v>275</v>
      </c>
      <c r="B226" s="76">
        <v>10.73</v>
      </c>
      <c r="C226" s="76">
        <v>2.88</v>
      </c>
      <c r="D226" s="77">
        <v>8.1</v>
      </c>
      <c r="E226" s="77">
        <v>1.78</v>
      </c>
      <c r="F226" s="77">
        <v>0.21</v>
      </c>
      <c r="G226" s="76">
        <v>39.37</v>
      </c>
      <c r="H226" s="76">
        <v>37.58</v>
      </c>
      <c r="I226" s="76">
        <v>8.44</v>
      </c>
      <c r="J226" s="77">
        <v>1.82</v>
      </c>
      <c r="K226" s="77">
        <v>6.86</v>
      </c>
      <c r="L226" s="76">
        <v>5.04</v>
      </c>
      <c r="M226" s="76">
        <v>4.92</v>
      </c>
      <c r="N226" s="76">
        <v>0.68</v>
      </c>
      <c r="O226" s="77">
        <v>4.24</v>
      </c>
      <c r="P226" s="77">
        <v>-0.25</v>
      </c>
      <c r="Q226" s="76">
        <v>1.51</v>
      </c>
      <c r="R226" s="76">
        <v>21.93</v>
      </c>
      <c r="S226" s="77">
        <v>2.63</v>
      </c>
      <c r="T226" s="76">
        <v>11.35</v>
      </c>
      <c r="U226" s="76">
        <v>0.12</v>
      </c>
      <c r="V226" s="76">
        <v>0.87</v>
      </c>
      <c r="W226" s="76">
        <v>0.31</v>
      </c>
      <c r="X226" s="76">
        <v>20.09</v>
      </c>
      <c r="Y226" s="76">
        <v>0.0</v>
      </c>
      <c r="Z226" s="77">
        <v>8.9504737E7</v>
      </c>
      <c r="AA226" s="76">
        <v>6.04</v>
      </c>
      <c r="AB226" s="76">
        <v>1.33</v>
      </c>
      <c r="AC226" s="76">
        <v>1.65</v>
      </c>
      <c r="AD226" s="77">
        <v>7.471666224E9</v>
      </c>
      <c r="AE226" s="78"/>
    </row>
    <row r="227">
      <c r="A227" s="73" t="s">
        <v>276</v>
      </c>
      <c r="B227" s="76">
        <v>90.25</v>
      </c>
      <c r="C227" s="76">
        <v>0.0</v>
      </c>
      <c r="D227" s="77">
        <v>-9.87</v>
      </c>
      <c r="E227" s="77">
        <v>1.21</v>
      </c>
      <c r="F227" s="77">
        <v>0.62</v>
      </c>
      <c r="G227" s="76">
        <v>0.0</v>
      </c>
      <c r="H227" s="76">
        <v>0.0</v>
      </c>
      <c r="I227" s="76">
        <v>0.0</v>
      </c>
      <c r="J227" s="77">
        <v>-17.12</v>
      </c>
      <c r="K227" s="77">
        <v>-17.09</v>
      </c>
      <c r="L227" s="76">
        <v>0.08</v>
      </c>
      <c r="M227" s="76">
        <v>-0.01</v>
      </c>
      <c r="N227" s="76">
        <v>0.0</v>
      </c>
      <c r="O227" s="77">
        <v>174.62</v>
      </c>
      <c r="P227" s="77">
        <v>-0.62</v>
      </c>
      <c r="Q227" s="76">
        <v>2.97</v>
      </c>
      <c r="R227" s="76">
        <v>-12.28</v>
      </c>
      <c r="S227" s="77">
        <v>-6.29</v>
      </c>
      <c r="T227" s="76">
        <v>-7.36</v>
      </c>
      <c r="U227" s="76">
        <v>0.51</v>
      </c>
      <c r="V227" s="76">
        <v>0.49</v>
      </c>
      <c r="W227" s="76">
        <v>0.0</v>
      </c>
      <c r="X227" s="76">
        <v>0.0</v>
      </c>
      <c r="Y227" s="76">
        <v>0.0</v>
      </c>
      <c r="Z227" s="77">
        <v>0.0</v>
      </c>
      <c r="AA227" s="76">
        <v>74.46</v>
      </c>
      <c r="AB227" s="76">
        <v>-9.14</v>
      </c>
      <c r="AC227" s="76">
        <v>0.14</v>
      </c>
      <c r="AD227" s="77">
        <v>1.719089473E8</v>
      </c>
      <c r="AE227" s="78"/>
    </row>
    <row r="228">
      <c r="A228" s="73" t="s">
        <v>277</v>
      </c>
      <c r="B228" s="76">
        <v>90.74</v>
      </c>
      <c r="C228" s="76">
        <v>0.0</v>
      </c>
      <c r="D228" s="76">
        <v>-9.92</v>
      </c>
      <c r="E228" s="76">
        <v>1.22</v>
      </c>
      <c r="F228" s="76">
        <v>0.62</v>
      </c>
      <c r="G228" s="76">
        <v>0.0</v>
      </c>
      <c r="H228" s="76">
        <v>0.0</v>
      </c>
      <c r="I228" s="76">
        <v>0.0</v>
      </c>
      <c r="J228" s="77">
        <v>-17.21</v>
      </c>
      <c r="K228" s="77">
        <v>-17.09</v>
      </c>
      <c r="L228" s="76">
        <v>0.08</v>
      </c>
      <c r="M228" s="76">
        <v>-0.01</v>
      </c>
      <c r="N228" s="76">
        <v>0.0</v>
      </c>
      <c r="O228" s="76">
        <v>175.57</v>
      </c>
      <c r="P228" s="76">
        <v>-0.63</v>
      </c>
      <c r="Q228" s="76">
        <v>2.97</v>
      </c>
      <c r="R228" s="77">
        <v>-12.28</v>
      </c>
      <c r="S228" s="76">
        <v>-6.29</v>
      </c>
      <c r="T228" s="76">
        <v>-7.36</v>
      </c>
      <c r="U228" s="76">
        <v>0.51</v>
      </c>
      <c r="V228" s="76">
        <v>0.49</v>
      </c>
      <c r="W228" s="76">
        <v>0.0</v>
      </c>
      <c r="X228" s="76">
        <v>0.0</v>
      </c>
      <c r="Y228" s="76">
        <v>0.0</v>
      </c>
      <c r="Z228" s="77">
        <v>0.0</v>
      </c>
      <c r="AA228" s="76">
        <v>74.46</v>
      </c>
      <c r="AB228" s="76">
        <v>-9.14</v>
      </c>
      <c r="AC228" s="76">
        <v>0.14</v>
      </c>
      <c r="AD228" s="77">
        <v>1.719089473E8</v>
      </c>
      <c r="AE228" s="78"/>
    </row>
    <row r="229">
      <c r="A229" s="73" t="s">
        <v>278</v>
      </c>
      <c r="B229" s="76">
        <v>294.77</v>
      </c>
      <c r="C229" s="76">
        <v>0.0</v>
      </c>
      <c r="D229" s="76">
        <v>12.48</v>
      </c>
      <c r="E229" s="76">
        <v>2.18</v>
      </c>
      <c r="F229" s="76">
        <v>0.76</v>
      </c>
      <c r="G229" s="76">
        <v>54.48</v>
      </c>
      <c r="H229" s="76">
        <v>47.05</v>
      </c>
      <c r="I229" s="76">
        <v>22.8</v>
      </c>
      <c r="J229" s="76">
        <v>6.05</v>
      </c>
      <c r="K229" s="76">
        <v>10.3</v>
      </c>
      <c r="L229" s="76">
        <v>3.28</v>
      </c>
      <c r="M229" s="76">
        <v>1.18</v>
      </c>
      <c r="N229" s="76">
        <v>2.85</v>
      </c>
      <c r="O229" s="76">
        <v>18.13</v>
      </c>
      <c r="P229" s="76">
        <v>-0.92</v>
      </c>
      <c r="Q229" s="76">
        <v>1.31</v>
      </c>
      <c r="R229" s="77">
        <v>17.46</v>
      </c>
      <c r="S229" s="76">
        <v>6.06</v>
      </c>
      <c r="T229" s="76">
        <v>11.74</v>
      </c>
      <c r="U229" s="76">
        <v>0.35</v>
      </c>
      <c r="V229" s="76">
        <v>0.65</v>
      </c>
      <c r="W229" s="76">
        <v>0.27</v>
      </c>
      <c r="X229" s="76">
        <v>13.69</v>
      </c>
      <c r="Y229" s="76">
        <v>5.88</v>
      </c>
      <c r="Z229" s="77">
        <v>0.0</v>
      </c>
      <c r="AA229" s="76">
        <v>135.31</v>
      </c>
      <c r="AB229" s="76">
        <v>23.62</v>
      </c>
      <c r="AC229" s="76">
        <v>-1.76</v>
      </c>
      <c r="AD229" s="77">
        <v>7.539711816E9</v>
      </c>
      <c r="AE229" s="78"/>
    </row>
    <row r="230">
      <c r="A230" s="73" t="s">
        <v>279</v>
      </c>
      <c r="B230" s="76">
        <v>410.0</v>
      </c>
      <c r="C230" s="76">
        <v>0.0</v>
      </c>
      <c r="D230" s="76">
        <v>17.36</v>
      </c>
      <c r="E230" s="76">
        <v>3.03</v>
      </c>
      <c r="F230" s="76">
        <v>1.05</v>
      </c>
      <c r="G230" s="76">
        <v>54.48</v>
      </c>
      <c r="H230" s="76">
        <v>47.05</v>
      </c>
      <c r="I230" s="76">
        <v>22.8</v>
      </c>
      <c r="J230" s="76">
        <v>8.41</v>
      </c>
      <c r="K230" s="76">
        <v>10.3</v>
      </c>
      <c r="L230" s="76">
        <v>3.28</v>
      </c>
      <c r="M230" s="76">
        <v>1.18</v>
      </c>
      <c r="N230" s="76">
        <v>3.96</v>
      </c>
      <c r="O230" s="76">
        <v>25.22</v>
      </c>
      <c r="P230" s="76">
        <v>-1.28</v>
      </c>
      <c r="Q230" s="76">
        <v>1.31</v>
      </c>
      <c r="R230" s="76">
        <v>17.46</v>
      </c>
      <c r="S230" s="76">
        <v>6.06</v>
      </c>
      <c r="T230" s="76">
        <v>11.74</v>
      </c>
      <c r="U230" s="76">
        <v>0.35</v>
      </c>
      <c r="V230" s="76">
        <v>0.65</v>
      </c>
      <c r="W230" s="76">
        <v>0.27</v>
      </c>
      <c r="X230" s="76">
        <v>13.69</v>
      </c>
      <c r="Y230" s="76">
        <v>5.88</v>
      </c>
      <c r="Z230" s="77">
        <v>0.0</v>
      </c>
      <c r="AA230" s="77">
        <v>135.31</v>
      </c>
      <c r="AB230" s="76">
        <v>23.62</v>
      </c>
      <c r="AC230" s="76">
        <v>-2.45</v>
      </c>
      <c r="AD230" s="77">
        <v>7.539711816E9</v>
      </c>
      <c r="AE230" s="78"/>
    </row>
    <row r="231">
      <c r="A231" s="73" t="s">
        <v>280</v>
      </c>
      <c r="B231" s="76">
        <v>33.72</v>
      </c>
      <c r="C231" s="76">
        <v>5.47</v>
      </c>
      <c r="D231" s="76">
        <v>12.69</v>
      </c>
      <c r="E231" s="76">
        <v>3.13</v>
      </c>
      <c r="F231" s="76">
        <v>0.68</v>
      </c>
      <c r="G231" s="76">
        <v>48.47</v>
      </c>
      <c r="H231" s="76">
        <v>50.93</v>
      </c>
      <c r="I231" s="76">
        <v>23.87</v>
      </c>
      <c r="J231" s="76">
        <v>5.95</v>
      </c>
      <c r="K231" s="76">
        <v>9.71</v>
      </c>
      <c r="L231" s="76">
        <v>3.76</v>
      </c>
      <c r="M231" s="76">
        <v>1.98</v>
      </c>
      <c r="N231" s="76">
        <v>3.03</v>
      </c>
      <c r="O231" s="76">
        <v>62.46</v>
      </c>
      <c r="P231" s="76">
        <v>-0.8</v>
      </c>
      <c r="Q231" s="76">
        <v>1.08</v>
      </c>
      <c r="R231" s="77">
        <v>24.66</v>
      </c>
      <c r="S231" s="76">
        <v>5.37</v>
      </c>
      <c r="T231" s="76">
        <v>13.72</v>
      </c>
      <c r="U231" s="76">
        <v>0.22</v>
      </c>
      <c r="V231" s="76">
        <v>0.76</v>
      </c>
      <c r="W231" s="76">
        <v>0.22</v>
      </c>
      <c r="X231" s="76">
        <v>2.73</v>
      </c>
      <c r="Y231" s="76">
        <v>5.61</v>
      </c>
      <c r="Z231" s="77">
        <v>6.3572354E7</v>
      </c>
      <c r="AA231" s="77">
        <v>10.77</v>
      </c>
      <c r="AB231" s="76">
        <v>2.66</v>
      </c>
      <c r="AC231" s="76">
        <v>-0.47</v>
      </c>
      <c r="AD231" s="77">
        <v>3.851831675E10</v>
      </c>
      <c r="AE231" s="78"/>
    </row>
    <row r="232">
      <c r="A232" s="73" t="s">
        <v>281</v>
      </c>
      <c r="B232" s="76">
        <v>48.9</v>
      </c>
      <c r="C232" s="76">
        <v>9.39</v>
      </c>
      <c r="D232" s="77">
        <v>10.18</v>
      </c>
      <c r="E232" s="76">
        <v>4.69</v>
      </c>
      <c r="F232" s="76">
        <v>0.73</v>
      </c>
      <c r="G232" s="76">
        <v>27.36</v>
      </c>
      <c r="H232" s="76">
        <v>22.31</v>
      </c>
      <c r="I232" s="76">
        <v>9.53</v>
      </c>
      <c r="J232" s="77">
        <v>4.35</v>
      </c>
      <c r="K232" s="77">
        <v>7.16</v>
      </c>
      <c r="L232" s="76">
        <v>3.27</v>
      </c>
      <c r="M232" s="76">
        <v>3.53</v>
      </c>
      <c r="N232" s="76">
        <v>0.97</v>
      </c>
      <c r="O232" s="76">
        <v>38.05</v>
      </c>
      <c r="P232" s="76">
        <v>-1.02</v>
      </c>
      <c r="Q232" s="76">
        <v>1.07</v>
      </c>
      <c r="R232" s="76">
        <v>46.11</v>
      </c>
      <c r="S232" s="76">
        <v>7.16</v>
      </c>
      <c r="T232" s="76">
        <v>19.94</v>
      </c>
      <c r="U232" s="76">
        <v>0.16</v>
      </c>
      <c r="V232" s="76">
        <v>0.84</v>
      </c>
      <c r="W232" s="76">
        <v>0.75</v>
      </c>
      <c r="X232" s="76">
        <v>6.61</v>
      </c>
      <c r="Y232" s="76">
        <v>13.47</v>
      </c>
      <c r="Z232" s="77">
        <v>4191.43</v>
      </c>
      <c r="AA232" s="77">
        <v>10.42</v>
      </c>
      <c r="AB232" s="76">
        <v>4.8</v>
      </c>
      <c r="AC232" s="76">
        <v>-1.42</v>
      </c>
      <c r="AD232" s="77">
        <v>8.467251741E9</v>
      </c>
      <c r="AE232" s="78"/>
    </row>
    <row r="233">
      <c r="A233" s="73" t="s">
        <v>282</v>
      </c>
      <c r="B233" s="76">
        <v>39.01</v>
      </c>
      <c r="C233" s="76">
        <v>12.97</v>
      </c>
      <c r="D233" s="76">
        <v>8.12</v>
      </c>
      <c r="E233" s="76">
        <v>3.74</v>
      </c>
      <c r="F233" s="76">
        <v>0.58</v>
      </c>
      <c r="G233" s="76">
        <v>27.36</v>
      </c>
      <c r="H233" s="76">
        <v>22.31</v>
      </c>
      <c r="I233" s="76">
        <v>9.53</v>
      </c>
      <c r="J233" s="76">
        <v>3.47</v>
      </c>
      <c r="K233" s="76">
        <v>7.16</v>
      </c>
      <c r="L233" s="76">
        <v>3.27</v>
      </c>
      <c r="M233" s="76">
        <v>3.53</v>
      </c>
      <c r="N233" s="76">
        <v>0.77</v>
      </c>
      <c r="O233" s="76">
        <v>30.36</v>
      </c>
      <c r="P233" s="76">
        <v>-0.81</v>
      </c>
      <c r="Q233" s="76">
        <v>1.07</v>
      </c>
      <c r="R233" s="76">
        <v>46.11</v>
      </c>
      <c r="S233" s="76">
        <v>7.16</v>
      </c>
      <c r="T233" s="76">
        <v>19.94</v>
      </c>
      <c r="U233" s="76">
        <v>0.16</v>
      </c>
      <c r="V233" s="76">
        <v>0.84</v>
      </c>
      <c r="W233" s="76">
        <v>0.75</v>
      </c>
      <c r="X233" s="76">
        <v>6.61</v>
      </c>
      <c r="Y233" s="76">
        <v>13.47</v>
      </c>
      <c r="Z233" s="77">
        <v>48749.26</v>
      </c>
      <c r="AA233" s="76">
        <v>10.42</v>
      </c>
      <c r="AB233" s="76">
        <v>4.8</v>
      </c>
      <c r="AC233" s="76">
        <v>-1.13</v>
      </c>
      <c r="AD233" s="77">
        <v>8.467251741E9</v>
      </c>
      <c r="AE233" s="78"/>
    </row>
    <row r="234">
      <c r="A234" s="73" t="s">
        <v>283</v>
      </c>
      <c r="B234" s="76">
        <v>19.11</v>
      </c>
      <c r="C234" s="76">
        <v>0.0</v>
      </c>
      <c r="D234" s="76">
        <v>24.46</v>
      </c>
      <c r="E234" s="76">
        <v>2.66</v>
      </c>
      <c r="F234" s="76">
        <v>1.07</v>
      </c>
      <c r="G234" s="76">
        <v>11.39</v>
      </c>
      <c r="H234" s="76">
        <v>2.82</v>
      </c>
      <c r="I234" s="76">
        <v>2.53</v>
      </c>
      <c r="J234" s="76">
        <v>21.94</v>
      </c>
      <c r="K234" s="76">
        <v>38.76</v>
      </c>
      <c r="L234" s="76">
        <v>5.75</v>
      </c>
      <c r="M234" s="76">
        <v>0.7</v>
      </c>
      <c r="N234" s="76">
        <v>0.62</v>
      </c>
      <c r="O234" s="76">
        <v>3.75</v>
      </c>
      <c r="P234" s="76">
        <v>-2.6</v>
      </c>
      <c r="Q234" s="76">
        <v>1.94</v>
      </c>
      <c r="R234" s="76">
        <v>10.87</v>
      </c>
      <c r="S234" s="76">
        <v>4.36</v>
      </c>
      <c r="T234" s="76">
        <v>4.38</v>
      </c>
      <c r="U234" s="76">
        <v>0.4</v>
      </c>
      <c r="V234" s="76">
        <v>0.6</v>
      </c>
      <c r="W234" s="76">
        <v>1.72</v>
      </c>
      <c r="X234" s="76">
        <v>1.48</v>
      </c>
      <c r="Y234" s="76">
        <v>0.0</v>
      </c>
      <c r="Z234" s="77">
        <v>0.0</v>
      </c>
      <c r="AA234" s="76">
        <v>7.19</v>
      </c>
      <c r="AB234" s="76">
        <v>0.78</v>
      </c>
      <c r="AC234" s="76">
        <v>-0.35</v>
      </c>
      <c r="AD234" s="77">
        <v>9.050519163E8</v>
      </c>
      <c r="AE234" s="78"/>
    </row>
    <row r="235">
      <c r="A235" s="73" t="s">
        <v>284</v>
      </c>
      <c r="B235" s="76">
        <v>36.99</v>
      </c>
      <c r="C235" s="76">
        <v>0.0</v>
      </c>
      <c r="D235" s="76">
        <v>47.34</v>
      </c>
      <c r="E235" s="76">
        <v>5.15</v>
      </c>
      <c r="F235" s="76">
        <v>2.07</v>
      </c>
      <c r="G235" s="76">
        <v>11.39</v>
      </c>
      <c r="H235" s="76">
        <v>2.82</v>
      </c>
      <c r="I235" s="76">
        <v>2.53</v>
      </c>
      <c r="J235" s="76">
        <v>42.48</v>
      </c>
      <c r="K235" s="76">
        <v>38.76</v>
      </c>
      <c r="L235" s="76">
        <v>5.75</v>
      </c>
      <c r="M235" s="76">
        <v>0.7</v>
      </c>
      <c r="N235" s="76">
        <v>1.2</v>
      </c>
      <c r="O235" s="76">
        <v>7.26</v>
      </c>
      <c r="P235" s="76">
        <v>-5.02</v>
      </c>
      <c r="Q235" s="76">
        <v>1.94</v>
      </c>
      <c r="R235" s="76">
        <v>10.87</v>
      </c>
      <c r="S235" s="76">
        <v>4.36</v>
      </c>
      <c r="T235" s="76">
        <v>4.38</v>
      </c>
      <c r="U235" s="76">
        <v>0.4</v>
      </c>
      <c r="V235" s="76">
        <v>0.6</v>
      </c>
      <c r="W235" s="76">
        <v>1.72</v>
      </c>
      <c r="X235" s="76">
        <v>1.48</v>
      </c>
      <c r="Y235" s="76">
        <v>0.0</v>
      </c>
      <c r="Z235" s="77">
        <v>0.0</v>
      </c>
      <c r="AA235" s="76">
        <v>7.19</v>
      </c>
      <c r="AB235" s="76">
        <v>0.78</v>
      </c>
      <c r="AC235" s="76">
        <v>-0.68</v>
      </c>
      <c r="AD235" s="77">
        <v>9.050519163E8</v>
      </c>
      <c r="AE235" s="78"/>
    </row>
    <row r="236">
      <c r="A236" s="73" t="s">
        <v>285</v>
      </c>
      <c r="B236" s="76">
        <v>31.0</v>
      </c>
      <c r="C236" s="76">
        <v>0.64</v>
      </c>
      <c r="D236" s="76">
        <v>39.74</v>
      </c>
      <c r="E236" s="76">
        <v>4.53</v>
      </c>
      <c r="F236" s="76">
        <v>1.39</v>
      </c>
      <c r="G236" s="76">
        <v>49.42</v>
      </c>
      <c r="H236" s="76">
        <v>24.62</v>
      </c>
      <c r="I236" s="76">
        <v>8.95</v>
      </c>
      <c r="J236" s="76">
        <v>14.44</v>
      </c>
      <c r="K236" s="76">
        <v>17.04</v>
      </c>
      <c r="L236" s="76">
        <v>2.6</v>
      </c>
      <c r="M236" s="76">
        <v>0.82</v>
      </c>
      <c r="N236" s="76">
        <v>3.55</v>
      </c>
      <c r="O236" s="76">
        <v>10.24</v>
      </c>
      <c r="P236" s="76">
        <v>-2.04</v>
      </c>
      <c r="Q236" s="76">
        <v>1.76</v>
      </c>
      <c r="R236" s="76">
        <v>11.4</v>
      </c>
      <c r="S236" s="76">
        <v>3.51</v>
      </c>
      <c r="T236" s="76">
        <v>9.18</v>
      </c>
      <c r="U236" s="76">
        <v>0.31</v>
      </c>
      <c r="V236" s="76">
        <v>0.63</v>
      </c>
      <c r="W236" s="76">
        <v>0.39</v>
      </c>
      <c r="X236" s="76">
        <v>32.0</v>
      </c>
      <c r="Y236" s="76">
        <v>51.88</v>
      </c>
      <c r="Z236" s="77">
        <v>704100.0</v>
      </c>
      <c r="AA236" s="76">
        <v>6.85</v>
      </c>
      <c r="AB236" s="76">
        <v>0.78</v>
      </c>
      <c r="AC236" s="76">
        <v>8.29</v>
      </c>
      <c r="AD236" s="77">
        <v>4.455057771E9</v>
      </c>
      <c r="AE236" s="78"/>
    </row>
    <row r="237">
      <c r="A237" s="73" t="s">
        <v>286</v>
      </c>
      <c r="B237" s="76">
        <v>8.31</v>
      </c>
      <c r="C237" s="76">
        <v>0.0</v>
      </c>
      <c r="D237" s="76">
        <v>2.65</v>
      </c>
      <c r="E237" s="76">
        <v>0.41</v>
      </c>
      <c r="F237" s="76">
        <v>0.08</v>
      </c>
      <c r="G237" s="76">
        <v>18.09</v>
      </c>
      <c r="H237" s="76">
        <v>13.1</v>
      </c>
      <c r="I237" s="76">
        <v>4.29</v>
      </c>
      <c r="J237" s="76">
        <v>0.87</v>
      </c>
      <c r="K237" s="76">
        <v>4.25</v>
      </c>
      <c r="L237" s="76">
        <v>3.38</v>
      </c>
      <c r="M237" s="76">
        <v>1.59</v>
      </c>
      <c r="N237" s="76">
        <v>0.11</v>
      </c>
      <c r="O237" s="76">
        <v>-0.56</v>
      </c>
      <c r="P237" s="76">
        <v>-0.1</v>
      </c>
      <c r="Q237" s="76">
        <v>0.63</v>
      </c>
      <c r="R237" s="76">
        <v>15.42</v>
      </c>
      <c r="S237" s="76">
        <v>3.0</v>
      </c>
      <c r="T237" s="76">
        <v>16.62</v>
      </c>
      <c r="U237" s="76">
        <v>0.19</v>
      </c>
      <c r="V237" s="76">
        <v>0.81</v>
      </c>
      <c r="W237" s="76">
        <v>0.7</v>
      </c>
      <c r="X237" s="76">
        <v>6.92</v>
      </c>
      <c r="Y237" s="76">
        <v>3.85</v>
      </c>
      <c r="Z237" s="77">
        <v>0.0</v>
      </c>
      <c r="AA237" s="77">
        <v>20.35</v>
      </c>
      <c r="AB237" s="76">
        <v>3.14</v>
      </c>
      <c r="AC237" s="76">
        <v>-0.44</v>
      </c>
      <c r="AD237" s="77">
        <v>2.485315361E9</v>
      </c>
      <c r="AE237" s="78"/>
    </row>
    <row r="238">
      <c r="A238" s="73" t="s">
        <v>287</v>
      </c>
      <c r="B238" s="76">
        <v>150.0</v>
      </c>
      <c r="C238" s="76">
        <v>0.0</v>
      </c>
      <c r="D238" s="76">
        <v>17.51</v>
      </c>
      <c r="E238" s="76">
        <v>3.57</v>
      </c>
      <c r="F238" s="76">
        <v>2.27</v>
      </c>
      <c r="G238" s="76">
        <v>51.09</v>
      </c>
      <c r="H238" s="76">
        <v>44.76</v>
      </c>
      <c r="I238" s="76">
        <v>51.01</v>
      </c>
      <c r="J238" s="76">
        <v>19.95</v>
      </c>
      <c r="K238" s="76">
        <v>9.9</v>
      </c>
      <c r="L238" s="76">
        <v>-1.78</v>
      </c>
      <c r="M238" s="76">
        <v>-0.32</v>
      </c>
      <c r="N238" s="76">
        <v>8.93</v>
      </c>
      <c r="O238" s="76">
        <v>7.27</v>
      </c>
      <c r="P238" s="76">
        <v>-3.53</v>
      </c>
      <c r="Q238" s="76">
        <v>7.69</v>
      </c>
      <c r="R238" s="76">
        <v>20.41</v>
      </c>
      <c r="S238" s="76">
        <v>12.95</v>
      </c>
      <c r="T238" s="76">
        <v>13.06</v>
      </c>
      <c r="U238" s="76">
        <v>0.63</v>
      </c>
      <c r="V238" s="76">
        <v>0.37</v>
      </c>
      <c r="W238" s="76">
        <v>0.25</v>
      </c>
      <c r="X238" s="76">
        <v>7.2</v>
      </c>
      <c r="Y238" s="76">
        <v>27.86</v>
      </c>
      <c r="Z238" s="77">
        <v>0.0</v>
      </c>
      <c r="AA238" s="77">
        <v>41.96</v>
      </c>
      <c r="AB238" s="76">
        <v>8.57</v>
      </c>
      <c r="AC238" s="76">
        <v>0.15</v>
      </c>
      <c r="AD238" s="77">
        <v>3.244712307E9</v>
      </c>
      <c r="AE238" s="78"/>
    </row>
    <row r="239">
      <c r="A239" s="73" t="s">
        <v>288</v>
      </c>
      <c r="B239" s="76">
        <v>46.71</v>
      </c>
      <c r="C239" s="76">
        <v>0.0</v>
      </c>
      <c r="D239" s="76">
        <v>5.45</v>
      </c>
      <c r="E239" s="76">
        <v>1.11</v>
      </c>
      <c r="F239" s="76">
        <v>0.71</v>
      </c>
      <c r="G239" s="76">
        <v>51.09</v>
      </c>
      <c r="H239" s="76">
        <v>44.76</v>
      </c>
      <c r="I239" s="76">
        <v>51.01</v>
      </c>
      <c r="J239" s="76">
        <v>6.21</v>
      </c>
      <c r="K239" s="76">
        <v>9.9</v>
      </c>
      <c r="L239" s="76">
        <v>-1.78</v>
      </c>
      <c r="M239" s="76">
        <v>-0.32</v>
      </c>
      <c r="N239" s="76">
        <v>2.78</v>
      </c>
      <c r="O239" s="76">
        <v>2.26</v>
      </c>
      <c r="P239" s="76">
        <v>-1.1</v>
      </c>
      <c r="Q239" s="76">
        <v>7.69</v>
      </c>
      <c r="R239" s="76">
        <v>20.41</v>
      </c>
      <c r="S239" s="76">
        <v>12.95</v>
      </c>
      <c r="T239" s="76">
        <v>13.06</v>
      </c>
      <c r="U239" s="76">
        <v>0.63</v>
      </c>
      <c r="V239" s="76">
        <v>0.37</v>
      </c>
      <c r="W239" s="76">
        <v>0.25</v>
      </c>
      <c r="X239" s="76">
        <v>7.2</v>
      </c>
      <c r="Y239" s="76">
        <v>27.86</v>
      </c>
      <c r="Z239" s="77">
        <v>202643.9</v>
      </c>
      <c r="AA239" s="76">
        <v>41.96</v>
      </c>
      <c r="AB239" s="76">
        <v>8.57</v>
      </c>
      <c r="AC239" s="76">
        <v>0.05</v>
      </c>
      <c r="AD239" s="77">
        <v>3.244712307E9</v>
      </c>
      <c r="AE239" s="78"/>
    </row>
    <row r="240">
      <c r="A240" s="73" t="s">
        <v>289</v>
      </c>
      <c r="B240" s="76">
        <v>94.63</v>
      </c>
      <c r="C240" s="76">
        <v>0.31</v>
      </c>
      <c r="D240" s="76">
        <v>39.6</v>
      </c>
      <c r="E240" s="76">
        <v>3.67</v>
      </c>
      <c r="F240" s="76">
        <v>1.05</v>
      </c>
      <c r="G240" s="76">
        <v>18.2</v>
      </c>
      <c r="H240" s="76">
        <v>9.0</v>
      </c>
      <c r="I240" s="76">
        <v>4.29</v>
      </c>
      <c r="J240" s="76">
        <v>18.86</v>
      </c>
      <c r="K240" s="76">
        <v>19.6</v>
      </c>
      <c r="L240" s="76">
        <v>0.74</v>
      </c>
      <c r="M240" s="76">
        <v>0.14</v>
      </c>
      <c r="N240" s="76">
        <v>1.7</v>
      </c>
      <c r="O240" s="76">
        <v>6.35</v>
      </c>
      <c r="P240" s="76">
        <v>-2.31</v>
      </c>
      <c r="Q240" s="76">
        <v>1.43</v>
      </c>
      <c r="R240" s="76">
        <v>9.28</v>
      </c>
      <c r="S240" s="76">
        <v>2.65</v>
      </c>
      <c r="T240" s="76">
        <v>7.38</v>
      </c>
      <c r="U240" s="76">
        <v>0.29</v>
      </c>
      <c r="V240" s="76">
        <v>0.69</v>
      </c>
      <c r="W240" s="76">
        <v>0.62</v>
      </c>
      <c r="X240" s="76">
        <v>27.61</v>
      </c>
      <c r="Y240" s="76">
        <v>0.0</v>
      </c>
      <c r="Z240" s="77">
        <v>3.96E8</v>
      </c>
      <c r="AA240" s="77">
        <v>25.75</v>
      </c>
      <c r="AB240" s="76">
        <v>2.39</v>
      </c>
      <c r="AC240" s="76">
        <v>-1.24</v>
      </c>
      <c r="AD240" s="77">
        <v>7.0070207114E10</v>
      </c>
      <c r="AE240" s="78"/>
    </row>
    <row r="241">
      <c r="A241" s="73" t="s">
        <v>290</v>
      </c>
      <c r="B241" s="76">
        <v>21.8</v>
      </c>
      <c r="C241" s="76">
        <v>0.0</v>
      </c>
      <c r="D241" s="76">
        <v>10.29</v>
      </c>
      <c r="E241" s="76">
        <v>1.29</v>
      </c>
      <c r="F241" s="76">
        <v>0.46</v>
      </c>
      <c r="G241" s="76">
        <v>24.54</v>
      </c>
      <c r="H241" s="76">
        <v>56.1</v>
      </c>
      <c r="I241" s="76">
        <v>25.34</v>
      </c>
      <c r="J241" s="76">
        <v>4.65</v>
      </c>
      <c r="K241" s="76">
        <v>5.12</v>
      </c>
      <c r="L241" s="76">
        <v>0.47</v>
      </c>
      <c r="M241" s="76">
        <v>0.13</v>
      </c>
      <c r="N241" s="76">
        <v>2.61</v>
      </c>
      <c r="O241" s="76">
        <v>1.31</v>
      </c>
      <c r="P241" s="76">
        <v>-0.85</v>
      </c>
      <c r="Q241" s="76">
        <v>3.9</v>
      </c>
      <c r="R241" s="76">
        <v>12.53</v>
      </c>
      <c r="S241" s="76">
        <v>4.43</v>
      </c>
      <c r="T241" s="76">
        <v>8.6</v>
      </c>
      <c r="U241" s="76">
        <v>0.35</v>
      </c>
      <c r="V241" s="76">
        <v>0.65</v>
      </c>
      <c r="W241" s="76">
        <v>0.17</v>
      </c>
      <c r="X241" s="76">
        <v>11.74</v>
      </c>
      <c r="Y241" s="76">
        <v>5.75</v>
      </c>
      <c r="Z241" s="77">
        <v>2.02E8</v>
      </c>
      <c r="AA241" s="76">
        <v>16.91</v>
      </c>
      <c r="AB241" s="76">
        <v>2.12</v>
      </c>
      <c r="AC241" s="76">
        <v>0.01</v>
      </c>
      <c r="AD241" s="77">
        <v>5.785005265E9</v>
      </c>
      <c r="AE241" s="78"/>
    </row>
    <row r="242">
      <c r="A242" s="73" t="s">
        <v>291</v>
      </c>
      <c r="B242" s="76">
        <v>24.08</v>
      </c>
      <c r="C242" s="76">
        <v>0.0</v>
      </c>
      <c r="D242" s="76">
        <v>6.33</v>
      </c>
      <c r="E242" s="76">
        <v>1.09</v>
      </c>
      <c r="F242" s="76">
        <v>0.37</v>
      </c>
      <c r="G242" s="76">
        <v>23.96</v>
      </c>
      <c r="H242" s="76">
        <v>20.35</v>
      </c>
      <c r="I242" s="76">
        <v>11.34</v>
      </c>
      <c r="J242" s="76">
        <v>3.53</v>
      </c>
      <c r="K242" s="76">
        <v>5.79</v>
      </c>
      <c r="L242" s="76">
        <v>2.26</v>
      </c>
      <c r="M242" s="76">
        <v>0.7</v>
      </c>
      <c r="N242" s="76">
        <v>0.72</v>
      </c>
      <c r="O242" s="76">
        <v>14.72</v>
      </c>
      <c r="P242" s="76">
        <v>-0.52</v>
      </c>
      <c r="Q242" s="76">
        <v>1.09</v>
      </c>
      <c r="R242" s="76">
        <v>17.17</v>
      </c>
      <c r="S242" s="76">
        <v>5.81</v>
      </c>
      <c r="T242" s="76">
        <v>13.75</v>
      </c>
      <c r="U242" s="76">
        <v>0.34</v>
      </c>
      <c r="V242" s="76">
        <v>0.63</v>
      </c>
      <c r="W242" s="76">
        <v>0.51</v>
      </c>
      <c r="X242" s="76">
        <v>2.76</v>
      </c>
      <c r="Y242" s="76">
        <v>10.57</v>
      </c>
      <c r="Z242" s="77">
        <v>0.0</v>
      </c>
      <c r="AA242" s="76">
        <v>22.16</v>
      </c>
      <c r="AB242" s="76">
        <v>3.81</v>
      </c>
      <c r="AC242" s="76">
        <v>0.4</v>
      </c>
      <c r="AD242" s="77">
        <v>1.3994459653E10</v>
      </c>
      <c r="AE242" s="78"/>
    </row>
    <row r="243">
      <c r="A243" s="73" t="s">
        <v>292</v>
      </c>
      <c r="B243" s="76">
        <v>21.9</v>
      </c>
      <c r="C243" s="76">
        <v>0.0</v>
      </c>
      <c r="D243" s="76">
        <v>1246.28</v>
      </c>
      <c r="E243" s="76">
        <v>2.14</v>
      </c>
      <c r="F243" s="76">
        <v>0.78</v>
      </c>
      <c r="G243" s="76">
        <v>29.97</v>
      </c>
      <c r="H243" s="76">
        <v>17.61</v>
      </c>
      <c r="I243" s="76">
        <v>0.2</v>
      </c>
      <c r="J243" s="76">
        <v>13.98</v>
      </c>
      <c r="K243" s="76">
        <v>19.1</v>
      </c>
      <c r="L243" s="76">
        <v>5.12</v>
      </c>
      <c r="M243" s="76">
        <v>0.78</v>
      </c>
      <c r="N243" s="76">
        <v>2.46</v>
      </c>
      <c r="O243" s="76">
        <v>18.09</v>
      </c>
      <c r="P243" s="76">
        <v>-0.94</v>
      </c>
      <c r="Q243" s="76">
        <v>1.34</v>
      </c>
      <c r="R243" s="76">
        <v>0.17</v>
      </c>
      <c r="S243" s="76">
        <v>0.06</v>
      </c>
      <c r="T243" s="76">
        <v>5.9</v>
      </c>
      <c r="U243" s="76">
        <v>0.36</v>
      </c>
      <c r="V243" s="76">
        <v>0.61</v>
      </c>
      <c r="W243" s="76">
        <v>0.32</v>
      </c>
      <c r="X243" s="76">
        <v>29.41</v>
      </c>
      <c r="Y243" s="76">
        <v>-43.68</v>
      </c>
      <c r="Z243" s="77">
        <v>4.9E8</v>
      </c>
      <c r="AA243" s="76">
        <v>10.25</v>
      </c>
      <c r="AB243" s="76">
        <v>0.02</v>
      </c>
      <c r="AC243" s="76">
        <v>-13.02</v>
      </c>
      <c r="AD243" s="77">
        <v>4.241972311E10</v>
      </c>
      <c r="AE243" s="78"/>
    </row>
    <row r="244">
      <c r="A244" s="73" t="s">
        <v>293</v>
      </c>
      <c r="B244" s="76">
        <v>52.47</v>
      </c>
      <c r="C244" s="76">
        <v>6.86</v>
      </c>
      <c r="D244" s="76">
        <v>8.01</v>
      </c>
      <c r="E244" s="76">
        <v>1.43</v>
      </c>
      <c r="F244" s="76">
        <v>0.32</v>
      </c>
      <c r="G244" s="76">
        <v>25.11</v>
      </c>
      <c r="H244" s="76">
        <v>18.41</v>
      </c>
      <c r="I244" s="76">
        <v>9.24</v>
      </c>
      <c r="J244" s="76">
        <v>4.02</v>
      </c>
      <c r="K244" s="76">
        <v>8.82</v>
      </c>
      <c r="L244" s="76">
        <v>4.8</v>
      </c>
      <c r="M244" s="76">
        <v>1.71</v>
      </c>
      <c r="N244" s="76">
        <v>0.74</v>
      </c>
      <c r="O244" s="76">
        <v>4.76</v>
      </c>
      <c r="P244" s="76">
        <v>-0.42</v>
      </c>
      <c r="Q244" s="76">
        <v>1.39</v>
      </c>
      <c r="R244" s="76">
        <v>17.86</v>
      </c>
      <c r="S244" s="76">
        <v>3.98</v>
      </c>
      <c r="T244" s="76">
        <v>9.76</v>
      </c>
      <c r="U244" s="76">
        <v>0.22</v>
      </c>
      <c r="V244" s="76">
        <v>0.73</v>
      </c>
      <c r="W244" s="76">
        <v>0.43</v>
      </c>
      <c r="X244" s="76">
        <v>11.12</v>
      </c>
      <c r="Y244" s="76">
        <v>48.61</v>
      </c>
      <c r="Z244" s="77">
        <v>1.49E8</v>
      </c>
      <c r="AA244" s="76">
        <v>36.7</v>
      </c>
      <c r="AB244" s="76">
        <v>6.55</v>
      </c>
      <c r="AC244" s="76">
        <v>0.24</v>
      </c>
      <c r="AD244" s="77">
        <v>2.6427744662E10</v>
      </c>
      <c r="AE244" s="78"/>
    </row>
    <row r="245">
      <c r="A245" s="73" t="s">
        <v>294</v>
      </c>
      <c r="B245" s="76">
        <v>12.57</v>
      </c>
      <c r="C245" s="76">
        <v>4.61</v>
      </c>
      <c r="D245" s="76">
        <v>9.59</v>
      </c>
      <c r="E245" s="76">
        <v>1.71</v>
      </c>
      <c r="F245" s="76">
        <v>0.38</v>
      </c>
      <c r="G245" s="76">
        <v>25.11</v>
      </c>
      <c r="H245" s="76">
        <v>18.41</v>
      </c>
      <c r="I245" s="76">
        <v>9.24</v>
      </c>
      <c r="J245" s="76">
        <v>4.81</v>
      </c>
      <c r="K245" s="76">
        <v>8.82</v>
      </c>
      <c r="L245" s="76">
        <v>4.8</v>
      </c>
      <c r="M245" s="76">
        <v>1.71</v>
      </c>
      <c r="N245" s="76">
        <v>0.89</v>
      </c>
      <c r="O245" s="76">
        <v>5.7</v>
      </c>
      <c r="P245" s="76">
        <v>-0.5</v>
      </c>
      <c r="Q245" s="76">
        <v>1.39</v>
      </c>
      <c r="R245" s="76">
        <v>17.86</v>
      </c>
      <c r="S245" s="76">
        <v>3.98</v>
      </c>
      <c r="T245" s="76">
        <v>9.76</v>
      </c>
      <c r="U245" s="76">
        <v>0.22</v>
      </c>
      <c r="V245" s="76">
        <v>0.73</v>
      </c>
      <c r="W245" s="76">
        <v>0.43</v>
      </c>
      <c r="X245" s="76">
        <v>11.12</v>
      </c>
      <c r="Y245" s="76">
        <v>48.61</v>
      </c>
      <c r="Z245" s="77">
        <v>78476.24</v>
      </c>
      <c r="AA245" s="76">
        <v>7.34</v>
      </c>
      <c r="AB245" s="76">
        <v>1.31</v>
      </c>
      <c r="AC245" s="76">
        <v>0.29</v>
      </c>
      <c r="AD245" s="77">
        <v>2.6427744662E10</v>
      </c>
      <c r="AE245" s="78"/>
    </row>
    <row r="246">
      <c r="A246" s="73" t="s">
        <v>295</v>
      </c>
      <c r="B246" s="76">
        <v>9.86</v>
      </c>
      <c r="C246" s="76">
        <v>5.88</v>
      </c>
      <c r="D246" s="76">
        <v>7.52</v>
      </c>
      <c r="E246" s="76">
        <v>1.34</v>
      </c>
      <c r="F246" s="76">
        <v>0.3</v>
      </c>
      <c r="G246" s="76">
        <v>25.11</v>
      </c>
      <c r="H246" s="76">
        <v>18.41</v>
      </c>
      <c r="I246" s="76">
        <v>9.24</v>
      </c>
      <c r="J246" s="76">
        <v>3.78</v>
      </c>
      <c r="K246" s="76">
        <v>8.82</v>
      </c>
      <c r="L246" s="76">
        <v>4.8</v>
      </c>
      <c r="M246" s="76">
        <v>1.71</v>
      </c>
      <c r="N246" s="76">
        <v>0.7</v>
      </c>
      <c r="O246" s="76">
        <v>4.47</v>
      </c>
      <c r="P246" s="76">
        <v>-0.39</v>
      </c>
      <c r="Q246" s="76">
        <v>1.39</v>
      </c>
      <c r="R246" s="76">
        <v>17.86</v>
      </c>
      <c r="S246" s="76">
        <v>3.98</v>
      </c>
      <c r="T246" s="76">
        <v>9.76</v>
      </c>
      <c r="U246" s="76">
        <v>0.22</v>
      </c>
      <c r="V246" s="76">
        <v>0.73</v>
      </c>
      <c r="W246" s="76">
        <v>0.43</v>
      </c>
      <c r="X246" s="76">
        <v>11.12</v>
      </c>
      <c r="Y246" s="76">
        <v>48.61</v>
      </c>
      <c r="Z246" s="77">
        <v>109797.6</v>
      </c>
      <c r="AA246" s="76">
        <v>7.34</v>
      </c>
      <c r="AB246" s="76">
        <v>1.31</v>
      </c>
      <c r="AC246" s="76">
        <v>0.23</v>
      </c>
      <c r="AD246" s="77">
        <v>2.6427744662E10</v>
      </c>
      <c r="AE246" s="78"/>
    </row>
    <row r="247">
      <c r="A247" s="73" t="s">
        <v>296</v>
      </c>
      <c r="B247" s="76">
        <v>1.07</v>
      </c>
      <c r="C247" s="76">
        <v>0.0</v>
      </c>
      <c r="D247" s="76">
        <v>-10.71</v>
      </c>
      <c r="E247" s="76">
        <v>0.72</v>
      </c>
      <c r="F247" s="76">
        <v>0.5</v>
      </c>
      <c r="G247" s="76">
        <v>55.9</v>
      </c>
      <c r="H247" s="76">
        <v>-10.71</v>
      </c>
      <c r="I247" s="76">
        <v>-7.66</v>
      </c>
      <c r="J247" s="76">
        <v>-7.65</v>
      </c>
      <c r="K247" s="76">
        <v>-0.34</v>
      </c>
      <c r="L247" s="76">
        <v>7.31</v>
      </c>
      <c r="M247" s="76">
        <v>-0.69</v>
      </c>
      <c r="N247" s="76">
        <v>0.82</v>
      </c>
      <c r="O247" s="76">
        <v>1.36</v>
      </c>
      <c r="P247" s="76">
        <v>-1.25</v>
      </c>
      <c r="Q247" s="76">
        <v>2.6</v>
      </c>
      <c r="R247" s="76">
        <v>-6.74</v>
      </c>
      <c r="S247" s="76">
        <v>-4.69</v>
      </c>
      <c r="T247" s="76">
        <v>-10.0</v>
      </c>
      <c r="U247" s="76">
        <v>0.7</v>
      </c>
      <c r="V247" s="76">
        <v>0.3</v>
      </c>
      <c r="W247" s="76">
        <v>0.61</v>
      </c>
      <c r="X247" s="76">
        <v>37.65</v>
      </c>
      <c r="Y247" s="76">
        <v>0.0</v>
      </c>
      <c r="Z247" s="77">
        <v>443470.3</v>
      </c>
      <c r="AA247" s="76">
        <v>1.48</v>
      </c>
      <c r="AB247" s="76">
        <v>-0.1</v>
      </c>
      <c r="AC247" s="76">
        <v>0.24</v>
      </c>
      <c r="AD247" s="77">
        <v>2.193692493E8</v>
      </c>
      <c r="AE247" s="78"/>
    </row>
    <row r="248">
      <c r="A248" s="73" t="s">
        <v>297</v>
      </c>
      <c r="B248" s="76">
        <v>50.49</v>
      </c>
      <c r="C248" s="76">
        <v>0.0</v>
      </c>
      <c r="D248" s="76">
        <v>11.09</v>
      </c>
      <c r="E248" s="76">
        <v>1.91</v>
      </c>
      <c r="F248" s="76">
        <v>0.72</v>
      </c>
      <c r="G248" s="76">
        <v>28.08</v>
      </c>
      <c r="H248" s="76">
        <v>17.01</v>
      </c>
      <c r="I248" s="76">
        <v>11.15</v>
      </c>
      <c r="J248" s="76">
        <v>7.27</v>
      </c>
      <c r="K248" s="76">
        <v>0.0</v>
      </c>
      <c r="L248" s="76">
        <v>2.82</v>
      </c>
      <c r="M248" s="76">
        <v>0.74</v>
      </c>
      <c r="N248" s="76">
        <v>1.24</v>
      </c>
      <c r="O248" s="76">
        <v>13.67</v>
      </c>
      <c r="P248" s="76">
        <v>-0.96</v>
      </c>
      <c r="Q248" s="76">
        <v>1.26</v>
      </c>
      <c r="R248" s="76">
        <v>17.24</v>
      </c>
      <c r="S248" s="76">
        <v>6.47</v>
      </c>
      <c r="T248" s="76">
        <v>12.94</v>
      </c>
      <c r="U248" s="76">
        <v>0.38</v>
      </c>
      <c r="V248" s="76">
        <v>0.62</v>
      </c>
      <c r="W248" s="76">
        <v>0.58</v>
      </c>
      <c r="X248" s="76">
        <v>10.37</v>
      </c>
      <c r="Y248" s="76">
        <v>2.92</v>
      </c>
      <c r="Z248" s="77">
        <v>0.0</v>
      </c>
      <c r="AA248" s="76">
        <v>26.4</v>
      </c>
      <c r="AB248" s="76">
        <v>4.55</v>
      </c>
      <c r="AC248" s="76">
        <v>-6.51</v>
      </c>
      <c r="AD248" s="77">
        <v>0.0</v>
      </c>
      <c r="AE248" s="78"/>
    </row>
    <row r="249">
      <c r="A249" s="73" t="s">
        <v>298</v>
      </c>
      <c r="B249" s="76">
        <v>83.99</v>
      </c>
      <c r="C249" s="76">
        <v>0.0</v>
      </c>
      <c r="D249" s="76">
        <v>18.45</v>
      </c>
      <c r="E249" s="76">
        <v>3.18</v>
      </c>
      <c r="F249" s="76">
        <v>1.19</v>
      </c>
      <c r="G249" s="76">
        <v>28.08</v>
      </c>
      <c r="H249" s="76">
        <v>17.01</v>
      </c>
      <c r="I249" s="76">
        <v>11.15</v>
      </c>
      <c r="J249" s="76">
        <v>12.1</v>
      </c>
      <c r="K249" s="76">
        <v>0.0</v>
      </c>
      <c r="L249" s="76">
        <v>2.82</v>
      </c>
      <c r="M249" s="76">
        <v>0.74</v>
      </c>
      <c r="N249" s="76">
        <v>2.06</v>
      </c>
      <c r="O249" s="76">
        <v>22.74</v>
      </c>
      <c r="P249" s="76">
        <v>-1.59</v>
      </c>
      <c r="Q249" s="76">
        <v>1.26</v>
      </c>
      <c r="R249" s="76">
        <v>17.24</v>
      </c>
      <c r="S249" s="76">
        <v>6.47</v>
      </c>
      <c r="T249" s="76">
        <v>12.94</v>
      </c>
      <c r="U249" s="76">
        <v>0.38</v>
      </c>
      <c r="V249" s="76">
        <v>0.62</v>
      </c>
      <c r="W249" s="76">
        <v>0.58</v>
      </c>
      <c r="X249" s="76">
        <v>10.37</v>
      </c>
      <c r="Y249" s="76">
        <v>2.92</v>
      </c>
      <c r="Z249" s="77">
        <v>0.0</v>
      </c>
      <c r="AA249" s="76">
        <v>26.4</v>
      </c>
      <c r="AB249" s="76">
        <v>4.55</v>
      </c>
      <c r="AC249" s="76">
        <v>-10.83</v>
      </c>
      <c r="AD249" s="77">
        <v>0.0</v>
      </c>
      <c r="AE249" s="78"/>
    </row>
    <row r="250">
      <c r="A250" s="73" t="s">
        <v>299</v>
      </c>
      <c r="B250" s="76">
        <v>48.49</v>
      </c>
      <c r="C250" s="76">
        <v>9.57</v>
      </c>
      <c r="D250" s="76">
        <v>10.62</v>
      </c>
      <c r="E250" s="76">
        <v>2.68</v>
      </c>
      <c r="F250" s="76">
        <v>0.69</v>
      </c>
      <c r="G250" s="76">
        <v>25.62</v>
      </c>
      <c r="H250" s="77">
        <v>19.04</v>
      </c>
      <c r="I250" s="77">
        <v>11.03</v>
      </c>
      <c r="J250" s="76">
        <v>6.15</v>
      </c>
      <c r="K250" s="76">
        <v>10.42</v>
      </c>
      <c r="L250" s="76">
        <v>3.98</v>
      </c>
      <c r="M250" s="76">
        <v>1.73</v>
      </c>
      <c r="N250" s="76">
        <v>1.17</v>
      </c>
      <c r="O250" s="76">
        <v>8.13</v>
      </c>
      <c r="P250" s="76">
        <v>-0.91</v>
      </c>
      <c r="Q250" s="76">
        <v>1.52</v>
      </c>
      <c r="R250" s="76">
        <v>25.22</v>
      </c>
      <c r="S250" s="76">
        <v>6.45</v>
      </c>
      <c r="T250" s="76">
        <v>14.07</v>
      </c>
      <c r="U250" s="76">
        <v>0.26</v>
      </c>
      <c r="V250" s="76">
        <v>0.74</v>
      </c>
      <c r="W250" s="76">
        <v>0.59</v>
      </c>
      <c r="X250" s="76">
        <v>10.74</v>
      </c>
      <c r="Y250" s="76">
        <v>10.97</v>
      </c>
      <c r="Z250" s="77">
        <v>19281.38</v>
      </c>
      <c r="AA250" s="76">
        <v>18.11</v>
      </c>
      <c r="AB250" s="76">
        <v>4.57</v>
      </c>
      <c r="AC250" s="76">
        <v>-0.51</v>
      </c>
      <c r="AD250" s="77">
        <v>1.11184372E10</v>
      </c>
      <c r="AE250" s="78"/>
    </row>
    <row r="251">
      <c r="A251" s="73" t="s">
        <v>300</v>
      </c>
      <c r="B251" s="76">
        <v>51.99</v>
      </c>
      <c r="C251" s="76">
        <v>8.93</v>
      </c>
      <c r="D251" s="76">
        <v>11.38</v>
      </c>
      <c r="E251" s="76">
        <v>2.87</v>
      </c>
      <c r="F251" s="76">
        <v>0.73</v>
      </c>
      <c r="G251" s="76">
        <v>25.62</v>
      </c>
      <c r="H251" s="76">
        <v>19.04</v>
      </c>
      <c r="I251" s="76">
        <v>11.03</v>
      </c>
      <c r="J251" s="76">
        <v>6.59</v>
      </c>
      <c r="K251" s="76">
        <v>10.42</v>
      </c>
      <c r="L251" s="76">
        <v>3.98</v>
      </c>
      <c r="M251" s="76">
        <v>1.73</v>
      </c>
      <c r="N251" s="76">
        <v>1.26</v>
      </c>
      <c r="O251" s="76">
        <v>8.71</v>
      </c>
      <c r="P251" s="76">
        <v>-0.97</v>
      </c>
      <c r="Q251" s="76">
        <v>1.52</v>
      </c>
      <c r="R251" s="76">
        <v>25.22</v>
      </c>
      <c r="S251" s="76">
        <v>6.45</v>
      </c>
      <c r="T251" s="76">
        <v>14.07</v>
      </c>
      <c r="U251" s="76">
        <v>0.26</v>
      </c>
      <c r="V251" s="76">
        <v>0.74</v>
      </c>
      <c r="W251" s="76">
        <v>0.59</v>
      </c>
      <c r="X251" s="76">
        <v>10.74</v>
      </c>
      <c r="Y251" s="76">
        <v>10.97</v>
      </c>
      <c r="Z251" s="77">
        <v>6732.17</v>
      </c>
      <c r="AA251" s="76">
        <v>18.11</v>
      </c>
      <c r="AB251" s="76">
        <v>4.57</v>
      </c>
      <c r="AC251" s="76">
        <v>-0.55</v>
      </c>
      <c r="AD251" s="77">
        <v>1.11184372E10</v>
      </c>
      <c r="AE251" s="78"/>
    </row>
    <row r="252">
      <c r="A252" s="73" t="s">
        <v>301</v>
      </c>
      <c r="B252" s="76">
        <v>3.65</v>
      </c>
      <c r="C252" s="76">
        <v>23.97</v>
      </c>
      <c r="D252" s="76">
        <v>9.28</v>
      </c>
      <c r="E252" s="76">
        <v>1.3</v>
      </c>
      <c r="F252" s="76">
        <v>0.95</v>
      </c>
      <c r="G252" s="76">
        <v>80.4</v>
      </c>
      <c r="H252" s="77">
        <v>-115.99</v>
      </c>
      <c r="I252" s="77">
        <v>273.93</v>
      </c>
      <c r="J252" s="76">
        <v>-21.92</v>
      </c>
      <c r="K252" s="76">
        <v>-20.54</v>
      </c>
      <c r="L252" s="76">
        <v>1.38</v>
      </c>
      <c r="M252" s="76">
        <v>-0.08</v>
      </c>
      <c r="N252" s="76">
        <v>25.43</v>
      </c>
      <c r="O252" s="76">
        <v>8.06</v>
      </c>
      <c r="P252" s="76">
        <v>-1.13</v>
      </c>
      <c r="Q252" s="76">
        <v>4.12</v>
      </c>
      <c r="R252" s="76">
        <v>13.99</v>
      </c>
      <c r="S252" s="76">
        <v>10.26</v>
      </c>
      <c r="T252" s="76">
        <v>-21.31</v>
      </c>
      <c r="U252" s="76">
        <v>0.73</v>
      </c>
      <c r="V252" s="76">
        <v>0.27</v>
      </c>
      <c r="W252" s="76">
        <v>0.04</v>
      </c>
      <c r="X252" s="76">
        <v>-44.69</v>
      </c>
      <c r="Y252" s="76">
        <v>-9.58</v>
      </c>
      <c r="Z252" s="77">
        <v>58412.43</v>
      </c>
      <c r="AA252" s="76">
        <v>2.81</v>
      </c>
      <c r="AB252" s="76">
        <v>0.39</v>
      </c>
      <c r="AC252" s="76">
        <v>-0.07</v>
      </c>
      <c r="AD252" s="77">
        <v>5.42410732E7</v>
      </c>
      <c r="AE252" s="78"/>
    </row>
    <row r="253">
      <c r="A253" s="73" t="s">
        <v>302</v>
      </c>
      <c r="B253" s="76">
        <v>6.42</v>
      </c>
      <c r="C253" s="76">
        <v>20.52</v>
      </c>
      <c r="D253" s="76">
        <v>8.6</v>
      </c>
      <c r="E253" s="76">
        <v>2.8</v>
      </c>
      <c r="F253" s="76">
        <v>0.64</v>
      </c>
      <c r="G253" s="76">
        <v>27.86</v>
      </c>
      <c r="H253" s="77">
        <v>19.16</v>
      </c>
      <c r="I253" s="77">
        <v>13.85</v>
      </c>
      <c r="J253" s="76">
        <v>6.22</v>
      </c>
      <c r="K253" s="76">
        <v>8.19</v>
      </c>
      <c r="L253" s="76">
        <v>1.97</v>
      </c>
      <c r="M253" s="76">
        <v>0.89</v>
      </c>
      <c r="N253" s="76">
        <v>1.19</v>
      </c>
      <c r="O253" s="76">
        <v>4.65</v>
      </c>
      <c r="P253" s="76">
        <v>-1.1</v>
      </c>
      <c r="Q253" s="76">
        <v>1.49</v>
      </c>
      <c r="R253" s="76">
        <v>32.49</v>
      </c>
      <c r="S253" s="76">
        <v>7.44</v>
      </c>
      <c r="T253" s="76">
        <v>14.89</v>
      </c>
      <c r="U253" s="76">
        <v>0.23</v>
      </c>
      <c r="V253" s="76">
        <v>0.77</v>
      </c>
      <c r="W253" s="76">
        <v>0.54</v>
      </c>
      <c r="X253" s="76">
        <v>14.19</v>
      </c>
      <c r="Y253" s="76">
        <v>28.57</v>
      </c>
      <c r="Z253" s="77">
        <v>35633.86</v>
      </c>
      <c r="AA253" s="76">
        <v>2.3</v>
      </c>
      <c r="AB253" s="76">
        <v>0.75</v>
      </c>
      <c r="AC253" s="76">
        <v>-0.42</v>
      </c>
      <c r="AD253" s="77">
        <v>1.4183012209E10</v>
      </c>
      <c r="AE253" s="78"/>
    </row>
    <row r="254">
      <c r="A254" s="73" t="s">
        <v>303</v>
      </c>
      <c r="B254" s="76">
        <v>11.0</v>
      </c>
      <c r="C254" s="76">
        <v>11.98</v>
      </c>
      <c r="D254" s="76">
        <v>14.74</v>
      </c>
      <c r="E254" s="76">
        <v>4.79</v>
      </c>
      <c r="F254" s="76">
        <v>1.1</v>
      </c>
      <c r="G254" s="76">
        <v>27.86</v>
      </c>
      <c r="H254" s="76">
        <v>19.16</v>
      </c>
      <c r="I254" s="76">
        <v>13.85</v>
      </c>
      <c r="J254" s="76">
        <v>10.65</v>
      </c>
      <c r="K254" s="76">
        <v>8.19</v>
      </c>
      <c r="L254" s="76">
        <v>1.97</v>
      </c>
      <c r="M254" s="76">
        <v>0.89</v>
      </c>
      <c r="N254" s="76">
        <v>2.04</v>
      </c>
      <c r="O254" s="76">
        <v>7.97</v>
      </c>
      <c r="P254" s="76">
        <v>-1.89</v>
      </c>
      <c r="Q254" s="76">
        <v>1.49</v>
      </c>
      <c r="R254" s="76">
        <v>32.49</v>
      </c>
      <c r="S254" s="76">
        <v>7.44</v>
      </c>
      <c r="T254" s="76">
        <v>14.89</v>
      </c>
      <c r="U254" s="76">
        <v>0.23</v>
      </c>
      <c r="V254" s="76">
        <v>0.77</v>
      </c>
      <c r="W254" s="76">
        <v>0.54</v>
      </c>
      <c r="X254" s="76">
        <v>14.19</v>
      </c>
      <c r="Y254" s="76">
        <v>28.57</v>
      </c>
      <c r="Z254" s="77">
        <v>466.0</v>
      </c>
      <c r="AA254" s="76">
        <v>2.3</v>
      </c>
      <c r="AB254" s="76">
        <v>0.75</v>
      </c>
      <c r="AC254" s="76">
        <v>-0.72</v>
      </c>
      <c r="AD254" s="77">
        <v>1.4183012209E10</v>
      </c>
      <c r="AE254" s="78"/>
    </row>
    <row r="255">
      <c r="A255" s="73" t="s">
        <v>304</v>
      </c>
      <c r="B255" s="76">
        <v>6.59</v>
      </c>
      <c r="C255" s="76">
        <v>19.99</v>
      </c>
      <c r="D255" s="76">
        <v>8.83</v>
      </c>
      <c r="E255" s="76">
        <v>2.87</v>
      </c>
      <c r="F255" s="76">
        <v>0.66</v>
      </c>
      <c r="G255" s="76">
        <v>27.86</v>
      </c>
      <c r="H255" s="76">
        <v>19.16</v>
      </c>
      <c r="I255" s="76">
        <v>13.85</v>
      </c>
      <c r="J255" s="76">
        <v>6.38</v>
      </c>
      <c r="K255" s="76">
        <v>8.19</v>
      </c>
      <c r="L255" s="76">
        <v>1.97</v>
      </c>
      <c r="M255" s="76">
        <v>0.89</v>
      </c>
      <c r="N255" s="76">
        <v>1.22</v>
      </c>
      <c r="O255" s="76">
        <v>4.77</v>
      </c>
      <c r="P255" s="76">
        <v>-1.13</v>
      </c>
      <c r="Q255" s="76">
        <v>1.49</v>
      </c>
      <c r="R255" s="76">
        <v>32.49</v>
      </c>
      <c r="S255" s="76">
        <v>7.44</v>
      </c>
      <c r="T255" s="76">
        <v>14.89</v>
      </c>
      <c r="U255" s="76">
        <v>0.23</v>
      </c>
      <c r="V255" s="76">
        <v>0.77</v>
      </c>
      <c r="W255" s="76">
        <v>0.54</v>
      </c>
      <c r="X255" s="76">
        <v>14.19</v>
      </c>
      <c r="Y255" s="76">
        <v>28.57</v>
      </c>
      <c r="Z255" s="77">
        <v>659.0</v>
      </c>
      <c r="AA255" s="76">
        <v>2.3</v>
      </c>
      <c r="AB255" s="76">
        <v>0.75</v>
      </c>
      <c r="AC255" s="76">
        <v>-0.43</v>
      </c>
      <c r="AD255" s="77">
        <v>1.4183012209E10</v>
      </c>
      <c r="AE255" s="78"/>
    </row>
    <row r="256">
      <c r="A256" s="73" t="s">
        <v>305</v>
      </c>
      <c r="B256" s="76">
        <v>10.0</v>
      </c>
      <c r="C256" s="76">
        <v>13.17</v>
      </c>
      <c r="D256" s="76">
        <v>13.4</v>
      </c>
      <c r="E256" s="76">
        <v>4.35</v>
      </c>
      <c r="F256" s="76">
        <v>1.0</v>
      </c>
      <c r="G256" s="76">
        <v>27.86</v>
      </c>
      <c r="H256" s="76">
        <v>19.16</v>
      </c>
      <c r="I256" s="76">
        <v>13.85</v>
      </c>
      <c r="J256" s="76">
        <v>9.68</v>
      </c>
      <c r="K256" s="76">
        <v>8.19</v>
      </c>
      <c r="L256" s="76">
        <v>1.97</v>
      </c>
      <c r="M256" s="76">
        <v>0.89</v>
      </c>
      <c r="N256" s="76">
        <v>1.86</v>
      </c>
      <c r="O256" s="76">
        <v>7.24</v>
      </c>
      <c r="P256" s="76">
        <v>-1.72</v>
      </c>
      <c r="Q256" s="76">
        <v>1.49</v>
      </c>
      <c r="R256" s="76">
        <v>32.49</v>
      </c>
      <c r="S256" s="76">
        <v>7.44</v>
      </c>
      <c r="T256" s="76">
        <v>14.89</v>
      </c>
      <c r="U256" s="76">
        <v>0.23</v>
      </c>
      <c r="V256" s="76">
        <v>0.77</v>
      </c>
      <c r="W256" s="76">
        <v>0.54</v>
      </c>
      <c r="X256" s="76">
        <v>14.19</v>
      </c>
      <c r="Y256" s="76">
        <v>28.57</v>
      </c>
      <c r="Z256" s="77">
        <v>3456.0</v>
      </c>
      <c r="AA256" s="76">
        <v>2.3</v>
      </c>
      <c r="AB256" s="76">
        <v>0.75</v>
      </c>
      <c r="AC256" s="76">
        <v>-0.65</v>
      </c>
      <c r="AD256" s="77">
        <v>1.4183012209E10</v>
      </c>
      <c r="AE256" s="78"/>
    </row>
    <row r="257">
      <c r="A257" s="73" t="s">
        <v>306</v>
      </c>
      <c r="B257" s="76">
        <v>41.27</v>
      </c>
      <c r="C257" s="76">
        <v>5.53</v>
      </c>
      <c r="D257" s="76">
        <v>15.45</v>
      </c>
      <c r="E257" s="76">
        <v>1.82</v>
      </c>
      <c r="F257" s="76">
        <v>0.41</v>
      </c>
      <c r="G257" s="76">
        <v>26.64</v>
      </c>
      <c r="H257" s="77">
        <v>19.36</v>
      </c>
      <c r="I257" s="77">
        <v>6.56</v>
      </c>
      <c r="J257" s="76">
        <v>5.23</v>
      </c>
      <c r="K257" s="76">
        <v>9.99</v>
      </c>
      <c r="L257" s="76">
        <v>4.76</v>
      </c>
      <c r="M257" s="76">
        <v>1.65</v>
      </c>
      <c r="N257" s="76">
        <v>1.01</v>
      </c>
      <c r="O257" s="76">
        <v>4.4</v>
      </c>
      <c r="P257" s="76">
        <v>-0.56</v>
      </c>
      <c r="Q257" s="76">
        <v>1.57</v>
      </c>
      <c r="R257" s="76">
        <v>11.78</v>
      </c>
      <c r="S257" s="76">
        <v>2.67</v>
      </c>
      <c r="T257" s="76">
        <v>10.39</v>
      </c>
      <c r="U257" s="76">
        <v>0.23</v>
      </c>
      <c r="V257" s="76">
        <v>0.74</v>
      </c>
      <c r="W257" s="76">
        <v>0.41</v>
      </c>
      <c r="X257" s="76">
        <v>19.27</v>
      </c>
      <c r="Y257" s="76">
        <v>6.84</v>
      </c>
      <c r="Z257" s="77">
        <v>3.12E8</v>
      </c>
      <c r="AA257" s="76">
        <v>22.68</v>
      </c>
      <c r="AB257" s="76">
        <v>2.67</v>
      </c>
      <c r="AC257" s="76">
        <v>0.3</v>
      </c>
      <c r="AD257" s="77">
        <v>5.1959747022E10</v>
      </c>
      <c r="AE257" s="78"/>
    </row>
    <row r="258">
      <c r="A258" s="73" t="s">
        <v>307</v>
      </c>
      <c r="B258" s="76">
        <v>1.13</v>
      </c>
      <c r="C258" s="76">
        <v>3.47</v>
      </c>
      <c r="D258" s="76">
        <v>36.13</v>
      </c>
      <c r="E258" s="76">
        <v>0.47</v>
      </c>
      <c r="F258" s="76">
        <v>0.18</v>
      </c>
      <c r="G258" s="76">
        <v>33.7</v>
      </c>
      <c r="H258" s="76">
        <v>14.52</v>
      </c>
      <c r="I258" s="76">
        <v>1.05</v>
      </c>
      <c r="J258" s="76">
        <v>2.62</v>
      </c>
      <c r="K258" s="76">
        <v>6.52</v>
      </c>
      <c r="L258" s="76">
        <v>3.9</v>
      </c>
      <c r="M258" s="76">
        <v>0.7</v>
      </c>
      <c r="N258" s="76">
        <v>0.38</v>
      </c>
      <c r="O258" s="76">
        <v>1.12</v>
      </c>
      <c r="P258" s="76">
        <v>-0.35</v>
      </c>
      <c r="Q258" s="76">
        <v>1.52</v>
      </c>
      <c r="R258" s="76">
        <v>1.31</v>
      </c>
      <c r="S258" s="76">
        <v>0.5</v>
      </c>
      <c r="T258" s="76">
        <v>8.57</v>
      </c>
      <c r="U258" s="76">
        <v>0.38</v>
      </c>
      <c r="V258" s="76">
        <v>0.62</v>
      </c>
      <c r="W258" s="76">
        <v>0.48</v>
      </c>
      <c r="X258" s="76">
        <v>9.72</v>
      </c>
      <c r="Y258" s="76">
        <v>-26.03</v>
      </c>
      <c r="Z258" s="77">
        <v>705964.2</v>
      </c>
      <c r="AA258" s="76">
        <v>2.39</v>
      </c>
      <c r="AB258" s="76">
        <v>0.03</v>
      </c>
      <c r="AC258" s="76">
        <v>-0.23</v>
      </c>
      <c r="AD258" s="77">
        <v>4.084080646E8</v>
      </c>
      <c r="AE258" s="78"/>
    </row>
    <row r="259">
      <c r="A259" s="73" t="s">
        <v>308</v>
      </c>
      <c r="B259" s="76">
        <v>3.01</v>
      </c>
      <c r="C259" s="76">
        <v>0.0</v>
      </c>
      <c r="D259" s="76">
        <v>0.13</v>
      </c>
      <c r="E259" s="76">
        <v>-0.12</v>
      </c>
      <c r="F259" s="76">
        <v>0.06</v>
      </c>
      <c r="G259" s="76">
        <v>37.18</v>
      </c>
      <c r="H259" s="76">
        <v>161.48</v>
      </c>
      <c r="I259" s="76">
        <v>123.03</v>
      </c>
      <c r="J259" s="76">
        <v>0.1</v>
      </c>
      <c r="K259" s="76">
        <v>0.68</v>
      </c>
      <c r="L259" s="76">
        <v>0.55</v>
      </c>
      <c r="M259" s="76">
        <v>0.0</v>
      </c>
      <c r="N259" s="76">
        <v>0.16</v>
      </c>
      <c r="O259" s="76">
        <v>-0.07</v>
      </c>
      <c r="P259" s="76">
        <v>-0.11</v>
      </c>
      <c r="Q259" s="76">
        <v>0.33</v>
      </c>
      <c r="R259" s="77">
        <v>-96.95</v>
      </c>
      <c r="S259" s="76">
        <v>49.33</v>
      </c>
      <c r="T259" s="76">
        <v>-432.68</v>
      </c>
      <c r="U259" s="76">
        <v>-0.51</v>
      </c>
      <c r="V259" s="76">
        <v>1.51</v>
      </c>
      <c r="W259" s="76">
        <v>0.4</v>
      </c>
      <c r="X259" s="76">
        <v>6.61</v>
      </c>
      <c r="Y259" s="76">
        <v>0.0</v>
      </c>
      <c r="Z259" s="77">
        <v>301.0</v>
      </c>
      <c r="AA259" s="76">
        <v>-24.55</v>
      </c>
      <c r="AB259" s="76">
        <v>23.8</v>
      </c>
      <c r="AC259" s="76">
        <v>0.0</v>
      </c>
      <c r="AD259" s="77">
        <v>3.1822045E7</v>
      </c>
      <c r="AE259" s="78"/>
    </row>
    <row r="260">
      <c r="A260" s="73" t="s">
        <v>309</v>
      </c>
      <c r="B260" s="76">
        <v>4.4</v>
      </c>
      <c r="C260" s="76">
        <v>0.0</v>
      </c>
      <c r="D260" s="76">
        <v>0.18</v>
      </c>
      <c r="E260" s="76">
        <v>-0.18</v>
      </c>
      <c r="F260" s="76">
        <v>0.09</v>
      </c>
      <c r="G260" s="76">
        <v>37.18</v>
      </c>
      <c r="H260" s="76">
        <v>161.48</v>
      </c>
      <c r="I260" s="76">
        <v>123.03</v>
      </c>
      <c r="J260" s="76">
        <v>0.14</v>
      </c>
      <c r="K260" s="76">
        <v>0.68</v>
      </c>
      <c r="L260" s="76">
        <v>0.55</v>
      </c>
      <c r="M260" s="76">
        <v>0.0</v>
      </c>
      <c r="N260" s="76">
        <v>0.23</v>
      </c>
      <c r="O260" s="76">
        <v>-0.1</v>
      </c>
      <c r="P260" s="76">
        <v>-0.16</v>
      </c>
      <c r="Q260" s="76">
        <v>0.33</v>
      </c>
      <c r="R260" s="76">
        <v>-96.95</v>
      </c>
      <c r="S260" s="76">
        <v>49.33</v>
      </c>
      <c r="T260" s="76">
        <v>-432.68</v>
      </c>
      <c r="U260" s="76">
        <v>-0.51</v>
      </c>
      <c r="V260" s="76">
        <v>1.51</v>
      </c>
      <c r="W260" s="76">
        <v>0.4</v>
      </c>
      <c r="X260" s="76">
        <v>6.61</v>
      </c>
      <c r="Y260" s="76">
        <v>0.0</v>
      </c>
      <c r="Z260" s="77">
        <v>1444.38</v>
      </c>
      <c r="AA260" s="76">
        <v>-24.55</v>
      </c>
      <c r="AB260" s="76">
        <v>23.8</v>
      </c>
      <c r="AC260" s="76">
        <v>0.0</v>
      </c>
      <c r="AD260" s="79">
        <v>3.1822045E7</v>
      </c>
      <c r="AE260" s="80"/>
    </row>
    <row r="261">
      <c r="A261" s="73" t="s">
        <v>310</v>
      </c>
      <c r="B261" s="76">
        <v>4.18</v>
      </c>
      <c r="C261" s="76">
        <v>0.88</v>
      </c>
      <c r="D261" s="76">
        <v>5.49</v>
      </c>
      <c r="E261" s="76">
        <v>0.31</v>
      </c>
      <c r="F261" s="76">
        <v>0.18</v>
      </c>
      <c r="G261" s="76">
        <v>20.36</v>
      </c>
      <c r="H261" s="77">
        <v>2.36</v>
      </c>
      <c r="I261" s="77">
        <v>4.02</v>
      </c>
      <c r="J261" s="76">
        <v>9.34</v>
      </c>
      <c r="K261" s="76">
        <v>14.57</v>
      </c>
      <c r="L261" s="76">
        <v>5.22</v>
      </c>
      <c r="M261" s="76">
        <v>0.17</v>
      </c>
      <c r="N261" s="76">
        <v>0.22</v>
      </c>
      <c r="O261" s="76">
        <v>1.04</v>
      </c>
      <c r="P261" s="76">
        <v>-0.33</v>
      </c>
      <c r="Q261" s="76">
        <v>1.66</v>
      </c>
      <c r="R261" s="76">
        <v>5.57</v>
      </c>
      <c r="S261" s="76">
        <v>3.33</v>
      </c>
      <c r="T261" s="76">
        <v>-0.28</v>
      </c>
      <c r="U261" s="76">
        <v>0.6</v>
      </c>
      <c r="V261" s="76">
        <v>0.4</v>
      </c>
      <c r="W261" s="76">
        <v>0.83</v>
      </c>
      <c r="X261" s="76">
        <v>18.91</v>
      </c>
      <c r="Y261" s="76">
        <v>0.0</v>
      </c>
      <c r="Z261" s="77">
        <v>610840.6</v>
      </c>
      <c r="AA261" s="76">
        <v>13.69</v>
      </c>
      <c r="AB261" s="76">
        <v>0.76</v>
      </c>
      <c r="AC261" s="76">
        <v>-0.09</v>
      </c>
      <c r="AD261" s="79">
        <v>2.582260835E8</v>
      </c>
      <c r="AE261" s="80"/>
    </row>
    <row r="262">
      <c r="A262" s="73" t="s">
        <v>311</v>
      </c>
      <c r="B262" s="76">
        <v>22.61</v>
      </c>
      <c r="C262" s="76">
        <v>4.52</v>
      </c>
      <c r="D262" s="76">
        <v>7.08</v>
      </c>
      <c r="E262" s="76">
        <v>0.75</v>
      </c>
      <c r="F262" s="76">
        <v>0.44</v>
      </c>
      <c r="G262" s="76">
        <v>36.34</v>
      </c>
      <c r="H262" s="76">
        <v>16.43</v>
      </c>
      <c r="I262" s="76">
        <v>9.59</v>
      </c>
      <c r="J262" s="76">
        <v>4.14</v>
      </c>
      <c r="K262" s="76">
        <v>5.04</v>
      </c>
      <c r="L262" s="76">
        <v>0.99</v>
      </c>
      <c r="M262" s="76">
        <v>0.18</v>
      </c>
      <c r="N262" s="76">
        <v>0.68</v>
      </c>
      <c r="O262" s="76">
        <v>2.21</v>
      </c>
      <c r="P262" s="76">
        <v>-0.7</v>
      </c>
      <c r="Q262" s="76">
        <v>2.16</v>
      </c>
      <c r="R262" s="76">
        <v>10.54</v>
      </c>
      <c r="S262" s="76">
        <v>6.22</v>
      </c>
      <c r="T262" s="76">
        <v>11.09</v>
      </c>
      <c r="U262" s="76">
        <v>0.59</v>
      </c>
      <c r="V262" s="76">
        <v>0.41</v>
      </c>
      <c r="W262" s="76">
        <v>0.65</v>
      </c>
      <c r="X262" s="76">
        <v>13.37</v>
      </c>
      <c r="Y262" s="76">
        <v>35.1</v>
      </c>
      <c r="Z262" s="77">
        <v>13201.39</v>
      </c>
      <c r="AA262" s="76">
        <v>30.27</v>
      </c>
      <c r="AB262" s="76">
        <v>3.19</v>
      </c>
      <c r="AC262" s="76">
        <v>-0.28</v>
      </c>
      <c r="AD262" s="77">
        <v>2.04687298E9</v>
      </c>
      <c r="AE262" s="78"/>
    </row>
    <row r="263">
      <c r="A263" s="73" t="s">
        <v>312</v>
      </c>
      <c r="B263" s="76">
        <v>21.84</v>
      </c>
      <c r="C263" s="76">
        <v>5.15</v>
      </c>
      <c r="D263" s="76">
        <v>6.84</v>
      </c>
      <c r="E263" s="76">
        <v>0.72</v>
      </c>
      <c r="F263" s="76">
        <v>0.43</v>
      </c>
      <c r="G263" s="76">
        <v>36.34</v>
      </c>
      <c r="H263" s="76">
        <v>16.43</v>
      </c>
      <c r="I263" s="76">
        <v>9.59</v>
      </c>
      <c r="J263" s="76">
        <v>4.0</v>
      </c>
      <c r="K263" s="76">
        <v>5.04</v>
      </c>
      <c r="L263" s="76">
        <v>0.99</v>
      </c>
      <c r="M263" s="76">
        <v>0.18</v>
      </c>
      <c r="N263" s="76">
        <v>0.66</v>
      </c>
      <c r="O263" s="76">
        <v>2.13</v>
      </c>
      <c r="P263" s="76">
        <v>-0.68</v>
      </c>
      <c r="Q263" s="76">
        <v>2.16</v>
      </c>
      <c r="R263" s="76">
        <v>10.54</v>
      </c>
      <c r="S263" s="76">
        <v>6.22</v>
      </c>
      <c r="T263" s="76">
        <v>11.09</v>
      </c>
      <c r="U263" s="76">
        <v>0.59</v>
      </c>
      <c r="V263" s="76">
        <v>0.41</v>
      </c>
      <c r="W263" s="76">
        <v>0.65</v>
      </c>
      <c r="X263" s="76">
        <v>13.37</v>
      </c>
      <c r="Y263" s="76">
        <v>35.1</v>
      </c>
      <c r="Z263" s="77">
        <v>991438.6</v>
      </c>
      <c r="AA263" s="76">
        <v>30.27</v>
      </c>
      <c r="AB263" s="76">
        <v>3.19</v>
      </c>
      <c r="AC263" s="76">
        <v>-0.27</v>
      </c>
      <c r="AD263" s="77">
        <v>2.04687298E9</v>
      </c>
      <c r="AE263" s="78"/>
    </row>
    <row r="264">
      <c r="A264" s="73" t="s">
        <v>313</v>
      </c>
      <c r="B264" s="76">
        <v>8.37</v>
      </c>
      <c r="C264" s="76">
        <v>9.14</v>
      </c>
      <c r="D264" s="76">
        <v>9.36</v>
      </c>
      <c r="E264" s="76">
        <v>0.85</v>
      </c>
      <c r="F264" s="76">
        <v>0.33</v>
      </c>
      <c r="G264" s="76">
        <v>26.08</v>
      </c>
      <c r="H264" s="76">
        <v>9.34</v>
      </c>
      <c r="I264" s="76">
        <v>10.9</v>
      </c>
      <c r="J264" s="76">
        <v>10.93</v>
      </c>
      <c r="K264" s="76">
        <v>12.87</v>
      </c>
      <c r="L264" s="76">
        <v>1.95</v>
      </c>
      <c r="M264" s="76">
        <v>0.15</v>
      </c>
      <c r="N264" s="76">
        <v>1.02</v>
      </c>
      <c r="O264" s="76">
        <v>0.58</v>
      </c>
      <c r="P264" s="76">
        <v>-1.17</v>
      </c>
      <c r="Q264" s="76">
        <v>5.14</v>
      </c>
      <c r="R264" s="76">
        <v>9.03</v>
      </c>
      <c r="S264" s="76">
        <v>3.57</v>
      </c>
      <c r="T264" s="76">
        <v>3.21</v>
      </c>
      <c r="U264" s="76">
        <v>0.4</v>
      </c>
      <c r="V264" s="76">
        <v>0.55</v>
      </c>
      <c r="W264" s="76">
        <v>0.33</v>
      </c>
      <c r="X264" s="76">
        <v>2.43</v>
      </c>
      <c r="Y264" s="76">
        <v>8.46</v>
      </c>
      <c r="Z264" s="77">
        <v>4954211.0</v>
      </c>
      <c r="AA264" s="76">
        <v>9.9</v>
      </c>
      <c r="AB264" s="76">
        <v>0.89</v>
      </c>
      <c r="AC264" s="76">
        <v>0.16</v>
      </c>
      <c r="AD264" s="77">
        <v>1.674E9</v>
      </c>
      <c r="AE264" s="78"/>
    </row>
    <row r="265">
      <c r="A265" s="73" t="s">
        <v>314</v>
      </c>
      <c r="B265" s="76">
        <v>15.74</v>
      </c>
      <c r="C265" s="76">
        <v>9.87</v>
      </c>
      <c r="D265" s="76">
        <v>8.13</v>
      </c>
      <c r="E265" s="76">
        <v>0.86</v>
      </c>
      <c r="F265" s="76">
        <v>0.63</v>
      </c>
      <c r="G265" s="76">
        <v>40.82</v>
      </c>
      <c r="H265" s="76">
        <v>27.83</v>
      </c>
      <c r="I265" s="76">
        <v>32.85</v>
      </c>
      <c r="J265" s="76">
        <v>9.59</v>
      </c>
      <c r="K265" s="76">
        <v>9.95</v>
      </c>
      <c r="L265" s="76">
        <v>0.36</v>
      </c>
      <c r="M265" s="76">
        <v>0.03</v>
      </c>
      <c r="N265" s="76">
        <v>2.67</v>
      </c>
      <c r="O265" s="76">
        <v>1.81</v>
      </c>
      <c r="P265" s="76">
        <v>-1.09</v>
      </c>
      <c r="Q265" s="76">
        <v>5.66</v>
      </c>
      <c r="R265" s="76">
        <v>10.6</v>
      </c>
      <c r="S265" s="76">
        <v>7.76</v>
      </c>
      <c r="T265" s="76">
        <v>6.18</v>
      </c>
      <c r="U265" s="76">
        <v>0.73</v>
      </c>
      <c r="V265" s="76">
        <v>0.26</v>
      </c>
      <c r="W265" s="76">
        <v>0.24</v>
      </c>
      <c r="X265" s="76">
        <v>14.17</v>
      </c>
      <c r="Y265" s="76">
        <v>14.12</v>
      </c>
      <c r="Z265" s="77">
        <v>3.0563739E7</v>
      </c>
      <c r="AA265" s="76">
        <v>18.27</v>
      </c>
      <c r="AB265" s="76">
        <v>1.94</v>
      </c>
      <c r="AC265" s="76">
        <v>0.16</v>
      </c>
      <c r="AD265" s="77">
        <v>4.42294E9</v>
      </c>
      <c r="AE265" s="78"/>
    </row>
    <row r="266">
      <c r="A266" s="73" t="s">
        <v>315</v>
      </c>
      <c r="B266" s="76">
        <v>0.0</v>
      </c>
      <c r="C266" s="76">
        <v>0.0</v>
      </c>
      <c r="D266" s="76">
        <v>0.0</v>
      </c>
      <c r="E266" s="76">
        <v>0.0</v>
      </c>
      <c r="F266" s="76">
        <v>0.0</v>
      </c>
      <c r="G266" s="76">
        <v>-60.76</v>
      </c>
      <c r="H266" s="76">
        <v>-92.67</v>
      </c>
      <c r="I266" s="76">
        <v>-101.97</v>
      </c>
      <c r="J266" s="76">
        <v>0.0</v>
      </c>
      <c r="K266" s="76">
        <v>-0.74</v>
      </c>
      <c r="L266" s="76">
        <v>-0.67</v>
      </c>
      <c r="M266" s="76">
        <v>0.0</v>
      </c>
      <c r="N266" s="76">
        <v>0.0</v>
      </c>
      <c r="O266" s="76">
        <v>0.0</v>
      </c>
      <c r="P266" s="76">
        <v>0.0</v>
      </c>
      <c r="Q266" s="76">
        <v>0.31</v>
      </c>
      <c r="R266" s="76">
        <v>-24.19</v>
      </c>
      <c r="S266" s="76">
        <v>-36.57</v>
      </c>
      <c r="T266" s="76">
        <v>25.82</v>
      </c>
      <c r="U266" s="76">
        <v>-1.51</v>
      </c>
      <c r="V266" s="76">
        <v>2.51</v>
      </c>
      <c r="W266" s="76">
        <v>0.36</v>
      </c>
      <c r="X266" s="76">
        <v>-18.14</v>
      </c>
      <c r="Y266" s="76">
        <v>0.0</v>
      </c>
      <c r="Z266" s="77">
        <v>0.0</v>
      </c>
      <c r="AA266" s="76">
        <v>-87.48</v>
      </c>
      <c r="AB266" s="76">
        <v>-21.16</v>
      </c>
      <c r="AC266" s="76">
        <v>0.0</v>
      </c>
      <c r="AD266" s="77">
        <v>904253.84</v>
      </c>
      <c r="AE266" s="78"/>
    </row>
    <row r="267">
      <c r="A267" s="73" t="s">
        <v>316</v>
      </c>
      <c r="B267" s="76">
        <v>1.96</v>
      </c>
      <c r="C267" s="76">
        <v>0.0</v>
      </c>
      <c r="D267" s="76">
        <v>-0.09</v>
      </c>
      <c r="E267" s="76">
        <v>-0.02</v>
      </c>
      <c r="F267" s="76">
        <v>0.03</v>
      </c>
      <c r="G267" s="76">
        <v>-60.76</v>
      </c>
      <c r="H267" s="76">
        <v>-92.67</v>
      </c>
      <c r="I267" s="76">
        <v>-101.97</v>
      </c>
      <c r="J267" s="76">
        <v>-0.1</v>
      </c>
      <c r="K267" s="76">
        <v>-0.74</v>
      </c>
      <c r="L267" s="76">
        <v>-0.67</v>
      </c>
      <c r="M267" s="76">
        <v>0.0</v>
      </c>
      <c r="N267" s="76">
        <v>0.09</v>
      </c>
      <c r="O267" s="76">
        <v>-0.04</v>
      </c>
      <c r="P267" s="76">
        <v>-0.05</v>
      </c>
      <c r="Q267" s="76">
        <v>0.31</v>
      </c>
      <c r="R267" s="76">
        <v>-24.19</v>
      </c>
      <c r="S267" s="76">
        <v>-36.57</v>
      </c>
      <c r="T267" s="76">
        <v>25.82</v>
      </c>
      <c r="U267" s="76">
        <v>-1.51</v>
      </c>
      <c r="V267" s="76">
        <v>2.51</v>
      </c>
      <c r="W267" s="76">
        <v>0.36</v>
      </c>
      <c r="X267" s="76">
        <v>-18.14</v>
      </c>
      <c r="Y267" s="76">
        <v>0.0</v>
      </c>
      <c r="Z267" s="77">
        <v>0.0</v>
      </c>
      <c r="AA267" s="76">
        <v>-87.48</v>
      </c>
      <c r="AB267" s="76">
        <v>-21.16</v>
      </c>
      <c r="AC267" s="76">
        <v>0.0</v>
      </c>
      <c r="AD267" s="77">
        <v>904253.84</v>
      </c>
      <c r="AE267" s="78"/>
    </row>
    <row r="268">
      <c r="A268" s="73" t="s">
        <v>317</v>
      </c>
      <c r="B268" s="76">
        <v>12.11</v>
      </c>
      <c r="C268" s="76">
        <v>5.48</v>
      </c>
      <c r="D268" s="76">
        <v>19.9</v>
      </c>
      <c r="E268" s="76">
        <v>1.26</v>
      </c>
      <c r="F268" s="76">
        <v>1.01</v>
      </c>
      <c r="G268" s="76">
        <v>17.26</v>
      </c>
      <c r="H268" s="76">
        <v>2.88</v>
      </c>
      <c r="I268" s="76">
        <v>9.19</v>
      </c>
      <c r="J268" s="76">
        <v>63.53</v>
      </c>
      <c r="K268" s="76">
        <v>38.31</v>
      </c>
      <c r="L268" s="76">
        <v>-10.57</v>
      </c>
      <c r="M268" s="76">
        <v>-0.21</v>
      </c>
      <c r="N268" s="76">
        <v>1.83</v>
      </c>
      <c r="O268" s="76">
        <v>3.45</v>
      </c>
      <c r="P268" s="76">
        <v>-1.68</v>
      </c>
      <c r="Q268" s="76">
        <v>3.76</v>
      </c>
      <c r="R268" s="76">
        <v>6.34</v>
      </c>
      <c r="S268" s="76">
        <v>5.08</v>
      </c>
      <c r="T268" s="76">
        <v>0.46</v>
      </c>
      <c r="U268" s="76">
        <v>0.8</v>
      </c>
      <c r="V268" s="76">
        <v>0.2</v>
      </c>
      <c r="W268" s="76">
        <v>0.55</v>
      </c>
      <c r="X268" s="76">
        <v>11.82</v>
      </c>
      <c r="Y268" s="76">
        <v>-0.58</v>
      </c>
      <c r="Z268" s="77">
        <v>13482.62</v>
      </c>
      <c r="AA268" s="76">
        <v>9.59</v>
      </c>
      <c r="AB268" s="76">
        <v>0.61</v>
      </c>
      <c r="AC268" s="76">
        <v>-1.23</v>
      </c>
      <c r="AD268" s="77">
        <v>3.29041375E9</v>
      </c>
      <c r="AE268" s="78"/>
    </row>
    <row r="269">
      <c r="A269" s="73" t="s">
        <v>318</v>
      </c>
      <c r="B269" s="76">
        <v>7.92</v>
      </c>
      <c r="C269" s="76">
        <v>9.15</v>
      </c>
      <c r="D269" s="76">
        <v>13.02</v>
      </c>
      <c r="E269" s="76">
        <v>0.83</v>
      </c>
      <c r="F269" s="76">
        <v>0.66</v>
      </c>
      <c r="G269" s="76">
        <v>17.26</v>
      </c>
      <c r="H269" s="76">
        <v>2.88</v>
      </c>
      <c r="I269" s="76">
        <v>9.19</v>
      </c>
      <c r="J269" s="76">
        <v>41.55</v>
      </c>
      <c r="K269" s="76">
        <v>38.31</v>
      </c>
      <c r="L269" s="76">
        <v>-10.57</v>
      </c>
      <c r="M269" s="76">
        <v>-0.21</v>
      </c>
      <c r="N269" s="76">
        <v>1.2</v>
      </c>
      <c r="O269" s="76">
        <v>2.25</v>
      </c>
      <c r="P269" s="76">
        <v>-1.1</v>
      </c>
      <c r="Q269" s="76">
        <v>3.76</v>
      </c>
      <c r="R269" s="76">
        <v>6.34</v>
      </c>
      <c r="S269" s="76">
        <v>5.08</v>
      </c>
      <c r="T269" s="76">
        <v>0.46</v>
      </c>
      <c r="U269" s="76">
        <v>0.8</v>
      </c>
      <c r="V269" s="76">
        <v>0.2</v>
      </c>
      <c r="W269" s="76">
        <v>0.55</v>
      </c>
      <c r="X269" s="76">
        <v>11.82</v>
      </c>
      <c r="Y269" s="76">
        <v>-0.58</v>
      </c>
      <c r="Z269" s="77">
        <v>7903421.0</v>
      </c>
      <c r="AA269" s="76">
        <v>9.59</v>
      </c>
      <c r="AB269" s="76">
        <v>0.61</v>
      </c>
      <c r="AC269" s="76">
        <v>-0.81</v>
      </c>
      <c r="AD269" s="77">
        <v>3.29041375E9</v>
      </c>
      <c r="AE269" s="78"/>
    </row>
    <row r="270">
      <c r="A270" s="73" t="s">
        <v>319</v>
      </c>
      <c r="B270" s="76">
        <v>4.11</v>
      </c>
      <c r="C270" s="76">
        <v>0.0</v>
      </c>
      <c r="D270" s="76">
        <v>-0.35</v>
      </c>
      <c r="E270" s="76">
        <v>-0.2</v>
      </c>
      <c r="F270" s="76">
        <v>0.08</v>
      </c>
      <c r="G270" s="76">
        <v>2.02</v>
      </c>
      <c r="H270" s="76">
        <v>-5.37</v>
      </c>
      <c r="I270" s="76">
        <v>-14.19</v>
      </c>
      <c r="J270" s="76">
        <v>-0.91</v>
      </c>
      <c r="K270" s="76">
        <v>-0.57</v>
      </c>
      <c r="L270" s="76">
        <v>0.34</v>
      </c>
      <c r="M270" s="76">
        <v>0.0</v>
      </c>
      <c r="N270" s="76">
        <v>0.05</v>
      </c>
      <c r="O270" s="76">
        <v>-0.62</v>
      </c>
      <c r="P270" s="76">
        <v>-0.26</v>
      </c>
      <c r="Q270" s="76">
        <v>0.85</v>
      </c>
      <c r="R270" s="76">
        <v>-56.73</v>
      </c>
      <c r="S270" s="76">
        <v>-22.3</v>
      </c>
      <c r="T270" s="76">
        <v>48.85</v>
      </c>
      <c r="U270" s="76">
        <v>-0.39</v>
      </c>
      <c r="V270" s="76">
        <v>1.39</v>
      </c>
      <c r="W270" s="76">
        <v>1.57</v>
      </c>
      <c r="X270" s="76">
        <v>31.29</v>
      </c>
      <c r="Y270" s="76">
        <v>0.0</v>
      </c>
      <c r="Z270" s="77">
        <v>47300.05</v>
      </c>
      <c r="AA270" s="76">
        <v>-20.97</v>
      </c>
      <c r="AB270" s="76">
        <v>-11.9</v>
      </c>
      <c r="AC270" s="76">
        <v>-0.02</v>
      </c>
      <c r="AD270" s="79">
        <v>2.213534372E8</v>
      </c>
      <c r="AE270" s="80"/>
    </row>
    <row r="271">
      <c r="A271" s="73" t="s">
        <v>320</v>
      </c>
      <c r="B271" s="76">
        <v>0.6</v>
      </c>
      <c r="C271" s="76">
        <v>0.0</v>
      </c>
      <c r="D271" s="76">
        <v>-1.03</v>
      </c>
      <c r="E271" s="76">
        <v>0.44</v>
      </c>
      <c r="F271" s="76">
        <v>0.29</v>
      </c>
      <c r="G271" s="76">
        <v>-727.29</v>
      </c>
      <c r="H271" s="76">
        <v>-177.32</v>
      </c>
      <c r="I271" s="76">
        <v>-738.88</v>
      </c>
      <c r="J271" s="76">
        <v>-4.28</v>
      </c>
      <c r="K271" s="76">
        <v>2.61</v>
      </c>
      <c r="L271" s="76">
        <v>6.89</v>
      </c>
      <c r="M271" s="76">
        <v>-0.72</v>
      </c>
      <c r="N271" s="76">
        <v>7.58</v>
      </c>
      <c r="O271" s="76">
        <v>0.48</v>
      </c>
      <c r="P271" s="76">
        <v>-2.87</v>
      </c>
      <c r="Q271" s="76">
        <v>3.17</v>
      </c>
      <c r="R271" s="76">
        <v>-43.25</v>
      </c>
      <c r="S271" s="76">
        <v>-28.48</v>
      </c>
      <c r="T271" s="76">
        <v>-93.32</v>
      </c>
      <c r="U271" s="76">
        <v>0.66</v>
      </c>
      <c r="V271" s="76">
        <v>0.34</v>
      </c>
      <c r="W271" s="76">
        <v>0.04</v>
      </c>
      <c r="X271" s="76">
        <v>0.0</v>
      </c>
      <c r="Y271" s="76">
        <v>0.0</v>
      </c>
      <c r="Z271" s="77">
        <v>165640.1</v>
      </c>
      <c r="AA271" s="76">
        <v>1.35</v>
      </c>
      <c r="AB271" s="76">
        <v>-0.58</v>
      </c>
      <c r="AC271" s="76">
        <v>0.0</v>
      </c>
      <c r="AD271" s="79">
        <v>2.6317323E7</v>
      </c>
      <c r="AE271" s="80"/>
    </row>
    <row r="272">
      <c r="A272" s="73" t="s">
        <v>321</v>
      </c>
      <c r="B272" s="76">
        <v>12.6</v>
      </c>
      <c r="C272" s="76">
        <v>0.0</v>
      </c>
      <c r="D272" s="76">
        <v>-9.07</v>
      </c>
      <c r="E272" s="76">
        <v>0.42</v>
      </c>
      <c r="F272" s="76">
        <v>0.27</v>
      </c>
      <c r="G272" s="76">
        <v>27.37</v>
      </c>
      <c r="H272" s="76">
        <v>-128.06</v>
      </c>
      <c r="I272" s="76">
        <v>-259.37</v>
      </c>
      <c r="J272" s="76">
        <v>-18.37</v>
      </c>
      <c r="K272" s="76">
        <v>-28.87</v>
      </c>
      <c r="L272" s="76">
        <v>-10.49</v>
      </c>
      <c r="M272" s="76">
        <v>0.24</v>
      </c>
      <c r="N272" s="76">
        <v>23.53</v>
      </c>
      <c r="O272" s="76">
        <v>-3.39</v>
      </c>
      <c r="P272" s="76">
        <v>-0.29</v>
      </c>
      <c r="Q272" s="76">
        <v>0.5</v>
      </c>
      <c r="R272" s="76">
        <v>-4.63</v>
      </c>
      <c r="S272" s="76">
        <v>-2.95</v>
      </c>
      <c r="T272" s="76">
        <v>-1.9</v>
      </c>
      <c r="U272" s="76">
        <v>0.64</v>
      </c>
      <c r="V272" s="76">
        <v>0.36</v>
      </c>
      <c r="W272" s="76">
        <v>0.01</v>
      </c>
      <c r="X272" s="76">
        <v>-40.55</v>
      </c>
      <c r="Y272" s="76">
        <v>0.0</v>
      </c>
      <c r="Z272" s="77">
        <v>10517.11</v>
      </c>
      <c r="AA272" s="76">
        <v>30.01</v>
      </c>
      <c r="AB272" s="76">
        <v>-1.39</v>
      </c>
      <c r="AC272" s="76">
        <v>0.18</v>
      </c>
      <c r="AD272" s="79">
        <v>3.05191278E7</v>
      </c>
      <c r="AE272" s="80"/>
    </row>
    <row r="273">
      <c r="A273" s="73" t="s">
        <v>322</v>
      </c>
      <c r="B273" s="76">
        <v>21.07</v>
      </c>
      <c r="C273" s="76">
        <v>0.0</v>
      </c>
      <c r="D273" s="76">
        <v>3.26</v>
      </c>
      <c r="E273" s="76">
        <v>0.27</v>
      </c>
      <c r="F273" s="76">
        <v>0.26</v>
      </c>
      <c r="G273" s="76">
        <v>100.0</v>
      </c>
      <c r="H273" s="76">
        <v>94.03</v>
      </c>
      <c r="I273" s="76">
        <v>62.3</v>
      </c>
      <c r="J273" s="76">
        <v>2.16</v>
      </c>
      <c r="K273" s="76">
        <v>0.72</v>
      </c>
      <c r="L273" s="76">
        <v>0.0</v>
      </c>
      <c r="M273" s="76">
        <v>0.0</v>
      </c>
      <c r="N273" s="76">
        <v>2.03</v>
      </c>
      <c r="O273" s="76">
        <v>24904.07</v>
      </c>
      <c r="P273" s="76">
        <v>-0.26</v>
      </c>
      <c r="Q273" s="76">
        <v>0.0</v>
      </c>
      <c r="R273" s="76">
        <v>8.18</v>
      </c>
      <c r="S273" s="76">
        <v>7.86</v>
      </c>
      <c r="T273" s="76">
        <v>0.0</v>
      </c>
      <c r="U273" s="76">
        <v>0.96</v>
      </c>
      <c r="V273" s="76">
        <v>0.04</v>
      </c>
      <c r="W273" s="76">
        <v>0.13</v>
      </c>
      <c r="X273" s="76">
        <v>31.76</v>
      </c>
      <c r="Y273" s="76">
        <v>35.04</v>
      </c>
      <c r="Z273" s="77">
        <v>4214.0</v>
      </c>
      <c r="AA273" s="76">
        <v>78.99</v>
      </c>
      <c r="AB273" s="76">
        <v>6.46</v>
      </c>
      <c r="AC273" s="76">
        <v>0.1</v>
      </c>
      <c r="AD273" s="76">
        <v>1.669005268E7</v>
      </c>
      <c r="AE273" s="74"/>
    </row>
    <row r="274">
      <c r="A274" s="73" t="s">
        <v>323</v>
      </c>
      <c r="B274" s="76">
        <v>0.0</v>
      </c>
      <c r="C274" s="76">
        <v>0.0</v>
      </c>
      <c r="D274" s="76">
        <v>0.0</v>
      </c>
      <c r="E274" s="76">
        <v>0.0</v>
      </c>
      <c r="F274" s="76">
        <v>0.0</v>
      </c>
      <c r="G274" s="76">
        <v>100.0</v>
      </c>
      <c r="H274" s="76">
        <v>94.03</v>
      </c>
      <c r="I274" s="76">
        <v>62.3</v>
      </c>
      <c r="J274" s="76">
        <v>0.0</v>
      </c>
      <c r="K274" s="76">
        <v>0.72</v>
      </c>
      <c r="L274" s="76">
        <v>0.0</v>
      </c>
      <c r="M274" s="76">
        <v>0.0</v>
      </c>
      <c r="N274" s="76">
        <v>0.0</v>
      </c>
      <c r="O274" s="76">
        <v>0.0</v>
      </c>
      <c r="P274" s="76">
        <v>0.0</v>
      </c>
      <c r="Q274" s="76">
        <v>0.0</v>
      </c>
      <c r="R274" s="76">
        <v>8.18</v>
      </c>
      <c r="S274" s="76">
        <v>7.86</v>
      </c>
      <c r="T274" s="76">
        <v>0.0</v>
      </c>
      <c r="U274" s="76">
        <v>0.96</v>
      </c>
      <c r="V274" s="76">
        <v>0.04</v>
      </c>
      <c r="W274" s="76">
        <v>0.13</v>
      </c>
      <c r="X274" s="76">
        <v>31.76</v>
      </c>
      <c r="Y274" s="76">
        <v>35.04</v>
      </c>
      <c r="Z274" s="77">
        <v>0.0</v>
      </c>
      <c r="AA274" s="76">
        <v>78.99</v>
      </c>
      <c r="AB274" s="76">
        <v>6.46</v>
      </c>
      <c r="AC274" s="76">
        <v>0.0</v>
      </c>
      <c r="AD274" s="76">
        <v>1.669005268E7</v>
      </c>
      <c r="AE274" s="74"/>
    </row>
    <row r="275">
      <c r="A275" s="73" t="s">
        <v>324</v>
      </c>
      <c r="B275" s="76">
        <v>5.35</v>
      </c>
      <c r="C275" s="76">
        <v>14.53</v>
      </c>
      <c r="D275" s="76">
        <v>10.87</v>
      </c>
      <c r="E275" s="76">
        <v>1.68</v>
      </c>
      <c r="F275" s="76">
        <v>0.9</v>
      </c>
      <c r="G275" s="76">
        <v>51.52</v>
      </c>
      <c r="H275" s="76">
        <v>26.58</v>
      </c>
      <c r="I275" s="76">
        <v>17.41</v>
      </c>
      <c r="J275" s="76">
        <v>7.12</v>
      </c>
      <c r="K275" s="76">
        <v>7.9</v>
      </c>
      <c r="L275" s="76">
        <v>0.78</v>
      </c>
      <c r="M275" s="76">
        <v>0.18</v>
      </c>
      <c r="N275" s="76">
        <v>1.89</v>
      </c>
      <c r="O275" s="76">
        <v>10.22</v>
      </c>
      <c r="P275" s="76">
        <v>-1.19</v>
      </c>
      <c r="Q275" s="76">
        <v>1.57</v>
      </c>
      <c r="R275" s="76">
        <v>15.46</v>
      </c>
      <c r="S275" s="76">
        <v>8.31</v>
      </c>
      <c r="T275" s="76">
        <v>9.98</v>
      </c>
      <c r="U275" s="76">
        <v>0.54</v>
      </c>
      <c r="V275" s="76">
        <v>0.46</v>
      </c>
      <c r="W275" s="76">
        <v>0.48</v>
      </c>
      <c r="X275" s="76">
        <v>44.39</v>
      </c>
      <c r="Y275" s="76">
        <v>39.94</v>
      </c>
      <c r="Z275" s="77">
        <v>2892520.0</v>
      </c>
      <c r="AA275" s="76">
        <v>3.18</v>
      </c>
      <c r="AB275" s="76">
        <v>0.49</v>
      </c>
      <c r="AC275" s="76">
        <v>-0.4</v>
      </c>
      <c r="AD275" s="79">
        <v>2.135113556E9</v>
      </c>
      <c r="AE275" s="80"/>
    </row>
    <row r="276">
      <c r="A276" s="73" t="s">
        <v>325</v>
      </c>
      <c r="B276" s="76">
        <v>0.0</v>
      </c>
      <c r="C276" s="76">
        <v>0.0</v>
      </c>
      <c r="D276" s="76">
        <v>0.0</v>
      </c>
      <c r="E276" s="76">
        <v>0.0</v>
      </c>
      <c r="F276" s="76">
        <v>0.0</v>
      </c>
      <c r="G276" s="76">
        <v>19.49</v>
      </c>
      <c r="H276" s="76">
        <v>-100.31</v>
      </c>
      <c r="I276" s="76">
        <v>-141.8</v>
      </c>
      <c r="J276" s="76">
        <v>0.0</v>
      </c>
      <c r="K276" s="76">
        <v>-0.43</v>
      </c>
      <c r="L276" s="76">
        <v>-0.43</v>
      </c>
      <c r="M276" s="76">
        <v>0.0</v>
      </c>
      <c r="N276" s="76">
        <v>0.0</v>
      </c>
      <c r="O276" s="76">
        <v>0.0</v>
      </c>
      <c r="P276" s="76">
        <v>0.0</v>
      </c>
      <c r="Q276" s="76">
        <v>0.11</v>
      </c>
      <c r="R276" s="76">
        <v>-81.0</v>
      </c>
      <c r="S276" s="76">
        <v>-290.31</v>
      </c>
      <c r="T276" s="76">
        <v>83.68</v>
      </c>
      <c r="U276" s="76">
        <v>-3.58</v>
      </c>
      <c r="V276" s="76">
        <v>4.58</v>
      </c>
      <c r="W276" s="76">
        <v>2.05</v>
      </c>
      <c r="X276" s="76">
        <v>-5.08</v>
      </c>
      <c r="Y276" s="76">
        <v>0.0</v>
      </c>
      <c r="Z276" s="77">
        <v>0.0</v>
      </c>
      <c r="AA276" s="76">
        <v>-132.45</v>
      </c>
      <c r="AB276" s="76">
        <v>-107.28</v>
      </c>
      <c r="AC276" s="76">
        <v>0.0</v>
      </c>
      <c r="AD276" s="76">
        <v>0.0</v>
      </c>
      <c r="AE276" s="74"/>
    </row>
    <row r="277">
      <c r="A277" s="73" t="s">
        <v>326</v>
      </c>
      <c r="B277" s="76">
        <v>17.95</v>
      </c>
      <c r="C277" s="76">
        <v>9.33</v>
      </c>
      <c r="D277" s="76">
        <v>16.36</v>
      </c>
      <c r="E277" s="76">
        <v>1.82</v>
      </c>
      <c r="F277" s="76">
        <v>0.72</v>
      </c>
      <c r="G277" s="76">
        <v>26.88</v>
      </c>
      <c r="H277" s="76">
        <v>14.96</v>
      </c>
      <c r="I277" s="76">
        <v>7.44</v>
      </c>
      <c r="J277" s="76">
        <v>8.13</v>
      </c>
      <c r="K277" s="76">
        <v>10.61</v>
      </c>
      <c r="L277" s="76">
        <v>2.48</v>
      </c>
      <c r="M277" s="76">
        <v>0.55</v>
      </c>
      <c r="N277" s="76">
        <v>1.22</v>
      </c>
      <c r="O277" s="76">
        <v>3.69</v>
      </c>
      <c r="P277" s="76">
        <v>-1.13</v>
      </c>
      <c r="Q277" s="76">
        <v>2.21</v>
      </c>
      <c r="R277" s="76">
        <v>11.13</v>
      </c>
      <c r="S277" s="76">
        <v>4.42</v>
      </c>
      <c r="T277" s="76">
        <v>9.31</v>
      </c>
      <c r="U277" s="76">
        <v>0.4</v>
      </c>
      <c r="V277" s="76">
        <v>0.6</v>
      </c>
      <c r="W277" s="76">
        <v>0.59</v>
      </c>
      <c r="X277" s="76">
        <v>21.48</v>
      </c>
      <c r="Y277" s="76">
        <v>13.97</v>
      </c>
      <c r="Z277" s="77">
        <v>5.5006614E7</v>
      </c>
      <c r="AA277" s="76">
        <v>9.86</v>
      </c>
      <c r="AB277" s="76">
        <v>1.1</v>
      </c>
      <c r="AC277" s="76">
        <v>-7.66</v>
      </c>
      <c r="AD277" s="79">
        <v>9.822078917E9</v>
      </c>
      <c r="AE277" s="80"/>
    </row>
    <row r="278">
      <c r="A278" s="73" t="s">
        <v>327</v>
      </c>
      <c r="B278" s="76">
        <v>14.25</v>
      </c>
      <c r="C278" s="76">
        <v>0.0</v>
      </c>
      <c r="D278" s="76">
        <v>-0.04</v>
      </c>
      <c r="E278" s="76">
        <v>0.03</v>
      </c>
      <c r="F278" s="76">
        <v>0.0</v>
      </c>
      <c r="G278" s="76">
        <v>-82.62</v>
      </c>
      <c r="H278" s="76">
        <v>-98.66</v>
      </c>
      <c r="I278" s="76">
        <v>-59.2</v>
      </c>
      <c r="J278" s="76">
        <v>-0.02</v>
      </c>
      <c r="K278" s="76">
        <v>-0.02</v>
      </c>
      <c r="L278" s="76">
        <v>0.0</v>
      </c>
      <c r="M278" s="76">
        <v>0.0</v>
      </c>
      <c r="N278" s="76">
        <v>0.02</v>
      </c>
      <c r="O278" s="76">
        <v>0.01</v>
      </c>
      <c r="P278" s="76">
        <v>-0.02</v>
      </c>
      <c r="Q278" s="76">
        <v>1.56</v>
      </c>
      <c r="R278" s="76">
        <v>-65.31</v>
      </c>
      <c r="S278" s="76">
        <v>-10.62</v>
      </c>
      <c r="T278" s="76">
        <v>0.0</v>
      </c>
      <c r="U278" s="76">
        <v>0.16</v>
      </c>
      <c r="V278" s="76">
        <v>0.84</v>
      </c>
      <c r="W278" s="76">
        <v>0.18</v>
      </c>
      <c r="X278" s="76">
        <v>187.45</v>
      </c>
      <c r="Y278" s="76">
        <v>0.0</v>
      </c>
      <c r="Z278" s="77">
        <v>0.0</v>
      </c>
      <c r="AA278" s="76">
        <v>555.08</v>
      </c>
      <c r="AB278" s="76">
        <v>-362.52</v>
      </c>
      <c r="AC278" s="76">
        <v>0.0</v>
      </c>
      <c r="AD278" s="76">
        <v>1.30213365E7</v>
      </c>
      <c r="AE278" s="74"/>
    </row>
    <row r="279">
      <c r="A279" s="73" t="s">
        <v>328</v>
      </c>
      <c r="B279" s="76">
        <v>24.75</v>
      </c>
      <c r="C279" s="76">
        <v>2.87</v>
      </c>
      <c r="D279" s="76">
        <v>19.49</v>
      </c>
      <c r="E279" s="76">
        <v>2.88</v>
      </c>
      <c r="F279" s="76">
        <v>1.01</v>
      </c>
      <c r="G279" s="76">
        <v>33.8</v>
      </c>
      <c r="H279" s="76">
        <v>14.35</v>
      </c>
      <c r="I279" s="76">
        <v>6.83</v>
      </c>
      <c r="J279" s="76">
        <v>9.27</v>
      </c>
      <c r="K279" s="76">
        <v>11.47</v>
      </c>
      <c r="L279" s="76">
        <v>2.2</v>
      </c>
      <c r="M279" s="76">
        <v>0.68</v>
      </c>
      <c r="N279" s="76">
        <v>1.33</v>
      </c>
      <c r="O279" s="76">
        <v>3.68</v>
      </c>
      <c r="P279" s="76">
        <v>-1.97</v>
      </c>
      <c r="Q279" s="76">
        <v>2.27</v>
      </c>
      <c r="R279" s="76">
        <v>14.78</v>
      </c>
      <c r="S279" s="76">
        <v>5.17</v>
      </c>
      <c r="T279" s="76">
        <v>14.14</v>
      </c>
      <c r="U279" s="76">
        <v>0.35</v>
      </c>
      <c r="V279" s="76">
        <v>0.65</v>
      </c>
      <c r="W279" s="76">
        <v>0.76</v>
      </c>
      <c r="X279" s="76">
        <v>23.77</v>
      </c>
      <c r="Y279" s="76">
        <v>57.37</v>
      </c>
      <c r="Z279" s="77">
        <v>6865960.0</v>
      </c>
      <c r="AA279" s="76">
        <v>8.6</v>
      </c>
      <c r="AB279" s="76">
        <v>1.27</v>
      </c>
      <c r="AC279" s="76">
        <v>1.82</v>
      </c>
      <c r="AD279" s="79">
        <v>6.938293502E9</v>
      </c>
      <c r="AE279" s="80"/>
    </row>
    <row r="280">
      <c r="A280" s="73" t="s">
        <v>329</v>
      </c>
      <c r="B280" s="76">
        <v>170.18</v>
      </c>
      <c r="C280" s="76">
        <v>0.0</v>
      </c>
      <c r="D280" s="76">
        <v>44.97</v>
      </c>
      <c r="E280" s="76">
        <v>2.98</v>
      </c>
      <c r="F280" s="76">
        <v>0.57</v>
      </c>
      <c r="G280" s="76">
        <v>16.72</v>
      </c>
      <c r="H280" s="76">
        <v>7.79</v>
      </c>
      <c r="I280" s="76">
        <v>0.98</v>
      </c>
      <c r="J280" s="76">
        <v>5.67</v>
      </c>
      <c r="K280" s="76">
        <v>9.37</v>
      </c>
      <c r="L280" s="76">
        <v>3.7</v>
      </c>
      <c r="M280" s="76">
        <v>1.95</v>
      </c>
      <c r="N280" s="76">
        <v>0.44</v>
      </c>
      <c r="O280" s="76">
        <v>4.1</v>
      </c>
      <c r="P280" s="76">
        <v>-1.76</v>
      </c>
      <c r="Q280" s="76">
        <v>1.26</v>
      </c>
      <c r="R280" s="76">
        <v>6.63</v>
      </c>
      <c r="S280" s="76">
        <v>1.27</v>
      </c>
      <c r="T280" s="76">
        <v>13.09</v>
      </c>
      <c r="U280" s="76">
        <v>0.19</v>
      </c>
      <c r="V280" s="76">
        <v>0.77</v>
      </c>
      <c r="W280" s="76">
        <v>1.29</v>
      </c>
      <c r="X280" s="76">
        <v>8.13</v>
      </c>
      <c r="Y280" s="76">
        <v>2.08</v>
      </c>
      <c r="Z280" s="77">
        <v>9108.25</v>
      </c>
      <c r="AA280" s="76">
        <v>57.06</v>
      </c>
      <c r="AB280" s="76">
        <v>3.78</v>
      </c>
      <c r="AC280" s="76">
        <v>1.74</v>
      </c>
      <c r="AD280" s="79">
        <v>1.086152918E9</v>
      </c>
      <c r="AE280" s="80"/>
    </row>
    <row r="281">
      <c r="A281" s="73" t="s">
        <v>330</v>
      </c>
      <c r="B281" s="76">
        <v>1.31</v>
      </c>
      <c r="C281" s="76">
        <v>0.0</v>
      </c>
      <c r="D281" s="76">
        <v>-0.49</v>
      </c>
      <c r="E281" s="76">
        <v>-0.04</v>
      </c>
      <c r="F281" s="76">
        <v>0.09</v>
      </c>
      <c r="G281" s="76">
        <v>16.57</v>
      </c>
      <c r="H281" s="76">
        <v>-16.43</v>
      </c>
      <c r="I281" s="76">
        <v>-72.29</v>
      </c>
      <c r="J281" s="76">
        <v>-2.17</v>
      </c>
      <c r="K281" s="76">
        <v>-56.86</v>
      </c>
      <c r="L281" s="76">
        <v>-54.68</v>
      </c>
      <c r="M281" s="76">
        <v>0.0</v>
      </c>
      <c r="N281" s="76">
        <v>0.36</v>
      </c>
      <c r="O281" s="76">
        <v>-0.03</v>
      </c>
      <c r="P281" s="76">
        <v>-0.1</v>
      </c>
      <c r="Q281" s="76">
        <v>0.03</v>
      </c>
      <c r="R281" s="76">
        <v>-7.17</v>
      </c>
      <c r="S281" s="76">
        <v>-17.77</v>
      </c>
      <c r="T281" s="76">
        <v>17.57</v>
      </c>
      <c r="U281" s="76">
        <v>-2.48</v>
      </c>
      <c r="V281" s="76">
        <v>3.48</v>
      </c>
      <c r="W281" s="76">
        <v>0.25</v>
      </c>
      <c r="X281" s="76">
        <v>7.62</v>
      </c>
      <c r="Y281" s="76">
        <v>0.0</v>
      </c>
      <c r="Z281" s="77">
        <v>0.0</v>
      </c>
      <c r="AA281" s="76">
        <v>-36.95</v>
      </c>
      <c r="AB281" s="76">
        <v>-2.65</v>
      </c>
      <c r="AC281" s="76">
        <v>-0.11</v>
      </c>
      <c r="AD281" s="76">
        <v>2690223.86</v>
      </c>
      <c r="AE281" s="74"/>
    </row>
    <row r="282">
      <c r="A282" s="73" t="s">
        <v>331</v>
      </c>
      <c r="B282" s="76">
        <v>0.0</v>
      </c>
      <c r="C282" s="76">
        <v>0.0</v>
      </c>
      <c r="D282" s="76">
        <v>0.0</v>
      </c>
      <c r="E282" s="76">
        <v>0.0</v>
      </c>
      <c r="F282" s="76">
        <v>0.0</v>
      </c>
      <c r="G282" s="76">
        <v>0.0</v>
      </c>
      <c r="H282" s="76">
        <v>0.0</v>
      </c>
      <c r="I282" s="76">
        <v>0.0</v>
      </c>
      <c r="J282" s="76">
        <v>0.0</v>
      </c>
      <c r="K282" s="76">
        <v>0.0</v>
      </c>
      <c r="L282" s="76">
        <v>0.0</v>
      </c>
      <c r="M282" s="76">
        <v>0.0</v>
      </c>
      <c r="N282" s="76">
        <v>0.0</v>
      </c>
      <c r="O282" s="76">
        <v>0.0</v>
      </c>
      <c r="P282" s="76">
        <v>0.0</v>
      </c>
      <c r="Q282" s="76">
        <v>0.0</v>
      </c>
      <c r="R282" s="76">
        <v>-0.95</v>
      </c>
      <c r="S282" s="76">
        <v>-0.9</v>
      </c>
      <c r="T282" s="76">
        <v>-2.42</v>
      </c>
      <c r="U282" s="76">
        <v>0.95</v>
      </c>
      <c r="V282" s="76">
        <v>0.05</v>
      </c>
      <c r="W282" s="76">
        <v>0.0</v>
      </c>
      <c r="X282" s="76">
        <v>0.0</v>
      </c>
      <c r="Y282" s="76">
        <v>0.0</v>
      </c>
      <c r="Z282" s="77">
        <v>0.0</v>
      </c>
      <c r="AA282" s="76">
        <v>0.01</v>
      </c>
      <c r="AB282" s="76">
        <v>0.0</v>
      </c>
      <c r="AC282" s="76">
        <v>0.0</v>
      </c>
      <c r="AD282" s="76">
        <v>0.0</v>
      </c>
      <c r="AE282" s="74"/>
    </row>
    <row r="283">
      <c r="A283" s="73" t="s">
        <v>332</v>
      </c>
      <c r="B283" s="76">
        <v>1.65</v>
      </c>
      <c r="C283" s="76">
        <v>0.0</v>
      </c>
      <c r="D283" s="76">
        <v>-9.72</v>
      </c>
      <c r="E283" s="76">
        <v>0.26</v>
      </c>
      <c r="F283" s="76">
        <v>0.24</v>
      </c>
      <c r="G283" s="76">
        <v>100.0</v>
      </c>
      <c r="H283" s="76">
        <v>1028.02</v>
      </c>
      <c r="I283" s="76">
        <v>1303.14</v>
      </c>
      <c r="J283" s="76">
        <v>-12.32</v>
      </c>
      <c r="K283" s="76">
        <v>-14.83</v>
      </c>
      <c r="L283" s="76">
        <v>-2.51</v>
      </c>
      <c r="M283" s="76">
        <v>0.05</v>
      </c>
      <c r="N283" s="76">
        <v>0.0</v>
      </c>
      <c r="O283" s="76">
        <v>-6.07</v>
      </c>
      <c r="P283" s="76">
        <v>-0.24</v>
      </c>
      <c r="Q283" s="76">
        <v>0.17</v>
      </c>
      <c r="R283" s="76">
        <v>-2.65</v>
      </c>
      <c r="S283" s="76">
        <v>-2.49</v>
      </c>
      <c r="T283" s="76">
        <v>-1.97</v>
      </c>
      <c r="U283" s="76">
        <v>0.94</v>
      </c>
      <c r="V283" s="76">
        <v>0.06</v>
      </c>
      <c r="W283" s="76">
        <v>0.0</v>
      </c>
      <c r="X283" s="76">
        <v>0.0</v>
      </c>
      <c r="Y283" s="76">
        <v>0.0</v>
      </c>
      <c r="Z283" s="77">
        <v>65478.62</v>
      </c>
      <c r="AA283" s="76">
        <v>6.4</v>
      </c>
      <c r="AB283" s="76">
        <v>-0.17</v>
      </c>
      <c r="AC283" s="76">
        <v>0.12</v>
      </c>
      <c r="AD283" s="79">
        <v>1.898430402E8</v>
      </c>
      <c r="AE283" s="80"/>
    </row>
    <row r="284">
      <c r="A284" s="73" t="s">
        <v>333</v>
      </c>
      <c r="B284" s="76">
        <v>10.4</v>
      </c>
      <c r="C284" s="76">
        <v>0.0</v>
      </c>
      <c r="D284" s="76">
        <v>-14.97</v>
      </c>
      <c r="E284" s="76">
        <v>1.32</v>
      </c>
      <c r="F284" s="76">
        <v>0.79</v>
      </c>
      <c r="G284" s="76">
        <v>43.48</v>
      </c>
      <c r="H284" s="76">
        <v>3.79</v>
      </c>
      <c r="I284" s="76">
        <v>-10.14</v>
      </c>
      <c r="J284" s="76">
        <v>40.09</v>
      </c>
      <c r="K284" s="76">
        <v>47.57</v>
      </c>
      <c r="L284" s="76">
        <v>7.48</v>
      </c>
      <c r="M284" s="76">
        <v>0.25</v>
      </c>
      <c r="N284" s="76">
        <v>1.52</v>
      </c>
      <c r="O284" s="76">
        <v>7.57</v>
      </c>
      <c r="P284" s="76">
        <v>-1.43</v>
      </c>
      <c r="Q284" s="76">
        <v>1.31</v>
      </c>
      <c r="R284" s="76">
        <v>-8.83</v>
      </c>
      <c r="S284" s="76">
        <v>-5.29</v>
      </c>
      <c r="T284" s="76">
        <v>-0.1</v>
      </c>
      <c r="U284" s="76">
        <v>0.6</v>
      </c>
      <c r="V284" s="76">
        <v>0.4</v>
      </c>
      <c r="W284" s="76">
        <v>0.52</v>
      </c>
      <c r="X284" s="76">
        <v>12.83</v>
      </c>
      <c r="Y284" s="76">
        <v>0.0</v>
      </c>
      <c r="Z284" s="77">
        <v>0.0</v>
      </c>
      <c r="AA284" s="76">
        <v>7.86</v>
      </c>
      <c r="AB284" s="76">
        <v>-0.69</v>
      </c>
      <c r="AC284" s="76">
        <v>0.06</v>
      </c>
      <c r="AD284" s="79">
        <v>1.108871982E9</v>
      </c>
      <c r="AE284" s="80"/>
    </row>
    <row r="285">
      <c r="A285" s="73" t="s">
        <v>334</v>
      </c>
      <c r="B285" s="76">
        <v>33.0</v>
      </c>
      <c r="C285" s="76">
        <v>30.93</v>
      </c>
      <c r="D285" s="76">
        <v>12.33</v>
      </c>
      <c r="E285" s="76">
        <v>1.74</v>
      </c>
      <c r="F285" s="76">
        <v>0.78</v>
      </c>
      <c r="G285" s="76">
        <v>38.2</v>
      </c>
      <c r="H285" s="76">
        <v>33.96</v>
      </c>
      <c r="I285" s="76">
        <v>20.61</v>
      </c>
      <c r="J285" s="76">
        <v>7.48</v>
      </c>
      <c r="K285" s="76">
        <v>9.99</v>
      </c>
      <c r="L285" s="76">
        <v>2.18</v>
      </c>
      <c r="M285" s="76">
        <v>0.51</v>
      </c>
      <c r="N285" s="76">
        <v>2.54</v>
      </c>
      <c r="O285" s="76">
        <v>-2.85</v>
      </c>
      <c r="P285" s="76">
        <v>-0.84</v>
      </c>
      <c r="Q285" s="76">
        <v>0.21</v>
      </c>
      <c r="R285" s="76">
        <v>14.12</v>
      </c>
      <c r="S285" s="76">
        <v>6.31</v>
      </c>
      <c r="T285" s="76">
        <v>10.11</v>
      </c>
      <c r="U285" s="76">
        <v>0.45</v>
      </c>
      <c r="V285" s="76">
        <v>0.55</v>
      </c>
      <c r="W285" s="76">
        <v>0.31</v>
      </c>
      <c r="X285" s="76">
        <v>1.08</v>
      </c>
      <c r="Y285" s="76">
        <v>-0.25</v>
      </c>
      <c r="Z285" s="77">
        <v>8229.73</v>
      </c>
      <c r="AA285" s="76">
        <v>18.95</v>
      </c>
      <c r="AB285" s="76">
        <v>2.68</v>
      </c>
      <c r="AC285" s="76">
        <v>-0.68</v>
      </c>
      <c r="AD285" s="79">
        <v>3.251652711E9</v>
      </c>
      <c r="AE285" s="80"/>
    </row>
    <row r="286">
      <c r="A286" s="73" t="s">
        <v>335</v>
      </c>
      <c r="B286" s="76">
        <v>35.15</v>
      </c>
      <c r="C286" s="76">
        <v>29.04</v>
      </c>
      <c r="D286" s="76">
        <v>13.14</v>
      </c>
      <c r="E286" s="76">
        <v>1.86</v>
      </c>
      <c r="F286" s="76">
        <v>0.83</v>
      </c>
      <c r="G286" s="76">
        <v>38.2</v>
      </c>
      <c r="H286" s="76">
        <v>33.96</v>
      </c>
      <c r="I286" s="76">
        <v>20.61</v>
      </c>
      <c r="J286" s="76">
        <v>7.97</v>
      </c>
      <c r="K286" s="76">
        <v>9.99</v>
      </c>
      <c r="L286" s="76">
        <v>2.18</v>
      </c>
      <c r="M286" s="76">
        <v>0.51</v>
      </c>
      <c r="N286" s="76">
        <v>2.71</v>
      </c>
      <c r="O286" s="76">
        <v>-3.03</v>
      </c>
      <c r="P286" s="76">
        <v>-0.9</v>
      </c>
      <c r="Q286" s="76">
        <v>0.21</v>
      </c>
      <c r="R286" s="76">
        <v>14.12</v>
      </c>
      <c r="S286" s="76">
        <v>6.31</v>
      </c>
      <c r="T286" s="76">
        <v>10.11</v>
      </c>
      <c r="U286" s="76">
        <v>0.45</v>
      </c>
      <c r="V286" s="76">
        <v>0.55</v>
      </c>
      <c r="W286" s="76">
        <v>0.31</v>
      </c>
      <c r="X286" s="76">
        <v>1.08</v>
      </c>
      <c r="Y286" s="76">
        <v>-0.25</v>
      </c>
      <c r="Z286" s="77">
        <v>24048.1</v>
      </c>
      <c r="AA286" s="76">
        <v>18.95</v>
      </c>
      <c r="AB286" s="76">
        <v>2.68</v>
      </c>
      <c r="AC286" s="76">
        <v>-0.72</v>
      </c>
      <c r="AD286" s="79">
        <v>3.251652711E9</v>
      </c>
      <c r="AE286" s="80"/>
    </row>
    <row r="287">
      <c r="A287" s="73" t="s">
        <v>336</v>
      </c>
      <c r="B287" s="76">
        <v>10.0</v>
      </c>
      <c r="C287" s="76">
        <v>0.0</v>
      </c>
      <c r="D287" s="76">
        <v>31.44</v>
      </c>
      <c r="E287" s="76">
        <v>5.16</v>
      </c>
      <c r="F287" s="76">
        <v>0.34</v>
      </c>
      <c r="G287" s="76">
        <v>41.43</v>
      </c>
      <c r="H287" s="76">
        <v>18.41</v>
      </c>
      <c r="I287" s="76">
        <v>17.71</v>
      </c>
      <c r="J287" s="76">
        <v>30.25</v>
      </c>
      <c r="K287" s="76">
        <v>0.0</v>
      </c>
      <c r="L287" s="76">
        <v>0.99</v>
      </c>
      <c r="M287" s="76">
        <v>0.17</v>
      </c>
      <c r="N287" s="76">
        <v>5.57</v>
      </c>
      <c r="O287" s="76">
        <v>13.05</v>
      </c>
      <c r="P287" s="76">
        <v>-8.16</v>
      </c>
      <c r="Q287" s="76">
        <v>1.03</v>
      </c>
      <c r="R287" s="76">
        <v>16.41</v>
      </c>
      <c r="S287" s="77">
        <v>1.07</v>
      </c>
      <c r="T287" s="76">
        <v>7.88</v>
      </c>
      <c r="U287" s="76">
        <v>0.07</v>
      </c>
      <c r="V287" s="76">
        <v>0.93</v>
      </c>
      <c r="W287" s="76">
        <v>0.06</v>
      </c>
      <c r="X287" s="76">
        <v>0.0</v>
      </c>
      <c r="Y287" s="76">
        <v>0.0</v>
      </c>
      <c r="Z287" s="77">
        <v>0.0</v>
      </c>
      <c r="AA287" s="77">
        <v>1.94</v>
      </c>
      <c r="AB287" s="76">
        <v>0.32</v>
      </c>
      <c r="AC287" s="76">
        <v>0.28</v>
      </c>
      <c r="AD287" s="76">
        <v>0.0</v>
      </c>
      <c r="AE287" s="74"/>
    </row>
    <row r="288">
      <c r="A288" s="73" t="s">
        <v>337</v>
      </c>
      <c r="B288" s="76">
        <v>2.4</v>
      </c>
      <c r="C288" s="76">
        <v>0.0</v>
      </c>
      <c r="D288" s="76">
        <v>7.55</v>
      </c>
      <c r="E288" s="76">
        <v>1.24</v>
      </c>
      <c r="F288" s="76">
        <v>0.08</v>
      </c>
      <c r="G288" s="76">
        <v>41.43</v>
      </c>
      <c r="H288" s="76">
        <v>18.41</v>
      </c>
      <c r="I288" s="76">
        <v>17.71</v>
      </c>
      <c r="J288" s="76">
        <v>7.26</v>
      </c>
      <c r="K288" s="76">
        <v>0.0</v>
      </c>
      <c r="L288" s="76">
        <v>0.99</v>
      </c>
      <c r="M288" s="76">
        <v>0.17</v>
      </c>
      <c r="N288" s="76">
        <v>1.34</v>
      </c>
      <c r="O288" s="76">
        <v>3.13</v>
      </c>
      <c r="P288" s="76">
        <v>-1.96</v>
      </c>
      <c r="Q288" s="76">
        <v>1.03</v>
      </c>
      <c r="R288" s="76">
        <v>16.41</v>
      </c>
      <c r="S288" s="77">
        <v>1.07</v>
      </c>
      <c r="T288" s="76">
        <v>7.88</v>
      </c>
      <c r="U288" s="76">
        <v>0.07</v>
      </c>
      <c r="V288" s="76">
        <v>0.93</v>
      </c>
      <c r="W288" s="76">
        <v>0.06</v>
      </c>
      <c r="X288" s="76">
        <v>0.0</v>
      </c>
      <c r="Y288" s="76">
        <v>0.0</v>
      </c>
      <c r="Z288" s="77">
        <v>0.0</v>
      </c>
      <c r="AA288" s="77">
        <v>1.94</v>
      </c>
      <c r="AB288" s="76">
        <v>0.32</v>
      </c>
      <c r="AC288" s="76">
        <v>0.07</v>
      </c>
      <c r="AD288" s="76">
        <v>0.0</v>
      </c>
      <c r="AE288" s="74"/>
    </row>
    <row r="289">
      <c r="A289" s="73" t="s">
        <v>338</v>
      </c>
      <c r="B289" s="76">
        <v>2.4</v>
      </c>
      <c r="C289" s="76">
        <v>0.0</v>
      </c>
      <c r="D289" s="76">
        <v>7.55</v>
      </c>
      <c r="E289" s="76">
        <v>1.24</v>
      </c>
      <c r="F289" s="76">
        <v>0.08</v>
      </c>
      <c r="G289" s="76">
        <v>41.43</v>
      </c>
      <c r="H289" s="76">
        <v>18.41</v>
      </c>
      <c r="I289" s="76">
        <v>17.71</v>
      </c>
      <c r="J289" s="76">
        <v>7.26</v>
      </c>
      <c r="K289" s="76">
        <v>0.0</v>
      </c>
      <c r="L289" s="76">
        <v>0.99</v>
      </c>
      <c r="M289" s="76">
        <v>0.17</v>
      </c>
      <c r="N289" s="76">
        <v>1.34</v>
      </c>
      <c r="O289" s="76">
        <v>3.13</v>
      </c>
      <c r="P289" s="76">
        <v>-1.96</v>
      </c>
      <c r="Q289" s="76">
        <v>1.03</v>
      </c>
      <c r="R289" s="76">
        <v>16.41</v>
      </c>
      <c r="S289" s="76">
        <v>1.07</v>
      </c>
      <c r="T289" s="76">
        <v>7.88</v>
      </c>
      <c r="U289" s="76">
        <v>0.07</v>
      </c>
      <c r="V289" s="76">
        <v>0.93</v>
      </c>
      <c r="W289" s="76">
        <v>0.06</v>
      </c>
      <c r="X289" s="76">
        <v>0.0</v>
      </c>
      <c r="Y289" s="76">
        <v>0.0</v>
      </c>
      <c r="Z289" s="77">
        <v>0.0</v>
      </c>
      <c r="AA289" s="76">
        <v>1.94</v>
      </c>
      <c r="AB289" s="76">
        <v>0.32</v>
      </c>
      <c r="AC289" s="76">
        <v>0.07</v>
      </c>
      <c r="AD289" s="76">
        <v>0.0</v>
      </c>
      <c r="AE289" s="74"/>
    </row>
    <row r="290">
      <c r="A290" s="73" t="s">
        <v>339</v>
      </c>
      <c r="B290" s="76">
        <v>2.85</v>
      </c>
      <c r="C290" s="76">
        <v>0.0</v>
      </c>
      <c r="D290" s="76">
        <v>-0.36</v>
      </c>
      <c r="E290" s="76">
        <v>0.04</v>
      </c>
      <c r="F290" s="76">
        <v>0.01</v>
      </c>
      <c r="G290" s="76">
        <v>-7.57</v>
      </c>
      <c r="H290" s="76">
        <v>-6.27</v>
      </c>
      <c r="I290" s="76">
        <v>-22.58</v>
      </c>
      <c r="J290" s="76">
        <v>-1.28</v>
      </c>
      <c r="K290" s="76">
        <v>-25.99</v>
      </c>
      <c r="L290" s="76">
        <v>-24.7</v>
      </c>
      <c r="M290" s="76">
        <v>0.68</v>
      </c>
      <c r="N290" s="76">
        <v>0.08</v>
      </c>
      <c r="O290" s="76">
        <v>0.05</v>
      </c>
      <c r="P290" s="76">
        <v>-0.03</v>
      </c>
      <c r="Q290" s="76">
        <v>1.88</v>
      </c>
      <c r="R290" s="76">
        <v>-9.87</v>
      </c>
      <c r="S290" s="76">
        <v>-3.94</v>
      </c>
      <c r="T290" s="76">
        <v>-5.74</v>
      </c>
      <c r="U290" s="76">
        <v>0.4</v>
      </c>
      <c r="V290" s="76">
        <v>0.6</v>
      </c>
      <c r="W290" s="76">
        <v>0.17</v>
      </c>
      <c r="X290" s="76">
        <v>20.38</v>
      </c>
      <c r="Y290" s="76">
        <v>0.0</v>
      </c>
      <c r="Z290" s="77">
        <v>2966414.0</v>
      </c>
      <c r="AA290" s="76">
        <v>81.14</v>
      </c>
      <c r="AB290" s="76">
        <v>-8.01</v>
      </c>
      <c r="AC290" s="76">
        <v>0.0</v>
      </c>
      <c r="AD290" s="79">
        <v>6.98703834E7</v>
      </c>
      <c r="AE290" s="80"/>
    </row>
    <row r="291">
      <c r="A291" s="73" t="s">
        <v>340</v>
      </c>
      <c r="B291" s="76">
        <v>18.49</v>
      </c>
      <c r="C291" s="76">
        <v>3.35</v>
      </c>
      <c r="D291" s="76">
        <v>12.33</v>
      </c>
      <c r="E291" s="76">
        <v>0.68</v>
      </c>
      <c r="F291" s="76">
        <v>0.42</v>
      </c>
      <c r="G291" s="76">
        <v>11.68</v>
      </c>
      <c r="H291" s="76">
        <v>7.92</v>
      </c>
      <c r="I291" s="76">
        <v>4.31</v>
      </c>
      <c r="J291" s="76">
        <v>6.7</v>
      </c>
      <c r="K291" s="76">
        <v>8.99</v>
      </c>
      <c r="L291" s="76">
        <v>1.59</v>
      </c>
      <c r="M291" s="76">
        <v>0.16</v>
      </c>
      <c r="N291" s="76">
        <v>0.53</v>
      </c>
      <c r="O291" s="76">
        <v>1.76</v>
      </c>
      <c r="P291" s="76">
        <v>-0.69</v>
      </c>
      <c r="Q291" s="76">
        <v>2.7</v>
      </c>
      <c r="R291" s="76">
        <v>5.5</v>
      </c>
      <c r="S291" s="76">
        <v>3.44</v>
      </c>
      <c r="T291" s="76">
        <v>5.81</v>
      </c>
      <c r="U291" s="76">
        <v>0.63</v>
      </c>
      <c r="V291" s="76">
        <v>0.37</v>
      </c>
      <c r="W291" s="76">
        <v>0.8</v>
      </c>
      <c r="X291" s="76">
        <v>11.07</v>
      </c>
      <c r="Y291" s="76">
        <v>20.05</v>
      </c>
      <c r="Z291" s="77">
        <v>1010966.0</v>
      </c>
      <c r="AA291" s="76">
        <v>27.26</v>
      </c>
      <c r="AB291" s="76">
        <v>1.5</v>
      </c>
      <c r="AC291" s="76">
        <v>-0.33</v>
      </c>
      <c r="AD291" s="79">
        <v>4.0884055167E10</v>
      </c>
      <c r="AE291" s="80"/>
    </row>
    <row r="292">
      <c r="A292" s="73" t="s">
        <v>341</v>
      </c>
      <c r="B292" s="76">
        <v>21.52</v>
      </c>
      <c r="C292" s="76">
        <v>2.88</v>
      </c>
      <c r="D292" s="76">
        <v>14.35</v>
      </c>
      <c r="E292" s="76">
        <v>0.79</v>
      </c>
      <c r="F292" s="76">
        <v>0.49</v>
      </c>
      <c r="G292" s="76">
        <v>11.68</v>
      </c>
      <c r="H292" s="76">
        <v>7.92</v>
      </c>
      <c r="I292" s="76">
        <v>4.31</v>
      </c>
      <c r="J292" s="76">
        <v>7.8</v>
      </c>
      <c r="K292" s="76">
        <v>8.99</v>
      </c>
      <c r="L292" s="76">
        <v>1.59</v>
      </c>
      <c r="M292" s="76">
        <v>0.16</v>
      </c>
      <c r="N292" s="76">
        <v>0.62</v>
      </c>
      <c r="O292" s="76">
        <v>2.05</v>
      </c>
      <c r="P292" s="76">
        <v>-0.8</v>
      </c>
      <c r="Q292" s="76">
        <v>2.7</v>
      </c>
      <c r="R292" s="76">
        <v>5.5</v>
      </c>
      <c r="S292" s="76">
        <v>3.44</v>
      </c>
      <c r="T292" s="76">
        <v>5.81</v>
      </c>
      <c r="U292" s="76">
        <v>0.63</v>
      </c>
      <c r="V292" s="76">
        <v>0.37</v>
      </c>
      <c r="W292" s="76">
        <v>0.8</v>
      </c>
      <c r="X292" s="76">
        <v>11.07</v>
      </c>
      <c r="Y292" s="76">
        <v>20.05</v>
      </c>
      <c r="Z292" s="77">
        <v>3.2E8</v>
      </c>
      <c r="AA292" s="76">
        <v>27.26</v>
      </c>
      <c r="AB292" s="76">
        <v>1.5</v>
      </c>
      <c r="AC292" s="76">
        <v>-0.38</v>
      </c>
      <c r="AD292" s="79">
        <v>4.0884055167E10</v>
      </c>
      <c r="AE292" s="80"/>
    </row>
    <row r="293">
      <c r="A293" s="73" t="s">
        <v>342</v>
      </c>
      <c r="B293" s="76">
        <v>19.45</v>
      </c>
      <c r="C293" s="76">
        <v>3.33</v>
      </c>
      <c r="D293" s="76">
        <v>22.16</v>
      </c>
      <c r="E293" s="76">
        <v>3.74</v>
      </c>
      <c r="F293" s="76">
        <v>1.02</v>
      </c>
      <c r="G293" s="76">
        <v>14.43</v>
      </c>
      <c r="H293" s="76">
        <v>8.3</v>
      </c>
      <c r="I293" s="76">
        <v>3.88</v>
      </c>
      <c r="J293" s="76">
        <v>10.36</v>
      </c>
      <c r="K293" s="76">
        <v>11.84</v>
      </c>
      <c r="L293" s="76">
        <v>1.48</v>
      </c>
      <c r="M293" s="76">
        <v>0.53</v>
      </c>
      <c r="N293" s="76">
        <v>0.86</v>
      </c>
      <c r="O293" s="76">
        <v>3.63</v>
      </c>
      <c r="P293" s="76">
        <v>-2.15</v>
      </c>
      <c r="Q293" s="76">
        <v>2.13</v>
      </c>
      <c r="R293" s="76">
        <v>16.89</v>
      </c>
      <c r="S293" s="76">
        <v>4.58</v>
      </c>
      <c r="T293" s="76">
        <v>13.75</v>
      </c>
      <c r="U293" s="76">
        <v>0.27</v>
      </c>
      <c r="V293" s="76">
        <v>0.73</v>
      </c>
      <c r="W293" s="76">
        <v>1.18</v>
      </c>
      <c r="X293" s="76">
        <v>27.93</v>
      </c>
      <c r="Y293" s="76">
        <v>25.4</v>
      </c>
      <c r="Z293" s="77">
        <v>5.6898091E7</v>
      </c>
      <c r="AA293" s="76">
        <v>5.2</v>
      </c>
      <c r="AB293" s="76">
        <v>0.88</v>
      </c>
      <c r="AC293" s="76">
        <v>-10.23</v>
      </c>
      <c r="AD293" s="79">
        <v>1.4587694092E10</v>
      </c>
      <c r="AE293" s="80"/>
    </row>
    <row r="294">
      <c r="A294" s="73" t="s">
        <v>343</v>
      </c>
      <c r="B294" s="76">
        <v>5.58</v>
      </c>
      <c r="C294" s="76">
        <v>4.52</v>
      </c>
      <c r="D294" s="76">
        <v>6.83</v>
      </c>
      <c r="E294" s="76">
        <v>1.26</v>
      </c>
      <c r="F294" s="76">
        <v>0.54</v>
      </c>
      <c r="G294" s="76">
        <v>22.5</v>
      </c>
      <c r="H294" s="76">
        <v>6.68</v>
      </c>
      <c r="I294" s="76">
        <v>5.14</v>
      </c>
      <c r="J294" s="76">
        <v>5.25</v>
      </c>
      <c r="K294" s="76">
        <v>5.84</v>
      </c>
      <c r="L294" s="76">
        <v>0.59</v>
      </c>
      <c r="M294" s="76">
        <v>0.14</v>
      </c>
      <c r="N294" s="76">
        <v>0.35</v>
      </c>
      <c r="O294" s="76">
        <v>2.15</v>
      </c>
      <c r="P294" s="76">
        <v>-1.14</v>
      </c>
      <c r="Q294" s="76">
        <v>1.93</v>
      </c>
      <c r="R294" s="76">
        <v>18.46</v>
      </c>
      <c r="S294" s="76">
        <v>7.94</v>
      </c>
      <c r="T294" s="76">
        <v>15.37</v>
      </c>
      <c r="U294" s="76">
        <v>0.43</v>
      </c>
      <c r="V294" s="76">
        <v>0.53</v>
      </c>
      <c r="W294" s="76">
        <v>1.54</v>
      </c>
      <c r="X294" s="76">
        <v>31.9</v>
      </c>
      <c r="Y294" s="76">
        <v>41.0</v>
      </c>
      <c r="Z294" s="77">
        <v>4.2505218E7</v>
      </c>
      <c r="AA294" s="76">
        <v>4.42</v>
      </c>
      <c r="AB294" s="76">
        <v>0.82</v>
      </c>
      <c r="AC294" s="76">
        <v>0.16</v>
      </c>
      <c r="AD294" s="79">
        <v>1.2854604529E10</v>
      </c>
      <c r="AE294" s="80"/>
    </row>
    <row r="295">
      <c r="A295" s="73" t="s">
        <v>344</v>
      </c>
      <c r="B295" s="76">
        <v>66.95</v>
      </c>
      <c r="C295" s="76">
        <v>0.0</v>
      </c>
      <c r="D295" s="76">
        <v>-3584.81</v>
      </c>
      <c r="E295" s="76">
        <v>5.84</v>
      </c>
      <c r="F295" s="76">
        <v>2.38</v>
      </c>
      <c r="G295" s="76">
        <v>18.55</v>
      </c>
      <c r="H295" s="76">
        <v>3.28</v>
      </c>
      <c r="I295" s="77">
        <v>-0.1</v>
      </c>
      <c r="J295" s="76">
        <v>104.45</v>
      </c>
      <c r="K295" s="76">
        <v>109.34</v>
      </c>
      <c r="L295" s="76">
        <v>4.9</v>
      </c>
      <c r="M295" s="76">
        <v>0.27</v>
      </c>
      <c r="N295" s="76">
        <v>3.42</v>
      </c>
      <c r="O295" s="76">
        <v>79.65</v>
      </c>
      <c r="P295" s="76">
        <v>-3.01</v>
      </c>
      <c r="Q295" s="76">
        <v>1.17</v>
      </c>
      <c r="R295" s="76">
        <v>-0.16</v>
      </c>
      <c r="S295" s="76">
        <v>-0.07</v>
      </c>
      <c r="T295" s="76">
        <v>2.22</v>
      </c>
      <c r="U295" s="76">
        <v>0.41</v>
      </c>
      <c r="V295" s="76">
        <v>0.59</v>
      </c>
      <c r="W295" s="76">
        <v>0.69</v>
      </c>
      <c r="X295" s="76">
        <v>29.03</v>
      </c>
      <c r="Y295" s="76">
        <v>0.0</v>
      </c>
      <c r="Z295" s="77">
        <v>0.0</v>
      </c>
      <c r="AA295" s="76">
        <v>11.47</v>
      </c>
      <c r="AB295" s="76">
        <v>-0.02</v>
      </c>
      <c r="AC295" s="76">
        <v>35.34</v>
      </c>
      <c r="AD295" s="79">
        <v>4.1526443086E10</v>
      </c>
      <c r="AE295" s="80"/>
    </row>
    <row r="296">
      <c r="A296" s="73" t="s">
        <v>345</v>
      </c>
      <c r="B296" s="76">
        <v>9.28</v>
      </c>
      <c r="C296" s="76">
        <v>4.31</v>
      </c>
      <c r="D296" s="76">
        <v>11.72</v>
      </c>
      <c r="E296" s="76">
        <v>0.63</v>
      </c>
      <c r="F296" s="76">
        <v>0.14</v>
      </c>
      <c r="G296" s="76">
        <v>11.68</v>
      </c>
      <c r="H296" s="76">
        <v>7.91</v>
      </c>
      <c r="I296" s="76">
        <v>1.51</v>
      </c>
      <c r="J296" s="76">
        <v>2.23</v>
      </c>
      <c r="K296" s="76">
        <v>3.88</v>
      </c>
      <c r="L296" s="76">
        <v>1.59</v>
      </c>
      <c r="M296" s="76">
        <v>0.45</v>
      </c>
      <c r="N296" s="76">
        <v>0.18</v>
      </c>
      <c r="O296" s="76">
        <v>0.58</v>
      </c>
      <c r="P296" s="76">
        <v>-0.23</v>
      </c>
      <c r="Q296" s="76">
        <v>2.71</v>
      </c>
      <c r="R296" s="76">
        <v>5.42</v>
      </c>
      <c r="S296" s="76">
        <v>1.2</v>
      </c>
      <c r="T296" s="76">
        <v>6.15</v>
      </c>
      <c r="U296" s="76">
        <v>0.22</v>
      </c>
      <c r="V296" s="76">
        <v>0.37</v>
      </c>
      <c r="W296" s="76">
        <v>0.8</v>
      </c>
      <c r="X296" s="76">
        <v>11.07</v>
      </c>
      <c r="Y296" s="76">
        <v>19.81</v>
      </c>
      <c r="Z296" s="77">
        <v>718490.7</v>
      </c>
      <c r="AA296" s="76">
        <v>14.62</v>
      </c>
      <c r="AB296" s="76">
        <v>0.79</v>
      </c>
      <c r="AC296" s="76">
        <v>-0.32</v>
      </c>
      <c r="AD296" s="79">
        <v>1.2655530987E10</v>
      </c>
      <c r="AE296" s="80"/>
    </row>
    <row r="297">
      <c r="A297" s="73" t="s">
        <v>346</v>
      </c>
      <c r="B297" s="76">
        <v>9.71</v>
      </c>
      <c r="C297" s="76">
        <v>4.12</v>
      </c>
      <c r="D297" s="76">
        <v>12.26</v>
      </c>
      <c r="E297" s="76">
        <v>0.66</v>
      </c>
      <c r="F297" s="76">
        <v>0.15</v>
      </c>
      <c r="G297" s="76">
        <v>11.68</v>
      </c>
      <c r="H297" s="76">
        <v>7.91</v>
      </c>
      <c r="I297" s="76">
        <v>1.51</v>
      </c>
      <c r="J297" s="76">
        <v>2.33</v>
      </c>
      <c r="K297" s="76">
        <v>3.88</v>
      </c>
      <c r="L297" s="76">
        <v>1.59</v>
      </c>
      <c r="M297" s="76">
        <v>0.45</v>
      </c>
      <c r="N297" s="76">
        <v>0.18</v>
      </c>
      <c r="O297" s="76">
        <v>0.61</v>
      </c>
      <c r="P297" s="76">
        <v>-0.24</v>
      </c>
      <c r="Q297" s="76">
        <v>2.71</v>
      </c>
      <c r="R297" s="76">
        <v>5.42</v>
      </c>
      <c r="S297" s="76">
        <v>1.2</v>
      </c>
      <c r="T297" s="76">
        <v>6.15</v>
      </c>
      <c r="U297" s="76">
        <v>0.22</v>
      </c>
      <c r="V297" s="76">
        <v>0.37</v>
      </c>
      <c r="W297" s="76">
        <v>0.8</v>
      </c>
      <c r="X297" s="76">
        <v>11.07</v>
      </c>
      <c r="Y297" s="76">
        <v>19.81</v>
      </c>
      <c r="Z297" s="77">
        <v>1.25E8</v>
      </c>
      <c r="AA297" s="76">
        <v>14.62</v>
      </c>
      <c r="AB297" s="76">
        <v>0.79</v>
      </c>
      <c r="AC297" s="76">
        <v>-0.34</v>
      </c>
      <c r="AD297" s="79">
        <v>1.2655530987E10</v>
      </c>
      <c r="AE297" s="80"/>
    </row>
    <row r="298">
      <c r="A298" s="73" t="s">
        <v>347</v>
      </c>
      <c r="B298" s="76">
        <v>11.23</v>
      </c>
      <c r="C298" s="76">
        <v>0.0</v>
      </c>
      <c r="D298" s="76">
        <v>-20489.7</v>
      </c>
      <c r="E298" s="76">
        <v>-6590.38</v>
      </c>
      <c r="F298" s="76">
        <v>3852.4</v>
      </c>
      <c r="G298" s="76">
        <v>25.21</v>
      </c>
      <c r="H298" s="77">
        <v>0.19</v>
      </c>
      <c r="I298" s="77">
        <v>-23.34</v>
      </c>
      <c r="J298" s="76">
        <v>2524243.0</v>
      </c>
      <c r="K298" s="76">
        <v>331702.6</v>
      </c>
      <c r="L298" s="76">
        <v>306.49</v>
      </c>
      <c r="M298" s="76">
        <v>0.0</v>
      </c>
      <c r="N298" s="76">
        <v>4782.87</v>
      </c>
      <c r="O298" s="76">
        <v>-20893.9</v>
      </c>
      <c r="P298" s="76">
        <v>-5610.1</v>
      </c>
      <c r="Q298" s="76">
        <v>0.63</v>
      </c>
      <c r="R298" s="76">
        <v>-32.16</v>
      </c>
      <c r="S298" s="76">
        <v>-18.8</v>
      </c>
      <c r="T298" s="76">
        <v>1551.17</v>
      </c>
      <c r="U298" s="76">
        <v>-0.58</v>
      </c>
      <c r="V298" s="76">
        <v>1.58</v>
      </c>
      <c r="W298" s="76">
        <v>0.81</v>
      </c>
      <c r="X298" s="76">
        <v>6.65</v>
      </c>
      <c r="Y298" s="76">
        <v>0.0</v>
      </c>
      <c r="Z298" s="77">
        <v>1546805.0</v>
      </c>
      <c r="AA298" s="76">
        <v>0.0</v>
      </c>
      <c r="AB298" s="76">
        <v>0.0</v>
      </c>
      <c r="AC298" s="76">
        <v>-141.11</v>
      </c>
      <c r="AD298" s="79">
        <v>1.35137E13</v>
      </c>
      <c r="AE298" s="80"/>
    </row>
    <row r="299">
      <c r="A299" s="73" t="s">
        <v>348</v>
      </c>
      <c r="B299" s="76">
        <v>15.1</v>
      </c>
      <c r="C299" s="76">
        <v>0.0</v>
      </c>
      <c r="D299" s="76">
        <v>-40.74</v>
      </c>
      <c r="E299" s="76">
        <v>1.63</v>
      </c>
      <c r="F299" s="76">
        <v>1.55</v>
      </c>
      <c r="G299" s="76">
        <v>53.48</v>
      </c>
      <c r="H299" s="77">
        <v>-314.84</v>
      </c>
      <c r="I299" s="77">
        <v>-84.31</v>
      </c>
      <c r="J299" s="76">
        <v>-10.91</v>
      </c>
      <c r="K299" s="76">
        <v>-8.67</v>
      </c>
      <c r="L299" s="76">
        <v>2.24</v>
      </c>
      <c r="M299" s="76">
        <v>-0.33</v>
      </c>
      <c r="N299" s="76">
        <v>34.34</v>
      </c>
      <c r="O299" s="76">
        <v>3.45</v>
      </c>
      <c r="P299" s="76">
        <v>-2.88</v>
      </c>
      <c r="Q299" s="76">
        <v>30.03</v>
      </c>
      <c r="R299" s="76">
        <v>-4.0</v>
      </c>
      <c r="S299" s="76">
        <v>-3.79</v>
      </c>
      <c r="T299" s="76">
        <v>-22.51</v>
      </c>
      <c r="U299" s="76">
        <v>0.95</v>
      </c>
      <c r="V299" s="76">
        <v>0.05</v>
      </c>
      <c r="W299" s="76">
        <v>0.04</v>
      </c>
      <c r="X299" s="76">
        <v>-31.17</v>
      </c>
      <c r="Y299" s="76">
        <v>0.0</v>
      </c>
      <c r="Z299" s="77">
        <v>1592.73</v>
      </c>
      <c r="AA299" s="76">
        <v>9.27</v>
      </c>
      <c r="AB299" s="76">
        <v>-0.37</v>
      </c>
      <c r="AC299" s="76">
        <v>0.35</v>
      </c>
      <c r="AD299" s="79">
        <v>1.20311518E9</v>
      </c>
      <c r="AE299" s="80"/>
    </row>
    <row r="300">
      <c r="A300" s="73" t="s">
        <v>349</v>
      </c>
      <c r="B300" s="76">
        <v>4.42</v>
      </c>
      <c r="C300" s="76">
        <v>0.0</v>
      </c>
      <c r="D300" s="76">
        <v>-2.31</v>
      </c>
      <c r="E300" s="76">
        <v>0.23</v>
      </c>
      <c r="F300" s="76">
        <v>0.12</v>
      </c>
      <c r="G300" s="76">
        <v>100.0</v>
      </c>
      <c r="H300" s="76">
        <v>346.8</v>
      </c>
      <c r="I300" s="76">
        <v>157.05</v>
      </c>
      <c r="J300" s="76">
        <v>-1.04</v>
      </c>
      <c r="K300" s="76">
        <v>0.25</v>
      </c>
      <c r="L300" s="76">
        <v>1.29</v>
      </c>
      <c r="M300" s="76">
        <v>-0.28</v>
      </c>
      <c r="N300" s="76">
        <v>0.0</v>
      </c>
      <c r="O300" s="76">
        <v>0.89</v>
      </c>
      <c r="P300" s="76">
        <v>-0.15</v>
      </c>
      <c r="Q300" s="76">
        <v>3.34</v>
      </c>
      <c r="R300" s="76">
        <v>-9.85</v>
      </c>
      <c r="S300" s="76">
        <v>-5.19</v>
      </c>
      <c r="T300" s="76">
        <v>-13.2</v>
      </c>
      <c r="U300" s="76">
        <v>0.53</v>
      </c>
      <c r="V300" s="76">
        <v>0.14</v>
      </c>
      <c r="W300" s="76">
        <v>-0.03</v>
      </c>
      <c r="X300" s="76">
        <v>0.0</v>
      </c>
      <c r="Y300" s="76">
        <v>0.0</v>
      </c>
      <c r="Z300" s="77">
        <v>308564.0</v>
      </c>
      <c r="AA300" s="76">
        <v>19.47</v>
      </c>
      <c r="AB300" s="76">
        <v>-1.92</v>
      </c>
      <c r="AC300" s="76">
        <v>0.01</v>
      </c>
      <c r="AD300" s="79">
        <v>2.993882005E8</v>
      </c>
      <c r="AE300" s="80"/>
    </row>
    <row r="301">
      <c r="A301" s="73" t="s">
        <v>350</v>
      </c>
      <c r="B301" s="76">
        <v>0.0</v>
      </c>
      <c r="C301" s="76">
        <v>0.0</v>
      </c>
      <c r="D301" s="76">
        <v>0.0</v>
      </c>
      <c r="E301" s="76">
        <v>0.0</v>
      </c>
      <c r="F301" s="76">
        <v>0.0</v>
      </c>
      <c r="G301" s="76">
        <v>4.4</v>
      </c>
      <c r="H301" s="76">
        <v>3.89</v>
      </c>
      <c r="I301" s="76">
        <v>1.28</v>
      </c>
      <c r="J301" s="76">
        <v>0.0</v>
      </c>
      <c r="K301" s="76">
        <v>1.51</v>
      </c>
      <c r="L301" s="76">
        <v>1.51</v>
      </c>
      <c r="M301" s="76">
        <v>1.18</v>
      </c>
      <c r="N301" s="76">
        <v>0.0</v>
      </c>
      <c r="O301" s="76">
        <v>0.0</v>
      </c>
      <c r="P301" s="76">
        <v>0.0</v>
      </c>
      <c r="Q301" s="76">
        <v>0.92</v>
      </c>
      <c r="R301" s="76">
        <v>25.93</v>
      </c>
      <c r="S301" s="76">
        <v>4.44</v>
      </c>
      <c r="T301" s="76">
        <v>21.91</v>
      </c>
      <c r="U301" s="76">
        <v>0.17</v>
      </c>
      <c r="V301" s="76">
        <v>0.76</v>
      </c>
      <c r="W301" s="76">
        <v>3.46</v>
      </c>
      <c r="X301" s="76">
        <v>41.49</v>
      </c>
      <c r="Y301" s="76">
        <v>84.79</v>
      </c>
      <c r="Z301" s="77">
        <v>0.0</v>
      </c>
      <c r="AA301" s="76">
        <v>1.82</v>
      </c>
      <c r="AB301" s="76">
        <v>0.47</v>
      </c>
      <c r="AC301" s="76">
        <v>0.0</v>
      </c>
      <c r="AD301" s="76">
        <v>0.0</v>
      </c>
      <c r="AE301" s="74"/>
    </row>
    <row r="302">
      <c r="A302" s="73" t="s">
        <v>351</v>
      </c>
      <c r="B302" s="76">
        <v>4.84</v>
      </c>
      <c r="C302" s="76">
        <v>35.19</v>
      </c>
      <c r="D302" s="76">
        <v>6.02</v>
      </c>
      <c r="E302" s="76">
        <v>1.08</v>
      </c>
      <c r="F302" s="76">
        <v>0.97</v>
      </c>
      <c r="G302" s="76">
        <v>47.01</v>
      </c>
      <c r="H302" s="76">
        <v>17.06</v>
      </c>
      <c r="I302" s="76">
        <v>26.5</v>
      </c>
      <c r="J302" s="76">
        <v>9.35</v>
      </c>
      <c r="K302" s="76">
        <v>7.17</v>
      </c>
      <c r="L302" s="76">
        <v>-2.18</v>
      </c>
      <c r="M302" s="76">
        <v>-0.25</v>
      </c>
      <c r="N302" s="76">
        <v>1.59</v>
      </c>
      <c r="O302" s="76">
        <v>1.89</v>
      </c>
      <c r="P302" s="76">
        <v>-2.48</v>
      </c>
      <c r="Q302" s="76">
        <v>6.07</v>
      </c>
      <c r="R302" s="76">
        <v>17.92</v>
      </c>
      <c r="S302" s="76">
        <v>16.04</v>
      </c>
      <c r="T302" s="76">
        <v>9.1</v>
      </c>
      <c r="U302" s="76">
        <v>0.9</v>
      </c>
      <c r="V302" s="76">
        <v>0.1</v>
      </c>
      <c r="W302" s="76">
        <v>0.61</v>
      </c>
      <c r="X302" s="76">
        <v>4.88</v>
      </c>
      <c r="Y302" s="76">
        <v>7.96</v>
      </c>
      <c r="Z302" s="77">
        <v>1.9559389E7</v>
      </c>
      <c r="AA302" s="76">
        <v>4.49</v>
      </c>
      <c r="AB302" s="76">
        <v>0.8</v>
      </c>
      <c r="AC302" s="76">
        <v>0.58</v>
      </c>
      <c r="AD302" s="79">
        <v>4.3664544E9</v>
      </c>
      <c r="AE302" s="80"/>
    </row>
    <row r="303">
      <c r="A303" s="73" t="s">
        <v>352</v>
      </c>
      <c r="B303" s="76">
        <v>3.06</v>
      </c>
      <c r="C303" s="76">
        <v>0.0</v>
      </c>
      <c r="D303" s="76">
        <v>-0.02</v>
      </c>
      <c r="E303" s="76">
        <v>0.0</v>
      </c>
      <c r="F303" s="76">
        <v>0.01</v>
      </c>
      <c r="G303" s="76">
        <v>67.51</v>
      </c>
      <c r="H303" s="76">
        <v>-49.01</v>
      </c>
      <c r="I303" s="77">
        <v>-135.61</v>
      </c>
      <c r="J303" s="76">
        <v>-0.06</v>
      </c>
      <c r="K303" s="76">
        <v>-22.26</v>
      </c>
      <c r="L303" s="76">
        <v>-22.19</v>
      </c>
      <c r="M303" s="76">
        <v>0.0</v>
      </c>
      <c r="N303" s="77">
        <v>0.03</v>
      </c>
      <c r="O303" s="76">
        <v>-0.05</v>
      </c>
      <c r="P303" s="76">
        <v>-0.01</v>
      </c>
      <c r="Q303" s="76">
        <v>0.57</v>
      </c>
      <c r="R303" s="76">
        <v>-19.49</v>
      </c>
      <c r="S303" s="76">
        <v>-22.62</v>
      </c>
      <c r="T303" s="76">
        <v>-16.27</v>
      </c>
      <c r="U303" s="76">
        <v>-1.16</v>
      </c>
      <c r="V303" s="76">
        <v>2.16</v>
      </c>
      <c r="W303" s="76">
        <v>0.17</v>
      </c>
      <c r="X303" s="76">
        <v>5.33</v>
      </c>
      <c r="Y303" s="76">
        <v>0.0</v>
      </c>
      <c r="Z303" s="77">
        <v>775.75</v>
      </c>
      <c r="AA303" s="76">
        <v>-683.39</v>
      </c>
      <c r="AB303" s="76">
        <v>-133.21</v>
      </c>
      <c r="AC303" s="76">
        <v>0.0</v>
      </c>
      <c r="AD303" s="76">
        <v>5902033.14</v>
      </c>
      <c r="AE303" s="74"/>
    </row>
    <row r="304">
      <c r="A304" s="73" t="s">
        <v>353</v>
      </c>
      <c r="B304" s="76">
        <v>2.26</v>
      </c>
      <c r="C304" s="76">
        <v>0.0</v>
      </c>
      <c r="D304" s="76">
        <v>26.39</v>
      </c>
      <c r="E304" s="76">
        <v>-0.54</v>
      </c>
      <c r="F304" s="76">
        <v>0.39</v>
      </c>
      <c r="G304" s="76">
        <v>20.71</v>
      </c>
      <c r="H304" s="76">
        <v>-6.74</v>
      </c>
      <c r="I304" s="76">
        <v>3.65</v>
      </c>
      <c r="J304" s="76">
        <v>-14.29</v>
      </c>
      <c r="K304" s="76">
        <v>4.87</v>
      </c>
      <c r="L304" s="76">
        <v>15.62</v>
      </c>
      <c r="M304" s="76">
        <v>0.0</v>
      </c>
      <c r="N304" s="76">
        <v>0.96</v>
      </c>
      <c r="O304" s="76">
        <v>0.73</v>
      </c>
      <c r="P304" s="76">
        <v>-3.67</v>
      </c>
      <c r="Q304" s="76">
        <v>2.46</v>
      </c>
      <c r="R304" s="76">
        <v>-2.03</v>
      </c>
      <c r="S304" s="76">
        <v>1.46</v>
      </c>
      <c r="T304" s="76">
        <v>7.29</v>
      </c>
      <c r="U304" s="76">
        <v>-0.72</v>
      </c>
      <c r="V304" s="76">
        <v>1.72</v>
      </c>
      <c r="W304" s="76">
        <v>0.4</v>
      </c>
      <c r="X304" s="76">
        <v>4.63</v>
      </c>
      <c r="Y304" s="76">
        <v>-16.45</v>
      </c>
      <c r="Z304" s="77">
        <v>7786.35</v>
      </c>
      <c r="AA304" s="76">
        <v>-4.22</v>
      </c>
      <c r="AB304" s="76">
        <v>0.09</v>
      </c>
      <c r="AC304" s="76">
        <v>-0.35</v>
      </c>
      <c r="AD304" s="79">
        <v>2.023000028E7</v>
      </c>
      <c r="AE304" s="80"/>
    </row>
    <row r="305">
      <c r="A305" s="73" t="s">
        <v>354</v>
      </c>
      <c r="B305" s="76">
        <v>1.42</v>
      </c>
      <c r="C305" s="76">
        <v>0.0</v>
      </c>
      <c r="D305" s="76">
        <v>16.58</v>
      </c>
      <c r="E305" s="76">
        <v>-0.34</v>
      </c>
      <c r="F305" s="76">
        <v>0.24</v>
      </c>
      <c r="G305" s="76">
        <v>20.71</v>
      </c>
      <c r="H305" s="76">
        <v>-6.74</v>
      </c>
      <c r="I305" s="76">
        <v>3.65</v>
      </c>
      <c r="J305" s="76">
        <v>-8.98</v>
      </c>
      <c r="K305" s="76">
        <v>4.87</v>
      </c>
      <c r="L305" s="76">
        <v>15.62</v>
      </c>
      <c r="M305" s="76">
        <v>0.0</v>
      </c>
      <c r="N305" s="76">
        <v>0.6</v>
      </c>
      <c r="O305" s="76">
        <v>0.46</v>
      </c>
      <c r="P305" s="76">
        <v>-2.3</v>
      </c>
      <c r="Q305" s="76">
        <v>2.46</v>
      </c>
      <c r="R305" s="76">
        <v>-2.03</v>
      </c>
      <c r="S305" s="76">
        <v>1.46</v>
      </c>
      <c r="T305" s="76">
        <v>7.29</v>
      </c>
      <c r="U305" s="76">
        <v>-0.72</v>
      </c>
      <c r="V305" s="76">
        <v>1.72</v>
      </c>
      <c r="W305" s="76">
        <v>0.4</v>
      </c>
      <c r="X305" s="76">
        <v>4.63</v>
      </c>
      <c r="Y305" s="76">
        <v>-16.45</v>
      </c>
      <c r="Z305" s="77">
        <v>8440.52</v>
      </c>
      <c r="AA305" s="76">
        <v>-4.22</v>
      </c>
      <c r="AB305" s="76">
        <v>0.09</v>
      </c>
      <c r="AC305" s="76">
        <v>-0.22</v>
      </c>
      <c r="AD305" s="79">
        <v>2.023000028E7</v>
      </c>
      <c r="AE305" s="80"/>
    </row>
    <row r="306">
      <c r="A306" s="73" t="s">
        <v>355</v>
      </c>
      <c r="B306" s="76">
        <v>10.79</v>
      </c>
      <c r="C306" s="76">
        <v>0.0</v>
      </c>
      <c r="D306" s="76">
        <v>-17.48</v>
      </c>
      <c r="E306" s="76">
        <v>0.11</v>
      </c>
      <c r="F306" s="76">
        <v>0.07</v>
      </c>
      <c r="G306" s="76">
        <v>13.55</v>
      </c>
      <c r="H306" s="76">
        <v>4.95</v>
      </c>
      <c r="I306" s="76">
        <v>-1.05</v>
      </c>
      <c r="J306" s="76">
        <v>3.69</v>
      </c>
      <c r="K306" s="76">
        <v>6.31</v>
      </c>
      <c r="L306" s="76">
        <v>2.62</v>
      </c>
      <c r="M306" s="76">
        <v>0.08</v>
      </c>
      <c r="N306" s="76">
        <v>0.18</v>
      </c>
      <c r="O306" s="76">
        <v>0.89</v>
      </c>
      <c r="P306" s="76">
        <v>-0.09</v>
      </c>
      <c r="Q306" s="76">
        <v>1.98</v>
      </c>
      <c r="R306" s="76">
        <v>-0.64</v>
      </c>
      <c r="S306" s="76">
        <v>-0.42</v>
      </c>
      <c r="T306" s="76">
        <v>2.35</v>
      </c>
      <c r="U306" s="76">
        <v>0.65</v>
      </c>
      <c r="V306" s="76">
        <v>0.35</v>
      </c>
      <c r="W306" s="76">
        <v>0.4</v>
      </c>
      <c r="X306" s="76">
        <v>38.69</v>
      </c>
      <c r="Y306" s="76">
        <v>0.0</v>
      </c>
      <c r="Z306" s="77">
        <v>1.17E8</v>
      </c>
      <c r="AA306" s="76">
        <v>96.79</v>
      </c>
      <c r="AB306" s="76">
        <v>-0.62</v>
      </c>
      <c r="AC306" s="76">
        <v>0.4</v>
      </c>
      <c r="AD306" s="79">
        <v>5.423387238E9</v>
      </c>
      <c r="AE306" s="80"/>
    </row>
    <row r="307">
      <c r="A307" s="73" t="s">
        <v>356</v>
      </c>
      <c r="B307" s="76">
        <v>3.33</v>
      </c>
      <c r="C307" s="76">
        <v>3.04</v>
      </c>
      <c r="D307" s="76">
        <v>10.74</v>
      </c>
      <c r="E307" s="76">
        <v>0.3</v>
      </c>
      <c r="F307" s="76">
        <v>0.07</v>
      </c>
      <c r="G307" s="76">
        <v>33.32</v>
      </c>
      <c r="H307" s="76">
        <v>15.76</v>
      </c>
      <c r="I307" s="76">
        <v>3.7</v>
      </c>
      <c r="J307" s="76">
        <v>2.52</v>
      </c>
      <c r="K307" s="76">
        <v>11.16</v>
      </c>
      <c r="L307" s="76">
        <v>8.64</v>
      </c>
      <c r="M307" s="76">
        <v>1.05</v>
      </c>
      <c r="N307" s="76">
        <v>0.4</v>
      </c>
      <c r="O307" s="76">
        <v>0.36</v>
      </c>
      <c r="P307" s="76">
        <v>-0.12</v>
      </c>
      <c r="Q307" s="76">
        <v>1.84</v>
      </c>
      <c r="R307" s="76">
        <v>2.84</v>
      </c>
      <c r="S307" s="76">
        <v>0.63</v>
      </c>
      <c r="T307" s="76">
        <v>3.26</v>
      </c>
      <c r="U307" s="76">
        <v>0.22</v>
      </c>
      <c r="V307" s="76">
        <v>0.57</v>
      </c>
      <c r="W307" s="76">
        <v>0.17</v>
      </c>
      <c r="X307" s="76">
        <v>-0.32</v>
      </c>
      <c r="Y307" s="76">
        <v>0.0</v>
      </c>
      <c r="Z307" s="77">
        <v>2913298.0</v>
      </c>
      <c r="AA307" s="76">
        <v>10.92</v>
      </c>
      <c r="AB307" s="76">
        <v>0.31</v>
      </c>
      <c r="AC307" s="76">
        <v>-0.48</v>
      </c>
      <c r="AD307" s="79">
        <v>4.457240698E8</v>
      </c>
      <c r="AE307" s="80"/>
    </row>
    <row r="308">
      <c r="A308" s="73" t="s">
        <v>357</v>
      </c>
      <c r="B308" s="76">
        <v>3.54</v>
      </c>
      <c r="C308" s="76">
        <v>32.92</v>
      </c>
      <c r="D308" s="76">
        <v>40.28</v>
      </c>
      <c r="E308" s="76">
        <v>0.19</v>
      </c>
      <c r="F308" s="76">
        <v>0.07</v>
      </c>
      <c r="G308" s="76">
        <v>62.35</v>
      </c>
      <c r="H308" s="76">
        <v>129.87</v>
      </c>
      <c r="I308" s="76">
        <v>4.18</v>
      </c>
      <c r="J308" s="76">
        <v>1.3</v>
      </c>
      <c r="K308" s="76">
        <v>6.55</v>
      </c>
      <c r="L308" s="76">
        <v>5.25</v>
      </c>
      <c r="M308" s="76">
        <v>0.76</v>
      </c>
      <c r="N308" s="76">
        <v>1.69</v>
      </c>
      <c r="O308" s="76">
        <v>2.01</v>
      </c>
      <c r="P308" s="76">
        <v>-0.08</v>
      </c>
      <c r="Q308" s="76">
        <v>1.57</v>
      </c>
      <c r="R308" s="76">
        <v>0.46</v>
      </c>
      <c r="S308" s="76">
        <v>0.18</v>
      </c>
      <c r="T308" s="76">
        <v>5.99</v>
      </c>
      <c r="U308" s="76">
        <v>0.39</v>
      </c>
      <c r="V308" s="76">
        <v>0.45</v>
      </c>
      <c r="W308" s="76">
        <v>0.04</v>
      </c>
      <c r="X308" s="76">
        <v>19.12</v>
      </c>
      <c r="Y308" s="76">
        <v>-45.8</v>
      </c>
      <c r="Z308" s="77">
        <v>2402404.0</v>
      </c>
      <c r="AA308" s="76">
        <v>18.97</v>
      </c>
      <c r="AB308" s="76">
        <v>0.09</v>
      </c>
      <c r="AC308" s="76">
        <v>-0.44</v>
      </c>
      <c r="AD308" s="79">
        <v>3.652889927E8</v>
      </c>
      <c r="AE308" s="80"/>
    </row>
    <row r="309">
      <c r="A309" s="73" t="s">
        <v>358</v>
      </c>
      <c r="B309" s="76">
        <v>4.0</v>
      </c>
      <c r="C309" s="76">
        <v>0.0</v>
      </c>
      <c r="D309" s="76">
        <v>-24.13</v>
      </c>
      <c r="E309" s="76">
        <v>2.39</v>
      </c>
      <c r="F309" s="76">
        <v>0.79</v>
      </c>
      <c r="G309" s="76">
        <v>27.17</v>
      </c>
      <c r="H309" s="76">
        <v>9.61</v>
      </c>
      <c r="I309" s="76">
        <v>-12.42</v>
      </c>
      <c r="J309" s="76">
        <v>31.18</v>
      </c>
      <c r="K309" s="76">
        <v>45.91</v>
      </c>
      <c r="L309" s="76">
        <v>14.73</v>
      </c>
      <c r="M309" s="76">
        <v>1.13</v>
      </c>
      <c r="N309" s="76">
        <v>3.0</v>
      </c>
      <c r="O309" s="76">
        <v>3.85</v>
      </c>
      <c r="P309" s="76">
        <v>-1.19</v>
      </c>
      <c r="Q309" s="76">
        <v>2.53</v>
      </c>
      <c r="R309" s="76">
        <v>-9.92</v>
      </c>
      <c r="S309" s="76">
        <v>-3.27</v>
      </c>
      <c r="T309" s="76">
        <v>2.57</v>
      </c>
      <c r="U309" s="76">
        <v>0.33</v>
      </c>
      <c r="V309" s="76">
        <v>0.67</v>
      </c>
      <c r="W309" s="76">
        <v>0.26</v>
      </c>
      <c r="X309" s="76">
        <v>7.59</v>
      </c>
      <c r="Y309" s="76">
        <v>0.0</v>
      </c>
      <c r="Z309" s="77">
        <v>9425819.0</v>
      </c>
      <c r="AA309" s="76">
        <v>1.67</v>
      </c>
      <c r="AB309" s="76">
        <v>-0.17</v>
      </c>
      <c r="AC309" s="76">
        <v>0.63</v>
      </c>
      <c r="AD309" s="79">
        <v>5.441530572E9</v>
      </c>
      <c r="AE309" s="80"/>
    </row>
    <row r="310">
      <c r="A310" s="73" t="s">
        <v>359</v>
      </c>
      <c r="B310" s="76">
        <v>0.0</v>
      </c>
      <c r="C310" s="76">
        <v>0.0</v>
      </c>
      <c r="D310" s="76">
        <v>0.0</v>
      </c>
      <c r="E310" s="76">
        <v>0.0</v>
      </c>
      <c r="F310" s="76">
        <v>0.0</v>
      </c>
      <c r="G310" s="76">
        <v>28.39</v>
      </c>
      <c r="H310" s="76">
        <v>23.87</v>
      </c>
      <c r="I310" s="76">
        <v>58.63</v>
      </c>
      <c r="J310" s="76">
        <v>0.0</v>
      </c>
      <c r="K310" s="76">
        <v>0.0</v>
      </c>
      <c r="L310" s="76">
        <v>15.16</v>
      </c>
      <c r="M310" s="76">
        <v>0.38</v>
      </c>
      <c r="N310" s="76">
        <v>0.0</v>
      </c>
      <c r="O310" s="76">
        <v>0.0</v>
      </c>
      <c r="P310" s="76">
        <v>0.0</v>
      </c>
      <c r="Q310" s="76">
        <v>0.96</v>
      </c>
      <c r="R310" s="76">
        <v>6.16</v>
      </c>
      <c r="S310" s="76">
        <v>2.46</v>
      </c>
      <c r="T310" s="76">
        <v>0.17</v>
      </c>
      <c r="U310" s="76">
        <v>0.4</v>
      </c>
      <c r="V310" s="76">
        <v>0.6</v>
      </c>
      <c r="W310" s="76">
        <v>0.04</v>
      </c>
      <c r="X310" s="76">
        <v>0.0</v>
      </c>
      <c r="Y310" s="76">
        <v>0.0</v>
      </c>
      <c r="Z310" s="77">
        <v>0.0</v>
      </c>
      <c r="AA310" s="76">
        <v>72.38</v>
      </c>
      <c r="AB310" s="76">
        <v>4.46</v>
      </c>
      <c r="AC310" s="76">
        <v>0.0</v>
      </c>
      <c r="AD310" s="79">
        <v>0.0</v>
      </c>
      <c r="AE310" s="80"/>
    </row>
    <row r="311">
      <c r="A311" s="73" t="s">
        <v>360</v>
      </c>
      <c r="B311" s="76">
        <v>36.97</v>
      </c>
      <c r="C311" s="76">
        <v>0.0</v>
      </c>
      <c r="D311" s="76">
        <v>8.29</v>
      </c>
      <c r="E311" s="76">
        <v>0.51</v>
      </c>
      <c r="F311" s="76">
        <v>0.2</v>
      </c>
      <c r="G311" s="76">
        <v>28.39</v>
      </c>
      <c r="H311" s="76">
        <v>23.87</v>
      </c>
      <c r="I311" s="76">
        <v>58.63</v>
      </c>
      <c r="J311" s="76">
        <v>20.35</v>
      </c>
      <c r="K311" s="76">
        <v>0.0</v>
      </c>
      <c r="L311" s="76">
        <v>15.16</v>
      </c>
      <c r="M311" s="76">
        <v>0.38</v>
      </c>
      <c r="N311" s="76">
        <v>4.86</v>
      </c>
      <c r="O311" s="76">
        <v>-75.51</v>
      </c>
      <c r="P311" s="76">
        <v>-0.22</v>
      </c>
      <c r="Q311" s="76">
        <v>0.96</v>
      </c>
      <c r="R311" s="76">
        <v>6.16</v>
      </c>
      <c r="S311" s="76">
        <v>2.46</v>
      </c>
      <c r="T311" s="76">
        <v>0.17</v>
      </c>
      <c r="U311" s="76">
        <v>0.4</v>
      </c>
      <c r="V311" s="76">
        <v>0.6</v>
      </c>
      <c r="W311" s="76">
        <v>0.04</v>
      </c>
      <c r="X311" s="76">
        <v>0.0</v>
      </c>
      <c r="Y311" s="76">
        <v>0.0</v>
      </c>
      <c r="Z311" s="77">
        <v>4284.21</v>
      </c>
      <c r="AA311" s="76">
        <v>72.38</v>
      </c>
      <c r="AB311" s="76">
        <v>4.46</v>
      </c>
      <c r="AC311" s="76">
        <v>-0.11</v>
      </c>
      <c r="AD311" s="79">
        <v>0.0</v>
      </c>
      <c r="AE311" s="80"/>
    </row>
    <row r="312">
      <c r="A312" s="73" t="s">
        <v>361</v>
      </c>
      <c r="B312" s="76">
        <v>0.0</v>
      </c>
      <c r="C312" s="76">
        <v>0.0</v>
      </c>
      <c r="D312" s="76">
        <v>0.0</v>
      </c>
      <c r="E312" s="76">
        <v>0.0</v>
      </c>
      <c r="F312" s="76">
        <v>0.0</v>
      </c>
      <c r="G312" s="76">
        <v>28.39</v>
      </c>
      <c r="H312" s="76">
        <v>23.87</v>
      </c>
      <c r="I312" s="76">
        <v>58.63</v>
      </c>
      <c r="J312" s="76">
        <v>0.0</v>
      </c>
      <c r="K312" s="76">
        <v>0.0</v>
      </c>
      <c r="L312" s="76">
        <v>15.16</v>
      </c>
      <c r="M312" s="76">
        <v>0.38</v>
      </c>
      <c r="N312" s="76">
        <v>0.0</v>
      </c>
      <c r="O312" s="76">
        <v>0.0</v>
      </c>
      <c r="P312" s="76">
        <v>0.0</v>
      </c>
      <c r="Q312" s="76">
        <v>0.96</v>
      </c>
      <c r="R312" s="76">
        <v>6.16</v>
      </c>
      <c r="S312" s="76">
        <v>2.46</v>
      </c>
      <c r="T312" s="76">
        <v>0.17</v>
      </c>
      <c r="U312" s="76">
        <v>0.4</v>
      </c>
      <c r="V312" s="76">
        <v>0.6</v>
      </c>
      <c r="W312" s="76">
        <v>0.04</v>
      </c>
      <c r="X312" s="76">
        <v>0.0</v>
      </c>
      <c r="Y312" s="76">
        <v>0.0</v>
      </c>
      <c r="Z312" s="77">
        <v>0.0</v>
      </c>
      <c r="AA312" s="76">
        <v>72.38</v>
      </c>
      <c r="AB312" s="76">
        <v>4.46</v>
      </c>
      <c r="AC312" s="76">
        <v>0.0</v>
      </c>
      <c r="AD312" s="79">
        <v>0.0</v>
      </c>
      <c r="AE312" s="80"/>
    </row>
    <row r="313">
      <c r="A313" s="73" t="s">
        <v>362</v>
      </c>
      <c r="B313" s="76">
        <v>96.0</v>
      </c>
      <c r="C313" s="76">
        <v>0.0</v>
      </c>
      <c r="D313" s="76">
        <v>44.39</v>
      </c>
      <c r="E313" s="76">
        <v>-0.14</v>
      </c>
      <c r="F313" s="76">
        <v>3.9</v>
      </c>
      <c r="G313" s="76">
        <v>100.0</v>
      </c>
      <c r="H313" s="76">
        <v>87.49</v>
      </c>
      <c r="I313" s="76">
        <v>23.91</v>
      </c>
      <c r="J313" s="76">
        <v>12.13</v>
      </c>
      <c r="K313" s="76">
        <v>84.91</v>
      </c>
      <c r="L313" s="76">
        <v>80.42</v>
      </c>
      <c r="M313" s="76">
        <v>0.0</v>
      </c>
      <c r="N313" s="76">
        <v>10.61</v>
      </c>
      <c r="O313" s="76">
        <v>-22.18</v>
      </c>
      <c r="P313" s="76">
        <v>-4.75</v>
      </c>
      <c r="Q313" s="76">
        <v>0.51</v>
      </c>
      <c r="R313" s="76">
        <v>-0.32</v>
      </c>
      <c r="S313" s="76">
        <v>8.78</v>
      </c>
      <c r="T313" s="76">
        <v>-14.57</v>
      </c>
      <c r="U313" s="76">
        <v>-27.86</v>
      </c>
      <c r="V313" s="76">
        <v>28.86</v>
      </c>
      <c r="W313" s="76">
        <v>0.37</v>
      </c>
      <c r="X313" s="76">
        <v>30.24</v>
      </c>
      <c r="Y313" s="76">
        <v>-20.33</v>
      </c>
      <c r="Z313" s="77">
        <v>0.0</v>
      </c>
      <c r="AA313" s="76">
        <v>-686.42</v>
      </c>
      <c r="AB313" s="76">
        <v>2.16</v>
      </c>
      <c r="AC313" s="76">
        <v>1.19</v>
      </c>
      <c r="AD313" s="76">
        <v>1.8129013E7</v>
      </c>
      <c r="AE313" s="74"/>
    </row>
    <row r="314">
      <c r="A314" s="73" t="s">
        <v>363</v>
      </c>
      <c r="B314" s="76">
        <v>5.0</v>
      </c>
      <c r="C314" s="76">
        <v>0.0</v>
      </c>
      <c r="D314" s="76">
        <v>2.31</v>
      </c>
      <c r="E314" s="76">
        <v>-0.01</v>
      </c>
      <c r="F314" s="76">
        <v>0.2</v>
      </c>
      <c r="G314" s="76">
        <v>100.0</v>
      </c>
      <c r="H314" s="76">
        <v>87.49</v>
      </c>
      <c r="I314" s="76">
        <v>23.91</v>
      </c>
      <c r="J314" s="76">
        <v>0.63</v>
      </c>
      <c r="K314" s="76">
        <v>84.91</v>
      </c>
      <c r="L314" s="76">
        <v>80.42</v>
      </c>
      <c r="M314" s="76">
        <v>0.0</v>
      </c>
      <c r="N314" s="76">
        <v>0.55</v>
      </c>
      <c r="O314" s="76">
        <v>-1.16</v>
      </c>
      <c r="P314" s="76">
        <v>-0.25</v>
      </c>
      <c r="Q314" s="76">
        <v>0.51</v>
      </c>
      <c r="R314" s="76">
        <v>-0.32</v>
      </c>
      <c r="S314" s="76">
        <v>8.78</v>
      </c>
      <c r="T314" s="76">
        <v>-14.57</v>
      </c>
      <c r="U314" s="76">
        <v>-27.86</v>
      </c>
      <c r="V314" s="76">
        <v>28.86</v>
      </c>
      <c r="W314" s="76">
        <v>0.37</v>
      </c>
      <c r="X314" s="76">
        <v>30.24</v>
      </c>
      <c r="Y314" s="76">
        <v>-20.33</v>
      </c>
      <c r="Z314" s="77">
        <v>1011.6</v>
      </c>
      <c r="AA314" s="76">
        <v>-686.42</v>
      </c>
      <c r="AB314" s="76">
        <v>2.16</v>
      </c>
      <c r="AC314" s="76">
        <v>0.06</v>
      </c>
      <c r="AD314" s="76">
        <v>1.8129013E7</v>
      </c>
      <c r="AE314" s="74"/>
    </row>
    <row r="315">
      <c r="A315" s="73" t="s">
        <v>364</v>
      </c>
      <c r="B315" s="76">
        <v>37.5</v>
      </c>
      <c r="C315" s="76">
        <v>0.0</v>
      </c>
      <c r="D315" s="76">
        <v>101.99</v>
      </c>
      <c r="E315" s="76">
        <v>3.57</v>
      </c>
      <c r="F315" s="76">
        <v>2.48</v>
      </c>
      <c r="G315" s="76">
        <v>40.58</v>
      </c>
      <c r="H315" s="76">
        <v>-0.59</v>
      </c>
      <c r="I315" s="76">
        <v>4.1</v>
      </c>
      <c r="J315" s="76">
        <v>-707.65</v>
      </c>
      <c r="K315" s="76">
        <v>-713.65</v>
      </c>
      <c r="L315" s="76">
        <v>-5.99</v>
      </c>
      <c r="M315" s="76">
        <v>0.03</v>
      </c>
      <c r="N315" s="76">
        <v>4.18</v>
      </c>
      <c r="O315" s="76">
        <v>7.5</v>
      </c>
      <c r="P315" s="76">
        <v>-5.59</v>
      </c>
      <c r="Q315" s="76">
        <v>2.47</v>
      </c>
      <c r="R315" s="76">
        <v>3.51</v>
      </c>
      <c r="S315" s="76">
        <v>2.43</v>
      </c>
      <c r="T315" s="76">
        <v>-13.6</v>
      </c>
      <c r="U315" s="76">
        <v>0.69</v>
      </c>
      <c r="V315" s="76">
        <v>0.31</v>
      </c>
      <c r="W315" s="76">
        <v>0.59</v>
      </c>
      <c r="X315" s="76">
        <v>-7.54</v>
      </c>
      <c r="Y315" s="76">
        <v>-26.63</v>
      </c>
      <c r="Z315" s="77">
        <v>0.0</v>
      </c>
      <c r="AA315" s="76">
        <v>10.49</v>
      </c>
      <c r="AB315" s="76">
        <v>0.37</v>
      </c>
      <c r="AC315" s="76">
        <v>-1.23</v>
      </c>
      <c r="AD315" s="79">
        <v>6.095022638E9</v>
      </c>
      <c r="AE315" s="80"/>
    </row>
    <row r="316">
      <c r="A316" s="73" t="s">
        <v>365</v>
      </c>
      <c r="B316" s="76">
        <v>0.0</v>
      </c>
      <c r="C316" s="76">
        <v>0.0</v>
      </c>
      <c r="D316" s="76">
        <v>0.0</v>
      </c>
      <c r="E316" s="76">
        <v>0.0</v>
      </c>
      <c r="F316" s="76">
        <v>0.0</v>
      </c>
      <c r="G316" s="76">
        <v>68.55</v>
      </c>
      <c r="H316" s="76">
        <v>53.75</v>
      </c>
      <c r="I316" s="76">
        <v>34.1</v>
      </c>
      <c r="J316" s="76">
        <v>0.0</v>
      </c>
      <c r="K316" s="76">
        <v>0.17</v>
      </c>
      <c r="L316" s="76">
        <v>-0.35</v>
      </c>
      <c r="M316" s="76">
        <v>0.0</v>
      </c>
      <c r="N316" s="76">
        <v>0.0</v>
      </c>
      <c r="O316" s="76">
        <v>0.0</v>
      </c>
      <c r="P316" s="76">
        <v>0.0</v>
      </c>
      <c r="Q316" s="76">
        <v>0.75</v>
      </c>
      <c r="R316" s="76">
        <v>-216.14</v>
      </c>
      <c r="S316" s="76">
        <v>12.73</v>
      </c>
      <c r="T316" s="76">
        <v>-134.33</v>
      </c>
      <c r="U316" s="76">
        <v>-0.06</v>
      </c>
      <c r="V316" s="76">
        <v>1.12</v>
      </c>
      <c r="W316" s="76">
        <v>0.37</v>
      </c>
      <c r="X316" s="76">
        <v>12.34</v>
      </c>
      <c r="Y316" s="76">
        <v>0.0</v>
      </c>
      <c r="Z316" s="77">
        <v>0.0</v>
      </c>
      <c r="AA316" s="76">
        <v>-1.69</v>
      </c>
      <c r="AB316" s="76">
        <v>3.66</v>
      </c>
      <c r="AC316" s="76">
        <v>0.0</v>
      </c>
      <c r="AD316" s="76">
        <v>5.549829282E7</v>
      </c>
      <c r="AE316" s="74"/>
    </row>
    <row r="317">
      <c r="A317" s="73" t="s">
        <v>366</v>
      </c>
      <c r="B317" s="76">
        <v>7.03</v>
      </c>
      <c r="C317" s="76">
        <v>0.0</v>
      </c>
      <c r="D317" s="76">
        <v>1.92</v>
      </c>
      <c r="E317" s="76">
        <v>-4.16</v>
      </c>
      <c r="F317" s="76">
        <v>0.24</v>
      </c>
      <c r="G317" s="76">
        <v>68.55</v>
      </c>
      <c r="H317" s="76">
        <v>53.75</v>
      </c>
      <c r="I317" s="76">
        <v>34.1</v>
      </c>
      <c r="J317" s="76">
        <v>1.22</v>
      </c>
      <c r="K317" s="76">
        <v>0.17</v>
      </c>
      <c r="L317" s="76">
        <v>-0.35</v>
      </c>
      <c r="M317" s="76">
        <v>0.0</v>
      </c>
      <c r="N317" s="76">
        <v>0.66</v>
      </c>
      <c r="O317" s="76">
        <v>-3.58</v>
      </c>
      <c r="P317" s="76">
        <v>-0.31</v>
      </c>
      <c r="Q317" s="76">
        <v>0.75</v>
      </c>
      <c r="R317" s="76">
        <v>-216.14</v>
      </c>
      <c r="S317" s="76">
        <v>12.73</v>
      </c>
      <c r="T317" s="76">
        <v>-134.33</v>
      </c>
      <c r="U317" s="76">
        <v>-0.06</v>
      </c>
      <c r="V317" s="76">
        <v>1.12</v>
      </c>
      <c r="W317" s="76">
        <v>0.37</v>
      </c>
      <c r="X317" s="76">
        <v>12.34</v>
      </c>
      <c r="Y317" s="76">
        <v>0.0</v>
      </c>
      <c r="Z317" s="77">
        <v>22505.45</v>
      </c>
      <c r="AA317" s="76">
        <v>-1.69</v>
      </c>
      <c r="AB317" s="76">
        <v>3.66</v>
      </c>
      <c r="AC317" s="76">
        <v>-0.07</v>
      </c>
      <c r="AD317" s="76">
        <v>5.549829282E7</v>
      </c>
      <c r="AE317" s="74"/>
    </row>
    <row r="318">
      <c r="A318" s="73" t="s">
        <v>367</v>
      </c>
      <c r="B318" s="76">
        <v>23.74</v>
      </c>
      <c r="C318" s="76">
        <v>4.93</v>
      </c>
      <c r="D318" s="76">
        <v>18.25</v>
      </c>
      <c r="E318" s="76">
        <v>1.23</v>
      </c>
      <c r="F318" s="76">
        <v>0.6</v>
      </c>
      <c r="G318" s="76">
        <v>56.7</v>
      </c>
      <c r="H318" s="76">
        <v>16.63</v>
      </c>
      <c r="I318" s="76">
        <v>11.82</v>
      </c>
      <c r="J318" s="76">
        <v>12.96</v>
      </c>
      <c r="K318" s="76">
        <v>19.24</v>
      </c>
      <c r="L318" s="76">
        <v>6.27</v>
      </c>
      <c r="M318" s="76">
        <v>0.59</v>
      </c>
      <c r="N318" s="76">
        <v>2.16</v>
      </c>
      <c r="O318" s="76">
        <v>11.34</v>
      </c>
      <c r="P318" s="76">
        <v>-0.8</v>
      </c>
      <c r="Q318" s="76">
        <v>1.27</v>
      </c>
      <c r="R318" s="76">
        <v>6.72</v>
      </c>
      <c r="S318" s="76">
        <v>3.28</v>
      </c>
      <c r="T318" s="76">
        <v>1.22</v>
      </c>
      <c r="U318" s="76">
        <v>0.49</v>
      </c>
      <c r="V318" s="76">
        <v>0.51</v>
      </c>
      <c r="W318" s="76">
        <v>0.28</v>
      </c>
      <c r="X318" s="76">
        <v>17.7</v>
      </c>
      <c r="Y318" s="76">
        <v>-6.68</v>
      </c>
      <c r="Z318" s="77">
        <v>6.9618341E7</v>
      </c>
      <c r="AA318" s="76">
        <v>19.35</v>
      </c>
      <c r="AB318" s="76">
        <v>1.3</v>
      </c>
      <c r="AC318" s="76">
        <v>-0.38</v>
      </c>
      <c r="AD318" s="79">
        <v>1.5037410338E10</v>
      </c>
      <c r="AE318" s="80"/>
    </row>
    <row r="319">
      <c r="A319" s="73" t="s">
        <v>368</v>
      </c>
      <c r="B319" s="76">
        <v>2.16</v>
      </c>
      <c r="C319" s="76">
        <v>0.0</v>
      </c>
      <c r="D319" s="76">
        <v>-0.99</v>
      </c>
      <c r="E319" s="76">
        <v>0.93</v>
      </c>
      <c r="F319" s="76">
        <v>0.06</v>
      </c>
      <c r="G319" s="76">
        <v>-18.91</v>
      </c>
      <c r="H319" s="76">
        <v>-40.19</v>
      </c>
      <c r="I319" s="76">
        <v>-154.6</v>
      </c>
      <c r="J319" s="76">
        <v>-3.81</v>
      </c>
      <c r="K319" s="76">
        <v>-3.84</v>
      </c>
      <c r="L319" s="76">
        <v>0.0</v>
      </c>
      <c r="M319" s="76">
        <v>0.0</v>
      </c>
      <c r="N319" s="76">
        <v>1.53</v>
      </c>
      <c r="O319" s="76">
        <v>0.48</v>
      </c>
      <c r="P319" s="76">
        <v>-0.13</v>
      </c>
      <c r="Q319" s="76">
        <v>1.26</v>
      </c>
      <c r="R319" s="76">
        <v>-94.38</v>
      </c>
      <c r="S319" s="76">
        <v>-5.67</v>
      </c>
      <c r="T319" s="76">
        <v>0.0</v>
      </c>
      <c r="U319" s="76">
        <v>0.06</v>
      </c>
      <c r="V319" s="76">
        <v>0.94</v>
      </c>
      <c r="W319" s="76">
        <v>0.04</v>
      </c>
      <c r="X319" s="76">
        <v>-32.17</v>
      </c>
      <c r="Y319" s="76">
        <v>0.0</v>
      </c>
      <c r="Z319" s="77">
        <v>0.0</v>
      </c>
      <c r="AA319" s="76">
        <v>2.31</v>
      </c>
      <c r="AB319" s="76">
        <v>-2.18</v>
      </c>
      <c r="AC319" s="76">
        <v>0.0</v>
      </c>
      <c r="AD319" s="79">
        <v>2.240075744E8</v>
      </c>
      <c r="AE319" s="80"/>
    </row>
    <row r="320">
      <c r="A320" s="73" t="s">
        <v>369</v>
      </c>
      <c r="B320" s="76">
        <v>2.67</v>
      </c>
      <c r="C320" s="76">
        <v>0.0</v>
      </c>
      <c r="D320" s="76">
        <v>-1.22</v>
      </c>
      <c r="E320" s="76">
        <v>1.16</v>
      </c>
      <c r="F320" s="76">
        <v>0.07</v>
      </c>
      <c r="G320" s="76">
        <v>-18.91</v>
      </c>
      <c r="H320" s="76">
        <v>-40.19</v>
      </c>
      <c r="I320" s="76">
        <v>-154.6</v>
      </c>
      <c r="J320" s="76">
        <v>-4.71</v>
      </c>
      <c r="K320" s="76">
        <v>-3.84</v>
      </c>
      <c r="L320" s="76">
        <v>0.0</v>
      </c>
      <c r="M320" s="76">
        <v>0.0</v>
      </c>
      <c r="N320" s="76">
        <v>1.89</v>
      </c>
      <c r="O320" s="76">
        <v>0.59</v>
      </c>
      <c r="P320" s="76">
        <v>-0.16</v>
      </c>
      <c r="Q320" s="76">
        <v>1.26</v>
      </c>
      <c r="R320" s="76">
        <v>-94.38</v>
      </c>
      <c r="S320" s="76">
        <v>-5.67</v>
      </c>
      <c r="T320" s="76">
        <v>0.0</v>
      </c>
      <c r="U320" s="76">
        <v>0.06</v>
      </c>
      <c r="V320" s="76">
        <v>0.94</v>
      </c>
      <c r="W320" s="76">
        <v>0.04</v>
      </c>
      <c r="X320" s="76">
        <v>-32.17</v>
      </c>
      <c r="Y320" s="76">
        <v>0.0</v>
      </c>
      <c r="Z320" s="77">
        <v>0.0</v>
      </c>
      <c r="AA320" s="76">
        <v>2.31</v>
      </c>
      <c r="AB320" s="76">
        <v>-2.18</v>
      </c>
      <c r="AC320" s="76">
        <v>0.0</v>
      </c>
      <c r="AD320" s="79">
        <v>2.240075744E8</v>
      </c>
      <c r="AE320" s="80"/>
    </row>
    <row r="321">
      <c r="A321" s="73" t="s">
        <v>370</v>
      </c>
      <c r="B321" s="76">
        <v>0.59</v>
      </c>
      <c r="C321" s="76">
        <v>0.0</v>
      </c>
      <c r="D321" s="76">
        <v>-0.32</v>
      </c>
      <c r="E321" s="76">
        <v>0.21</v>
      </c>
      <c r="F321" s="76">
        <v>0.05</v>
      </c>
      <c r="G321" s="76">
        <v>30.25</v>
      </c>
      <c r="H321" s="76">
        <v>-2.45</v>
      </c>
      <c r="I321" s="76">
        <v>-26.31</v>
      </c>
      <c r="J321" s="76">
        <v>-3.45</v>
      </c>
      <c r="K321" s="76">
        <v>-19.87</v>
      </c>
      <c r="L321" s="76">
        <v>-16.42</v>
      </c>
      <c r="M321" s="76">
        <v>1.01</v>
      </c>
      <c r="N321" s="76">
        <v>0.08</v>
      </c>
      <c r="O321" s="76">
        <v>0.24</v>
      </c>
      <c r="P321" s="76">
        <v>-0.1</v>
      </c>
      <c r="Q321" s="76">
        <v>1.91</v>
      </c>
      <c r="R321" s="76">
        <v>-65.71</v>
      </c>
      <c r="S321" s="76">
        <v>-16.63</v>
      </c>
      <c r="T321" s="76">
        <v>-4.96</v>
      </c>
      <c r="U321" s="76">
        <v>0.25</v>
      </c>
      <c r="V321" s="76">
        <v>0.75</v>
      </c>
      <c r="W321" s="76">
        <v>0.63</v>
      </c>
      <c r="X321" s="76">
        <v>50.42</v>
      </c>
      <c r="Y321" s="76">
        <v>0.0</v>
      </c>
      <c r="Z321" s="77">
        <v>634200.1</v>
      </c>
      <c r="AA321" s="76">
        <v>2.79</v>
      </c>
      <c r="AB321" s="76">
        <v>-1.83</v>
      </c>
      <c r="AC321" s="76">
        <v>0.0</v>
      </c>
      <c r="AD321" s="79">
        <v>7.154278935E7</v>
      </c>
      <c r="AE321" s="80"/>
    </row>
    <row r="322">
      <c r="A322" s="73" t="s">
        <v>371</v>
      </c>
      <c r="B322" s="76">
        <v>175.99</v>
      </c>
      <c r="C322" s="76">
        <v>0.0</v>
      </c>
      <c r="D322" s="76">
        <v>0.56</v>
      </c>
      <c r="E322" s="76">
        <v>-0.34</v>
      </c>
      <c r="F322" s="76">
        <v>1.04</v>
      </c>
      <c r="G322" s="76">
        <v>100.0</v>
      </c>
      <c r="H322" s="76">
        <v>6032.01</v>
      </c>
      <c r="I322" s="76">
        <v>5379.32</v>
      </c>
      <c r="J322" s="76">
        <v>0.5</v>
      </c>
      <c r="K322" s="76">
        <v>1.06</v>
      </c>
      <c r="L322" s="76">
        <v>0.56</v>
      </c>
      <c r="M322" s="76">
        <v>0.0</v>
      </c>
      <c r="N322" s="76">
        <v>30.26</v>
      </c>
      <c r="O322" s="76">
        <v>-0.99</v>
      </c>
      <c r="P322" s="76">
        <v>-2.15</v>
      </c>
      <c r="Q322" s="76">
        <v>0.33</v>
      </c>
      <c r="R322" s="76">
        <v>-60.1</v>
      </c>
      <c r="S322" s="76">
        <v>184.1</v>
      </c>
      <c r="T322" s="76">
        <v>-146.75</v>
      </c>
      <c r="U322" s="76">
        <v>-3.06</v>
      </c>
      <c r="V322" s="76">
        <v>4.06</v>
      </c>
      <c r="W322" s="76">
        <v>0.03</v>
      </c>
      <c r="X322" s="76">
        <v>-7.98</v>
      </c>
      <c r="Y322" s="76">
        <v>0.0</v>
      </c>
      <c r="Z322" s="77">
        <v>0.0</v>
      </c>
      <c r="AA322" s="76">
        <v>-520.56</v>
      </c>
      <c r="AB322" s="76">
        <v>312.87</v>
      </c>
      <c r="AC322" s="76">
        <v>0.0</v>
      </c>
      <c r="AD322" s="79">
        <v>2.20074791E8</v>
      </c>
      <c r="AE322" s="80"/>
    </row>
    <row r="323">
      <c r="A323" s="73" t="s">
        <v>372</v>
      </c>
      <c r="B323" s="76">
        <v>0.0</v>
      </c>
      <c r="C323" s="76">
        <v>0.0</v>
      </c>
      <c r="D323" s="76">
        <v>0.0</v>
      </c>
      <c r="E323" s="76">
        <v>0.0</v>
      </c>
      <c r="F323" s="76">
        <v>0.0</v>
      </c>
      <c r="G323" s="76">
        <v>32.46</v>
      </c>
      <c r="H323" s="76">
        <v>23.03</v>
      </c>
      <c r="I323" s="76">
        <v>-15.96</v>
      </c>
      <c r="J323" s="76">
        <v>0.0</v>
      </c>
      <c r="K323" s="76">
        <v>16.08</v>
      </c>
      <c r="L323" s="76">
        <v>16.08</v>
      </c>
      <c r="M323" s="76">
        <v>3.31</v>
      </c>
      <c r="N323" s="76">
        <v>0.0</v>
      </c>
      <c r="O323" s="76">
        <v>0.0</v>
      </c>
      <c r="P323" s="76">
        <v>0.0</v>
      </c>
      <c r="Q323" s="76">
        <v>1.13</v>
      </c>
      <c r="R323" s="76">
        <v>-14.28</v>
      </c>
      <c r="S323" s="76">
        <v>-2.79</v>
      </c>
      <c r="T323" s="76">
        <v>2.63</v>
      </c>
      <c r="U323" s="76">
        <v>0.2</v>
      </c>
      <c r="V323" s="76">
        <v>0.8</v>
      </c>
      <c r="W323" s="76">
        <v>0.18</v>
      </c>
      <c r="X323" s="76">
        <v>23.9</v>
      </c>
      <c r="Y323" s="76">
        <v>0.0</v>
      </c>
      <c r="Z323" s="79">
        <v>0.0</v>
      </c>
      <c r="AA323" s="76">
        <v>6.32</v>
      </c>
      <c r="AB323" s="76">
        <v>-0.9</v>
      </c>
      <c r="AC323" s="76">
        <v>0.0</v>
      </c>
      <c r="AD323" s="76">
        <v>0.0</v>
      </c>
      <c r="AE323" s="74"/>
    </row>
    <row r="324">
      <c r="A324" s="73" t="s">
        <v>373</v>
      </c>
      <c r="B324" s="76">
        <v>33.0</v>
      </c>
      <c r="C324" s="76">
        <v>0.0</v>
      </c>
      <c r="D324" s="76">
        <v>9.74</v>
      </c>
      <c r="E324" s="76">
        <v>1.37</v>
      </c>
      <c r="F324" s="76">
        <v>0.82</v>
      </c>
      <c r="G324" s="76">
        <v>70.54</v>
      </c>
      <c r="H324" s="76">
        <v>76.22</v>
      </c>
      <c r="I324" s="76">
        <v>48.74</v>
      </c>
      <c r="J324" s="76">
        <v>6.23</v>
      </c>
      <c r="K324" s="76">
        <v>6.95</v>
      </c>
      <c r="L324" s="76">
        <v>0.73</v>
      </c>
      <c r="M324" s="76">
        <v>0.16</v>
      </c>
      <c r="N324" s="76">
        <v>4.75</v>
      </c>
      <c r="O324" s="76">
        <v>3.81</v>
      </c>
      <c r="P324" s="76">
        <v>-1.15</v>
      </c>
      <c r="Q324" s="76">
        <v>3.96</v>
      </c>
      <c r="R324" s="76">
        <v>14.04</v>
      </c>
      <c r="S324" s="76">
        <v>8.43</v>
      </c>
      <c r="T324" s="76">
        <v>11.62</v>
      </c>
      <c r="U324" s="76">
        <v>0.6</v>
      </c>
      <c r="V324" s="76">
        <v>0.4</v>
      </c>
      <c r="W324" s="76">
        <v>0.17</v>
      </c>
      <c r="X324" s="76">
        <v>7.14</v>
      </c>
      <c r="Y324" s="76">
        <v>12.51</v>
      </c>
      <c r="Z324" s="76">
        <v>0.0</v>
      </c>
      <c r="AA324" s="76">
        <v>24.13</v>
      </c>
      <c r="AB324" s="76">
        <v>3.39</v>
      </c>
      <c r="AC324" s="76">
        <v>1.09</v>
      </c>
      <c r="AD324" s="79">
        <v>5.444903277E9</v>
      </c>
      <c r="AE324" s="80"/>
    </row>
    <row r="325">
      <c r="A325" s="73" t="s">
        <v>374</v>
      </c>
      <c r="B325" s="76">
        <v>29.08</v>
      </c>
      <c r="C325" s="76">
        <v>2.9</v>
      </c>
      <c r="D325" s="76">
        <v>20.21</v>
      </c>
      <c r="E325" s="76">
        <v>2.52</v>
      </c>
      <c r="F325" s="76">
        <v>1.24</v>
      </c>
      <c r="G325" s="76">
        <v>73.91</v>
      </c>
      <c r="H325" s="76">
        <v>76.88</v>
      </c>
      <c r="I325" s="76">
        <v>40.57</v>
      </c>
      <c r="J325" s="76">
        <v>10.66</v>
      </c>
      <c r="K325" s="76">
        <v>8.96</v>
      </c>
      <c r="L325" s="76">
        <v>1.96</v>
      </c>
      <c r="M325" s="76">
        <v>0.46</v>
      </c>
      <c r="N325" s="76">
        <v>8.2</v>
      </c>
      <c r="O325" s="76">
        <v>7.98</v>
      </c>
      <c r="P325" s="76">
        <v>-1.65</v>
      </c>
      <c r="Q325" s="76">
        <v>2.67</v>
      </c>
      <c r="R325" s="76">
        <v>12.47</v>
      </c>
      <c r="S325" s="76">
        <v>6.14</v>
      </c>
      <c r="T325" s="76">
        <v>11.61</v>
      </c>
      <c r="U325" s="76">
        <v>0.49</v>
      </c>
      <c r="V325" s="76">
        <v>0.51</v>
      </c>
      <c r="W325" s="76">
        <v>0.15</v>
      </c>
      <c r="X325" s="76">
        <v>10.36</v>
      </c>
      <c r="Y325" s="76">
        <v>35.08</v>
      </c>
      <c r="Z325" s="79">
        <v>7.3477396E7</v>
      </c>
      <c r="AA325" s="76">
        <v>11.54</v>
      </c>
      <c r="AB325" s="76">
        <v>1.44</v>
      </c>
      <c r="AC325" s="76">
        <v>0.38</v>
      </c>
      <c r="AD325" s="79">
        <v>7.680290592E9</v>
      </c>
      <c r="AE325" s="80"/>
    </row>
    <row r="326">
      <c r="A326" s="73" t="s">
        <v>375</v>
      </c>
      <c r="B326" s="76">
        <v>3.35</v>
      </c>
      <c r="C326" s="76">
        <v>3.6</v>
      </c>
      <c r="D326" s="76">
        <v>6.98</v>
      </c>
      <c r="E326" s="76">
        <v>0.87</v>
      </c>
      <c r="F326" s="76">
        <v>0.43</v>
      </c>
      <c r="G326" s="76">
        <v>73.91</v>
      </c>
      <c r="H326" s="76">
        <v>76.88</v>
      </c>
      <c r="I326" s="76">
        <v>40.57</v>
      </c>
      <c r="J326" s="76">
        <v>3.69</v>
      </c>
      <c r="K326" s="76">
        <v>8.96</v>
      </c>
      <c r="L326" s="76">
        <v>1.96</v>
      </c>
      <c r="M326" s="76">
        <v>0.46</v>
      </c>
      <c r="N326" s="76">
        <v>2.83</v>
      </c>
      <c r="O326" s="76">
        <v>2.76</v>
      </c>
      <c r="P326" s="76">
        <v>-0.57</v>
      </c>
      <c r="Q326" s="76">
        <v>2.67</v>
      </c>
      <c r="R326" s="76">
        <v>12.47</v>
      </c>
      <c r="S326" s="76">
        <v>6.14</v>
      </c>
      <c r="T326" s="76">
        <v>11.61</v>
      </c>
      <c r="U326" s="76">
        <v>0.49</v>
      </c>
      <c r="V326" s="76">
        <v>0.51</v>
      </c>
      <c r="W326" s="76">
        <v>0.15</v>
      </c>
      <c r="X326" s="76">
        <v>10.36</v>
      </c>
      <c r="Y326" s="76">
        <v>35.08</v>
      </c>
      <c r="Z326" s="76">
        <v>142736.5</v>
      </c>
      <c r="AA326" s="76">
        <v>3.85</v>
      </c>
      <c r="AB326" s="76">
        <v>0.48</v>
      </c>
      <c r="AC326" s="76">
        <v>0.13</v>
      </c>
      <c r="AD326" s="79">
        <v>7.680290592E9</v>
      </c>
      <c r="AE326" s="80"/>
    </row>
    <row r="327">
      <c r="A327" s="73" t="s">
        <v>376</v>
      </c>
      <c r="B327" s="76">
        <v>12.71</v>
      </c>
      <c r="C327" s="76">
        <v>2.84</v>
      </c>
      <c r="D327" s="76">
        <v>26.5</v>
      </c>
      <c r="E327" s="76">
        <v>3.3</v>
      </c>
      <c r="F327" s="76">
        <v>1.63</v>
      </c>
      <c r="G327" s="76">
        <v>73.91</v>
      </c>
      <c r="H327" s="76">
        <v>76.88</v>
      </c>
      <c r="I327" s="76">
        <v>40.57</v>
      </c>
      <c r="J327" s="76">
        <v>13.98</v>
      </c>
      <c r="K327" s="76">
        <v>8.96</v>
      </c>
      <c r="L327" s="76">
        <v>1.96</v>
      </c>
      <c r="M327" s="76">
        <v>0.46</v>
      </c>
      <c r="N327" s="76">
        <v>10.75</v>
      </c>
      <c r="O327" s="76">
        <v>10.46</v>
      </c>
      <c r="P327" s="76">
        <v>-2.17</v>
      </c>
      <c r="Q327" s="76">
        <v>2.67</v>
      </c>
      <c r="R327" s="76">
        <v>12.47</v>
      </c>
      <c r="S327" s="76">
        <v>6.14</v>
      </c>
      <c r="T327" s="76">
        <v>11.61</v>
      </c>
      <c r="U327" s="76">
        <v>0.49</v>
      </c>
      <c r="V327" s="76">
        <v>0.51</v>
      </c>
      <c r="W327" s="76">
        <v>0.15</v>
      </c>
      <c r="X327" s="76">
        <v>10.36</v>
      </c>
      <c r="Y327" s="76">
        <v>35.08</v>
      </c>
      <c r="Z327" s="79">
        <v>3489.29</v>
      </c>
      <c r="AA327" s="76">
        <v>3.85</v>
      </c>
      <c r="AB327" s="76">
        <v>0.48</v>
      </c>
      <c r="AC327" s="76">
        <v>0.5</v>
      </c>
      <c r="AD327" s="79">
        <v>7.680290592E9</v>
      </c>
      <c r="AE327" s="80"/>
    </row>
    <row r="328">
      <c r="A328" s="73" t="s">
        <v>377</v>
      </c>
      <c r="B328" s="76">
        <v>1.32</v>
      </c>
      <c r="C328" s="76">
        <v>0.0</v>
      </c>
      <c r="D328" s="76">
        <v>-0.15</v>
      </c>
      <c r="E328" s="76">
        <v>-0.04</v>
      </c>
      <c r="F328" s="76">
        <v>0.15</v>
      </c>
      <c r="G328" s="76">
        <v>-33.65</v>
      </c>
      <c r="H328" s="76">
        <v>-6650.99</v>
      </c>
      <c r="I328" s="76">
        <v>-10578.4</v>
      </c>
      <c r="J328" s="76">
        <v>-0.24</v>
      </c>
      <c r="K328" s="76">
        <v>-3.63</v>
      </c>
      <c r="L328" s="76">
        <v>-3.4</v>
      </c>
      <c r="M328" s="76">
        <v>0.0</v>
      </c>
      <c r="N328" s="76">
        <v>16.01</v>
      </c>
      <c r="O328" s="76">
        <v>-0.06</v>
      </c>
      <c r="P328" s="76">
        <v>-0.23</v>
      </c>
      <c r="Q328" s="76">
        <v>0.13</v>
      </c>
      <c r="R328" s="76">
        <v>-23.84</v>
      </c>
      <c r="S328" s="76">
        <v>-96.97</v>
      </c>
      <c r="T328" s="76">
        <v>31.53</v>
      </c>
      <c r="U328" s="76">
        <v>-4.07</v>
      </c>
      <c r="V328" s="76">
        <v>5.07</v>
      </c>
      <c r="W328" s="76">
        <v>0.01</v>
      </c>
      <c r="X328" s="76">
        <v>-19.65</v>
      </c>
      <c r="Y328" s="76">
        <v>0.0</v>
      </c>
      <c r="Z328" s="76">
        <v>180392.2</v>
      </c>
      <c r="AA328" s="76">
        <v>-36.59</v>
      </c>
      <c r="AB328" s="76">
        <v>-8.72</v>
      </c>
      <c r="AC328" s="76">
        <v>0.0</v>
      </c>
      <c r="AD328" s="79">
        <v>6.246939676E7</v>
      </c>
      <c r="AE328" s="80"/>
    </row>
    <row r="329">
      <c r="A329" s="73" t="s">
        <v>378</v>
      </c>
      <c r="B329" s="76">
        <v>1.15</v>
      </c>
      <c r="C329" s="76">
        <v>0.0</v>
      </c>
      <c r="D329" s="76">
        <v>-0.13</v>
      </c>
      <c r="E329" s="76">
        <v>-0.03</v>
      </c>
      <c r="F329" s="76">
        <v>0.13</v>
      </c>
      <c r="G329" s="76">
        <v>-33.65</v>
      </c>
      <c r="H329" s="76">
        <v>-6650.99</v>
      </c>
      <c r="I329" s="76">
        <v>-10578.4</v>
      </c>
      <c r="J329" s="76">
        <v>-0.21</v>
      </c>
      <c r="K329" s="76">
        <v>-3.63</v>
      </c>
      <c r="L329" s="76">
        <v>-3.4</v>
      </c>
      <c r="M329" s="76">
        <v>0.0</v>
      </c>
      <c r="N329" s="76">
        <v>13.95</v>
      </c>
      <c r="O329" s="76">
        <v>-0.05</v>
      </c>
      <c r="P329" s="76">
        <v>-0.2</v>
      </c>
      <c r="Q329" s="76">
        <v>0.13</v>
      </c>
      <c r="R329" s="76">
        <v>-23.84</v>
      </c>
      <c r="S329" s="76">
        <v>-96.97</v>
      </c>
      <c r="T329" s="76">
        <v>31.53</v>
      </c>
      <c r="U329" s="76">
        <v>-4.07</v>
      </c>
      <c r="V329" s="76">
        <v>5.07</v>
      </c>
      <c r="W329" s="76">
        <v>0.01</v>
      </c>
      <c r="X329" s="76">
        <v>-19.65</v>
      </c>
      <c r="Y329" s="76">
        <v>0.0</v>
      </c>
      <c r="Z329" s="79">
        <v>62412.29</v>
      </c>
      <c r="AA329" s="76">
        <v>-36.59</v>
      </c>
      <c r="AB329" s="76">
        <v>-8.72</v>
      </c>
      <c r="AC329" s="76">
        <v>0.0</v>
      </c>
      <c r="AD329" s="79">
        <v>6.246939676E7</v>
      </c>
      <c r="AE329" s="80"/>
    </row>
    <row r="330">
      <c r="A330" s="73" t="s">
        <v>379</v>
      </c>
      <c r="B330" s="76">
        <v>0.0</v>
      </c>
      <c r="C330" s="76">
        <v>0.0</v>
      </c>
      <c r="D330" s="77">
        <v>0.0</v>
      </c>
      <c r="E330" s="76">
        <v>0.0</v>
      </c>
      <c r="F330" s="76">
        <v>0.0</v>
      </c>
      <c r="G330" s="76">
        <v>32.32</v>
      </c>
      <c r="H330" s="76">
        <v>13.69</v>
      </c>
      <c r="I330" s="76">
        <v>13.53</v>
      </c>
      <c r="J330" s="76">
        <v>0.0</v>
      </c>
      <c r="K330" s="76">
        <v>4.78</v>
      </c>
      <c r="L330" s="76">
        <v>4.78</v>
      </c>
      <c r="M330" s="76">
        <v>1.5</v>
      </c>
      <c r="N330" s="76">
        <v>0.0</v>
      </c>
      <c r="O330" s="76">
        <v>0.0</v>
      </c>
      <c r="P330" s="76">
        <v>0.0</v>
      </c>
      <c r="Q330" s="76">
        <v>2.06</v>
      </c>
      <c r="R330" s="76">
        <v>30.96</v>
      </c>
      <c r="S330" s="76">
        <v>4.79</v>
      </c>
      <c r="T330" s="76">
        <v>1.14</v>
      </c>
      <c r="U330" s="76">
        <v>0.15</v>
      </c>
      <c r="V330" s="76">
        <v>0.85</v>
      </c>
      <c r="W330" s="76">
        <v>0.35</v>
      </c>
      <c r="X330" s="76">
        <v>20.14</v>
      </c>
      <c r="Y330" s="76">
        <v>0.0</v>
      </c>
      <c r="Z330" s="76">
        <v>0.0</v>
      </c>
      <c r="AA330" s="76">
        <v>2.82</v>
      </c>
      <c r="AB330" s="76">
        <v>0.87</v>
      </c>
      <c r="AC330" s="76">
        <v>0.0</v>
      </c>
      <c r="AD330" s="76">
        <v>0.0</v>
      </c>
      <c r="AE330" s="74"/>
    </row>
    <row r="331">
      <c r="A331" s="73" t="s">
        <v>380</v>
      </c>
      <c r="B331" s="76">
        <v>12.73</v>
      </c>
      <c r="C331" s="76">
        <v>11.02</v>
      </c>
      <c r="D331" s="76">
        <v>8.82</v>
      </c>
      <c r="E331" s="76">
        <v>1.32</v>
      </c>
      <c r="F331" s="76">
        <v>0.75</v>
      </c>
      <c r="G331" s="76">
        <v>29.64</v>
      </c>
      <c r="H331" s="76">
        <v>9.41</v>
      </c>
      <c r="I331" s="76">
        <v>10.32</v>
      </c>
      <c r="J331" s="76">
        <v>9.68</v>
      </c>
      <c r="K331" s="76">
        <v>9.2</v>
      </c>
      <c r="L331" s="76">
        <v>-0.48</v>
      </c>
      <c r="M331" s="76">
        <v>-0.07</v>
      </c>
      <c r="N331" s="76">
        <v>0.91</v>
      </c>
      <c r="O331" s="76">
        <v>1.68</v>
      </c>
      <c r="P331" s="76">
        <v>-2.82</v>
      </c>
      <c r="Q331" s="76">
        <v>2.54</v>
      </c>
      <c r="R331" s="76">
        <v>14.99</v>
      </c>
      <c r="S331" s="76">
        <v>8.45</v>
      </c>
      <c r="T331" s="76">
        <v>8.87</v>
      </c>
      <c r="U331" s="76">
        <v>0.56</v>
      </c>
      <c r="V331" s="76">
        <v>0.43</v>
      </c>
      <c r="W331" s="76">
        <v>0.82</v>
      </c>
      <c r="X331" s="76">
        <v>22.88</v>
      </c>
      <c r="Y331" s="76">
        <v>20.07</v>
      </c>
      <c r="Z331" s="77">
        <v>2.1330843E7</v>
      </c>
      <c r="AA331" s="76">
        <v>9.63</v>
      </c>
      <c r="AB331" s="76">
        <v>1.44</v>
      </c>
      <c r="AC331" s="76">
        <v>-0.45</v>
      </c>
      <c r="AD331" s="79">
        <v>4.17048943E9</v>
      </c>
      <c r="AE331" s="80"/>
    </row>
    <row r="332">
      <c r="A332" s="73" t="s">
        <v>381</v>
      </c>
      <c r="B332" s="76">
        <v>59.14</v>
      </c>
      <c r="C332" s="76">
        <v>0.0</v>
      </c>
      <c r="D332" s="76">
        <v>9.04</v>
      </c>
      <c r="E332" s="76">
        <v>0.91</v>
      </c>
      <c r="F332" s="76">
        <v>0.31</v>
      </c>
      <c r="G332" s="76">
        <v>12.06</v>
      </c>
      <c r="H332" s="76">
        <v>11.57</v>
      </c>
      <c r="I332" s="76">
        <v>9.6</v>
      </c>
      <c r="J332" s="76">
        <v>7.5</v>
      </c>
      <c r="K332" s="76">
        <v>7.5</v>
      </c>
      <c r="L332" s="76">
        <v>0.0</v>
      </c>
      <c r="M332" s="76">
        <v>0.0</v>
      </c>
      <c r="N332" s="76">
        <v>0.87</v>
      </c>
      <c r="O332" s="76">
        <v>2.12</v>
      </c>
      <c r="P332" s="76">
        <v>-0.52</v>
      </c>
      <c r="Q332" s="76">
        <v>1.56</v>
      </c>
      <c r="R332" s="76">
        <v>10.05</v>
      </c>
      <c r="S332" s="76">
        <v>3.42</v>
      </c>
      <c r="T332" s="76">
        <v>0.0</v>
      </c>
      <c r="U332" s="76">
        <v>0.34</v>
      </c>
      <c r="V332" s="76">
        <v>0.66</v>
      </c>
      <c r="W332" s="76">
        <v>0.36</v>
      </c>
      <c r="X332" s="76">
        <v>-1.73</v>
      </c>
      <c r="Y332" s="76">
        <v>-15.05</v>
      </c>
      <c r="Z332" s="76">
        <v>5.1395002E7</v>
      </c>
      <c r="AA332" s="76">
        <v>65.09</v>
      </c>
      <c r="AB332" s="76">
        <v>6.54</v>
      </c>
      <c r="AC332" s="76">
        <v>2.66</v>
      </c>
      <c r="AD332" s="79">
        <v>4.840188278E9</v>
      </c>
      <c r="AE332" s="80"/>
    </row>
    <row r="333">
      <c r="A333" s="73" t="s">
        <v>382</v>
      </c>
      <c r="B333" s="76">
        <v>35.2</v>
      </c>
      <c r="C333" s="76">
        <v>5.58</v>
      </c>
      <c r="D333" s="76">
        <v>7.93</v>
      </c>
      <c r="E333" s="76">
        <v>1.11</v>
      </c>
      <c r="F333" s="76">
        <v>0.51</v>
      </c>
      <c r="G333" s="76">
        <v>40.72</v>
      </c>
      <c r="H333" s="76">
        <v>45.74</v>
      </c>
      <c r="I333" s="76">
        <v>32.78</v>
      </c>
      <c r="J333" s="76">
        <v>5.68</v>
      </c>
      <c r="K333" s="76">
        <v>8.18</v>
      </c>
      <c r="L333" s="76">
        <v>3.04</v>
      </c>
      <c r="M333" s="76">
        <v>0.59</v>
      </c>
      <c r="N333" s="76">
        <v>2.6</v>
      </c>
      <c r="O333" s="76">
        <v>4.23</v>
      </c>
      <c r="P333" s="76">
        <v>-0.6</v>
      </c>
      <c r="Q333" s="76">
        <v>4.46</v>
      </c>
      <c r="R333" s="76">
        <v>13.99</v>
      </c>
      <c r="S333" s="76">
        <v>6.41</v>
      </c>
      <c r="T333" s="76">
        <v>11.18</v>
      </c>
      <c r="U333" s="76">
        <v>0.46</v>
      </c>
      <c r="V333" s="76">
        <v>0.53</v>
      </c>
      <c r="W333" s="76">
        <v>0.2</v>
      </c>
      <c r="X333" s="76">
        <v>19.24</v>
      </c>
      <c r="Y333" s="76">
        <v>10.66</v>
      </c>
      <c r="Z333" s="76">
        <v>148320.7</v>
      </c>
      <c r="AA333" s="76">
        <v>31.73</v>
      </c>
      <c r="AB333" s="76">
        <v>4.44</v>
      </c>
      <c r="AC333" s="76">
        <v>-0.68</v>
      </c>
      <c r="AD333" s="79">
        <v>2.0991501111E10</v>
      </c>
      <c r="AE333" s="80"/>
    </row>
    <row r="334">
      <c r="A334" s="73" t="s">
        <v>383</v>
      </c>
      <c r="B334" s="76">
        <v>29.71</v>
      </c>
      <c r="C334" s="76">
        <v>6.61</v>
      </c>
      <c r="D334" s="76">
        <v>6.69</v>
      </c>
      <c r="E334" s="76">
        <v>0.94</v>
      </c>
      <c r="F334" s="76">
        <v>0.43</v>
      </c>
      <c r="G334" s="76">
        <v>40.72</v>
      </c>
      <c r="H334" s="76">
        <v>45.74</v>
      </c>
      <c r="I334" s="76">
        <v>32.78</v>
      </c>
      <c r="J334" s="76">
        <v>4.8</v>
      </c>
      <c r="K334" s="76">
        <v>8.18</v>
      </c>
      <c r="L334" s="76">
        <v>3.04</v>
      </c>
      <c r="M334" s="76">
        <v>0.59</v>
      </c>
      <c r="N334" s="76">
        <v>2.19</v>
      </c>
      <c r="O334" s="76">
        <v>3.57</v>
      </c>
      <c r="P334" s="76">
        <v>-0.51</v>
      </c>
      <c r="Q334" s="76">
        <v>4.46</v>
      </c>
      <c r="R334" s="76">
        <v>13.99</v>
      </c>
      <c r="S334" s="76">
        <v>6.41</v>
      </c>
      <c r="T334" s="76">
        <v>11.18</v>
      </c>
      <c r="U334" s="76">
        <v>0.46</v>
      </c>
      <c r="V334" s="76">
        <v>0.53</v>
      </c>
      <c r="W334" s="76">
        <v>0.2</v>
      </c>
      <c r="X334" s="76">
        <v>19.24</v>
      </c>
      <c r="Y334" s="76">
        <v>10.66</v>
      </c>
      <c r="Z334" s="76">
        <v>6.0660955E7</v>
      </c>
      <c r="AA334" s="76">
        <v>31.73</v>
      </c>
      <c r="AB334" s="76">
        <v>4.44</v>
      </c>
      <c r="AC334" s="76">
        <v>-0.58</v>
      </c>
      <c r="AD334" s="79">
        <v>2.0991501111E10</v>
      </c>
      <c r="AE334" s="80"/>
    </row>
    <row r="335">
      <c r="A335" s="73" t="s">
        <v>384</v>
      </c>
      <c r="B335" s="76">
        <v>40.1</v>
      </c>
      <c r="C335" s="76">
        <v>0.0</v>
      </c>
      <c r="D335" s="76">
        <v>-35.12</v>
      </c>
      <c r="E335" s="76">
        <v>22.04</v>
      </c>
      <c r="F335" s="76">
        <v>9.22</v>
      </c>
      <c r="G335" s="76">
        <v>-121.18</v>
      </c>
      <c r="H335" s="76">
        <v>-18852.9</v>
      </c>
      <c r="I335" s="76">
        <v>-7435.88</v>
      </c>
      <c r="J335" s="76">
        <v>-13.85</v>
      </c>
      <c r="K335" s="76">
        <v>-13.21</v>
      </c>
      <c r="L335" s="76">
        <v>0.64</v>
      </c>
      <c r="M335" s="76">
        <v>-1.02</v>
      </c>
      <c r="N335" s="76">
        <v>2611.73</v>
      </c>
      <c r="O335" s="76">
        <v>25.42</v>
      </c>
      <c r="P335" s="76">
        <v>-16.7</v>
      </c>
      <c r="Q335" s="76">
        <v>5.23</v>
      </c>
      <c r="R335" s="76">
        <v>-62.76</v>
      </c>
      <c r="S335" s="76">
        <v>-26.24</v>
      </c>
      <c r="T335" s="76">
        <v>-174.07</v>
      </c>
      <c r="U335" s="76">
        <v>0.42</v>
      </c>
      <c r="V335" s="76">
        <v>0.58</v>
      </c>
      <c r="W335" s="76">
        <v>0.0</v>
      </c>
      <c r="X335" s="76">
        <v>-75.29</v>
      </c>
      <c r="Y335" s="76">
        <v>0.0</v>
      </c>
      <c r="Z335" s="79">
        <v>0.0</v>
      </c>
      <c r="AA335" s="76">
        <v>1.82</v>
      </c>
      <c r="AB335" s="76">
        <v>-1.14</v>
      </c>
      <c r="AC335" s="76">
        <v>1.36</v>
      </c>
      <c r="AD335" s="79">
        <v>4.439946586E8</v>
      </c>
      <c r="AE335" s="80"/>
    </row>
    <row r="336">
      <c r="A336" s="73" t="s">
        <v>385</v>
      </c>
      <c r="B336" s="76">
        <v>14.58</v>
      </c>
      <c r="C336" s="76">
        <v>7.81</v>
      </c>
      <c r="D336" s="76">
        <v>10.28</v>
      </c>
      <c r="E336" s="76">
        <v>1.77</v>
      </c>
      <c r="F336" s="76">
        <v>1.44</v>
      </c>
      <c r="G336" s="76">
        <v>23.52</v>
      </c>
      <c r="H336" s="76">
        <v>213.64</v>
      </c>
      <c r="I336" s="76">
        <v>193.63</v>
      </c>
      <c r="J336" s="76">
        <v>9.31</v>
      </c>
      <c r="K336" s="76">
        <v>9.65</v>
      </c>
      <c r="L336" s="76">
        <v>0.25</v>
      </c>
      <c r="M336" s="76">
        <v>0.05</v>
      </c>
      <c r="N336" s="76">
        <v>19.9</v>
      </c>
      <c r="O336" s="76">
        <v>31.05</v>
      </c>
      <c r="P336" s="76">
        <v>-1.58</v>
      </c>
      <c r="Q336" s="76">
        <v>2.18</v>
      </c>
      <c r="R336" s="76">
        <v>17.22</v>
      </c>
      <c r="S336" s="76">
        <v>14.03</v>
      </c>
      <c r="T336" s="76">
        <v>16.3</v>
      </c>
      <c r="U336" s="76">
        <v>0.81</v>
      </c>
      <c r="V336" s="76">
        <v>0.15</v>
      </c>
      <c r="W336" s="76">
        <v>0.07</v>
      </c>
      <c r="X336" s="76">
        <v>10.46</v>
      </c>
      <c r="Y336" s="76">
        <v>9.06</v>
      </c>
      <c r="Z336" s="79">
        <v>2495359.0</v>
      </c>
      <c r="AA336" s="76">
        <v>8.24</v>
      </c>
      <c r="AB336" s="76">
        <v>1.42</v>
      </c>
      <c r="AC336" s="76">
        <v>0.77</v>
      </c>
      <c r="AD336" s="79">
        <v>1.65115E11</v>
      </c>
      <c r="AE336" s="80"/>
    </row>
    <row r="337">
      <c r="A337" s="73" t="s">
        <v>386</v>
      </c>
      <c r="B337" s="76">
        <v>14.8</v>
      </c>
      <c r="C337" s="76">
        <v>7.89</v>
      </c>
      <c r="D337" s="76">
        <v>10.43</v>
      </c>
      <c r="E337" s="76">
        <v>1.8</v>
      </c>
      <c r="F337" s="76">
        <v>1.46</v>
      </c>
      <c r="G337" s="76">
        <v>23.52</v>
      </c>
      <c r="H337" s="76">
        <v>213.64</v>
      </c>
      <c r="I337" s="76">
        <v>193.63</v>
      </c>
      <c r="J337" s="76">
        <v>9.45</v>
      </c>
      <c r="K337" s="76">
        <v>9.65</v>
      </c>
      <c r="L337" s="76">
        <v>0.25</v>
      </c>
      <c r="M337" s="76">
        <v>0.05</v>
      </c>
      <c r="N337" s="76">
        <v>20.2</v>
      </c>
      <c r="O337" s="76">
        <v>31.52</v>
      </c>
      <c r="P337" s="76">
        <v>-1.6</v>
      </c>
      <c r="Q337" s="76">
        <v>2.18</v>
      </c>
      <c r="R337" s="76">
        <v>17.22</v>
      </c>
      <c r="S337" s="76">
        <v>14.03</v>
      </c>
      <c r="T337" s="76">
        <v>16.3</v>
      </c>
      <c r="U337" s="76">
        <v>0.81</v>
      </c>
      <c r="V337" s="76">
        <v>0.15</v>
      </c>
      <c r="W337" s="76">
        <v>0.07</v>
      </c>
      <c r="X337" s="76">
        <v>10.46</v>
      </c>
      <c r="Y337" s="76">
        <v>9.06</v>
      </c>
      <c r="Z337" s="79">
        <v>5.15E8</v>
      </c>
      <c r="AA337" s="76">
        <v>8.24</v>
      </c>
      <c r="AB337" s="76">
        <v>1.42</v>
      </c>
      <c r="AC337" s="76">
        <v>0.78</v>
      </c>
      <c r="AD337" s="79">
        <v>1.65115E11</v>
      </c>
      <c r="AE337" s="80"/>
    </row>
    <row r="338">
      <c r="A338" s="73" t="s">
        <v>387</v>
      </c>
      <c r="B338" s="76">
        <v>45.34</v>
      </c>
      <c r="C338" s="76">
        <v>6.94</v>
      </c>
      <c r="D338" s="76">
        <v>11.15</v>
      </c>
      <c r="E338" s="76">
        <v>2.32</v>
      </c>
      <c r="F338" s="76">
        <v>0.16</v>
      </c>
      <c r="G338" s="76">
        <v>35.89</v>
      </c>
      <c r="H338" s="76">
        <v>12.98</v>
      </c>
      <c r="I338" s="76">
        <v>11.59</v>
      </c>
      <c r="J338" s="76">
        <v>9.95</v>
      </c>
      <c r="K338" s="76">
        <v>10.3</v>
      </c>
      <c r="L338" s="76">
        <v>0.0</v>
      </c>
      <c r="M338" s="76">
        <v>0.0</v>
      </c>
      <c r="N338" s="76">
        <v>1.29</v>
      </c>
      <c r="O338" s="76">
        <v>-2.1</v>
      </c>
      <c r="P338" s="76">
        <v>-0.17</v>
      </c>
      <c r="Q338" s="76">
        <v>0.14</v>
      </c>
      <c r="R338" s="76">
        <v>20.86</v>
      </c>
      <c r="S338" s="76">
        <v>1.46</v>
      </c>
      <c r="T338" s="76">
        <v>0.0</v>
      </c>
      <c r="U338" s="76">
        <v>0.07</v>
      </c>
      <c r="V338" s="76">
        <v>0.93</v>
      </c>
      <c r="W338" s="76">
        <v>0.13</v>
      </c>
      <c r="X338" s="76">
        <v>17.38</v>
      </c>
      <c r="Y338" s="76">
        <v>18.88</v>
      </c>
      <c r="Z338" s="76">
        <v>4.8665897E7</v>
      </c>
      <c r="AA338" s="76">
        <v>19.5</v>
      </c>
      <c r="AB338" s="76">
        <v>4.07</v>
      </c>
      <c r="AC338" s="76">
        <v>1.21</v>
      </c>
      <c r="AD338" s="79">
        <v>5.17322E11</v>
      </c>
      <c r="AE338" s="80"/>
    </row>
    <row r="339">
      <c r="A339" s="73" t="s">
        <v>388</v>
      </c>
      <c r="B339" s="76">
        <v>48.55</v>
      </c>
      <c r="C339" s="76">
        <v>6.48</v>
      </c>
      <c r="D339" s="76">
        <v>11.93</v>
      </c>
      <c r="E339" s="76">
        <v>2.49</v>
      </c>
      <c r="F339" s="76">
        <v>0.17</v>
      </c>
      <c r="G339" s="76">
        <v>35.89</v>
      </c>
      <c r="H339" s="76">
        <v>12.98</v>
      </c>
      <c r="I339" s="76">
        <v>11.59</v>
      </c>
      <c r="J339" s="76">
        <v>10.65</v>
      </c>
      <c r="K339" s="76">
        <v>10.3</v>
      </c>
      <c r="L339" s="76">
        <v>0.0</v>
      </c>
      <c r="M339" s="76">
        <v>0.0</v>
      </c>
      <c r="N339" s="76">
        <v>1.38</v>
      </c>
      <c r="O339" s="76">
        <v>-2.25</v>
      </c>
      <c r="P339" s="76">
        <v>-0.18</v>
      </c>
      <c r="Q339" s="76">
        <v>0.14</v>
      </c>
      <c r="R339" s="76">
        <v>20.86</v>
      </c>
      <c r="S339" s="76">
        <v>1.46</v>
      </c>
      <c r="T339" s="76">
        <v>0.0</v>
      </c>
      <c r="U339" s="76">
        <v>0.07</v>
      </c>
      <c r="V339" s="76">
        <v>0.93</v>
      </c>
      <c r="W339" s="76">
        <v>0.13</v>
      </c>
      <c r="X339" s="76">
        <v>17.38</v>
      </c>
      <c r="Y339" s="76">
        <v>18.88</v>
      </c>
      <c r="Z339" s="79">
        <v>1.65E9</v>
      </c>
      <c r="AA339" s="76">
        <v>19.5</v>
      </c>
      <c r="AB339" s="76">
        <v>4.07</v>
      </c>
      <c r="AC339" s="76">
        <v>1.3</v>
      </c>
      <c r="AD339" s="79">
        <v>5.17322E11</v>
      </c>
      <c r="AE339" s="80"/>
    </row>
    <row r="340">
      <c r="A340" s="73" t="s">
        <v>389</v>
      </c>
      <c r="B340" s="76">
        <v>3.07</v>
      </c>
      <c r="C340" s="76">
        <v>0.0</v>
      </c>
      <c r="D340" s="76">
        <v>-11.31</v>
      </c>
      <c r="E340" s="76">
        <v>0.47</v>
      </c>
      <c r="F340" s="76">
        <v>0.13</v>
      </c>
      <c r="G340" s="76">
        <v>11.8</v>
      </c>
      <c r="H340" s="76">
        <v>2.73</v>
      </c>
      <c r="I340" s="76">
        <v>-3.24</v>
      </c>
      <c r="J340" s="76">
        <v>13.43</v>
      </c>
      <c r="K340" s="76">
        <v>61.1</v>
      </c>
      <c r="L340" s="76">
        <v>47.66</v>
      </c>
      <c r="M340" s="76">
        <v>1.65</v>
      </c>
      <c r="N340" s="76">
        <v>0.37</v>
      </c>
      <c r="O340" s="76">
        <v>0.75</v>
      </c>
      <c r="P340" s="76">
        <v>-0.19</v>
      </c>
      <c r="Q340" s="76">
        <v>2.19</v>
      </c>
      <c r="R340" s="76">
        <v>-4.11</v>
      </c>
      <c r="S340" s="76">
        <v>-1.15</v>
      </c>
      <c r="T340" s="76">
        <v>-1.38</v>
      </c>
      <c r="U340" s="76">
        <v>0.28</v>
      </c>
      <c r="V340" s="76">
        <v>0.72</v>
      </c>
      <c r="W340" s="76">
        <v>0.36</v>
      </c>
      <c r="X340" s="76">
        <v>21.27</v>
      </c>
      <c r="Y340" s="76">
        <v>0.0</v>
      </c>
      <c r="Z340" s="76">
        <v>4181944.0</v>
      </c>
      <c r="AA340" s="76">
        <v>6.6</v>
      </c>
      <c r="AB340" s="76">
        <v>-0.27</v>
      </c>
      <c r="AC340" s="76">
        <v>0.07</v>
      </c>
      <c r="AD340" s="76">
        <v>9.318735225E8</v>
      </c>
      <c r="AE340" s="74"/>
    </row>
    <row r="341">
      <c r="A341" s="73" t="s">
        <v>390</v>
      </c>
      <c r="B341" s="76">
        <v>71.85</v>
      </c>
      <c r="C341" s="76">
        <v>4.18</v>
      </c>
      <c r="D341" s="76">
        <v>5.41</v>
      </c>
      <c r="E341" s="76">
        <v>1.35</v>
      </c>
      <c r="F341" s="76">
        <v>0.27</v>
      </c>
      <c r="G341" s="76">
        <v>13.74</v>
      </c>
      <c r="H341" s="76">
        <v>5.04</v>
      </c>
      <c r="I341" s="76">
        <v>2.44</v>
      </c>
      <c r="J341" s="76">
        <v>2.62</v>
      </c>
      <c r="K341" s="76">
        <v>6.35</v>
      </c>
      <c r="L341" s="76">
        <v>3.73</v>
      </c>
      <c r="M341" s="76">
        <v>1.93</v>
      </c>
      <c r="N341" s="76">
        <v>0.13</v>
      </c>
      <c r="O341" s="76">
        <v>1.78</v>
      </c>
      <c r="P341" s="76">
        <v>-0.44</v>
      </c>
      <c r="Q341" s="76">
        <v>1.6</v>
      </c>
      <c r="R341" s="76">
        <v>25.03</v>
      </c>
      <c r="S341" s="76">
        <v>4.91</v>
      </c>
      <c r="T341" s="76">
        <v>12.87</v>
      </c>
      <c r="U341" s="76">
        <v>0.2</v>
      </c>
      <c r="V341" s="76">
        <v>0.79</v>
      </c>
      <c r="W341" s="76">
        <v>2.01</v>
      </c>
      <c r="X341" s="76">
        <v>15.31</v>
      </c>
      <c r="Y341" s="76">
        <v>13.7</v>
      </c>
      <c r="Z341" s="77">
        <v>8.0878878E7</v>
      </c>
      <c r="AA341" s="76">
        <v>53.06</v>
      </c>
      <c r="AB341" s="76">
        <v>13.28</v>
      </c>
      <c r="AC341" s="76">
        <v>0.09</v>
      </c>
      <c r="AD341" s="79">
        <v>6.238047371E10</v>
      </c>
      <c r="AE341" s="80"/>
    </row>
    <row r="342">
      <c r="A342" s="73" t="s">
        <v>391</v>
      </c>
      <c r="B342" s="76">
        <v>1.01</v>
      </c>
      <c r="C342" s="76">
        <v>0.0</v>
      </c>
      <c r="D342" s="76">
        <v>-0.05</v>
      </c>
      <c r="E342" s="76">
        <v>-0.15</v>
      </c>
      <c r="F342" s="76">
        <v>0.02</v>
      </c>
      <c r="G342" s="76">
        <v>-31.8</v>
      </c>
      <c r="H342" s="76">
        <v>-97.9</v>
      </c>
      <c r="I342" s="76">
        <v>-116.21</v>
      </c>
      <c r="J342" s="76">
        <v>-0.06</v>
      </c>
      <c r="K342" s="76">
        <v>-1.39</v>
      </c>
      <c r="L342" s="76">
        <v>-1.33</v>
      </c>
      <c r="M342" s="76">
        <v>0.0</v>
      </c>
      <c r="N342" s="76">
        <v>0.06</v>
      </c>
      <c r="O342" s="76">
        <v>0.05</v>
      </c>
      <c r="P342" s="76">
        <v>-0.17</v>
      </c>
      <c r="Q342" s="76">
        <v>1.66</v>
      </c>
      <c r="R342" s="76">
        <v>-288.39</v>
      </c>
      <c r="S342" s="76">
        <v>-34.24</v>
      </c>
      <c r="T342" s="76">
        <v>-235.66</v>
      </c>
      <c r="U342" s="76">
        <v>-0.12</v>
      </c>
      <c r="V342" s="76">
        <v>1.25</v>
      </c>
      <c r="W342" s="76">
        <v>0.29</v>
      </c>
      <c r="X342" s="76">
        <v>-0.91</v>
      </c>
      <c r="Y342" s="76">
        <v>0.0</v>
      </c>
      <c r="Z342" s="79">
        <v>54805.43</v>
      </c>
      <c r="AA342" s="76">
        <v>-6.94</v>
      </c>
      <c r="AB342" s="76">
        <v>-20.03</v>
      </c>
      <c r="AC342" s="76">
        <v>0.0</v>
      </c>
      <c r="AD342" s="79">
        <v>1.293077245E7</v>
      </c>
      <c r="AE342" s="80"/>
    </row>
    <row r="343">
      <c r="A343" s="73" t="s">
        <v>392</v>
      </c>
      <c r="B343" s="76">
        <v>9.94</v>
      </c>
      <c r="C343" s="76">
        <v>4.51</v>
      </c>
      <c r="D343" s="76">
        <v>5.25</v>
      </c>
      <c r="E343" s="76">
        <v>1.08</v>
      </c>
      <c r="F343" s="76">
        <v>0.43</v>
      </c>
      <c r="G343" s="76">
        <v>61.76</v>
      </c>
      <c r="H343" s="76">
        <v>92.85</v>
      </c>
      <c r="I343" s="76">
        <v>65.96</v>
      </c>
      <c r="J343" s="76">
        <v>3.73</v>
      </c>
      <c r="K343" s="76">
        <v>5.68</v>
      </c>
      <c r="L343" s="76">
        <v>1.94</v>
      </c>
      <c r="M343" s="76">
        <v>0.56</v>
      </c>
      <c r="N343" s="76">
        <v>3.47</v>
      </c>
      <c r="O343" s="77">
        <v>1.99</v>
      </c>
      <c r="P343" s="76">
        <v>-0.66</v>
      </c>
      <c r="Q343" s="76">
        <v>2.8</v>
      </c>
      <c r="R343" s="76">
        <v>20.57</v>
      </c>
      <c r="S343" s="76">
        <v>8.26</v>
      </c>
      <c r="T343" s="76">
        <v>12.72</v>
      </c>
      <c r="U343" s="76">
        <v>0.4</v>
      </c>
      <c r="V343" s="76">
        <v>0.57</v>
      </c>
      <c r="W343" s="76">
        <v>0.13</v>
      </c>
      <c r="X343" s="76">
        <v>20.35</v>
      </c>
      <c r="Y343" s="76">
        <v>32.04</v>
      </c>
      <c r="Z343" s="77">
        <v>4.2543084E7</v>
      </c>
      <c r="AA343" s="76">
        <v>9.2</v>
      </c>
      <c r="AB343" s="76">
        <v>1.89</v>
      </c>
      <c r="AC343" s="76">
        <v>0.05</v>
      </c>
      <c r="AD343" s="79">
        <v>6.796535714E9</v>
      </c>
      <c r="AE343" s="80"/>
    </row>
    <row r="344">
      <c r="A344" s="73" t="s">
        <v>393</v>
      </c>
      <c r="B344" s="76">
        <v>22.0</v>
      </c>
      <c r="C344" s="76">
        <v>2.88</v>
      </c>
      <c r="D344" s="76">
        <v>27.41</v>
      </c>
      <c r="E344" s="76">
        <v>0.38</v>
      </c>
      <c r="F344" s="76">
        <v>0.1</v>
      </c>
      <c r="G344" s="76">
        <v>22.31</v>
      </c>
      <c r="H344" s="76">
        <v>4.41</v>
      </c>
      <c r="I344" s="76">
        <v>0.43</v>
      </c>
      <c r="J344" s="76">
        <v>2.66</v>
      </c>
      <c r="K344" s="76">
        <v>7.87</v>
      </c>
      <c r="L344" s="76">
        <v>5.21</v>
      </c>
      <c r="M344" s="76">
        <v>0.75</v>
      </c>
      <c r="N344" s="76">
        <v>0.12</v>
      </c>
      <c r="O344" s="77">
        <v>0.25</v>
      </c>
      <c r="P344" s="76">
        <v>-0.37</v>
      </c>
      <c r="Q344" s="76">
        <v>2.31</v>
      </c>
      <c r="R344" s="76">
        <v>1.39</v>
      </c>
      <c r="S344" s="76">
        <v>0.38</v>
      </c>
      <c r="T344" s="76">
        <v>3.73</v>
      </c>
      <c r="U344" s="76">
        <v>0.27</v>
      </c>
      <c r="V344" s="76">
        <v>0.66</v>
      </c>
      <c r="W344" s="76">
        <v>0.88</v>
      </c>
      <c r="X344" s="76">
        <v>12.67</v>
      </c>
      <c r="Y344" s="76">
        <v>-4.49</v>
      </c>
      <c r="Z344" s="77">
        <v>1662.4</v>
      </c>
      <c r="AA344" s="76">
        <v>57.65</v>
      </c>
      <c r="AB344" s="76">
        <v>0.8</v>
      </c>
      <c r="AC344" s="76">
        <v>-0.36</v>
      </c>
      <c r="AD344" s="79">
        <v>2.33074678E8</v>
      </c>
      <c r="AE344" s="80"/>
    </row>
    <row r="345">
      <c r="A345" s="73" t="s">
        <v>394</v>
      </c>
      <c r="B345" s="76">
        <v>24.0</v>
      </c>
      <c r="C345" s="76">
        <v>2.9</v>
      </c>
      <c r="D345" s="76">
        <v>29.9</v>
      </c>
      <c r="E345" s="76">
        <v>0.42</v>
      </c>
      <c r="F345" s="76">
        <v>0.11</v>
      </c>
      <c r="G345" s="76">
        <v>22.31</v>
      </c>
      <c r="H345" s="76">
        <v>4.41</v>
      </c>
      <c r="I345" s="76">
        <v>0.43</v>
      </c>
      <c r="J345" s="76">
        <v>2.9</v>
      </c>
      <c r="K345" s="76">
        <v>7.87</v>
      </c>
      <c r="L345" s="76">
        <v>5.21</v>
      </c>
      <c r="M345" s="76">
        <v>0.75</v>
      </c>
      <c r="N345" s="76">
        <v>0.13</v>
      </c>
      <c r="O345" s="76">
        <v>0.28</v>
      </c>
      <c r="P345" s="76">
        <v>-0.41</v>
      </c>
      <c r="Q345" s="76">
        <v>2.31</v>
      </c>
      <c r="R345" s="76">
        <v>1.39</v>
      </c>
      <c r="S345" s="76">
        <v>0.38</v>
      </c>
      <c r="T345" s="76">
        <v>3.73</v>
      </c>
      <c r="U345" s="76">
        <v>0.27</v>
      </c>
      <c r="V345" s="76">
        <v>0.66</v>
      </c>
      <c r="W345" s="76">
        <v>0.88</v>
      </c>
      <c r="X345" s="76">
        <v>12.67</v>
      </c>
      <c r="Y345" s="76">
        <v>-4.49</v>
      </c>
      <c r="Z345" s="76">
        <v>0.0</v>
      </c>
      <c r="AA345" s="76">
        <v>57.65</v>
      </c>
      <c r="AB345" s="76">
        <v>0.8</v>
      </c>
      <c r="AC345" s="76">
        <v>-0.4</v>
      </c>
      <c r="AD345" s="79">
        <v>2.33074678E8</v>
      </c>
      <c r="AE345" s="80"/>
    </row>
    <row r="346">
      <c r="A346" s="73" t="s">
        <v>395</v>
      </c>
      <c r="B346" s="76">
        <v>8.2</v>
      </c>
      <c r="C346" s="76">
        <v>23.31</v>
      </c>
      <c r="D346" s="76">
        <v>24.96</v>
      </c>
      <c r="E346" s="76">
        <v>1.28</v>
      </c>
      <c r="F346" s="76">
        <v>0.19</v>
      </c>
      <c r="G346" s="76">
        <v>15.9</v>
      </c>
      <c r="H346" s="76">
        <v>11.71</v>
      </c>
      <c r="I346" s="76">
        <v>0.97</v>
      </c>
      <c r="J346" s="76">
        <v>2.07</v>
      </c>
      <c r="K346" s="76">
        <v>7.83</v>
      </c>
      <c r="L346" s="76">
        <v>5.76</v>
      </c>
      <c r="M346" s="76">
        <v>3.56</v>
      </c>
      <c r="N346" s="76">
        <v>0.24</v>
      </c>
      <c r="O346" s="76">
        <v>1.08</v>
      </c>
      <c r="P346" s="76">
        <v>-0.3</v>
      </c>
      <c r="Q346" s="76">
        <v>1.88</v>
      </c>
      <c r="R346" s="76">
        <v>5.13</v>
      </c>
      <c r="S346" s="76">
        <v>0.76</v>
      </c>
      <c r="T346" s="76">
        <v>10.03</v>
      </c>
      <c r="U346" s="76">
        <v>0.15</v>
      </c>
      <c r="V346" s="76">
        <v>0.85</v>
      </c>
      <c r="W346" s="76">
        <v>0.78</v>
      </c>
      <c r="X346" s="76">
        <v>23.9</v>
      </c>
      <c r="Y346" s="76">
        <v>-16.07</v>
      </c>
      <c r="Z346" s="79">
        <v>1.0378939E7</v>
      </c>
      <c r="AA346" s="76">
        <v>6.41</v>
      </c>
      <c r="AB346" s="76">
        <v>0.33</v>
      </c>
      <c r="AC346" s="76">
        <v>-0.39</v>
      </c>
      <c r="AD346" s="79">
        <v>2.34873484E9</v>
      </c>
      <c r="AE346" s="80"/>
    </row>
    <row r="347">
      <c r="A347" s="73" t="s">
        <v>396</v>
      </c>
      <c r="B347" s="76">
        <v>9.78</v>
      </c>
      <c r="C347" s="76">
        <v>8.56</v>
      </c>
      <c r="D347" s="76">
        <v>12.39</v>
      </c>
      <c r="E347" s="76">
        <v>2.33</v>
      </c>
      <c r="F347" s="76">
        <v>1.13</v>
      </c>
      <c r="G347" s="76">
        <v>25.38</v>
      </c>
      <c r="H347" s="76">
        <v>13.44</v>
      </c>
      <c r="I347" s="76">
        <v>9.14</v>
      </c>
      <c r="J347" s="76">
        <v>8.43</v>
      </c>
      <c r="K347" s="76">
        <v>8.37</v>
      </c>
      <c r="L347" s="76">
        <v>-0.06</v>
      </c>
      <c r="M347" s="76">
        <v>-0.02</v>
      </c>
      <c r="N347" s="76">
        <v>1.13</v>
      </c>
      <c r="O347" s="76">
        <v>3.57</v>
      </c>
      <c r="P347" s="76">
        <v>-3.28</v>
      </c>
      <c r="Q347" s="76">
        <v>1.94</v>
      </c>
      <c r="R347" s="76">
        <v>18.77</v>
      </c>
      <c r="S347" s="76">
        <v>9.14</v>
      </c>
      <c r="T347" s="76">
        <v>13.1</v>
      </c>
      <c r="U347" s="76">
        <v>0.49</v>
      </c>
      <c r="V347" s="76">
        <v>0.51</v>
      </c>
      <c r="W347" s="76">
        <v>1.0</v>
      </c>
      <c r="X347" s="76">
        <v>22.47</v>
      </c>
      <c r="Y347" s="76">
        <v>30.44</v>
      </c>
      <c r="Z347" s="76">
        <v>3.0740276E7</v>
      </c>
      <c r="AA347" s="76">
        <v>4.21</v>
      </c>
      <c r="AB347" s="76">
        <v>0.79</v>
      </c>
      <c r="AC347" s="76">
        <v>-0.28</v>
      </c>
      <c r="AD347" s="79">
        <v>1.757662871E9</v>
      </c>
      <c r="AE347" s="80"/>
    </row>
    <row r="348">
      <c r="A348" s="73" t="s">
        <v>397</v>
      </c>
      <c r="B348" s="76">
        <v>20.17</v>
      </c>
      <c r="C348" s="76">
        <v>7.28</v>
      </c>
      <c r="D348" s="76">
        <v>13.62</v>
      </c>
      <c r="E348" s="76">
        <v>2.46</v>
      </c>
      <c r="F348" s="76">
        <v>0.41</v>
      </c>
      <c r="G348" s="76">
        <v>38.34</v>
      </c>
      <c r="H348" s="76">
        <v>23.31</v>
      </c>
      <c r="I348" s="76">
        <v>8.89</v>
      </c>
      <c r="J348" s="76">
        <v>5.19</v>
      </c>
      <c r="K348" s="76">
        <v>10.58</v>
      </c>
      <c r="L348" s="76">
        <v>5.38</v>
      </c>
      <c r="M348" s="76">
        <v>2.55</v>
      </c>
      <c r="N348" s="76">
        <v>1.21</v>
      </c>
      <c r="O348" s="76">
        <v>2.88</v>
      </c>
      <c r="P348" s="76">
        <v>-0.55</v>
      </c>
      <c r="Q348" s="76">
        <v>2.12</v>
      </c>
      <c r="R348" s="76">
        <v>18.06</v>
      </c>
      <c r="S348" s="76">
        <v>2.97</v>
      </c>
      <c r="T348" s="76">
        <v>7.93</v>
      </c>
      <c r="U348" s="76">
        <v>0.16</v>
      </c>
      <c r="V348" s="76">
        <v>0.76</v>
      </c>
      <c r="W348" s="76">
        <v>0.33</v>
      </c>
      <c r="X348" s="76">
        <v>13.85</v>
      </c>
      <c r="Y348" s="76">
        <v>22.3</v>
      </c>
      <c r="Z348" s="79">
        <v>1.39E8</v>
      </c>
      <c r="AA348" s="76">
        <v>8.2</v>
      </c>
      <c r="AB348" s="76">
        <v>1.48</v>
      </c>
      <c r="AC348" s="76">
        <v>-1.31</v>
      </c>
      <c r="AD348" s="79">
        <v>2.5178125681E10</v>
      </c>
      <c r="AE348" s="80"/>
    </row>
    <row r="349">
      <c r="A349" s="73" t="s">
        <v>398</v>
      </c>
      <c r="B349" s="76">
        <v>4.03</v>
      </c>
      <c r="C349" s="76">
        <v>8.42</v>
      </c>
      <c r="D349" s="76">
        <v>13.6</v>
      </c>
      <c r="E349" s="76">
        <v>2.46</v>
      </c>
      <c r="F349" s="76">
        <v>0.4</v>
      </c>
      <c r="G349" s="76">
        <v>38.34</v>
      </c>
      <c r="H349" s="76">
        <v>23.31</v>
      </c>
      <c r="I349" s="76">
        <v>8.89</v>
      </c>
      <c r="J349" s="76">
        <v>5.19</v>
      </c>
      <c r="K349" s="76">
        <v>10.58</v>
      </c>
      <c r="L349" s="76">
        <v>5.38</v>
      </c>
      <c r="M349" s="76">
        <v>2.55</v>
      </c>
      <c r="N349" s="76">
        <v>1.21</v>
      </c>
      <c r="O349" s="76">
        <v>2.87</v>
      </c>
      <c r="P349" s="76">
        <v>-0.55</v>
      </c>
      <c r="Q349" s="76">
        <v>2.12</v>
      </c>
      <c r="R349" s="76">
        <v>18.06</v>
      </c>
      <c r="S349" s="76">
        <v>2.97</v>
      </c>
      <c r="T349" s="76">
        <v>7.93</v>
      </c>
      <c r="U349" s="76">
        <v>0.16</v>
      </c>
      <c r="V349" s="76">
        <v>0.76</v>
      </c>
      <c r="W349" s="76">
        <v>0.33</v>
      </c>
      <c r="X349" s="76">
        <v>13.85</v>
      </c>
      <c r="Y349" s="76">
        <v>22.3</v>
      </c>
      <c r="Z349" s="76">
        <v>3168023.0</v>
      </c>
      <c r="AA349" s="76">
        <v>1.64</v>
      </c>
      <c r="AB349" s="76">
        <v>0.3</v>
      </c>
      <c r="AC349" s="76">
        <v>-1.31</v>
      </c>
      <c r="AD349" s="79">
        <v>2.5178125681E10</v>
      </c>
      <c r="AE349" s="80"/>
    </row>
    <row r="350">
      <c r="A350" s="73" t="s">
        <v>399</v>
      </c>
      <c r="B350" s="76">
        <v>4.03</v>
      </c>
      <c r="C350" s="76">
        <v>6.16</v>
      </c>
      <c r="D350" s="76">
        <v>13.6</v>
      </c>
      <c r="E350" s="76">
        <v>2.46</v>
      </c>
      <c r="F350" s="76">
        <v>0.4</v>
      </c>
      <c r="G350" s="76">
        <v>38.34</v>
      </c>
      <c r="H350" s="76">
        <v>23.31</v>
      </c>
      <c r="I350" s="76">
        <v>8.89</v>
      </c>
      <c r="J350" s="76">
        <v>5.19</v>
      </c>
      <c r="K350" s="76">
        <v>10.58</v>
      </c>
      <c r="L350" s="76">
        <v>5.38</v>
      </c>
      <c r="M350" s="76">
        <v>2.55</v>
      </c>
      <c r="N350" s="76">
        <v>1.21</v>
      </c>
      <c r="O350" s="76">
        <v>2.87</v>
      </c>
      <c r="P350" s="76">
        <v>-0.55</v>
      </c>
      <c r="Q350" s="76">
        <v>2.12</v>
      </c>
      <c r="R350" s="76">
        <v>18.06</v>
      </c>
      <c r="S350" s="76">
        <v>2.97</v>
      </c>
      <c r="T350" s="76">
        <v>7.93</v>
      </c>
      <c r="U350" s="76">
        <v>0.16</v>
      </c>
      <c r="V350" s="76">
        <v>0.76</v>
      </c>
      <c r="W350" s="76">
        <v>0.33</v>
      </c>
      <c r="X350" s="76">
        <v>13.85</v>
      </c>
      <c r="Y350" s="76">
        <v>22.3</v>
      </c>
      <c r="Z350" s="77">
        <v>1.3400157E7</v>
      </c>
      <c r="AA350" s="76">
        <v>1.64</v>
      </c>
      <c r="AB350" s="76">
        <v>0.3</v>
      </c>
      <c r="AC350" s="76">
        <v>-1.31</v>
      </c>
      <c r="AD350" s="79">
        <v>2.5178125681E10</v>
      </c>
      <c r="AE350" s="80"/>
    </row>
    <row r="351">
      <c r="A351" s="73" t="s">
        <v>400</v>
      </c>
      <c r="B351" s="76">
        <v>8.87</v>
      </c>
      <c r="C351" s="76">
        <v>0.0</v>
      </c>
      <c r="D351" s="76">
        <v>-2.03</v>
      </c>
      <c r="E351" s="76">
        <v>1.2</v>
      </c>
      <c r="F351" s="76">
        <v>0.14</v>
      </c>
      <c r="G351" s="76">
        <v>19.71</v>
      </c>
      <c r="H351" s="76">
        <v>12.45</v>
      </c>
      <c r="I351" s="76">
        <v>-14.41</v>
      </c>
      <c r="J351" s="76">
        <v>2.35</v>
      </c>
      <c r="K351" s="76">
        <v>12.58</v>
      </c>
      <c r="L351" s="76">
        <v>10.23</v>
      </c>
      <c r="M351" s="76">
        <v>5.2</v>
      </c>
      <c r="N351" s="76">
        <v>0.29</v>
      </c>
      <c r="O351" s="76">
        <v>1.33</v>
      </c>
      <c r="P351" s="76">
        <v>-0.2</v>
      </c>
      <c r="Q351" s="76">
        <v>1.48</v>
      </c>
      <c r="R351" s="76">
        <v>-58.89</v>
      </c>
      <c r="S351" s="76">
        <v>-6.79</v>
      </c>
      <c r="T351" s="76">
        <v>6.55</v>
      </c>
      <c r="U351" s="76">
        <v>0.12</v>
      </c>
      <c r="V351" s="76">
        <v>0.87</v>
      </c>
      <c r="W351" s="76">
        <v>0.47</v>
      </c>
      <c r="X351" s="76">
        <v>38.69</v>
      </c>
      <c r="Y351" s="76">
        <v>0.0</v>
      </c>
      <c r="Z351" s="77">
        <v>0.0</v>
      </c>
      <c r="AA351" s="76">
        <v>7.41</v>
      </c>
      <c r="AB351" s="76">
        <v>-4.36</v>
      </c>
      <c r="AC351" s="76">
        <v>-0.01</v>
      </c>
      <c r="AD351" s="79">
        <v>6.859597292E8</v>
      </c>
      <c r="AE351" s="80"/>
    </row>
    <row r="352">
      <c r="A352" s="73" t="s">
        <v>401</v>
      </c>
      <c r="B352" s="76">
        <v>6.6</v>
      </c>
      <c r="C352" s="76">
        <v>0.0</v>
      </c>
      <c r="D352" s="76">
        <v>21.15</v>
      </c>
      <c r="E352" s="76">
        <v>1.91</v>
      </c>
      <c r="F352" s="76">
        <v>0.28</v>
      </c>
      <c r="G352" s="76">
        <v>32.9</v>
      </c>
      <c r="H352" s="76">
        <v>4.35</v>
      </c>
      <c r="I352" s="76">
        <v>2.27</v>
      </c>
      <c r="J352" s="76">
        <v>11.03</v>
      </c>
      <c r="K352" s="76">
        <v>16.86</v>
      </c>
      <c r="L352" s="76">
        <v>5.87</v>
      </c>
      <c r="M352" s="76">
        <v>1.01</v>
      </c>
      <c r="N352" s="76">
        <v>0.48</v>
      </c>
      <c r="O352" s="76">
        <v>1.2</v>
      </c>
      <c r="P352" s="76">
        <v>-0.66</v>
      </c>
      <c r="Q352" s="76">
        <v>1.72</v>
      </c>
      <c r="R352" s="76">
        <v>9.02</v>
      </c>
      <c r="S352" s="76">
        <v>1.34</v>
      </c>
      <c r="T352" s="76">
        <v>3.37</v>
      </c>
      <c r="U352" s="76">
        <v>0.15</v>
      </c>
      <c r="V352" s="76">
        <v>0.63</v>
      </c>
      <c r="W352" s="76">
        <v>0.59</v>
      </c>
      <c r="X352" s="76">
        <v>3.5</v>
      </c>
      <c r="Y352" s="76">
        <v>18.61</v>
      </c>
      <c r="Z352" s="76">
        <v>0.0</v>
      </c>
      <c r="AA352" s="76">
        <v>3.46</v>
      </c>
      <c r="AB352" s="76">
        <v>0.31</v>
      </c>
      <c r="AC352" s="76">
        <v>-46.97</v>
      </c>
      <c r="AD352" s="79">
        <v>1.2391135397E10</v>
      </c>
      <c r="AE352" s="80"/>
    </row>
    <row r="353">
      <c r="A353" s="73" t="s">
        <v>402</v>
      </c>
      <c r="B353" s="76">
        <v>6.57</v>
      </c>
      <c r="C353" s="76">
        <v>0.0</v>
      </c>
      <c r="D353" s="76">
        <v>21.06</v>
      </c>
      <c r="E353" s="76">
        <v>1.9</v>
      </c>
      <c r="F353" s="76">
        <v>0.28</v>
      </c>
      <c r="G353" s="76">
        <v>32.9</v>
      </c>
      <c r="H353" s="76">
        <v>4.35</v>
      </c>
      <c r="I353" s="76">
        <v>2.27</v>
      </c>
      <c r="J353" s="76">
        <v>10.98</v>
      </c>
      <c r="K353" s="76">
        <v>16.86</v>
      </c>
      <c r="L353" s="76">
        <v>5.87</v>
      </c>
      <c r="M353" s="76">
        <v>1.01</v>
      </c>
      <c r="N353" s="76">
        <v>0.48</v>
      </c>
      <c r="O353" s="76">
        <v>1.19</v>
      </c>
      <c r="P353" s="76">
        <v>-0.65</v>
      </c>
      <c r="Q353" s="76">
        <v>1.72</v>
      </c>
      <c r="R353" s="76">
        <v>9.02</v>
      </c>
      <c r="S353" s="76">
        <v>1.34</v>
      </c>
      <c r="T353" s="76">
        <v>3.37</v>
      </c>
      <c r="U353" s="76">
        <v>0.15</v>
      </c>
      <c r="V353" s="76">
        <v>0.63</v>
      </c>
      <c r="W353" s="76">
        <v>0.59</v>
      </c>
      <c r="X353" s="76">
        <v>3.5</v>
      </c>
      <c r="Y353" s="76">
        <v>18.61</v>
      </c>
      <c r="Z353" s="76">
        <v>0.0</v>
      </c>
      <c r="AA353" s="76">
        <v>3.46</v>
      </c>
      <c r="AB353" s="76">
        <v>0.31</v>
      </c>
      <c r="AC353" s="76">
        <v>-46.75</v>
      </c>
      <c r="AD353" s="79">
        <v>1.2391135397E10</v>
      </c>
      <c r="AE353" s="80"/>
    </row>
    <row r="354">
      <c r="A354" s="73" t="s">
        <v>403</v>
      </c>
      <c r="B354" s="76">
        <v>8.45</v>
      </c>
      <c r="C354" s="76">
        <v>0.86</v>
      </c>
      <c r="D354" s="76">
        <v>-86.64</v>
      </c>
      <c r="E354" s="76">
        <v>1.25</v>
      </c>
      <c r="F354" s="76">
        <v>0.95</v>
      </c>
      <c r="G354" s="76">
        <v>95.13</v>
      </c>
      <c r="H354" s="76">
        <v>-10.01</v>
      </c>
      <c r="I354" s="76">
        <v>-10.41</v>
      </c>
      <c r="J354" s="76">
        <v>-90.03</v>
      </c>
      <c r="K354" s="76">
        <v>-94.92</v>
      </c>
      <c r="L354" s="76">
        <v>-4.89</v>
      </c>
      <c r="M354" s="76">
        <v>0.07</v>
      </c>
      <c r="N354" s="76">
        <v>9.02</v>
      </c>
      <c r="O354" s="76">
        <v>-75.24</v>
      </c>
      <c r="P354" s="76">
        <v>-1.01</v>
      </c>
      <c r="Q354" s="76">
        <v>0.82</v>
      </c>
      <c r="R354" s="76">
        <v>-1.44</v>
      </c>
      <c r="S354" s="76">
        <v>-1.1</v>
      </c>
      <c r="T354" s="76">
        <v>-5.1</v>
      </c>
      <c r="U354" s="76">
        <v>0.76</v>
      </c>
      <c r="V354" s="76">
        <v>0.24</v>
      </c>
      <c r="W354" s="76">
        <v>0.11</v>
      </c>
      <c r="X354" s="76">
        <v>13.88</v>
      </c>
      <c r="Y354" s="76">
        <v>0.0</v>
      </c>
      <c r="Z354" s="79">
        <v>394016.4</v>
      </c>
      <c r="AA354" s="76">
        <v>6.78</v>
      </c>
      <c r="AB354" s="76">
        <v>-0.1</v>
      </c>
      <c r="AC354" s="76">
        <v>0.64</v>
      </c>
      <c r="AD354" s="79">
        <v>8.131178289E8</v>
      </c>
      <c r="AE354" s="80"/>
    </row>
    <row r="355">
      <c r="A355" s="73" t="s">
        <v>404</v>
      </c>
      <c r="B355" s="76">
        <v>18.68</v>
      </c>
      <c r="C355" s="76">
        <v>14.34</v>
      </c>
      <c r="D355" s="76">
        <v>8.5</v>
      </c>
      <c r="E355" s="76">
        <v>2.37</v>
      </c>
      <c r="F355" s="76">
        <v>0.91</v>
      </c>
      <c r="G355" s="76">
        <v>35.5</v>
      </c>
      <c r="H355" s="76">
        <v>28.05</v>
      </c>
      <c r="I355" s="76">
        <v>23.77</v>
      </c>
      <c r="J355" s="76">
        <v>7.2</v>
      </c>
      <c r="K355" s="76">
        <v>7.37</v>
      </c>
      <c r="L355" s="76">
        <v>0.16</v>
      </c>
      <c r="M355" s="76">
        <v>0.05</v>
      </c>
      <c r="N355" s="76">
        <v>2.02</v>
      </c>
      <c r="O355" s="76">
        <v>1.63</v>
      </c>
      <c r="P355" s="76">
        <v>-4.08</v>
      </c>
      <c r="Q355" s="76">
        <v>3.52</v>
      </c>
      <c r="R355" s="76">
        <v>27.83</v>
      </c>
      <c r="S355" s="76">
        <v>10.69</v>
      </c>
      <c r="T355" s="76">
        <v>16.77</v>
      </c>
      <c r="U355" s="76">
        <v>0.38</v>
      </c>
      <c r="V355" s="76">
        <v>0.55</v>
      </c>
      <c r="W355" s="76">
        <v>0.45</v>
      </c>
      <c r="X355" s="76">
        <v>51.55</v>
      </c>
      <c r="Y355" s="76">
        <v>57.55</v>
      </c>
      <c r="Z355" s="76">
        <v>1.1827239E7</v>
      </c>
      <c r="AA355" s="76">
        <v>7.89</v>
      </c>
      <c r="AB355" s="76">
        <v>2.2</v>
      </c>
      <c r="AC355" s="76">
        <v>0.22</v>
      </c>
      <c r="AD355" s="79">
        <v>3.650713695E9</v>
      </c>
      <c r="AE355" s="80"/>
    </row>
    <row r="356">
      <c r="A356" s="73" t="s">
        <v>405</v>
      </c>
      <c r="B356" s="76">
        <v>24.15</v>
      </c>
      <c r="C356" s="76">
        <v>0.0</v>
      </c>
      <c r="D356" s="76">
        <v>8.39</v>
      </c>
      <c r="E356" s="76">
        <v>1.13</v>
      </c>
      <c r="F356" s="76">
        <v>0.79</v>
      </c>
      <c r="G356" s="76">
        <v>21.34</v>
      </c>
      <c r="H356" s="76">
        <v>14.36</v>
      </c>
      <c r="I356" s="76">
        <v>18.4</v>
      </c>
      <c r="J356" s="76">
        <v>10.75</v>
      </c>
      <c r="K356" s="76">
        <v>8.49</v>
      </c>
      <c r="L356" s="76">
        <v>-2.27</v>
      </c>
      <c r="M356" s="76">
        <v>-0.24</v>
      </c>
      <c r="N356" s="76">
        <v>1.54</v>
      </c>
      <c r="O356" s="76">
        <v>2.97</v>
      </c>
      <c r="P356" s="76">
        <v>-1.15</v>
      </c>
      <c r="Q356" s="76">
        <v>6.45</v>
      </c>
      <c r="R356" s="76">
        <v>13.49</v>
      </c>
      <c r="S356" s="76">
        <v>9.38</v>
      </c>
      <c r="T356" s="76">
        <v>-11.87</v>
      </c>
      <c r="U356" s="76">
        <v>0.7</v>
      </c>
      <c r="V356" s="76">
        <v>0.18</v>
      </c>
      <c r="W356" s="76">
        <v>0.51</v>
      </c>
      <c r="X356" s="76">
        <v>12.12</v>
      </c>
      <c r="Y356" s="76">
        <v>34.05</v>
      </c>
      <c r="Z356" s="76">
        <v>0.0</v>
      </c>
      <c r="AA356" s="77">
        <v>21.32</v>
      </c>
      <c r="AB356" s="76">
        <v>2.88</v>
      </c>
      <c r="AC356" s="76">
        <v>0.11</v>
      </c>
      <c r="AD356" s="76">
        <v>1.2285815276E10</v>
      </c>
      <c r="AE356" s="74"/>
    </row>
    <row r="357">
      <c r="A357" s="73" t="s">
        <v>406</v>
      </c>
      <c r="B357" s="76">
        <v>35.73</v>
      </c>
      <c r="C357" s="76">
        <v>7.62</v>
      </c>
      <c r="D357" s="76">
        <v>8.3</v>
      </c>
      <c r="E357" s="76">
        <v>5.52</v>
      </c>
      <c r="F357" s="76">
        <v>1.23</v>
      </c>
      <c r="G357" s="76">
        <v>26.66</v>
      </c>
      <c r="H357" s="76">
        <v>16.29</v>
      </c>
      <c r="I357" s="76">
        <v>10.8</v>
      </c>
      <c r="J357" s="76">
        <v>5.51</v>
      </c>
      <c r="K357" s="76">
        <v>6.54</v>
      </c>
      <c r="L357" s="76">
        <v>1.04</v>
      </c>
      <c r="M357" s="76">
        <v>1.04</v>
      </c>
      <c r="N357" s="76">
        <v>0.9</v>
      </c>
      <c r="O357" s="76">
        <v>8.06</v>
      </c>
      <c r="P357" s="76">
        <v>-3.41</v>
      </c>
      <c r="Q357" s="76">
        <v>1.31</v>
      </c>
      <c r="R357" s="76">
        <v>66.51</v>
      </c>
      <c r="S357" s="76">
        <v>14.81</v>
      </c>
      <c r="T357" s="76">
        <v>22.93</v>
      </c>
      <c r="U357" s="76">
        <v>0.22</v>
      </c>
      <c r="V357" s="76">
        <v>0.78</v>
      </c>
      <c r="W357" s="76">
        <v>1.37</v>
      </c>
      <c r="X357" s="76">
        <v>12.53</v>
      </c>
      <c r="Y357" s="76">
        <v>17.63</v>
      </c>
      <c r="Z357" s="79">
        <v>1.1818236E7</v>
      </c>
      <c r="AA357" s="77">
        <v>6.47</v>
      </c>
      <c r="AB357" s="76">
        <v>4.3</v>
      </c>
      <c r="AC357" s="76">
        <v>-30.62</v>
      </c>
      <c r="AD357" s="76">
        <v>4.84280847E9</v>
      </c>
      <c r="AE357" s="74"/>
    </row>
    <row r="358">
      <c r="A358" s="73" t="s">
        <v>407</v>
      </c>
      <c r="B358" s="76">
        <v>0.0</v>
      </c>
      <c r="C358" s="76">
        <v>0.0</v>
      </c>
      <c r="D358" s="76">
        <v>0.0</v>
      </c>
      <c r="E358" s="76">
        <v>0.0</v>
      </c>
      <c r="F358" s="76">
        <v>0.0</v>
      </c>
      <c r="G358" s="76">
        <v>63.41</v>
      </c>
      <c r="H358" s="76">
        <v>22.35</v>
      </c>
      <c r="I358" s="76">
        <v>10.99</v>
      </c>
      <c r="J358" s="76">
        <v>0.0</v>
      </c>
      <c r="K358" s="76">
        <v>-3.77</v>
      </c>
      <c r="L358" s="76">
        <v>-3.77</v>
      </c>
      <c r="M358" s="76">
        <v>-0.15</v>
      </c>
      <c r="N358" s="76">
        <v>0.0</v>
      </c>
      <c r="O358" s="76">
        <v>0.0</v>
      </c>
      <c r="P358" s="76">
        <v>0.0</v>
      </c>
      <c r="Q358" s="76">
        <v>6.36</v>
      </c>
      <c r="R358" s="76">
        <v>1.95</v>
      </c>
      <c r="S358" s="76">
        <v>0.67</v>
      </c>
      <c r="T358" s="76">
        <v>3.94</v>
      </c>
      <c r="U358" s="76">
        <v>0.34</v>
      </c>
      <c r="V358" s="76">
        <v>0.66</v>
      </c>
      <c r="W358" s="76">
        <v>0.06</v>
      </c>
      <c r="X358" s="76">
        <v>4.31</v>
      </c>
      <c r="Y358" s="76">
        <v>-51.59</v>
      </c>
      <c r="Z358" s="76">
        <v>0.0</v>
      </c>
      <c r="AA358" s="76">
        <v>141.54</v>
      </c>
      <c r="AB358" s="76">
        <v>2.76</v>
      </c>
      <c r="AC358" s="76">
        <v>0.0</v>
      </c>
      <c r="AD358" s="79">
        <v>0.0</v>
      </c>
      <c r="AE358" s="80"/>
    </row>
    <row r="359">
      <c r="A359" s="73" t="s">
        <v>408</v>
      </c>
      <c r="B359" s="76">
        <v>0.0</v>
      </c>
      <c r="C359" s="76">
        <v>0.0</v>
      </c>
      <c r="D359" s="76">
        <v>0.0</v>
      </c>
      <c r="E359" s="76">
        <v>0.0</v>
      </c>
      <c r="F359" s="76">
        <v>0.0</v>
      </c>
      <c r="G359" s="76">
        <v>63.41</v>
      </c>
      <c r="H359" s="76">
        <v>22.35</v>
      </c>
      <c r="I359" s="76">
        <v>10.99</v>
      </c>
      <c r="J359" s="76">
        <v>0.0</v>
      </c>
      <c r="K359" s="76">
        <v>-3.77</v>
      </c>
      <c r="L359" s="76">
        <v>-3.77</v>
      </c>
      <c r="M359" s="76">
        <v>-0.15</v>
      </c>
      <c r="N359" s="76">
        <v>0.0</v>
      </c>
      <c r="O359" s="76">
        <v>0.0</v>
      </c>
      <c r="P359" s="76">
        <v>0.0</v>
      </c>
      <c r="Q359" s="76">
        <v>6.36</v>
      </c>
      <c r="R359" s="76">
        <v>1.95</v>
      </c>
      <c r="S359" s="76">
        <v>0.67</v>
      </c>
      <c r="T359" s="76">
        <v>3.94</v>
      </c>
      <c r="U359" s="76">
        <v>0.34</v>
      </c>
      <c r="V359" s="76">
        <v>0.66</v>
      </c>
      <c r="W359" s="76">
        <v>0.06</v>
      </c>
      <c r="X359" s="76">
        <v>4.31</v>
      </c>
      <c r="Y359" s="76">
        <v>-51.59</v>
      </c>
      <c r="Z359" s="77">
        <v>0.0</v>
      </c>
      <c r="AA359" s="76">
        <v>141.54</v>
      </c>
      <c r="AB359" s="76">
        <v>2.76</v>
      </c>
      <c r="AC359" s="76">
        <v>0.0</v>
      </c>
      <c r="AD359" s="79">
        <v>0.0</v>
      </c>
      <c r="AE359" s="80"/>
    </row>
    <row r="360">
      <c r="A360" s="73" t="s">
        <v>409</v>
      </c>
      <c r="B360" s="76">
        <v>4.83</v>
      </c>
      <c r="C360" s="76">
        <v>0.0</v>
      </c>
      <c r="D360" s="76">
        <v>0.78</v>
      </c>
      <c r="E360" s="76">
        <v>0.32</v>
      </c>
      <c r="F360" s="76">
        <v>0.07</v>
      </c>
      <c r="G360" s="76">
        <v>16.53</v>
      </c>
      <c r="H360" s="76">
        <v>9.03</v>
      </c>
      <c r="I360" s="76">
        <v>15.36</v>
      </c>
      <c r="J360" s="76">
        <v>1.33</v>
      </c>
      <c r="K360" s="76">
        <v>6.44</v>
      </c>
      <c r="L360" s="76">
        <v>5.1</v>
      </c>
      <c r="M360" s="76">
        <v>1.23</v>
      </c>
      <c r="N360" s="76">
        <v>0.12</v>
      </c>
      <c r="O360" s="76">
        <v>-31.12</v>
      </c>
      <c r="P360" s="76">
        <v>-0.09</v>
      </c>
      <c r="Q360" s="76">
        <v>0.99</v>
      </c>
      <c r="R360" s="76">
        <v>40.83</v>
      </c>
      <c r="S360" s="76">
        <v>8.92</v>
      </c>
      <c r="T360" s="76">
        <v>6.3</v>
      </c>
      <c r="U360" s="76">
        <v>0.22</v>
      </c>
      <c r="V360" s="76">
        <v>0.78</v>
      </c>
      <c r="W360" s="76">
        <v>0.58</v>
      </c>
      <c r="X360" s="76">
        <v>2.13</v>
      </c>
      <c r="Y360" s="76">
        <v>11.57</v>
      </c>
      <c r="Z360" s="76">
        <v>8170431.0</v>
      </c>
      <c r="AA360" s="76">
        <v>15.09</v>
      </c>
      <c r="AB360" s="76">
        <v>6.16</v>
      </c>
      <c r="AC360" s="76">
        <v>0.0</v>
      </c>
      <c r="AD360" s="79">
        <v>1.799442215E9</v>
      </c>
      <c r="AE360" s="80"/>
    </row>
    <row r="361">
      <c r="A361" s="73" t="s">
        <v>410</v>
      </c>
      <c r="B361" s="76">
        <v>37.4</v>
      </c>
      <c r="C361" s="76">
        <v>0.0</v>
      </c>
      <c r="D361" s="76">
        <v>-90.95</v>
      </c>
      <c r="E361" s="76">
        <v>4.38</v>
      </c>
      <c r="F361" s="76">
        <v>2.74</v>
      </c>
      <c r="G361" s="76">
        <v>68.7</v>
      </c>
      <c r="H361" s="76">
        <v>-4.79</v>
      </c>
      <c r="I361" s="76">
        <v>-8.67</v>
      </c>
      <c r="J361" s="76">
        <v>-164.48</v>
      </c>
      <c r="K361" s="76">
        <v>-159.3</v>
      </c>
      <c r="L361" s="76">
        <v>5.18</v>
      </c>
      <c r="M361" s="76">
        <v>-0.14</v>
      </c>
      <c r="N361" s="76">
        <v>7.88</v>
      </c>
      <c r="O361" s="76">
        <v>11.96</v>
      </c>
      <c r="P361" s="76">
        <v>-4.82</v>
      </c>
      <c r="Q361" s="76">
        <v>2.14</v>
      </c>
      <c r="R361" s="76">
        <v>-4.81</v>
      </c>
      <c r="S361" s="76">
        <v>-3.02</v>
      </c>
      <c r="T361" s="76">
        <v>-2.23</v>
      </c>
      <c r="U361" s="76">
        <v>0.63</v>
      </c>
      <c r="V361" s="76">
        <v>0.37</v>
      </c>
      <c r="W361" s="76">
        <v>0.35</v>
      </c>
      <c r="X361" s="76">
        <v>14.3</v>
      </c>
      <c r="Y361" s="76">
        <v>0.0</v>
      </c>
      <c r="Z361" s="76">
        <v>0.0</v>
      </c>
      <c r="AA361" s="76">
        <v>8.55</v>
      </c>
      <c r="AB361" s="76">
        <v>-0.41</v>
      </c>
      <c r="AC361" s="76">
        <v>0.13</v>
      </c>
      <c r="AD361" s="79">
        <v>7.083895104E9</v>
      </c>
      <c r="AE361" s="80"/>
    </row>
    <row r="362">
      <c r="A362" s="73" t="s">
        <v>411</v>
      </c>
      <c r="B362" s="76">
        <v>36.01</v>
      </c>
      <c r="C362" s="76">
        <v>1.99</v>
      </c>
      <c r="D362" s="76">
        <v>16.64</v>
      </c>
      <c r="E362" s="76">
        <v>1.82</v>
      </c>
      <c r="F362" s="76">
        <v>1.71</v>
      </c>
      <c r="G362" s="76">
        <v>0.0</v>
      </c>
      <c r="H362" s="76">
        <v>0.0</v>
      </c>
      <c r="I362" s="76">
        <v>0.0</v>
      </c>
      <c r="J362" s="76">
        <v>19.65</v>
      </c>
      <c r="K362" s="76">
        <v>16.43</v>
      </c>
      <c r="L362" s="76">
        <v>-3.21</v>
      </c>
      <c r="M362" s="76">
        <v>-0.3</v>
      </c>
      <c r="N362" s="76">
        <v>0.0</v>
      </c>
      <c r="O362" s="76">
        <v>6.65</v>
      </c>
      <c r="P362" s="76">
        <v>-2.46</v>
      </c>
      <c r="Q362" s="76">
        <v>6.18</v>
      </c>
      <c r="R362" s="76">
        <v>10.96</v>
      </c>
      <c r="S362" s="76">
        <v>10.25</v>
      </c>
      <c r="T362" s="76">
        <v>7.9</v>
      </c>
      <c r="U362" s="76">
        <v>0.94</v>
      </c>
      <c r="V362" s="76">
        <v>0.06</v>
      </c>
      <c r="W362" s="76">
        <v>0.0</v>
      </c>
      <c r="X362" s="76">
        <v>0.0</v>
      </c>
      <c r="Y362" s="76">
        <v>0.0</v>
      </c>
      <c r="Z362" s="79">
        <v>3601.0</v>
      </c>
      <c r="AA362" s="76">
        <v>19.74</v>
      </c>
      <c r="AB362" s="76">
        <v>2.16</v>
      </c>
      <c r="AC362" s="76">
        <v>0.37</v>
      </c>
      <c r="AD362" s="79">
        <v>4.236536529E8</v>
      </c>
      <c r="AE362" s="80"/>
    </row>
    <row r="363">
      <c r="A363" s="73" t="s">
        <v>412</v>
      </c>
      <c r="B363" s="76">
        <v>2.3</v>
      </c>
      <c r="C363" s="76">
        <v>0.0</v>
      </c>
      <c r="D363" s="76">
        <v>-4.21</v>
      </c>
      <c r="E363" s="76">
        <v>1.06</v>
      </c>
      <c r="F363" s="76">
        <v>0.13</v>
      </c>
      <c r="G363" s="76">
        <v>33.31</v>
      </c>
      <c r="H363" s="76">
        <v>1.34</v>
      </c>
      <c r="I363" s="76">
        <v>-4.09</v>
      </c>
      <c r="J363" s="76">
        <v>12.84</v>
      </c>
      <c r="K363" s="76">
        <v>13.61</v>
      </c>
      <c r="L363" s="76">
        <v>0.77</v>
      </c>
      <c r="M363" s="76">
        <v>0.06</v>
      </c>
      <c r="N363" s="76">
        <v>0.17</v>
      </c>
      <c r="O363" s="76">
        <v>0.46</v>
      </c>
      <c r="P363" s="76">
        <v>-0.47</v>
      </c>
      <c r="Q363" s="76">
        <v>1.64</v>
      </c>
      <c r="R363" s="76">
        <v>-25.21</v>
      </c>
      <c r="S363" s="76">
        <v>-3.08</v>
      </c>
      <c r="T363" s="76">
        <v>3.1</v>
      </c>
      <c r="U363" s="76">
        <v>0.12</v>
      </c>
      <c r="V363" s="76">
        <v>0.88</v>
      </c>
      <c r="W363" s="76">
        <v>0.75</v>
      </c>
      <c r="X363" s="76">
        <v>14.68</v>
      </c>
      <c r="Y363" s="76">
        <v>0.0</v>
      </c>
      <c r="Z363" s="79">
        <v>7529668.0</v>
      </c>
      <c r="AA363" s="76">
        <v>2.17</v>
      </c>
      <c r="AB363" s="76">
        <v>-0.55</v>
      </c>
      <c r="AC363" s="76">
        <v>0.01</v>
      </c>
      <c r="AD363" s="79">
        <v>4.759097049E8</v>
      </c>
      <c r="AE363" s="80"/>
    </row>
    <row r="364">
      <c r="A364" s="73" t="s">
        <v>413</v>
      </c>
      <c r="B364" s="76">
        <v>27.2</v>
      </c>
      <c r="C364" s="76">
        <v>14.57</v>
      </c>
      <c r="D364" s="76">
        <v>6.22</v>
      </c>
      <c r="E364" s="76">
        <v>0.62</v>
      </c>
      <c r="F364" s="76">
        <v>0.33</v>
      </c>
      <c r="G364" s="76">
        <v>97.55</v>
      </c>
      <c r="H364" s="76">
        <v>246.31</v>
      </c>
      <c r="I364" s="76">
        <v>160.33</v>
      </c>
      <c r="J364" s="76">
        <v>4.05</v>
      </c>
      <c r="K364" s="76">
        <v>7.33</v>
      </c>
      <c r="L364" s="76">
        <v>3.28</v>
      </c>
      <c r="M364" s="76">
        <v>0.5</v>
      </c>
      <c r="N364" s="76">
        <v>9.98</v>
      </c>
      <c r="O364" s="76">
        <v>7.73</v>
      </c>
      <c r="P364" s="76">
        <v>-0.41</v>
      </c>
      <c r="Q364" s="76">
        <v>1.32</v>
      </c>
      <c r="R364" s="76">
        <v>10.02</v>
      </c>
      <c r="S364" s="76">
        <v>5.36</v>
      </c>
      <c r="T364" s="76">
        <v>8.32</v>
      </c>
      <c r="U364" s="76">
        <v>0.54</v>
      </c>
      <c r="V364" s="76">
        <v>0.46</v>
      </c>
      <c r="W364" s="76">
        <v>0.03</v>
      </c>
      <c r="X364" s="76">
        <v>11.41</v>
      </c>
      <c r="Y364" s="76">
        <v>33.6</v>
      </c>
      <c r="Z364" s="79">
        <v>1.1479625E7</v>
      </c>
      <c r="AA364" s="76">
        <v>43.62</v>
      </c>
      <c r="AB364" s="76">
        <v>4.37</v>
      </c>
      <c r="AC364" s="76">
        <v>0.3</v>
      </c>
      <c r="AD364" s="79">
        <v>2.389768989E9</v>
      </c>
      <c r="AE364" s="80"/>
    </row>
    <row r="365">
      <c r="A365" s="73" t="s">
        <v>414</v>
      </c>
      <c r="B365" s="76">
        <v>32.26</v>
      </c>
      <c r="C365" s="76">
        <v>0.0</v>
      </c>
      <c r="D365" s="76">
        <v>28.43</v>
      </c>
      <c r="E365" s="76">
        <v>3.25</v>
      </c>
      <c r="F365" s="76">
        <v>0.87</v>
      </c>
      <c r="G365" s="76">
        <v>16.18</v>
      </c>
      <c r="H365" s="76">
        <v>13.29</v>
      </c>
      <c r="I365" s="76">
        <v>4.06</v>
      </c>
      <c r="J365" s="76">
        <v>8.67</v>
      </c>
      <c r="K365" s="76">
        <v>12.23</v>
      </c>
      <c r="L365" s="76">
        <v>3.56</v>
      </c>
      <c r="M365" s="76">
        <v>1.33</v>
      </c>
      <c r="N365" s="76">
        <v>1.15</v>
      </c>
      <c r="O365" s="76">
        <v>27.09</v>
      </c>
      <c r="P365" s="76">
        <v>-1.2</v>
      </c>
      <c r="Q365" s="76">
        <v>1.13</v>
      </c>
      <c r="R365" s="76">
        <v>11.42</v>
      </c>
      <c r="S365" s="76">
        <v>3.05</v>
      </c>
      <c r="T365" s="76">
        <v>10.01</v>
      </c>
      <c r="U365" s="76">
        <v>0.27</v>
      </c>
      <c r="V365" s="76">
        <v>0.73</v>
      </c>
      <c r="W365" s="76">
        <v>0.75</v>
      </c>
      <c r="X365" s="76">
        <v>21.58</v>
      </c>
      <c r="Y365" s="76">
        <v>61.36</v>
      </c>
      <c r="Z365" s="77">
        <v>1222356.0</v>
      </c>
      <c r="AA365" s="76">
        <v>9.93</v>
      </c>
      <c r="AB365" s="76">
        <v>1.13</v>
      </c>
      <c r="AC365" s="76">
        <v>-0.06</v>
      </c>
      <c r="AD365" s="79">
        <v>3.461707238E9</v>
      </c>
      <c r="AE365" s="80"/>
    </row>
    <row r="366">
      <c r="A366" s="73" t="s">
        <v>415</v>
      </c>
      <c r="B366" s="76">
        <v>1.86</v>
      </c>
      <c r="C366" s="76">
        <v>11.35</v>
      </c>
      <c r="D366" s="76">
        <v>6.79</v>
      </c>
      <c r="E366" s="76">
        <v>1.06</v>
      </c>
      <c r="F366" s="76">
        <v>0.66</v>
      </c>
      <c r="G366" s="76">
        <v>78.84</v>
      </c>
      <c r="H366" s="76">
        <v>23.39</v>
      </c>
      <c r="I366" s="76">
        <v>19.46</v>
      </c>
      <c r="J366" s="76">
        <v>5.65</v>
      </c>
      <c r="K366" s="76">
        <v>3.84</v>
      </c>
      <c r="L366" s="76">
        <v>-1.8</v>
      </c>
      <c r="M366" s="76">
        <v>-0.34</v>
      </c>
      <c r="N366" s="76">
        <v>1.32</v>
      </c>
      <c r="O366" s="76">
        <v>3.88</v>
      </c>
      <c r="P366" s="76">
        <v>-0.98</v>
      </c>
      <c r="Q366" s="76">
        <v>2.13</v>
      </c>
      <c r="R366" s="76">
        <v>15.55</v>
      </c>
      <c r="S366" s="76">
        <v>9.77</v>
      </c>
      <c r="T366" s="76">
        <v>11.21</v>
      </c>
      <c r="U366" s="76">
        <v>0.63</v>
      </c>
      <c r="V366" s="76">
        <v>0.39</v>
      </c>
      <c r="W366" s="76">
        <v>0.5</v>
      </c>
      <c r="X366" s="76">
        <v>5.45</v>
      </c>
      <c r="Y366" s="76">
        <v>0.0</v>
      </c>
      <c r="Z366" s="77">
        <v>430064.2</v>
      </c>
      <c r="AA366" s="76">
        <v>1.76</v>
      </c>
      <c r="AB366" s="76">
        <v>0.27</v>
      </c>
      <c r="AC366" s="76">
        <v>0.03</v>
      </c>
      <c r="AD366" s="79">
        <v>2.744516137E8</v>
      </c>
      <c r="AE366" s="80"/>
    </row>
    <row r="367">
      <c r="A367" s="73" t="s">
        <v>416</v>
      </c>
      <c r="B367" s="76">
        <v>15.59</v>
      </c>
      <c r="C367" s="76">
        <v>5.38</v>
      </c>
      <c r="D367" s="76">
        <v>11.28</v>
      </c>
      <c r="E367" s="76">
        <v>1.55</v>
      </c>
      <c r="F367" s="76">
        <v>0.86</v>
      </c>
      <c r="G367" s="76">
        <v>61.41</v>
      </c>
      <c r="H367" s="76">
        <v>10.67</v>
      </c>
      <c r="I367" s="76">
        <v>8.92</v>
      </c>
      <c r="J367" s="76">
        <v>9.43</v>
      </c>
      <c r="K367" s="76">
        <v>8.67</v>
      </c>
      <c r="L367" s="76">
        <v>-0.76</v>
      </c>
      <c r="M367" s="76">
        <v>-0.12</v>
      </c>
      <c r="N367" s="76">
        <v>1.01</v>
      </c>
      <c r="O367" s="76">
        <v>3.43</v>
      </c>
      <c r="P367" s="76">
        <v>-2.03</v>
      </c>
      <c r="Q367" s="76">
        <v>1.76</v>
      </c>
      <c r="R367" s="76">
        <v>13.72</v>
      </c>
      <c r="S367" s="76">
        <v>7.59</v>
      </c>
      <c r="T367" s="76">
        <v>14.06</v>
      </c>
      <c r="U367" s="76">
        <v>0.55</v>
      </c>
      <c r="V367" s="76">
        <v>0.45</v>
      </c>
      <c r="W367" s="76">
        <v>0.85</v>
      </c>
      <c r="X367" s="76">
        <v>8.53</v>
      </c>
      <c r="Y367" s="76">
        <v>4.84</v>
      </c>
      <c r="Z367" s="77">
        <v>2.07E8</v>
      </c>
      <c r="AA367" s="76">
        <v>10.07</v>
      </c>
      <c r="AB367" s="76">
        <v>1.38</v>
      </c>
      <c r="AC367" s="76">
        <v>0.9</v>
      </c>
      <c r="AD367" s="76">
        <v>1.5696715031E10</v>
      </c>
      <c r="AE367" s="74"/>
    </row>
    <row r="368">
      <c r="A368" s="73" t="s">
        <v>417</v>
      </c>
      <c r="B368" s="76">
        <v>86.61</v>
      </c>
      <c r="C368" s="76">
        <v>1.67</v>
      </c>
      <c r="D368" s="76">
        <v>35.43</v>
      </c>
      <c r="E368" s="76">
        <v>4.76</v>
      </c>
      <c r="F368" s="76">
        <v>4.6</v>
      </c>
      <c r="G368" s="76">
        <v>0.0</v>
      </c>
      <c r="H368" s="76">
        <v>0.0</v>
      </c>
      <c r="I368" s="76">
        <v>0.0</v>
      </c>
      <c r="J368" s="76">
        <v>36.84</v>
      </c>
      <c r="K368" s="76">
        <v>36.55</v>
      </c>
      <c r="L368" s="76">
        <v>-0.29</v>
      </c>
      <c r="M368" s="76">
        <v>-0.04</v>
      </c>
      <c r="N368" s="76">
        <v>0.0</v>
      </c>
      <c r="O368" s="76">
        <v>429.66</v>
      </c>
      <c r="P368" s="76">
        <v>-4.81</v>
      </c>
      <c r="Q368" s="76">
        <v>1.32</v>
      </c>
      <c r="R368" s="76">
        <v>13.43</v>
      </c>
      <c r="S368" s="76">
        <v>12.99</v>
      </c>
      <c r="T368" s="76">
        <v>12.68</v>
      </c>
      <c r="U368" s="76">
        <v>0.97</v>
      </c>
      <c r="V368" s="76">
        <v>0.03</v>
      </c>
      <c r="W368" s="76">
        <v>0.0</v>
      </c>
      <c r="X368" s="76">
        <v>0.0</v>
      </c>
      <c r="Y368" s="76">
        <v>11.79</v>
      </c>
      <c r="Z368" s="76">
        <v>0.0</v>
      </c>
      <c r="AA368" s="76">
        <v>18.2</v>
      </c>
      <c r="AB368" s="76">
        <v>2.44</v>
      </c>
      <c r="AC368" s="76">
        <v>-0.95</v>
      </c>
      <c r="AD368" s="79">
        <v>1.8664056854E10</v>
      </c>
      <c r="AE368" s="80"/>
    </row>
    <row r="369">
      <c r="A369" s="73" t="s">
        <v>418</v>
      </c>
      <c r="B369" s="76">
        <v>1.18</v>
      </c>
      <c r="C369" s="76">
        <v>0.0</v>
      </c>
      <c r="D369" s="76">
        <v>-5.47</v>
      </c>
      <c r="E369" s="76">
        <v>0.49</v>
      </c>
      <c r="F369" s="76">
        <v>0.11</v>
      </c>
      <c r="G369" s="76">
        <v>16.84</v>
      </c>
      <c r="H369" s="76">
        <v>7.91</v>
      </c>
      <c r="I369" s="76">
        <v>-14.8</v>
      </c>
      <c r="J369" s="76">
        <v>10.24</v>
      </c>
      <c r="K369" s="76">
        <v>41.69</v>
      </c>
      <c r="L369" s="76">
        <v>31.45</v>
      </c>
      <c r="M369" s="76">
        <v>1.51</v>
      </c>
      <c r="N369" s="76">
        <v>0.81</v>
      </c>
      <c r="O369" s="76">
        <v>-1.95</v>
      </c>
      <c r="P369" s="76">
        <v>-0.16</v>
      </c>
      <c r="Q369" s="76">
        <v>0.82</v>
      </c>
      <c r="R369" s="76">
        <v>-9.0</v>
      </c>
      <c r="S369" s="76">
        <v>-2.09</v>
      </c>
      <c r="T369" s="76">
        <v>0.48</v>
      </c>
      <c r="U369" s="76">
        <v>0.23</v>
      </c>
      <c r="V369" s="76">
        <v>0.77</v>
      </c>
      <c r="W369" s="76">
        <v>0.14</v>
      </c>
      <c r="X369" s="76">
        <v>30.38</v>
      </c>
      <c r="Y369" s="76">
        <v>0.0</v>
      </c>
      <c r="Z369" s="77">
        <v>261793.6</v>
      </c>
      <c r="AA369" s="76">
        <v>2.39</v>
      </c>
      <c r="AB369" s="76">
        <v>-0.22</v>
      </c>
      <c r="AC369" s="76">
        <v>0.05</v>
      </c>
      <c r="AD369" s="79">
        <v>5.583536154E7</v>
      </c>
      <c r="AE369" s="80"/>
    </row>
    <row r="370">
      <c r="A370" s="73" t="s">
        <v>419</v>
      </c>
      <c r="B370" s="76">
        <v>0.0</v>
      </c>
      <c r="C370" s="76">
        <v>0.0</v>
      </c>
      <c r="D370" s="76">
        <v>0.0</v>
      </c>
      <c r="E370" s="76">
        <v>0.0</v>
      </c>
      <c r="F370" s="76">
        <v>0.0</v>
      </c>
      <c r="G370" s="76">
        <v>31.14</v>
      </c>
      <c r="H370" s="76">
        <v>16.43</v>
      </c>
      <c r="I370" s="76">
        <v>27.07</v>
      </c>
      <c r="J370" s="76">
        <v>0.0</v>
      </c>
      <c r="K370" s="76">
        <v>3.7</v>
      </c>
      <c r="L370" s="76">
        <v>-0.15</v>
      </c>
      <c r="M370" s="76">
        <v>-0.02</v>
      </c>
      <c r="N370" s="76">
        <v>0.0</v>
      </c>
      <c r="O370" s="76">
        <v>0.0</v>
      </c>
      <c r="P370" s="76">
        <v>0.0</v>
      </c>
      <c r="Q370" s="76">
        <v>1.99</v>
      </c>
      <c r="R370" s="76">
        <v>24.85</v>
      </c>
      <c r="S370" s="76">
        <v>17.88</v>
      </c>
      <c r="T370" s="76">
        <v>9.29</v>
      </c>
      <c r="U370" s="76">
        <v>0.72</v>
      </c>
      <c r="V370" s="76">
        <v>0.28</v>
      </c>
      <c r="W370" s="76">
        <v>0.66</v>
      </c>
      <c r="X370" s="76">
        <v>2.77</v>
      </c>
      <c r="Y370" s="76">
        <v>26.26</v>
      </c>
      <c r="Z370" s="77">
        <v>0.0</v>
      </c>
      <c r="AA370" s="76">
        <v>4.03</v>
      </c>
      <c r="AB370" s="76">
        <v>1.0</v>
      </c>
      <c r="AC370" s="76">
        <v>0.0</v>
      </c>
      <c r="AD370" s="79">
        <v>9.73728E7</v>
      </c>
      <c r="AE370" s="80"/>
    </row>
    <row r="371">
      <c r="A371" s="73" t="s">
        <v>420</v>
      </c>
      <c r="B371" s="76">
        <v>4.2</v>
      </c>
      <c r="C371" s="76">
        <v>5.53</v>
      </c>
      <c r="D371" s="77">
        <v>4.19</v>
      </c>
      <c r="E371" s="76">
        <v>1.04</v>
      </c>
      <c r="F371" s="76">
        <v>0.75</v>
      </c>
      <c r="G371" s="76">
        <v>31.14</v>
      </c>
      <c r="H371" s="76">
        <v>16.43</v>
      </c>
      <c r="I371" s="76">
        <v>27.07</v>
      </c>
      <c r="J371" s="77">
        <v>6.91</v>
      </c>
      <c r="K371" s="77">
        <v>3.7</v>
      </c>
      <c r="L371" s="76">
        <v>-0.15</v>
      </c>
      <c r="M371" s="76">
        <v>-0.02</v>
      </c>
      <c r="N371" s="76">
        <v>1.13</v>
      </c>
      <c r="O371" s="77">
        <v>7.48</v>
      </c>
      <c r="P371" s="76">
        <v>-0.94</v>
      </c>
      <c r="Q371" s="76">
        <v>1.99</v>
      </c>
      <c r="R371" s="76">
        <v>24.85</v>
      </c>
      <c r="S371" s="76">
        <v>17.88</v>
      </c>
      <c r="T371" s="76">
        <v>9.29</v>
      </c>
      <c r="U371" s="76">
        <v>0.72</v>
      </c>
      <c r="V371" s="76">
        <v>0.28</v>
      </c>
      <c r="W371" s="76">
        <v>0.66</v>
      </c>
      <c r="X371" s="76">
        <v>2.77</v>
      </c>
      <c r="Y371" s="76">
        <v>26.26</v>
      </c>
      <c r="Z371" s="76">
        <v>24108.67</v>
      </c>
      <c r="AA371" s="76">
        <v>4.03</v>
      </c>
      <c r="AB371" s="76">
        <v>1.0</v>
      </c>
      <c r="AC371" s="77">
        <v>0.02</v>
      </c>
      <c r="AD371" s="79">
        <v>9.73728E7</v>
      </c>
      <c r="AE371" s="80"/>
    </row>
    <row r="372">
      <c r="A372" s="73" t="s">
        <v>421</v>
      </c>
      <c r="B372" s="76">
        <v>3.61</v>
      </c>
      <c r="C372" s="76">
        <v>1.44</v>
      </c>
      <c r="D372" s="76">
        <v>-7.47</v>
      </c>
      <c r="E372" s="76">
        <v>0.84</v>
      </c>
      <c r="F372" s="76">
        <v>0.57</v>
      </c>
      <c r="G372" s="76">
        <v>46.91</v>
      </c>
      <c r="H372" s="76">
        <v>-20.5</v>
      </c>
      <c r="I372" s="76">
        <v>-18.67</v>
      </c>
      <c r="J372" s="76">
        <v>-6.81</v>
      </c>
      <c r="K372" s="76">
        <v>-5.81</v>
      </c>
      <c r="L372" s="76">
        <v>1.0</v>
      </c>
      <c r="M372" s="76">
        <v>-0.12</v>
      </c>
      <c r="N372" s="76">
        <v>1.4</v>
      </c>
      <c r="O372" s="76">
        <v>8.23</v>
      </c>
      <c r="P372" s="76">
        <v>-0.89</v>
      </c>
      <c r="Q372" s="76">
        <v>1.24</v>
      </c>
      <c r="R372" s="76">
        <v>-11.26</v>
      </c>
      <c r="S372" s="76">
        <v>-7.63</v>
      </c>
      <c r="T372" s="76">
        <v>-20.49</v>
      </c>
      <c r="U372" s="76">
        <v>0.68</v>
      </c>
      <c r="V372" s="76">
        <v>0.32</v>
      </c>
      <c r="W372" s="76">
        <v>0.41</v>
      </c>
      <c r="X372" s="76">
        <v>28.85</v>
      </c>
      <c r="Y372" s="76">
        <v>0.0</v>
      </c>
      <c r="Z372" s="76">
        <v>2.6126598E7</v>
      </c>
      <c r="AA372" s="76">
        <v>4.29</v>
      </c>
      <c r="AB372" s="76">
        <v>-0.48</v>
      </c>
      <c r="AC372" s="76">
        <v>0.0</v>
      </c>
      <c r="AD372" s="79">
        <v>2.052506474E9</v>
      </c>
      <c r="AE372" s="80"/>
    </row>
    <row r="373">
      <c r="A373" s="73" t="s">
        <v>422</v>
      </c>
      <c r="B373" s="76">
        <v>3.0</v>
      </c>
      <c r="C373" s="76">
        <v>0.0</v>
      </c>
      <c r="D373" s="76">
        <v>-26.01</v>
      </c>
      <c r="E373" s="76">
        <v>-0.42</v>
      </c>
      <c r="F373" s="76">
        <v>3.57</v>
      </c>
      <c r="G373" s="76">
        <v>0.0</v>
      </c>
      <c r="H373" s="76">
        <v>0.0</v>
      </c>
      <c r="I373" s="76">
        <v>0.0</v>
      </c>
      <c r="J373" s="76">
        <v>-26.01</v>
      </c>
      <c r="K373" s="76">
        <v>-29.82</v>
      </c>
      <c r="L373" s="76">
        <v>0.0</v>
      </c>
      <c r="M373" s="76">
        <v>0.0</v>
      </c>
      <c r="N373" s="76">
        <v>0.0</v>
      </c>
      <c r="O373" s="76">
        <v>-393.81</v>
      </c>
      <c r="P373" s="76">
        <v>-3.57</v>
      </c>
      <c r="Q373" s="76">
        <v>0.0</v>
      </c>
      <c r="R373" s="76">
        <v>-1.63</v>
      </c>
      <c r="S373" s="76">
        <v>-13.71</v>
      </c>
      <c r="T373" s="76">
        <v>1.63</v>
      </c>
      <c r="U373" s="76">
        <v>-8.41</v>
      </c>
      <c r="V373" s="76">
        <v>9.41</v>
      </c>
      <c r="W373" s="76">
        <v>0.0</v>
      </c>
      <c r="X373" s="76">
        <v>0.0</v>
      </c>
      <c r="Y373" s="76">
        <v>0.0</v>
      </c>
      <c r="Z373" s="77">
        <v>300.0</v>
      </c>
      <c r="AA373" s="76">
        <v>-7.08</v>
      </c>
      <c r="AB373" s="76">
        <v>-0.12</v>
      </c>
      <c r="AC373" s="76">
        <v>0.65</v>
      </c>
      <c r="AD373" s="76">
        <v>3160747.8</v>
      </c>
      <c r="AE373" s="74"/>
    </row>
    <row r="374">
      <c r="A374" s="73" t="s">
        <v>423</v>
      </c>
      <c r="B374" s="76">
        <v>3.87</v>
      </c>
      <c r="C374" s="76">
        <v>0.0</v>
      </c>
      <c r="D374" s="76">
        <v>-33.55</v>
      </c>
      <c r="E374" s="76">
        <v>-0.55</v>
      </c>
      <c r="F374" s="76">
        <v>4.6</v>
      </c>
      <c r="G374" s="76">
        <v>0.0</v>
      </c>
      <c r="H374" s="76">
        <v>0.0</v>
      </c>
      <c r="I374" s="76">
        <v>0.0</v>
      </c>
      <c r="J374" s="76">
        <v>-33.55</v>
      </c>
      <c r="K374" s="76">
        <v>-29.82</v>
      </c>
      <c r="L374" s="76">
        <v>0.0</v>
      </c>
      <c r="M374" s="76">
        <v>0.0</v>
      </c>
      <c r="N374" s="76">
        <v>0.0</v>
      </c>
      <c r="O374" s="76">
        <v>-508.02</v>
      </c>
      <c r="P374" s="76">
        <v>-4.6</v>
      </c>
      <c r="Q374" s="76">
        <v>0.0</v>
      </c>
      <c r="R374" s="76">
        <v>-1.63</v>
      </c>
      <c r="S374" s="76">
        <v>-13.71</v>
      </c>
      <c r="T374" s="76">
        <v>1.63</v>
      </c>
      <c r="U374" s="76">
        <v>-8.41</v>
      </c>
      <c r="V374" s="76">
        <v>9.41</v>
      </c>
      <c r="W374" s="76">
        <v>0.0</v>
      </c>
      <c r="X374" s="76">
        <v>0.0</v>
      </c>
      <c r="Y374" s="76">
        <v>0.0</v>
      </c>
      <c r="Z374" s="76">
        <v>365.83</v>
      </c>
      <c r="AA374" s="76">
        <v>-7.08</v>
      </c>
      <c r="AB374" s="76">
        <v>-0.12</v>
      </c>
      <c r="AC374" s="76">
        <v>0.84</v>
      </c>
      <c r="AD374" s="76">
        <v>3160747.8</v>
      </c>
      <c r="AE374" s="74"/>
    </row>
    <row r="375">
      <c r="A375" s="73" t="s">
        <v>424</v>
      </c>
      <c r="B375" s="76">
        <v>5.72</v>
      </c>
      <c r="C375" s="76">
        <v>3.94</v>
      </c>
      <c r="D375" s="76">
        <v>23.46</v>
      </c>
      <c r="E375" s="76">
        <v>1.3</v>
      </c>
      <c r="F375" s="76">
        <v>0.43</v>
      </c>
      <c r="G375" s="76">
        <v>28.99</v>
      </c>
      <c r="H375" s="76">
        <v>14.57</v>
      </c>
      <c r="I375" s="76">
        <v>3.87</v>
      </c>
      <c r="J375" s="76">
        <v>6.23</v>
      </c>
      <c r="K375" s="76">
        <v>8.56</v>
      </c>
      <c r="L375" s="76">
        <v>2.32</v>
      </c>
      <c r="M375" s="76">
        <v>0.49</v>
      </c>
      <c r="N375" s="76">
        <v>0.91</v>
      </c>
      <c r="O375" s="76">
        <v>1.86</v>
      </c>
      <c r="P375" s="76">
        <v>-0.67</v>
      </c>
      <c r="Q375" s="76">
        <v>2.92</v>
      </c>
      <c r="R375" s="76">
        <v>5.56</v>
      </c>
      <c r="S375" s="76">
        <v>1.85</v>
      </c>
      <c r="T375" s="76">
        <v>7.89</v>
      </c>
      <c r="U375" s="76">
        <v>0.33</v>
      </c>
      <c r="V375" s="76">
        <v>0.66</v>
      </c>
      <c r="W375" s="76">
        <v>0.48</v>
      </c>
      <c r="X375" s="76">
        <v>24.89</v>
      </c>
      <c r="Y375" s="76">
        <v>-10.05</v>
      </c>
      <c r="Z375" s="79">
        <v>1053653.0</v>
      </c>
      <c r="AA375" s="76">
        <v>4.39</v>
      </c>
      <c r="AB375" s="76">
        <v>0.24</v>
      </c>
      <c r="AC375" s="76">
        <v>-0.19</v>
      </c>
      <c r="AD375" s="79">
        <v>1.907899279E9</v>
      </c>
      <c r="AE375" s="80"/>
    </row>
    <row r="376">
      <c r="A376" s="73" t="s">
        <v>425</v>
      </c>
      <c r="B376" s="76">
        <v>18.76</v>
      </c>
      <c r="C376" s="76">
        <v>14.98</v>
      </c>
      <c r="D376" s="76">
        <v>9.48</v>
      </c>
      <c r="E376" s="76">
        <v>2.22</v>
      </c>
      <c r="F376" s="76">
        <v>0.2</v>
      </c>
      <c r="G376" s="76">
        <v>12.48</v>
      </c>
      <c r="H376" s="76">
        <v>3.39</v>
      </c>
      <c r="I376" s="76">
        <v>1.76</v>
      </c>
      <c r="J376" s="76">
        <v>4.91</v>
      </c>
      <c r="K376" s="76">
        <v>13.51</v>
      </c>
      <c r="L376" s="76">
        <v>8.6</v>
      </c>
      <c r="M376" s="76">
        <v>3.88</v>
      </c>
      <c r="N376" s="76">
        <v>0.17</v>
      </c>
      <c r="O376" s="76">
        <v>5.99</v>
      </c>
      <c r="P376" s="76">
        <v>-0.32</v>
      </c>
      <c r="Q376" s="76">
        <v>1.09</v>
      </c>
      <c r="R376" s="76">
        <v>23.42</v>
      </c>
      <c r="S376" s="76">
        <v>2.07</v>
      </c>
      <c r="T376" s="76">
        <v>2.41</v>
      </c>
      <c r="U376" s="76">
        <v>0.09</v>
      </c>
      <c r="V376" s="76">
        <v>0.89</v>
      </c>
      <c r="W376" s="76">
        <v>1.18</v>
      </c>
      <c r="X376" s="76">
        <v>25.01</v>
      </c>
      <c r="Y376" s="76">
        <v>67.15</v>
      </c>
      <c r="Z376" s="79">
        <v>1.4E8</v>
      </c>
      <c r="AA376" s="76">
        <v>8.45</v>
      </c>
      <c r="AB376" s="76">
        <v>1.98</v>
      </c>
      <c r="AC376" s="76">
        <v>0.01</v>
      </c>
      <c r="AD376" s="79">
        <v>2.6970208231E10</v>
      </c>
      <c r="AE376" s="80"/>
    </row>
    <row r="377">
      <c r="A377" s="73" t="s">
        <v>426</v>
      </c>
      <c r="B377" s="76">
        <v>25.43</v>
      </c>
      <c r="C377" s="76">
        <v>5.37</v>
      </c>
      <c r="D377" s="76">
        <v>12.71</v>
      </c>
      <c r="E377" s="76">
        <v>1.04</v>
      </c>
      <c r="F377" s="76">
        <v>0.66</v>
      </c>
      <c r="G377" s="76">
        <v>32.63</v>
      </c>
      <c r="H377" s="76">
        <v>7.61</v>
      </c>
      <c r="I377" s="76">
        <v>6.65</v>
      </c>
      <c r="J377" s="76">
        <v>11.09</v>
      </c>
      <c r="K377" s="76">
        <v>10.24</v>
      </c>
      <c r="L377" s="76">
        <v>-0.86</v>
      </c>
      <c r="M377" s="76">
        <v>-0.08</v>
      </c>
      <c r="N377" s="76">
        <v>0.84</v>
      </c>
      <c r="O377" s="76">
        <v>2.38</v>
      </c>
      <c r="P377" s="76">
        <v>-1.28</v>
      </c>
      <c r="Q377" s="76">
        <v>2.33</v>
      </c>
      <c r="R377" s="76">
        <v>8.17</v>
      </c>
      <c r="S377" s="76">
        <v>5.19</v>
      </c>
      <c r="T377" s="76">
        <v>6.5</v>
      </c>
      <c r="U377" s="76">
        <v>0.64</v>
      </c>
      <c r="V377" s="76">
        <v>0.36</v>
      </c>
      <c r="W377" s="76">
        <v>0.78</v>
      </c>
      <c r="X377" s="76">
        <v>9.62</v>
      </c>
      <c r="Y377" s="76">
        <v>4.03</v>
      </c>
      <c r="Z377" s="79">
        <v>1.1675397E7</v>
      </c>
      <c r="AA377" s="76">
        <v>24.5</v>
      </c>
      <c r="AB377" s="76">
        <v>2.0</v>
      </c>
      <c r="AC377" s="76">
        <v>-0.78</v>
      </c>
      <c r="AD377" s="79">
        <v>8.62077E9</v>
      </c>
      <c r="AE377" s="80"/>
    </row>
    <row r="378">
      <c r="A378" s="73" t="s">
        <v>427</v>
      </c>
      <c r="B378" s="76">
        <v>33.82</v>
      </c>
      <c r="C378" s="76">
        <v>15.83</v>
      </c>
      <c r="D378" s="76">
        <v>9.97</v>
      </c>
      <c r="E378" s="76">
        <v>1.95</v>
      </c>
      <c r="F378" s="76">
        <v>0.64</v>
      </c>
      <c r="G378" s="76">
        <v>35.24</v>
      </c>
      <c r="H378" s="76">
        <v>18.1</v>
      </c>
      <c r="I378" s="76">
        <v>17.51</v>
      </c>
      <c r="J378" s="76">
        <v>9.64</v>
      </c>
      <c r="K378" s="76">
        <v>10.32</v>
      </c>
      <c r="L378" s="76">
        <v>0.67</v>
      </c>
      <c r="M378" s="76">
        <v>0.14</v>
      </c>
      <c r="N378" s="76">
        <v>1.74</v>
      </c>
      <c r="O378" s="76">
        <v>1.98</v>
      </c>
      <c r="P378" s="76">
        <v>-1.27</v>
      </c>
      <c r="Q378" s="76">
        <v>2.91</v>
      </c>
      <c r="R378" s="76">
        <v>19.53</v>
      </c>
      <c r="S378" s="76">
        <v>6.44</v>
      </c>
      <c r="T378" s="76">
        <v>11.99</v>
      </c>
      <c r="U378" s="76">
        <v>0.33</v>
      </c>
      <c r="V378" s="76">
        <v>0.67</v>
      </c>
      <c r="W378" s="76">
        <v>0.37</v>
      </c>
      <c r="X378" s="76">
        <v>30.95</v>
      </c>
      <c r="Y378" s="76">
        <v>0.0</v>
      </c>
      <c r="Z378" s="77">
        <v>5.0474553E7</v>
      </c>
      <c r="AA378" s="76">
        <v>17.38</v>
      </c>
      <c r="AB378" s="76">
        <v>3.39</v>
      </c>
      <c r="AC378" s="76">
        <v>0.21</v>
      </c>
      <c r="AD378" s="79">
        <v>3.524530805E9</v>
      </c>
      <c r="AE378" s="80"/>
    </row>
    <row r="379">
      <c r="A379" s="73" t="s">
        <v>428</v>
      </c>
      <c r="B379" s="76">
        <v>1.23</v>
      </c>
      <c r="C379" s="76">
        <v>0.0</v>
      </c>
      <c r="D379" s="76">
        <v>-2.42</v>
      </c>
      <c r="E379" s="76">
        <v>0.39</v>
      </c>
      <c r="F379" s="76">
        <v>0.15</v>
      </c>
      <c r="G379" s="76">
        <v>33.74</v>
      </c>
      <c r="H379" s="76">
        <v>1.37</v>
      </c>
      <c r="I379" s="76">
        <v>-7.31</v>
      </c>
      <c r="J379" s="76">
        <v>12.89</v>
      </c>
      <c r="K379" s="76">
        <v>22.58</v>
      </c>
      <c r="L379" s="76">
        <v>9.69</v>
      </c>
      <c r="M379" s="76">
        <v>0.29</v>
      </c>
      <c r="N379" s="76">
        <v>0.18</v>
      </c>
      <c r="O379" s="76">
        <v>-3.02</v>
      </c>
      <c r="P379" s="76">
        <v>-0.19</v>
      </c>
      <c r="Q379" s="76">
        <v>0.77</v>
      </c>
      <c r="R379" s="76">
        <v>-16.18</v>
      </c>
      <c r="S379" s="76">
        <v>-6.38</v>
      </c>
      <c r="T379" s="76">
        <v>-0.55</v>
      </c>
      <c r="U379" s="76">
        <v>0.39</v>
      </c>
      <c r="V379" s="76">
        <v>0.61</v>
      </c>
      <c r="W379" s="76">
        <v>0.87</v>
      </c>
      <c r="X379" s="76">
        <v>6.77</v>
      </c>
      <c r="Y379" s="76">
        <v>0.0</v>
      </c>
      <c r="Z379" s="77">
        <v>235340.3</v>
      </c>
      <c r="AA379" s="76">
        <v>3.15</v>
      </c>
      <c r="AB379" s="76">
        <v>-0.51</v>
      </c>
      <c r="AC379" s="76">
        <v>-0.06</v>
      </c>
      <c r="AD379" s="79">
        <v>3.526121442E8</v>
      </c>
      <c r="AE379" s="80"/>
    </row>
    <row r="380">
      <c r="A380" s="73" t="s">
        <v>429</v>
      </c>
      <c r="B380" s="76">
        <v>4.0</v>
      </c>
      <c r="C380" s="76">
        <v>14.01</v>
      </c>
      <c r="D380" s="76">
        <v>6.99</v>
      </c>
      <c r="E380" s="76">
        <v>0.75</v>
      </c>
      <c r="F380" s="76">
        <v>0.31</v>
      </c>
      <c r="G380" s="76">
        <v>24.77</v>
      </c>
      <c r="H380" s="76">
        <v>9.65</v>
      </c>
      <c r="I380" s="76">
        <v>9.8</v>
      </c>
      <c r="J380" s="76">
        <v>7.1</v>
      </c>
      <c r="K380" s="76">
        <v>8.39</v>
      </c>
      <c r="L380" s="76">
        <v>1.29</v>
      </c>
      <c r="M380" s="76">
        <v>0.14</v>
      </c>
      <c r="N380" s="76">
        <v>0.69</v>
      </c>
      <c r="O380" s="76">
        <v>0.68</v>
      </c>
      <c r="P380" s="76">
        <v>-1.15</v>
      </c>
      <c r="Q380" s="76">
        <v>2.6</v>
      </c>
      <c r="R380" s="76">
        <v>10.75</v>
      </c>
      <c r="S380" s="76">
        <v>4.38</v>
      </c>
      <c r="T380" s="76">
        <v>4.67</v>
      </c>
      <c r="U380" s="76">
        <v>0.41</v>
      </c>
      <c r="V380" s="76">
        <v>0.54</v>
      </c>
      <c r="W380" s="76">
        <v>0.45</v>
      </c>
      <c r="X380" s="76">
        <v>12.82</v>
      </c>
      <c r="Y380" s="76">
        <v>21.01</v>
      </c>
      <c r="Z380" s="76">
        <v>2087970.0</v>
      </c>
      <c r="AA380" s="76">
        <v>5.32</v>
      </c>
      <c r="AB380" s="76">
        <v>0.57</v>
      </c>
      <c r="AC380" s="76">
        <v>0.17</v>
      </c>
      <c r="AD380" s="79">
        <v>8.25077364E8</v>
      </c>
      <c r="AE380" s="80"/>
    </row>
    <row r="381">
      <c r="A381" s="73" t="s">
        <v>430</v>
      </c>
      <c r="B381" s="76">
        <v>15.28</v>
      </c>
      <c r="C381" s="76">
        <v>0.0</v>
      </c>
      <c r="D381" s="76">
        <v>17.12</v>
      </c>
      <c r="E381" s="76">
        <v>1.04</v>
      </c>
      <c r="F381" s="76">
        <v>0.98</v>
      </c>
      <c r="G381" s="76">
        <v>91.73</v>
      </c>
      <c r="H381" s="76">
        <v>54.29</v>
      </c>
      <c r="I381" s="76">
        <v>32.04</v>
      </c>
      <c r="J381" s="76">
        <v>10.11</v>
      </c>
      <c r="K381" s="76">
        <v>10.03</v>
      </c>
      <c r="L381" s="76">
        <v>0.0</v>
      </c>
      <c r="M381" s="76">
        <v>0.0</v>
      </c>
      <c r="N381" s="76">
        <v>5.49</v>
      </c>
      <c r="O381" s="76">
        <v>21.07</v>
      </c>
      <c r="P381" s="76">
        <v>-1.03</v>
      </c>
      <c r="Q381" s="76">
        <v>0.0</v>
      </c>
      <c r="R381" s="76">
        <v>6.09</v>
      </c>
      <c r="S381" s="76">
        <v>5.72</v>
      </c>
      <c r="T381" s="76">
        <v>0.0</v>
      </c>
      <c r="U381" s="76">
        <v>0.94</v>
      </c>
      <c r="V381" s="76">
        <v>0.06</v>
      </c>
      <c r="W381" s="76">
        <v>0.18</v>
      </c>
      <c r="X381" s="76">
        <v>-2.99</v>
      </c>
      <c r="Y381" s="76">
        <v>15.25</v>
      </c>
      <c r="Z381" s="76">
        <v>1528.0</v>
      </c>
      <c r="AA381" s="76">
        <v>14.66</v>
      </c>
      <c r="AB381" s="76">
        <v>0.89</v>
      </c>
      <c r="AC381" s="76">
        <v>0.2</v>
      </c>
      <c r="AD381" s="79">
        <v>6.2167018E8</v>
      </c>
      <c r="AE381" s="80"/>
    </row>
    <row r="382">
      <c r="A382" s="73" t="s">
        <v>431</v>
      </c>
      <c r="B382" s="76">
        <v>15.0</v>
      </c>
      <c r="C382" s="76">
        <v>0.0</v>
      </c>
      <c r="D382" s="76">
        <v>16.81</v>
      </c>
      <c r="E382" s="76">
        <v>1.02</v>
      </c>
      <c r="F382" s="76">
        <v>0.96</v>
      </c>
      <c r="G382" s="76">
        <v>91.73</v>
      </c>
      <c r="H382" s="76">
        <v>54.29</v>
      </c>
      <c r="I382" s="76">
        <v>32.04</v>
      </c>
      <c r="J382" s="76">
        <v>9.92</v>
      </c>
      <c r="K382" s="76">
        <v>10.03</v>
      </c>
      <c r="L382" s="76">
        <v>0.0</v>
      </c>
      <c r="M382" s="76">
        <v>0.0</v>
      </c>
      <c r="N382" s="76">
        <v>5.39</v>
      </c>
      <c r="O382" s="76">
        <v>20.69</v>
      </c>
      <c r="P382" s="76">
        <v>-1.01</v>
      </c>
      <c r="Q382" s="76">
        <v>0.0</v>
      </c>
      <c r="R382" s="76">
        <v>6.09</v>
      </c>
      <c r="S382" s="76">
        <v>5.72</v>
      </c>
      <c r="T382" s="76">
        <v>0.0</v>
      </c>
      <c r="U382" s="76">
        <v>0.94</v>
      </c>
      <c r="V382" s="76">
        <v>0.06</v>
      </c>
      <c r="W382" s="76">
        <v>0.18</v>
      </c>
      <c r="X382" s="76">
        <v>-2.99</v>
      </c>
      <c r="Y382" s="76">
        <v>15.25</v>
      </c>
      <c r="Z382" s="76">
        <v>14288.75</v>
      </c>
      <c r="AA382" s="76">
        <v>14.66</v>
      </c>
      <c r="AB382" s="76">
        <v>0.89</v>
      </c>
      <c r="AC382" s="76">
        <v>0.19</v>
      </c>
      <c r="AD382" s="79">
        <v>6.2167018E8</v>
      </c>
      <c r="AE382" s="80"/>
    </row>
    <row r="383">
      <c r="A383" s="73" t="s">
        <v>432</v>
      </c>
      <c r="B383" s="76">
        <v>74.1</v>
      </c>
      <c r="C383" s="76">
        <v>0.0</v>
      </c>
      <c r="D383" s="76">
        <v>48.62</v>
      </c>
      <c r="E383" s="76">
        <v>13.84</v>
      </c>
      <c r="F383" s="76">
        <v>0.57</v>
      </c>
      <c r="G383" s="76">
        <v>12.32</v>
      </c>
      <c r="H383" s="76">
        <v>6.4</v>
      </c>
      <c r="I383" s="76">
        <v>0.85</v>
      </c>
      <c r="J383" s="76">
        <v>6.48</v>
      </c>
      <c r="K383" s="76">
        <v>10.88</v>
      </c>
      <c r="L383" s="76">
        <v>8.22</v>
      </c>
      <c r="M383" s="76">
        <v>17.55</v>
      </c>
      <c r="N383" s="76">
        <v>0.41</v>
      </c>
      <c r="O383" s="76">
        <v>5.5</v>
      </c>
      <c r="P383" s="76">
        <v>-1.01</v>
      </c>
      <c r="Q383" s="76">
        <v>1.32</v>
      </c>
      <c r="R383" s="76">
        <v>28.47</v>
      </c>
      <c r="S383" s="76">
        <v>1.18</v>
      </c>
      <c r="T383" s="76">
        <v>8.04</v>
      </c>
      <c r="U383" s="76">
        <v>0.04</v>
      </c>
      <c r="V383" s="76">
        <v>0.96</v>
      </c>
      <c r="W383" s="76">
        <v>1.38</v>
      </c>
      <c r="X383" s="76">
        <v>11.25</v>
      </c>
      <c r="Y383" s="76">
        <v>0.0</v>
      </c>
      <c r="Z383" s="76">
        <v>0.0</v>
      </c>
      <c r="AA383" s="76">
        <v>5.35</v>
      </c>
      <c r="AB383" s="76">
        <v>1.52</v>
      </c>
      <c r="AC383" s="76">
        <v>-0.04</v>
      </c>
      <c r="AD383" s="76">
        <v>1.760730753E8</v>
      </c>
      <c r="AE383" s="74"/>
    </row>
    <row r="384">
      <c r="A384" s="73" t="s">
        <v>433</v>
      </c>
      <c r="B384" s="76">
        <v>6.16</v>
      </c>
      <c r="C384" s="76">
        <v>0.0</v>
      </c>
      <c r="D384" s="76">
        <v>4.04</v>
      </c>
      <c r="E384" s="76">
        <v>1.15</v>
      </c>
      <c r="F384" s="76">
        <v>0.05</v>
      </c>
      <c r="G384" s="76">
        <v>12.32</v>
      </c>
      <c r="H384" s="76">
        <v>6.4</v>
      </c>
      <c r="I384" s="76">
        <v>0.85</v>
      </c>
      <c r="J384" s="76">
        <v>0.54</v>
      </c>
      <c r="K384" s="76">
        <v>10.88</v>
      </c>
      <c r="L384" s="76">
        <v>8.22</v>
      </c>
      <c r="M384" s="76">
        <v>17.55</v>
      </c>
      <c r="N384" s="76">
        <v>0.03</v>
      </c>
      <c r="O384" s="76">
        <v>0.46</v>
      </c>
      <c r="P384" s="76">
        <v>-0.08</v>
      </c>
      <c r="Q384" s="76">
        <v>1.32</v>
      </c>
      <c r="R384" s="76">
        <v>28.47</v>
      </c>
      <c r="S384" s="76">
        <v>1.18</v>
      </c>
      <c r="T384" s="76">
        <v>8.04</v>
      </c>
      <c r="U384" s="76">
        <v>0.04</v>
      </c>
      <c r="V384" s="76">
        <v>0.96</v>
      </c>
      <c r="W384" s="76">
        <v>1.38</v>
      </c>
      <c r="X384" s="76">
        <v>11.25</v>
      </c>
      <c r="Y384" s="76">
        <v>0.0</v>
      </c>
      <c r="Z384" s="76">
        <v>57750.38</v>
      </c>
      <c r="AA384" s="76">
        <v>5.35</v>
      </c>
      <c r="AB384" s="76">
        <v>1.52</v>
      </c>
      <c r="AC384" s="76">
        <v>0.0</v>
      </c>
      <c r="AD384" s="76">
        <v>1.760730753E8</v>
      </c>
      <c r="AE384" s="74"/>
    </row>
    <row r="385">
      <c r="A385" s="73" t="s">
        <v>434</v>
      </c>
      <c r="B385" s="76">
        <v>10.58</v>
      </c>
      <c r="C385" s="76">
        <v>2.88</v>
      </c>
      <c r="D385" s="76">
        <v>22.32</v>
      </c>
      <c r="E385" s="76">
        <v>0.74</v>
      </c>
      <c r="F385" s="76">
        <v>0.22</v>
      </c>
      <c r="G385" s="76">
        <v>30.65</v>
      </c>
      <c r="H385" s="76">
        <v>4.72</v>
      </c>
      <c r="I385" s="76">
        <v>0.96</v>
      </c>
      <c r="J385" s="76">
        <v>4.54</v>
      </c>
      <c r="K385" s="76">
        <v>6.95</v>
      </c>
      <c r="L385" s="76">
        <v>2.41</v>
      </c>
      <c r="M385" s="76">
        <v>0.39</v>
      </c>
      <c r="N385" s="76">
        <v>0.21</v>
      </c>
      <c r="O385" s="76">
        <v>2.05</v>
      </c>
      <c r="P385" s="76">
        <v>-0.46</v>
      </c>
      <c r="Q385" s="76">
        <v>1.26</v>
      </c>
      <c r="R385" s="76">
        <v>3.3</v>
      </c>
      <c r="S385" s="76">
        <v>0.99</v>
      </c>
      <c r="T385" s="76">
        <v>6.85</v>
      </c>
      <c r="U385" s="76">
        <v>0.3</v>
      </c>
      <c r="V385" s="76">
        <v>0.7</v>
      </c>
      <c r="W385" s="76">
        <v>1.03</v>
      </c>
      <c r="X385" s="76">
        <v>13.85</v>
      </c>
      <c r="Y385" s="76">
        <v>-16.79</v>
      </c>
      <c r="Z385" s="79">
        <v>1.95E8</v>
      </c>
      <c r="AA385" s="76">
        <v>14.38</v>
      </c>
      <c r="AB385" s="76">
        <v>0.47</v>
      </c>
      <c r="AC385" s="76">
        <v>47.31</v>
      </c>
      <c r="AD385" s="79">
        <v>8.209498206E9</v>
      </c>
      <c r="AE385" s="80"/>
    </row>
    <row r="386">
      <c r="A386" s="73" t="s">
        <v>435</v>
      </c>
      <c r="B386" s="76">
        <v>15.18</v>
      </c>
      <c r="C386" s="76">
        <v>3.06</v>
      </c>
      <c r="D386" s="76">
        <v>11.93</v>
      </c>
      <c r="E386" s="76">
        <v>2.12</v>
      </c>
      <c r="F386" s="76">
        <v>0.79</v>
      </c>
      <c r="G386" s="76">
        <v>63.07</v>
      </c>
      <c r="H386" s="76">
        <v>33.83</v>
      </c>
      <c r="I386" s="76">
        <v>16.76</v>
      </c>
      <c r="J386" s="76">
        <v>5.91</v>
      </c>
      <c r="K386" s="76">
        <v>8.22</v>
      </c>
      <c r="L386" s="76">
        <v>2.3</v>
      </c>
      <c r="M386" s="76">
        <v>0.83</v>
      </c>
      <c r="N386" s="76">
        <v>2.0</v>
      </c>
      <c r="O386" s="76">
        <v>3.25</v>
      </c>
      <c r="P386" s="76">
        <v>-1.28</v>
      </c>
      <c r="Q386" s="76">
        <v>2.78</v>
      </c>
      <c r="R386" s="76">
        <v>17.75</v>
      </c>
      <c r="S386" s="76">
        <v>6.65</v>
      </c>
      <c r="T386" s="76">
        <v>10.62</v>
      </c>
      <c r="U386" s="76">
        <v>0.37</v>
      </c>
      <c r="V386" s="76">
        <v>0.62</v>
      </c>
      <c r="W386" s="76">
        <v>0.4</v>
      </c>
      <c r="X386" s="76">
        <v>29.09</v>
      </c>
      <c r="Y386" s="76">
        <v>0.0</v>
      </c>
      <c r="Z386" s="76">
        <v>1.1019049E7</v>
      </c>
      <c r="AA386" s="76">
        <v>7.17</v>
      </c>
      <c r="AB386" s="76">
        <v>1.27</v>
      </c>
      <c r="AC386" s="76">
        <v>4.45</v>
      </c>
      <c r="AD386" s="79">
        <v>3.554825182E9</v>
      </c>
      <c r="AE386" s="80"/>
    </row>
    <row r="387">
      <c r="A387" s="73" t="s">
        <v>436</v>
      </c>
      <c r="B387" s="76">
        <v>1.35</v>
      </c>
      <c r="C387" s="76">
        <v>3.74</v>
      </c>
      <c r="D387" s="76">
        <v>-21.52</v>
      </c>
      <c r="E387" s="76">
        <v>0.36</v>
      </c>
      <c r="F387" s="76">
        <v>0.21</v>
      </c>
      <c r="G387" s="76">
        <v>24.38</v>
      </c>
      <c r="H387" s="76">
        <v>2.18</v>
      </c>
      <c r="I387" s="76">
        <v>-1.38</v>
      </c>
      <c r="J387" s="76">
        <v>13.65</v>
      </c>
      <c r="K387" s="76">
        <v>14.03</v>
      </c>
      <c r="L387" s="76">
        <v>0.38</v>
      </c>
      <c r="M387" s="76">
        <v>0.01</v>
      </c>
      <c r="N387" s="76">
        <v>0.3</v>
      </c>
      <c r="O387" s="76">
        <v>0.61</v>
      </c>
      <c r="P387" s="76">
        <v>-0.69</v>
      </c>
      <c r="Q387" s="76">
        <v>1.99</v>
      </c>
      <c r="R387" s="76">
        <v>-1.7</v>
      </c>
      <c r="S387" s="76">
        <v>-0.97</v>
      </c>
      <c r="T387" s="76">
        <v>0.77</v>
      </c>
      <c r="U387" s="76">
        <v>0.57</v>
      </c>
      <c r="V387" s="76">
        <v>0.43</v>
      </c>
      <c r="W387" s="76">
        <v>0.7</v>
      </c>
      <c r="X387" s="76">
        <v>12.16</v>
      </c>
      <c r="Y387" s="76">
        <v>0.0</v>
      </c>
      <c r="Z387" s="76">
        <v>1690425.0</v>
      </c>
      <c r="AA387" s="76">
        <v>3.7</v>
      </c>
      <c r="AB387" s="76">
        <v>-0.06</v>
      </c>
      <c r="AC387" s="76">
        <v>0.24</v>
      </c>
      <c r="AD387" s="79">
        <v>1.107727954E9</v>
      </c>
      <c r="AE387" s="80"/>
    </row>
    <row r="388">
      <c r="A388" s="73" t="s">
        <v>437</v>
      </c>
      <c r="B388" s="76">
        <v>14.0</v>
      </c>
      <c r="C388" s="76">
        <v>0.0</v>
      </c>
      <c r="D388" s="76">
        <v>-2.17</v>
      </c>
      <c r="E388" s="76">
        <v>-0.11</v>
      </c>
      <c r="F388" s="76">
        <v>0.71</v>
      </c>
      <c r="G388" s="76">
        <v>0.0</v>
      </c>
      <c r="H388" s="76">
        <v>0.0</v>
      </c>
      <c r="I388" s="76">
        <v>0.0</v>
      </c>
      <c r="J388" s="76">
        <v>-181.31</v>
      </c>
      <c r="K388" s="76">
        <v>-719.57</v>
      </c>
      <c r="L388" s="76">
        <v>-538.27</v>
      </c>
      <c r="M388" s="76">
        <v>0.0</v>
      </c>
      <c r="N388" s="76">
        <v>0.0</v>
      </c>
      <c r="O388" s="76">
        <v>-0.1</v>
      </c>
      <c r="P388" s="76">
        <v>-0.75</v>
      </c>
      <c r="Q388" s="76">
        <v>0.01</v>
      </c>
      <c r="R388" s="76">
        <v>-4.97</v>
      </c>
      <c r="S388" s="76">
        <v>-32.75</v>
      </c>
      <c r="T388" s="76">
        <v>0.28</v>
      </c>
      <c r="U388" s="76">
        <v>-6.58</v>
      </c>
      <c r="V388" s="76">
        <v>7.6</v>
      </c>
      <c r="W388" s="76">
        <v>0.0</v>
      </c>
      <c r="X388" s="76">
        <v>-6.95</v>
      </c>
      <c r="Y388" s="76">
        <v>0.0</v>
      </c>
      <c r="Z388" s="77">
        <v>0.0</v>
      </c>
      <c r="AA388" s="76">
        <v>-129.88</v>
      </c>
      <c r="AB388" s="76">
        <v>-6.46</v>
      </c>
      <c r="AC388" s="76">
        <v>0.03</v>
      </c>
      <c r="AD388" s="76">
        <v>9.0834562E7</v>
      </c>
      <c r="AE388" s="74"/>
    </row>
    <row r="389">
      <c r="A389" s="73" t="s">
        <v>438</v>
      </c>
      <c r="B389" s="76">
        <v>17.85</v>
      </c>
      <c r="C389" s="76">
        <v>0.0</v>
      </c>
      <c r="D389" s="76">
        <v>-7.27</v>
      </c>
      <c r="E389" s="76">
        <v>1.29</v>
      </c>
      <c r="F389" s="76">
        <v>0.12</v>
      </c>
      <c r="G389" s="76">
        <v>36.89</v>
      </c>
      <c r="H389" s="76">
        <v>12.25</v>
      </c>
      <c r="I389" s="76">
        <v>-2.44</v>
      </c>
      <c r="J389" s="76">
        <v>1.45</v>
      </c>
      <c r="K389" s="76">
        <v>5.66</v>
      </c>
      <c r="L389" s="76">
        <v>4.22</v>
      </c>
      <c r="M389" s="76">
        <v>3.75</v>
      </c>
      <c r="N389" s="76">
        <v>0.18</v>
      </c>
      <c r="O389" s="76">
        <v>-1.07</v>
      </c>
      <c r="P389" s="76">
        <v>-0.21</v>
      </c>
      <c r="Q389" s="76">
        <v>0.78</v>
      </c>
      <c r="R389" s="76">
        <v>-17.71</v>
      </c>
      <c r="S389" s="76">
        <v>-1.7</v>
      </c>
      <c r="T389" s="76">
        <v>16.21</v>
      </c>
      <c r="U389" s="76">
        <v>0.1</v>
      </c>
      <c r="V389" s="76">
        <v>0.9</v>
      </c>
      <c r="W389" s="76">
        <v>0.7</v>
      </c>
      <c r="X389" s="76">
        <v>14.83</v>
      </c>
      <c r="Y389" s="76">
        <v>0.0</v>
      </c>
      <c r="Z389" s="76">
        <v>131410.0</v>
      </c>
      <c r="AA389" s="76">
        <v>13.87</v>
      </c>
      <c r="AB389" s="76">
        <v>-2.46</v>
      </c>
      <c r="AC389" s="76">
        <v>0.0</v>
      </c>
      <c r="AD389" s="76">
        <v>1.77090564E8</v>
      </c>
      <c r="AE389" s="74"/>
    </row>
    <row r="390">
      <c r="A390" s="73" t="s">
        <v>439</v>
      </c>
      <c r="B390" s="76">
        <v>4.09</v>
      </c>
      <c r="C390" s="76">
        <v>0.0</v>
      </c>
      <c r="D390" s="76">
        <v>0.56</v>
      </c>
      <c r="E390" s="76">
        <v>1.44</v>
      </c>
      <c r="F390" s="76">
        <v>0.66</v>
      </c>
      <c r="G390" s="76">
        <v>28.87</v>
      </c>
      <c r="H390" s="76">
        <v>45.58</v>
      </c>
      <c r="I390" s="76">
        <v>121.7</v>
      </c>
      <c r="J390" s="76">
        <v>1.49</v>
      </c>
      <c r="K390" s="76">
        <v>0.88</v>
      </c>
      <c r="L390" s="76">
        <v>-0.61</v>
      </c>
      <c r="M390" s="76">
        <v>-0.59</v>
      </c>
      <c r="N390" s="76">
        <v>0.68</v>
      </c>
      <c r="O390" s="76">
        <v>1.87</v>
      </c>
      <c r="P390" s="76">
        <v>-1.4</v>
      </c>
      <c r="Q390" s="76">
        <v>3.01</v>
      </c>
      <c r="R390" s="76">
        <v>258.34</v>
      </c>
      <c r="S390" s="76">
        <v>118.03</v>
      </c>
      <c r="T390" s="76">
        <v>9.1</v>
      </c>
      <c r="U390" s="76">
        <v>0.46</v>
      </c>
      <c r="V390" s="76">
        <v>0.54</v>
      </c>
      <c r="W390" s="76">
        <v>0.97</v>
      </c>
      <c r="X390" s="76">
        <v>8.54</v>
      </c>
      <c r="Y390" s="76">
        <v>0.0</v>
      </c>
      <c r="Z390" s="79">
        <v>92822.95</v>
      </c>
      <c r="AA390" s="76">
        <v>2.84</v>
      </c>
      <c r="AB390" s="76">
        <v>7.33</v>
      </c>
      <c r="AC390" s="76">
        <v>0.0</v>
      </c>
      <c r="AD390" s="76">
        <v>2.9039409E8</v>
      </c>
      <c r="AE390" s="74"/>
    </row>
    <row r="391">
      <c r="A391" s="73" t="s">
        <v>440</v>
      </c>
      <c r="B391" s="76">
        <v>61.21</v>
      </c>
      <c r="C391" s="76">
        <v>67.98</v>
      </c>
      <c r="D391" s="76">
        <v>23.51</v>
      </c>
      <c r="E391" s="76">
        <v>0.81</v>
      </c>
      <c r="F391" s="76">
        <v>0.34</v>
      </c>
      <c r="G391" s="76">
        <v>0.0</v>
      </c>
      <c r="H391" s="76">
        <v>0.0</v>
      </c>
      <c r="I391" s="76">
        <v>0.0</v>
      </c>
      <c r="J391" s="76">
        <v>-11.73</v>
      </c>
      <c r="K391" s="76">
        <v>-4.93</v>
      </c>
      <c r="L391" s="76">
        <v>6.8</v>
      </c>
      <c r="M391" s="76">
        <v>-0.47</v>
      </c>
      <c r="N391" s="76">
        <v>0.0</v>
      </c>
      <c r="O391" s="76">
        <v>0.77</v>
      </c>
      <c r="P391" s="76">
        <v>-0.86</v>
      </c>
      <c r="Q391" s="76">
        <v>3.6</v>
      </c>
      <c r="R391" s="76">
        <v>3.45</v>
      </c>
      <c r="S391" s="76">
        <v>1.44</v>
      </c>
      <c r="T391" s="76">
        <v>-9.19</v>
      </c>
      <c r="U391" s="76">
        <v>0.42</v>
      </c>
      <c r="V391" s="76">
        <v>0.58</v>
      </c>
      <c r="W391" s="76">
        <v>0.0</v>
      </c>
      <c r="X391" s="76">
        <v>0.0</v>
      </c>
      <c r="Y391" s="76">
        <v>-20.45</v>
      </c>
      <c r="Z391" s="77">
        <v>66141.7</v>
      </c>
      <c r="AA391" s="76">
        <v>75.49</v>
      </c>
      <c r="AB391" s="76">
        <v>2.6</v>
      </c>
      <c r="AC391" s="76">
        <v>-0.28</v>
      </c>
      <c r="AD391" s="79">
        <v>7.498972374E8</v>
      </c>
      <c r="AE391" s="80"/>
    </row>
    <row r="392">
      <c r="A392" s="73" t="s">
        <v>441</v>
      </c>
      <c r="B392" s="76">
        <v>8.46</v>
      </c>
      <c r="C392" s="76">
        <v>0.0</v>
      </c>
      <c r="D392" s="76">
        <v>-27.27</v>
      </c>
      <c r="E392" s="76">
        <v>1.66</v>
      </c>
      <c r="F392" s="76">
        <v>0.27</v>
      </c>
      <c r="G392" s="76">
        <v>50.83</v>
      </c>
      <c r="H392" s="76">
        <v>-5.11</v>
      </c>
      <c r="I392" s="76">
        <v>-5.48</v>
      </c>
      <c r="J392" s="76">
        <v>-29.26</v>
      </c>
      <c r="K392" s="76">
        <v>-29.26</v>
      </c>
      <c r="L392" s="76">
        <v>0.0</v>
      </c>
      <c r="M392" s="76">
        <v>0.0</v>
      </c>
      <c r="N392" s="76">
        <v>1.5</v>
      </c>
      <c r="O392" s="76">
        <v>-0.63</v>
      </c>
      <c r="P392" s="76">
        <v>-0.3</v>
      </c>
      <c r="Q392" s="76">
        <v>0.2</v>
      </c>
      <c r="R392" s="76">
        <v>-6.1</v>
      </c>
      <c r="S392" s="76">
        <v>-0.97</v>
      </c>
      <c r="T392" s="76">
        <v>0.0</v>
      </c>
      <c r="U392" s="76">
        <v>0.16</v>
      </c>
      <c r="V392" s="76">
        <v>0.84</v>
      </c>
      <c r="W392" s="76">
        <v>0.18</v>
      </c>
      <c r="X392" s="76">
        <v>0.0</v>
      </c>
      <c r="Y392" s="76">
        <v>0.0</v>
      </c>
      <c r="Z392" s="77">
        <v>0.0</v>
      </c>
      <c r="AA392" s="76">
        <v>5.09</v>
      </c>
      <c r="AB392" s="76">
        <v>-0.31</v>
      </c>
      <c r="AC392" s="76">
        <v>0.17</v>
      </c>
      <c r="AD392" s="79">
        <v>1.985844E9</v>
      </c>
      <c r="AE392" s="80"/>
    </row>
    <row r="393">
      <c r="A393" s="73" t="s">
        <v>442</v>
      </c>
      <c r="B393" s="76">
        <v>3.08</v>
      </c>
      <c r="C393" s="76">
        <v>0.0</v>
      </c>
      <c r="D393" s="76">
        <v>-29.78</v>
      </c>
      <c r="E393" s="76">
        <v>1.82</v>
      </c>
      <c r="F393" s="76">
        <v>0.29</v>
      </c>
      <c r="G393" s="76">
        <v>50.83</v>
      </c>
      <c r="H393" s="76">
        <v>-5.11</v>
      </c>
      <c r="I393" s="76">
        <v>-5.48</v>
      </c>
      <c r="J393" s="76">
        <v>-31.96</v>
      </c>
      <c r="K393" s="76">
        <v>-29.26</v>
      </c>
      <c r="L393" s="76">
        <v>0.0</v>
      </c>
      <c r="M393" s="76">
        <v>0.0</v>
      </c>
      <c r="N393" s="76">
        <v>1.63</v>
      </c>
      <c r="O393" s="76">
        <v>-0.69</v>
      </c>
      <c r="P393" s="76">
        <v>-0.32</v>
      </c>
      <c r="Q393" s="76">
        <v>0.2</v>
      </c>
      <c r="R393" s="76">
        <v>-6.1</v>
      </c>
      <c r="S393" s="76">
        <v>-0.97</v>
      </c>
      <c r="T393" s="76">
        <v>0.0</v>
      </c>
      <c r="U393" s="76">
        <v>0.16</v>
      </c>
      <c r="V393" s="76">
        <v>0.84</v>
      </c>
      <c r="W393" s="76">
        <v>0.18</v>
      </c>
      <c r="X393" s="76">
        <v>0.0</v>
      </c>
      <c r="Y393" s="76">
        <v>0.0</v>
      </c>
      <c r="Z393" s="76">
        <v>0.0</v>
      </c>
      <c r="AA393" s="76">
        <v>1.7</v>
      </c>
      <c r="AB393" s="76">
        <v>-0.1</v>
      </c>
      <c r="AC393" s="76">
        <v>0.19</v>
      </c>
      <c r="AD393" s="79">
        <v>1.985844E9</v>
      </c>
      <c r="AE393" s="80"/>
    </row>
    <row r="394">
      <c r="A394" s="73" t="s">
        <v>443</v>
      </c>
      <c r="B394" s="76">
        <v>2.72</v>
      </c>
      <c r="C394" s="76">
        <v>0.0</v>
      </c>
      <c r="D394" s="76">
        <v>-26.3</v>
      </c>
      <c r="E394" s="76">
        <v>1.6</v>
      </c>
      <c r="F394" s="76">
        <v>0.26</v>
      </c>
      <c r="G394" s="76">
        <v>50.83</v>
      </c>
      <c r="H394" s="76">
        <v>-5.11</v>
      </c>
      <c r="I394" s="76">
        <v>-5.48</v>
      </c>
      <c r="J394" s="76">
        <v>-28.22</v>
      </c>
      <c r="K394" s="76">
        <v>-29.26</v>
      </c>
      <c r="L394" s="76">
        <v>0.0</v>
      </c>
      <c r="M394" s="76">
        <v>0.0</v>
      </c>
      <c r="N394" s="76">
        <v>1.44</v>
      </c>
      <c r="O394" s="76">
        <v>-0.61</v>
      </c>
      <c r="P394" s="76">
        <v>-0.29</v>
      </c>
      <c r="Q394" s="76">
        <v>0.2</v>
      </c>
      <c r="R394" s="76">
        <v>-6.1</v>
      </c>
      <c r="S394" s="76">
        <v>-0.97</v>
      </c>
      <c r="T394" s="76">
        <v>0.0</v>
      </c>
      <c r="U394" s="76">
        <v>0.16</v>
      </c>
      <c r="V394" s="76">
        <v>0.84</v>
      </c>
      <c r="W394" s="76">
        <v>0.18</v>
      </c>
      <c r="X394" s="76">
        <v>0.0</v>
      </c>
      <c r="Y394" s="76">
        <v>0.0</v>
      </c>
      <c r="Z394" s="79">
        <v>0.0</v>
      </c>
      <c r="AA394" s="76">
        <v>1.7</v>
      </c>
      <c r="AB394" s="76">
        <v>-0.1</v>
      </c>
      <c r="AC394" s="76">
        <v>0.17</v>
      </c>
      <c r="AD394" s="79">
        <v>1.985844E9</v>
      </c>
      <c r="AE394" s="80"/>
    </row>
    <row r="395">
      <c r="A395" s="73" t="s">
        <v>444</v>
      </c>
      <c r="B395" s="76">
        <v>8.24</v>
      </c>
      <c r="C395" s="76">
        <v>0.0</v>
      </c>
      <c r="D395" s="76">
        <v>2.17</v>
      </c>
      <c r="E395" s="76">
        <v>0.14</v>
      </c>
      <c r="F395" s="76">
        <v>0.02</v>
      </c>
      <c r="G395" s="76">
        <v>0.0</v>
      </c>
      <c r="H395" s="76">
        <v>0.0</v>
      </c>
      <c r="I395" s="76">
        <v>3.42</v>
      </c>
      <c r="J395" s="76">
        <v>0.0</v>
      </c>
      <c r="K395" s="76">
        <v>0.0</v>
      </c>
      <c r="L395" s="76">
        <v>0.0</v>
      </c>
      <c r="M395" s="76">
        <v>0.0</v>
      </c>
      <c r="N395" s="76">
        <v>0.07</v>
      </c>
      <c r="O395" s="76">
        <v>0.0</v>
      </c>
      <c r="P395" s="76">
        <v>-0.02</v>
      </c>
      <c r="Q395" s="76">
        <v>0.0</v>
      </c>
      <c r="R395" s="76">
        <v>6.38</v>
      </c>
      <c r="S395" s="76">
        <v>0.74</v>
      </c>
      <c r="T395" s="76">
        <v>0.0</v>
      </c>
      <c r="U395" s="76">
        <v>0.12</v>
      </c>
      <c r="V395" s="76">
        <v>0.88</v>
      </c>
      <c r="W395" s="76">
        <v>0.22</v>
      </c>
      <c r="X395" s="76">
        <v>0.0</v>
      </c>
      <c r="Y395" s="76">
        <v>0.0</v>
      </c>
      <c r="Z395" s="76">
        <v>0.0</v>
      </c>
      <c r="AA395" s="76">
        <v>59.43</v>
      </c>
      <c r="AB395" s="76">
        <v>3.79</v>
      </c>
      <c r="AC395" s="76">
        <v>0.17</v>
      </c>
      <c r="AD395" s="79">
        <v>1.043149227E9</v>
      </c>
      <c r="AE395" s="80"/>
    </row>
    <row r="396">
      <c r="A396" s="73" t="s">
        <v>445</v>
      </c>
      <c r="B396" s="76">
        <v>16.2</v>
      </c>
      <c r="C396" s="76">
        <v>2.99</v>
      </c>
      <c r="D396" s="76">
        <v>11.32</v>
      </c>
      <c r="E396" s="76">
        <v>2.11</v>
      </c>
      <c r="F396" s="76">
        <v>0.49</v>
      </c>
      <c r="G396" s="76">
        <v>43.84</v>
      </c>
      <c r="H396" s="76">
        <v>35.9</v>
      </c>
      <c r="I396" s="76">
        <v>13.25</v>
      </c>
      <c r="J396" s="76">
        <v>4.18</v>
      </c>
      <c r="K396" s="76">
        <v>8.33</v>
      </c>
      <c r="L396" s="76">
        <v>4.16</v>
      </c>
      <c r="M396" s="76">
        <v>2.09</v>
      </c>
      <c r="N396" s="76">
        <v>1.5</v>
      </c>
      <c r="O396" s="76">
        <v>5.97</v>
      </c>
      <c r="P396" s="76">
        <v>-0.59</v>
      </c>
      <c r="Q396" s="76">
        <v>1.89</v>
      </c>
      <c r="R396" s="76">
        <v>18.6</v>
      </c>
      <c r="S396" s="76">
        <v>4.3</v>
      </c>
      <c r="T396" s="76">
        <v>12.86</v>
      </c>
      <c r="U396" s="76">
        <v>0.23</v>
      </c>
      <c r="V396" s="76">
        <v>0.76</v>
      </c>
      <c r="W396" s="76">
        <v>0.32</v>
      </c>
      <c r="X396" s="76">
        <v>15.52</v>
      </c>
      <c r="Y396" s="76">
        <v>14.99</v>
      </c>
      <c r="Z396" s="79">
        <v>1.58E8</v>
      </c>
      <c r="AA396" s="76">
        <v>7.7</v>
      </c>
      <c r="AB396" s="76">
        <v>1.43</v>
      </c>
      <c r="AC396" s="76">
        <v>0.14</v>
      </c>
      <c r="AD396" s="79">
        <v>3.2724E10</v>
      </c>
      <c r="AE396" s="80"/>
    </row>
    <row r="397">
      <c r="A397" s="73" t="s">
        <v>446</v>
      </c>
      <c r="B397" s="76">
        <v>13.37</v>
      </c>
      <c r="C397" s="76">
        <v>5.8</v>
      </c>
      <c r="D397" s="76">
        <v>16.72</v>
      </c>
      <c r="E397" s="76">
        <v>1.67</v>
      </c>
      <c r="F397" s="76">
        <v>0.16</v>
      </c>
      <c r="G397" s="76">
        <v>32.08</v>
      </c>
      <c r="H397" s="76">
        <v>21.67</v>
      </c>
      <c r="I397" s="76">
        <v>1.95</v>
      </c>
      <c r="J397" s="76">
        <v>1.51</v>
      </c>
      <c r="K397" s="76">
        <v>6.47</v>
      </c>
      <c r="L397" s="76">
        <v>4.97</v>
      </c>
      <c r="M397" s="76">
        <v>5.51</v>
      </c>
      <c r="N397" s="76">
        <v>0.33</v>
      </c>
      <c r="O397" s="76">
        <v>-1.4</v>
      </c>
      <c r="P397" s="76">
        <v>-0.21</v>
      </c>
      <c r="Q397" s="76">
        <v>0.69</v>
      </c>
      <c r="R397" s="76">
        <v>9.98</v>
      </c>
      <c r="S397" s="76">
        <v>0.94</v>
      </c>
      <c r="T397" s="76">
        <v>14.09</v>
      </c>
      <c r="U397" s="76">
        <v>0.09</v>
      </c>
      <c r="V397" s="76">
        <v>0.91</v>
      </c>
      <c r="W397" s="76">
        <v>0.48</v>
      </c>
      <c r="X397" s="76">
        <v>28.58</v>
      </c>
      <c r="Y397" s="76">
        <v>4.08</v>
      </c>
      <c r="Z397" s="76">
        <v>5.6136252E7</v>
      </c>
      <c r="AA397" s="76">
        <v>8.01</v>
      </c>
      <c r="AB397" s="76">
        <v>0.8</v>
      </c>
      <c r="AC397" s="76">
        <v>-0.1</v>
      </c>
      <c r="AD397" s="79">
        <v>4.6518437E9</v>
      </c>
      <c r="AE397" s="80"/>
    </row>
    <row r="398">
      <c r="A398" s="73" t="s">
        <v>447</v>
      </c>
      <c r="B398" s="76">
        <v>48.9</v>
      </c>
      <c r="C398" s="76">
        <v>1.93</v>
      </c>
      <c r="D398" s="76">
        <v>10.93</v>
      </c>
      <c r="E398" s="76">
        <v>1.9</v>
      </c>
      <c r="F398" s="76">
        <v>0.73</v>
      </c>
      <c r="G398" s="76">
        <v>44.64</v>
      </c>
      <c r="H398" s="76">
        <v>36.24</v>
      </c>
      <c r="I398" s="76">
        <v>20.85</v>
      </c>
      <c r="J398" s="76">
        <v>6.29</v>
      </c>
      <c r="K398" s="76">
        <v>7.62</v>
      </c>
      <c r="L398" s="76">
        <v>1.85</v>
      </c>
      <c r="M398" s="76">
        <v>0.56</v>
      </c>
      <c r="N398" s="76">
        <v>2.28</v>
      </c>
      <c r="O398" s="76">
        <v>7.62</v>
      </c>
      <c r="P398" s="76">
        <v>-0.97</v>
      </c>
      <c r="Q398" s="76">
        <v>1.62</v>
      </c>
      <c r="R398" s="76">
        <v>17.39</v>
      </c>
      <c r="S398" s="76">
        <v>6.64</v>
      </c>
      <c r="T398" s="76">
        <v>8.93</v>
      </c>
      <c r="U398" s="76">
        <v>0.38</v>
      </c>
      <c r="V398" s="76">
        <v>0.62</v>
      </c>
      <c r="W398" s="76">
        <v>0.32</v>
      </c>
      <c r="X398" s="76">
        <v>17.02</v>
      </c>
      <c r="Y398" s="76">
        <v>24.6</v>
      </c>
      <c r="Z398" s="76">
        <v>9163.33</v>
      </c>
      <c r="AA398" s="76">
        <v>25.72</v>
      </c>
      <c r="AB398" s="76">
        <v>4.47</v>
      </c>
      <c r="AC398" s="76">
        <v>1.78</v>
      </c>
      <c r="AD398" s="79">
        <v>1.5185251549E10</v>
      </c>
      <c r="AE398" s="80"/>
    </row>
    <row r="399">
      <c r="A399" s="73" t="s">
        <v>448</v>
      </c>
      <c r="B399" s="76">
        <v>40.0</v>
      </c>
      <c r="C399" s="76">
        <v>2.62</v>
      </c>
      <c r="D399" s="76">
        <v>8.94</v>
      </c>
      <c r="E399" s="76">
        <v>1.56</v>
      </c>
      <c r="F399" s="76">
        <v>0.59</v>
      </c>
      <c r="G399" s="76">
        <v>44.64</v>
      </c>
      <c r="H399" s="76">
        <v>36.24</v>
      </c>
      <c r="I399" s="76">
        <v>20.85</v>
      </c>
      <c r="J399" s="76">
        <v>5.14</v>
      </c>
      <c r="K399" s="76">
        <v>7.62</v>
      </c>
      <c r="L399" s="76">
        <v>1.85</v>
      </c>
      <c r="M399" s="76">
        <v>0.56</v>
      </c>
      <c r="N399" s="76">
        <v>1.86</v>
      </c>
      <c r="O399" s="76">
        <v>6.23</v>
      </c>
      <c r="P399" s="76">
        <v>-0.79</v>
      </c>
      <c r="Q399" s="76">
        <v>1.62</v>
      </c>
      <c r="R399" s="76">
        <v>17.39</v>
      </c>
      <c r="S399" s="76">
        <v>6.64</v>
      </c>
      <c r="T399" s="76">
        <v>8.93</v>
      </c>
      <c r="U399" s="76">
        <v>0.38</v>
      </c>
      <c r="V399" s="76">
        <v>0.62</v>
      </c>
      <c r="W399" s="76">
        <v>0.32</v>
      </c>
      <c r="X399" s="76">
        <v>17.02</v>
      </c>
      <c r="Y399" s="76">
        <v>24.6</v>
      </c>
      <c r="Z399" s="76">
        <v>1934.67</v>
      </c>
      <c r="AA399" s="76">
        <v>25.72</v>
      </c>
      <c r="AB399" s="76">
        <v>4.47</v>
      </c>
      <c r="AC399" s="76">
        <v>1.46</v>
      </c>
      <c r="AD399" s="79">
        <v>1.5185251549E10</v>
      </c>
      <c r="AE399" s="80"/>
    </row>
    <row r="400">
      <c r="A400" s="73" t="s">
        <v>449</v>
      </c>
      <c r="B400" s="76">
        <v>44.5</v>
      </c>
      <c r="C400" s="76">
        <v>2.35</v>
      </c>
      <c r="D400" s="76">
        <v>9.95</v>
      </c>
      <c r="E400" s="76">
        <v>1.73</v>
      </c>
      <c r="F400" s="76">
        <v>0.66</v>
      </c>
      <c r="G400" s="76">
        <v>44.64</v>
      </c>
      <c r="H400" s="76">
        <v>36.24</v>
      </c>
      <c r="I400" s="76">
        <v>20.85</v>
      </c>
      <c r="J400" s="76">
        <v>5.72</v>
      </c>
      <c r="K400" s="76">
        <v>7.62</v>
      </c>
      <c r="L400" s="76">
        <v>1.85</v>
      </c>
      <c r="M400" s="76">
        <v>0.56</v>
      </c>
      <c r="N400" s="76">
        <v>2.07</v>
      </c>
      <c r="O400" s="76">
        <v>6.93</v>
      </c>
      <c r="P400" s="76">
        <v>-0.88</v>
      </c>
      <c r="Q400" s="76">
        <v>1.62</v>
      </c>
      <c r="R400" s="76">
        <v>17.39</v>
      </c>
      <c r="S400" s="76">
        <v>6.64</v>
      </c>
      <c r="T400" s="76">
        <v>8.93</v>
      </c>
      <c r="U400" s="76">
        <v>0.38</v>
      </c>
      <c r="V400" s="76">
        <v>0.62</v>
      </c>
      <c r="W400" s="76">
        <v>0.32</v>
      </c>
      <c r="X400" s="76">
        <v>17.02</v>
      </c>
      <c r="Y400" s="76">
        <v>24.6</v>
      </c>
      <c r="Z400" s="76">
        <v>1483.33</v>
      </c>
      <c r="AA400" s="76">
        <v>25.72</v>
      </c>
      <c r="AB400" s="76">
        <v>4.47</v>
      </c>
      <c r="AC400" s="76">
        <v>1.62</v>
      </c>
      <c r="AD400" s="79">
        <v>1.5185251549E10</v>
      </c>
      <c r="AE400" s="80"/>
    </row>
    <row r="401">
      <c r="A401" s="73" t="s">
        <v>450</v>
      </c>
      <c r="B401" s="76">
        <v>10.03</v>
      </c>
      <c r="C401" s="76">
        <v>0.0</v>
      </c>
      <c r="D401" s="76">
        <v>-4.23</v>
      </c>
      <c r="E401" s="76">
        <v>1.07</v>
      </c>
      <c r="F401" s="76">
        <v>0.2</v>
      </c>
      <c r="G401" s="76">
        <v>28.66</v>
      </c>
      <c r="H401" s="77">
        <v>-1.64</v>
      </c>
      <c r="I401" s="77">
        <v>-13.02</v>
      </c>
      <c r="J401" s="76">
        <v>-33.57</v>
      </c>
      <c r="K401" s="76">
        <v>-81.34</v>
      </c>
      <c r="L401" s="76">
        <v>-47.77</v>
      </c>
      <c r="M401" s="76">
        <v>1.53</v>
      </c>
      <c r="N401" s="76">
        <v>0.55</v>
      </c>
      <c r="O401" s="76">
        <v>0.77</v>
      </c>
      <c r="P401" s="76">
        <v>-0.45</v>
      </c>
      <c r="Q401" s="76">
        <v>1.87</v>
      </c>
      <c r="R401" s="76">
        <v>-25.34</v>
      </c>
      <c r="S401" s="76">
        <v>-4.69</v>
      </c>
      <c r="T401" s="76">
        <v>-3.04</v>
      </c>
      <c r="U401" s="76">
        <v>0.18</v>
      </c>
      <c r="V401" s="76">
        <v>0.79</v>
      </c>
      <c r="W401" s="76">
        <v>0.36</v>
      </c>
      <c r="X401" s="76">
        <v>8.27</v>
      </c>
      <c r="Y401" s="76">
        <v>0.0</v>
      </c>
      <c r="Z401" s="79">
        <v>7.5413751E7</v>
      </c>
      <c r="AA401" s="77">
        <v>9.35</v>
      </c>
      <c r="AB401" s="76">
        <v>-2.37</v>
      </c>
      <c r="AC401" s="76">
        <v>-0.02</v>
      </c>
      <c r="AD401" s="79">
        <v>5.645242783E9</v>
      </c>
      <c r="AE401" s="80"/>
    </row>
    <row r="402">
      <c r="A402" s="73" t="s">
        <v>451</v>
      </c>
      <c r="B402" s="76">
        <v>47.0</v>
      </c>
      <c r="C402" s="76">
        <v>0.0</v>
      </c>
      <c r="D402" s="76">
        <v>-22.68</v>
      </c>
      <c r="E402" s="76">
        <v>0.37</v>
      </c>
      <c r="F402" s="76">
        <v>0.21</v>
      </c>
      <c r="G402" s="76">
        <v>38.12</v>
      </c>
      <c r="H402" s="76">
        <v>10.92</v>
      </c>
      <c r="I402" s="76">
        <v>-7.44</v>
      </c>
      <c r="J402" s="76">
        <v>15.45</v>
      </c>
      <c r="K402" s="76">
        <v>23.94</v>
      </c>
      <c r="L402" s="76">
        <v>8.72</v>
      </c>
      <c r="M402" s="76">
        <v>0.21</v>
      </c>
      <c r="N402" s="76">
        <v>1.69</v>
      </c>
      <c r="O402" s="76">
        <v>26.02</v>
      </c>
      <c r="P402" s="76">
        <v>-0.23</v>
      </c>
      <c r="Q402" s="76">
        <v>1.1</v>
      </c>
      <c r="R402" s="76">
        <v>-1.63</v>
      </c>
      <c r="S402" s="76">
        <v>-0.92</v>
      </c>
      <c r="T402" s="76">
        <v>0.81</v>
      </c>
      <c r="U402" s="76">
        <v>0.57</v>
      </c>
      <c r="V402" s="76">
        <v>0.43</v>
      </c>
      <c r="W402" s="76">
        <v>0.12</v>
      </c>
      <c r="X402" s="76">
        <v>6.03</v>
      </c>
      <c r="Y402" s="76">
        <v>0.0</v>
      </c>
      <c r="Z402" s="76">
        <v>0.0</v>
      </c>
      <c r="AA402" s="76">
        <v>127.09</v>
      </c>
      <c r="AB402" s="76">
        <v>-2.07</v>
      </c>
      <c r="AC402" s="76">
        <v>4.97</v>
      </c>
      <c r="AD402" s="79">
        <v>2.96391579E8</v>
      </c>
      <c r="AE402" s="80"/>
    </row>
    <row r="403">
      <c r="A403" s="73" t="s">
        <v>452</v>
      </c>
      <c r="B403" s="76">
        <v>41.0</v>
      </c>
      <c r="C403" s="76">
        <v>0.0</v>
      </c>
      <c r="D403" s="76">
        <v>-19.78</v>
      </c>
      <c r="E403" s="76">
        <v>0.32</v>
      </c>
      <c r="F403" s="76">
        <v>0.18</v>
      </c>
      <c r="G403" s="76">
        <v>38.12</v>
      </c>
      <c r="H403" s="76">
        <v>10.92</v>
      </c>
      <c r="I403" s="76">
        <v>-7.44</v>
      </c>
      <c r="J403" s="76">
        <v>13.48</v>
      </c>
      <c r="K403" s="76">
        <v>23.94</v>
      </c>
      <c r="L403" s="76">
        <v>8.72</v>
      </c>
      <c r="M403" s="76">
        <v>0.21</v>
      </c>
      <c r="N403" s="76">
        <v>1.47</v>
      </c>
      <c r="O403" s="76">
        <v>22.7</v>
      </c>
      <c r="P403" s="76">
        <v>-0.2</v>
      </c>
      <c r="Q403" s="76">
        <v>1.1</v>
      </c>
      <c r="R403" s="76">
        <v>-1.63</v>
      </c>
      <c r="S403" s="76">
        <v>-0.92</v>
      </c>
      <c r="T403" s="76">
        <v>0.81</v>
      </c>
      <c r="U403" s="76">
        <v>0.57</v>
      </c>
      <c r="V403" s="76">
        <v>0.43</v>
      </c>
      <c r="W403" s="76">
        <v>0.12</v>
      </c>
      <c r="X403" s="76">
        <v>6.03</v>
      </c>
      <c r="Y403" s="76">
        <v>0.0</v>
      </c>
      <c r="Z403" s="77">
        <v>0.0</v>
      </c>
      <c r="AA403" s="76">
        <v>127.09</v>
      </c>
      <c r="AB403" s="76">
        <v>-2.07</v>
      </c>
      <c r="AC403" s="76">
        <v>4.34</v>
      </c>
      <c r="AD403" s="79">
        <v>2.96391579E8</v>
      </c>
      <c r="AE403" s="80"/>
    </row>
    <row r="404">
      <c r="A404" s="73" t="s">
        <v>453</v>
      </c>
      <c r="B404" s="76">
        <v>702.5</v>
      </c>
      <c r="C404" s="76">
        <v>0.0</v>
      </c>
      <c r="D404" s="76">
        <v>-1898.58</v>
      </c>
      <c r="E404" s="76">
        <v>318.16</v>
      </c>
      <c r="F404" s="76">
        <v>75.1</v>
      </c>
      <c r="G404" s="76">
        <v>34.18</v>
      </c>
      <c r="H404" s="76">
        <v>16.85</v>
      </c>
      <c r="I404" s="76">
        <v>-8.57</v>
      </c>
      <c r="J404" s="76">
        <v>965.8</v>
      </c>
      <c r="K404" s="76">
        <v>973.34</v>
      </c>
      <c r="L404" s="76">
        <v>7.54</v>
      </c>
      <c r="M404" s="76">
        <v>2.49</v>
      </c>
      <c r="N404" s="76">
        <v>162.71</v>
      </c>
      <c r="O404" s="76">
        <v>-165.74</v>
      </c>
      <c r="P404" s="76">
        <v>-97.42</v>
      </c>
      <c r="Q404" s="76">
        <v>0.34</v>
      </c>
      <c r="R404" s="76">
        <v>-16.76</v>
      </c>
      <c r="S404" s="76">
        <v>-3.96</v>
      </c>
      <c r="T404" s="76">
        <v>7.19</v>
      </c>
      <c r="U404" s="76">
        <v>0.24</v>
      </c>
      <c r="V404" s="76">
        <v>0.76</v>
      </c>
      <c r="W404" s="76">
        <v>0.46</v>
      </c>
      <c r="X404" s="76">
        <v>6.4</v>
      </c>
      <c r="Y404" s="76">
        <v>0.0</v>
      </c>
      <c r="Z404" s="77">
        <v>0.0</v>
      </c>
      <c r="AA404" s="76">
        <v>2.21</v>
      </c>
      <c r="AB404" s="76">
        <v>-0.37</v>
      </c>
      <c r="AC404" s="76">
        <v>-10.72</v>
      </c>
      <c r="AD404" s="79">
        <v>1.827189855E10</v>
      </c>
      <c r="AE404" s="80"/>
    </row>
    <row r="405">
      <c r="A405" s="73" t="s">
        <v>454</v>
      </c>
      <c r="B405" s="76">
        <v>0.0</v>
      </c>
      <c r="C405" s="76">
        <v>0.0</v>
      </c>
      <c r="D405" s="76">
        <v>0.0</v>
      </c>
      <c r="E405" s="76">
        <v>0.0</v>
      </c>
      <c r="F405" s="76">
        <v>0.0</v>
      </c>
      <c r="G405" s="76">
        <v>-16.12</v>
      </c>
      <c r="H405" s="76">
        <v>-64.07</v>
      </c>
      <c r="I405" s="76">
        <v>-113.09</v>
      </c>
      <c r="J405" s="76">
        <v>0.0</v>
      </c>
      <c r="K405" s="76">
        <v>-1.28</v>
      </c>
      <c r="L405" s="76">
        <v>-1.17</v>
      </c>
      <c r="M405" s="76">
        <v>0.0</v>
      </c>
      <c r="N405" s="76">
        <v>0.0</v>
      </c>
      <c r="O405" s="76">
        <v>0.0</v>
      </c>
      <c r="P405" s="76">
        <v>0.0</v>
      </c>
      <c r="Q405" s="76">
        <v>0.27</v>
      </c>
      <c r="R405" s="76">
        <v>-725.28</v>
      </c>
      <c r="S405" s="76">
        <v>-74.53</v>
      </c>
      <c r="T405" s="76">
        <v>-104.33</v>
      </c>
      <c r="U405" s="76">
        <v>-0.1</v>
      </c>
      <c r="V405" s="76">
        <v>1.1</v>
      </c>
      <c r="W405" s="76">
        <v>0.66</v>
      </c>
      <c r="X405" s="76">
        <v>-17.44</v>
      </c>
      <c r="Y405" s="76">
        <v>0.0</v>
      </c>
      <c r="Z405" s="79">
        <v>0.0</v>
      </c>
      <c r="AA405" s="76">
        <v>-0.06</v>
      </c>
      <c r="AB405" s="76">
        <v>-0.46</v>
      </c>
      <c r="AC405" s="76">
        <v>0.0</v>
      </c>
      <c r="AD405" s="79">
        <v>3700608.0</v>
      </c>
      <c r="AE405" s="80"/>
    </row>
    <row r="406">
      <c r="A406" s="73" t="s">
        <v>455</v>
      </c>
      <c r="B406" s="76">
        <v>23.0</v>
      </c>
      <c r="C406" s="76">
        <v>0.0</v>
      </c>
      <c r="D406" s="76">
        <v>-49.52</v>
      </c>
      <c r="E406" s="76">
        <v>-359.15</v>
      </c>
      <c r="F406" s="76">
        <v>36.91</v>
      </c>
      <c r="G406" s="76">
        <v>-16.12</v>
      </c>
      <c r="H406" s="76">
        <v>-64.07</v>
      </c>
      <c r="I406" s="76">
        <v>-113.09</v>
      </c>
      <c r="J406" s="76">
        <v>-87.41</v>
      </c>
      <c r="K406" s="76">
        <v>-1.28</v>
      </c>
      <c r="L406" s="76">
        <v>-1.17</v>
      </c>
      <c r="M406" s="76">
        <v>0.0</v>
      </c>
      <c r="N406" s="76">
        <v>56.0</v>
      </c>
      <c r="O406" s="76">
        <v>-50.93</v>
      </c>
      <c r="P406" s="76">
        <v>-50.15</v>
      </c>
      <c r="Q406" s="76">
        <v>0.27</v>
      </c>
      <c r="R406" s="76">
        <v>-725.28</v>
      </c>
      <c r="S406" s="76">
        <v>-74.53</v>
      </c>
      <c r="T406" s="76">
        <v>-104.33</v>
      </c>
      <c r="U406" s="76">
        <v>-0.1</v>
      </c>
      <c r="V406" s="76">
        <v>1.1</v>
      </c>
      <c r="W406" s="76">
        <v>0.66</v>
      </c>
      <c r="X406" s="76">
        <v>-17.44</v>
      </c>
      <c r="Y406" s="76">
        <v>0.0</v>
      </c>
      <c r="Z406" s="76">
        <v>0.0</v>
      </c>
      <c r="AA406" s="76">
        <v>-0.06</v>
      </c>
      <c r="AB406" s="76">
        <v>-0.46</v>
      </c>
      <c r="AC406" s="76">
        <v>-0.09</v>
      </c>
      <c r="AD406" s="79">
        <v>3700608.0</v>
      </c>
      <c r="AE406" s="80"/>
    </row>
    <row r="407">
      <c r="A407" s="73" t="s">
        <v>456</v>
      </c>
      <c r="B407" s="76">
        <v>4.32</v>
      </c>
      <c r="C407" s="76">
        <v>11.6</v>
      </c>
      <c r="D407" s="76">
        <v>9.32</v>
      </c>
      <c r="E407" s="76">
        <v>0.46</v>
      </c>
      <c r="F407" s="76">
        <v>0.2</v>
      </c>
      <c r="G407" s="76">
        <v>25.58</v>
      </c>
      <c r="H407" s="76">
        <v>7.99</v>
      </c>
      <c r="I407" s="76">
        <v>4.49</v>
      </c>
      <c r="J407" s="76">
        <v>5.24</v>
      </c>
      <c r="K407" s="76">
        <v>11.04</v>
      </c>
      <c r="L407" s="76">
        <v>5.8</v>
      </c>
      <c r="M407" s="76">
        <v>0.51</v>
      </c>
      <c r="N407" s="76">
        <v>0.42</v>
      </c>
      <c r="O407" s="76">
        <v>0.47</v>
      </c>
      <c r="P407" s="76">
        <v>-0.86</v>
      </c>
      <c r="Q407" s="76">
        <v>2.32</v>
      </c>
      <c r="R407" s="76">
        <v>4.95</v>
      </c>
      <c r="S407" s="76">
        <v>2.17</v>
      </c>
      <c r="T407" s="76">
        <v>3.77</v>
      </c>
      <c r="U407" s="76">
        <v>0.44</v>
      </c>
      <c r="V407" s="76">
        <v>0.54</v>
      </c>
      <c r="W407" s="76">
        <v>0.48</v>
      </c>
      <c r="X407" s="76">
        <v>30.48</v>
      </c>
      <c r="Y407" s="76">
        <v>8.93</v>
      </c>
      <c r="Z407" s="76">
        <v>2909826.0</v>
      </c>
      <c r="AA407" s="76">
        <v>9.35</v>
      </c>
      <c r="AB407" s="76">
        <v>0.46</v>
      </c>
      <c r="AC407" s="76">
        <v>0.83</v>
      </c>
      <c r="AD407" s="79">
        <v>4.569472224E8</v>
      </c>
      <c r="AE407" s="80"/>
    </row>
    <row r="408">
      <c r="A408" s="73" t="s">
        <v>457</v>
      </c>
      <c r="B408" s="76">
        <v>75.49</v>
      </c>
      <c r="C408" s="76">
        <v>5.56</v>
      </c>
      <c r="D408" s="76">
        <v>16.17</v>
      </c>
      <c r="E408" s="76">
        <v>1.41</v>
      </c>
      <c r="F408" s="76">
        <v>1.16</v>
      </c>
      <c r="G408" s="76">
        <v>23.32</v>
      </c>
      <c r="H408" s="76">
        <v>7.27</v>
      </c>
      <c r="I408" s="76">
        <v>7.54</v>
      </c>
      <c r="J408" s="76">
        <v>16.77</v>
      </c>
      <c r="K408" s="76">
        <v>10.95</v>
      </c>
      <c r="L408" s="76">
        <v>-3.74</v>
      </c>
      <c r="M408" s="76">
        <v>-0.31</v>
      </c>
      <c r="N408" s="76">
        <v>1.22</v>
      </c>
      <c r="O408" s="76">
        <v>1.91</v>
      </c>
      <c r="P408" s="76">
        <v>-4.91</v>
      </c>
      <c r="Q408" s="76">
        <v>4.96</v>
      </c>
      <c r="R408" s="76">
        <v>8.71</v>
      </c>
      <c r="S408" s="76">
        <v>7.18</v>
      </c>
      <c r="T408" s="76">
        <v>1.7</v>
      </c>
      <c r="U408" s="76">
        <v>0.82</v>
      </c>
      <c r="V408" s="76">
        <v>0.18</v>
      </c>
      <c r="W408" s="76">
        <v>0.95</v>
      </c>
      <c r="X408" s="76">
        <v>11.91</v>
      </c>
      <c r="Y408" s="76">
        <v>17.91</v>
      </c>
      <c r="Z408" s="76">
        <v>7600.0</v>
      </c>
      <c r="AA408" s="76">
        <v>53.6</v>
      </c>
      <c r="AB408" s="76">
        <v>4.67</v>
      </c>
      <c r="AC408" s="76">
        <v>-1.73</v>
      </c>
      <c r="AD408" s="76">
        <v>5.811471177E8</v>
      </c>
      <c r="AE408" s="74"/>
    </row>
    <row r="409">
      <c r="A409" s="73" t="s">
        <v>458</v>
      </c>
      <c r="B409" s="76">
        <v>57.49</v>
      </c>
      <c r="C409" s="76">
        <v>8.04</v>
      </c>
      <c r="D409" s="76">
        <v>12.32</v>
      </c>
      <c r="E409" s="76">
        <v>1.07</v>
      </c>
      <c r="F409" s="76">
        <v>0.88</v>
      </c>
      <c r="G409" s="76">
        <v>23.32</v>
      </c>
      <c r="H409" s="76">
        <v>7.27</v>
      </c>
      <c r="I409" s="76">
        <v>7.54</v>
      </c>
      <c r="J409" s="76">
        <v>12.77</v>
      </c>
      <c r="K409" s="76">
        <v>10.95</v>
      </c>
      <c r="L409" s="76">
        <v>-3.74</v>
      </c>
      <c r="M409" s="76">
        <v>-0.31</v>
      </c>
      <c r="N409" s="76">
        <v>0.93</v>
      </c>
      <c r="O409" s="76">
        <v>1.45</v>
      </c>
      <c r="P409" s="76">
        <v>-3.74</v>
      </c>
      <c r="Q409" s="76">
        <v>4.96</v>
      </c>
      <c r="R409" s="76">
        <v>8.71</v>
      </c>
      <c r="S409" s="76">
        <v>7.18</v>
      </c>
      <c r="T409" s="76">
        <v>1.7</v>
      </c>
      <c r="U409" s="76">
        <v>0.82</v>
      </c>
      <c r="V409" s="76">
        <v>0.18</v>
      </c>
      <c r="W409" s="76">
        <v>0.95</v>
      </c>
      <c r="X409" s="76">
        <v>11.91</v>
      </c>
      <c r="Y409" s="76">
        <v>17.91</v>
      </c>
      <c r="Z409" s="77">
        <v>69164.81</v>
      </c>
      <c r="AA409" s="76">
        <v>53.6</v>
      </c>
      <c r="AB409" s="76">
        <v>4.67</v>
      </c>
      <c r="AC409" s="76">
        <v>-1.32</v>
      </c>
      <c r="AD409" s="79">
        <v>5.811471177E8</v>
      </c>
      <c r="AE409" s="80"/>
    </row>
    <row r="410">
      <c r="A410" s="73" t="s">
        <v>459</v>
      </c>
      <c r="B410" s="76">
        <v>33.95</v>
      </c>
      <c r="C410" s="76">
        <v>3.01</v>
      </c>
      <c r="D410" s="76">
        <v>15.27</v>
      </c>
      <c r="E410" s="76">
        <v>2.77</v>
      </c>
      <c r="F410" s="76">
        <v>1.32</v>
      </c>
      <c r="G410" s="76">
        <v>82.0</v>
      </c>
      <c r="H410" s="76">
        <v>68.11</v>
      </c>
      <c r="I410" s="76">
        <v>41.66</v>
      </c>
      <c r="J410" s="76">
        <v>9.34</v>
      </c>
      <c r="K410" s="76">
        <v>11.84</v>
      </c>
      <c r="L410" s="76">
        <v>2.5</v>
      </c>
      <c r="M410" s="76">
        <v>0.74</v>
      </c>
      <c r="N410" s="76">
        <v>6.36</v>
      </c>
      <c r="O410" s="76">
        <v>43.17</v>
      </c>
      <c r="P410" s="76">
        <v>-1.56</v>
      </c>
      <c r="Q410" s="76">
        <v>1.25</v>
      </c>
      <c r="R410" s="76">
        <v>18.11</v>
      </c>
      <c r="S410" s="76">
        <v>8.67</v>
      </c>
      <c r="T410" s="76">
        <v>13.81</v>
      </c>
      <c r="U410" s="76">
        <v>0.48</v>
      </c>
      <c r="V410" s="76">
        <v>0.52</v>
      </c>
      <c r="W410" s="76">
        <v>0.21</v>
      </c>
      <c r="X410" s="76">
        <v>20.42</v>
      </c>
      <c r="Y410" s="76">
        <v>3.43</v>
      </c>
      <c r="Z410" s="77">
        <v>1.57E8</v>
      </c>
      <c r="AA410" s="76">
        <v>12.28</v>
      </c>
      <c r="AB410" s="76">
        <v>2.22</v>
      </c>
      <c r="AC410" s="76">
        <v>-1.03</v>
      </c>
      <c r="AD410" s="79">
        <v>1.7421907649E10</v>
      </c>
      <c r="AE410" s="80"/>
    </row>
    <row r="411">
      <c r="A411" s="73" t="s">
        <v>460</v>
      </c>
      <c r="B411" s="76">
        <v>16.0</v>
      </c>
      <c r="C411" s="76">
        <v>0.0</v>
      </c>
      <c r="D411" s="76">
        <v>4.28</v>
      </c>
      <c r="E411" s="76">
        <v>3.91</v>
      </c>
      <c r="F411" s="76">
        <v>0.1</v>
      </c>
      <c r="G411" s="76">
        <v>8.99</v>
      </c>
      <c r="H411" s="76">
        <v>23.0</v>
      </c>
      <c r="I411" s="76">
        <v>3.43</v>
      </c>
      <c r="J411" s="76">
        <v>0.64</v>
      </c>
      <c r="K411" s="76">
        <v>2.53</v>
      </c>
      <c r="L411" s="76">
        <v>2.03</v>
      </c>
      <c r="M411" s="76">
        <v>12.45</v>
      </c>
      <c r="N411" s="76">
        <v>0.15</v>
      </c>
      <c r="O411" s="76">
        <v>-1.6</v>
      </c>
      <c r="P411" s="76">
        <v>-0.17</v>
      </c>
      <c r="Q411" s="76">
        <v>0.86</v>
      </c>
      <c r="R411" s="76">
        <v>91.35</v>
      </c>
      <c r="S411" s="76">
        <v>2.4</v>
      </c>
      <c r="T411" s="76">
        <v>32.41</v>
      </c>
      <c r="U411" s="76">
        <v>0.03</v>
      </c>
      <c r="V411" s="76">
        <v>0.97</v>
      </c>
      <c r="W411" s="76">
        <v>0.7</v>
      </c>
      <c r="X411" s="76">
        <v>9.33</v>
      </c>
      <c r="Y411" s="76">
        <v>0.0</v>
      </c>
      <c r="Z411" s="79">
        <v>400.0</v>
      </c>
      <c r="AA411" s="76">
        <v>4.09</v>
      </c>
      <c r="AB411" s="76">
        <v>3.74</v>
      </c>
      <c r="AC411" s="76">
        <v>-0.03</v>
      </c>
      <c r="AD411" s="79">
        <v>2.56564374E7</v>
      </c>
      <c r="AE411" s="80"/>
    </row>
    <row r="412">
      <c r="A412" s="73" t="s">
        <v>461</v>
      </c>
      <c r="B412" s="76">
        <v>10.7</v>
      </c>
      <c r="C412" s="76">
        <v>0.0</v>
      </c>
      <c r="D412" s="76">
        <v>2.86</v>
      </c>
      <c r="E412" s="76">
        <v>2.62</v>
      </c>
      <c r="F412" s="76">
        <v>0.07</v>
      </c>
      <c r="G412" s="76">
        <v>8.99</v>
      </c>
      <c r="H412" s="76">
        <v>23.0</v>
      </c>
      <c r="I412" s="76">
        <v>3.43</v>
      </c>
      <c r="J412" s="76">
        <v>0.43</v>
      </c>
      <c r="K412" s="76">
        <v>2.53</v>
      </c>
      <c r="L412" s="76">
        <v>2.03</v>
      </c>
      <c r="M412" s="76">
        <v>12.45</v>
      </c>
      <c r="N412" s="76">
        <v>0.1</v>
      </c>
      <c r="O412" s="76">
        <v>-1.07</v>
      </c>
      <c r="P412" s="76">
        <v>-0.11</v>
      </c>
      <c r="Q412" s="76">
        <v>0.86</v>
      </c>
      <c r="R412" s="76">
        <v>91.35</v>
      </c>
      <c r="S412" s="76">
        <v>2.4</v>
      </c>
      <c r="T412" s="76">
        <v>32.41</v>
      </c>
      <c r="U412" s="76">
        <v>0.03</v>
      </c>
      <c r="V412" s="76">
        <v>0.97</v>
      </c>
      <c r="W412" s="76">
        <v>0.7</v>
      </c>
      <c r="X412" s="76">
        <v>9.33</v>
      </c>
      <c r="Y412" s="76">
        <v>0.0</v>
      </c>
      <c r="Z412" s="79">
        <v>854734.8</v>
      </c>
      <c r="AA412" s="76">
        <v>4.09</v>
      </c>
      <c r="AB412" s="76">
        <v>3.74</v>
      </c>
      <c r="AC412" s="76">
        <v>-0.02</v>
      </c>
      <c r="AD412" s="79">
        <v>2.56564374E7</v>
      </c>
      <c r="AE412" s="80"/>
    </row>
    <row r="413">
      <c r="A413" s="73" t="s">
        <v>462</v>
      </c>
      <c r="B413" s="76">
        <v>10.51</v>
      </c>
      <c r="C413" s="76">
        <v>4.77</v>
      </c>
      <c r="D413" s="76">
        <v>8.03</v>
      </c>
      <c r="E413" s="76">
        <v>0.38</v>
      </c>
      <c r="F413" s="76">
        <v>0.11</v>
      </c>
      <c r="G413" s="76">
        <v>12.2</v>
      </c>
      <c r="H413" s="76">
        <v>6.3</v>
      </c>
      <c r="I413" s="76">
        <v>1.28</v>
      </c>
      <c r="J413" s="76">
        <v>1.63</v>
      </c>
      <c r="K413" s="76">
        <v>5.66</v>
      </c>
      <c r="L413" s="76">
        <v>4.03</v>
      </c>
      <c r="M413" s="76">
        <v>0.95</v>
      </c>
      <c r="N413" s="76">
        <v>0.1</v>
      </c>
      <c r="O413" s="76">
        <v>0.58</v>
      </c>
      <c r="P413" s="76">
        <v>-0.21</v>
      </c>
      <c r="Q413" s="76">
        <v>1.74</v>
      </c>
      <c r="R413" s="76">
        <v>4.79</v>
      </c>
      <c r="S413" s="76">
        <v>1.39</v>
      </c>
      <c r="T413" s="76">
        <v>8.63</v>
      </c>
      <c r="U413" s="76">
        <v>0.29</v>
      </c>
      <c r="V413" s="76">
        <v>0.68</v>
      </c>
      <c r="W413" s="76">
        <v>1.09</v>
      </c>
      <c r="X413" s="76">
        <v>8.89</v>
      </c>
      <c r="Y413" s="76">
        <v>-9.83</v>
      </c>
      <c r="Z413" s="76">
        <v>1.198851E7</v>
      </c>
      <c r="AA413" s="76">
        <v>27.31</v>
      </c>
      <c r="AB413" s="76">
        <v>1.31</v>
      </c>
      <c r="AC413" s="76">
        <v>1.23</v>
      </c>
      <c r="AD413" s="79">
        <v>1.615593007E9</v>
      </c>
      <c r="AE413" s="80"/>
    </row>
    <row r="414">
      <c r="A414" s="73" t="s">
        <v>463</v>
      </c>
      <c r="B414" s="76">
        <v>64.37</v>
      </c>
      <c r="C414" s="76">
        <v>0.0</v>
      </c>
      <c r="D414" s="76">
        <v>11.8</v>
      </c>
      <c r="E414" s="76">
        <v>2.76</v>
      </c>
      <c r="F414" s="76">
        <v>1.15</v>
      </c>
      <c r="G414" s="76">
        <v>41.15</v>
      </c>
      <c r="H414" s="76">
        <v>16.49</v>
      </c>
      <c r="I414" s="76">
        <v>9.34</v>
      </c>
      <c r="J414" s="76">
        <v>6.68</v>
      </c>
      <c r="K414" s="76">
        <v>5.06</v>
      </c>
      <c r="L414" s="76">
        <v>1.17</v>
      </c>
      <c r="M414" s="76">
        <v>0.48</v>
      </c>
      <c r="N414" s="76">
        <v>1.1</v>
      </c>
      <c r="O414" s="76">
        <v>3.2</v>
      </c>
      <c r="P414" s="76">
        <v>-2.87</v>
      </c>
      <c r="Q414" s="76">
        <v>2.52</v>
      </c>
      <c r="R414" s="76">
        <v>23.42</v>
      </c>
      <c r="S414" s="76">
        <v>9.77</v>
      </c>
      <c r="T414" s="76">
        <v>15.89</v>
      </c>
      <c r="U414" s="76">
        <v>0.42</v>
      </c>
      <c r="V414" s="76">
        <v>0.58</v>
      </c>
      <c r="W414" s="76">
        <v>1.05</v>
      </c>
      <c r="X414" s="76">
        <v>7.87</v>
      </c>
      <c r="Y414" s="76">
        <v>35.19</v>
      </c>
      <c r="Z414" s="76">
        <v>0.0</v>
      </c>
      <c r="AA414" s="76">
        <v>23.3</v>
      </c>
      <c r="AB414" s="76">
        <v>5.46</v>
      </c>
      <c r="AC414" s="76">
        <v>-1.14</v>
      </c>
      <c r="AD414" s="76">
        <v>5.083152924E8</v>
      </c>
      <c r="AE414" s="74"/>
    </row>
    <row r="415">
      <c r="A415" s="73" t="s">
        <v>464</v>
      </c>
      <c r="B415" s="76">
        <v>19.02</v>
      </c>
      <c r="C415" s="76">
        <v>0.0</v>
      </c>
      <c r="D415" s="76">
        <v>3.49</v>
      </c>
      <c r="E415" s="76">
        <v>0.82</v>
      </c>
      <c r="F415" s="76">
        <v>0.34</v>
      </c>
      <c r="G415" s="76">
        <v>41.15</v>
      </c>
      <c r="H415" s="76">
        <v>16.49</v>
      </c>
      <c r="I415" s="76">
        <v>9.34</v>
      </c>
      <c r="J415" s="76">
        <v>1.97</v>
      </c>
      <c r="K415" s="76">
        <v>5.06</v>
      </c>
      <c r="L415" s="76">
        <v>1.17</v>
      </c>
      <c r="M415" s="76">
        <v>0.48</v>
      </c>
      <c r="N415" s="76">
        <v>0.33</v>
      </c>
      <c r="O415" s="76">
        <v>0.94</v>
      </c>
      <c r="P415" s="76">
        <v>-0.85</v>
      </c>
      <c r="Q415" s="76">
        <v>2.52</v>
      </c>
      <c r="R415" s="76">
        <v>23.42</v>
      </c>
      <c r="S415" s="76">
        <v>9.77</v>
      </c>
      <c r="T415" s="76">
        <v>15.89</v>
      </c>
      <c r="U415" s="76">
        <v>0.42</v>
      </c>
      <c r="V415" s="76">
        <v>0.58</v>
      </c>
      <c r="W415" s="76">
        <v>1.05</v>
      </c>
      <c r="X415" s="76">
        <v>7.87</v>
      </c>
      <c r="Y415" s="76">
        <v>35.19</v>
      </c>
      <c r="Z415" s="79">
        <v>0.0</v>
      </c>
      <c r="AA415" s="76">
        <v>23.3</v>
      </c>
      <c r="AB415" s="76">
        <v>5.46</v>
      </c>
      <c r="AC415" s="76">
        <v>-0.34</v>
      </c>
      <c r="AD415" s="76">
        <v>5.083152924E8</v>
      </c>
      <c r="AE415" s="74"/>
    </row>
    <row r="416">
      <c r="A416" s="73" t="s">
        <v>465</v>
      </c>
      <c r="B416" s="76">
        <v>9.35</v>
      </c>
      <c r="C416" s="76">
        <v>0.0</v>
      </c>
      <c r="D416" s="76">
        <v>-9.26</v>
      </c>
      <c r="E416" s="76">
        <v>0.99</v>
      </c>
      <c r="F416" s="76">
        <v>0.44</v>
      </c>
      <c r="G416" s="76">
        <v>66.33</v>
      </c>
      <c r="H416" s="76">
        <v>4.96</v>
      </c>
      <c r="I416" s="76">
        <v>-6.22</v>
      </c>
      <c r="J416" s="76">
        <v>11.6</v>
      </c>
      <c r="K416" s="76">
        <v>15.29</v>
      </c>
      <c r="L416" s="76">
        <v>3.68</v>
      </c>
      <c r="M416" s="76">
        <v>0.31</v>
      </c>
      <c r="N416" s="76">
        <v>0.58</v>
      </c>
      <c r="O416" s="76">
        <v>2.73</v>
      </c>
      <c r="P416" s="76">
        <v>-0.76</v>
      </c>
      <c r="Q416" s="76">
        <v>1.63</v>
      </c>
      <c r="R416" s="76">
        <v>-10.65</v>
      </c>
      <c r="S416" s="76">
        <v>-4.78</v>
      </c>
      <c r="T416" s="76">
        <v>2.42</v>
      </c>
      <c r="U416" s="76">
        <v>0.45</v>
      </c>
      <c r="V416" s="76">
        <v>0.55</v>
      </c>
      <c r="W416" s="76">
        <v>0.77</v>
      </c>
      <c r="X416" s="76">
        <v>0.0</v>
      </c>
      <c r="Y416" s="76">
        <v>0.0</v>
      </c>
      <c r="Z416" s="76">
        <v>7.7440422E7</v>
      </c>
      <c r="AA416" s="76">
        <v>9.49</v>
      </c>
      <c r="AB416" s="76">
        <v>-1.01</v>
      </c>
      <c r="AC416" s="76">
        <v>-0.03</v>
      </c>
      <c r="AD416" s="79">
        <v>1.2852114093E10</v>
      </c>
      <c r="AE416" s="80"/>
    </row>
    <row r="417">
      <c r="A417" s="73" t="s">
        <v>466</v>
      </c>
      <c r="B417" s="76">
        <v>0.0</v>
      </c>
      <c r="C417" s="76">
        <v>0.0</v>
      </c>
      <c r="D417" s="76">
        <v>0.0</v>
      </c>
      <c r="E417" s="76">
        <v>0.0</v>
      </c>
      <c r="F417" s="76">
        <v>0.0</v>
      </c>
      <c r="G417" s="76">
        <v>34.44</v>
      </c>
      <c r="H417" s="76">
        <v>22.49</v>
      </c>
      <c r="I417" s="76">
        <v>3.69</v>
      </c>
      <c r="J417" s="76">
        <v>0.0</v>
      </c>
      <c r="K417" s="76">
        <v>6.02</v>
      </c>
      <c r="L417" s="76">
        <v>6.02</v>
      </c>
      <c r="M417" s="76">
        <v>5.14</v>
      </c>
      <c r="N417" s="76">
        <v>0.0</v>
      </c>
      <c r="O417" s="76">
        <v>0.0</v>
      </c>
      <c r="P417" s="76">
        <v>0.0</v>
      </c>
      <c r="Q417" s="76">
        <v>3.2</v>
      </c>
      <c r="R417" s="76">
        <v>13.99</v>
      </c>
      <c r="S417" s="76">
        <v>1.15</v>
      </c>
      <c r="T417" s="76">
        <v>6.48</v>
      </c>
      <c r="U417" s="76">
        <v>0.08</v>
      </c>
      <c r="V417" s="76">
        <v>0.72</v>
      </c>
      <c r="W417" s="76">
        <v>0.31</v>
      </c>
      <c r="X417" s="76">
        <v>12.75</v>
      </c>
      <c r="Y417" s="76">
        <v>0.0</v>
      </c>
      <c r="Z417" s="76">
        <v>0.0</v>
      </c>
      <c r="AA417" s="76">
        <v>12.23</v>
      </c>
      <c r="AB417" s="76">
        <v>1.71</v>
      </c>
      <c r="AC417" s="76">
        <v>0.0</v>
      </c>
      <c r="AD417" s="79">
        <v>0.0</v>
      </c>
      <c r="AE417" s="80"/>
    </row>
    <row r="418">
      <c r="A418" s="73" t="s">
        <v>467</v>
      </c>
      <c r="B418" s="76">
        <v>0.0</v>
      </c>
      <c r="C418" s="76">
        <v>0.0</v>
      </c>
      <c r="D418" s="76">
        <v>0.0</v>
      </c>
      <c r="E418" s="76">
        <v>0.0</v>
      </c>
      <c r="F418" s="76">
        <v>0.0</v>
      </c>
      <c r="G418" s="76">
        <v>34.44</v>
      </c>
      <c r="H418" s="76">
        <v>22.49</v>
      </c>
      <c r="I418" s="76">
        <v>3.69</v>
      </c>
      <c r="J418" s="76">
        <v>0.0</v>
      </c>
      <c r="K418" s="76">
        <v>6.02</v>
      </c>
      <c r="L418" s="76">
        <v>6.02</v>
      </c>
      <c r="M418" s="76">
        <v>5.14</v>
      </c>
      <c r="N418" s="76">
        <v>0.0</v>
      </c>
      <c r="O418" s="76">
        <v>0.0</v>
      </c>
      <c r="P418" s="76">
        <v>0.0</v>
      </c>
      <c r="Q418" s="76">
        <v>3.2</v>
      </c>
      <c r="R418" s="76">
        <v>13.99</v>
      </c>
      <c r="S418" s="76">
        <v>1.15</v>
      </c>
      <c r="T418" s="77">
        <v>6.48</v>
      </c>
      <c r="U418" s="76">
        <v>0.08</v>
      </c>
      <c r="V418" s="76">
        <v>0.72</v>
      </c>
      <c r="W418" s="76">
        <v>0.31</v>
      </c>
      <c r="X418" s="76">
        <v>12.75</v>
      </c>
      <c r="Y418" s="76">
        <v>0.0</v>
      </c>
      <c r="Z418" s="76">
        <v>0.0</v>
      </c>
      <c r="AA418" s="76">
        <v>12.23</v>
      </c>
      <c r="AB418" s="76">
        <v>1.71</v>
      </c>
      <c r="AC418" s="76">
        <v>0.0</v>
      </c>
      <c r="AD418" s="79">
        <v>0.0</v>
      </c>
      <c r="AE418" s="80"/>
    </row>
    <row r="419">
      <c r="A419" s="73" t="s">
        <v>468</v>
      </c>
      <c r="B419" s="76">
        <v>52.97</v>
      </c>
      <c r="C419" s="76">
        <v>0.0</v>
      </c>
      <c r="D419" s="76">
        <v>30.97</v>
      </c>
      <c r="E419" s="76">
        <v>4.33</v>
      </c>
      <c r="F419" s="76">
        <v>0.36</v>
      </c>
      <c r="G419" s="76">
        <v>34.44</v>
      </c>
      <c r="H419" s="76">
        <v>22.49</v>
      </c>
      <c r="I419" s="76">
        <v>3.69</v>
      </c>
      <c r="J419" s="76">
        <v>5.07</v>
      </c>
      <c r="K419" s="76">
        <v>6.02</v>
      </c>
      <c r="L419" s="76">
        <v>6.02</v>
      </c>
      <c r="M419" s="76">
        <v>5.14</v>
      </c>
      <c r="N419" s="76">
        <v>1.14</v>
      </c>
      <c r="O419" s="76">
        <v>1.99</v>
      </c>
      <c r="P419" s="76">
        <v>-0.48</v>
      </c>
      <c r="Q419" s="76">
        <v>3.2</v>
      </c>
      <c r="R419" s="76">
        <v>13.99</v>
      </c>
      <c r="S419" s="76">
        <v>1.15</v>
      </c>
      <c r="T419" s="76">
        <v>6.48</v>
      </c>
      <c r="U419" s="76">
        <v>0.08</v>
      </c>
      <c r="V419" s="76">
        <v>0.72</v>
      </c>
      <c r="W419" s="76">
        <v>0.31</v>
      </c>
      <c r="X419" s="76">
        <v>12.75</v>
      </c>
      <c r="Y419" s="76">
        <v>0.0</v>
      </c>
      <c r="Z419" s="76">
        <v>0.0</v>
      </c>
      <c r="AA419" s="76">
        <v>12.23</v>
      </c>
      <c r="AB419" s="76">
        <v>1.71</v>
      </c>
      <c r="AC419" s="76">
        <v>0.54</v>
      </c>
      <c r="AD419" s="76">
        <v>0.0</v>
      </c>
      <c r="AE419" s="74"/>
    </row>
    <row r="420">
      <c r="A420" s="73" t="s">
        <v>469</v>
      </c>
      <c r="B420" s="76">
        <v>0.0</v>
      </c>
      <c r="C420" s="76">
        <v>0.0</v>
      </c>
      <c r="D420" s="76">
        <v>0.0</v>
      </c>
      <c r="E420" s="76">
        <v>0.0</v>
      </c>
      <c r="F420" s="76">
        <v>0.0</v>
      </c>
      <c r="G420" s="76">
        <v>34.44</v>
      </c>
      <c r="H420" s="76">
        <v>22.49</v>
      </c>
      <c r="I420" s="76">
        <v>3.69</v>
      </c>
      <c r="J420" s="76">
        <v>0.0</v>
      </c>
      <c r="K420" s="76">
        <v>6.02</v>
      </c>
      <c r="L420" s="76">
        <v>6.02</v>
      </c>
      <c r="M420" s="76">
        <v>5.14</v>
      </c>
      <c r="N420" s="76">
        <v>0.0</v>
      </c>
      <c r="O420" s="76">
        <v>0.0</v>
      </c>
      <c r="P420" s="76">
        <v>0.0</v>
      </c>
      <c r="Q420" s="76">
        <v>3.2</v>
      </c>
      <c r="R420" s="76">
        <v>13.99</v>
      </c>
      <c r="S420" s="76">
        <v>1.15</v>
      </c>
      <c r="T420" s="76">
        <v>6.48</v>
      </c>
      <c r="U420" s="76">
        <v>0.08</v>
      </c>
      <c r="V420" s="76">
        <v>0.72</v>
      </c>
      <c r="W420" s="76">
        <v>0.31</v>
      </c>
      <c r="X420" s="76">
        <v>12.75</v>
      </c>
      <c r="Y420" s="76">
        <v>0.0</v>
      </c>
      <c r="Z420" s="76">
        <v>0.0</v>
      </c>
      <c r="AA420" s="76">
        <v>12.23</v>
      </c>
      <c r="AB420" s="76">
        <v>1.71</v>
      </c>
      <c r="AC420" s="76">
        <v>0.0</v>
      </c>
      <c r="AD420" s="76">
        <v>0.0</v>
      </c>
      <c r="AE420" s="74"/>
    </row>
    <row r="421">
      <c r="A421" s="73" t="s">
        <v>470</v>
      </c>
      <c r="B421" s="76">
        <v>32.75</v>
      </c>
      <c r="C421" s="76">
        <v>4.21</v>
      </c>
      <c r="D421" s="76">
        <v>9.02</v>
      </c>
      <c r="E421" s="76">
        <v>1.1</v>
      </c>
      <c r="F421" s="76">
        <v>0.35</v>
      </c>
      <c r="G421" s="76">
        <v>26.84</v>
      </c>
      <c r="H421" s="76">
        <v>19.94</v>
      </c>
      <c r="I421" s="76">
        <v>8.44</v>
      </c>
      <c r="J421" s="76">
        <v>3.82</v>
      </c>
      <c r="K421" s="76">
        <v>8.33</v>
      </c>
      <c r="L421" s="76">
        <v>4.51</v>
      </c>
      <c r="M421" s="76">
        <v>1.3</v>
      </c>
      <c r="N421" s="76">
        <v>0.76</v>
      </c>
      <c r="O421" s="76">
        <v>9.86</v>
      </c>
      <c r="P421" s="76">
        <v>-0.43</v>
      </c>
      <c r="Q421" s="76">
        <v>1.23</v>
      </c>
      <c r="R421" s="76">
        <v>12.18</v>
      </c>
      <c r="S421" s="76">
        <v>3.88</v>
      </c>
      <c r="T421" s="76">
        <v>11.42</v>
      </c>
      <c r="U421" s="76">
        <v>0.32</v>
      </c>
      <c r="V421" s="76">
        <v>0.68</v>
      </c>
      <c r="W421" s="76">
        <v>0.46</v>
      </c>
      <c r="X421" s="76">
        <v>11.47</v>
      </c>
      <c r="Y421" s="76">
        <v>14.61</v>
      </c>
      <c r="Z421" s="76">
        <v>7.3363887E7</v>
      </c>
      <c r="AA421" s="76">
        <v>29.82</v>
      </c>
      <c r="AB421" s="76">
        <v>3.63</v>
      </c>
      <c r="AC421" s="76">
        <v>0.52</v>
      </c>
      <c r="AD421" s="76">
        <v>3.9751859872E10</v>
      </c>
      <c r="AE421" s="74"/>
    </row>
    <row r="422">
      <c r="A422" s="73" t="s">
        <v>471</v>
      </c>
      <c r="B422" s="76">
        <v>2.85</v>
      </c>
      <c r="C422" s="76">
        <v>0.0</v>
      </c>
      <c r="D422" s="76">
        <v>0.12</v>
      </c>
      <c r="E422" s="76">
        <v>-0.09</v>
      </c>
      <c r="F422" s="76">
        <v>0.29</v>
      </c>
      <c r="G422" s="76">
        <v>46.99</v>
      </c>
      <c r="H422" s="76">
        <v>124.82</v>
      </c>
      <c r="I422" s="76">
        <v>72.3</v>
      </c>
      <c r="J422" s="76">
        <v>0.07</v>
      </c>
      <c r="K422" s="76">
        <v>0.05</v>
      </c>
      <c r="L422" s="76">
        <v>-0.02</v>
      </c>
      <c r="M422" s="76">
        <v>0.0</v>
      </c>
      <c r="N422" s="76">
        <v>0.09</v>
      </c>
      <c r="O422" s="76">
        <v>-0.1</v>
      </c>
      <c r="P422" s="76">
        <v>-0.55</v>
      </c>
      <c r="Q422" s="76">
        <v>0.14</v>
      </c>
      <c r="R422" s="76">
        <v>-75.94</v>
      </c>
      <c r="S422" s="76">
        <v>242.13</v>
      </c>
      <c r="T422" s="76">
        <v>-128.92</v>
      </c>
      <c r="U422" s="76">
        <v>-3.19</v>
      </c>
      <c r="V422" s="76">
        <v>4.18</v>
      </c>
      <c r="W422" s="76">
        <v>3.35</v>
      </c>
      <c r="X422" s="76">
        <v>-3.43</v>
      </c>
      <c r="Y422" s="76">
        <v>0.0</v>
      </c>
      <c r="Z422" s="76">
        <v>1782.6</v>
      </c>
      <c r="AA422" s="76">
        <v>-31.29</v>
      </c>
      <c r="AB422" s="76">
        <v>23.77</v>
      </c>
      <c r="AC422" s="76">
        <v>0.0</v>
      </c>
      <c r="AD422" s="79">
        <v>7568371.65</v>
      </c>
      <c r="AE422" s="80"/>
    </row>
    <row r="423">
      <c r="A423" s="73" t="s">
        <v>472</v>
      </c>
      <c r="B423" s="76">
        <v>27.1</v>
      </c>
      <c r="C423" s="76">
        <v>0.0</v>
      </c>
      <c r="D423" s="76">
        <v>-12.57</v>
      </c>
      <c r="E423" s="76">
        <v>0.56</v>
      </c>
      <c r="F423" s="76">
        <v>0.43</v>
      </c>
      <c r="G423" s="76">
        <v>59.18</v>
      </c>
      <c r="H423" s="76">
        <v>-8.15</v>
      </c>
      <c r="I423" s="76">
        <v>-7.15</v>
      </c>
      <c r="J423" s="76">
        <v>-11.03</v>
      </c>
      <c r="K423" s="76">
        <v>-6.13</v>
      </c>
      <c r="L423" s="76">
        <v>4.9</v>
      </c>
      <c r="M423" s="76">
        <v>-0.25</v>
      </c>
      <c r="N423" s="76">
        <v>0.9</v>
      </c>
      <c r="O423" s="76">
        <v>1.86</v>
      </c>
      <c r="P423" s="76">
        <v>-0.66</v>
      </c>
      <c r="Q423" s="76">
        <v>2.83</v>
      </c>
      <c r="R423" s="76">
        <v>-4.44</v>
      </c>
      <c r="S423" s="76">
        <v>-3.4</v>
      </c>
      <c r="T423" s="76">
        <v>-5.73</v>
      </c>
      <c r="U423" s="76">
        <v>0.77</v>
      </c>
      <c r="V423" s="76">
        <v>0.23</v>
      </c>
      <c r="W423" s="76">
        <v>0.48</v>
      </c>
      <c r="X423" s="76">
        <v>5.77</v>
      </c>
      <c r="Y423" s="76">
        <v>0.0</v>
      </c>
      <c r="Z423" s="76">
        <v>203637.4</v>
      </c>
      <c r="AA423" s="76">
        <v>48.55</v>
      </c>
      <c r="AB423" s="76">
        <v>-2.16</v>
      </c>
      <c r="AC423" s="76">
        <v>-0.2</v>
      </c>
      <c r="AD423" s="76">
        <v>2.477195824E8</v>
      </c>
      <c r="AE423" s="74"/>
    </row>
    <row r="424">
      <c r="A424" s="73" t="s">
        <v>473</v>
      </c>
      <c r="B424" s="76">
        <v>4.2</v>
      </c>
      <c r="C424" s="76">
        <v>0.0</v>
      </c>
      <c r="D424" s="76">
        <v>0.73</v>
      </c>
      <c r="E424" s="76">
        <v>-0.22</v>
      </c>
      <c r="F424" s="76">
        <v>1.19</v>
      </c>
      <c r="G424" s="76">
        <v>90.59</v>
      </c>
      <c r="H424" s="76">
        <v>1188.82</v>
      </c>
      <c r="I424" s="76">
        <v>1405.07</v>
      </c>
      <c r="J424" s="76">
        <v>0.86</v>
      </c>
      <c r="K424" s="76">
        <v>2.03</v>
      </c>
      <c r="L424" s="76">
        <v>1.17</v>
      </c>
      <c r="M424" s="76">
        <v>0.0</v>
      </c>
      <c r="N424" s="76">
        <v>10.22</v>
      </c>
      <c r="O424" s="76">
        <v>-0.22</v>
      </c>
      <c r="P424" s="76">
        <v>-1.54</v>
      </c>
      <c r="Q424" s="76">
        <v>0.04</v>
      </c>
      <c r="R424" s="76">
        <v>-30.13</v>
      </c>
      <c r="S424" s="76">
        <v>163.53</v>
      </c>
      <c r="T424" s="76">
        <v>-25.52</v>
      </c>
      <c r="U424" s="76">
        <v>-5.43</v>
      </c>
      <c r="V424" s="76">
        <v>6.43</v>
      </c>
      <c r="W424" s="76">
        <v>0.12</v>
      </c>
      <c r="X424" s="76">
        <v>13.33</v>
      </c>
      <c r="Y424" s="76">
        <v>0.0</v>
      </c>
      <c r="Z424" s="76">
        <v>1875.57</v>
      </c>
      <c r="AA424" s="76">
        <v>-19.15</v>
      </c>
      <c r="AB424" s="76">
        <v>5.77</v>
      </c>
      <c r="AC424" s="76">
        <v>0.0</v>
      </c>
      <c r="AD424" s="79">
        <v>2.78102412E7</v>
      </c>
      <c r="AE424" s="80"/>
    </row>
    <row r="425">
      <c r="A425" s="73" t="s">
        <v>474</v>
      </c>
      <c r="B425" s="76">
        <v>0.0</v>
      </c>
      <c r="C425" s="76">
        <v>0.0</v>
      </c>
      <c r="D425" s="76">
        <v>0.0</v>
      </c>
      <c r="E425" s="76">
        <v>0.0</v>
      </c>
      <c r="F425" s="76">
        <v>0.0</v>
      </c>
      <c r="G425" s="76">
        <v>27.6</v>
      </c>
      <c r="H425" s="76">
        <v>9.33</v>
      </c>
      <c r="I425" s="76">
        <v>3.53</v>
      </c>
      <c r="J425" s="76">
        <v>0.0</v>
      </c>
      <c r="K425" s="76">
        <v>3.18</v>
      </c>
      <c r="L425" s="76">
        <v>3.18</v>
      </c>
      <c r="M425" s="76">
        <v>0.29</v>
      </c>
      <c r="N425" s="76">
        <v>0.0</v>
      </c>
      <c r="O425" s="76">
        <v>0.0</v>
      </c>
      <c r="P425" s="76">
        <v>0.0</v>
      </c>
      <c r="Q425" s="76">
        <v>4.62</v>
      </c>
      <c r="R425" s="76">
        <v>3.5</v>
      </c>
      <c r="S425" s="76">
        <v>2.19</v>
      </c>
      <c r="T425" s="76">
        <v>4.71</v>
      </c>
      <c r="U425" s="76">
        <v>0.62</v>
      </c>
      <c r="V425" s="76">
        <v>0.38</v>
      </c>
      <c r="W425" s="76">
        <v>0.62</v>
      </c>
      <c r="X425" s="76">
        <v>7.47</v>
      </c>
      <c r="Y425" s="76">
        <v>-12.02</v>
      </c>
      <c r="Z425" s="76">
        <v>0.0</v>
      </c>
      <c r="AA425" s="76">
        <v>20.02</v>
      </c>
      <c r="AB425" s="76">
        <v>0.7</v>
      </c>
      <c r="AC425" s="76">
        <v>0.0</v>
      </c>
      <c r="AD425" s="79">
        <v>0.0</v>
      </c>
      <c r="AE425" s="80"/>
    </row>
    <row r="426">
      <c r="A426" s="73" t="s">
        <v>475</v>
      </c>
      <c r="B426" s="76">
        <v>11.05</v>
      </c>
      <c r="C426" s="76">
        <v>0.0</v>
      </c>
      <c r="D426" s="76">
        <v>-2.14</v>
      </c>
      <c r="E426" s="76">
        <v>1.01</v>
      </c>
      <c r="F426" s="76">
        <v>0.44</v>
      </c>
      <c r="G426" s="76">
        <v>66.36</v>
      </c>
      <c r="H426" s="76">
        <v>6.37</v>
      </c>
      <c r="I426" s="76">
        <v>-33.04</v>
      </c>
      <c r="J426" s="76">
        <v>11.11</v>
      </c>
      <c r="K426" s="76">
        <v>14.05</v>
      </c>
      <c r="L426" s="76">
        <v>2.94</v>
      </c>
      <c r="M426" s="76">
        <v>0.27</v>
      </c>
      <c r="N426" s="76">
        <v>0.71</v>
      </c>
      <c r="O426" s="76">
        <v>1.99</v>
      </c>
      <c r="P426" s="76">
        <v>-0.95</v>
      </c>
      <c r="Q426" s="76">
        <v>1.68</v>
      </c>
      <c r="R426" s="76">
        <v>-47.14</v>
      </c>
      <c r="S426" s="76">
        <v>-20.34</v>
      </c>
      <c r="T426" s="76">
        <v>5.69</v>
      </c>
      <c r="U426" s="76">
        <v>0.43</v>
      </c>
      <c r="V426" s="76">
        <v>0.57</v>
      </c>
      <c r="W426" s="76">
        <v>0.62</v>
      </c>
      <c r="X426" s="76">
        <v>10.77</v>
      </c>
      <c r="Y426" s="76">
        <v>0.0</v>
      </c>
      <c r="Z426" s="76">
        <v>7.6344659E7</v>
      </c>
      <c r="AA426" s="76">
        <v>10.94</v>
      </c>
      <c r="AB426" s="76">
        <v>-5.16</v>
      </c>
      <c r="AC426" s="76">
        <v>0.01</v>
      </c>
      <c r="AD426" s="76">
        <v>1.518886211E10</v>
      </c>
      <c r="AE426" s="74"/>
    </row>
    <row r="427">
      <c r="A427" s="73" t="s">
        <v>476</v>
      </c>
      <c r="B427" s="76">
        <v>2.47</v>
      </c>
      <c r="C427" s="76">
        <v>0.0</v>
      </c>
      <c r="D427" s="76">
        <v>7.93</v>
      </c>
      <c r="E427" s="76">
        <v>0.76</v>
      </c>
      <c r="F427" s="76">
        <v>0.25</v>
      </c>
      <c r="G427" s="76">
        <v>14.66</v>
      </c>
      <c r="H427" s="76">
        <v>5.33</v>
      </c>
      <c r="I427" s="76">
        <v>1.8</v>
      </c>
      <c r="J427" s="76">
        <v>2.68</v>
      </c>
      <c r="K427" s="76">
        <v>4.28</v>
      </c>
      <c r="L427" s="76">
        <v>1.61</v>
      </c>
      <c r="M427" s="76">
        <v>0.45</v>
      </c>
      <c r="N427" s="76">
        <v>0.14</v>
      </c>
      <c r="O427" s="76">
        <v>1.03</v>
      </c>
      <c r="P427" s="76">
        <v>-0.89</v>
      </c>
      <c r="Q427" s="76">
        <v>1.53</v>
      </c>
      <c r="R427" s="76">
        <v>9.55</v>
      </c>
      <c r="S427" s="76">
        <v>3.21</v>
      </c>
      <c r="T427" s="76">
        <v>15.44</v>
      </c>
      <c r="U427" s="76">
        <v>0.34</v>
      </c>
      <c r="V427" s="76">
        <v>0.66</v>
      </c>
      <c r="W427" s="76">
        <v>1.78</v>
      </c>
      <c r="X427" s="76">
        <v>25.86</v>
      </c>
      <c r="Y427" s="76">
        <v>-34.59</v>
      </c>
      <c r="Z427" s="79">
        <v>7695.05</v>
      </c>
      <c r="AA427" s="76">
        <v>3.26</v>
      </c>
      <c r="AB427" s="76">
        <v>0.31</v>
      </c>
      <c r="AC427" s="76">
        <v>-0.17</v>
      </c>
      <c r="AD427" s="76">
        <v>3.2713668E7</v>
      </c>
      <c r="AE427" s="74"/>
    </row>
    <row r="428">
      <c r="A428" s="73" t="s">
        <v>477</v>
      </c>
      <c r="B428" s="76">
        <v>6.66</v>
      </c>
      <c r="C428" s="76">
        <v>0.0</v>
      </c>
      <c r="D428" s="76">
        <v>0.0</v>
      </c>
      <c r="E428" s="77">
        <v>0.0</v>
      </c>
      <c r="F428" s="76">
        <v>0.0</v>
      </c>
      <c r="G428" s="76">
        <v>0.0</v>
      </c>
      <c r="H428" s="76">
        <v>0.0</v>
      </c>
      <c r="I428" s="76">
        <v>0.0</v>
      </c>
      <c r="J428" s="76">
        <v>0.0</v>
      </c>
      <c r="K428" s="76">
        <v>0.0</v>
      </c>
      <c r="L428" s="76">
        <v>0.0</v>
      </c>
      <c r="M428" s="76">
        <v>0.0</v>
      </c>
      <c r="N428" s="76">
        <v>0.0</v>
      </c>
      <c r="O428" s="76">
        <v>0.0</v>
      </c>
      <c r="P428" s="76">
        <v>0.0</v>
      </c>
      <c r="Q428" s="76">
        <v>0.0</v>
      </c>
      <c r="R428" s="77">
        <v>0.0</v>
      </c>
      <c r="S428" s="76">
        <v>0.0</v>
      </c>
      <c r="T428" s="76">
        <v>0.0</v>
      </c>
      <c r="U428" s="76">
        <v>0.0</v>
      </c>
      <c r="V428" s="76">
        <v>0.0</v>
      </c>
      <c r="W428" s="76">
        <v>0.0</v>
      </c>
      <c r="X428" s="76">
        <v>0.0</v>
      </c>
      <c r="Y428" s="76">
        <v>0.0</v>
      </c>
      <c r="Z428" s="77">
        <v>7308721.0</v>
      </c>
      <c r="AA428" s="76">
        <v>0.0</v>
      </c>
      <c r="AB428" s="76">
        <v>0.0</v>
      </c>
      <c r="AC428" s="76">
        <v>0.0</v>
      </c>
      <c r="AD428" s="79">
        <v>0.0</v>
      </c>
      <c r="AE428" s="80"/>
    </row>
    <row r="429">
      <c r="A429" s="73" t="s">
        <v>478</v>
      </c>
      <c r="B429" s="76">
        <v>0.0</v>
      </c>
      <c r="C429" s="76">
        <v>0.0</v>
      </c>
      <c r="D429" s="76">
        <v>0.0</v>
      </c>
      <c r="E429" s="76">
        <v>0.0</v>
      </c>
      <c r="F429" s="76">
        <v>0.0</v>
      </c>
      <c r="G429" s="76">
        <v>30.39</v>
      </c>
      <c r="H429" s="76">
        <v>14.56</v>
      </c>
      <c r="I429" s="76">
        <v>7.52</v>
      </c>
      <c r="J429" s="76">
        <v>0.0</v>
      </c>
      <c r="K429" s="76">
        <v>0.0</v>
      </c>
      <c r="L429" s="76">
        <v>2.49</v>
      </c>
      <c r="M429" s="76">
        <v>0.41</v>
      </c>
      <c r="N429" s="76">
        <v>0.0</v>
      </c>
      <c r="O429" s="76">
        <v>0.0</v>
      </c>
      <c r="P429" s="76">
        <v>0.0</v>
      </c>
      <c r="Q429" s="76">
        <v>3.92</v>
      </c>
      <c r="R429" s="76">
        <v>8.41</v>
      </c>
      <c r="S429" s="76">
        <v>4.4</v>
      </c>
      <c r="T429" s="76">
        <v>3.97</v>
      </c>
      <c r="U429" s="76">
        <v>0.52</v>
      </c>
      <c r="V429" s="76">
        <v>0.48</v>
      </c>
      <c r="W429" s="76">
        <v>0.59</v>
      </c>
      <c r="X429" s="76">
        <v>11.9</v>
      </c>
      <c r="Y429" s="76">
        <v>18.68</v>
      </c>
      <c r="Z429" s="79">
        <v>0.0</v>
      </c>
      <c r="AA429" s="76">
        <v>51.32</v>
      </c>
      <c r="AB429" s="76">
        <v>4.32</v>
      </c>
      <c r="AC429" s="76">
        <v>0.0</v>
      </c>
      <c r="AD429" s="76">
        <v>0.0</v>
      </c>
      <c r="AE429" s="74"/>
    </row>
    <row r="430">
      <c r="A430" s="73" t="s">
        <v>479</v>
      </c>
      <c r="B430" s="76">
        <v>97.78</v>
      </c>
      <c r="C430" s="76">
        <v>0.72</v>
      </c>
      <c r="D430" s="76">
        <v>22.65</v>
      </c>
      <c r="E430" s="76">
        <v>1.91</v>
      </c>
      <c r="F430" s="76">
        <v>1.0</v>
      </c>
      <c r="G430" s="76">
        <v>30.39</v>
      </c>
      <c r="H430" s="76">
        <v>14.56</v>
      </c>
      <c r="I430" s="76">
        <v>7.52</v>
      </c>
      <c r="J430" s="76">
        <v>11.7</v>
      </c>
      <c r="K430" s="76">
        <v>0.0</v>
      </c>
      <c r="L430" s="76">
        <v>2.49</v>
      </c>
      <c r="M430" s="76">
        <v>0.41</v>
      </c>
      <c r="N430" s="76">
        <v>1.7</v>
      </c>
      <c r="O430" s="76">
        <v>1.97</v>
      </c>
      <c r="P430" s="76">
        <v>-3.12</v>
      </c>
      <c r="Q430" s="76">
        <v>3.92</v>
      </c>
      <c r="R430" s="76">
        <v>8.41</v>
      </c>
      <c r="S430" s="76">
        <v>4.4</v>
      </c>
      <c r="T430" s="76">
        <v>3.97</v>
      </c>
      <c r="U430" s="76">
        <v>0.52</v>
      </c>
      <c r="V430" s="76">
        <v>0.48</v>
      </c>
      <c r="W430" s="76">
        <v>0.59</v>
      </c>
      <c r="X430" s="76">
        <v>11.9</v>
      </c>
      <c r="Y430" s="76">
        <v>18.68</v>
      </c>
      <c r="Z430" s="76">
        <v>0.0</v>
      </c>
      <c r="AA430" s="76">
        <v>51.32</v>
      </c>
      <c r="AB430" s="76">
        <v>4.32</v>
      </c>
      <c r="AC430" s="76">
        <v>0.34</v>
      </c>
      <c r="AD430" s="79">
        <v>0.0</v>
      </c>
      <c r="AE430" s="80"/>
    </row>
    <row r="431">
      <c r="A431" s="73" t="s">
        <v>480</v>
      </c>
      <c r="B431" s="76">
        <v>12.39</v>
      </c>
      <c r="C431" s="76">
        <v>9.47</v>
      </c>
      <c r="D431" s="76">
        <v>11.77</v>
      </c>
      <c r="E431" s="76">
        <v>5.24</v>
      </c>
      <c r="F431" s="76">
        <v>3.01</v>
      </c>
      <c r="G431" s="76">
        <v>36.85</v>
      </c>
      <c r="H431" s="76">
        <v>32.16</v>
      </c>
      <c r="I431" s="76">
        <v>23.99</v>
      </c>
      <c r="J431" s="76">
        <v>8.78</v>
      </c>
      <c r="K431" s="76">
        <v>7.96</v>
      </c>
      <c r="L431" s="76">
        <v>-0.82</v>
      </c>
      <c r="M431" s="76">
        <v>-0.49</v>
      </c>
      <c r="N431" s="76">
        <v>2.82</v>
      </c>
      <c r="O431" s="76">
        <v>-99.37</v>
      </c>
      <c r="P431" s="76">
        <v>-4.53</v>
      </c>
      <c r="Q431" s="76">
        <v>0.92</v>
      </c>
      <c r="R431" s="76">
        <v>44.52</v>
      </c>
      <c r="S431" s="76">
        <v>25.55</v>
      </c>
      <c r="T431" s="76">
        <v>24.96</v>
      </c>
      <c r="U431" s="76">
        <v>0.57</v>
      </c>
      <c r="V431" s="76">
        <v>0.43</v>
      </c>
      <c r="W431" s="76">
        <v>1.06</v>
      </c>
      <c r="X431" s="76">
        <v>4.75</v>
      </c>
      <c r="Y431" s="76">
        <v>15.07</v>
      </c>
      <c r="Z431" s="79">
        <v>2.1422268E7</v>
      </c>
      <c r="AA431" s="76">
        <v>2.36</v>
      </c>
      <c r="AB431" s="76">
        <v>1.05</v>
      </c>
      <c r="AC431" s="76">
        <v>1.8</v>
      </c>
      <c r="AD431" s="79">
        <v>6.762775294E9</v>
      </c>
      <c r="AE431" s="80"/>
    </row>
    <row r="432">
      <c r="A432" s="73" t="s">
        <v>481</v>
      </c>
      <c r="B432" s="76">
        <v>23.45</v>
      </c>
      <c r="C432" s="76">
        <v>4.61</v>
      </c>
      <c r="D432" s="76">
        <v>8.79</v>
      </c>
      <c r="E432" s="76">
        <v>1.78</v>
      </c>
      <c r="F432" s="76">
        <v>0.87</v>
      </c>
      <c r="G432" s="76">
        <v>50.93</v>
      </c>
      <c r="H432" s="76">
        <v>76.53</v>
      </c>
      <c r="I432" s="76">
        <v>12.5</v>
      </c>
      <c r="J432" s="76">
        <v>1.44</v>
      </c>
      <c r="K432" s="76">
        <v>1.76</v>
      </c>
      <c r="L432" s="76">
        <v>0.33</v>
      </c>
      <c r="M432" s="76">
        <v>0.41</v>
      </c>
      <c r="N432" s="76">
        <v>1.1</v>
      </c>
      <c r="O432" s="76">
        <v>1.78</v>
      </c>
      <c r="P432" s="76">
        <v>-2.58</v>
      </c>
      <c r="Q432" s="76">
        <v>3.72</v>
      </c>
      <c r="R432" s="76">
        <v>20.21</v>
      </c>
      <c r="S432" s="76">
        <v>9.86</v>
      </c>
      <c r="T432" s="76">
        <v>69.05</v>
      </c>
      <c r="U432" s="76">
        <v>0.49</v>
      </c>
      <c r="V432" s="76">
        <v>0.51</v>
      </c>
      <c r="W432" s="76">
        <v>0.79</v>
      </c>
      <c r="X432" s="76">
        <v>10.59</v>
      </c>
      <c r="Y432" s="76">
        <v>25.49</v>
      </c>
      <c r="Z432" s="76">
        <v>159459.9</v>
      </c>
      <c r="AA432" s="76">
        <v>13.21</v>
      </c>
      <c r="AB432" s="76">
        <v>2.67</v>
      </c>
      <c r="AC432" s="76">
        <v>0.15</v>
      </c>
      <c r="AD432" s="79">
        <v>1.265104191E9</v>
      </c>
      <c r="AE432" s="80"/>
    </row>
    <row r="433">
      <c r="A433" s="73" t="s">
        <v>482</v>
      </c>
      <c r="B433" s="76">
        <v>1.63</v>
      </c>
      <c r="C433" s="76">
        <v>0.0</v>
      </c>
      <c r="D433" s="76">
        <v>-2.15</v>
      </c>
      <c r="E433" s="76">
        <v>-0.98</v>
      </c>
      <c r="F433" s="76">
        <v>0.92</v>
      </c>
      <c r="G433" s="76">
        <v>0.0</v>
      </c>
      <c r="H433" s="76">
        <v>0.0</v>
      </c>
      <c r="I433" s="76">
        <v>0.0</v>
      </c>
      <c r="J433" s="76">
        <v>-9.26</v>
      </c>
      <c r="K433" s="76">
        <v>-9.26</v>
      </c>
      <c r="L433" s="76">
        <v>0.0</v>
      </c>
      <c r="M433" s="76">
        <v>0.0</v>
      </c>
      <c r="N433" s="76">
        <v>0.0</v>
      </c>
      <c r="O433" s="76">
        <v>-0.98</v>
      </c>
      <c r="P433" s="76">
        <v>0.0</v>
      </c>
      <c r="Q433" s="76">
        <v>0.51</v>
      </c>
      <c r="R433" s="76">
        <v>-45.53</v>
      </c>
      <c r="S433" s="76">
        <v>-43.02</v>
      </c>
      <c r="T433" s="76">
        <v>10.57</v>
      </c>
      <c r="U433" s="76">
        <v>-0.94</v>
      </c>
      <c r="V433" s="76">
        <v>1.94</v>
      </c>
      <c r="W433" s="76">
        <v>0.0</v>
      </c>
      <c r="X433" s="76">
        <v>0.0</v>
      </c>
      <c r="Y433" s="76">
        <v>0.0</v>
      </c>
      <c r="Z433" s="76">
        <v>0.0</v>
      </c>
      <c r="AA433" s="76">
        <v>-1.67</v>
      </c>
      <c r="AB433" s="76">
        <v>-0.76</v>
      </c>
      <c r="AC433" s="76">
        <v>0.02</v>
      </c>
      <c r="AD433" s="76">
        <v>5.274707384E7</v>
      </c>
      <c r="AE433" s="74"/>
    </row>
    <row r="434">
      <c r="A434" s="73" t="s">
        <v>483</v>
      </c>
      <c r="B434" s="76">
        <v>0.16</v>
      </c>
      <c r="C434" s="76">
        <v>0.0</v>
      </c>
      <c r="D434" s="76">
        <v>-0.03</v>
      </c>
      <c r="E434" s="76">
        <v>0.0</v>
      </c>
      <c r="F434" s="76">
        <v>0.0</v>
      </c>
      <c r="G434" s="76">
        <v>-830.11</v>
      </c>
      <c r="H434" s="76">
        <v>-402.1</v>
      </c>
      <c r="I434" s="76">
        <v>-808.94</v>
      </c>
      <c r="J434" s="76">
        <v>-0.06</v>
      </c>
      <c r="K434" s="76">
        <v>-11.02</v>
      </c>
      <c r="L434" s="76">
        <v>-10.96</v>
      </c>
      <c r="M434" s="76">
        <v>0.0</v>
      </c>
      <c r="N434" s="76">
        <v>0.23</v>
      </c>
      <c r="O434" s="76">
        <v>-0.02</v>
      </c>
      <c r="P434" s="76">
        <v>0.0</v>
      </c>
      <c r="Q434" s="76">
        <v>0.59</v>
      </c>
      <c r="R434" s="76">
        <v>-11.89</v>
      </c>
      <c r="S434" s="76">
        <v>-9.84</v>
      </c>
      <c r="T434" s="76">
        <v>21.85</v>
      </c>
      <c r="U434" s="76">
        <v>-0.83</v>
      </c>
      <c r="V434" s="76">
        <v>1.83</v>
      </c>
      <c r="W434" s="76">
        <v>0.01</v>
      </c>
      <c r="X434" s="76">
        <v>-30.86</v>
      </c>
      <c r="Y434" s="76">
        <v>0.0</v>
      </c>
      <c r="Z434" s="76">
        <v>175070.4</v>
      </c>
      <c r="AA434" s="76">
        <v>-46.94</v>
      </c>
      <c r="AB434" s="76">
        <v>-5.58</v>
      </c>
      <c r="AC434" s="76">
        <v>0.0</v>
      </c>
      <c r="AD434" s="79">
        <v>5.447561368E7</v>
      </c>
      <c r="AE434" s="80"/>
    </row>
    <row r="435">
      <c r="A435" s="73" t="s">
        <v>484</v>
      </c>
      <c r="B435" s="76">
        <v>1.21</v>
      </c>
      <c r="C435" s="76">
        <v>0.0</v>
      </c>
      <c r="D435" s="76">
        <v>-0.22</v>
      </c>
      <c r="E435" s="76">
        <v>-0.03</v>
      </c>
      <c r="F435" s="76">
        <v>0.02</v>
      </c>
      <c r="G435" s="76">
        <v>-830.11</v>
      </c>
      <c r="H435" s="76">
        <v>-402.1</v>
      </c>
      <c r="I435" s="76">
        <v>-808.94</v>
      </c>
      <c r="J435" s="76">
        <v>-0.44</v>
      </c>
      <c r="K435" s="76">
        <v>-11.02</v>
      </c>
      <c r="L435" s="76">
        <v>-10.96</v>
      </c>
      <c r="M435" s="76">
        <v>0.0</v>
      </c>
      <c r="N435" s="76">
        <v>1.75</v>
      </c>
      <c r="O435" s="76">
        <v>-0.13</v>
      </c>
      <c r="P435" s="76">
        <v>-0.03</v>
      </c>
      <c r="Q435" s="76">
        <v>0.59</v>
      </c>
      <c r="R435" s="76">
        <v>-11.89</v>
      </c>
      <c r="S435" s="76">
        <v>-9.84</v>
      </c>
      <c r="T435" s="76">
        <v>21.85</v>
      </c>
      <c r="U435" s="76">
        <v>-0.83</v>
      </c>
      <c r="V435" s="76">
        <v>1.83</v>
      </c>
      <c r="W435" s="76">
        <v>0.01</v>
      </c>
      <c r="X435" s="76">
        <v>-30.86</v>
      </c>
      <c r="Y435" s="76">
        <v>0.0</v>
      </c>
      <c r="Z435" s="76">
        <v>4220.81</v>
      </c>
      <c r="AA435" s="76">
        <v>-46.94</v>
      </c>
      <c r="AB435" s="76">
        <v>-5.58</v>
      </c>
      <c r="AC435" s="76">
        <v>0.0</v>
      </c>
      <c r="AD435" s="79">
        <v>5.447561368E7</v>
      </c>
      <c r="AE435" s="80"/>
    </row>
    <row r="436">
      <c r="A436" s="73" t="s">
        <v>485</v>
      </c>
      <c r="B436" s="76">
        <v>27.57</v>
      </c>
      <c r="C436" s="76">
        <v>0.0</v>
      </c>
      <c r="D436" s="76">
        <v>8.07</v>
      </c>
      <c r="E436" s="76">
        <v>1070.88</v>
      </c>
      <c r="F436" s="76">
        <v>385.31</v>
      </c>
      <c r="G436" s="76">
        <v>32.08</v>
      </c>
      <c r="H436" s="76">
        <v>37.94</v>
      </c>
      <c r="I436" s="76">
        <v>18.16</v>
      </c>
      <c r="J436" s="76">
        <v>3.86</v>
      </c>
      <c r="K436" s="76">
        <v>3.87</v>
      </c>
      <c r="L436" s="76">
        <v>0.0</v>
      </c>
      <c r="M436" s="76">
        <v>1.16</v>
      </c>
      <c r="N436" s="76">
        <v>1.47</v>
      </c>
      <c r="O436" s="76">
        <v>3102.14</v>
      </c>
      <c r="P436" s="76">
        <v>-529.98</v>
      </c>
      <c r="Q436" s="76">
        <v>1.83</v>
      </c>
      <c r="R436" s="76">
        <v>13268.77</v>
      </c>
      <c r="S436" s="76">
        <v>4774.24</v>
      </c>
      <c r="T436" s="76">
        <v>10221.16</v>
      </c>
      <c r="U436" s="76">
        <v>0.36</v>
      </c>
      <c r="V436" s="76">
        <v>0.64</v>
      </c>
      <c r="W436" s="76">
        <v>262.92</v>
      </c>
      <c r="X436" s="76">
        <v>30.0</v>
      </c>
      <c r="Y436" s="76">
        <v>90.67</v>
      </c>
      <c r="Z436" s="76">
        <v>0.0</v>
      </c>
      <c r="AA436" s="76">
        <v>0.03</v>
      </c>
      <c r="AB436" s="76">
        <v>3.42</v>
      </c>
      <c r="AC436" s="76">
        <v>0.03</v>
      </c>
      <c r="AD436" s="79">
        <v>5.521562589E9</v>
      </c>
      <c r="AE436" s="80"/>
    </row>
    <row r="437">
      <c r="A437" s="73" t="s">
        <v>486</v>
      </c>
      <c r="B437" s="76">
        <v>2.6</v>
      </c>
      <c r="C437" s="76">
        <v>0.0</v>
      </c>
      <c r="D437" s="76">
        <v>-1.05</v>
      </c>
      <c r="E437" s="76">
        <v>3.03</v>
      </c>
      <c r="F437" s="76">
        <v>0.36</v>
      </c>
      <c r="G437" s="76">
        <v>30.46</v>
      </c>
      <c r="H437" s="76">
        <v>-34.16</v>
      </c>
      <c r="I437" s="76">
        <v>-47.38</v>
      </c>
      <c r="J437" s="76">
        <v>-1.45</v>
      </c>
      <c r="K437" s="76">
        <v>-3.62</v>
      </c>
      <c r="L437" s="76">
        <v>-2.16</v>
      </c>
      <c r="M437" s="76">
        <v>4.52</v>
      </c>
      <c r="N437" s="76">
        <v>0.5</v>
      </c>
      <c r="O437" s="76">
        <v>8.82</v>
      </c>
      <c r="P437" s="76">
        <v>-0.57</v>
      </c>
      <c r="Q437" s="76">
        <v>1.12</v>
      </c>
      <c r="R437" s="76">
        <v>-289.63</v>
      </c>
      <c r="S437" s="76">
        <v>-34.22</v>
      </c>
      <c r="T437" s="76">
        <v>-35.27</v>
      </c>
      <c r="U437" s="76">
        <v>0.12</v>
      </c>
      <c r="V437" s="76">
        <v>0.85</v>
      </c>
      <c r="W437" s="76">
        <v>0.72</v>
      </c>
      <c r="X437" s="76">
        <v>0.0</v>
      </c>
      <c r="Y437" s="76">
        <v>0.0</v>
      </c>
      <c r="Z437" s="79">
        <v>9970786.0</v>
      </c>
      <c r="AA437" s="76">
        <v>0.86</v>
      </c>
      <c r="AB437" s="76">
        <v>-2.48</v>
      </c>
      <c r="AC437" s="76">
        <v>0.0</v>
      </c>
      <c r="AD437" s="79">
        <v>2.945616684E9</v>
      </c>
      <c r="AE437" s="80"/>
    </row>
    <row r="438">
      <c r="A438" s="73" t="s">
        <v>487</v>
      </c>
      <c r="B438" s="76">
        <v>9.32</v>
      </c>
      <c r="C438" s="76">
        <v>0.0</v>
      </c>
      <c r="D438" s="76">
        <v>31.41</v>
      </c>
      <c r="E438" s="76">
        <v>1.93</v>
      </c>
      <c r="F438" s="76">
        <v>0.59</v>
      </c>
      <c r="G438" s="76">
        <v>26.92</v>
      </c>
      <c r="H438" s="76">
        <v>15.46</v>
      </c>
      <c r="I438" s="76">
        <v>2.91</v>
      </c>
      <c r="J438" s="76">
        <v>5.91</v>
      </c>
      <c r="K438" s="76">
        <v>9.6</v>
      </c>
      <c r="L438" s="76">
        <v>3.69</v>
      </c>
      <c r="M438" s="76">
        <v>1.21</v>
      </c>
      <c r="N438" s="76">
        <v>0.91</v>
      </c>
      <c r="O438" s="76">
        <v>2.5</v>
      </c>
      <c r="P438" s="76">
        <v>-0.95</v>
      </c>
      <c r="Q438" s="76">
        <v>2.67</v>
      </c>
      <c r="R438" s="76">
        <v>6.15</v>
      </c>
      <c r="S438" s="76">
        <v>1.88</v>
      </c>
      <c r="T438" s="76">
        <v>8.37</v>
      </c>
      <c r="U438" s="76">
        <v>0.31</v>
      </c>
      <c r="V438" s="76">
        <v>0.69</v>
      </c>
      <c r="W438" s="76">
        <v>0.65</v>
      </c>
      <c r="X438" s="76">
        <v>31.17</v>
      </c>
      <c r="Y438" s="76">
        <v>43.9</v>
      </c>
      <c r="Z438" s="79">
        <v>4645977.0</v>
      </c>
      <c r="AA438" s="76">
        <v>4.82</v>
      </c>
      <c r="AB438" s="76">
        <v>0.3</v>
      </c>
      <c r="AC438" s="76">
        <v>0.27</v>
      </c>
      <c r="AD438" s="79">
        <v>1.863623043E9</v>
      </c>
      <c r="AE438" s="80"/>
    </row>
    <row r="439">
      <c r="A439" s="73" t="s">
        <v>488</v>
      </c>
      <c r="B439" s="76">
        <v>72.28</v>
      </c>
      <c r="C439" s="76">
        <v>0.0</v>
      </c>
      <c r="D439" s="76">
        <v>229.49</v>
      </c>
      <c r="E439" s="76">
        <v>4.88</v>
      </c>
      <c r="F439" s="76">
        <v>1.64</v>
      </c>
      <c r="G439" s="76">
        <v>45.25</v>
      </c>
      <c r="H439" s="76">
        <v>26.8</v>
      </c>
      <c r="I439" s="76">
        <v>2.98</v>
      </c>
      <c r="J439" s="76">
        <v>25.51</v>
      </c>
      <c r="K439" s="76">
        <v>29.44</v>
      </c>
      <c r="L439" s="76">
        <v>3.93</v>
      </c>
      <c r="M439" s="76">
        <v>0.75</v>
      </c>
      <c r="N439" s="76">
        <v>6.84</v>
      </c>
      <c r="O439" s="76">
        <v>7.25</v>
      </c>
      <c r="P439" s="76">
        <v>-2.51</v>
      </c>
      <c r="Q439" s="76">
        <v>2.93</v>
      </c>
      <c r="R439" s="76">
        <v>2.13</v>
      </c>
      <c r="S439" s="76">
        <v>0.72</v>
      </c>
      <c r="T439" s="76">
        <v>6.85</v>
      </c>
      <c r="U439" s="76">
        <v>0.34</v>
      </c>
      <c r="V439" s="76">
        <v>0.64</v>
      </c>
      <c r="W439" s="76">
        <v>0.24</v>
      </c>
      <c r="X439" s="76">
        <v>21.01</v>
      </c>
      <c r="Y439" s="76">
        <v>59.79</v>
      </c>
      <c r="Z439" s="79">
        <v>4.4330888E7</v>
      </c>
      <c r="AA439" s="76">
        <v>14.82</v>
      </c>
      <c r="AB439" s="76">
        <v>0.32</v>
      </c>
      <c r="AC439" s="76">
        <v>-2.83</v>
      </c>
      <c r="AD439" s="79">
        <v>6.948050236E9</v>
      </c>
      <c r="AE439" s="80"/>
    </row>
    <row r="440">
      <c r="A440" s="73" t="s">
        <v>489</v>
      </c>
      <c r="B440" s="76">
        <v>1.84</v>
      </c>
      <c r="C440" s="76">
        <v>0.0</v>
      </c>
      <c r="D440" s="76">
        <v>0.0</v>
      </c>
      <c r="E440" s="76">
        <v>0.0</v>
      </c>
      <c r="F440" s="76">
        <v>0.0</v>
      </c>
      <c r="G440" s="76">
        <v>98.59</v>
      </c>
      <c r="H440" s="76">
        <v>-1221.37</v>
      </c>
      <c r="I440" s="76">
        <v>-1798.63</v>
      </c>
      <c r="J440" s="76">
        <v>-0.01</v>
      </c>
      <c r="K440" s="76">
        <v>-7.67</v>
      </c>
      <c r="L440" s="76">
        <v>-7.67</v>
      </c>
      <c r="M440" s="76">
        <v>0.0</v>
      </c>
      <c r="N440" s="76">
        <v>0.07</v>
      </c>
      <c r="O440" s="76">
        <v>-0.01</v>
      </c>
      <c r="P440" s="76">
        <v>0.0</v>
      </c>
      <c r="Q440" s="76">
        <v>0.04</v>
      </c>
      <c r="R440" s="76">
        <v>-15.92</v>
      </c>
      <c r="S440" s="76">
        <v>-95.45</v>
      </c>
      <c r="T440" s="76">
        <v>91.28</v>
      </c>
      <c r="U440" s="76">
        <v>-6.0</v>
      </c>
      <c r="V440" s="76">
        <v>7.01</v>
      </c>
      <c r="W440" s="76">
        <v>0.05</v>
      </c>
      <c r="X440" s="76">
        <v>39.92</v>
      </c>
      <c r="Y440" s="76">
        <v>0.0</v>
      </c>
      <c r="Z440" s="79">
        <v>10446.11</v>
      </c>
      <c r="AA440" s="76">
        <v>-2835.21</v>
      </c>
      <c r="AB440" s="76">
        <v>-451.32</v>
      </c>
      <c r="AC440" s="76">
        <v>0.0</v>
      </c>
      <c r="AD440" s="79">
        <v>5792389.92</v>
      </c>
      <c r="AE440" s="80"/>
    </row>
    <row r="441">
      <c r="A441" s="73" t="s">
        <v>490</v>
      </c>
      <c r="B441" s="76">
        <v>20.25</v>
      </c>
      <c r="C441" s="76">
        <v>0.0</v>
      </c>
      <c r="D441" s="76">
        <v>36.76</v>
      </c>
      <c r="E441" s="76">
        <v>5.3</v>
      </c>
      <c r="F441" s="76">
        <v>2.1</v>
      </c>
      <c r="G441" s="76">
        <v>26.45</v>
      </c>
      <c r="H441" s="76">
        <v>13.31</v>
      </c>
      <c r="I441" s="76">
        <v>6.98</v>
      </c>
      <c r="J441" s="76">
        <v>19.27</v>
      </c>
      <c r="K441" s="76">
        <v>19.93</v>
      </c>
      <c r="L441" s="76">
        <v>0.66</v>
      </c>
      <c r="M441" s="76">
        <v>0.18</v>
      </c>
      <c r="N441" s="76">
        <v>2.57</v>
      </c>
      <c r="O441" s="76">
        <v>-54.06</v>
      </c>
      <c r="P441" s="76">
        <v>-3.28</v>
      </c>
      <c r="Q441" s="76">
        <v>0.9</v>
      </c>
      <c r="R441" s="76">
        <v>14.42</v>
      </c>
      <c r="S441" s="76">
        <v>5.7</v>
      </c>
      <c r="T441" s="76">
        <v>13.1</v>
      </c>
      <c r="U441" s="76">
        <v>0.4</v>
      </c>
      <c r="V441" s="76">
        <v>0.6</v>
      </c>
      <c r="W441" s="76">
        <v>0.82</v>
      </c>
      <c r="X441" s="76">
        <v>13.44</v>
      </c>
      <c r="Y441" s="76">
        <v>2.56</v>
      </c>
      <c r="Z441" s="79">
        <v>0.0</v>
      </c>
      <c r="AA441" s="76">
        <v>3.82</v>
      </c>
      <c r="AB441" s="76">
        <v>0.55</v>
      </c>
      <c r="AC441" s="76">
        <v>-1.04</v>
      </c>
      <c r="AD441" s="79">
        <v>5.40349301E9</v>
      </c>
      <c r="AE441" s="80"/>
    </row>
    <row r="442">
      <c r="A442" s="73" t="s">
        <v>491</v>
      </c>
      <c r="B442" s="76">
        <v>35.67</v>
      </c>
      <c r="C442" s="76">
        <v>2.22</v>
      </c>
      <c r="D442" s="76">
        <v>19.25</v>
      </c>
      <c r="E442" s="76">
        <v>1.1</v>
      </c>
      <c r="F442" s="76">
        <v>0.56</v>
      </c>
      <c r="G442" s="76">
        <v>11.24</v>
      </c>
      <c r="H442" s="76">
        <v>4.29</v>
      </c>
      <c r="I442" s="76">
        <v>2.16</v>
      </c>
      <c r="J442" s="76">
        <v>9.68</v>
      </c>
      <c r="K442" s="76">
        <v>9.37</v>
      </c>
      <c r="L442" s="76">
        <v>-0.29</v>
      </c>
      <c r="M442" s="76">
        <v>-0.03</v>
      </c>
      <c r="N442" s="76">
        <v>0.42</v>
      </c>
      <c r="O442" s="76">
        <v>1.46</v>
      </c>
      <c r="P442" s="76">
        <v>-2.02</v>
      </c>
      <c r="Q442" s="76">
        <v>2.14</v>
      </c>
      <c r="R442" s="76">
        <v>5.69</v>
      </c>
      <c r="S442" s="76">
        <v>2.92</v>
      </c>
      <c r="T442" s="76">
        <v>5.09</v>
      </c>
      <c r="U442" s="76">
        <v>0.51</v>
      </c>
      <c r="V442" s="76">
        <v>0.49</v>
      </c>
      <c r="W442" s="76">
        <v>1.35</v>
      </c>
      <c r="X442" s="76">
        <v>14.96</v>
      </c>
      <c r="Y442" s="76">
        <v>20.0</v>
      </c>
      <c r="Z442" s="76">
        <v>5901.08</v>
      </c>
      <c r="AA442" s="76">
        <v>32.55</v>
      </c>
      <c r="AB442" s="76">
        <v>1.85</v>
      </c>
      <c r="AC442" s="76">
        <v>-0.44</v>
      </c>
      <c r="AD442" s="79">
        <v>8.519553746E8</v>
      </c>
      <c r="AE442" s="80"/>
    </row>
    <row r="443">
      <c r="A443" s="73" t="s">
        <v>492</v>
      </c>
      <c r="B443" s="76">
        <v>34.0</v>
      </c>
      <c r="C443" s="76">
        <v>5.67</v>
      </c>
      <c r="D443" s="76">
        <v>18.34</v>
      </c>
      <c r="E443" s="76">
        <v>1.04</v>
      </c>
      <c r="F443" s="76">
        <v>0.54</v>
      </c>
      <c r="G443" s="76">
        <v>11.24</v>
      </c>
      <c r="H443" s="76">
        <v>4.29</v>
      </c>
      <c r="I443" s="76">
        <v>2.16</v>
      </c>
      <c r="J443" s="76">
        <v>9.23</v>
      </c>
      <c r="K443" s="76">
        <v>9.37</v>
      </c>
      <c r="L443" s="76">
        <v>-0.29</v>
      </c>
      <c r="M443" s="76">
        <v>-0.03</v>
      </c>
      <c r="N443" s="76">
        <v>0.4</v>
      </c>
      <c r="O443" s="76">
        <v>1.4</v>
      </c>
      <c r="P443" s="76">
        <v>-1.93</v>
      </c>
      <c r="Q443" s="76">
        <v>2.14</v>
      </c>
      <c r="R443" s="76">
        <v>5.69</v>
      </c>
      <c r="S443" s="76">
        <v>2.92</v>
      </c>
      <c r="T443" s="76">
        <v>5.09</v>
      </c>
      <c r="U443" s="76">
        <v>0.51</v>
      </c>
      <c r="V443" s="76">
        <v>0.49</v>
      </c>
      <c r="W443" s="76">
        <v>1.35</v>
      </c>
      <c r="X443" s="76">
        <v>14.96</v>
      </c>
      <c r="Y443" s="76">
        <v>20.0</v>
      </c>
      <c r="Z443" s="76">
        <v>850.0</v>
      </c>
      <c r="AA443" s="76">
        <v>32.55</v>
      </c>
      <c r="AB443" s="76">
        <v>1.85</v>
      </c>
      <c r="AC443" s="76">
        <v>-0.42</v>
      </c>
      <c r="AD443" s="79">
        <v>8.519553746E8</v>
      </c>
      <c r="AE443" s="80"/>
    </row>
    <row r="444">
      <c r="A444" s="73" t="s">
        <v>493</v>
      </c>
      <c r="B444" s="76">
        <v>3.03</v>
      </c>
      <c r="C444" s="76">
        <v>0.0</v>
      </c>
      <c r="D444" s="76">
        <v>-1.1</v>
      </c>
      <c r="E444" s="76">
        <v>0.55</v>
      </c>
      <c r="F444" s="76">
        <v>0.08</v>
      </c>
      <c r="G444" s="76">
        <v>27.42</v>
      </c>
      <c r="H444" s="76">
        <v>-1.02</v>
      </c>
      <c r="I444" s="76">
        <v>-7.06</v>
      </c>
      <c r="J444" s="76">
        <v>-7.55</v>
      </c>
      <c r="K444" s="76">
        <v>-21.09</v>
      </c>
      <c r="L444" s="76">
        <v>-13.54</v>
      </c>
      <c r="M444" s="76">
        <v>0.99</v>
      </c>
      <c r="N444" s="76">
        <v>0.08</v>
      </c>
      <c r="O444" s="76">
        <v>-0.73</v>
      </c>
      <c r="P444" s="76">
        <v>-0.11</v>
      </c>
      <c r="Q444" s="76">
        <v>0.7</v>
      </c>
      <c r="R444" s="76">
        <v>-50.45</v>
      </c>
      <c r="S444" s="76">
        <v>-7.47</v>
      </c>
      <c r="T444" s="76">
        <v>-20.88</v>
      </c>
      <c r="U444" s="76">
        <v>0.15</v>
      </c>
      <c r="V444" s="76">
        <v>0.85</v>
      </c>
      <c r="W444" s="76">
        <v>1.06</v>
      </c>
      <c r="X444" s="76">
        <v>-19.8</v>
      </c>
      <c r="Y444" s="76">
        <v>0.0</v>
      </c>
      <c r="Z444" s="76">
        <v>3.6962425E7</v>
      </c>
      <c r="AA444" s="76">
        <v>5.48</v>
      </c>
      <c r="AB444" s="76">
        <v>-2.76</v>
      </c>
      <c r="AC444" s="76">
        <v>0.07</v>
      </c>
      <c r="AD444" s="79">
        <v>1.487114795E9</v>
      </c>
      <c r="AE444" s="80"/>
    </row>
    <row r="445">
      <c r="A445" s="73" t="s">
        <v>494</v>
      </c>
      <c r="B445" s="76">
        <v>72.11</v>
      </c>
      <c r="C445" s="76">
        <v>0.0</v>
      </c>
      <c r="D445" s="76">
        <v>-26.1</v>
      </c>
      <c r="E445" s="76">
        <v>13.17</v>
      </c>
      <c r="F445" s="76">
        <v>1.95</v>
      </c>
      <c r="G445" s="76">
        <v>27.42</v>
      </c>
      <c r="H445" s="76">
        <v>-1.02</v>
      </c>
      <c r="I445" s="76">
        <v>-7.06</v>
      </c>
      <c r="J445" s="76">
        <v>-179.65</v>
      </c>
      <c r="K445" s="76">
        <v>-21.09</v>
      </c>
      <c r="L445" s="76">
        <v>-13.54</v>
      </c>
      <c r="M445" s="76">
        <v>0.99</v>
      </c>
      <c r="N445" s="76">
        <v>1.84</v>
      </c>
      <c r="O445" s="76">
        <v>-17.41</v>
      </c>
      <c r="P445" s="76">
        <v>-2.66</v>
      </c>
      <c r="Q445" s="76">
        <v>0.7</v>
      </c>
      <c r="R445" s="76">
        <v>-50.45</v>
      </c>
      <c r="S445" s="76">
        <v>-7.47</v>
      </c>
      <c r="T445" s="76">
        <v>-20.88</v>
      </c>
      <c r="U445" s="76">
        <v>0.15</v>
      </c>
      <c r="V445" s="76">
        <v>0.85</v>
      </c>
      <c r="W445" s="76">
        <v>1.06</v>
      </c>
      <c r="X445" s="76">
        <v>-19.8</v>
      </c>
      <c r="Y445" s="76">
        <v>0.0</v>
      </c>
      <c r="Z445" s="76">
        <v>0.0</v>
      </c>
      <c r="AA445" s="76">
        <v>5.48</v>
      </c>
      <c r="AB445" s="76">
        <v>-2.76</v>
      </c>
      <c r="AC445" s="76">
        <v>1.68</v>
      </c>
      <c r="AD445" s="79">
        <v>1.487114795E9</v>
      </c>
      <c r="AE445" s="80"/>
    </row>
    <row r="446">
      <c r="A446" s="73" t="s">
        <v>495</v>
      </c>
      <c r="B446" s="76">
        <v>2.38</v>
      </c>
      <c r="C446" s="76">
        <v>0.0</v>
      </c>
      <c r="D446" s="76">
        <v>-0.04</v>
      </c>
      <c r="E446" s="76">
        <v>0.0</v>
      </c>
      <c r="F446" s="76">
        <v>0.02</v>
      </c>
      <c r="G446" s="76">
        <v>28.38</v>
      </c>
      <c r="H446" s="76">
        <v>-44.26</v>
      </c>
      <c r="I446" s="76">
        <v>-181.12</v>
      </c>
      <c r="J446" s="77">
        <v>-0.18</v>
      </c>
      <c r="K446" s="76">
        <v>-9.44</v>
      </c>
      <c r="L446" s="76">
        <v>-9.26</v>
      </c>
      <c r="M446" s="76">
        <v>0.0</v>
      </c>
      <c r="N446" s="76">
        <v>0.08</v>
      </c>
      <c r="O446" s="76">
        <v>-0.01</v>
      </c>
      <c r="P446" s="76">
        <v>-0.04</v>
      </c>
      <c r="Q446" s="76">
        <v>0.34</v>
      </c>
      <c r="R446" s="76">
        <v>-5.25</v>
      </c>
      <c r="S446" s="76">
        <v>-35.45</v>
      </c>
      <c r="T446" s="76">
        <v>1.52</v>
      </c>
      <c r="U446" s="76">
        <v>-6.76</v>
      </c>
      <c r="V446" s="76">
        <v>7.91</v>
      </c>
      <c r="W446" s="76">
        <v>0.2</v>
      </c>
      <c r="X446" s="76">
        <v>-16.76</v>
      </c>
      <c r="Y446" s="76">
        <v>0.0</v>
      </c>
      <c r="Z446" s="76">
        <v>862953.7</v>
      </c>
      <c r="AA446" s="76">
        <v>-1035.83</v>
      </c>
      <c r="AB446" s="76">
        <v>-54.35</v>
      </c>
      <c r="AC446" s="76">
        <v>0.0</v>
      </c>
      <c r="AD446" s="79">
        <v>7824216.68</v>
      </c>
      <c r="AE446" s="74"/>
    </row>
    <row r="447">
      <c r="A447" s="73" t="s">
        <v>496</v>
      </c>
      <c r="B447" s="76">
        <v>1.47</v>
      </c>
      <c r="C447" s="76">
        <v>0.0</v>
      </c>
      <c r="D447" s="76">
        <v>6.64</v>
      </c>
      <c r="E447" s="76">
        <v>0.95</v>
      </c>
      <c r="F447" s="76">
        <v>0.19</v>
      </c>
      <c r="G447" s="76">
        <v>95.94</v>
      </c>
      <c r="H447" s="76">
        <v>118.52</v>
      </c>
      <c r="I447" s="76">
        <v>90.78</v>
      </c>
      <c r="J447" s="76">
        <v>5.09</v>
      </c>
      <c r="K447" s="76">
        <v>15.9</v>
      </c>
      <c r="L447" s="76">
        <v>10.81</v>
      </c>
      <c r="M447" s="76">
        <v>2.01</v>
      </c>
      <c r="N447" s="76">
        <v>6.03</v>
      </c>
      <c r="O447" s="76">
        <v>0.49</v>
      </c>
      <c r="P447" s="76">
        <v>-0.43</v>
      </c>
      <c r="Q447" s="76">
        <v>2.97</v>
      </c>
      <c r="R447" s="76">
        <v>14.26</v>
      </c>
      <c r="S447" s="76">
        <v>2.79</v>
      </c>
      <c r="T447" s="76">
        <v>5.34</v>
      </c>
      <c r="U447" s="76">
        <v>0.2</v>
      </c>
      <c r="V447" s="76">
        <v>0.8</v>
      </c>
      <c r="W447" s="76">
        <v>0.03</v>
      </c>
      <c r="X447" s="76">
        <v>0.0</v>
      </c>
      <c r="Y447" s="76">
        <v>26.45</v>
      </c>
      <c r="Z447" s="79">
        <v>128273.6</v>
      </c>
      <c r="AA447" s="76">
        <v>1.55</v>
      </c>
      <c r="AB447" s="76">
        <v>0.22</v>
      </c>
      <c r="AC447" s="76">
        <v>-0.04</v>
      </c>
      <c r="AD447" s="79">
        <v>1.168203502E8</v>
      </c>
      <c r="AE447" s="80"/>
    </row>
    <row r="448">
      <c r="A448" s="73" t="s">
        <v>497</v>
      </c>
      <c r="B448" s="76">
        <v>41.0</v>
      </c>
      <c r="C448" s="76">
        <v>2.89</v>
      </c>
      <c r="D448" s="76">
        <v>22.71</v>
      </c>
      <c r="E448" s="76">
        <v>0.82</v>
      </c>
      <c r="F448" s="76">
        <v>0.58</v>
      </c>
      <c r="G448" s="76">
        <v>53.55</v>
      </c>
      <c r="H448" s="76">
        <v>25.17</v>
      </c>
      <c r="I448" s="76">
        <v>28.45</v>
      </c>
      <c r="J448" s="76">
        <v>25.66</v>
      </c>
      <c r="K448" s="76">
        <v>25.45</v>
      </c>
      <c r="L448" s="76">
        <v>-0.15</v>
      </c>
      <c r="M448" s="76">
        <v>0.0</v>
      </c>
      <c r="N448" s="76">
        <v>6.46</v>
      </c>
      <c r="O448" s="76">
        <v>4.19</v>
      </c>
      <c r="P448" s="76">
        <v>-0.71</v>
      </c>
      <c r="Q448" s="76">
        <v>4.51</v>
      </c>
      <c r="R448" s="76">
        <v>3.61</v>
      </c>
      <c r="S448" s="76">
        <v>2.56</v>
      </c>
      <c r="T448" s="76">
        <v>2.49</v>
      </c>
      <c r="U448" s="76">
        <v>0.71</v>
      </c>
      <c r="V448" s="76">
        <v>0.29</v>
      </c>
      <c r="W448" s="76">
        <v>0.09</v>
      </c>
      <c r="X448" s="76">
        <v>-26.42</v>
      </c>
      <c r="Y448" s="76">
        <v>-6.41</v>
      </c>
      <c r="Z448" s="76">
        <v>5620.2</v>
      </c>
      <c r="AA448" s="76">
        <v>50.03</v>
      </c>
      <c r="AB448" s="76">
        <v>1.81</v>
      </c>
      <c r="AC448" s="76">
        <v>-5.02</v>
      </c>
      <c r="AD448" s="79">
        <v>7.419335916E8</v>
      </c>
      <c r="AE448" s="80"/>
    </row>
    <row r="449">
      <c r="A449" s="73" t="s">
        <v>498</v>
      </c>
      <c r="B449" s="76">
        <v>40.8</v>
      </c>
      <c r="C449" s="76">
        <v>3.19</v>
      </c>
      <c r="D449" s="76">
        <v>22.6</v>
      </c>
      <c r="E449" s="76">
        <v>0.82</v>
      </c>
      <c r="F449" s="76">
        <v>0.58</v>
      </c>
      <c r="G449" s="76">
        <v>53.55</v>
      </c>
      <c r="H449" s="76">
        <v>25.17</v>
      </c>
      <c r="I449" s="76">
        <v>28.45</v>
      </c>
      <c r="J449" s="76">
        <v>25.54</v>
      </c>
      <c r="K449" s="76">
        <v>25.45</v>
      </c>
      <c r="L449" s="76">
        <v>-0.15</v>
      </c>
      <c r="M449" s="76">
        <v>0.0</v>
      </c>
      <c r="N449" s="76">
        <v>6.43</v>
      </c>
      <c r="O449" s="76">
        <v>4.17</v>
      </c>
      <c r="P449" s="76">
        <v>-0.7</v>
      </c>
      <c r="Q449" s="76">
        <v>4.51</v>
      </c>
      <c r="R449" s="76">
        <v>3.61</v>
      </c>
      <c r="S449" s="76">
        <v>2.56</v>
      </c>
      <c r="T449" s="76">
        <v>2.49</v>
      </c>
      <c r="U449" s="76">
        <v>0.71</v>
      </c>
      <c r="V449" s="76">
        <v>0.29</v>
      </c>
      <c r="W449" s="76">
        <v>0.09</v>
      </c>
      <c r="X449" s="76">
        <v>-26.42</v>
      </c>
      <c r="Y449" s="76">
        <v>-6.41</v>
      </c>
      <c r="Z449" s="79">
        <v>16690.18</v>
      </c>
      <c r="AA449" s="76">
        <v>50.03</v>
      </c>
      <c r="AB449" s="76">
        <v>1.81</v>
      </c>
      <c r="AC449" s="76">
        <v>-4.99</v>
      </c>
      <c r="AD449" s="79">
        <v>7.419335916E8</v>
      </c>
      <c r="AE449" s="80"/>
    </row>
    <row r="450">
      <c r="A450" s="73" t="s">
        <v>499</v>
      </c>
      <c r="B450" s="76">
        <v>41.19</v>
      </c>
      <c r="C450" s="76">
        <v>7.94</v>
      </c>
      <c r="D450" s="76">
        <v>6.85</v>
      </c>
      <c r="E450" s="76">
        <v>1.26</v>
      </c>
      <c r="F450" s="76">
        <v>0.44</v>
      </c>
      <c r="G450" s="76">
        <v>48.15</v>
      </c>
      <c r="H450" s="76">
        <v>26.52</v>
      </c>
      <c r="I450" s="76">
        <v>15.77</v>
      </c>
      <c r="J450" s="76">
        <v>4.07</v>
      </c>
      <c r="K450" s="76">
        <v>6.34</v>
      </c>
      <c r="L450" s="76">
        <v>2.41</v>
      </c>
      <c r="M450" s="76">
        <v>0.74</v>
      </c>
      <c r="N450" s="76">
        <v>1.08</v>
      </c>
      <c r="O450" s="76">
        <v>-16.08</v>
      </c>
      <c r="P450" s="76">
        <v>-0.5</v>
      </c>
      <c r="Q450" s="76">
        <v>0.82</v>
      </c>
      <c r="R450" s="76">
        <v>18.33</v>
      </c>
      <c r="S450" s="76">
        <v>6.4</v>
      </c>
      <c r="T450" s="76">
        <v>7.19</v>
      </c>
      <c r="U450" s="76">
        <v>0.35</v>
      </c>
      <c r="V450" s="76">
        <v>0.65</v>
      </c>
      <c r="W450" s="76">
        <v>0.41</v>
      </c>
      <c r="X450" s="76">
        <v>10.18</v>
      </c>
      <c r="Y450" s="76">
        <v>14.07</v>
      </c>
      <c r="Z450" s="79">
        <v>5.57E8</v>
      </c>
      <c r="AA450" s="76">
        <v>32.81</v>
      </c>
      <c r="AB450" s="76">
        <v>6.01</v>
      </c>
      <c r="AC450" s="76">
        <v>-0.81</v>
      </c>
      <c r="AD450" s="79">
        <v>5.12478E11</v>
      </c>
      <c r="AE450" s="80"/>
    </row>
    <row r="451">
      <c r="A451" s="73" t="s">
        <v>500</v>
      </c>
      <c r="B451" s="76">
        <v>37.81</v>
      </c>
      <c r="C451" s="76">
        <v>8.66</v>
      </c>
      <c r="D451" s="76">
        <v>6.29</v>
      </c>
      <c r="E451" s="76">
        <v>1.15</v>
      </c>
      <c r="F451" s="76">
        <v>0.4</v>
      </c>
      <c r="G451" s="76">
        <v>48.15</v>
      </c>
      <c r="H451" s="76">
        <v>26.52</v>
      </c>
      <c r="I451" s="76">
        <v>15.77</v>
      </c>
      <c r="J451" s="76">
        <v>3.74</v>
      </c>
      <c r="K451" s="76">
        <v>6.34</v>
      </c>
      <c r="L451" s="76">
        <v>2.41</v>
      </c>
      <c r="M451" s="76">
        <v>0.74</v>
      </c>
      <c r="N451" s="76">
        <v>0.99</v>
      </c>
      <c r="O451" s="76">
        <v>-14.76</v>
      </c>
      <c r="P451" s="76">
        <v>-0.46</v>
      </c>
      <c r="Q451" s="76">
        <v>0.82</v>
      </c>
      <c r="R451" s="76">
        <v>18.33</v>
      </c>
      <c r="S451" s="76">
        <v>6.4</v>
      </c>
      <c r="T451" s="76">
        <v>7.19</v>
      </c>
      <c r="U451" s="76">
        <v>0.35</v>
      </c>
      <c r="V451" s="76">
        <v>0.65</v>
      </c>
      <c r="W451" s="76">
        <v>0.41</v>
      </c>
      <c r="X451" s="76">
        <v>10.18</v>
      </c>
      <c r="Y451" s="76">
        <v>14.07</v>
      </c>
      <c r="Z451" s="79">
        <v>1.57E9</v>
      </c>
      <c r="AA451" s="76">
        <v>32.81</v>
      </c>
      <c r="AB451" s="76">
        <v>6.01</v>
      </c>
      <c r="AC451" s="76">
        <v>-0.74</v>
      </c>
      <c r="AD451" s="79">
        <v>5.12478E11</v>
      </c>
      <c r="AE451" s="80"/>
    </row>
    <row r="452">
      <c r="A452" s="73" t="s">
        <v>501</v>
      </c>
      <c r="B452" s="76">
        <v>4.39</v>
      </c>
      <c r="C452" s="76">
        <v>0.0</v>
      </c>
      <c r="D452" s="76">
        <v>543.35</v>
      </c>
      <c r="E452" s="76">
        <v>1.15</v>
      </c>
      <c r="F452" s="76">
        <v>0.5</v>
      </c>
      <c r="G452" s="76">
        <v>47.16</v>
      </c>
      <c r="H452" s="76">
        <v>3.45</v>
      </c>
      <c r="I452" s="76">
        <v>0.1</v>
      </c>
      <c r="J452" s="76">
        <v>16.36</v>
      </c>
      <c r="K452" s="76">
        <v>15.7</v>
      </c>
      <c r="L452" s="76">
        <v>-0.66</v>
      </c>
      <c r="M452" s="76">
        <v>-0.05</v>
      </c>
      <c r="N452" s="76">
        <v>0.56</v>
      </c>
      <c r="O452" s="76">
        <v>3.12</v>
      </c>
      <c r="P452" s="76">
        <v>-0.82</v>
      </c>
      <c r="Q452" s="76">
        <v>1.71</v>
      </c>
      <c r="R452" s="76">
        <v>0.21</v>
      </c>
      <c r="S452" s="76">
        <v>0.09</v>
      </c>
      <c r="T452" s="76">
        <v>5.31</v>
      </c>
      <c r="U452" s="76">
        <v>0.44</v>
      </c>
      <c r="V452" s="76">
        <v>0.56</v>
      </c>
      <c r="W452" s="76">
        <v>0.89</v>
      </c>
      <c r="X452" s="76">
        <v>27.5</v>
      </c>
      <c r="Y452" s="76">
        <v>-31.16</v>
      </c>
      <c r="Z452" s="79">
        <v>2.3680881E7</v>
      </c>
      <c r="AA452" s="76">
        <v>3.8</v>
      </c>
      <c r="AB452" s="76">
        <v>0.01</v>
      </c>
      <c r="AC452" s="76">
        <v>-16.8</v>
      </c>
      <c r="AD452" s="79">
        <v>1.980504205E9</v>
      </c>
      <c r="AE452" s="80"/>
    </row>
    <row r="453">
      <c r="A453" s="73" t="s">
        <v>502</v>
      </c>
      <c r="B453" s="76">
        <v>8.7</v>
      </c>
      <c r="C453" s="76">
        <v>3.75</v>
      </c>
      <c r="D453" s="76">
        <v>9.31</v>
      </c>
      <c r="E453" s="76">
        <v>0.78</v>
      </c>
      <c r="F453" s="76">
        <v>0.19</v>
      </c>
      <c r="G453" s="76">
        <v>14.97</v>
      </c>
      <c r="H453" s="76">
        <v>2.8</v>
      </c>
      <c r="I453" s="76">
        <v>1.03</v>
      </c>
      <c r="J453" s="76">
        <v>3.41</v>
      </c>
      <c r="K453" s="76">
        <v>5.08</v>
      </c>
      <c r="L453" s="76">
        <v>1.67</v>
      </c>
      <c r="M453" s="76">
        <v>0.38</v>
      </c>
      <c r="N453" s="76">
        <v>0.1</v>
      </c>
      <c r="O453" s="76">
        <v>1.2</v>
      </c>
      <c r="P453" s="76">
        <v>-0.64</v>
      </c>
      <c r="Q453" s="76">
        <v>1.29</v>
      </c>
      <c r="R453" s="76">
        <v>8.35</v>
      </c>
      <c r="S453" s="76">
        <v>2.05</v>
      </c>
      <c r="T453" s="76">
        <v>11.63</v>
      </c>
      <c r="U453" s="76">
        <v>0.25</v>
      </c>
      <c r="V453" s="76">
        <v>0.7</v>
      </c>
      <c r="W453" s="76">
        <v>2.0</v>
      </c>
      <c r="X453" s="76">
        <v>16.16</v>
      </c>
      <c r="Y453" s="76">
        <v>57.39</v>
      </c>
      <c r="Z453" s="76">
        <v>2113426.0</v>
      </c>
      <c r="AA453" s="76">
        <v>11.19</v>
      </c>
      <c r="AB453" s="76">
        <v>0.93</v>
      </c>
      <c r="AC453" s="76">
        <v>1.22</v>
      </c>
      <c r="AD453" s="79">
        <v>1.077171125E9</v>
      </c>
      <c r="AE453" s="80"/>
    </row>
    <row r="454">
      <c r="A454" s="73" t="s">
        <v>503</v>
      </c>
      <c r="B454" s="76">
        <v>7.4</v>
      </c>
      <c r="C454" s="76">
        <v>3.48</v>
      </c>
      <c r="D454" s="76">
        <v>25.35</v>
      </c>
      <c r="E454" s="76">
        <v>1.72</v>
      </c>
      <c r="F454" s="76">
        <v>0.53</v>
      </c>
      <c r="G454" s="76">
        <v>32.0</v>
      </c>
      <c r="H454" s="76">
        <v>5.4</v>
      </c>
      <c r="I454" s="76">
        <v>1.36</v>
      </c>
      <c r="J454" s="76">
        <v>6.37</v>
      </c>
      <c r="K454" s="76">
        <v>8.5</v>
      </c>
      <c r="L454" s="76">
        <v>2.13</v>
      </c>
      <c r="M454" s="76">
        <v>0.58</v>
      </c>
      <c r="N454" s="76">
        <v>0.34</v>
      </c>
      <c r="O454" s="76">
        <v>2.64</v>
      </c>
      <c r="P454" s="76">
        <v>-1.19</v>
      </c>
      <c r="Q454" s="76">
        <v>1.57</v>
      </c>
      <c r="R454" s="76">
        <v>6.78</v>
      </c>
      <c r="S454" s="76">
        <v>2.09</v>
      </c>
      <c r="T454" s="76">
        <v>14.33</v>
      </c>
      <c r="U454" s="76">
        <v>0.31</v>
      </c>
      <c r="V454" s="76">
        <v>0.69</v>
      </c>
      <c r="W454" s="76">
        <v>1.54</v>
      </c>
      <c r="X454" s="76">
        <v>14.51</v>
      </c>
      <c r="Y454" s="76">
        <v>0.0</v>
      </c>
      <c r="Z454" s="76">
        <v>3.8878065E7</v>
      </c>
      <c r="AA454" s="76">
        <v>4.3</v>
      </c>
      <c r="AB454" s="76">
        <v>0.29</v>
      </c>
      <c r="AC454" s="76">
        <v>1.46</v>
      </c>
      <c r="AD454" s="79">
        <v>4.903781384E9</v>
      </c>
      <c r="AE454" s="80"/>
    </row>
    <row r="455">
      <c r="A455" s="73" t="s">
        <v>504</v>
      </c>
      <c r="B455" s="76">
        <v>12.8</v>
      </c>
      <c r="C455" s="76">
        <v>5.4</v>
      </c>
      <c r="D455" s="76">
        <v>10.29</v>
      </c>
      <c r="E455" s="76">
        <v>2.44</v>
      </c>
      <c r="F455" s="76">
        <v>0.1</v>
      </c>
      <c r="G455" s="76">
        <v>20.37</v>
      </c>
      <c r="H455" s="76">
        <v>5.51</v>
      </c>
      <c r="I455" s="76">
        <v>5.44</v>
      </c>
      <c r="J455" s="76">
        <v>10.17</v>
      </c>
      <c r="K455" s="76">
        <v>10.26</v>
      </c>
      <c r="L455" s="76">
        <v>0.0</v>
      </c>
      <c r="M455" s="76">
        <v>0.0</v>
      </c>
      <c r="N455" s="76">
        <v>0.56</v>
      </c>
      <c r="O455" s="76">
        <v>-1.53</v>
      </c>
      <c r="P455" s="76">
        <v>-0.1</v>
      </c>
      <c r="Q455" s="76">
        <v>0.11</v>
      </c>
      <c r="R455" s="76">
        <v>23.67</v>
      </c>
      <c r="S455" s="76">
        <v>1.01</v>
      </c>
      <c r="T455" s="76">
        <v>0.0</v>
      </c>
      <c r="U455" s="76">
        <v>0.04</v>
      </c>
      <c r="V455" s="76">
        <v>0.96</v>
      </c>
      <c r="W455" s="76">
        <v>0.19</v>
      </c>
      <c r="X455" s="76">
        <v>25.71</v>
      </c>
      <c r="Y455" s="76">
        <v>0.0</v>
      </c>
      <c r="Z455" s="79">
        <v>182060.4</v>
      </c>
      <c r="AA455" s="76">
        <v>5.25</v>
      </c>
      <c r="AB455" s="76">
        <v>1.24</v>
      </c>
      <c r="AC455" s="76">
        <v>0.06</v>
      </c>
      <c r="AD455" s="79">
        <v>3.068698471E9</v>
      </c>
      <c r="AE455" s="80"/>
    </row>
    <row r="456">
      <c r="A456" s="73" t="s">
        <v>505</v>
      </c>
      <c r="B456" s="76">
        <v>13.03</v>
      </c>
      <c r="C456" s="76">
        <v>6.3</v>
      </c>
      <c r="D456" s="76">
        <v>10.48</v>
      </c>
      <c r="E456" s="76">
        <v>2.48</v>
      </c>
      <c r="F456" s="76">
        <v>0.11</v>
      </c>
      <c r="G456" s="76">
        <v>20.37</v>
      </c>
      <c r="H456" s="76">
        <v>5.51</v>
      </c>
      <c r="I456" s="76">
        <v>5.44</v>
      </c>
      <c r="J456" s="76">
        <v>10.36</v>
      </c>
      <c r="K456" s="76">
        <v>10.26</v>
      </c>
      <c r="L456" s="76">
        <v>0.0</v>
      </c>
      <c r="M456" s="76">
        <v>0.0</v>
      </c>
      <c r="N456" s="76">
        <v>0.57</v>
      </c>
      <c r="O456" s="76">
        <v>-1.55</v>
      </c>
      <c r="P456" s="76">
        <v>-0.11</v>
      </c>
      <c r="Q456" s="76">
        <v>0.11</v>
      </c>
      <c r="R456" s="76">
        <v>23.67</v>
      </c>
      <c r="S456" s="76">
        <v>1.01</v>
      </c>
      <c r="T456" s="76">
        <v>0.0</v>
      </c>
      <c r="U456" s="76">
        <v>0.04</v>
      </c>
      <c r="V456" s="76">
        <v>0.96</v>
      </c>
      <c r="W456" s="76">
        <v>0.19</v>
      </c>
      <c r="X456" s="76">
        <v>25.71</v>
      </c>
      <c r="Y456" s="76">
        <v>0.0</v>
      </c>
      <c r="Z456" s="76">
        <v>6497650.0</v>
      </c>
      <c r="AA456" s="76">
        <v>5.25</v>
      </c>
      <c r="AB456" s="76">
        <v>1.24</v>
      </c>
      <c r="AC456" s="76">
        <v>0.06</v>
      </c>
      <c r="AD456" s="79">
        <v>3.068698471E9</v>
      </c>
      <c r="AE456" s="80"/>
    </row>
    <row r="457">
      <c r="A457" s="73" t="s">
        <v>506</v>
      </c>
      <c r="B457" s="76">
        <v>4.54</v>
      </c>
      <c r="C457" s="76">
        <v>0.0</v>
      </c>
      <c r="D457" s="76">
        <v>-0.32</v>
      </c>
      <c r="E457" s="76">
        <v>-0.08</v>
      </c>
      <c r="F457" s="76">
        <v>0.09</v>
      </c>
      <c r="G457" s="76">
        <v>11.92</v>
      </c>
      <c r="H457" s="77">
        <v>-2.11</v>
      </c>
      <c r="I457" s="77">
        <v>-15.06</v>
      </c>
      <c r="J457" s="76">
        <v>-2.28</v>
      </c>
      <c r="K457" s="76">
        <v>-13.5</v>
      </c>
      <c r="L457" s="76">
        <v>-11.21</v>
      </c>
      <c r="M457" s="76">
        <v>0.0</v>
      </c>
      <c r="N457" s="77">
        <v>0.05</v>
      </c>
      <c r="O457" s="76">
        <v>-0.13</v>
      </c>
      <c r="P457" s="76">
        <v>-0.13</v>
      </c>
      <c r="Q457" s="76">
        <v>0.32</v>
      </c>
      <c r="R457" s="76">
        <v>-26.14</v>
      </c>
      <c r="S457" s="76">
        <v>-27.89</v>
      </c>
      <c r="T457" s="76">
        <v>12.67</v>
      </c>
      <c r="U457" s="76">
        <v>-1.07</v>
      </c>
      <c r="V457" s="76">
        <v>2.07</v>
      </c>
      <c r="W457" s="76">
        <v>1.85</v>
      </c>
      <c r="X457" s="76">
        <v>22.66</v>
      </c>
      <c r="Y457" s="76">
        <v>0.0</v>
      </c>
      <c r="Z457" s="77">
        <v>2066.24</v>
      </c>
      <c r="AA457" s="76">
        <v>-54.21</v>
      </c>
      <c r="AB457" s="76">
        <v>-14.17</v>
      </c>
      <c r="AC457" s="76">
        <v>-0.01</v>
      </c>
      <c r="AD457" s="76">
        <v>5.641139772E7</v>
      </c>
      <c r="AE457" s="74"/>
    </row>
    <row r="458">
      <c r="A458" s="73" t="s">
        <v>507</v>
      </c>
      <c r="B458" s="76">
        <v>16.13</v>
      </c>
      <c r="C458" s="76">
        <v>3.06</v>
      </c>
      <c r="D458" s="76">
        <v>10.4</v>
      </c>
      <c r="E458" s="76">
        <v>3.32</v>
      </c>
      <c r="F458" s="76">
        <v>0.86</v>
      </c>
      <c r="G458" s="76">
        <v>32.41</v>
      </c>
      <c r="H458" s="77">
        <v>16.04</v>
      </c>
      <c r="I458" s="77">
        <v>10.98</v>
      </c>
      <c r="J458" s="76">
        <v>7.12</v>
      </c>
      <c r="K458" s="76">
        <v>7.28</v>
      </c>
      <c r="L458" s="76">
        <v>0.16</v>
      </c>
      <c r="M458" s="76">
        <v>0.08</v>
      </c>
      <c r="N458" s="77">
        <v>1.14</v>
      </c>
      <c r="O458" s="76">
        <v>1.36</v>
      </c>
      <c r="P458" s="76">
        <v>-6.33</v>
      </c>
      <c r="Q458" s="76">
        <v>3.7</v>
      </c>
      <c r="R458" s="76">
        <v>31.96</v>
      </c>
      <c r="S458" s="76">
        <v>8.26</v>
      </c>
      <c r="T458" s="76">
        <v>18.07</v>
      </c>
      <c r="U458" s="76">
        <v>0.26</v>
      </c>
      <c r="V458" s="76">
        <v>0.72</v>
      </c>
      <c r="W458" s="76">
        <v>0.75</v>
      </c>
      <c r="X458" s="76">
        <v>29.22</v>
      </c>
      <c r="Y458" s="76">
        <v>25.34</v>
      </c>
      <c r="Z458" s="77">
        <v>3.1612355E7</v>
      </c>
      <c r="AA458" s="76">
        <v>4.85</v>
      </c>
      <c r="AB458" s="76">
        <v>1.55</v>
      </c>
      <c r="AC458" s="76">
        <v>-1.53</v>
      </c>
      <c r="AD458" s="79">
        <v>3.28892313E9</v>
      </c>
      <c r="AE458" s="80"/>
    </row>
    <row r="459">
      <c r="A459" s="73" t="s">
        <v>508</v>
      </c>
      <c r="B459" s="76">
        <v>0.72</v>
      </c>
      <c r="C459" s="76">
        <v>0.0</v>
      </c>
      <c r="D459" s="76">
        <v>-0.07</v>
      </c>
      <c r="E459" s="76">
        <v>-0.02</v>
      </c>
      <c r="F459" s="76">
        <v>0.06</v>
      </c>
      <c r="G459" s="76">
        <v>-30.88</v>
      </c>
      <c r="H459" s="77">
        <v>-74.88</v>
      </c>
      <c r="I459" s="77">
        <v>-283.89</v>
      </c>
      <c r="J459" s="76">
        <v>-0.25</v>
      </c>
      <c r="K459" s="76">
        <v>-13.21</v>
      </c>
      <c r="L459" s="76">
        <v>-12.96</v>
      </c>
      <c r="M459" s="76">
        <v>0.0</v>
      </c>
      <c r="N459" s="77">
        <v>0.19</v>
      </c>
      <c r="O459" s="76">
        <v>-0.02</v>
      </c>
      <c r="P459" s="76">
        <v>-0.08</v>
      </c>
      <c r="Q459" s="76">
        <v>0.05</v>
      </c>
      <c r="R459" s="76">
        <v>-23.04</v>
      </c>
      <c r="S459" s="76">
        <v>-98.35</v>
      </c>
      <c r="T459" s="76">
        <v>29.61</v>
      </c>
      <c r="U459" s="76">
        <v>-4.27</v>
      </c>
      <c r="V459" s="76">
        <v>5.27</v>
      </c>
      <c r="W459" s="76">
        <v>0.35</v>
      </c>
      <c r="X459" s="76">
        <v>-38.5</v>
      </c>
      <c r="Y459" s="76">
        <v>0.0</v>
      </c>
      <c r="Z459" s="77">
        <v>3162417.0</v>
      </c>
      <c r="AA459" s="76">
        <v>-47.74</v>
      </c>
      <c r="AB459" s="76">
        <v>-11.0</v>
      </c>
      <c r="AC459" s="76">
        <v>0.02</v>
      </c>
      <c r="AD459" s="79">
        <v>1.004073422E8</v>
      </c>
      <c r="AE459" s="80"/>
    </row>
    <row r="460">
      <c r="A460" s="73" t="s">
        <v>509</v>
      </c>
      <c r="B460" s="76">
        <v>15.91</v>
      </c>
      <c r="C460" s="76">
        <v>2.17</v>
      </c>
      <c r="D460" s="76">
        <v>21.2</v>
      </c>
      <c r="E460" s="76">
        <v>1.89</v>
      </c>
      <c r="F460" s="76">
        <v>0.67</v>
      </c>
      <c r="G460" s="76">
        <v>32.22</v>
      </c>
      <c r="H460" s="76">
        <v>4.47</v>
      </c>
      <c r="I460" s="76">
        <v>2.13</v>
      </c>
      <c r="J460" s="76">
        <v>10.12</v>
      </c>
      <c r="K460" s="76">
        <v>14.4</v>
      </c>
      <c r="L460" s="76">
        <v>4.28</v>
      </c>
      <c r="M460" s="76">
        <v>0.8</v>
      </c>
      <c r="N460" s="76">
        <v>0.45</v>
      </c>
      <c r="O460" s="76">
        <v>2.34</v>
      </c>
      <c r="P460" s="76">
        <v>-1.66</v>
      </c>
      <c r="Q460" s="76">
        <v>1.91</v>
      </c>
      <c r="R460" s="76">
        <v>8.93</v>
      </c>
      <c r="S460" s="76">
        <v>3.15</v>
      </c>
      <c r="T460" s="76">
        <v>7.43</v>
      </c>
      <c r="U460" s="76">
        <v>0.35</v>
      </c>
      <c r="V460" s="76">
        <v>0.65</v>
      </c>
      <c r="W460" s="76">
        <v>1.48</v>
      </c>
      <c r="X460" s="76">
        <v>12.65</v>
      </c>
      <c r="Y460" s="76">
        <v>8.01</v>
      </c>
      <c r="Z460" s="76">
        <v>1.2591551E7</v>
      </c>
      <c r="AA460" s="76">
        <v>8.41</v>
      </c>
      <c r="AB460" s="76">
        <v>0.75</v>
      </c>
      <c r="AC460" s="76">
        <v>2.37</v>
      </c>
      <c r="AD460" s="79">
        <v>2.392505723E9</v>
      </c>
      <c r="AE460" s="80"/>
    </row>
    <row r="461">
      <c r="A461" s="73" t="s">
        <v>510</v>
      </c>
      <c r="B461" s="76">
        <v>18.62</v>
      </c>
      <c r="C461" s="76">
        <v>0.0</v>
      </c>
      <c r="D461" s="76">
        <v>24.82</v>
      </c>
      <c r="E461" s="76">
        <v>2.21</v>
      </c>
      <c r="F461" s="76">
        <v>0.78</v>
      </c>
      <c r="G461" s="76">
        <v>32.22</v>
      </c>
      <c r="H461" s="76">
        <v>4.47</v>
      </c>
      <c r="I461" s="76">
        <v>2.13</v>
      </c>
      <c r="J461" s="76">
        <v>11.84</v>
      </c>
      <c r="K461" s="76">
        <v>14.4</v>
      </c>
      <c r="L461" s="76">
        <v>4.28</v>
      </c>
      <c r="M461" s="76">
        <v>0.8</v>
      </c>
      <c r="N461" s="76">
        <v>0.53</v>
      </c>
      <c r="O461" s="76">
        <v>2.74</v>
      </c>
      <c r="P461" s="76">
        <v>-1.95</v>
      </c>
      <c r="Q461" s="76">
        <v>1.91</v>
      </c>
      <c r="R461" s="76">
        <v>8.93</v>
      </c>
      <c r="S461" s="76">
        <v>3.15</v>
      </c>
      <c r="T461" s="76">
        <v>7.43</v>
      </c>
      <c r="U461" s="76">
        <v>0.35</v>
      </c>
      <c r="V461" s="76">
        <v>0.65</v>
      </c>
      <c r="W461" s="76">
        <v>1.48</v>
      </c>
      <c r="X461" s="76">
        <v>12.65</v>
      </c>
      <c r="Y461" s="76">
        <v>8.01</v>
      </c>
      <c r="Z461" s="76">
        <v>0.0</v>
      </c>
      <c r="AA461" s="76">
        <v>8.41</v>
      </c>
      <c r="AB461" s="76">
        <v>0.75</v>
      </c>
      <c r="AC461" s="76">
        <v>2.77</v>
      </c>
      <c r="AD461" s="79">
        <v>2.392505723E9</v>
      </c>
      <c r="AE461" s="80"/>
    </row>
    <row r="462">
      <c r="A462" s="73" t="s">
        <v>511</v>
      </c>
      <c r="B462" s="76">
        <v>6.35</v>
      </c>
      <c r="C462" s="76">
        <v>19.84</v>
      </c>
      <c r="D462" s="76">
        <v>6.6</v>
      </c>
      <c r="E462" s="76">
        <v>1.83</v>
      </c>
      <c r="F462" s="76">
        <v>0.81</v>
      </c>
      <c r="G462" s="76">
        <v>25.19</v>
      </c>
      <c r="H462" s="76">
        <v>15.1</v>
      </c>
      <c r="I462" s="76">
        <v>13.14</v>
      </c>
      <c r="J462" s="76">
        <v>5.74</v>
      </c>
      <c r="K462" s="76">
        <v>6.76</v>
      </c>
      <c r="L462" s="76">
        <v>0.92</v>
      </c>
      <c r="M462" s="76">
        <v>0.29</v>
      </c>
      <c r="N462" s="76">
        <v>0.87</v>
      </c>
      <c r="O462" s="76">
        <v>2.77</v>
      </c>
      <c r="P462" s="76">
        <v>-2.11</v>
      </c>
      <c r="Q462" s="76">
        <v>1.91</v>
      </c>
      <c r="R462" s="76">
        <v>27.78</v>
      </c>
      <c r="S462" s="76">
        <v>12.3</v>
      </c>
      <c r="T462" s="76">
        <v>12.81</v>
      </c>
      <c r="U462" s="76">
        <v>0.44</v>
      </c>
      <c r="V462" s="76">
        <v>0.55</v>
      </c>
      <c r="W462" s="76">
        <v>0.94</v>
      </c>
      <c r="X462" s="76">
        <v>14.78</v>
      </c>
      <c r="Y462" s="76">
        <v>42.97</v>
      </c>
      <c r="Z462" s="76">
        <v>4419178.0</v>
      </c>
      <c r="AA462" s="76">
        <v>3.46</v>
      </c>
      <c r="AB462" s="76">
        <v>0.96</v>
      </c>
      <c r="AC462" s="76">
        <v>1.73</v>
      </c>
      <c r="AD462" s="79">
        <v>8.080667601E9</v>
      </c>
      <c r="AE462" s="80"/>
    </row>
    <row r="463">
      <c r="A463" s="73" t="s">
        <v>512</v>
      </c>
      <c r="B463" s="76">
        <v>6.53</v>
      </c>
      <c r="C463" s="76">
        <v>19.3</v>
      </c>
      <c r="D463" s="76">
        <v>6.78</v>
      </c>
      <c r="E463" s="76">
        <v>1.88</v>
      </c>
      <c r="F463" s="76">
        <v>0.83</v>
      </c>
      <c r="G463" s="76">
        <v>25.19</v>
      </c>
      <c r="H463" s="76">
        <v>15.1</v>
      </c>
      <c r="I463" s="76">
        <v>13.14</v>
      </c>
      <c r="J463" s="76">
        <v>5.9</v>
      </c>
      <c r="K463" s="76">
        <v>6.76</v>
      </c>
      <c r="L463" s="76">
        <v>0.92</v>
      </c>
      <c r="M463" s="76">
        <v>0.29</v>
      </c>
      <c r="N463" s="76">
        <v>0.89</v>
      </c>
      <c r="O463" s="76">
        <v>2.85</v>
      </c>
      <c r="P463" s="76">
        <v>-2.17</v>
      </c>
      <c r="Q463" s="76">
        <v>1.91</v>
      </c>
      <c r="R463" s="76">
        <v>27.78</v>
      </c>
      <c r="S463" s="76">
        <v>12.3</v>
      </c>
      <c r="T463" s="77">
        <v>12.81</v>
      </c>
      <c r="U463" s="76">
        <v>0.44</v>
      </c>
      <c r="V463" s="76">
        <v>0.55</v>
      </c>
      <c r="W463" s="76">
        <v>0.94</v>
      </c>
      <c r="X463" s="76">
        <v>14.78</v>
      </c>
      <c r="Y463" s="76">
        <v>42.97</v>
      </c>
      <c r="Z463" s="79">
        <v>7.0129994E7</v>
      </c>
      <c r="AA463" s="76">
        <v>3.46</v>
      </c>
      <c r="AB463" s="76">
        <v>0.96</v>
      </c>
      <c r="AC463" s="76">
        <v>1.78</v>
      </c>
      <c r="AD463" s="79">
        <v>8.080667601E9</v>
      </c>
      <c r="AE463" s="80"/>
    </row>
    <row r="464">
      <c r="A464" s="73" t="s">
        <v>513</v>
      </c>
      <c r="B464" s="76">
        <v>18.76</v>
      </c>
      <c r="C464" s="76">
        <v>4.1</v>
      </c>
      <c r="D464" s="76">
        <v>12.36</v>
      </c>
      <c r="E464" s="76">
        <v>3.01</v>
      </c>
      <c r="F464" s="76">
        <v>1.3</v>
      </c>
      <c r="G464" s="76">
        <v>48.59</v>
      </c>
      <c r="H464" s="76">
        <v>33.87</v>
      </c>
      <c r="I464" s="76">
        <v>21.21</v>
      </c>
      <c r="J464" s="76">
        <v>7.74</v>
      </c>
      <c r="K464" s="76">
        <v>9.79</v>
      </c>
      <c r="L464" s="76">
        <v>2.05</v>
      </c>
      <c r="M464" s="76">
        <v>0.8</v>
      </c>
      <c r="N464" s="76">
        <v>2.62</v>
      </c>
      <c r="O464" s="76">
        <v>-299.82</v>
      </c>
      <c r="P464" s="76">
        <v>-1.57</v>
      </c>
      <c r="Q464" s="76">
        <v>0.97</v>
      </c>
      <c r="R464" s="76">
        <v>24.37</v>
      </c>
      <c r="S464" s="76">
        <v>10.56</v>
      </c>
      <c r="T464" s="77">
        <v>15.74</v>
      </c>
      <c r="U464" s="76">
        <v>0.43</v>
      </c>
      <c r="V464" s="76">
        <v>0.57</v>
      </c>
      <c r="W464" s="76">
        <v>0.5</v>
      </c>
      <c r="X464" s="76">
        <v>12.8</v>
      </c>
      <c r="Y464" s="76">
        <v>42.19</v>
      </c>
      <c r="Z464" s="77">
        <v>1155515.0</v>
      </c>
      <c r="AA464" s="76">
        <v>6.23</v>
      </c>
      <c r="AB464" s="76">
        <v>1.52</v>
      </c>
      <c r="AC464" s="76">
        <v>0.3</v>
      </c>
      <c r="AD464" s="79">
        <v>8.309402444E9</v>
      </c>
      <c r="AE464" s="80"/>
    </row>
    <row r="465">
      <c r="A465" s="73" t="s">
        <v>514</v>
      </c>
      <c r="B465" s="76">
        <v>4.04</v>
      </c>
      <c r="C465" s="76">
        <v>11.22</v>
      </c>
      <c r="D465" s="76">
        <v>-1446.65</v>
      </c>
      <c r="E465" s="76">
        <v>0.36</v>
      </c>
      <c r="F465" s="76">
        <v>0.13</v>
      </c>
      <c r="G465" s="76">
        <v>25.6</v>
      </c>
      <c r="H465" s="76">
        <v>6.45</v>
      </c>
      <c r="I465" s="76">
        <v>-0.01</v>
      </c>
      <c r="J465" s="76">
        <v>2.59</v>
      </c>
      <c r="K465" s="76">
        <v>5.04</v>
      </c>
      <c r="L465" s="76">
        <v>2.44</v>
      </c>
      <c r="M465" s="76">
        <v>0.34</v>
      </c>
      <c r="N465" s="76">
        <v>0.17</v>
      </c>
      <c r="O465" s="76">
        <v>0.48</v>
      </c>
      <c r="P465" s="76">
        <v>-0.38</v>
      </c>
      <c r="Q465" s="76">
        <v>1.69</v>
      </c>
      <c r="R465" s="76">
        <v>-0.02</v>
      </c>
      <c r="S465" s="76">
        <v>-0.01</v>
      </c>
      <c r="T465" s="76">
        <v>6.9</v>
      </c>
      <c r="U465" s="76">
        <v>0.36</v>
      </c>
      <c r="V465" s="76">
        <v>0.64</v>
      </c>
      <c r="W465" s="76">
        <v>0.77</v>
      </c>
      <c r="X465" s="76">
        <v>14.0</v>
      </c>
      <c r="Y465" s="76">
        <v>0.0</v>
      </c>
      <c r="Z465" s="79">
        <v>6662684.0</v>
      </c>
      <c r="AA465" s="76">
        <v>11.26</v>
      </c>
      <c r="AB465" s="76">
        <v>0.0</v>
      </c>
      <c r="AC465" s="76">
        <v>14.44</v>
      </c>
      <c r="AD465" s="79">
        <v>5.72872E8</v>
      </c>
      <c r="AE465" s="80"/>
    </row>
    <row r="466">
      <c r="A466" s="73" t="s">
        <v>515</v>
      </c>
      <c r="B466" s="76">
        <v>10.9</v>
      </c>
      <c r="C466" s="76">
        <v>0.0</v>
      </c>
      <c r="D466" s="76">
        <v>23.92</v>
      </c>
      <c r="E466" s="76">
        <v>0.99</v>
      </c>
      <c r="F466" s="76">
        <v>0.38</v>
      </c>
      <c r="G466" s="76">
        <v>6.82</v>
      </c>
      <c r="H466" s="76">
        <v>3.52</v>
      </c>
      <c r="I466" s="76">
        <v>2.59</v>
      </c>
      <c r="J466" s="76">
        <v>17.55</v>
      </c>
      <c r="K466" s="76">
        <v>10.6</v>
      </c>
      <c r="L466" s="76">
        <v>-6.96</v>
      </c>
      <c r="M466" s="76">
        <v>-0.39</v>
      </c>
      <c r="N466" s="76">
        <v>0.62</v>
      </c>
      <c r="O466" s="76">
        <v>6.57</v>
      </c>
      <c r="P466" s="76">
        <v>-0.74</v>
      </c>
      <c r="Q466" s="76">
        <v>1.13</v>
      </c>
      <c r="R466" s="76">
        <v>4.13</v>
      </c>
      <c r="S466" s="76">
        <v>1.58</v>
      </c>
      <c r="T466" s="76">
        <v>3.81</v>
      </c>
      <c r="U466" s="76">
        <v>0.38</v>
      </c>
      <c r="V466" s="76">
        <v>0.62</v>
      </c>
      <c r="W466" s="76">
        <v>0.61</v>
      </c>
      <c r="X466" s="76">
        <v>0.0</v>
      </c>
      <c r="Y466" s="76">
        <v>0.0</v>
      </c>
      <c r="Z466" s="79">
        <v>0.0</v>
      </c>
      <c r="AA466" s="76">
        <v>11.02</v>
      </c>
      <c r="AB466" s="76">
        <v>0.46</v>
      </c>
      <c r="AC466" s="76">
        <v>-1.77</v>
      </c>
      <c r="AD466" s="79">
        <v>9.772379304E8</v>
      </c>
      <c r="AE466" s="80"/>
    </row>
    <row r="467">
      <c r="A467" s="73" t="s">
        <v>516</v>
      </c>
      <c r="B467" s="76">
        <v>14.6</v>
      </c>
      <c r="C467" s="76">
        <v>80.13</v>
      </c>
      <c r="D467" s="76">
        <v>1.58</v>
      </c>
      <c r="E467" s="76">
        <v>0.07</v>
      </c>
      <c r="F467" s="76">
        <v>0.05</v>
      </c>
      <c r="G467" s="76">
        <v>0.0</v>
      </c>
      <c r="H467" s="76">
        <v>0.0</v>
      </c>
      <c r="I467" s="76">
        <v>0.0</v>
      </c>
      <c r="J467" s="76">
        <v>1.45</v>
      </c>
      <c r="K467" s="76">
        <v>-0.4</v>
      </c>
      <c r="L467" s="76">
        <v>-1.85</v>
      </c>
      <c r="M467" s="76">
        <v>-0.09</v>
      </c>
      <c r="N467" s="76">
        <v>0.0</v>
      </c>
      <c r="O467" s="76">
        <v>0.77</v>
      </c>
      <c r="P467" s="76">
        <v>-0.05</v>
      </c>
      <c r="Q467" s="76">
        <v>80.81</v>
      </c>
      <c r="R467" s="76">
        <v>4.38</v>
      </c>
      <c r="S467" s="76">
        <v>3.14</v>
      </c>
      <c r="T467" s="76">
        <v>3.76</v>
      </c>
      <c r="U467" s="76">
        <v>0.72</v>
      </c>
      <c r="V467" s="76">
        <v>0.28</v>
      </c>
      <c r="W467" s="76">
        <v>0.0</v>
      </c>
      <c r="X467" s="76">
        <v>0.0</v>
      </c>
      <c r="Y467" s="76">
        <v>35.18</v>
      </c>
      <c r="Z467" s="79">
        <v>0.0</v>
      </c>
      <c r="AA467" s="76">
        <v>211.21</v>
      </c>
      <c r="AB467" s="76">
        <v>9.25</v>
      </c>
      <c r="AC467" s="76">
        <v>0.06</v>
      </c>
      <c r="AD467" s="79">
        <v>3241214.6</v>
      </c>
      <c r="AE467" s="80"/>
    </row>
    <row r="468">
      <c r="A468" s="73" t="s">
        <v>517</v>
      </c>
      <c r="B468" s="76">
        <v>0.0</v>
      </c>
      <c r="C468" s="76">
        <v>0.0</v>
      </c>
      <c r="D468" s="76">
        <v>0.0</v>
      </c>
      <c r="E468" s="76">
        <v>0.0</v>
      </c>
      <c r="F468" s="76">
        <v>0.0</v>
      </c>
      <c r="G468" s="76">
        <v>0.0</v>
      </c>
      <c r="H468" s="76">
        <v>0.0</v>
      </c>
      <c r="I468" s="76">
        <v>0.0</v>
      </c>
      <c r="J468" s="76">
        <v>0.0</v>
      </c>
      <c r="K468" s="76">
        <v>-0.4</v>
      </c>
      <c r="L468" s="76">
        <v>-1.85</v>
      </c>
      <c r="M468" s="76">
        <v>-0.09</v>
      </c>
      <c r="N468" s="76">
        <v>0.0</v>
      </c>
      <c r="O468" s="76">
        <v>0.0</v>
      </c>
      <c r="P468" s="76">
        <v>0.0</v>
      </c>
      <c r="Q468" s="76">
        <v>80.81</v>
      </c>
      <c r="R468" s="76">
        <v>4.38</v>
      </c>
      <c r="S468" s="76">
        <v>3.14</v>
      </c>
      <c r="T468" s="76">
        <v>3.76</v>
      </c>
      <c r="U468" s="76">
        <v>0.72</v>
      </c>
      <c r="V468" s="76">
        <v>0.28</v>
      </c>
      <c r="W468" s="76">
        <v>0.0</v>
      </c>
      <c r="X468" s="76">
        <v>0.0</v>
      </c>
      <c r="Y468" s="76">
        <v>35.18</v>
      </c>
      <c r="Z468" s="76">
        <v>0.0</v>
      </c>
      <c r="AA468" s="76">
        <v>211.21</v>
      </c>
      <c r="AB468" s="76">
        <v>9.25</v>
      </c>
      <c r="AC468" s="76">
        <v>0.0</v>
      </c>
      <c r="AD468" s="76">
        <v>3241214.6</v>
      </c>
      <c r="AE468" s="74"/>
    </row>
    <row r="469">
      <c r="A469" s="73" t="s">
        <v>518</v>
      </c>
      <c r="B469" s="76">
        <v>0.51</v>
      </c>
      <c r="C469" s="76">
        <v>0.0</v>
      </c>
      <c r="D469" s="76">
        <v>0.24</v>
      </c>
      <c r="E469" s="76">
        <v>143.55</v>
      </c>
      <c r="F469" s="76">
        <v>1.75</v>
      </c>
      <c r="G469" s="76">
        <v>0.0</v>
      </c>
      <c r="H469" s="76">
        <v>0.0</v>
      </c>
      <c r="I469" s="76">
        <v>0.0</v>
      </c>
      <c r="J469" s="76">
        <v>0.24</v>
      </c>
      <c r="K469" s="76">
        <v>0.24</v>
      </c>
      <c r="L469" s="76">
        <v>0.0</v>
      </c>
      <c r="M469" s="76">
        <v>0.0</v>
      </c>
      <c r="N469" s="76">
        <v>0.0</v>
      </c>
      <c r="O469" s="76">
        <v>0.0</v>
      </c>
      <c r="P469" s="76">
        <v>-143.55</v>
      </c>
      <c r="Q469" s="76">
        <v>1.0</v>
      </c>
      <c r="R469" s="76">
        <v>59960.0</v>
      </c>
      <c r="S469" s="76">
        <v>732.11</v>
      </c>
      <c r="T469" s="76">
        <v>59960.0</v>
      </c>
      <c r="U469" s="76">
        <v>0.01</v>
      </c>
      <c r="V469" s="76">
        <v>0.99</v>
      </c>
      <c r="W469" s="76">
        <v>0.0</v>
      </c>
      <c r="X469" s="76">
        <v>0.0</v>
      </c>
      <c r="Y469" s="76">
        <v>0.0</v>
      </c>
      <c r="Z469" s="79">
        <v>1872.24</v>
      </c>
      <c r="AA469" s="76">
        <v>0.0</v>
      </c>
      <c r="AB469" s="76">
        <v>2.13</v>
      </c>
      <c r="AC469" s="76">
        <v>0.0</v>
      </c>
      <c r="AD469" s="79">
        <v>1435479.66</v>
      </c>
      <c r="AE469" s="80"/>
    </row>
    <row r="470">
      <c r="A470" s="73" t="s">
        <v>519</v>
      </c>
      <c r="B470" s="76">
        <v>54.93</v>
      </c>
      <c r="C470" s="76">
        <v>0.0</v>
      </c>
      <c r="D470" s="76">
        <v>4.77</v>
      </c>
      <c r="E470" s="76">
        <v>1.85</v>
      </c>
      <c r="F470" s="76">
        <v>0.8</v>
      </c>
      <c r="G470" s="76">
        <v>30.43</v>
      </c>
      <c r="H470" s="76">
        <v>22.33</v>
      </c>
      <c r="I470" s="76">
        <v>70.19</v>
      </c>
      <c r="J470" s="76">
        <v>14.99</v>
      </c>
      <c r="K470" s="76">
        <v>20.59</v>
      </c>
      <c r="L470" s="76">
        <v>5.6</v>
      </c>
      <c r="M470" s="76">
        <v>0.69</v>
      </c>
      <c r="N470" s="76">
        <v>3.35</v>
      </c>
      <c r="O470" s="76">
        <v>6.43</v>
      </c>
      <c r="P470" s="76">
        <v>-1.04</v>
      </c>
      <c r="Q470" s="76">
        <v>2.21</v>
      </c>
      <c r="R470" s="76">
        <v>38.74</v>
      </c>
      <c r="S470" s="76">
        <v>16.83</v>
      </c>
      <c r="T470" s="76">
        <v>-10.36</v>
      </c>
      <c r="U470" s="76">
        <v>0.43</v>
      </c>
      <c r="V470" s="76">
        <v>0.57</v>
      </c>
      <c r="W470" s="76">
        <v>0.24</v>
      </c>
      <c r="X470" s="76">
        <v>54.25</v>
      </c>
      <c r="Y470" s="76">
        <v>73.69</v>
      </c>
      <c r="Z470" s="79">
        <v>5.81E8</v>
      </c>
      <c r="AA470" s="76">
        <v>29.74</v>
      </c>
      <c r="AB470" s="76">
        <v>11.52</v>
      </c>
      <c r="AC470" s="76">
        <v>0.05</v>
      </c>
      <c r="AD470" s="79">
        <v>4.7926164797E10</v>
      </c>
      <c r="AE470" s="80"/>
    </row>
    <row r="471">
      <c r="A471" s="73" t="s">
        <v>520</v>
      </c>
      <c r="B471" s="76">
        <v>21.5</v>
      </c>
      <c r="C471" s="76">
        <v>0.23</v>
      </c>
      <c r="D471" s="76">
        <v>212.27</v>
      </c>
      <c r="E471" s="76">
        <v>2.49</v>
      </c>
      <c r="F471" s="76">
        <v>0.78</v>
      </c>
      <c r="G471" s="76">
        <v>21.33</v>
      </c>
      <c r="H471" s="76">
        <v>7.48</v>
      </c>
      <c r="I471" s="76">
        <v>0.38</v>
      </c>
      <c r="J471" s="76">
        <v>10.79</v>
      </c>
      <c r="K471" s="76">
        <v>12.6</v>
      </c>
      <c r="L471" s="76">
        <v>1.8</v>
      </c>
      <c r="M471" s="76">
        <v>0.42</v>
      </c>
      <c r="N471" s="76">
        <v>0.81</v>
      </c>
      <c r="O471" s="76">
        <v>2.23</v>
      </c>
      <c r="P471" s="76">
        <v>-1.96</v>
      </c>
      <c r="Q471" s="76">
        <v>2.42</v>
      </c>
      <c r="R471" s="76">
        <v>1.17</v>
      </c>
      <c r="S471" s="76">
        <v>0.37</v>
      </c>
      <c r="T471" s="76">
        <v>8.24</v>
      </c>
      <c r="U471" s="76">
        <v>0.32</v>
      </c>
      <c r="V471" s="76">
        <v>0.67</v>
      </c>
      <c r="W471" s="76">
        <v>0.97</v>
      </c>
      <c r="X471" s="76">
        <v>25.85</v>
      </c>
      <c r="Y471" s="76">
        <v>0.0</v>
      </c>
      <c r="Z471" s="76">
        <v>9836445.0</v>
      </c>
      <c r="AA471" s="76">
        <v>8.64</v>
      </c>
      <c r="AB471" s="76">
        <v>0.1</v>
      </c>
      <c r="AC471" s="76">
        <v>0.99</v>
      </c>
      <c r="AD471" s="79">
        <v>1.219496276E9</v>
      </c>
      <c r="AE471" s="80"/>
    </row>
    <row r="472">
      <c r="A472" s="73" t="s">
        <v>521</v>
      </c>
      <c r="B472" s="76">
        <v>51.92</v>
      </c>
      <c r="C472" s="76">
        <v>4.99</v>
      </c>
      <c r="D472" s="76">
        <v>9.93</v>
      </c>
      <c r="E472" s="76">
        <v>2.12</v>
      </c>
      <c r="F472" s="76">
        <v>0.6</v>
      </c>
      <c r="G472" s="76">
        <v>100.0</v>
      </c>
      <c r="H472" s="76">
        <v>7.52</v>
      </c>
      <c r="I472" s="76">
        <v>8.27</v>
      </c>
      <c r="J472" s="76">
        <v>10.92</v>
      </c>
      <c r="K472" s="76">
        <v>6.88</v>
      </c>
      <c r="L472" s="76">
        <v>-4.05</v>
      </c>
      <c r="M472" s="76">
        <v>-0.78</v>
      </c>
      <c r="N472" s="76">
        <v>0.82</v>
      </c>
      <c r="O472" s="76">
        <v>4.98</v>
      </c>
      <c r="P472" s="76">
        <v>-1.49</v>
      </c>
      <c r="Q472" s="76">
        <v>1.25</v>
      </c>
      <c r="R472" s="76">
        <v>21.3</v>
      </c>
      <c r="S472" s="76">
        <v>6.05</v>
      </c>
      <c r="T472" s="76">
        <v>11.72</v>
      </c>
      <c r="U472" s="76">
        <v>0.28</v>
      </c>
      <c r="V472" s="76">
        <v>0.72</v>
      </c>
      <c r="W472" s="76">
        <v>0.73</v>
      </c>
      <c r="X472" s="76">
        <v>17.03</v>
      </c>
      <c r="Y472" s="76">
        <v>14.9</v>
      </c>
      <c r="Z472" s="79">
        <v>1.19E8</v>
      </c>
      <c r="AA472" s="76">
        <v>24.55</v>
      </c>
      <c r="AB472" s="76">
        <v>5.23</v>
      </c>
      <c r="AC472" s="76">
        <v>0.36</v>
      </c>
      <c r="AD472" s="79">
        <v>3.3570748235E10</v>
      </c>
      <c r="AE472" s="80"/>
    </row>
    <row r="473">
      <c r="A473" s="73" t="s">
        <v>522</v>
      </c>
      <c r="B473" s="76">
        <v>3.25</v>
      </c>
      <c r="C473" s="76">
        <v>0.0</v>
      </c>
      <c r="D473" s="76">
        <v>-2.41</v>
      </c>
      <c r="E473" s="76">
        <v>2.36</v>
      </c>
      <c r="F473" s="76">
        <v>0.13</v>
      </c>
      <c r="G473" s="76">
        <v>35.85</v>
      </c>
      <c r="H473" s="76">
        <v>4.09</v>
      </c>
      <c r="I473" s="76">
        <v>-7.34</v>
      </c>
      <c r="J473" s="76">
        <v>4.31</v>
      </c>
      <c r="K473" s="76">
        <v>14.04</v>
      </c>
      <c r="L473" s="76">
        <v>9.73</v>
      </c>
      <c r="M473" s="76">
        <v>5.31</v>
      </c>
      <c r="N473" s="76">
        <v>0.18</v>
      </c>
      <c r="O473" s="76">
        <v>-7.72</v>
      </c>
      <c r="P473" s="76">
        <v>-0.2</v>
      </c>
      <c r="Q473" s="76">
        <v>0.96</v>
      </c>
      <c r="R473" s="76">
        <v>-97.87</v>
      </c>
      <c r="S473" s="76">
        <v>-5.34</v>
      </c>
      <c r="T473" s="76">
        <v>5.87</v>
      </c>
      <c r="U473" s="76">
        <v>0.05</v>
      </c>
      <c r="V473" s="76">
        <v>0.95</v>
      </c>
      <c r="W473" s="76">
        <v>0.73</v>
      </c>
      <c r="X473" s="76">
        <v>16.66</v>
      </c>
      <c r="Y473" s="76">
        <v>0.0</v>
      </c>
      <c r="Z473" s="76">
        <v>887835.4</v>
      </c>
      <c r="AA473" s="76">
        <v>1.38</v>
      </c>
      <c r="AB473" s="76">
        <v>-1.35</v>
      </c>
      <c r="AC473" s="76">
        <v>0.0</v>
      </c>
      <c r="AD473" s="79">
        <v>4.582073795E8</v>
      </c>
      <c r="AE473" s="80"/>
    </row>
    <row r="474">
      <c r="A474" s="73" t="s">
        <v>523</v>
      </c>
      <c r="B474" s="76">
        <v>0.0</v>
      </c>
      <c r="C474" s="76">
        <v>0.0</v>
      </c>
      <c r="D474" s="76">
        <v>0.0</v>
      </c>
      <c r="E474" s="76">
        <v>0.0</v>
      </c>
      <c r="F474" s="76">
        <v>0.0</v>
      </c>
      <c r="G474" s="76">
        <v>47.58</v>
      </c>
      <c r="H474" s="76">
        <v>10.09</v>
      </c>
      <c r="I474" s="76">
        <v>6.67</v>
      </c>
      <c r="J474" s="76">
        <v>0.0</v>
      </c>
      <c r="K474" s="76">
        <v>1.72</v>
      </c>
      <c r="L474" s="76">
        <v>1.72</v>
      </c>
      <c r="M474" s="76">
        <v>0.56</v>
      </c>
      <c r="N474" s="76">
        <v>0.0</v>
      </c>
      <c r="O474" s="76">
        <v>0.0</v>
      </c>
      <c r="P474" s="76">
        <v>0.0</v>
      </c>
      <c r="Q474" s="76">
        <v>1.95</v>
      </c>
      <c r="R474" s="76">
        <v>21.49</v>
      </c>
      <c r="S474" s="76">
        <v>8.56</v>
      </c>
      <c r="T474" s="76">
        <v>14.16</v>
      </c>
      <c r="U474" s="76">
        <v>0.4</v>
      </c>
      <c r="V474" s="76">
        <v>0.6</v>
      </c>
      <c r="W474" s="76">
        <v>1.28</v>
      </c>
      <c r="X474" s="76">
        <v>19.72</v>
      </c>
      <c r="Y474" s="76">
        <v>24.8</v>
      </c>
      <c r="Z474" s="76">
        <v>0.0</v>
      </c>
      <c r="AA474" s="76">
        <v>33.71</v>
      </c>
      <c r="AB474" s="76">
        <v>7.25</v>
      </c>
      <c r="AC474" s="76">
        <v>0.0</v>
      </c>
      <c r="AD474" s="79">
        <v>0.0</v>
      </c>
      <c r="AE474" s="80"/>
    </row>
    <row r="475">
      <c r="A475" s="73" t="s">
        <v>524</v>
      </c>
      <c r="B475" s="76">
        <v>0.0</v>
      </c>
      <c r="C475" s="76">
        <v>0.0</v>
      </c>
      <c r="D475" s="76">
        <v>0.0</v>
      </c>
      <c r="E475" s="76">
        <v>0.0</v>
      </c>
      <c r="F475" s="76">
        <v>0.0</v>
      </c>
      <c r="G475" s="76">
        <v>47.58</v>
      </c>
      <c r="H475" s="76">
        <v>10.09</v>
      </c>
      <c r="I475" s="76">
        <v>6.67</v>
      </c>
      <c r="J475" s="76">
        <v>0.0</v>
      </c>
      <c r="K475" s="76">
        <v>1.72</v>
      </c>
      <c r="L475" s="76">
        <v>1.72</v>
      </c>
      <c r="M475" s="76">
        <v>0.56</v>
      </c>
      <c r="N475" s="76">
        <v>0.0</v>
      </c>
      <c r="O475" s="76">
        <v>0.0</v>
      </c>
      <c r="P475" s="76">
        <v>0.0</v>
      </c>
      <c r="Q475" s="76">
        <v>1.95</v>
      </c>
      <c r="R475" s="76">
        <v>21.49</v>
      </c>
      <c r="S475" s="76">
        <v>8.56</v>
      </c>
      <c r="T475" s="76">
        <v>14.16</v>
      </c>
      <c r="U475" s="76">
        <v>0.4</v>
      </c>
      <c r="V475" s="76">
        <v>0.6</v>
      </c>
      <c r="W475" s="76">
        <v>1.28</v>
      </c>
      <c r="X475" s="76">
        <v>19.72</v>
      </c>
      <c r="Y475" s="76">
        <v>24.8</v>
      </c>
      <c r="Z475" s="76">
        <v>0.0</v>
      </c>
      <c r="AA475" s="76">
        <v>33.71</v>
      </c>
      <c r="AB475" s="76">
        <v>7.25</v>
      </c>
      <c r="AC475" s="76">
        <v>0.0</v>
      </c>
      <c r="AD475" s="79">
        <v>0.0</v>
      </c>
      <c r="AE475" s="80"/>
    </row>
    <row r="476">
      <c r="A476" s="73" t="s">
        <v>525</v>
      </c>
      <c r="B476" s="76">
        <v>8.44</v>
      </c>
      <c r="C476" s="76">
        <v>3.14</v>
      </c>
      <c r="D476" s="76">
        <v>9.77</v>
      </c>
      <c r="E476" s="76">
        <v>0.79</v>
      </c>
      <c r="F476" s="76">
        <v>0.4</v>
      </c>
      <c r="G476" s="76">
        <v>14.64</v>
      </c>
      <c r="H476" s="76">
        <v>4.81</v>
      </c>
      <c r="I476" s="76">
        <v>4.96</v>
      </c>
      <c r="J476" s="76">
        <v>10.06</v>
      </c>
      <c r="K476" s="76">
        <v>13.27</v>
      </c>
      <c r="L476" s="76">
        <v>3.24</v>
      </c>
      <c r="M476" s="76">
        <v>0.26</v>
      </c>
      <c r="N476" s="76">
        <v>0.48</v>
      </c>
      <c r="O476" s="76">
        <v>1.19</v>
      </c>
      <c r="P476" s="76">
        <v>-0.89</v>
      </c>
      <c r="Q476" s="76">
        <v>2.48</v>
      </c>
      <c r="R476" s="76">
        <v>8.13</v>
      </c>
      <c r="S476" s="76">
        <v>4.05</v>
      </c>
      <c r="T476" s="76">
        <v>-0.07</v>
      </c>
      <c r="U476" s="76">
        <v>0.5</v>
      </c>
      <c r="V476" s="76">
        <v>0.5</v>
      </c>
      <c r="W476" s="76">
        <v>0.82</v>
      </c>
      <c r="X476" s="76">
        <v>12.5</v>
      </c>
      <c r="Y476" s="76">
        <v>0.0</v>
      </c>
      <c r="Z476" s="79">
        <v>21160.16</v>
      </c>
      <c r="AA476" s="76">
        <v>10.62</v>
      </c>
      <c r="AB476" s="76">
        <v>0.86</v>
      </c>
      <c r="AC476" s="76">
        <v>0.19</v>
      </c>
      <c r="AD476" s="79">
        <v>4.042311762E8</v>
      </c>
      <c r="AE476" s="80"/>
    </row>
    <row r="477">
      <c r="A477" s="73" t="s">
        <v>526</v>
      </c>
      <c r="B477" s="76">
        <v>8.4</v>
      </c>
      <c r="C477" s="76">
        <v>0.0</v>
      </c>
      <c r="D477" s="76">
        <v>9.73</v>
      </c>
      <c r="E477" s="76">
        <v>0.79</v>
      </c>
      <c r="F477" s="76">
        <v>0.39</v>
      </c>
      <c r="G477" s="76">
        <v>14.64</v>
      </c>
      <c r="H477" s="76">
        <v>4.81</v>
      </c>
      <c r="I477" s="76">
        <v>4.96</v>
      </c>
      <c r="J477" s="76">
        <v>10.01</v>
      </c>
      <c r="K477" s="76">
        <v>13.27</v>
      </c>
      <c r="L477" s="76">
        <v>3.24</v>
      </c>
      <c r="M477" s="76">
        <v>0.26</v>
      </c>
      <c r="N477" s="76">
        <v>0.48</v>
      </c>
      <c r="O477" s="76">
        <v>1.19</v>
      </c>
      <c r="P477" s="76">
        <v>-0.89</v>
      </c>
      <c r="Q477" s="76">
        <v>2.48</v>
      </c>
      <c r="R477" s="76">
        <v>8.13</v>
      </c>
      <c r="S477" s="76">
        <v>4.05</v>
      </c>
      <c r="T477" s="76">
        <v>-0.07</v>
      </c>
      <c r="U477" s="76">
        <v>0.5</v>
      </c>
      <c r="V477" s="76">
        <v>0.5</v>
      </c>
      <c r="W477" s="76">
        <v>0.82</v>
      </c>
      <c r="X477" s="76">
        <v>12.5</v>
      </c>
      <c r="Y477" s="76">
        <v>0.0</v>
      </c>
      <c r="Z477" s="76">
        <v>254005.9</v>
      </c>
      <c r="AA477" s="76">
        <v>10.62</v>
      </c>
      <c r="AB477" s="76">
        <v>0.86</v>
      </c>
      <c r="AC477" s="76">
        <v>0.19</v>
      </c>
      <c r="AD477" s="79">
        <v>4.042311762E8</v>
      </c>
      <c r="AE477" s="80"/>
    </row>
    <row r="478">
      <c r="A478" s="73" t="s">
        <v>527</v>
      </c>
      <c r="B478" s="76">
        <v>2.59</v>
      </c>
      <c r="C478" s="76">
        <v>0.21</v>
      </c>
      <c r="D478" s="76">
        <v>75.38</v>
      </c>
      <c r="E478" s="76">
        <v>0.55</v>
      </c>
      <c r="F478" s="76">
        <v>0.19</v>
      </c>
      <c r="G478" s="76">
        <v>86.26</v>
      </c>
      <c r="H478" s="76">
        <v>13.14</v>
      </c>
      <c r="I478" s="76">
        <v>0.66</v>
      </c>
      <c r="J478" s="76">
        <v>3.79</v>
      </c>
      <c r="K478" s="76">
        <v>8.59</v>
      </c>
      <c r="L478" s="76">
        <v>4.79</v>
      </c>
      <c r="M478" s="76">
        <v>0.7</v>
      </c>
      <c r="N478" s="76">
        <v>0.5</v>
      </c>
      <c r="O478" s="76">
        <v>-2.35</v>
      </c>
      <c r="P478" s="76">
        <v>-0.29</v>
      </c>
      <c r="Q478" s="76">
        <v>0.81</v>
      </c>
      <c r="R478" s="76">
        <v>0.74</v>
      </c>
      <c r="S478" s="76">
        <v>0.25</v>
      </c>
      <c r="T478" s="76">
        <v>6.84</v>
      </c>
      <c r="U478" s="76">
        <v>0.34</v>
      </c>
      <c r="V478" s="76">
        <v>0.66</v>
      </c>
      <c r="W478" s="76">
        <v>0.38</v>
      </c>
      <c r="X478" s="76">
        <v>-4.63</v>
      </c>
      <c r="Y478" s="76">
        <v>-52.24</v>
      </c>
      <c r="Z478" s="76">
        <v>8377166.0</v>
      </c>
      <c r="AA478" s="76">
        <v>4.67</v>
      </c>
      <c r="AB478" s="76">
        <v>0.03</v>
      </c>
      <c r="AC478" s="76">
        <v>-0.67</v>
      </c>
      <c r="AD478" s="79">
        <v>7.355971018E8</v>
      </c>
      <c r="AE478" s="80"/>
    </row>
    <row r="479">
      <c r="A479" s="73" t="s">
        <v>528</v>
      </c>
      <c r="B479" s="76">
        <v>0.0</v>
      </c>
      <c r="C479" s="76">
        <v>0.0</v>
      </c>
      <c r="D479" s="76">
        <v>0.0</v>
      </c>
      <c r="E479" s="76">
        <v>0.0</v>
      </c>
      <c r="F479" s="76">
        <v>0.0</v>
      </c>
      <c r="G479" s="76">
        <v>86.2</v>
      </c>
      <c r="H479" s="76">
        <v>48.58</v>
      </c>
      <c r="I479" s="76">
        <v>34.42</v>
      </c>
      <c r="J479" s="76">
        <v>0.0</v>
      </c>
      <c r="K479" s="76">
        <v>1.16</v>
      </c>
      <c r="L479" s="76">
        <v>1.16</v>
      </c>
      <c r="M479" s="76">
        <v>0.38</v>
      </c>
      <c r="N479" s="76">
        <v>0.0</v>
      </c>
      <c r="O479" s="76">
        <v>0.0</v>
      </c>
      <c r="P479" s="76">
        <v>0.0</v>
      </c>
      <c r="Q479" s="76">
        <v>1.09</v>
      </c>
      <c r="R479" s="76">
        <v>23.38</v>
      </c>
      <c r="S479" s="76">
        <v>9.48</v>
      </c>
      <c r="T479" s="76">
        <v>13.54</v>
      </c>
      <c r="U479" s="76">
        <v>0.41</v>
      </c>
      <c r="V479" s="76">
        <v>0.59</v>
      </c>
      <c r="W479" s="76">
        <v>0.28</v>
      </c>
      <c r="X479" s="76">
        <v>-12.03</v>
      </c>
      <c r="Y479" s="76">
        <v>66.13</v>
      </c>
      <c r="Z479" s="79">
        <v>0.0</v>
      </c>
      <c r="AA479" s="76">
        <v>138.25</v>
      </c>
      <c r="AB479" s="76">
        <v>32.33</v>
      </c>
      <c r="AC479" s="76">
        <v>0.0</v>
      </c>
      <c r="AD479" s="76">
        <v>0.0</v>
      </c>
      <c r="AE479" s="74"/>
    </row>
    <row r="480">
      <c r="A480" s="73" t="s">
        <v>529</v>
      </c>
      <c r="B480" s="76">
        <v>0.28</v>
      </c>
      <c r="C480" s="76">
        <v>0.0</v>
      </c>
      <c r="D480" s="76">
        <v>-63883.6</v>
      </c>
      <c r="E480" s="76">
        <v>100388.5</v>
      </c>
      <c r="F480" s="76">
        <v>100388.5</v>
      </c>
      <c r="G480" s="76">
        <v>0.0</v>
      </c>
      <c r="H480" s="76">
        <v>0.0</v>
      </c>
      <c r="I480" s="76">
        <v>0.0</v>
      </c>
      <c r="J480" s="76">
        <v>-59384.7</v>
      </c>
      <c r="K480" s="76">
        <v>-59384.2</v>
      </c>
      <c r="L480" s="76">
        <v>0.56</v>
      </c>
      <c r="M480" s="76">
        <v>-0.94</v>
      </c>
      <c r="N480" s="76">
        <v>0.0</v>
      </c>
      <c r="O480" s="76">
        <v>100388.5</v>
      </c>
      <c r="P480" s="76">
        <v>0.0</v>
      </c>
      <c r="Q480" s="76">
        <v>0.0</v>
      </c>
      <c r="R480" s="76">
        <v>-157.14</v>
      </c>
      <c r="S480" s="76">
        <v>-157.14</v>
      </c>
      <c r="T480" s="76">
        <v>-169.05</v>
      </c>
      <c r="U480" s="76">
        <v>1.0</v>
      </c>
      <c r="V480" s="76">
        <v>0.0</v>
      </c>
      <c r="W480" s="76">
        <v>0.0</v>
      </c>
      <c r="X480" s="76">
        <v>0.0</v>
      </c>
      <c r="Y480" s="76">
        <v>0.0</v>
      </c>
      <c r="Z480" s="79">
        <v>0.0</v>
      </c>
      <c r="AA480" s="76">
        <v>0.0</v>
      </c>
      <c r="AB480" s="76">
        <v>0.0</v>
      </c>
      <c r="AC480" s="76">
        <v>-20442.7</v>
      </c>
      <c r="AD480" s="76">
        <v>8.432630321E9</v>
      </c>
      <c r="AE480" s="74"/>
    </row>
    <row r="481">
      <c r="A481" s="73" t="s">
        <v>530</v>
      </c>
      <c r="B481" s="76">
        <v>26.41</v>
      </c>
      <c r="C481" s="76">
        <v>1.7</v>
      </c>
      <c r="D481" s="76">
        <v>34.48</v>
      </c>
      <c r="E481" s="76">
        <v>6.62</v>
      </c>
      <c r="F481" s="76">
        <v>1.94</v>
      </c>
      <c r="G481" s="76">
        <v>29.34</v>
      </c>
      <c r="H481" s="76">
        <v>6.01</v>
      </c>
      <c r="I481" s="76">
        <v>3.18</v>
      </c>
      <c r="J481" s="76">
        <v>18.22</v>
      </c>
      <c r="K481" s="76">
        <v>19.3</v>
      </c>
      <c r="L481" s="76">
        <v>1.08</v>
      </c>
      <c r="M481" s="76">
        <v>0.39</v>
      </c>
      <c r="N481" s="76">
        <v>1.1</v>
      </c>
      <c r="O481" s="76">
        <v>11.92</v>
      </c>
      <c r="P481" s="76">
        <v>-4.59</v>
      </c>
      <c r="Q481" s="76">
        <v>1.39</v>
      </c>
      <c r="R481" s="76">
        <v>19.19</v>
      </c>
      <c r="S481" s="76">
        <v>5.63</v>
      </c>
      <c r="T481" s="76">
        <v>22.56</v>
      </c>
      <c r="U481" s="76">
        <v>0.29</v>
      </c>
      <c r="V481" s="76">
        <v>0.71</v>
      </c>
      <c r="W481" s="76">
        <v>1.77</v>
      </c>
      <c r="X481" s="76">
        <v>17.22</v>
      </c>
      <c r="Y481" s="76">
        <v>11.69</v>
      </c>
      <c r="Z481" s="79">
        <v>2.76E8</v>
      </c>
      <c r="AA481" s="76">
        <v>3.99</v>
      </c>
      <c r="AB481" s="76">
        <v>0.77</v>
      </c>
      <c r="AC481" s="76">
        <v>1.65</v>
      </c>
      <c r="AD481" s="79">
        <v>4.6280021555E10</v>
      </c>
      <c r="AE481" s="80"/>
    </row>
    <row r="482">
      <c r="A482" s="73" t="s">
        <v>531</v>
      </c>
      <c r="B482" s="76">
        <v>16.45</v>
      </c>
      <c r="C482" s="76">
        <v>4.93</v>
      </c>
      <c r="D482" s="76">
        <v>81.84</v>
      </c>
      <c r="E482" s="76">
        <v>2.21</v>
      </c>
      <c r="F482" s="76">
        <v>0.59</v>
      </c>
      <c r="G482" s="76">
        <v>45.83</v>
      </c>
      <c r="H482" s="76">
        <v>29.88</v>
      </c>
      <c r="I482" s="76">
        <v>2.68</v>
      </c>
      <c r="J482" s="76">
        <v>7.33</v>
      </c>
      <c r="K482" s="76">
        <v>11.24</v>
      </c>
      <c r="L482" s="76">
        <v>3.91</v>
      </c>
      <c r="M482" s="76">
        <v>1.18</v>
      </c>
      <c r="N482" s="76">
        <v>2.19</v>
      </c>
      <c r="O482" s="76">
        <v>8.49</v>
      </c>
      <c r="P482" s="76">
        <v>-0.72</v>
      </c>
      <c r="Q482" s="76">
        <v>1.66</v>
      </c>
      <c r="R482" s="76">
        <v>2.71</v>
      </c>
      <c r="S482" s="76">
        <v>0.72</v>
      </c>
      <c r="T482" s="76">
        <v>9.34</v>
      </c>
      <c r="U482" s="76">
        <v>0.27</v>
      </c>
      <c r="V482" s="76">
        <v>0.73</v>
      </c>
      <c r="W482" s="76">
        <v>0.27</v>
      </c>
      <c r="X482" s="76">
        <v>14.48</v>
      </c>
      <c r="Y482" s="76">
        <v>-13.65</v>
      </c>
      <c r="Z482" s="79">
        <v>2.02E8</v>
      </c>
      <c r="AA482" s="76">
        <v>7.43</v>
      </c>
      <c r="AB482" s="76">
        <v>0.2</v>
      </c>
      <c r="AC482" s="76">
        <v>-0.53</v>
      </c>
      <c r="AD482" s="79">
        <v>3.057773075E10</v>
      </c>
      <c r="AE482" s="80"/>
    </row>
    <row r="483">
      <c r="A483" s="73" t="s">
        <v>532</v>
      </c>
      <c r="B483" s="76">
        <v>0.62</v>
      </c>
      <c r="C483" s="76">
        <v>0.0</v>
      </c>
      <c r="D483" s="76">
        <v>-0.69</v>
      </c>
      <c r="E483" s="76">
        <v>0.35</v>
      </c>
      <c r="F483" s="76">
        <v>0.05</v>
      </c>
      <c r="G483" s="76">
        <v>4.03</v>
      </c>
      <c r="H483" s="76">
        <v>-0.05</v>
      </c>
      <c r="I483" s="76">
        <v>-3.89</v>
      </c>
      <c r="J483" s="76">
        <v>-58.33</v>
      </c>
      <c r="K483" s="76">
        <v>-482.65</v>
      </c>
      <c r="L483" s="76">
        <v>-424.33</v>
      </c>
      <c r="M483" s="76">
        <v>2.57</v>
      </c>
      <c r="N483" s="76">
        <v>0.03</v>
      </c>
      <c r="O483" s="76">
        <v>0.42</v>
      </c>
      <c r="P483" s="76">
        <v>-0.08</v>
      </c>
      <c r="Q483" s="76">
        <v>1.33</v>
      </c>
      <c r="R483" s="76">
        <v>-51.13</v>
      </c>
      <c r="S483" s="76">
        <v>-6.59</v>
      </c>
      <c r="T483" s="76">
        <v>-0.66</v>
      </c>
      <c r="U483" s="76">
        <v>0.13</v>
      </c>
      <c r="V483" s="76">
        <v>0.87</v>
      </c>
      <c r="W483" s="76">
        <v>1.69</v>
      </c>
      <c r="X483" s="76">
        <v>20.39</v>
      </c>
      <c r="Y483" s="76">
        <v>0.0</v>
      </c>
      <c r="Z483" s="76">
        <v>4.3964509E7</v>
      </c>
      <c r="AA483" s="76">
        <v>1.76</v>
      </c>
      <c r="AB483" s="76">
        <v>-0.9</v>
      </c>
      <c r="AC483" s="76">
        <v>0.0</v>
      </c>
      <c r="AD483" s="79">
        <v>6.41855588E9</v>
      </c>
      <c r="AE483" s="80"/>
    </row>
    <row r="484">
      <c r="A484" s="73" t="s">
        <v>533</v>
      </c>
      <c r="B484" s="76">
        <v>9.5</v>
      </c>
      <c r="C484" s="76">
        <v>7.72</v>
      </c>
      <c r="D484" s="76">
        <v>5.61</v>
      </c>
      <c r="E484" s="76">
        <v>1.53</v>
      </c>
      <c r="F484" s="76">
        <v>0.58</v>
      </c>
      <c r="G484" s="76">
        <v>41.53</v>
      </c>
      <c r="H484" s="76">
        <v>25.36</v>
      </c>
      <c r="I484" s="76">
        <v>23.03</v>
      </c>
      <c r="J484" s="76">
        <v>5.1</v>
      </c>
      <c r="K484" s="76">
        <v>7.61</v>
      </c>
      <c r="L484" s="76">
        <v>2.51</v>
      </c>
      <c r="M484" s="76">
        <v>0.75</v>
      </c>
      <c r="N484" s="76">
        <v>1.29</v>
      </c>
      <c r="O484" s="76">
        <v>2.67</v>
      </c>
      <c r="P484" s="76">
        <v>-0.87</v>
      </c>
      <c r="Q484" s="76">
        <v>2.85</v>
      </c>
      <c r="R484" s="76">
        <v>27.22</v>
      </c>
      <c r="S484" s="76">
        <v>10.32</v>
      </c>
      <c r="T484" s="76">
        <v>12.02</v>
      </c>
      <c r="U484" s="76">
        <v>0.38</v>
      </c>
      <c r="V484" s="76">
        <v>0.62</v>
      </c>
      <c r="W484" s="76">
        <v>0.45</v>
      </c>
      <c r="X484" s="76">
        <v>12.61</v>
      </c>
      <c r="Y484" s="76">
        <v>0.0</v>
      </c>
      <c r="Z484" s="76">
        <v>6159140.0</v>
      </c>
      <c r="AA484" s="76">
        <v>6.22</v>
      </c>
      <c r="AB484" s="76">
        <v>1.69</v>
      </c>
      <c r="AC484" s="76">
        <v>0.03</v>
      </c>
      <c r="AD484" s="79">
        <v>2.189761581E9</v>
      </c>
      <c r="AE484" s="80"/>
    </row>
    <row r="485">
      <c r="A485" s="73" t="s">
        <v>534</v>
      </c>
      <c r="B485" s="76">
        <v>5.5</v>
      </c>
      <c r="C485" s="76">
        <v>0.0</v>
      </c>
      <c r="D485" s="76">
        <v>3.25</v>
      </c>
      <c r="E485" s="76">
        <v>0.88</v>
      </c>
      <c r="F485" s="76">
        <v>0.34</v>
      </c>
      <c r="G485" s="76">
        <v>41.53</v>
      </c>
      <c r="H485" s="76">
        <v>25.36</v>
      </c>
      <c r="I485" s="76">
        <v>23.03</v>
      </c>
      <c r="J485" s="76">
        <v>2.95</v>
      </c>
      <c r="K485" s="76">
        <v>7.61</v>
      </c>
      <c r="L485" s="76">
        <v>2.51</v>
      </c>
      <c r="M485" s="76">
        <v>0.75</v>
      </c>
      <c r="N485" s="76">
        <v>0.75</v>
      </c>
      <c r="O485" s="76">
        <v>1.55</v>
      </c>
      <c r="P485" s="76">
        <v>-0.5</v>
      </c>
      <c r="Q485" s="76">
        <v>2.85</v>
      </c>
      <c r="R485" s="76">
        <v>27.22</v>
      </c>
      <c r="S485" s="76">
        <v>10.32</v>
      </c>
      <c r="T485" s="76">
        <v>12.02</v>
      </c>
      <c r="U485" s="76">
        <v>0.38</v>
      </c>
      <c r="V485" s="76">
        <v>0.62</v>
      </c>
      <c r="W485" s="76">
        <v>0.45</v>
      </c>
      <c r="X485" s="76">
        <v>12.61</v>
      </c>
      <c r="Y485" s="76">
        <v>0.0</v>
      </c>
      <c r="Z485" s="76">
        <v>0.0</v>
      </c>
      <c r="AA485" s="76">
        <v>6.22</v>
      </c>
      <c r="AB485" s="76">
        <v>1.69</v>
      </c>
      <c r="AC485" s="76">
        <v>0.02</v>
      </c>
      <c r="AD485" s="79">
        <v>2.189761581E9</v>
      </c>
      <c r="AE485" s="80"/>
    </row>
    <row r="486">
      <c r="A486" s="73" t="s">
        <v>535</v>
      </c>
      <c r="B486" s="76">
        <v>6.5</v>
      </c>
      <c r="C486" s="76">
        <v>0.72</v>
      </c>
      <c r="D486" s="76">
        <v>23.12</v>
      </c>
      <c r="E486" s="76">
        <v>0.69</v>
      </c>
      <c r="F486" s="76">
        <v>0.12</v>
      </c>
      <c r="G486" s="76">
        <v>25.86</v>
      </c>
      <c r="H486" s="76">
        <v>8.7</v>
      </c>
      <c r="I486" s="76">
        <v>0.75</v>
      </c>
      <c r="J486" s="76">
        <v>1.98</v>
      </c>
      <c r="K486" s="76">
        <v>7.83</v>
      </c>
      <c r="L486" s="76">
        <v>5.84</v>
      </c>
      <c r="M486" s="76">
        <v>2.04</v>
      </c>
      <c r="N486" s="76">
        <v>0.17</v>
      </c>
      <c r="O486" s="76">
        <v>0.41</v>
      </c>
      <c r="P486" s="76">
        <v>-0.27</v>
      </c>
      <c r="Q486" s="76">
        <v>2.23</v>
      </c>
      <c r="R486" s="76">
        <v>2.99</v>
      </c>
      <c r="S486" s="76">
        <v>0.53</v>
      </c>
      <c r="T486" s="76">
        <v>8.18</v>
      </c>
      <c r="U486" s="76">
        <v>0.18</v>
      </c>
      <c r="V486" s="76">
        <v>0.74</v>
      </c>
      <c r="W486" s="76">
        <v>0.72</v>
      </c>
      <c r="X486" s="76">
        <v>18.53</v>
      </c>
      <c r="Y486" s="76">
        <v>-16.86</v>
      </c>
      <c r="Z486" s="76">
        <v>105623.1</v>
      </c>
      <c r="AA486" s="76">
        <v>9.39</v>
      </c>
      <c r="AB486" s="76">
        <v>0.28</v>
      </c>
      <c r="AC486" s="76">
        <v>-0.32</v>
      </c>
      <c r="AD486" s="79">
        <v>2.284404498E9</v>
      </c>
      <c r="AE486" s="80"/>
    </row>
    <row r="487">
      <c r="A487" s="73" t="s">
        <v>536</v>
      </c>
      <c r="B487" s="76">
        <v>6.55</v>
      </c>
      <c r="C487" s="76">
        <v>0.71</v>
      </c>
      <c r="D487" s="76">
        <v>23.29</v>
      </c>
      <c r="E487" s="76">
        <v>0.7</v>
      </c>
      <c r="F487" s="76">
        <v>0.12</v>
      </c>
      <c r="G487" s="76">
        <v>25.86</v>
      </c>
      <c r="H487" s="76">
        <v>8.7</v>
      </c>
      <c r="I487" s="76">
        <v>0.75</v>
      </c>
      <c r="J487" s="76">
        <v>2.0</v>
      </c>
      <c r="K487" s="76">
        <v>7.83</v>
      </c>
      <c r="L487" s="76">
        <v>5.84</v>
      </c>
      <c r="M487" s="76">
        <v>2.04</v>
      </c>
      <c r="N487" s="76">
        <v>0.17</v>
      </c>
      <c r="O487" s="76">
        <v>0.42</v>
      </c>
      <c r="P487" s="76">
        <v>-0.27</v>
      </c>
      <c r="Q487" s="76">
        <v>2.23</v>
      </c>
      <c r="R487" s="76">
        <v>2.99</v>
      </c>
      <c r="S487" s="76">
        <v>0.53</v>
      </c>
      <c r="T487" s="76">
        <v>8.18</v>
      </c>
      <c r="U487" s="76">
        <v>0.18</v>
      </c>
      <c r="V487" s="76">
        <v>0.74</v>
      </c>
      <c r="W487" s="76">
        <v>0.72</v>
      </c>
      <c r="X487" s="76">
        <v>18.53</v>
      </c>
      <c r="Y487" s="76">
        <v>-16.86</v>
      </c>
      <c r="Z487" s="76">
        <v>3.2680537E7</v>
      </c>
      <c r="AA487" s="76">
        <v>9.39</v>
      </c>
      <c r="AB487" s="76">
        <v>0.28</v>
      </c>
      <c r="AC487" s="76">
        <v>-0.33</v>
      </c>
      <c r="AD487" s="79">
        <v>2.284404498E9</v>
      </c>
      <c r="AE487" s="80"/>
    </row>
    <row r="488">
      <c r="A488" s="73" t="s">
        <v>537</v>
      </c>
      <c r="B488" s="76">
        <v>3.0</v>
      </c>
      <c r="C488" s="76">
        <v>0.0</v>
      </c>
      <c r="D488" s="76">
        <v>-4.66</v>
      </c>
      <c r="E488" s="76">
        <v>-3.51</v>
      </c>
      <c r="F488" s="76">
        <v>2.48</v>
      </c>
      <c r="G488" s="76">
        <v>-2.33</v>
      </c>
      <c r="H488" s="76">
        <v>-459.38</v>
      </c>
      <c r="I488" s="76">
        <v>-627.21</v>
      </c>
      <c r="J488" s="76">
        <v>-6.36</v>
      </c>
      <c r="K488" s="76">
        <v>-11.67</v>
      </c>
      <c r="L488" s="76">
        <v>0.01</v>
      </c>
      <c r="M488" s="76">
        <v>0.0</v>
      </c>
      <c r="N488" s="76">
        <v>29.22</v>
      </c>
      <c r="O488" s="76">
        <v>-4.09</v>
      </c>
      <c r="P488" s="76">
        <v>-3.82</v>
      </c>
      <c r="Q488" s="76">
        <v>0.37</v>
      </c>
      <c r="R488" s="76">
        <v>-75.38</v>
      </c>
      <c r="S488" s="76">
        <v>-53.13</v>
      </c>
      <c r="T488" s="76">
        <v>55.2</v>
      </c>
      <c r="U488" s="76">
        <v>-0.7</v>
      </c>
      <c r="V488" s="76">
        <v>1.7</v>
      </c>
      <c r="W488" s="76">
        <v>0.08</v>
      </c>
      <c r="X488" s="76">
        <v>1.25</v>
      </c>
      <c r="Y488" s="76">
        <v>0.0</v>
      </c>
      <c r="Z488" s="77">
        <v>1245132.0</v>
      </c>
      <c r="AA488" s="76">
        <v>-0.85</v>
      </c>
      <c r="AB488" s="76">
        <v>-0.64</v>
      </c>
      <c r="AC488" s="76">
        <v>-0.07</v>
      </c>
      <c r="AD488" s="79">
        <v>1.752341179E8</v>
      </c>
      <c r="AE488" s="80"/>
    </row>
    <row r="489">
      <c r="A489" s="73" t="s">
        <v>538</v>
      </c>
      <c r="B489" s="76">
        <v>6.77</v>
      </c>
      <c r="C489" s="76">
        <v>0.0</v>
      </c>
      <c r="D489" s="76">
        <v>-10.51</v>
      </c>
      <c r="E489" s="76">
        <v>-7.93</v>
      </c>
      <c r="F489" s="76">
        <v>5.59</v>
      </c>
      <c r="G489" s="76">
        <v>-2.33</v>
      </c>
      <c r="H489" s="76">
        <v>-459.38</v>
      </c>
      <c r="I489" s="76">
        <v>-627.21</v>
      </c>
      <c r="J489" s="76">
        <v>-14.35</v>
      </c>
      <c r="K489" s="76">
        <v>-11.67</v>
      </c>
      <c r="L489" s="76">
        <v>0.01</v>
      </c>
      <c r="M489" s="76">
        <v>0.0</v>
      </c>
      <c r="N489" s="76">
        <v>65.94</v>
      </c>
      <c r="O489" s="76">
        <v>-9.23</v>
      </c>
      <c r="P489" s="76">
        <v>-8.63</v>
      </c>
      <c r="Q489" s="76">
        <v>0.37</v>
      </c>
      <c r="R489" s="76">
        <v>-75.38</v>
      </c>
      <c r="S489" s="76">
        <v>-53.13</v>
      </c>
      <c r="T489" s="76">
        <v>55.2</v>
      </c>
      <c r="U489" s="76">
        <v>-0.7</v>
      </c>
      <c r="V489" s="76">
        <v>1.7</v>
      </c>
      <c r="W489" s="76">
        <v>0.08</v>
      </c>
      <c r="X489" s="76">
        <v>1.25</v>
      </c>
      <c r="Y489" s="76">
        <v>0.0</v>
      </c>
      <c r="Z489" s="77">
        <v>3.6834759E7</v>
      </c>
      <c r="AA489" s="76">
        <v>-0.85</v>
      </c>
      <c r="AB489" s="76">
        <v>-0.64</v>
      </c>
      <c r="AC489" s="76">
        <v>-0.17</v>
      </c>
      <c r="AD489" s="79">
        <v>1.752341179E8</v>
      </c>
      <c r="AE489" s="80"/>
    </row>
    <row r="490">
      <c r="A490" s="73" t="s">
        <v>539</v>
      </c>
      <c r="B490" s="76">
        <v>2.14</v>
      </c>
      <c r="C490" s="76">
        <v>0.0</v>
      </c>
      <c r="D490" s="76">
        <v>-0.6</v>
      </c>
      <c r="E490" s="76">
        <v>0.56</v>
      </c>
      <c r="F490" s="76">
        <v>0.08</v>
      </c>
      <c r="G490" s="76">
        <v>15.15</v>
      </c>
      <c r="H490" s="76">
        <v>-25.1</v>
      </c>
      <c r="I490" s="76">
        <v>-42.52</v>
      </c>
      <c r="J490" s="76">
        <v>-1.01</v>
      </c>
      <c r="K490" s="76">
        <v>-5.98</v>
      </c>
      <c r="L490" s="76">
        <v>-4.96</v>
      </c>
      <c r="M490" s="76">
        <v>2.77</v>
      </c>
      <c r="N490" s="76">
        <v>0.25</v>
      </c>
      <c r="O490" s="76">
        <v>0.4</v>
      </c>
      <c r="P490" s="76">
        <v>-0.17</v>
      </c>
      <c r="Q490" s="76">
        <v>1.61</v>
      </c>
      <c r="R490" s="76">
        <v>-94.52</v>
      </c>
      <c r="S490" s="76">
        <v>-13.32</v>
      </c>
      <c r="T490" s="76">
        <v>-15.48</v>
      </c>
      <c r="U490" s="76">
        <v>0.14</v>
      </c>
      <c r="V490" s="76">
        <v>0.84</v>
      </c>
      <c r="W490" s="76">
        <v>0.31</v>
      </c>
      <c r="X490" s="76">
        <v>11.1</v>
      </c>
      <c r="Y490" s="76">
        <v>0.0</v>
      </c>
      <c r="Z490" s="77">
        <v>3199.0</v>
      </c>
      <c r="AA490" s="76">
        <v>3.79</v>
      </c>
      <c r="AB490" s="76">
        <v>-3.58</v>
      </c>
      <c r="AC490" s="76">
        <v>0.01</v>
      </c>
      <c r="AD490" s="79">
        <v>9.366738912E7</v>
      </c>
      <c r="AE490" s="80"/>
    </row>
    <row r="491">
      <c r="A491" s="73" t="s">
        <v>540</v>
      </c>
      <c r="B491" s="76">
        <v>44.64</v>
      </c>
      <c r="C491" s="76">
        <v>9.62</v>
      </c>
      <c r="D491" s="76">
        <v>23.01</v>
      </c>
      <c r="E491" s="76">
        <v>3.88</v>
      </c>
      <c r="F491" s="76">
        <v>0.93</v>
      </c>
      <c r="G491" s="76">
        <v>21.02</v>
      </c>
      <c r="H491" s="76">
        <v>16.58</v>
      </c>
      <c r="I491" s="76">
        <v>8.19</v>
      </c>
      <c r="J491" s="76">
        <v>11.37</v>
      </c>
      <c r="K491" s="76">
        <v>11.34</v>
      </c>
      <c r="L491" s="76">
        <v>-0.03</v>
      </c>
      <c r="M491" s="76">
        <v>-0.01</v>
      </c>
      <c r="N491" s="76">
        <v>1.89</v>
      </c>
      <c r="O491" s="76">
        <v>2.59</v>
      </c>
      <c r="P491" s="76">
        <v>-1.97</v>
      </c>
      <c r="Q491" s="76">
        <v>3.11</v>
      </c>
      <c r="R491" s="76">
        <v>16.87</v>
      </c>
      <c r="S491" s="76">
        <v>4.04</v>
      </c>
      <c r="T491" s="76">
        <v>11.76</v>
      </c>
      <c r="U491" s="76">
        <v>0.24</v>
      </c>
      <c r="V491" s="76">
        <v>0.74</v>
      </c>
      <c r="W491" s="76">
        <v>0.49</v>
      </c>
      <c r="X491" s="76">
        <v>30.58</v>
      </c>
      <c r="Y491" s="76">
        <v>30.64</v>
      </c>
      <c r="Z491" s="79">
        <v>2.48E8</v>
      </c>
      <c r="AA491" s="76">
        <v>11.5</v>
      </c>
      <c r="AB491" s="76">
        <v>1.94</v>
      </c>
      <c r="AC491" s="76">
        <v>1.13</v>
      </c>
      <c r="AD491" s="79">
        <v>1.02194E11</v>
      </c>
      <c r="AE491" s="80"/>
    </row>
    <row r="492">
      <c r="A492" s="73" t="s">
        <v>541</v>
      </c>
      <c r="B492" s="76">
        <v>11.37</v>
      </c>
      <c r="C492" s="76">
        <v>16.92</v>
      </c>
      <c r="D492" s="76">
        <v>5.38</v>
      </c>
      <c r="E492" s="76">
        <v>0.73</v>
      </c>
      <c r="F492" s="76">
        <v>0.42</v>
      </c>
      <c r="G492" s="76">
        <v>33.99</v>
      </c>
      <c r="H492" s="76">
        <v>25.45</v>
      </c>
      <c r="I492" s="76">
        <v>18.81</v>
      </c>
      <c r="J492" s="76">
        <v>3.98</v>
      </c>
      <c r="K492" s="76">
        <v>5.73</v>
      </c>
      <c r="L492" s="76">
        <v>1.75</v>
      </c>
      <c r="M492" s="76">
        <v>0.32</v>
      </c>
      <c r="N492" s="76">
        <v>1.01</v>
      </c>
      <c r="O492" s="76">
        <v>4.48</v>
      </c>
      <c r="P492" s="76">
        <v>-0.51</v>
      </c>
      <c r="Q492" s="76">
        <v>2.16</v>
      </c>
      <c r="R492" s="76">
        <v>13.59</v>
      </c>
      <c r="S492" s="76">
        <v>7.85</v>
      </c>
      <c r="T492" s="76">
        <v>9.43</v>
      </c>
      <c r="U492" s="76">
        <v>0.58</v>
      </c>
      <c r="V492" s="76">
        <v>0.42</v>
      </c>
      <c r="W492" s="76">
        <v>0.42</v>
      </c>
      <c r="X492" s="76">
        <v>57.21</v>
      </c>
      <c r="Y492" s="76">
        <v>57.65</v>
      </c>
      <c r="Z492" s="76">
        <v>3.9374635E7</v>
      </c>
      <c r="AA492" s="76">
        <v>15.55</v>
      </c>
      <c r="AB492" s="76">
        <v>2.11</v>
      </c>
      <c r="AC492" s="76">
        <v>1.12</v>
      </c>
      <c r="AD492" s="79">
        <v>3.336778073E9</v>
      </c>
      <c r="AE492" s="80"/>
    </row>
    <row r="493">
      <c r="A493" s="73" t="s">
        <v>542</v>
      </c>
      <c r="B493" s="76">
        <v>6.27</v>
      </c>
      <c r="C493" s="76">
        <v>5.83</v>
      </c>
      <c r="D493" s="76">
        <v>11.37</v>
      </c>
      <c r="E493" s="76">
        <v>3.87</v>
      </c>
      <c r="F493" s="76">
        <v>0.49</v>
      </c>
      <c r="G493" s="76">
        <v>25.11</v>
      </c>
      <c r="H493" s="76">
        <v>18.29</v>
      </c>
      <c r="I493" s="76">
        <v>7.28</v>
      </c>
      <c r="J493" s="76">
        <v>4.53</v>
      </c>
      <c r="K493" s="76">
        <v>8.75</v>
      </c>
      <c r="L493" s="76">
        <v>4.22</v>
      </c>
      <c r="M493" s="76">
        <v>3.61</v>
      </c>
      <c r="N493" s="76">
        <v>0.83</v>
      </c>
      <c r="O493" s="76">
        <v>6.86</v>
      </c>
      <c r="P493" s="76">
        <v>-0.66</v>
      </c>
      <c r="Q493" s="76">
        <v>1.38</v>
      </c>
      <c r="R493" s="76">
        <v>34.03</v>
      </c>
      <c r="S493" s="76">
        <v>4.32</v>
      </c>
      <c r="T493" s="76">
        <v>13.82</v>
      </c>
      <c r="U493" s="76">
        <v>0.13</v>
      </c>
      <c r="V493" s="76">
        <v>0.81</v>
      </c>
      <c r="W493" s="76">
        <v>0.59</v>
      </c>
      <c r="X493" s="76">
        <v>9.82</v>
      </c>
      <c r="Y493" s="76">
        <v>14.75</v>
      </c>
      <c r="Z493" s="77">
        <v>12953.14</v>
      </c>
      <c r="AA493" s="76">
        <v>1.62</v>
      </c>
      <c r="AB493" s="76">
        <v>0.55</v>
      </c>
      <c r="AC493" s="76">
        <v>-1.22</v>
      </c>
      <c r="AD493" s="79">
        <v>1.6102640579E10</v>
      </c>
      <c r="AE493" s="80"/>
    </row>
    <row r="494">
      <c r="A494" s="73" t="s">
        <v>543</v>
      </c>
      <c r="B494" s="76">
        <v>52.43</v>
      </c>
      <c r="C494" s="76">
        <v>3.8</v>
      </c>
      <c r="D494" s="76">
        <v>33.23</v>
      </c>
      <c r="E494" s="76">
        <v>2.35</v>
      </c>
      <c r="F494" s="76">
        <v>0.71</v>
      </c>
      <c r="G494" s="76">
        <v>26.25</v>
      </c>
      <c r="H494" s="76">
        <v>18.34</v>
      </c>
      <c r="I494" s="76">
        <v>4.37</v>
      </c>
      <c r="J494" s="76">
        <v>7.91</v>
      </c>
      <c r="K494" s="76">
        <v>12.32</v>
      </c>
      <c r="L494" s="76">
        <v>4.41</v>
      </c>
      <c r="M494" s="76">
        <v>1.31</v>
      </c>
      <c r="N494" s="76">
        <v>1.45</v>
      </c>
      <c r="O494" s="76">
        <v>9.51</v>
      </c>
      <c r="P494" s="76">
        <v>-0.94</v>
      </c>
      <c r="Q494" s="76">
        <v>1.45</v>
      </c>
      <c r="R494" s="76">
        <v>7.06</v>
      </c>
      <c r="S494" s="76">
        <v>2.13</v>
      </c>
      <c r="T494" s="76">
        <v>9.72</v>
      </c>
      <c r="U494" s="76">
        <v>0.3</v>
      </c>
      <c r="V494" s="76">
        <v>0.7</v>
      </c>
      <c r="W494" s="76">
        <v>0.49</v>
      </c>
      <c r="X494" s="76">
        <v>29.6</v>
      </c>
      <c r="Y494" s="76">
        <v>16.29</v>
      </c>
      <c r="Z494" s="77">
        <v>4.45E8</v>
      </c>
      <c r="AA494" s="76">
        <v>22.36</v>
      </c>
      <c r="AB494" s="76">
        <v>1.58</v>
      </c>
      <c r="AC494" s="76">
        <v>6.05</v>
      </c>
      <c r="AD494" s="79">
        <v>5.8944917458E10</v>
      </c>
      <c r="AE494" s="80"/>
    </row>
    <row r="495">
      <c r="A495" s="73" t="s">
        <v>544</v>
      </c>
      <c r="B495" s="76">
        <v>50.82</v>
      </c>
      <c r="C495" s="76">
        <v>0.0</v>
      </c>
      <c r="D495" s="76">
        <v>32.21</v>
      </c>
      <c r="E495" s="76">
        <v>2.27</v>
      </c>
      <c r="F495" s="76">
        <v>0.69</v>
      </c>
      <c r="G495" s="76">
        <v>26.25</v>
      </c>
      <c r="H495" s="76">
        <v>18.34</v>
      </c>
      <c r="I495" s="76">
        <v>4.37</v>
      </c>
      <c r="J495" s="76">
        <v>7.67</v>
      </c>
      <c r="K495" s="76">
        <v>12.32</v>
      </c>
      <c r="L495" s="76">
        <v>4.41</v>
      </c>
      <c r="M495" s="76">
        <v>1.31</v>
      </c>
      <c r="N495" s="76">
        <v>1.41</v>
      </c>
      <c r="O495" s="76">
        <v>9.22</v>
      </c>
      <c r="P495" s="76">
        <v>-0.91</v>
      </c>
      <c r="Q495" s="76">
        <v>1.45</v>
      </c>
      <c r="R495" s="76">
        <v>7.06</v>
      </c>
      <c r="S495" s="76">
        <v>2.13</v>
      </c>
      <c r="T495" s="76">
        <v>9.72</v>
      </c>
      <c r="U495" s="76">
        <v>0.3</v>
      </c>
      <c r="V495" s="76">
        <v>0.7</v>
      </c>
      <c r="W495" s="76">
        <v>0.49</v>
      </c>
      <c r="X495" s="76">
        <v>29.6</v>
      </c>
      <c r="Y495" s="76">
        <v>16.29</v>
      </c>
      <c r="Z495" s="77">
        <v>1.3411857E7</v>
      </c>
      <c r="AA495" s="76">
        <v>22.36</v>
      </c>
      <c r="AB495" s="76">
        <v>1.58</v>
      </c>
      <c r="AC495" s="76">
        <v>5.87</v>
      </c>
      <c r="AD495" s="79">
        <v>5.8944917458E10</v>
      </c>
      <c r="AE495" s="80"/>
    </row>
    <row r="496">
      <c r="A496" s="73" t="s">
        <v>545</v>
      </c>
      <c r="B496" s="76">
        <v>10.62</v>
      </c>
      <c r="C496" s="76">
        <v>21.35</v>
      </c>
      <c r="D496" s="76">
        <v>12.07</v>
      </c>
      <c r="E496" s="76">
        <v>0.96</v>
      </c>
      <c r="F496" s="76">
        <v>0.39</v>
      </c>
      <c r="G496" s="76">
        <v>60.17</v>
      </c>
      <c r="H496" s="76">
        <v>8.76</v>
      </c>
      <c r="I496" s="76">
        <v>4.27</v>
      </c>
      <c r="J496" s="76">
        <v>5.88</v>
      </c>
      <c r="K496" s="76">
        <v>6.8</v>
      </c>
      <c r="L496" s="76">
        <v>0.93</v>
      </c>
      <c r="M496" s="76">
        <v>0.15</v>
      </c>
      <c r="N496" s="76">
        <v>0.51</v>
      </c>
      <c r="O496" s="76">
        <v>1.89</v>
      </c>
      <c r="P496" s="76">
        <v>-1.05</v>
      </c>
      <c r="Q496" s="76">
        <v>1.49</v>
      </c>
      <c r="R496" s="76">
        <v>7.94</v>
      </c>
      <c r="S496" s="76">
        <v>3.25</v>
      </c>
      <c r="T496" s="76">
        <v>9.35</v>
      </c>
      <c r="U496" s="76">
        <v>0.41</v>
      </c>
      <c r="V496" s="76">
        <v>0.59</v>
      </c>
      <c r="W496" s="76">
        <v>0.76</v>
      </c>
      <c r="X496" s="76">
        <v>4.29</v>
      </c>
      <c r="Y496" s="76">
        <v>-5.78</v>
      </c>
      <c r="Z496" s="77">
        <v>2.3604637E7</v>
      </c>
      <c r="AA496" s="76">
        <v>11.09</v>
      </c>
      <c r="AB496" s="76">
        <v>0.88</v>
      </c>
      <c r="AC496" s="76">
        <v>0.12</v>
      </c>
      <c r="AD496" s="79">
        <v>5.310618488E9</v>
      </c>
      <c r="AE496" s="80"/>
    </row>
    <row r="497">
      <c r="A497" s="73" t="s">
        <v>546</v>
      </c>
      <c r="B497" s="76">
        <v>23.08</v>
      </c>
      <c r="C497" s="76">
        <v>0.0</v>
      </c>
      <c r="D497" s="76">
        <v>82.76</v>
      </c>
      <c r="E497" s="76">
        <v>4.26</v>
      </c>
      <c r="F497" s="76">
        <v>0.23</v>
      </c>
      <c r="G497" s="76">
        <v>34.71</v>
      </c>
      <c r="H497" s="76">
        <v>29.67</v>
      </c>
      <c r="I497" s="76">
        <v>1.85</v>
      </c>
      <c r="J497" s="76">
        <v>5.17</v>
      </c>
      <c r="K497" s="76">
        <v>12.09</v>
      </c>
      <c r="L497" s="76">
        <v>6.92</v>
      </c>
      <c r="M497" s="76">
        <v>5.71</v>
      </c>
      <c r="N497" s="76">
        <v>1.53</v>
      </c>
      <c r="O497" s="76">
        <v>1.49</v>
      </c>
      <c r="P497" s="76">
        <v>-0.31</v>
      </c>
      <c r="Q497" s="76">
        <v>2.64</v>
      </c>
      <c r="R497" s="76">
        <v>5.15</v>
      </c>
      <c r="S497" s="76">
        <v>0.28</v>
      </c>
      <c r="T497" s="76">
        <v>5.46</v>
      </c>
      <c r="U497" s="76">
        <v>0.05</v>
      </c>
      <c r="V497" s="76">
        <v>0.71</v>
      </c>
      <c r="W497" s="76">
        <v>0.15</v>
      </c>
      <c r="X497" s="76">
        <v>50.58</v>
      </c>
      <c r="Y497" s="76">
        <v>4.37</v>
      </c>
      <c r="Z497" s="77">
        <v>0.0</v>
      </c>
      <c r="AA497" s="76">
        <v>5.41</v>
      </c>
      <c r="AB497" s="76">
        <v>0.28</v>
      </c>
      <c r="AC497" s="76">
        <v>-2.42</v>
      </c>
      <c r="AD497" s="79">
        <v>1.0691215482E10</v>
      </c>
      <c r="AE497" s="80"/>
    </row>
    <row r="498">
      <c r="A498" s="73" t="s">
        <v>547</v>
      </c>
      <c r="B498" s="76">
        <v>3.23</v>
      </c>
      <c r="C498" s="76">
        <v>0.0</v>
      </c>
      <c r="D498" s="77">
        <v>-2.36</v>
      </c>
      <c r="E498" s="77">
        <v>0.32</v>
      </c>
      <c r="F498" s="77">
        <v>0.13</v>
      </c>
      <c r="G498" s="76">
        <v>-10.2</v>
      </c>
      <c r="H498" s="76">
        <v>-6.53</v>
      </c>
      <c r="I498" s="76">
        <v>-36.23</v>
      </c>
      <c r="J498" s="77">
        <v>-13.12</v>
      </c>
      <c r="K498" s="77">
        <v>-34.31</v>
      </c>
      <c r="L498" s="76">
        <v>-21.19</v>
      </c>
      <c r="M498" s="76">
        <v>0.52</v>
      </c>
      <c r="N498" s="76">
        <v>0.86</v>
      </c>
      <c r="O498" s="77">
        <v>-2.32</v>
      </c>
      <c r="P498" s="76">
        <v>-0.15</v>
      </c>
      <c r="Q498" s="76">
        <v>0.58</v>
      </c>
      <c r="R498" s="76">
        <v>-13.6</v>
      </c>
      <c r="S498" s="77">
        <v>-5.71</v>
      </c>
      <c r="T498" s="76">
        <v>-2.63</v>
      </c>
      <c r="U498" s="76">
        <v>0.42</v>
      </c>
      <c r="V498" s="76">
        <v>0.58</v>
      </c>
      <c r="W498" s="76">
        <v>0.16</v>
      </c>
      <c r="X498" s="76">
        <v>21.43</v>
      </c>
      <c r="Y498" s="76">
        <v>0.0</v>
      </c>
      <c r="Z498" s="79">
        <v>1615.0</v>
      </c>
      <c r="AA498" s="76">
        <v>10.05</v>
      </c>
      <c r="AB498" s="76">
        <v>-1.37</v>
      </c>
      <c r="AC498" s="76">
        <v>0.01</v>
      </c>
      <c r="AD498" s="79">
        <v>4.017200527E8</v>
      </c>
      <c r="AE498" s="80"/>
    </row>
    <row r="499">
      <c r="A499" s="73" t="s">
        <v>548</v>
      </c>
      <c r="B499" s="76">
        <v>1.17</v>
      </c>
      <c r="C499" s="76">
        <v>0.0</v>
      </c>
      <c r="D499" s="76">
        <v>-2.57</v>
      </c>
      <c r="E499" s="76">
        <v>0.35</v>
      </c>
      <c r="F499" s="76">
        <v>0.15</v>
      </c>
      <c r="G499" s="76">
        <v>-10.2</v>
      </c>
      <c r="H499" s="76">
        <v>-6.53</v>
      </c>
      <c r="I499" s="76">
        <v>-36.23</v>
      </c>
      <c r="J499" s="76">
        <v>-14.25</v>
      </c>
      <c r="K499" s="76">
        <v>-34.31</v>
      </c>
      <c r="L499" s="76">
        <v>-21.19</v>
      </c>
      <c r="M499" s="76">
        <v>0.52</v>
      </c>
      <c r="N499" s="76">
        <v>0.93</v>
      </c>
      <c r="O499" s="76">
        <v>-2.52</v>
      </c>
      <c r="P499" s="76">
        <v>-0.16</v>
      </c>
      <c r="Q499" s="76">
        <v>0.58</v>
      </c>
      <c r="R499" s="76">
        <v>-13.6</v>
      </c>
      <c r="S499" s="76">
        <v>-5.71</v>
      </c>
      <c r="T499" s="76">
        <v>-2.63</v>
      </c>
      <c r="U499" s="76">
        <v>0.42</v>
      </c>
      <c r="V499" s="76">
        <v>0.58</v>
      </c>
      <c r="W499" s="76">
        <v>0.16</v>
      </c>
      <c r="X499" s="76">
        <v>21.43</v>
      </c>
      <c r="Y499" s="76">
        <v>0.0</v>
      </c>
      <c r="Z499" s="76">
        <v>95957.14</v>
      </c>
      <c r="AA499" s="76">
        <v>3.35</v>
      </c>
      <c r="AB499" s="76">
        <v>-0.46</v>
      </c>
      <c r="AC499" s="76">
        <v>0.01</v>
      </c>
      <c r="AD499" s="79">
        <v>4.017200527E8</v>
      </c>
      <c r="AE499" s="80"/>
    </row>
    <row r="500">
      <c r="A500" s="73" t="s">
        <v>549</v>
      </c>
      <c r="B500" s="76">
        <v>1.0</v>
      </c>
      <c r="C500" s="76">
        <v>0.0</v>
      </c>
      <c r="D500" s="76">
        <v>-2.19</v>
      </c>
      <c r="E500" s="76">
        <v>0.3</v>
      </c>
      <c r="F500" s="76">
        <v>0.13</v>
      </c>
      <c r="G500" s="76">
        <v>-10.2</v>
      </c>
      <c r="H500" s="76">
        <v>-6.53</v>
      </c>
      <c r="I500" s="76">
        <v>-36.23</v>
      </c>
      <c r="J500" s="76">
        <v>-12.18</v>
      </c>
      <c r="K500" s="76">
        <v>-34.31</v>
      </c>
      <c r="L500" s="76">
        <v>-21.19</v>
      </c>
      <c r="M500" s="76">
        <v>0.52</v>
      </c>
      <c r="N500" s="76">
        <v>0.8</v>
      </c>
      <c r="O500" s="76">
        <v>-2.15</v>
      </c>
      <c r="P500" s="76">
        <v>-0.14</v>
      </c>
      <c r="Q500" s="76">
        <v>0.58</v>
      </c>
      <c r="R500" s="76">
        <v>-13.6</v>
      </c>
      <c r="S500" s="76">
        <v>-5.71</v>
      </c>
      <c r="T500" s="76">
        <v>-2.63</v>
      </c>
      <c r="U500" s="76">
        <v>0.42</v>
      </c>
      <c r="V500" s="76">
        <v>0.58</v>
      </c>
      <c r="W500" s="76">
        <v>0.16</v>
      </c>
      <c r="X500" s="76">
        <v>21.43</v>
      </c>
      <c r="Y500" s="76">
        <v>0.0</v>
      </c>
      <c r="Z500" s="79">
        <v>81851.05</v>
      </c>
      <c r="AA500" s="76">
        <v>3.35</v>
      </c>
      <c r="AB500" s="76">
        <v>-0.46</v>
      </c>
      <c r="AC500" s="76">
        <v>0.01</v>
      </c>
      <c r="AD500" s="79">
        <v>4.017200527E8</v>
      </c>
      <c r="AE500" s="80"/>
    </row>
    <row r="501">
      <c r="A501" s="73" t="s">
        <v>550</v>
      </c>
      <c r="B501" s="76">
        <v>8.24</v>
      </c>
      <c r="C501" s="76">
        <v>8.74</v>
      </c>
      <c r="D501" s="76">
        <v>9.02</v>
      </c>
      <c r="E501" s="76">
        <v>0.61</v>
      </c>
      <c r="F501" s="76">
        <v>0.28</v>
      </c>
      <c r="G501" s="76">
        <v>27.92</v>
      </c>
      <c r="H501" s="76">
        <v>7.04</v>
      </c>
      <c r="I501" s="76">
        <v>6.42</v>
      </c>
      <c r="J501" s="76">
        <v>8.22</v>
      </c>
      <c r="K501" s="76">
        <v>14.06</v>
      </c>
      <c r="L501" s="76">
        <v>5.84</v>
      </c>
      <c r="M501" s="76">
        <v>0.44</v>
      </c>
      <c r="N501" s="76">
        <v>0.58</v>
      </c>
      <c r="O501" s="76">
        <v>0.78</v>
      </c>
      <c r="P501" s="76">
        <v>-0.74</v>
      </c>
      <c r="Q501" s="76">
        <v>2.35</v>
      </c>
      <c r="R501" s="76">
        <v>6.82</v>
      </c>
      <c r="S501" s="76">
        <v>3.08</v>
      </c>
      <c r="T501" s="76">
        <v>2.47</v>
      </c>
      <c r="U501" s="76">
        <v>0.45</v>
      </c>
      <c r="V501" s="76">
        <v>0.55</v>
      </c>
      <c r="W501" s="76">
        <v>0.48</v>
      </c>
      <c r="X501" s="76">
        <v>6.39</v>
      </c>
      <c r="Y501" s="76">
        <v>-13.37</v>
      </c>
      <c r="Z501" s="79">
        <v>2316491.0</v>
      </c>
      <c r="AA501" s="76">
        <v>13.4</v>
      </c>
      <c r="AB501" s="76">
        <v>0.91</v>
      </c>
      <c r="AC501" s="76">
        <v>-0.36</v>
      </c>
      <c r="AD501" s="79">
        <v>7.677269553E8</v>
      </c>
      <c r="AE501" s="80"/>
    </row>
    <row r="502">
      <c r="A502" s="73" t="s">
        <v>551</v>
      </c>
      <c r="B502" s="76">
        <v>5.32</v>
      </c>
      <c r="C502" s="76">
        <v>0.18</v>
      </c>
      <c r="D502" s="76">
        <v>28.0</v>
      </c>
      <c r="E502" s="76">
        <v>0.45</v>
      </c>
      <c r="F502" s="76">
        <v>0.44</v>
      </c>
      <c r="G502" s="76">
        <v>0.0</v>
      </c>
      <c r="H502" s="76">
        <v>0.0</v>
      </c>
      <c r="I502" s="76">
        <v>0.0</v>
      </c>
      <c r="J502" s="76">
        <v>87.09</v>
      </c>
      <c r="K502" s="76">
        <v>55.48</v>
      </c>
      <c r="L502" s="76">
        <v>-25.11</v>
      </c>
      <c r="M502" s="76">
        <v>-0.13</v>
      </c>
      <c r="N502" s="76">
        <v>0.0</v>
      </c>
      <c r="O502" s="76">
        <v>3.55</v>
      </c>
      <c r="P502" s="76">
        <v>-0.51</v>
      </c>
      <c r="Q502" s="76">
        <v>20.16</v>
      </c>
      <c r="R502" s="76">
        <v>1.6</v>
      </c>
      <c r="S502" s="76">
        <v>1.58</v>
      </c>
      <c r="T502" s="76">
        <v>0.03</v>
      </c>
      <c r="U502" s="76">
        <v>0.99</v>
      </c>
      <c r="V502" s="76">
        <v>0.01</v>
      </c>
      <c r="W502" s="76">
        <v>0.0</v>
      </c>
      <c r="X502" s="76">
        <v>0.0</v>
      </c>
      <c r="Y502" s="76">
        <v>-17.01</v>
      </c>
      <c r="Z502" s="79">
        <v>531.6</v>
      </c>
      <c r="AA502" s="76">
        <v>11.87</v>
      </c>
      <c r="AB502" s="76">
        <v>0.19</v>
      </c>
      <c r="AC502" s="76">
        <v>-0.23</v>
      </c>
      <c r="AD502" s="79">
        <v>4.168662169E8</v>
      </c>
      <c r="AE502" s="80"/>
    </row>
    <row r="503">
      <c r="A503" s="73" t="s">
        <v>552</v>
      </c>
      <c r="B503" s="76">
        <v>6.2</v>
      </c>
      <c r="C503" s="76">
        <v>9.21</v>
      </c>
      <c r="D503" s="76">
        <v>32.63</v>
      </c>
      <c r="E503" s="76">
        <v>0.52</v>
      </c>
      <c r="F503" s="76">
        <v>0.52</v>
      </c>
      <c r="G503" s="76">
        <v>0.0</v>
      </c>
      <c r="H503" s="76">
        <v>0.0</v>
      </c>
      <c r="I503" s="76">
        <v>0.0</v>
      </c>
      <c r="J503" s="76">
        <v>101.49</v>
      </c>
      <c r="K503" s="76">
        <v>55.48</v>
      </c>
      <c r="L503" s="76">
        <v>-25.11</v>
      </c>
      <c r="M503" s="76">
        <v>-0.13</v>
      </c>
      <c r="N503" s="76">
        <v>0.0</v>
      </c>
      <c r="O503" s="76">
        <v>4.14</v>
      </c>
      <c r="P503" s="76">
        <v>-0.59</v>
      </c>
      <c r="Q503" s="76">
        <v>20.16</v>
      </c>
      <c r="R503" s="76">
        <v>1.6</v>
      </c>
      <c r="S503" s="76">
        <v>1.58</v>
      </c>
      <c r="T503" s="76">
        <v>0.03</v>
      </c>
      <c r="U503" s="76">
        <v>0.99</v>
      </c>
      <c r="V503" s="76">
        <v>0.01</v>
      </c>
      <c r="W503" s="76">
        <v>0.0</v>
      </c>
      <c r="X503" s="76">
        <v>0.0</v>
      </c>
      <c r="Y503" s="76">
        <v>-17.01</v>
      </c>
      <c r="Z503" s="79">
        <v>1033.92</v>
      </c>
      <c r="AA503" s="76">
        <v>11.87</v>
      </c>
      <c r="AB503" s="76">
        <v>0.19</v>
      </c>
      <c r="AC503" s="76">
        <v>-0.27</v>
      </c>
      <c r="AD503" s="79">
        <v>4.168662169E8</v>
      </c>
      <c r="AE503" s="80"/>
    </row>
    <row r="504">
      <c r="A504" s="73" t="s">
        <v>553</v>
      </c>
      <c r="B504" s="76">
        <v>4.45</v>
      </c>
      <c r="C504" s="76">
        <v>0.21</v>
      </c>
      <c r="D504" s="76">
        <v>23.42</v>
      </c>
      <c r="E504" s="76">
        <v>0.37</v>
      </c>
      <c r="F504" s="76">
        <v>0.37</v>
      </c>
      <c r="G504" s="76">
        <v>0.0</v>
      </c>
      <c r="H504" s="76">
        <v>0.0</v>
      </c>
      <c r="I504" s="76">
        <v>0.0</v>
      </c>
      <c r="J504" s="76">
        <v>72.85</v>
      </c>
      <c r="K504" s="76">
        <v>55.48</v>
      </c>
      <c r="L504" s="76">
        <v>-25.11</v>
      </c>
      <c r="M504" s="76">
        <v>-0.13</v>
      </c>
      <c r="N504" s="76">
        <v>0.0</v>
      </c>
      <c r="O504" s="76">
        <v>2.97</v>
      </c>
      <c r="P504" s="76">
        <v>-0.43</v>
      </c>
      <c r="Q504" s="76">
        <v>20.16</v>
      </c>
      <c r="R504" s="76">
        <v>1.6</v>
      </c>
      <c r="S504" s="76">
        <v>1.58</v>
      </c>
      <c r="T504" s="76">
        <v>0.03</v>
      </c>
      <c r="U504" s="76">
        <v>0.99</v>
      </c>
      <c r="V504" s="76">
        <v>0.01</v>
      </c>
      <c r="W504" s="76">
        <v>0.0</v>
      </c>
      <c r="X504" s="76">
        <v>0.0</v>
      </c>
      <c r="Y504" s="76">
        <v>-17.01</v>
      </c>
      <c r="Z504" s="79">
        <v>5340.0</v>
      </c>
      <c r="AA504" s="76">
        <v>11.87</v>
      </c>
      <c r="AB504" s="76">
        <v>0.19</v>
      </c>
      <c r="AC504" s="76">
        <v>-0.2</v>
      </c>
      <c r="AD504" s="79">
        <v>4.168662169E8</v>
      </c>
      <c r="AE504" s="80"/>
    </row>
    <row r="505">
      <c r="A505" s="73" t="s">
        <v>554</v>
      </c>
      <c r="B505" s="76">
        <v>2.28</v>
      </c>
      <c r="C505" s="76">
        <v>0.0</v>
      </c>
      <c r="D505" s="76">
        <v>-0.09</v>
      </c>
      <c r="E505" s="76">
        <v>-0.02</v>
      </c>
      <c r="F505" s="76">
        <v>0.02</v>
      </c>
      <c r="G505" s="76">
        <v>-14.43</v>
      </c>
      <c r="H505" s="76">
        <v>-20.96</v>
      </c>
      <c r="I505" s="76">
        <v>-19.19</v>
      </c>
      <c r="J505" s="76">
        <v>-0.09</v>
      </c>
      <c r="K505" s="76">
        <v>-0.06</v>
      </c>
      <c r="L505" s="76">
        <v>0.03</v>
      </c>
      <c r="M505" s="76">
        <v>0.0</v>
      </c>
      <c r="N505" s="76">
        <v>0.02</v>
      </c>
      <c r="O505" s="76">
        <v>-0.05</v>
      </c>
      <c r="P505" s="76">
        <v>-0.33</v>
      </c>
      <c r="Q505" s="76">
        <v>0.76</v>
      </c>
      <c r="R505" s="76">
        <v>-22.32</v>
      </c>
      <c r="S505" s="76">
        <v>-16.12</v>
      </c>
      <c r="T505" s="76">
        <v>24.36</v>
      </c>
      <c r="U505" s="76">
        <v>-0.72</v>
      </c>
      <c r="V505" s="76">
        <v>1.72</v>
      </c>
      <c r="W505" s="76">
        <v>0.84</v>
      </c>
      <c r="X505" s="76">
        <v>42.58</v>
      </c>
      <c r="Y505" s="76">
        <v>0.0</v>
      </c>
      <c r="Z505" s="76">
        <v>9988.85</v>
      </c>
      <c r="AA505" s="76">
        <v>-109.81</v>
      </c>
      <c r="AB505" s="76">
        <v>-24.51</v>
      </c>
      <c r="AC505" s="76">
        <v>0.0</v>
      </c>
      <c r="AD505" s="79">
        <v>1.543369141E8</v>
      </c>
      <c r="AE505" s="74"/>
    </row>
    <row r="506">
      <c r="A506" s="73" t="s">
        <v>555</v>
      </c>
      <c r="B506" s="76">
        <v>1.65</v>
      </c>
      <c r="C506" s="76">
        <v>0.0</v>
      </c>
      <c r="D506" s="76">
        <v>0.12</v>
      </c>
      <c r="E506" s="76">
        <v>-0.03</v>
      </c>
      <c r="F506" s="76">
        <v>0.07</v>
      </c>
      <c r="G506" s="76">
        <v>28.74</v>
      </c>
      <c r="H506" s="76">
        <v>-311.91</v>
      </c>
      <c r="I506" s="76">
        <v>327.6</v>
      </c>
      <c r="J506" s="76">
        <v>-0.13</v>
      </c>
      <c r="K506" s="76">
        <v>-1.46</v>
      </c>
      <c r="L506" s="76">
        <v>-1.34</v>
      </c>
      <c r="M506" s="76">
        <v>0.0</v>
      </c>
      <c r="N506" s="76">
        <v>0.4</v>
      </c>
      <c r="O506" s="76">
        <v>-0.11</v>
      </c>
      <c r="P506" s="76">
        <v>-0.13</v>
      </c>
      <c r="Q506" s="76">
        <v>0.45</v>
      </c>
      <c r="R506" s="76">
        <v>-28.42</v>
      </c>
      <c r="S506" s="76">
        <v>54.91</v>
      </c>
      <c r="T506" s="76">
        <v>101.17</v>
      </c>
      <c r="U506" s="76">
        <v>-1.93</v>
      </c>
      <c r="V506" s="76">
        <v>2.93</v>
      </c>
      <c r="W506" s="76">
        <v>0.17</v>
      </c>
      <c r="X506" s="76">
        <v>-41.82</v>
      </c>
      <c r="Y506" s="76">
        <v>0.0</v>
      </c>
      <c r="Z506" s="79">
        <v>6829.53</v>
      </c>
      <c r="AA506" s="76">
        <v>-47.95</v>
      </c>
      <c r="AB506" s="76">
        <v>13.63</v>
      </c>
      <c r="AC506" s="76">
        <v>0.0</v>
      </c>
      <c r="AD506" s="79">
        <v>3.34491366E7</v>
      </c>
      <c r="AE506" s="80"/>
    </row>
    <row r="507">
      <c r="A507" s="73" t="s">
        <v>556</v>
      </c>
      <c r="B507" s="76">
        <v>0.0</v>
      </c>
      <c r="C507" s="76">
        <v>0.0</v>
      </c>
      <c r="D507" s="76">
        <v>0.0</v>
      </c>
      <c r="E507" s="76">
        <v>0.0</v>
      </c>
      <c r="F507" s="76">
        <v>0.0</v>
      </c>
      <c r="G507" s="76">
        <v>41.53</v>
      </c>
      <c r="H507" s="76">
        <v>22.29</v>
      </c>
      <c r="I507" s="76">
        <v>15.48</v>
      </c>
      <c r="J507" s="76">
        <v>0.0</v>
      </c>
      <c r="K507" s="76">
        <v>1.33</v>
      </c>
      <c r="L507" s="76">
        <v>-0.53</v>
      </c>
      <c r="M507" s="76">
        <v>-0.18</v>
      </c>
      <c r="N507" s="76">
        <v>0.0</v>
      </c>
      <c r="O507" s="76">
        <v>0.0</v>
      </c>
      <c r="P507" s="76">
        <v>0.0</v>
      </c>
      <c r="Q507" s="76">
        <v>2.6</v>
      </c>
      <c r="R507" s="76">
        <v>23.91</v>
      </c>
      <c r="S507" s="76">
        <v>14.93</v>
      </c>
      <c r="T507" s="76">
        <v>13.41</v>
      </c>
      <c r="U507" s="76">
        <v>0.62</v>
      </c>
      <c r="V507" s="76">
        <v>0.38</v>
      </c>
      <c r="W507" s="76">
        <v>0.96</v>
      </c>
      <c r="X507" s="76">
        <v>17.77</v>
      </c>
      <c r="Y507" s="76">
        <v>30.5</v>
      </c>
      <c r="Z507" s="79">
        <v>0.0</v>
      </c>
      <c r="AA507" s="76">
        <v>45.12</v>
      </c>
      <c r="AB507" s="76">
        <v>10.79</v>
      </c>
      <c r="AC507" s="76">
        <v>0.0</v>
      </c>
      <c r="AD507" s="79">
        <v>1.753145085E8</v>
      </c>
      <c r="AE507" s="80"/>
    </row>
    <row r="508">
      <c r="A508" s="73" t="s">
        <v>557</v>
      </c>
      <c r="B508" s="76">
        <v>70.26</v>
      </c>
      <c r="C508" s="76">
        <v>0.0</v>
      </c>
      <c r="D508" s="76">
        <v>6.51</v>
      </c>
      <c r="E508" s="76">
        <v>1.56</v>
      </c>
      <c r="F508" s="76">
        <v>0.97</v>
      </c>
      <c r="G508" s="76">
        <v>41.53</v>
      </c>
      <c r="H508" s="76">
        <v>22.29</v>
      </c>
      <c r="I508" s="76">
        <v>15.48</v>
      </c>
      <c r="J508" s="76">
        <v>4.52</v>
      </c>
      <c r="K508" s="76">
        <v>1.33</v>
      </c>
      <c r="L508" s="76">
        <v>-0.53</v>
      </c>
      <c r="M508" s="76">
        <v>-0.18</v>
      </c>
      <c r="N508" s="76">
        <v>1.01</v>
      </c>
      <c r="O508" s="76">
        <v>2.76</v>
      </c>
      <c r="P508" s="76">
        <v>-2.27</v>
      </c>
      <c r="Q508" s="76">
        <v>2.6</v>
      </c>
      <c r="R508" s="76">
        <v>23.91</v>
      </c>
      <c r="S508" s="76">
        <v>14.93</v>
      </c>
      <c r="T508" s="76">
        <v>13.41</v>
      </c>
      <c r="U508" s="76">
        <v>0.62</v>
      </c>
      <c r="V508" s="76">
        <v>0.38</v>
      </c>
      <c r="W508" s="76">
        <v>0.96</v>
      </c>
      <c r="X508" s="76">
        <v>17.77</v>
      </c>
      <c r="Y508" s="76">
        <v>30.5</v>
      </c>
      <c r="Z508" s="76">
        <v>205151.1</v>
      </c>
      <c r="AA508" s="76">
        <v>45.12</v>
      </c>
      <c r="AB508" s="76">
        <v>10.79</v>
      </c>
      <c r="AC508" s="76">
        <v>0.36</v>
      </c>
      <c r="AD508" s="79">
        <v>1.753145085E8</v>
      </c>
      <c r="AE508" s="80"/>
    </row>
    <row r="509">
      <c r="A509" s="73" t="s">
        <v>558</v>
      </c>
      <c r="B509" s="76">
        <v>35.59</v>
      </c>
      <c r="C509" s="76">
        <v>6.11</v>
      </c>
      <c r="D509" s="76">
        <v>11.49</v>
      </c>
      <c r="E509" s="76">
        <v>0.0</v>
      </c>
      <c r="F509" s="76">
        <v>0.0</v>
      </c>
      <c r="G509" s="76">
        <v>37.88</v>
      </c>
      <c r="H509" s="76">
        <v>10.1</v>
      </c>
      <c r="I509" s="76">
        <v>7.42</v>
      </c>
      <c r="J509" s="76">
        <v>8.44</v>
      </c>
      <c r="K509" s="76">
        <v>8.44</v>
      </c>
      <c r="L509" s="76">
        <v>0.0</v>
      </c>
      <c r="M509" s="76">
        <v>0.0</v>
      </c>
      <c r="N509" s="76">
        <v>0.85</v>
      </c>
      <c r="O509" s="76">
        <v>0.0</v>
      </c>
      <c r="P509" s="76">
        <v>0.0</v>
      </c>
      <c r="Q509" s="76">
        <v>0.0</v>
      </c>
      <c r="R509" s="76">
        <v>0.0</v>
      </c>
      <c r="S509" s="76">
        <v>0.0</v>
      </c>
      <c r="T509" s="76">
        <v>0.0</v>
      </c>
      <c r="U509" s="76">
        <v>0.0</v>
      </c>
      <c r="V509" s="76">
        <v>0.0</v>
      </c>
      <c r="W509" s="76">
        <v>0.0</v>
      </c>
      <c r="X509" s="76">
        <v>13.5</v>
      </c>
      <c r="Y509" s="76">
        <v>-6.94</v>
      </c>
      <c r="Z509" s="79">
        <v>1.78E8</v>
      </c>
      <c r="AA509" s="76">
        <v>0.0</v>
      </c>
      <c r="AB509" s="76">
        <v>3.1</v>
      </c>
      <c r="AC509" s="76">
        <v>6.28</v>
      </c>
      <c r="AD509" s="79">
        <v>1.33436E11</v>
      </c>
      <c r="AE509" s="80"/>
    </row>
    <row r="510">
      <c r="A510" s="73" t="s">
        <v>559</v>
      </c>
      <c r="B510" s="76">
        <v>17.67</v>
      </c>
      <c r="C510" s="76">
        <v>5.86</v>
      </c>
      <c r="D510" s="76">
        <v>11.41</v>
      </c>
      <c r="E510" s="76">
        <v>0.0</v>
      </c>
      <c r="F510" s="76">
        <v>0.0</v>
      </c>
      <c r="G510" s="76">
        <v>37.88</v>
      </c>
      <c r="H510" s="76">
        <v>10.1</v>
      </c>
      <c r="I510" s="76">
        <v>7.42</v>
      </c>
      <c r="J510" s="76">
        <v>8.38</v>
      </c>
      <c r="K510" s="76">
        <v>8.44</v>
      </c>
      <c r="L510" s="76">
        <v>0.0</v>
      </c>
      <c r="M510" s="76">
        <v>0.0</v>
      </c>
      <c r="N510" s="76">
        <v>0.85</v>
      </c>
      <c r="O510" s="76">
        <v>0.0</v>
      </c>
      <c r="P510" s="76">
        <v>0.0</v>
      </c>
      <c r="Q510" s="76">
        <v>0.0</v>
      </c>
      <c r="R510" s="76">
        <v>0.0</v>
      </c>
      <c r="S510" s="76">
        <v>0.0</v>
      </c>
      <c r="T510" s="76">
        <v>0.0</v>
      </c>
      <c r="U510" s="76">
        <v>0.0</v>
      </c>
      <c r="V510" s="76">
        <v>0.0</v>
      </c>
      <c r="W510" s="76">
        <v>0.0</v>
      </c>
      <c r="X510" s="76">
        <v>13.5</v>
      </c>
      <c r="Y510" s="76">
        <v>-6.94</v>
      </c>
      <c r="Z510" s="76">
        <v>1459605.0</v>
      </c>
      <c r="AA510" s="76">
        <v>0.0</v>
      </c>
      <c r="AB510" s="76">
        <v>1.55</v>
      </c>
      <c r="AC510" s="76">
        <v>6.24</v>
      </c>
      <c r="AD510" s="79">
        <v>1.33436E11</v>
      </c>
      <c r="AE510" s="80"/>
    </row>
    <row r="511">
      <c r="A511" s="73" t="s">
        <v>560</v>
      </c>
      <c r="B511" s="76">
        <v>17.94</v>
      </c>
      <c r="C511" s="76">
        <v>6.35</v>
      </c>
      <c r="D511" s="76">
        <v>11.59</v>
      </c>
      <c r="E511" s="76">
        <v>0.0</v>
      </c>
      <c r="F511" s="76">
        <v>0.0</v>
      </c>
      <c r="G511" s="76">
        <v>37.88</v>
      </c>
      <c r="H511" s="76">
        <v>10.1</v>
      </c>
      <c r="I511" s="76">
        <v>7.42</v>
      </c>
      <c r="J511" s="76">
        <v>8.51</v>
      </c>
      <c r="K511" s="76">
        <v>8.44</v>
      </c>
      <c r="L511" s="76">
        <v>0.0</v>
      </c>
      <c r="M511" s="76">
        <v>0.0</v>
      </c>
      <c r="N511" s="76">
        <v>0.86</v>
      </c>
      <c r="O511" s="76">
        <v>0.0</v>
      </c>
      <c r="P511" s="76">
        <v>0.0</v>
      </c>
      <c r="Q511" s="76">
        <v>0.0</v>
      </c>
      <c r="R511" s="76">
        <v>0.0</v>
      </c>
      <c r="S511" s="76">
        <v>0.0</v>
      </c>
      <c r="T511" s="76">
        <v>0.0</v>
      </c>
      <c r="U511" s="76">
        <v>0.0</v>
      </c>
      <c r="V511" s="76">
        <v>0.0</v>
      </c>
      <c r="W511" s="76">
        <v>0.0</v>
      </c>
      <c r="X511" s="76">
        <v>13.5</v>
      </c>
      <c r="Y511" s="76">
        <v>-6.94</v>
      </c>
      <c r="Z511" s="76">
        <v>1824570.0</v>
      </c>
      <c r="AA511" s="76">
        <v>0.0</v>
      </c>
      <c r="AB511" s="76">
        <v>1.55</v>
      </c>
      <c r="AC511" s="76">
        <v>6.33</v>
      </c>
      <c r="AD511" s="79">
        <v>1.33436E11</v>
      </c>
      <c r="AE511" s="80"/>
    </row>
    <row r="512">
      <c r="A512" s="73" t="s">
        <v>561</v>
      </c>
      <c r="B512" s="76">
        <v>46.71</v>
      </c>
      <c r="C512" s="76">
        <v>4.2</v>
      </c>
      <c r="D512" s="76">
        <v>6.62</v>
      </c>
      <c r="E512" s="76">
        <v>1.17</v>
      </c>
      <c r="F512" s="76">
        <v>0.54</v>
      </c>
      <c r="G512" s="76">
        <v>56.51</v>
      </c>
      <c r="H512" s="76">
        <v>33.28</v>
      </c>
      <c r="I512" s="76">
        <v>30.05</v>
      </c>
      <c r="J512" s="76">
        <v>5.98</v>
      </c>
      <c r="K512" s="76">
        <v>6.57</v>
      </c>
      <c r="L512" s="76">
        <v>0.58</v>
      </c>
      <c r="M512" s="76">
        <v>0.11</v>
      </c>
      <c r="N512" s="76">
        <v>1.99</v>
      </c>
      <c r="O512" s="76">
        <v>8.73</v>
      </c>
      <c r="P512" s="76">
        <v>-0.76</v>
      </c>
      <c r="Q512" s="76">
        <v>1.28</v>
      </c>
      <c r="R512" s="76">
        <v>17.71</v>
      </c>
      <c r="S512" s="76">
        <v>8.2</v>
      </c>
      <c r="T512" s="76">
        <v>12.11</v>
      </c>
      <c r="U512" s="76">
        <v>0.46</v>
      </c>
      <c r="V512" s="76">
        <v>0.54</v>
      </c>
      <c r="W512" s="76">
        <v>0.27</v>
      </c>
      <c r="X512" s="76">
        <v>7.71</v>
      </c>
      <c r="Y512" s="76">
        <v>14.56</v>
      </c>
      <c r="Z512" s="76">
        <v>6.1269908E7</v>
      </c>
      <c r="AA512" s="76">
        <v>39.81</v>
      </c>
      <c r="AB512" s="76">
        <v>7.05</v>
      </c>
      <c r="AC512" s="76">
        <v>0.16</v>
      </c>
      <c r="AD512" s="79">
        <v>1.4117681959E10</v>
      </c>
      <c r="AE512" s="80"/>
    </row>
    <row r="513">
      <c r="A513" s="73" t="s">
        <v>562</v>
      </c>
      <c r="B513" s="76">
        <v>11.3</v>
      </c>
      <c r="C513" s="76">
        <v>3.21</v>
      </c>
      <c r="D513" s="76">
        <v>8.01</v>
      </c>
      <c r="E513" s="76">
        <v>1.42</v>
      </c>
      <c r="F513" s="76">
        <v>0.66</v>
      </c>
      <c r="G513" s="76">
        <v>56.51</v>
      </c>
      <c r="H513" s="76">
        <v>33.28</v>
      </c>
      <c r="I513" s="76">
        <v>30.05</v>
      </c>
      <c r="J513" s="76">
        <v>7.24</v>
      </c>
      <c r="K513" s="76">
        <v>6.57</v>
      </c>
      <c r="L513" s="76">
        <v>0.58</v>
      </c>
      <c r="M513" s="76">
        <v>0.11</v>
      </c>
      <c r="N513" s="76">
        <v>2.41</v>
      </c>
      <c r="O513" s="76">
        <v>10.55</v>
      </c>
      <c r="P513" s="76">
        <v>-0.92</v>
      </c>
      <c r="Q513" s="76">
        <v>1.28</v>
      </c>
      <c r="R513" s="76">
        <v>17.71</v>
      </c>
      <c r="S513" s="76">
        <v>8.2</v>
      </c>
      <c r="T513" s="76">
        <v>12.11</v>
      </c>
      <c r="U513" s="76">
        <v>0.46</v>
      </c>
      <c r="V513" s="76">
        <v>0.54</v>
      </c>
      <c r="W513" s="76">
        <v>0.27</v>
      </c>
      <c r="X513" s="76">
        <v>7.71</v>
      </c>
      <c r="Y513" s="76">
        <v>14.56</v>
      </c>
      <c r="Z513" s="76">
        <v>2301775.0</v>
      </c>
      <c r="AA513" s="76">
        <v>7.96</v>
      </c>
      <c r="AB513" s="76">
        <v>1.41</v>
      </c>
      <c r="AC513" s="76">
        <v>0.19</v>
      </c>
      <c r="AD513" s="79">
        <v>1.4117681959E10</v>
      </c>
      <c r="AE513" s="80"/>
    </row>
    <row r="514">
      <c r="A514" s="73" t="s">
        <v>563</v>
      </c>
      <c r="B514" s="76">
        <v>8.86</v>
      </c>
      <c r="C514" s="76">
        <v>4.51</v>
      </c>
      <c r="D514" s="76">
        <v>6.28</v>
      </c>
      <c r="E514" s="76">
        <v>1.11</v>
      </c>
      <c r="F514" s="76">
        <v>0.51</v>
      </c>
      <c r="G514" s="76">
        <v>56.51</v>
      </c>
      <c r="H514" s="76">
        <v>33.28</v>
      </c>
      <c r="I514" s="76">
        <v>30.05</v>
      </c>
      <c r="J514" s="76">
        <v>5.67</v>
      </c>
      <c r="K514" s="76">
        <v>6.57</v>
      </c>
      <c r="L514" s="76">
        <v>0.58</v>
      </c>
      <c r="M514" s="76">
        <v>0.11</v>
      </c>
      <c r="N514" s="76">
        <v>1.89</v>
      </c>
      <c r="O514" s="76">
        <v>8.28</v>
      </c>
      <c r="P514" s="76">
        <v>-0.72</v>
      </c>
      <c r="Q514" s="76">
        <v>1.28</v>
      </c>
      <c r="R514" s="76">
        <v>17.71</v>
      </c>
      <c r="S514" s="76">
        <v>8.2</v>
      </c>
      <c r="T514" s="76">
        <v>12.11</v>
      </c>
      <c r="U514" s="76">
        <v>0.46</v>
      </c>
      <c r="V514" s="76">
        <v>0.54</v>
      </c>
      <c r="W514" s="76">
        <v>0.27</v>
      </c>
      <c r="X514" s="76">
        <v>7.71</v>
      </c>
      <c r="Y514" s="76">
        <v>14.56</v>
      </c>
      <c r="Z514" s="76">
        <v>1.0479448E7</v>
      </c>
      <c r="AA514" s="76">
        <v>7.96</v>
      </c>
      <c r="AB514" s="76">
        <v>1.41</v>
      </c>
      <c r="AC514" s="76">
        <v>0.15</v>
      </c>
      <c r="AD514" s="79">
        <v>1.4117681959E10</v>
      </c>
      <c r="AE514" s="80"/>
    </row>
    <row r="515">
      <c r="A515" s="73" t="s">
        <v>564</v>
      </c>
      <c r="B515" s="76">
        <v>12.54</v>
      </c>
      <c r="C515" s="76">
        <v>4.37</v>
      </c>
      <c r="D515" s="76">
        <v>9.14</v>
      </c>
      <c r="E515" s="76">
        <v>1.03</v>
      </c>
      <c r="F515" s="76">
        <v>0.34</v>
      </c>
      <c r="G515" s="76">
        <v>48.5</v>
      </c>
      <c r="H515" s="76">
        <v>7.3</v>
      </c>
      <c r="I515" s="76">
        <v>4.48</v>
      </c>
      <c r="J515" s="76">
        <v>5.61</v>
      </c>
      <c r="K515" s="76">
        <v>9.75</v>
      </c>
      <c r="L515" s="76">
        <v>4.13</v>
      </c>
      <c r="M515" s="76">
        <v>0.76</v>
      </c>
      <c r="N515" s="76">
        <v>0.41</v>
      </c>
      <c r="O515" s="76">
        <v>2.11</v>
      </c>
      <c r="P515" s="76">
        <v>-0.72</v>
      </c>
      <c r="Q515" s="76">
        <v>1.44</v>
      </c>
      <c r="R515" s="76">
        <v>11.26</v>
      </c>
      <c r="S515" s="76">
        <v>3.7</v>
      </c>
      <c r="T515" s="76">
        <v>8.56</v>
      </c>
      <c r="U515" s="76">
        <v>0.33</v>
      </c>
      <c r="V515" s="76">
        <v>0.67</v>
      </c>
      <c r="W515" s="76">
        <v>0.82</v>
      </c>
      <c r="X515" s="76">
        <v>22.95</v>
      </c>
      <c r="Y515" s="76">
        <v>1.58</v>
      </c>
      <c r="Z515" s="79">
        <v>3.3219934E7</v>
      </c>
      <c r="AA515" s="76">
        <v>12.18</v>
      </c>
      <c r="AB515" s="76">
        <v>1.37</v>
      </c>
      <c r="AC515" s="76">
        <v>-0.25</v>
      </c>
      <c r="AD515" s="79">
        <v>3.066723838E9</v>
      </c>
      <c r="AE515" s="80"/>
    </row>
    <row r="516">
      <c r="A516" s="73" t="s">
        <v>565</v>
      </c>
      <c r="B516" s="76">
        <v>153.53</v>
      </c>
      <c r="C516" s="76">
        <v>4.15</v>
      </c>
      <c r="D516" s="76">
        <v>14.98</v>
      </c>
      <c r="E516" s="76">
        <v>2.53</v>
      </c>
      <c r="F516" s="76">
        <v>1.13</v>
      </c>
      <c r="G516" s="76">
        <v>38.46</v>
      </c>
      <c r="H516" s="76">
        <v>30.29</v>
      </c>
      <c r="I516" s="76">
        <v>20.81</v>
      </c>
      <c r="J516" s="76">
        <v>10.29</v>
      </c>
      <c r="K516" s="76">
        <v>12.51</v>
      </c>
      <c r="L516" s="76">
        <v>2.22</v>
      </c>
      <c r="M516" s="76">
        <v>0.54</v>
      </c>
      <c r="N516" s="76">
        <v>3.12</v>
      </c>
      <c r="O516" s="76">
        <v>43.11</v>
      </c>
      <c r="P516" s="76">
        <v>-1.37</v>
      </c>
      <c r="Q516" s="76">
        <v>1.17</v>
      </c>
      <c r="R516" s="76">
        <v>16.88</v>
      </c>
      <c r="S516" s="76">
        <v>7.51</v>
      </c>
      <c r="T516" s="76">
        <v>6.21</v>
      </c>
      <c r="U516" s="76">
        <v>0.44</v>
      </c>
      <c r="V516" s="76">
        <v>0.56</v>
      </c>
      <c r="W516" s="76">
        <v>0.36</v>
      </c>
      <c r="X516" s="76">
        <v>14.98</v>
      </c>
      <c r="Y516" s="76">
        <v>16.45</v>
      </c>
      <c r="Z516" s="77">
        <v>4.68E8</v>
      </c>
      <c r="AA516" s="77">
        <v>60.69</v>
      </c>
      <c r="AB516" s="76">
        <v>10.25</v>
      </c>
      <c r="AC516" s="76">
        <v>-0.66</v>
      </c>
      <c r="AD516" s="79">
        <v>1.0805E11</v>
      </c>
      <c r="AE516" s="80"/>
    </row>
    <row r="517">
      <c r="A517" s="73" t="s">
        <v>566</v>
      </c>
      <c r="B517" s="76">
        <v>15.2</v>
      </c>
      <c r="C517" s="76">
        <v>46.72</v>
      </c>
      <c r="D517" s="76">
        <v>-14.35</v>
      </c>
      <c r="E517" s="76">
        <v>0.58</v>
      </c>
      <c r="F517" s="76">
        <v>0.31</v>
      </c>
      <c r="G517" s="76">
        <v>40.14</v>
      </c>
      <c r="H517" s="76">
        <v>18.07</v>
      </c>
      <c r="I517" s="76">
        <v>-15.41</v>
      </c>
      <c r="J517" s="76">
        <v>12.24</v>
      </c>
      <c r="K517" s="76">
        <v>22.64</v>
      </c>
      <c r="L517" s="76">
        <v>10.41</v>
      </c>
      <c r="M517" s="76">
        <v>0.5</v>
      </c>
      <c r="N517" s="76">
        <v>2.21</v>
      </c>
      <c r="O517" s="76">
        <v>1.71</v>
      </c>
      <c r="P517" s="76">
        <v>-0.41</v>
      </c>
      <c r="Q517" s="76">
        <v>3.3</v>
      </c>
      <c r="R517" s="76">
        <v>-4.06</v>
      </c>
      <c r="S517" s="76">
        <v>-2.13</v>
      </c>
      <c r="T517" s="76">
        <v>1.75</v>
      </c>
      <c r="U517" s="76">
        <v>0.52</v>
      </c>
      <c r="V517" s="76">
        <v>0.47</v>
      </c>
      <c r="W517" s="76">
        <v>0.14</v>
      </c>
      <c r="X517" s="76">
        <v>6.45</v>
      </c>
      <c r="Y517" s="76">
        <v>0.0</v>
      </c>
      <c r="Z517" s="76">
        <v>755916.0</v>
      </c>
      <c r="AA517" s="77">
        <v>26.06</v>
      </c>
      <c r="AB517" s="76">
        <v>-1.06</v>
      </c>
      <c r="AC517" s="76">
        <v>0.12</v>
      </c>
      <c r="AD517" s="79">
        <v>8.776072488E8</v>
      </c>
      <c r="AE517" s="80"/>
    </row>
    <row r="518">
      <c r="A518" s="73" t="s">
        <v>567</v>
      </c>
      <c r="B518" s="76">
        <v>23.8</v>
      </c>
      <c r="C518" s="76">
        <v>0.0</v>
      </c>
      <c r="D518" s="76">
        <v>-13.36</v>
      </c>
      <c r="E518" s="76">
        <v>15.0</v>
      </c>
      <c r="F518" s="76">
        <v>1.53</v>
      </c>
      <c r="G518" s="76">
        <v>48.36</v>
      </c>
      <c r="H518" s="76">
        <v>-15.73</v>
      </c>
      <c r="I518" s="76">
        <v>-25.77</v>
      </c>
      <c r="J518" s="76">
        <v>-21.89</v>
      </c>
      <c r="K518" s="76">
        <v>-27.94</v>
      </c>
      <c r="L518" s="76">
        <v>-6.05</v>
      </c>
      <c r="M518" s="76">
        <v>4.15</v>
      </c>
      <c r="N518" s="76">
        <v>3.44</v>
      </c>
      <c r="O518" s="76">
        <v>57.9</v>
      </c>
      <c r="P518" s="76">
        <v>-2.27</v>
      </c>
      <c r="Q518" s="76">
        <v>1.09</v>
      </c>
      <c r="R518" s="76">
        <v>-112.29</v>
      </c>
      <c r="S518" s="76">
        <v>-11.46</v>
      </c>
      <c r="T518" s="76">
        <v>-13.15</v>
      </c>
      <c r="U518" s="76">
        <v>0.1</v>
      </c>
      <c r="V518" s="76">
        <v>0.9</v>
      </c>
      <c r="W518" s="76">
        <v>0.44</v>
      </c>
      <c r="X518" s="76">
        <v>12.49</v>
      </c>
      <c r="Y518" s="76">
        <v>0.0</v>
      </c>
      <c r="Z518" s="77">
        <v>0.0</v>
      </c>
      <c r="AA518" s="76">
        <v>1.59</v>
      </c>
      <c r="AB518" s="76">
        <v>-1.78</v>
      </c>
      <c r="AC518" s="76">
        <v>0.01</v>
      </c>
      <c r="AD518" s="79">
        <v>6.23866782E9</v>
      </c>
      <c r="AE518" s="80"/>
    </row>
    <row r="519">
      <c r="A519" s="73" t="s">
        <v>568</v>
      </c>
      <c r="B519" s="76">
        <v>13.12</v>
      </c>
      <c r="C519" s="76">
        <v>1.17</v>
      </c>
      <c r="D519" s="76">
        <v>15.4</v>
      </c>
      <c r="E519" s="76">
        <v>1.27</v>
      </c>
      <c r="F519" s="76">
        <v>0.5</v>
      </c>
      <c r="G519" s="76">
        <v>58.35</v>
      </c>
      <c r="H519" s="76">
        <v>15.85</v>
      </c>
      <c r="I519" s="76">
        <v>5.06</v>
      </c>
      <c r="J519" s="76">
        <v>4.92</v>
      </c>
      <c r="K519" s="76">
        <v>6.39</v>
      </c>
      <c r="L519" s="76">
        <v>1.48</v>
      </c>
      <c r="M519" s="76">
        <v>0.38</v>
      </c>
      <c r="N519" s="76">
        <v>0.78</v>
      </c>
      <c r="O519" s="76">
        <v>8.29</v>
      </c>
      <c r="P519" s="76">
        <v>-0.7</v>
      </c>
      <c r="Q519" s="76">
        <v>1.27</v>
      </c>
      <c r="R519" s="76">
        <v>8.25</v>
      </c>
      <c r="S519" s="76">
        <v>3.27</v>
      </c>
      <c r="T519" s="76">
        <v>14.93</v>
      </c>
      <c r="U519" s="76">
        <v>0.4</v>
      </c>
      <c r="V519" s="76">
        <v>0.6</v>
      </c>
      <c r="W519" s="76">
        <v>0.65</v>
      </c>
      <c r="X519" s="76">
        <v>9.2</v>
      </c>
      <c r="Y519" s="76">
        <v>-4.26</v>
      </c>
      <c r="Z519" s="76">
        <v>1.7613954E7</v>
      </c>
      <c r="AA519" s="76">
        <v>10.32</v>
      </c>
      <c r="AB519" s="76">
        <v>0.85</v>
      </c>
      <c r="AC519" s="76">
        <v>0.07</v>
      </c>
      <c r="AD519" s="79">
        <v>1.688826867E9</v>
      </c>
      <c r="AE519" s="80"/>
    </row>
    <row r="520">
      <c r="A520" s="73" t="s">
        <v>569</v>
      </c>
      <c r="B520" s="76">
        <v>0.44</v>
      </c>
      <c r="C520" s="76">
        <v>0.0</v>
      </c>
      <c r="D520" s="76">
        <v>-2.77</v>
      </c>
      <c r="E520" s="76">
        <v>-4.23</v>
      </c>
      <c r="F520" s="76">
        <v>3.04</v>
      </c>
      <c r="G520" s="76">
        <v>-1.98</v>
      </c>
      <c r="H520" s="76">
        <v>-126.29</v>
      </c>
      <c r="I520" s="76">
        <v>-125.09</v>
      </c>
      <c r="J520" s="76">
        <v>-2.74</v>
      </c>
      <c r="K520" s="76">
        <v>-3.71</v>
      </c>
      <c r="L520" s="76">
        <v>-0.97</v>
      </c>
      <c r="M520" s="76">
        <v>0.0</v>
      </c>
      <c r="N520" s="76">
        <v>3.47</v>
      </c>
      <c r="O520" s="76">
        <v>-3.43</v>
      </c>
      <c r="P520" s="76">
        <v>-3.59</v>
      </c>
      <c r="Q520" s="76">
        <v>0.15</v>
      </c>
      <c r="R520" s="76">
        <v>-152.58</v>
      </c>
      <c r="S520" s="76">
        <v>-109.78</v>
      </c>
      <c r="T520" s="76">
        <v>-672.84</v>
      </c>
      <c r="U520" s="76">
        <v>-0.72</v>
      </c>
      <c r="V520" s="76">
        <v>1.89</v>
      </c>
      <c r="W520" s="76">
        <v>0.88</v>
      </c>
      <c r="X520" s="76">
        <v>7.84</v>
      </c>
      <c r="Y520" s="76">
        <v>0.0</v>
      </c>
      <c r="Z520" s="76">
        <v>674267.7</v>
      </c>
      <c r="AA520" s="76">
        <v>-0.1</v>
      </c>
      <c r="AB520" s="76">
        <v>-0.16</v>
      </c>
      <c r="AC520" s="76">
        <v>-0.25</v>
      </c>
      <c r="AD520" s="76">
        <v>2.503949001E9</v>
      </c>
      <c r="AE520" s="74"/>
    </row>
    <row r="521">
      <c r="A521" s="73" t="s">
        <v>570</v>
      </c>
      <c r="B521" s="76">
        <v>1.64</v>
      </c>
      <c r="C521" s="76">
        <v>0.0</v>
      </c>
      <c r="D521" s="76">
        <v>-0.03</v>
      </c>
      <c r="E521" s="76">
        <v>-0.02</v>
      </c>
      <c r="F521" s="76">
        <v>0.01</v>
      </c>
      <c r="G521" s="76">
        <v>4.26</v>
      </c>
      <c r="H521" s="76">
        <v>-86.62</v>
      </c>
      <c r="I521" s="76">
        <v>-139.61</v>
      </c>
      <c r="J521" s="76">
        <v>-0.04</v>
      </c>
      <c r="K521" s="76">
        <v>-2.72</v>
      </c>
      <c r="L521" s="76">
        <v>-2.68</v>
      </c>
      <c r="M521" s="76">
        <v>0.0</v>
      </c>
      <c r="N521" s="76">
        <v>0.04</v>
      </c>
      <c r="O521" s="76">
        <v>-0.01</v>
      </c>
      <c r="P521" s="76">
        <v>-0.01</v>
      </c>
      <c r="Q521" s="76">
        <v>0.25</v>
      </c>
      <c r="R521" s="76">
        <v>-64.46</v>
      </c>
      <c r="S521" s="76">
        <v>-26.55</v>
      </c>
      <c r="T521" s="76">
        <v>-303.18</v>
      </c>
      <c r="U521" s="76">
        <v>-0.41</v>
      </c>
      <c r="V521" s="76">
        <v>1.41</v>
      </c>
      <c r="W521" s="76">
        <v>0.19</v>
      </c>
      <c r="X521" s="76">
        <v>-20.94</v>
      </c>
      <c r="Y521" s="76">
        <v>0.0</v>
      </c>
      <c r="Z521" s="76">
        <v>0.0</v>
      </c>
      <c r="AA521" s="76">
        <v>-95.16</v>
      </c>
      <c r="AB521" s="76">
        <v>-61.34</v>
      </c>
      <c r="AC521" s="76">
        <v>0.0</v>
      </c>
      <c r="AD521" s="79">
        <v>1.64E7</v>
      </c>
      <c r="AE521" s="80"/>
    </row>
    <row r="522">
      <c r="A522" s="73" t="s">
        <v>571</v>
      </c>
      <c r="B522" s="76">
        <v>4.94</v>
      </c>
      <c r="C522" s="76">
        <v>0.0</v>
      </c>
      <c r="D522" s="76">
        <v>-0.55</v>
      </c>
      <c r="E522" s="76">
        <v>0.32</v>
      </c>
      <c r="F522" s="76">
        <v>0.08</v>
      </c>
      <c r="G522" s="76">
        <v>33.66</v>
      </c>
      <c r="H522" s="76">
        <v>-28.0</v>
      </c>
      <c r="I522" s="76">
        <v>-41.31</v>
      </c>
      <c r="J522" s="76">
        <v>-0.8</v>
      </c>
      <c r="K522" s="76">
        <v>0.47</v>
      </c>
      <c r="L522" s="76">
        <v>1.27</v>
      </c>
      <c r="M522" s="76">
        <v>-0.51</v>
      </c>
      <c r="N522" s="76">
        <v>0.23</v>
      </c>
      <c r="O522" s="76">
        <v>0.74</v>
      </c>
      <c r="P522" s="76">
        <v>-0.21</v>
      </c>
      <c r="Q522" s="76">
        <v>1.23</v>
      </c>
      <c r="R522" s="76">
        <v>-59.45</v>
      </c>
      <c r="S522" s="76">
        <v>-15.42</v>
      </c>
      <c r="T522" s="76">
        <v>-26.39</v>
      </c>
      <c r="U522" s="76">
        <v>0.26</v>
      </c>
      <c r="V522" s="76">
        <v>0.74</v>
      </c>
      <c r="W522" s="76">
        <v>0.37</v>
      </c>
      <c r="X522" s="76">
        <v>-15.9</v>
      </c>
      <c r="Y522" s="76">
        <v>0.0</v>
      </c>
      <c r="Z522" s="76">
        <v>288937.9</v>
      </c>
      <c r="AA522" s="76">
        <v>15.24</v>
      </c>
      <c r="AB522" s="76">
        <v>-9.06</v>
      </c>
      <c r="AC522" s="76">
        <v>0.0</v>
      </c>
      <c r="AD522" s="79">
        <v>3.330183428E7</v>
      </c>
      <c r="AE522" s="80"/>
    </row>
    <row r="523">
      <c r="A523" s="73" t="s">
        <v>572</v>
      </c>
      <c r="B523" s="76">
        <v>27.31</v>
      </c>
      <c r="C523" s="76">
        <v>2.07</v>
      </c>
      <c r="D523" s="76">
        <v>37.39</v>
      </c>
      <c r="E523" s="76">
        <v>6.28</v>
      </c>
      <c r="F523" s="76">
        <v>3.34</v>
      </c>
      <c r="G523" s="76">
        <v>24.97</v>
      </c>
      <c r="H523" s="76">
        <v>12.75</v>
      </c>
      <c r="I523" s="76">
        <v>13.04</v>
      </c>
      <c r="J523" s="76">
        <v>38.25</v>
      </c>
      <c r="K523" s="76">
        <v>20.27</v>
      </c>
      <c r="L523" s="76">
        <v>-0.51</v>
      </c>
      <c r="M523" s="76">
        <v>-0.08</v>
      </c>
      <c r="N523" s="76">
        <v>4.88</v>
      </c>
      <c r="O523" s="76">
        <v>7.75</v>
      </c>
      <c r="P523" s="76">
        <v>-9.69</v>
      </c>
      <c r="Q523" s="76">
        <v>2.93</v>
      </c>
      <c r="R523" s="76">
        <v>16.8</v>
      </c>
      <c r="S523" s="76">
        <v>8.94</v>
      </c>
      <c r="T523" s="76">
        <v>9.82</v>
      </c>
      <c r="U523" s="76">
        <v>0.53</v>
      </c>
      <c r="V523" s="76">
        <v>0.47</v>
      </c>
      <c r="W523" s="76">
        <v>0.69</v>
      </c>
      <c r="X523" s="76">
        <v>12.91</v>
      </c>
      <c r="Y523" s="76">
        <v>21.85</v>
      </c>
      <c r="Z523" s="76">
        <v>0.0</v>
      </c>
      <c r="AA523" s="76">
        <v>4.35</v>
      </c>
      <c r="AB523" s="76">
        <v>0.73</v>
      </c>
      <c r="AC523" s="76">
        <v>-9.27</v>
      </c>
      <c r="AD523" s="79">
        <v>5.303977753E9</v>
      </c>
      <c r="AE523" s="80"/>
    </row>
    <row r="524">
      <c r="A524" s="73" t="s">
        <v>573</v>
      </c>
      <c r="B524" s="76">
        <v>5.54</v>
      </c>
      <c r="C524" s="76">
        <v>11.17</v>
      </c>
      <c r="D524" s="76">
        <v>7.59</v>
      </c>
      <c r="E524" s="76">
        <v>1.27</v>
      </c>
      <c r="F524" s="76">
        <v>0.68</v>
      </c>
      <c r="G524" s="76">
        <v>24.97</v>
      </c>
      <c r="H524" s="76">
        <v>12.75</v>
      </c>
      <c r="I524" s="76">
        <v>13.04</v>
      </c>
      <c r="J524" s="76">
        <v>7.76</v>
      </c>
      <c r="K524" s="76">
        <v>20.27</v>
      </c>
      <c r="L524" s="76">
        <v>-0.51</v>
      </c>
      <c r="M524" s="76">
        <v>-0.08</v>
      </c>
      <c r="N524" s="76">
        <v>0.99</v>
      </c>
      <c r="O524" s="76">
        <v>1.57</v>
      </c>
      <c r="P524" s="76">
        <v>-1.97</v>
      </c>
      <c r="Q524" s="76">
        <v>2.93</v>
      </c>
      <c r="R524" s="76">
        <v>16.8</v>
      </c>
      <c r="S524" s="76">
        <v>8.94</v>
      </c>
      <c r="T524" s="76">
        <v>9.82</v>
      </c>
      <c r="U524" s="76">
        <v>0.53</v>
      </c>
      <c r="V524" s="76">
        <v>0.47</v>
      </c>
      <c r="W524" s="76">
        <v>0.69</v>
      </c>
      <c r="X524" s="76">
        <v>12.91</v>
      </c>
      <c r="Y524" s="76">
        <v>21.85</v>
      </c>
      <c r="Z524" s="76">
        <v>2399025.0</v>
      </c>
      <c r="AA524" s="76">
        <v>4.35</v>
      </c>
      <c r="AB524" s="76">
        <v>0.73</v>
      </c>
      <c r="AC524" s="76">
        <v>-1.88</v>
      </c>
      <c r="AD524" s="79">
        <v>5.303977753E9</v>
      </c>
      <c r="AE524" s="80"/>
    </row>
    <row r="525">
      <c r="A525" s="73" t="s">
        <v>574</v>
      </c>
      <c r="B525" s="76">
        <v>13.61</v>
      </c>
      <c r="C525" s="76">
        <v>1.03</v>
      </c>
      <c r="D525" s="76">
        <v>-9.3</v>
      </c>
      <c r="E525" s="76">
        <v>1.89</v>
      </c>
      <c r="F525" s="76">
        <v>0.07</v>
      </c>
      <c r="G525" s="76">
        <v>26.19</v>
      </c>
      <c r="H525" s="76">
        <v>16.34</v>
      </c>
      <c r="I525" s="76">
        <v>-1.48</v>
      </c>
      <c r="J525" s="76">
        <v>0.84</v>
      </c>
      <c r="K525" s="76">
        <v>7.18</v>
      </c>
      <c r="L525" s="76">
        <v>6.34</v>
      </c>
      <c r="M525" s="76">
        <v>14.23</v>
      </c>
      <c r="N525" s="76">
        <v>0.14</v>
      </c>
      <c r="O525" s="76">
        <v>0.77</v>
      </c>
      <c r="P525" s="76">
        <v>-0.11</v>
      </c>
      <c r="Q525" s="76">
        <v>1.37</v>
      </c>
      <c r="R525" s="76">
        <v>-20.27</v>
      </c>
      <c r="S525" s="76">
        <v>-0.76</v>
      </c>
      <c r="T525" s="76">
        <v>10.91</v>
      </c>
      <c r="U525" s="76">
        <v>0.04</v>
      </c>
      <c r="V525" s="76">
        <v>0.93</v>
      </c>
      <c r="W525" s="76">
        <v>0.51</v>
      </c>
      <c r="X525" s="76">
        <v>33.49</v>
      </c>
      <c r="Y525" s="76">
        <v>0.0</v>
      </c>
      <c r="Z525" s="79">
        <v>4.4767676E7</v>
      </c>
      <c r="AA525" s="76">
        <v>7.22</v>
      </c>
      <c r="AB525" s="76">
        <v>-1.46</v>
      </c>
      <c r="AC525" s="76">
        <v>-0.1</v>
      </c>
      <c r="AD525" s="79">
        <v>5.94104082E9</v>
      </c>
      <c r="AE525" s="80"/>
    </row>
    <row r="526">
      <c r="A526" s="73" t="s">
        <v>575</v>
      </c>
      <c r="B526" s="76">
        <v>16.15</v>
      </c>
      <c r="C526" s="76">
        <v>8.99</v>
      </c>
      <c r="D526" s="76">
        <v>12.25</v>
      </c>
      <c r="E526" s="76">
        <v>1.53</v>
      </c>
      <c r="F526" s="76">
        <v>0.39</v>
      </c>
      <c r="G526" s="76">
        <v>30.55</v>
      </c>
      <c r="H526" s="76">
        <v>19.65</v>
      </c>
      <c r="I526" s="76">
        <v>6.91</v>
      </c>
      <c r="J526" s="76">
        <v>4.31</v>
      </c>
      <c r="K526" s="76">
        <v>7.5</v>
      </c>
      <c r="L526" s="76">
        <v>3.19</v>
      </c>
      <c r="M526" s="76">
        <v>1.13</v>
      </c>
      <c r="N526" s="76">
        <v>0.85</v>
      </c>
      <c r="O526" s="76">
        <v>2.53</v>
      </c>
      <c r="P526" s="76">
        <v>-0.7</v>
      </c>
      <c r="Q526" s="76">
        <v>1.55</v>
      </c>
      <c r="R526" s="76">
        <v>12.49</v>
      </c>
      <c r="S526" s="76">
        <v>3.2</v>
      </c>
      <c r="T526" s="76">
        <v>11.65</v>
      </c>
      <c r="U526" s="76">
        <v>0.26</v>
      </c>
      <c r="V526" s="76">
        <v>0.74</v>
      </c>
      <c r="W526" s="76">
        <v>0.46</v>
      </c>
      <c r="X526" s="76">
        <v>20.74</v>
      </c>
      <c r="Y526" s="76">
        <v>16.12</v>
      </c>
      <c r="Z526" s="76">
        <v>3.3396585E7</v>
      </c>
      <c r="AA526" s="76">
        <v>10.56</v>
      </c>
      <c r="AB526" s="76">
        <v>1.32</v>
      </c>
      <c r="AC526" s="76">
        <v>0.19</v>
      </c>
      <c r="AD526" s="76">
        <v>8.05474677E9</v>
      </c>
      <c r="AE526" s="74"/>
    </row>
    <row r="527">
      <c r="A527" s="73" t="s">
        <v>576</v>
      </c>
      <c r="B527" s="76">
        <v>3.21</v>
      </c>
      <c r="C527" s="76">
        <v>0.0</v>
      </c>
      <c r="D527" s="76">
        <v>0.45</v>
      </c>
      <c r="E527" s="76">
        <v>-0.08</v>
      </c>
      <c r="F527" s="76">
        <v>0.48</v>
      </c>
      <c r="G527" s="76">
        <v>47.85</v>
      </c>
      <c r="H527" s="76">
        <v>73.94</v>
      </c>
      <c r="I527" s="76">
        <v>92.71</v>
      </c>
      <c r="J527" s="76">
        <v>0.56</v>
      </c>
      <c r="K527" s="76">
        <v>0.95</v>
      </c>
      <c r="L527" s="76">
        <v>0.65</v>
      </c>
      <c r="M527" s="76">
        <v>0.0</v>
      </c>
      <c r="N527" s="76">
        <v>0.42</v>
      </c>
      <c r="O527" s="76">
        <v>-0.2</v>
      </c>
      <c r="P527" s="76">
        <v>-0.72</v>
      </c>
      <c r="Q527" s="76">
        <v>0.12</v>
      </c>
      <c r="R527" s="76">
        <v>-18.07</v>
      </c>
      <c r="S527" s="76">
        <v>107.04</v>
      </c>
      <c r="T527" s="76">
        <v>-15.91</v>
      </c>
      <c r="U527" s="76">
        <v>-5.92</v>
      </c>
      <c r="V527" s="76">
        <v>6.92</v>
      </c>
      <c r="W527" s="76">
        <v>1.15</v>
      </c>
      <c r="X527" s="76">
        <v>-45.03</v>
      </c>
      <c r="Y527" s="76">
        <v>0.0</v>
      </c>
      <c r="Z527" s="76">
        <v>0.0</v>
      </c>
      <c r="AA527" s="76">
        <v>-39.57</v>
      </c>
      <c r="AB527" s="76">
        <v>7.15</v>
      </c>
      <c r="AC527" s="76">
        <v>-0.02</v>
      </c>
      <c r="AD527" s="76">
        <v>1.649769259E7</v>
      </c>
      <c r="AE527" s="74"/>
    </row>
    <row r="528">
      <c r="A528" s="73" t="s">
        <v>577</v>
      </c>
      <c r="B528" s="76">
        <v>1.6</v>
      </c>
      <c r="C528" s="76">
        <v>0.0</v>
      </c>
      <c r="D528" s="76">
        <v>0.22</v>
      </c>
      <c r="E528" s="76">
        <v>-0.04</v>
      </c>
      <c r="F528" s="76">
        <v>0.24</v>
      </c>
      <c r="G528" s="76">
        <v>47.85</v>
      </c>
      <c r="H528" s="76">
        <v>73.94</v>
      </c>
      <c r="I528" s="76">
        <v>92.71</v>
      </c>
      <c r="J528" s="76">
        <v>0.28</v>
      </c>
      <c r="K528" s="76">
        <v>0.95</v>
      </c>
      <c r="L528" s="76">
        <v>0.65</v>
      </c>
      <c r="M528" s="76">
        <v>0.0</v>
      </c>
      <c r="N528" s="76">
        <v>0.21</v>
      </c>
      <c r="O528" s="76">
        <v>-0.1</v>
      </c>
      <c r="P528" s="76">
        <v>-0.36</v>
      </c>
      <c r="Q528" s="76">
        <v>0.12</v>
      </c>
      <c r="R528" s="76">
        <v>-18.07</v>
      </c>
      <c r="S528" s="76">
        <v>107.04</v>
      </c>
      <c r="T528" s="76">
        <v>-15.91</v>
      </c>
      <c r="U528" s="76">
        <v>-5.92</v>
      </c>
      <c r="V528" s="76">
        <v>6.92</v>
      </c>
      <c r="W528" s="76">
        <v>1.15</v>
      </c>
      <c r="X528" s="76">
        <v>-45.03</v>
      </c>
      <c r="Y528" s="76">
        <v>0.0</v>
      </c>
      <c r="Z528" s="76">
        <v>0.0</v>
      </c>
      <c r="AA528" s="76">
        <v>-39.57</v>
      </c>
      <c r="AB528" s="76">
        <v>7.15</v>
      </c>
      <c r="AC528" s="76">
        <v>-0.01</v>
      </c>
      <c r="AD528" s="79">
        <v>1.649769259E7</v>
      </c>
      <c r="AE528" s="80"/>
    </row>
    <row r="529">
      <c r="A529" s="73" t="s">
        <v>578</v>
      </c>
      <c r="B529" s="76">
        <v>21.3</v>
      </c>
      <c r="C529" s="76">
        <v>4.9</v>
      </c>
      <c r="D529" s="76">
        <v>22.29</v>
      </c>
      <c r="E529" s="76">
        <v>2.29</v>
      </c>
      <c r="F529" s="76">
        <v>0.69</v>
      </c>
      <c r="G529" s="76">
        <v>42.45</v>
      </c>
      <c r="H529" s="76">
        <v>23.37</v>
      </c>
      <c r="I529" s="76">
        <v>8.62</v>
      </c>
      <c r="J529" s="76">
        <v>8.22</v>
      </c>
      <c r="K529" s="76">
        <v>10.3</v>
      </c>
      <c r="L529" s="76">
        <v>2.09</v>
      </c>
      <c r="M529" s="76">
        <v>0.58</v>
      </c>
      <c r="N529" s="76">
        <v>1.92</v>
      </c>
      <c r="O529" s="76">
        <v>9.78</v>
      </c>
      <c r="P529" s="76">
        <v>-0.88</v>
      </c>
      <c r="Q529" s="76">
        <v>1.46</v>
      </c>
      <c r="R529" s="76">
        <v>10.29</v>
      </c>
      <c r="S529" s="76">
        <v>3.08</v>
      </c>
      <c r="T529" s="76">
        <v>12.48</v>
      </c>
      <c r="U529" s="76">
        <v>0.3</v>
      </c>
      <c r="V529" s="76">
        <v>0.7</v>
      </c>
      <c r="W529" s="76">
        <v>0.36</v>
      </c>
      <c r="X529" s="76">
        <v>22.98</v>
      </c>
      <c r="Y529" s="76">
        <v>0.0</v>
      </c>
      <c r="Z529" s="77">
        <v>1.52E8</v>
      </c>
      <c r="AA529" s="76">
        <v>9.29</v>
      </c>
      <c r="AB529" s="76">
        <v>0.96</v>
      </c>
      <c r="AC529" s="76">
        <v>-0.64</v>
      </c>
      <c r="AD529" s="79">
        <v>1.3123565677E10</v>
      </c>
      <c r="AE529" s="80"/>
    </row>
    <row r="530">
      <c r="A530" s="73" t="s">
        <v>579</v>
      </c>
      <c r="B530" s="76">
        <v>22.4</v>
      </c>
      <c r="C530" s="76">
        <v>0.0</v>
      </c>
      <c r="D530" s="76">
        <v>10.78</v>
      </c>
      <c r="E530" s="76">
        <v>4.09</v>
      </c>
      <c r="F530" s="76">
        <v>1.02</v>
      </c>
      <c r="G530" s="76">
        <v>85.18</v>
      </c>
      <c r="H530" s="76">
        <v>41.42</v>
      </c>
      <c r="I530" s="76">
        <v>39.07</v>
      </c>
      <c r="J530" s="76">
        <v>10.17</v>
      </c>
      <c r="K530" s="76">
        <v>9.93</v>
      </c>
      <c r="L530" s="76">
        <v>-0.24</v>
      </c>
      <c r="M530" s="76">
        <v>-0.1</v>
      </c>
      <c r="N530" s="76">
        <v>4.21</v>
      </c>
      <c r="O530" s="76">
        <v>18.78</v>
      </c>
      <c r="P530" s="76">
        <v>-2.54</v>
      </c>
      <c r="Q530" s="76">
        <v>1.1</v>
      </c>
      <c r="R530" s="76">
        <v>37.96</v>
      </c>
      <c r="S530" s="76">
        <v>9.43</v>
      </c>
      <c r="T530" s="76">
        <v>20.63</v>
      </c>
      <c r="U530" s="76">
        <v>0.25</v>
      </c>
      <c r="V530" s="76">
        <v>0.75</v>
      </c>
      <c r="W530" s="76">
        <v>0.24</v>
      </c>
      <c r="X530" s="76">
        <v>0.0</v>
      </c>
      <c r="Y530" s="76">
        <v>0.0</v>
      </c>
      <c r="Z530" s="79">
        <v>0.0</v>
      </c>
      <c r="AA530" s="76">
        <v>5.47</v>
      </c>
      <c r="AB530" s="76">
        <v>2.08</v>
      </c>
      <c r="AC530" s="76">
        <v>-0.33</v>
      </c>
      <c r="AD530" s="79">
        <v>2.781160547E9</v>
      </c>
      <c r="AE530" s="80"/>
    </row>
    <row r="531">
      <c r="A531" s="73" t="s">
        <v>580</v>
      </c>
      <c r="B531" s="76">
        <v>15.75</v>
      </c>
      <c r="C531" s="76">
        <v>2.9</v>
      </c>
      <c r="D531" s="76">
        <v>10.43</v>
      </c>
      <c r="E531" s="76">
        <v>0.78</v>
      </c>
      <c r="F531" s="76">
        <v>0.24</v>
      </c>
      <c r="G531" s="76">
        <v>23.33</v>
      </c>
      <c r="H531" s="76">
        <v>19.67</v>
      </c>
      <c r="I531" s="76">
        <v>7.02</v>
      </c>
      <c r="J531" s="76">
        <v>3.72</v>
      </c>
      <c r="K531" s="76">
        <v>9.29</v>
      </c>
      <c r="L531" s="76">
        <v>5.57</v>
      </c>
      <c r="M531" s="76">
        <v>1.17</v>
      </c>
      <c r="N531" s="76">
        <v>0.73</v>
      </c>
      <c r="O531" s="76">
        <v>1.41</v>
      </c>
      <c r="P531" s="76">
        <v>-0.34</v>
      </c>
      <c r="Q531" s="76">
        <v>2.43</v>
      </c>
      <c r="R531" s="76">
        <v>7.5</v>
      </c>
      <c r="S531" s="76">
        <v>2.31</v>
      </c>
      <c r="T531" s="76">
        <v>7.17</v>
      </c>
      <c r="U531" s="76">
        <v>0.31</v>
      </c>
      <c r="V531" s="76">
        <v>0.69</v>
      </c>
      <c r="W531" s="76">
        <v>0.33</v>
      </c>
      <c r="X531" s="76">
        <v>14.16</v>
      </c>
      <c r="Y531" s="76">
        <v>-4.7</v>
      </c>
      <c r="Z531" s="76">
        <v>5.0090515E7</v>
      </c>
      <c r="AA531" s="76">
        <v>20.15</v>
      </c>
      <c r="AB531" s="76">
        <v>1.51</v>
      </c>
      <c r="AC531" s="76">
        <v>-0.19</v>
      </c>
      <c r="AD531" s="76">
        <v>5.235857408E9</v>
      </c>
      <c r="AE531" s="74"/>
    </row>
    <row r="532">
      <c r="A532" s="73" t="s">
        <v>581</v>
      </c>
      <c r="B532" s="76">
        <v>10.2</v>
      </c>
      <c r="C532" s="76">
        <v>0.0</v>
      </c>
      <c r="D532" s="76">
        <v>-0.38</v>
      </c>
      <c r="E532" s="76">
        <v>-0.04</v>
      </c>
      <c r="F532" s="76">
        <v>0.14</v>
      </c>
      <c r="G532" s="76">
        <v>20.94</v>
      </c>
      <c r="H532" s="76">
        <v>9.51</v>
      </c>
      <c r="I532" s="76">
        <v>-21.18</v>
      </c>
      <c r="J532" s="76">
        <v>0.84</v>
      </c>
      <c r="K532" s="76">
        <v>3.12</v>
      </c>
      <c r="L532" s="76">
        <v>2.7</v>
      </c>
      <c r="M532" s="76">
        <v>0.0</v>
      </c>
      <c r="N532" s="76">
        <v>0.08</v>
      </c>
      <c r="O532" s="76">
        <v>-0.59</v>
      </c>
      <c r="P532" s="76">
        <v>-0.32</v>
      </c>
      <c r="Q532" s="76">
        <v>0.71</v>
      </c>
      <c r="R532" s="76">
        <v>-9.63</v>
      </c>
      <c r="S532" s="76">
        <v>-36.46</v>
      </c>
      <c r="T532" s="76">
        <v>-4.82</v>
      </c>
      <c r="U532" s="76">
        <v>-3.79</v>
      </c>
      <c r="V532" s="76">
        <v>4.82</v>
      </c>
      <c r="W532" s="76">
        <v>1.72</v>
      </c>
      <c r="X532" s="76">
        <v>15.69</v>
      </c>
      <c r="Y532" s="76">
        <v>0.0</v>
      </c>
      <c r="Z532" s="79">
        <v>6559.5</v>
      </c>
      <c r="AA532" s="76">
        <v>-281.46</v>
      </c>
      <c r="AB532" s="76">
        <v>-27.09</v>
      </c>
      <c r="AC532" s="76">
        <v>0.0</v>
      </c>
      <c r="AD532" s="76">
        <v>3.98581536E7</v>
      </c>
      <c r="AE532" s="74"/>
    </row>
    <row r="533">
      <c r="A533" s="73" t="s">
        <v>582</v>
      </c>
      <c r="B533" s="76">
        <v>2.52</v>
      </c>
      <c r="C533" s="76">
        <v>0.0</v>
      </c>
      <c r="D533" s="76">
        <v>-0.09</v>
      </c>
      <c r="E533" s="76">
        <v>-0.01</v>
      </c>
      <c r="F533" s="76">
        <v>0.03</v>
      </c>
      <c r="G533" s="76">
        <v>20.94</v>
      </c>
      <c r="H533" s="76">
        <v>9.51</v>
      </c>
      <c r="I533" s="76">
        <v>-21.18</v>
      </c>
      <c r="J533" s="76">
        <v>0.21</v>
      </c>
      <c r="K533" s="76">
        <v>3.12</v>
      </c>
      <c r="L533" s="76">
        <v>2.7</v>
      </c>
      <c r="M533" s="76">
        <v>0.0</v>
      </c>
      <c r="N533" s="76">
        <v>0.02</v>
      </c>
      <c r="O533" s="76">
        <v>-0.15</v>
      </c>
      <c r="P533" s="76">
        <v>-0.08</v>
      </c>
      <c r="Q533" s="76">
        <v>0.71</v>
      </c>
      <c r="R533" s="76">
        <v>-9.63</v>
      </c>
      <c r="S533" s="76">
        <v>-36.46</v>
      </c>
      <c r="T533" s="76">
        <v>-4.82</v>
      </c>
      <c r="U533" s="76">
        <v>-3.79</v>
      </c>
      <c r="V533" s="76">
        <v>4.82</v>
      </c>
      <c r="W533" s="76">
        <v>1.72</v>
      </c>
      <c r="X533" s="76">
        <v>15.69</v>
      </c>
      <c r="Y533" s="76">
        <v>0.0</v>
      </c>
      <c r="Z533" s="76">
        <v>12134.31</v>
      </c>
      <c r="AA533" s="76">
        <v>-281.46</v>
      </c>
      <c r="AB533" s="76">
        <v>-27.09</v>
      </c>
      <c r="AC533" s="76">
        <v>0.0</v>
      </c>
      <c r="AD533" s="76">
        <v>3.98581536E7</v>
      </c>
      <c r="AE533" s="74"/>
    </row>
    <row r="534">
      <c r="A534" s="73" t="s">
        <v>583</v>
      </c>
      <c r="B534" s="76">
        <v>11.51</v>
      </c>
      <c r="C534" s="76">
        <v>0.0</v>
      </c>
      <c r="D534" s="76">
        <v>-0.42</v>
      </c>
      <c r="E534" s="76">
        <v>-0.04</v>
      </c>
      <c r="F534" s="76">
        <v>0.15</v>
      </c>
      <c r="G534" s="76">
        <v>20.94</v>
      </c>
      <c r="H534" s="76">
        <v>9.51</v>
      </c>
      <c r="I534" s="76">
        <v>-21.18</v>
      </c>
      <c r="J534" s="76">
        <v>0.95</v>
      </c>
      <c r="K534" s="76">
        <v>3.12</v>
      </c>
      <c r="L534" s="76">
        <v>2.7</v>
      </c>
      <c r="M534" s="76">
        <v>0.0</v>
      </c>
      <c r="N534" s="76">
        <v>0.09</v>
      </c>
      <c r="O534" s="76">
        <v>-0.66</v>
      </c>
      <c r="P534" s="76">
        <v>-0.37</v>
      </c>
      <c r="Q534" s="76">
        <v>0.71</v>
      </c>
      <c r="R534" s="76">
        <v>-9.63</v>
      </c>
      <c r="S534" s="76">
        <v>-36.46</v>
      </c>
      <c r="T534" s="76">
        <v>-4.82</v>
      </c>
      <c r="U534" s="76">
        <v>-3.79</v>
      </c>
      <c r="V534" s="76">
        <v>4.82</v>
      </c>
      <c r="W534" s="76">
        <v>1.72</v>
      </c>
      <c r="X534" s="76">
        <v>15.69</v>
      </c>
      <c r="Y534" s="76">
        <v>0.0</v>
      </c>
      <c r="Z534" s="76">
        <v>0.0</v>
      </c>
      <c r="AA534" s="76">
        <v>-281.46</v>
      </c>
      <c r="AB534" s="76">
        <v>-27.09</v>
      </c>
      <c r="AC534" s="76">
        <v>0.0</v>
      </c>
      <c r="AD534" s="79">
        <v>3.98581536E7</v>
      </c>
      <c r="AE534" s="80"/>
    </row>
    <row r="535">
      <c r="A535" s="73" t="s">
        <v>584</v>
      </c>
      <c r="B535" s="76">
        <v>8.35</v>
      </c>
      <c r="C535" s="76">
        <v>3.56</v>
      </c>
      <c r="D535" s="76">
        <v>11.7</v>
      </c>
      <c r="E535" s="76">
        <v>0.85</v>
      </c>
      <c r="F535" s="76">
        <v>0.29</v>
      </c>
      <c r="G535" s="76">
        <v>13.25</v>
      </c>
      <c r="H535" s="76">
        <v>7.56</v>
      </c>
      <c r="I535" s="76">
        <v>4.32</v>
      </c>
      <c r="J535" s="76">
        <v>6.68</v>
      </c>
      <c r="K535" s="76">
        <v>8.93</v>
      </c>
      <c r="L535" s="76">
        <v>2.25</v>
      </c>
      <c r="M535" s="76">
        <v>0.29</v>
      </c>
      <c r="N535" s="76">
        <v>0.51</v>
      </c>
      <c r="O535" s="76">
        <v>0.6</v>
      </c>
      <c r="P535" s="76">
        <v>-0.85</v>
      </c>
      <c r="Q535" s="76">
        <v>3.67</v>
      </c>
      <c r="R535" s="76">
        <v>7.28</v>
      </c>
      <c r="S535" s="76">
        <v>2.47</v>
      </c>
      <c r="T535" s="76">
        <v>4.83</v>
      </c>
      <c r="U535" s="76">
        <v>0.34</v>
      </c>
      <c r="V535" s="76">
        <v>0.5</v>
      </c>
      <c r="W535" s="76">
        <v>0.57</v>
      </c>
      <c r="X535" s="76">
        <v>35.41</v>
      </c>
      <c r="Y535" s="76">
        <v>30.59</v>
      </c>
      <c r="Z535" s="79">
        <v>7825007.0</v>
      </c>
      <c r="AA535" s="76">
        <v>9.8</v>
      </c>
      <c r="AB535" s="76">
        <v>0.71</v>
      </c>
      <c r="AC535" s="76">
        <v>-0.19</v>
      </c>
      <c r="AD535" s="79">
        <v>1.184887445E9</v>
      </c>
      <c r="AE535" s="80"/>
    </row>
    <row r="536">
      <c r="A536" s="73" t="s">
        <v>585</v>
      </c>
      <c r="B536" s="76">
        <v>5.95</v>
      </c>
      <c r="C536" s="76">
        <v>0.0</v>
      </c>
      <c r="D536" s="76">
        <v>2.96</v>
      </c>
      <c r="E536" s="76">
        <v>0.8</v>
      </c>
      <c r="F536" s="76">
        <v>0.49</v>
      </c>
      <c r="G536" s="76">
        <v>56.8</v>
      </c>
      <c r="H536" s="76">
        <v>-46.46</v>
      </c>
      <c r="I536" s="76">
        <v>29.33</v>
      </c>
      <c r="J536" s="76">
        <v>-1.87</v>
      </c>
      <c r="K536" s="76">
        <v>-2.32</v>
      </c>
      <c r="L536" s="76">
        <v>-0.45</v>
      </c>
      <c r="M536" s="76">
        <v>0.19</v>
      </c>
      <c r="N536" s="76">
        <v>0.87</v>
      </c>
      <c r="O536" s="76">
        <v>2.01</v>
      </c>
      <c r="P536" s="76">
        <v>-0.84</v>
      </c>
      <c r="Q536" s="76">
        <v>2.36</v>
      </c>
      <c r="R536" s="76">
        <v>27.15</v>
      </c>
      <c r="S536" s="76">
        <v>16.44</v>
      </c>
      <c r="T536" s="76">
        <v>-47.2</v>
      </c>
      <c r="U536" s="76">
        <v>0.61</v>
      </c>
      <c r="V536" s="76">
        <v>0.39</v>
      </c>
      <c r="W536" s="76">
        <v>0.56</v>
      </c>
      <c r="X536" s="76">
        <v>37.72</v>
      </c>
      <c r="Y536" s="76">
        <v>80.87</v>
      </c>
      <c r="Z536" s="79">
        <v>9.9716529E7</v>
      </c>
      <c r="AA536" s="76">
        <v>7.4</v>
      </c>
      <c r="AB536" s="76">
        <v>2.01</v>
      </c>
      <c r="AC536" s="76">
        <v>0.01</v>
      </c>
      <c r="AD536" s="79">
        <v>4.669246869E9</v>
      </c>
      <c r="AE536" s="80"/>
    </row>
    <row r="537">
      <c r="A537" s="73" t="s">
        <v>586</v>
      </c>
      <c r="B537" s="76">
        <v>38.66</v>
      </c>
      <c r="C537" s="76">
        <v>36.89</v>
      </c>
      <c r="D537" s="76">
        <v>3.42</v>
      </c>
      <c r="E537" s="76">
        <v>1.31</v>
      </c>
      <c r="F537" s="76">
        <v>0.78</v>
      </c>
      <c r="G537" s="76">
        <v>30.19</v>
      </c>
      <c r="H537" s="76">
        <v>17.34</v>
      </c>
      <c r="I537" s="76">
        <v>12.59</v>
      </c>
      <c r="J537" s="76">
        <v>2.48</v>
      </c>
      <c r="K537" s="76">
        <v>2.89</v>
      </c>
      <c r="L537" s="76">
        <v>-0.91</v>
      </c>
      <c r="M537" s="76">
        <v>-0.48</v>
      </c>
      <c r="N537" s="76">
        <v>0.43</v>
      </c>
      <c r="O537" s="76">
        <v>2.52</v>
      </c>
      <c r="P537" s="76">
        <v>-1.92</v>
      </c>
      <c r="Q537" s="76">
        <v>2.1</v>
      </c>
      <c r="R537" s="76">
        <v>38.39</v>
      </c>
      <c r="S537" s="76">
        <v>22.87</v>
      </c>
      <c r="T537" s="76">
        <v>20.76</v>
      </c>
      <c r="U537" s="76">
        <v>0.6</v>
      </c>
      <c r="V537" s="76">
        <v>0.4</v>
      </c>
      <c r="W537" s="76">
        <v>1.82</v>
      </c>
      <c r="X537" s="76">
        <v>25.49</v>
      </c>
      <c r="Y537" s="76">
        <v>44.65</v>
      </c>
      <c r="Z537" s="76">
        <v>3866.0</v>
      </c>
      <c r="AA537" s="76">
        <v>29.44</v>
      </c>
      <c r="AB537" s="76">
        <v>11.3</v>
      </c>
      <c r="AC537" s="76">
        <v>0.03</v>
      </c>
      <c r="AD537" s="79">
        <v>1.4522596E8</v>
      </c>
      <c r="AE537" s="80"/>
    </row>
    <row r="538">
      <c r="A538" s="73" t="s">
        <v>587</v>
      </c>
      <c r="B538" s="76">
        <v>70.0</v>
      </c>
      <c r="C538" s="76">
        <v>22.41</v>
      </c>
      <c r="D538" s="76">
        <v>6.19</v>
      </c>
      <c r="E538" s="76">
        <v>2.38</v>
      </c>
      <c r="F538" s="76">
        <v>1.42</v>
      </c>
      <c r="G538" s="76">
        <v>30.19</v>
      </c>
      <c r="H538" s="76">
        <v>17.34</v>
      </c>
      <c r="I538" s="76">
        <v>12.59</v>
      </c>
      <c r="J538" s="76">
        <v>4.5</v>
      </c>
      <c r="K538" s="76">
        <v>2.89</v>
      </c>
      <c r="L538" s="76">
        <v>-0.91</v>
      </c>
      <c r="M538" s="76">
        <v>-0.48</v>
      </c>
      <c r="N538" s="76">
        <v>0.78</v>
      </c>
      <c r="O538" s="76">
        <v>4.56</v>
      </c>
      <c r="P538" s="76">
        <v>-3.47</v>
      </c>
      <c r="Q538" s="76">
        <v>2.1</v>
      </c>
      <c r="R538" s="76">
        <v>38.39</v>
      </c>
      <c r="S538" s="76">
        <v>22.87</v>
      </c>
      <c r="T538" s="76">
        <v>20.76</v>
      </c>
      <c r="U538" s="76">
        <v>0.6</v>
      </c>
      <c r="V538" s="76">
        <v>0.4</v>
      </c>
      <c r="W538" s="76">
        <v>1.82</v>
      </c>
      <c r="X538" s="76">
        <v>25.49</v>
      </c>
      <c r="Y538" s="76">
        <v>44.65</v>
      </c>
      <c r="Z538" s="77">
        <v>8219.92</v>
      </c>
      <c r="AA538" s="76">
        <v>29.44</v>
      </c>
      <c r="AB538" s="76">
        <v>11.3</v>
      </c>
      <c r="AC538" s="76">
        <v>0.05</v>
      </c>
      <c r="AD538" s="79">
        <v>1.4522596E8</v>
      </c>
      <c r="AE538" s="80"/>
    </row>
    <row r="539">
      <c r="A539" s="73" t="s">
        <v>588</v>
      </c>
      <c r="B539" s="76">
        <v>68.0</v>
      </c>
      <c r="C539" s="76">
        <v>23.07</v>
      </c>
      <c r="D539" s="76">
        <v>6.02</v>
      </c>
      <c r="E539" s="76">
        <v>2.31</v>
      </c>
      <c r="F539" s="76">
        <v>1.38</v>
      </c>
      <c r="G539" s="76">
        <v>30.19</v>
      </c>
      <c r="H539" s="76">
        <v>17.34</v>
      </c>
      <c r="I539" s="76">
        <v>12.59</v>
      </c>
      <c r="J539" s="76">
        <v>4.37</v>
      </c>
      <c r="K539" s="76">
        <v>2.89</v>
      </c>
      <c r="L539" s="76">
        <v>-0.91</v>
      </c>
      <c r="M539" s="76">
        <v>-0.48</v>
      </c>
      <c r="N539" s="76">
        <v>0.76</v>
      </c>
      <c r="O539" s="76">
        <v>4.43</v>
      </c>
      <c r="P539" s="76">
        <v>-3.37</v>
      </c>
      <c r="Q539" s="76">
        <v>2.1</v>
      </c>
      <c r="R539" s="76">
        <v>38.39</v>
      </c>
      <c r="S539" s="76">
        <v>22.87</v>
      </c>
      <c r="T539" s="76">
        <v>20.76</v>
      </c>
      <c r="U539" s="76">
        <v>0.6</v>
      </c>
      <c r="V539" s="76">
        <v>0.4</v>
      </c>
      <c r="W539" s="76">
        <v>1.82</v>
      </c>
      <c r="X539" s="76">
        <v>25.49</v>
      </c>
      <c r="Y539" s="76">
        <v>44.65</v>
      </c>
      <c r="Z539" s="77">
        <v>6449.8</v>
      </c>
      <c r="AA539" s="76">
        <v>29.44</v>
      </c>
      <c r="AB539" s="76">
        <v>11.3</v>
      </c>
      <c r="AC539" s="76">
        <v>0.04</v>
      </c>
      <c r="AD539" s="76">
        <v>1.4522596E8</v>
      </c>
      <c r="AE539" s="74"/>
    </row>
    <row r="540">
      <c r="A540" s="73" t="s">
        <v>589</v>
      </c>
      <c r="B540" s="76">
        <v>76.4</v>
      </c>
      <c r="C540" s="76">
        <v>0.0</v>
      </c>
      <c r="D540" s="76">
        <v>-1741.06</v>
      </c>
      <c r="E540" s="76">
        <v>3849.08</v>
      </c>
      <c r="F540" s="76">
        <v>3749.56</v>
      </c>
      <c r="G540" s="76">
        <v>0.0</v>
      </c>
      <c r="H540" s="76">
        <v>0.0</v>
      </c>
      <c r="I540" s="76">
        <v>0.0</v>
      </c>
      <c r="J540" s="76">
        <v>-1739.0</v>
      </c>
      <c r="K540" s="76">
        <v>-1738.54</v>
      </c>
      <c r="L540" s="76">
        <v>0.46</v>
      </c>
      <c r="M540" s="76">
        <v>-1.02</v>
      </c>
      <c r="N540" s="76">
        <v>0.0</v>
      </c>
      <c r="O540" s="76">
        <v>3849.08</v>
      </c>
      <c r="P540" s="76">
        <v>0.0</v>
      </c>
      <c r="Q540" s="76">
        <v>38.68</v>
      </c>
      <c r="R540" s="76">
        <v>-221.08</v>
      </c>
      <c r="S540" s="76">
        <v>-215.36</v>
      </c>
      <c r="T540" s="76">
        <v>-221.34</v>
      </c>
      <c r="U540" s="76">
        <v>0.97</v>
      </c>
      <c r="V540" s="76">
        <v>0.03</v>
      </c>
      <c r="W540" s="76">
        <v>0.0</v>
      </c>
      <c r="X540" s="76">
        <v>0.0</v>
      </c>
      <c r="Y540" s="76">
        <v>0.0</v>
      </c>
      <c r="Z540" s="76">
        <v>0.0</v>
      </c>
      <c r="AA540" s="76">
        <v>0.02</v>
      </c>
      <c r="AB540" s="76">
        <v>-0.04</v>
      </c>
      <c r="AC540" s="76">
        <v>-47.21</v>
      </c>
      <c r="AD540" s="76">
        <v>3.705317488E8</v>
      </c>
      <c r="AE540" s="74"/>
    </row>
    <row r="541">
      <c r="A541" s="73" t="s">
        <v>590</v>
      </c>
      <c r="B541" s="76">
        <v>27.37</v>
      </c>
      <c r="C541" s="76">
        <v>0.0</v>
      </c>
      <c r="D541" s="76">
        <v>-110.33</v>
      </c>
      <c r="E541" s="76">
        <v>3.7</v>
      </c>
      <c r="F541" s="76">
        <v>1.49</v>
      </c>
      <c r="G541" s="76">
        <v>42.19</v>
      </c>
      <c r="H541" s="76">
        <v>6.45</v>
      </c>
      <c r="I541" s="76">
        <v>-3.26</v>
      </c>
      <c r="J541" s="76">
        <v>55.72</v>
      </c>
      <c r="K541" s="76">
        <v>60.18</v>
      </c>
      <c r="L541" s="76">
        <v>4.46</v>
      </c>
      <c r="M541" s="76">
        <v>0.3</v>
      </c>
      <c r="N541" s="76">
        <v>3.59</v>
      </c>
      <c r="O541" s="76">
        <v>25.87</v>
      </c>
      <c r="P541" s="76">
        <v>-1.84</v>
      </c>
      <c r="Q541" s="76">
        <v>1.43</v>
      </c>
      <c r="R541" s="76">
        <v>-3.35</v>
      </c>
      <c r="S541" s="76">
        <v>-1.35</v>
      </c>
      <c r="T541" s="76">
        <v>2.68</v>
      </c>
      <c r="U541" s="76">
        <v>0.4</v>
      </c>
      <c r="V541" s="76">
        <v>0.58</v>
      </c>
      <c r="W541" s="76">
        <v>0.41</v>
      </c>
      <c r="X541" s="76">
        <v>35.51</v>
      </c>
      <c r="Y541" s="76">
        <v>0.0</v>
      </c>
      <c r="Z541" s="79">
        <v>0.0</v>
      </c>
      <c r="AA541" s="76">
        <v>7.4</v>
      </c>
      <c r="AB541" s="76">
        <v>-0.25</v>
      </c>
      <c r="AC541" s="76">
        <v>0.62</v>
      </c>
      <c r="AD541" s="76">
        <v>2.406971774E9</v>
      </c>
      <c r="AE541" s="74"/>
    </row>
    <row r="542">
      <c r="A542" s="73" t="s">
        <v>591</v>
      </c>
      <c r="B542" s="76">
        <v>12.62</v>
      </c>
      <c r="C542" s="76">
        <v>0.0</v>
      </c>
      <c r="D542" s="76">
        <v>151.28</v>
      </c>
      <c r="E542" s="76">
        <v>1.46</v>
      </c>
      <c r="F542" s="76">
        <v>0.39</v>
      </c>
      <c r="G542" s="76">
        <v>24.35</v>
      </c>
      <c r="H542" s="76">
        <v>20.77</v>
      </c>
      <c r="I542" s="76">
        <v>0.83</v>
      </c>
      <c r="J542" s="76">
        <v>6.07</v>
      </c>
      <c r="K542" s="76">
        <v>14.27</v>
      </c>
      <c r="L542" s="76">
        <v>8.21</v>
      </c>
      <c r="M542" s="76">
        <v>1.97</v>
      </c>
      <c r="N542" s="76">
        <v>1.26</v>
      </c>
      <c r="O542" s="76">
        <v>-8.87</v>
      </c>
      <c r="P542" s="76">
        <v>-0.46</v>
      </c>
      <c r="Q542" s="76">
        <v>0.78</v>
      </c>
      <c r="R542" s="76">
        <v>0.96</v>
      </c>
      <c r="S542" s="76">
        <v>0.26</v>
      </c>
      <c r="T542" s="76">
        <v>6.76</v>
      </c>
      <c r="U542" s="76">
        <v>0.27</v>
      </c>
      <c r="V542" s="76">
        <v>0.73</v>
      </c>
      <c r="W542" s="76">
        <v>0.31</v>
      </c>
      <c r="X542" s="76">
        <v>0.0</v>
      </c>
      <c r="Y542" s="76">
        <v>0.0</v>
      </c>
      <c r="Z542" s="76">
        <v>6704467.0</v>
      </c>
      <c r="AA542" s="76">
        <v>8.65</v>
      </c>
      <c r="AB542" s="76">
        <v>0.08</v>
      </c>
      <c r="AC542" s="76">
        <v>-2.0</v>
      </c>
      <c r="AD542" s="79">
        <v>7.858859617E9</v>
      </c>
      <c r="AE542" s="80"/>
    </row>
    <row r="543">
      <c r="A543" s="73" t="s">
        <v>592</v>
      </c>
      <c r="B543" s="76">
        <v>14.42</v>
      </c>
      <c r="C543" s="76">
        <v>1.9</v>
      </c>
      <c r="D543" s="76">
        <v>15.02</v>
      </c>
      <c r="E543" s="76">
        <v>12.06</v>
      </c>
      <c r="F543" s="76">
        <v>2.14</v>
      </c>
      <c r="G543" s="76">
        <v>57.55</v>
      </c>
      <c r="H543" s="76">
        <v>45.15</v>
      </c>
      <c r="I543" s="76">
        <v>23.87</v>
      </c>
      <c r="J543" s="76">
        <v>7.94</v>
      </c>
      <c r="K543" s="76">
        <v>9.11</v>
      </c>
      <c r="L543" s="76">
        <v>1.17</v>
      </c>
      <c r="M543" s="76">
        <v>1.78</v>
      </c>
      <c r="N543" s="76">
        <v>3.59</v>
      </c>
      <c r="O543" s="76">
        <v>38.33</v>
      </c>
      <c r="P543" s="76">
        <v>-2.75</v>
      </c>
      <c r="Q543" s="76">
        <v>1.33</v>
      </c>
      <c r="R543" s="76">
        <v>80.31</v>
      </c>
      <c r="S543" s="76">
        <v>14.23</v>
      </c>
      <c r="T543" s="76">
        <v>24.76</v>
      </c>
      <c r="U543" s="76">
        <v>0.18</v>
      </c>
      <c r="V543" s="76">
        <v>0.82</v>
      </c>
      <c r="W543" s="76">
        <v>0.6</v>
      </c>
      <c r="X543" s="76">
        <v>24.45</v>
      </c>
      <c r="Y543" s="76">
        <v>122.03</v>
      </c>
      <c r="Z543" s="79">
        <v>3082209.0</v>
      </c>
      <c r="AA543" s="76">
        <v>1.2</v>
      </c>
      <c r="AB543" s="76">
        <v>0.96</v>
      </c>
      <c r="AC543" s="76">
        <v>1.66</v>
      </c>
      <c r="AD543" s="79">
        <v>1.2461336721E10</v>
      </c>
      <c r="AE543" s="80"/>
    </row>
    <row r="544">
      <c r="A544" s="73" t="s">
        <v>593</v>
      </c>
      <c r="B544" s="76">
        <v>0.0</v>
      </c>
      <c r="C544" s="76">
        <v>0.0</v>
      </c>
      <c r="D544" s="76">
        <v>0.0</v>
      </c>
      <c r="E544" s="76">
        <v>0.0</v>
      </c>
      <c r="F544" s="76">
        <v>0.0</v>
      </c>
      <c r="G544" s="76">
        <v>54.65</v>
      </c>
      <c r="H544" s="76">
        <v>36.95</v>
      </c>
      <c r="I544" s="76">
        <v>23.68</v>
      </c>
      <c r="J544" s="76">
        <v>0.0</v>
      </c>
      <c r="K544" s="76">
        <v>3.27</v>
      </c>
      <c r="L544" s="76">
        <v>3.27</v>
      </c>
      <c r="M544" s="76">
        <v>0.25</v>
      </c>
      <c r="N544" s="76">
        <v>0.0</v>
      </c>
      <c r="O544" s="76">
        <v>0.0</v>
      </c>
      <c r="P544" s="76">
        <v>0.0</v>
      </c>
      <c r="Q544" s="76">
        <v>3.14</v>
      </c>
      <c r="R544" s="76">
        <v>4.97</v>
      </c>
      <c r="S544" s="76">
        <v>3.15</v>
      </c>
      <c r="T544" s="76">
        <v>4.97</v>
      </c>
      <c r="U544" s="76">
        <v>0.63</v>
      </c>
      <c r="V544" s="76">
        <v>0.37</v>
      </c>
      <c r="W544" s="76">
        <v>0.13</v>
      </c>
      <c r="X544" s="76">
        <v>24.6</v>
      </c>
      <c r="Y544" s="76">
        <v>27.74</v>
      </c>
      <c r="Z544" s="76">
        <v>0.0</v>
      </c>
      <c r="AA544" s="76">
        <v>8.19</v>
      </c>
      <c r="AB544" s="76">
        <v>0.41</v>
      </c>
      <c r="AC544" s="76">
        <v>0.0</v>
      </c>
      <c r="AD544" s="79">
        <v>0.0</v>
      </c>
      <c r="AE544" s="80"/>
    </row>
    <row r="545">
      <c r="A545" s="73" t="s">
        <v>594</v>
      </c>
      <c r="B545" s="76">
        <v>0.0</v>
      </c>
      <c r="C545" s="76">
        <v>0.0</v>
      </c>
      <c r="D545" s="76">
        <v>0.0</v>
      </c>
      <c r="E545" s="76">
        <v>0.0</v>
      </c>
      <c r="F545" s="76">
        <v>0.0</v>
      </c>
      <c r="G545" s="76">
        <v>31.37</v>
      </c>
      <c r="H545" s="76">
        <v>17.25</v>
      </c>
      <c r="I545" s="76">
        <v>14.11</v>
      </c>
      <c r="J545" s="76">
        <v>0.0</v>
      </c>
      <c r="K545" s="76">
        <v>-0.22</v>
      </c>
      <c r="L545" s="76">
        <v>-0.22</v>
      </c>
      <c r="M545" s="76">
        <v>-0.09</v>
      </c>
      <c r="N545" s="76">
        <v>0.0</v>
      </c>
      <c r="O545" s="76">
        <v>0.0</v>
      </c>
      <c r="P545" s="76">
        <v>0.0</v>
      </c>
      <c r="Q545" s="76">
        <v>2.46</v>
      </c>
      <c r="R545" s="76">
        <v>32.1</v>
      </c>
      <c r="S545" s="76">
        <v>17.86</v>
      </c>
      <c r="T545" s="76">
        <v>21.15</v>
      </c>
      <c r="U545" s="76">
        <v>0.56</v>
      </c>
      <c r="V545" s="76">
        <v>0.44</v>
      </c>
      <c r="W545" s="76">
        <v>1.27</v>
      </c>
      <c r="X545" s="76">
        <v>22.02</v>
      </c>
      <c r="Y545" s="76">
        <v>0.0</v>
      </c>
      <c r="Z545" s="76">
        <v>0.0</v>
      </c>
      <c r="AA545" s="76">
        <v>2.91</v>
      </c>
      <c r="AB545" s="76">
        <v>0.94</v>
      </c>
      <c r="AC545" s="76">
        <v>0.0</v>
      </c>
      <c r="AD545" s="79">
        <v>0.0</v>
      </c>
      <c r="AE545" s="80"/>
    </row>
    <row r="546">
      <c r="A546" s="73" t="s">
        <v>595</v>
      </c>
      <c r="B546" s="76">
        <v>20.76</v>
      </c>
      <c r="C546" s="76">
        <v>0.0</v>
      </c>
      <c r="D546" s="76">
        <v>48.73</v>
      </c>
      <c r="E546" s="76">
        <v>1.06</v>
      </c>
      <c r="F546" s="76">
        <v>0.29</v>
      </c>
      <c r="G546" s="76">
        <v>4.25</v>
      </c>
      <c r="H546" s="76">
        <v>-3.34</v>
      </c>
      <c r="I546" s="76">
        <v>0.83</v>
      </c>
      <c r="J546" s="76">
        <v>-12.06</v>
      </c>
      <c r="K546" s="76">
        <v>7.41</v>
      </c>
      <c r="L546" s="76">
        <v>19.47</v>
      </c>
      <c r="M546" s="76">
        <v>-1.71</v>
      </c>
      <c r="N546" s="76">
        <v>0.4</v>
      </c>
      <c r="O546" s="76">
        <v>0.79</v>
      </c>
      <c r="P546" s="76">
        <v>-0.85</v>
      </c>
      <c r="Q546" s="76">
        <v>2.29</v>
      </c>
      <c r="R546" s="76">
        <v>2.17</v>
      </c>
      <c r="S546" s="76">
        <v>0.6</v>
      </c>
      <c r="T546" s="76">
        <v>-9.49</v>
      </c>
      <c r="U546" s="76">
        <v>0.28</v>
      </c>
      <c r="V546" s="76">
        <v>0.72</v>
      </c>
      <c r="W546" s="76">
        <v>0.73</v>
      </c>
      <c r="X546" s="76">
        <v>4.58</v>
      </c>
      <c r="Y546" s="76">
        <v>-23.56</v>
      </c>
      <c r="Z546" s="79">
        <v>3.13E8</v>
      </c>
      <c r="AA546" s="76">
        <v>19.64</v>
      </c>
      <c r="AB546" s="76">
        <v>0.43</v>
      </c>
      <c r="AC546" s="76">
        <v>-0.88</v>
      </c>
      <c r="AD546" s="76">
        <v>8.840533965E9</v>
      </c>
      <c r="AE546" s="74"/>
    </row>
    <row r="547">
      <c r="A547" s="73" t="s">
        <v>596</v>
      </c>
      <c r="B547" s="76">
        <v>7.43</v>
      </c>
      <c r="C547" s="76">
        <v>0.0</v>
      </c>
      <c r="D547" s="76">
        <v>52.32</v>
      </c>
      <c r="E547" s="76">
        <v>1.13</v>
      </c>
      <c r="F547" s="76">
        <v>0.31</v>
      </c>
      <c r="G547" s="76">
        <v>4.25</v>
      </c>
      <c r="H547" s="76">
        <v>-3.34</v>
      </c>
      <c r="I547" s="76">
        <v>0.83</v>
      </c>
      <c r="J547" s="76">
        <v>-12.95</v>
      </c>
      <c r="K547" s="76">
        <v>7.41</v>
      </c>
      <c r="L547" s="76">
        <v>19.47</v>
      </c>
      <c r="M547" s="76">
        <v>-1.71</v>
      </c>
      <c r="N547" s="76">
        <v>0.43</v>
      </c>
      <c r="O547" s="76">
        <v>0.85</v>
      </c>
      <c r="P547" s="76">
        <v>-0.91</v>
      </c>
      <c r="Q547" s="76">
        <v>2.29</v>
      </c>
      <c r="R547" s="76">
        <v>2.17</v>
      </c>
      <c r="S547" s="76">
        <v>0.6</v>
      </c>
      <c r="T547" s="76">
        <v>-9.49</v>
      </c>
      <c r="U547" s="76">
        <v>0.28</v>
      </c>
      <c r="V547" s="76">
        <v>0.72</v>
      </c>
      <c r="W547" s="76">
        <v>0.73</v>
      </c>
      <c r="X547" s="76">
        <v>4.58</v>
      </c>
      <c r="Y547" s="76">
        <v>-23.56</v>
      </c>
      <c r="Z547" s="77">
        <v>0.0</v>
      </c>
      <c r="AA547" s="76">
        <v>6.55</v>
      </c>
      <c r="AB547" s="76">
        <v>0.14</v>
      </c>
      <c r="AC547" s="76">
        <v>-0.95</v>
      </c>
      <c r="AD547" s="76">
        <v>8.840533965E9</v>
      </c>
      <c r="AE547" s="74"/>
    </row>
    <row r="548">
      <c r="A548" s="73" t="s">
        <v>597</v>
      </c>
      <c r="B548" s="76">
        <v>7.63</v>
      </c>
      <c r="C548" s="76">
        <v>0.0</v>
      </c>
      <c r="D548" s="76">
        <v>53.73</v>
      </c>
      <c r="E548" s="76">
        <v>1.17</v>
      </c>
      <c r="F548" s="76">
        <v>0.32</v>
      </c>
      <c r="G548" s="76">
        <v>4.25</v>
      </c>
      <c r="H548" s="76">
        <v>-3.34</v>
      </c>
      <c r="I548" s="76">
        <v>0.83</v>
      </c>
      <c r="J548" s="76">
        <v>-13.3</v>
      </c>
      <c r="K548" s="76">
        <v>7.41</v>
      </c>
      <c r="L548" s="76">
        <v>19.47</v>
      </c>
      <c r="M548" s="76">
        <v>-1.71</v>
      </c>
      <c r="N548" s="76">
        <v>0.44</v>
      </c>
      <c r="O548" s="76">
        <v>0.88</v>
      </c>
      <c r="P548" s="76">
        <v>-0.93</v>
      </c>
      <c r="Q548" s="76">
        <v>2.29</v>
      </c>
      <c r="R548" s="76">
        <v>2.17</v>
      </c>
      <c r="S548" s="76">
        <v>0.6</v>
      </c>
      <c r="T548" s="76">
        <v>-9.49</v>
      </c>
      <c r="U548" s="76">
        <v>0.28</v>
      </c>
      <c r="V548" s="76">
        <v>0.72</v>
      </c>
      <c r="W548" s="76">
        <v>0.73</v>
      </c>
      <c r="X548" s="76">
        <v>4.58</v>
      </c>
      <c r="Y548" s="76">
        <v>-23.56</v>
      </c>
      <c r="Z548" s="79">
        <v>0.0</v>
      </c>
      <c r="AA548" s="76">
        <v>6.55</v>
      </c>
      <c r="AB548" s="76">
        <v>0.14</v>
      </c>
      <c r="AC548" s="76">
        <v>-0.97</v>
      </c>
      <c r="AD548" s="79">
        <v>8.840533965E9</v>
      </c>
      <c r="AE548" s="80"/>
    </row>
    <row r="549">
      <c r="A549" s="73" t="s">
        <v>598</v>
      </c>
      <c r="B549" s="76">
        <v>57.13</v>
      </c>
      <c r="C549" s="76">
        <v>1.95</v>
      </c>
      <c r="D549" s="76">
        <v>11.02</v>
      </c>
      <c r="E549" s="76">
        <v>1.6</v>
      </c>
      <c r="F549" s="76">
        <v>0.44</v>
      </c>
      <c r="G549" s="76">
        <v>34.44</v>
      </c>
      <c r="H549" s="76">
        <v>22.51</v>
      </c>
      <c r="I549" s="76">
        <v>12.8</v>
      </c>
      <c r="J549" s="76">
        <v>6.27</v>
      </c>
      <c r="K549" s="76">
        <v>12.29</v>
      </c>
      <c r="L549" s="76">
        <v>6.02</v>
      </c>
      <c r="M549" s="76">
        <v>1.54</v>
      </c>
      <c r="N549" s="76">
        <v>1.41</v>
      </c>
      <c r="O549" s="76">
        <v>2.47</v>
      </c>
      <c r="P549" s="76">
        <v>-0.59</v>
      </c>
      <c r="Q549" s="76">
        <v>3.2</v>
      </c>
      <c r="R549" s="76">
        <v>14.52</v>
      </c>
      <c r="S549" s="76">
        <v>3.98</v>
      </c>
      <c r="T549" s="76">
        <v>1.67</v>
      </c>
      <c r="U549" s="76">
        <v>0.27</v>
      </c>
      <c r="V549" s="76">
        <v>0.72</v>
      </c>
      <c r="W549" s="76">
        <v>0.31</v>
      </c>
      <c r="X549" s="76">
        <v>12.75</v>
      </c>
      <c r="Y549" s="76">
        <v>0.0</v>
      </c>
      <c r="Z549" s="79">
        <v>4.32E8</v>
      </c>
      <c r="AA549" s="76">
        <v>35.69</v>
      </c>
      <c r="AB549" s="76">
        <v>5.18</v>
      </c>
      <c r="AC549" s="76">
        <v>0.19</v>
      </c>
      <c r="AD549" s="79">
        <v>7.2219039345E10</v>
      </c>
      <c r="AE549" s="80"/>
    </row>
    <row r="550">
      <c r="A550" s="73" t="s">
        <v>599</v>
      </c>
      <c r="B550" s="76">
        <v>4.77</v>
      </c>
      <c r="C550" s="76">
        <v>18.4</v>
      </c>
      <c r="D550" s="76">
        <v>6.16</v>
      </c>
      <c r="E550" s="76">
        <v>1.0</v>
      </c>
      <c r="F550" s="76">
        <v>0.31</v>
      </c>
      <c r="G550" s="76">
        <v>53.31</v>
      </c>
      <c r="H550" s="76">
        <v>54.54</v>
      </c>
      <c r="I550" s="76">
        <v>36.6</v>
      </c>
      <c r="J550" s="76">
        <v>4.13</v>
      </c>
      <c r="K550" s="76">
        <v>5.02</v>
      </c>
      <c r="L550" s="76">
        <v>0.89</v>
      </c>
      <c r="M550" s="76">
        <v>0.21</v>
      </c>
      <c r="N550" s="76">
        <v>2.25</v>
      </c>
      <c r="O550" s="76">
        <v>5.99</v>
      </c>
      <c r="P550" s="76">
        <v>-0.36</v>
      </c>
      <c r="Q550" s="76">
        <v>1.51</v>
      </c>
      <c r="R550" s="76">
        <v>16.18</v>
      </c>
      <c r="S550" s="76">
        <v>5.01</v>
      </c>
      <c r="T550" s="76">
        <v>6.52</v>
      </c>
      <c r="U550" s="76">
        <v>0.31</v>
      </c>
      <c r="V550" s="76">
        <v>0.4</v>
      </c>
      <c r="W550" s="76">
        <v>0.14</v>
      </c>
      <c r="X550" s="76">
        <v>23.59</v>
      </c>
      <c r="Y550" s="76">
        <v>29.23</v>
      </c>
      <c r="Z550" s="76">
        <v>2428992.0</v>
      </c>
      <c r="AA550" s="76">
        <v>4.79</v>
      </c>
      <c r="AB550" s="76">
        <v>0.77</v>
      </c>
      <c r="AC550" s="76">
        <v>-0.08</v>
      </c>
      <c r="AD550" s="79">
        <v>7.281140027E8</v>
      </c>
      <c r="AE550" s="80"/>
    </row>
    <row r="551">
      <c r="A551" s="73" t="s">
        <v>600</v>
      </c>
      <c r="B551" s="76">
        <v>44.56</v>
      </c>
      <c r="C551" s="76">
        <v>7.25</v>
      </c>
      <c r="D551" s="76">
        <v>8.91</v>
      </c>
      <c r="E551" s="76">
        <v>2.01</v>
      </c>
      <c r="F551" s="76">
        <v>0.7</v>
      </c>
      <c r="G551" s="76">
        <v>57.72</v>
      </c>
      <c r="H551" s="76">
        <v>64.68</v>
      </c>
      <c r="I551" s="76">
        <v>38.21</v>
      </c>
      <c r="J551" s="76">
        <v>5.26</v>
      </c>
      <c r="K551" s="76">
        <v>8.44</v>
      </c>
      <c r="L551" s="76">
        <v>3.17</v>
      </c>
      <c r="M551" s="76">
        <v>1.21</v>
      </c>
      <c r="N551" s="76">
        <v>3.4</v>
      </c>
      <c r="O551" s="76">
        <v>11.31</v>
      </c>
      <c r="P551" s="76">
        <v>-0.83</v>
      </c>
      <c r="Q551" s="76">
        <v>1.67</v>
      </c>
      <c r="R551" s="76">
        <v>22.54</v>
      </c>
      <c r="S551" s="76">
        <v>7.9</v>
      </c>
      <c r="T551" s="76">
        <v>15.75</v>
      </c>
      <c r="U551" s="76">
        <v>0.35</v>
      </c>
      <c r="V551" s="76">
        <v>0.65</v>
      </c>
      <c r="W551" s="76">
        <v>0.21</v>
      </c>
      <c r="X551" s="76">
        <v>15.68</v>
      </c>
      <c r="Y551" s="76">
        <v>11.46</v>
      </c>
      <c r="Z551" s="79">
        <v>8.1249691E7</v>
      </c>
      <c r="AA551" s="76">
        <v>22.19</v>
      </c>
      <c r="AB551" s="76">
        <v>5.0</v>
      </c>
      <c r="AC551" s="76">
        <v>4.05</v>
      </c>
      <c r="AD551" s="79">
        <v>1.5350871296E10</v>
      </c>
      <c r="AE551" s="80"/>
    </row>
    <row r="552">
      <c r="A552" s="73" t="s">
        <v>601</v>
      </c>
      <c r="B552" s="76">
        <v>14.68</v>
      </c>
      <c r="C552" s="76">
        <v>7.33</v>
      </c>
      <c r="D552" s="76">
        <v>8.8</v>
      </c>
      <c r="E552" s="76">
        <v>1.98</v>
      </c>
      <c r="F552" s="76">
        <v>0.7</v>
      </c>
      <c r="G552" s="76">
        <v>57.72</v>
      </c>
      <c r="H552" s="76">
        <v>64.68</v>
      </c>
      <c r="I552" s="76">
        <v>38.21</v>
      </c>
      <c r="J552" s="76">
        <v>5.2</v>
      </c>
      <c r="K552" s="76">
        <v>8.44</v>
      </c>
      <c r="L552" s="76">
        <v>3.17</v>
      </c>
      <c r="M552" s="76">
        <v>1.21</v>
      </c>
      <c r="N552" s="76">
        <v>3.36</v>
      </c>
      <c r="O552" s="76">
        <v>11.18</v>
      </c>
      <c r="P552" s="76">
        <v>-0.82</v>
      </c>
      <c r="Q552" s="76">
        <v>1.67</v>
      </c>
      <c r="R552" s="76">
        <v>22.54</v>
      </c>
      <c r="S552" s="76">
        <v>7.9</v>
      </c>
      <c r="T552" s="76">
        <v>15.75</v>
      </c>
      <c r="U552" s="76">
        <v>0.35</v>
      </c>
      <c r="V552" s="76">
        <v>0.65</v>
      </c>
      <c r="W552" s="76">
        <v>0.21</v>
      </c>
      <c r="X552" s="76">
        <v>15.68</v>
      </c>
      <c r="Y552" s="76">
        <v>11.46</v>
      </c>
      <c r="Z552" s="79">
        <v>996539.2</v>
      </c>
      <c r="AA552" s="76">
        <v>7.4</v>
      </c>
      <c r="AB552" s="76">
        <v>1.67</v>
      </c>
      <c r="AC552" s="76">
        <v>4.0</v>
      </c>
      <c r="AD552" s="79">
        <v>1.5350871296E10</v>
      </c>
      <c r="AE552" s="80"/>
    </row>
    <row r="553">
      <c r="A553" s="73" t="s">
        <v>602</v>
      </c>
      <c r="B553" s="76">
        <v>14.78</v>
      </c>
      <c r="C553" s="76">
        <v>7.28</v>
      </c>
      <c r="D553" s="76">
        <v>8.86</v>
      </c>
      <c r="E553" s="76">
        <v>2.0</v>
      </c>
      <c r="F553" s="76">
        <v>0.7</v>
      </c>
      <c r="G553" s="76">
        <v>57.72</v>
      </c>
      <c r="H553" s="76">
        <v>64.68</v>
      </c>
      <c r="I553" s="76">
        <v>38.21</v>
      </c>
      <c r="J553" s="76">
        <v>5.24</v>
      </c>
      <c r="K553" s="76">
        <v>8.44</v>
      </c>
      <c r="L553" s="76">
        <v>3.17</v>
      </c>
      <c r="M553" s="76">
        <v>1.21</v>
      </c>
      <c r="N553" s="76">
        <v>3.39</v>
      </c>
      <c r="O553" s="76">
        <v>11.25</v>
      </c>
      <c r="P553" s="76">
        <v>-0.83</v>
      </c>
      <c r="Q553" s="76">
        <v>1.67</v>
      </c>
      <c r="R553" s="76">
        <v>22.54</v>
      </c>
      <c r="S553" s="76">
        <v>7.9</v>
      </c>
      <c r="T553" s="76">
        <v>15.75</v>
      </c>
      <c r="U553" s="76">
        <v>0.35</v>
      </c>
      <c r="V553" s="76">
        <v>0.65</v>
      </c>
      <c r="W553" s="76">
        <v>0.21</v>
      </c>
      <c r="X553" s="76">
        <v>15.68</v>
      </c>
      <c r="Y553" s="76">
        <v>11.46</v>
      </c>
      <c r="Z553" s="79">
        <v>1873095.0</v>
      </c>
      <c r="AA553" s="76">
        <v>7.4</v>
      </c>
      <c r="AB553" s="76">
        <v>1.67</v>
      </c>
      <c r="AC553" s="76">
        <v>4.03</v>
      </c>
      <c r="AD553" s="79">
        <v>1.5350871296E10</v>
      </c>
      <c r="AE553" s="80"/>
    </row>
    <row r="554">
      <c r="A554" s="73" t="s">
        <v>603</v>
      </c>
      <c r="B554" s="76">
        <v>5.28</v>
      </c>
      <c r="C554" s="76">
        <v>3.84</v>
      </c>
      <c r="D554" s="76">
        <v>5.94</v>
      </c>
      <c r="E554" s="76">
        <v>0.57</v>
      </c>
      <c r="F554" s="76">
        <v>0.3</v>
      </c>
      <c r="G554" s="76">
        <v>34.73</v>
      </c>
      <c r="H554" s="76">
        <v>9.77</v>
      </c>
      <c r="I554" s="76">
        <v>8.1</v>
      </c>
      <c r="J554" s="76">
        <v>4.93</v>
      </c>
      <c r="K554" s="76">
        <v>8.76</v>
      </c>
      <c r="L554" s="76">
        <v>3.87</v>
      </c>
      <c r="M554" s="76">
        <v>0.45</v>
      </c>
      <c r="N554" s="76">
        <v>0.48</v>
      </c>
      <c r="O554" s="76">
        <v>1.55</v>
      </c>
      <c r="P554" s="76">
        <v>-0.68</v>
      </c>
      <c r="Q554" s="76">
        <v>1.51</v>
      </c>
      <c r="R554" s="76">
        <v>9.56</v>
      </c>
      <c r="S554" s="76">
        <v>4.97</v>
      </c>
      <c r="T554" s="76">
        <v>5.83</v>
      </c>
      <c r="U554" s="76">
        <v>0.52</v>
      </c>
      <c r="V554" s="76">
        <v>0.48</v>
      </c>
      <c r="W554" s="76">
        <v>0.61</v>
      </c>
      <c r="X554" s="76">
        <v>10.85</v>
      </c>
      <c r="Y554" s="76">
        <v>23.3</v>
      </c>
      <c r="Z554" s="79">
        <v>228196.4</v>
      </c>
      <c r="AA554" s="76">
        <v>9.29</v>
      </c>
      <c r="AB554" s="76">
        <v>0.89</v>
      </c>
      <c r="AC554" s="76">
        <v>0.1</v>
      </c>
      <c r="AD554" s="79">
        <v>7.302003086E8</v>
      </c>
      <c r="AE554" s="80"/>
    </row>
    <row r="555">
      <c r="A555" s="73" t="s">
        <v>604</v>
      </c>
      <c r="B555" s="76">
        <v>5.22</v>
      </c>
      <c r="C555" s="76">
        <v>3.88</v>
      </c>
      <c r="D555" s="76">
        <v>5.88</v>
      </c>
      <c r="E555" s="76">
        <v>0.56</v>
      </c>
      <c r="F555" s="76">
        <v>0.29</v>
      </c>
      <c r="G555" s="76">
        <v>34.73</v>
      </c>
      <c r="H555" s="76">
        <v>9.77</v>
      </c>
      <c r="I555" s="76">
        <v>8.1</v>
      </c>
      <c r="J555" s="76">
        <v>4.87</v>
      </c>
      <c r="K555" s="76">
        <v>8.76</v>
      </c>
      <c r="L555" s="76">
        <v>3.87</v>
      </c>
      <c r="M555" s="76">
        <v>0.45</v>
      </c>
      <c r="N555" s="76">
        <v>0.48</v>
      </c>
      <c r="O555" s="76">
        <v>1.53</v>
      </c>
      <c r="P555" s="76">
        <v>-0.67</v>
      </c>
      <c r="Q555" s="76">
        <v>1.51</v>
      </c>
      <c r="R555" s="76">
        <v>9.56</v>
      </c>
      <c r="S555" s="76">
        <v>4.97</v>
      </c>
      <c r="T555" s="76">
        <v>5.83</v>
      </c>
      <c r="U555" s="76">
        <v>0.52</v>
      </c>
      <c r="V555" s="76">
        <v>0.48</v>
      </c>
      <c r="W555" s="76">
        <v>0.61</v>
      </c>
      <c r="X555" s="76">
        <v>10.85</v>
      </c>
      <c r="Y555" s="76">
        <v>23.3</v>
      </c>
      <c r="Z555" s="79">
        <v>2096716.0</v>
      </c>
      <c r="AA555" s="76">
        <v>9.29</v>
      </c>
      <c r="AB555" s="76">
        <v>0.89</v>
      </c>
      <c r="AC555" s="76">
        <v>0.1</v>
      </c>
      <c r="AD555" s="79">
        <v>7.302003086E8</v>
      </c>
      <c r="AE555" s="80"/>
    </row>
    <row r="556">
      <c r="A556" s="73" t="s">
        <v>605</v>
      </c>
      <c r="B556" s="76">
        <v>1.2</v>
      </c>
      <c r="C556" s="76">
        <v>0.0</v>
      </c>
      <c r="D556" s="76">
        <v>-7.52</v>
      </c>
      <c r="E556" s="76">
        <v>-8.4</v>
      </c>
      <c r="F556" s="76">
        <v>0.03</v>
      </c>
      <c r="G556" s="76">
        <v>0.0</v>
      </c>
      <c r="H556" s="76">
        <v>0.0</v>
      </c>
      <c r="I556" s="76">
        <v>0.0</v>
      </c>
      <c r="J556" s="76">
        <v>-6.81</v>
      </c>
      <c r="K556" s="76">
        <v>-34.51</v>
      </c>
      <c r="L556" s="76">
        <v>-28.98</v>
      </c>
      <c r="M556" s="76">
        <v>0.0</v>
      </c>
      <c r="N556" s="76">
        <v>0.0</v>
      </c>
      <c r="O556" s="76">
        <v>-0.08</v>
      </c>
      <c r="P556" s="76">
        <v>-0.04</v>
      </c>
      <c r="Q556" s="76">
        <v>0.28</v>
      </c>
      <c r="R556" s="76">
        <v>-111.63</v>
      </c>
      <c r="S556" s="76">
        <v>-0.45</v>
      </c>
      <c r="T556" s="76">
        <v>-3.55</v>
      </c>
      <c r="U556" s="76">
        <v>0.0</v>
      </c>
      <c r="V556" s="76">
        <v>1.0</v>
      </c>
      <c r="W556" s="76">
        <v>0.0</v>
      </c>
      <c r="X556" s="76">
        <v>0.0</v>
      </c>
      <c r="Y556" s="76">
        <v>0.0</v>
      </c>
      <c r="Z556" s="79">
        <v>0.0</v>
      </c>
      <c r="AA556" s="76">
        <v>-0.14</v>
      </c>
      <c r="AB556" s="76">
        <v>-0.16</v>
      </c>
      <c r="AC556" s="76">
        <v>-0.28</v>
      </c>
      <c r="AD556" s="79">
        <v>6451072.5</v>
      </c>
      <c r="AE556" s="80"/>
    </row>
    <row r="557">
      <c r="A557" s="73" t="s">
        <v>606</v>
      </c>
      <c r="B557" s="76">
        <v>0.85</v>
      </c>
      <c r="C557" s="76">
        <v>0.0</v>
      </c>
      <c r="D557" s="76">
        <v>-5.33</v>
      </c>
      <c r="E557" s="76">
        <v>-5.95</v>
      </c>
      <c r="F557" s="76">
        <v>0.02</v>
      </c>
      <c r="G557" s="76">
        <v>0.0</v>
      </c>
      <c r="H557" s="76">
        <v>0.0</v>
      </c>
      <c r="I557" s="76">
        <v>0.0</v>
      </c>
      <c r="J557" s="76">
        <v>-4.82</v>
      </c>
      <c r="K557" s="76">
        <v>-34.51</v>
      </c>
      <c r="L557" s="76">
        <v>-28.98</v>
      </c>
      <c r="M557" s="76">
        <v>0.0</v>
      </c>
      <c r="N557" s="76">
        <v>0.0</v>
      </c>
      <c r="O557" s="76">
        <v>-0.06</v>
      </c>
      <c r="P557" s="76">
        <v>-0.03</v>
      </c>
      <c r="Q557" s="76">
        <v>0.28</v>
      </c>
      <c r="R557" s="76">
        <v>-111.63</v>
      </c>
      <c r="S557" s="76">
        <v>-0.45</v>
      </c>
      <c r="T557" s="76">
        <v>-3.55</v>
      </c>
      <c r="U557" s="76">
        <v>0.0</v>
      </c>
      <c r="V557" s="76">
        <v>1.0</v>
      </c>
      <c r="W557" s="76">
        <v>0.0</v>
      </c>
      <c r="X557" s="76">
        <v>0.0</v>
      </c>
      <c r="Y557" s="76">
        <v>0.0</v>
      </c>
      <c r="Z557" s="79">
        <v>0.0</v>
      </c>
      <c r="AA557" s="76">
        <v>-0.14</v>
      </c>
      <c r="AB557" s="76">
        <v>-0.16</v>
      </c>
      <c r="AC557" s="76">
        <v>-0.2</v>
      </c>
      <c r="AD557" s="79">
        <v>6451072.5</v>
      </c>
      <c r="AE557" s="80"/>
    </row>
    <row r="558">
      <c r="A558" s="73" t="s">
        <v>607</v>
      </c>
      <c r="B558" s="76">
        <v>1.52</v>
      </c>
      <c r="C558" s="76">
        <v>0.0</v>
      </c>
      <c r="D558" s="76">
        <v>-0.86</v>
      </c>
      <c r="E558" s="76">
        <v>0.36</v>
      </c>
      <c r="F558" s="76">
        <v>0.1</v>
      </c>
      <c r="G558" s="76">
        <v>-15.95</v>
      </c>
      <c r="H558" s="76">
        <v>-27.86</v>
      </c>
      <c r="I558" s="76">
        <v>-46.95</v>
      </c>
      <c r="J558" s="77">
        <v>-1.45</v>
      </c>
      <c r="K558" s="77">
        <v>-8.09</v>
      </c>
      <c r="L558" s="76">
        <v>-6.64</v>
      </c>
      <c r="M558" s="76">
        <v>1.66</v>
      </c>
      <c r="N558" s="76">
        <v>0.4</v>
      </c>
      <c r="O558" s="76">
        <v>-1.49</v>
      </c>
      <c r="P558" s="76">
        <v>-0.14</v>
      </c>
      <c r="Q558" s="76">
        <v>0.81</v>
      </c>
      <c r="R558" s="76">
        <v>-42.07</v>
      </c>
      <c r="S558" s="76">
        <v>-11.86</v>
      </c>
      <c r="T558" s="76">
        <v>-9.75</v>
      </c>
      <c r="U558" s="76">
        <v>0.28</v>
      </c>
      <c r="V558" s="76">
        <v>0.71</v>
      </c>
      <c r="W558" s="76">
        <v>0.25</v>
      </c>
      <c r="X558" s="76">
        <v>5.16</v>
      </c>
      <c r="Y558" s="76">
        <v>0.0</v>
      </c>
      <c r="Z558" s="76">
        <v>259804.8</v>
      </c>
      <c r="AA558" s="76">
        <v>4.21</v>
      </c>
      <c r="AB558" s="76">
        <v>-1.77</v>
      </c>
      <c r="AC558" s="76">
        <v>0.06</v>
      </c>
      <c r="AD558" s="76">
        <v>1.119012296E8</v>
      </c>
      <c r="AE558" s="74"/>
    </row>
    <row r="559">
      <c r="A559" s="73" t="s">
        <v>608</v>
      </c>
      <c r="B559" s="76">
        <v>8.95</v>
      </c>
      <c r="C559" s="76">
        <v>4.59</v>
      </c>
      <c r="D559" s="76">
        <v>7.97</v>
      </c>
      <c r="E559" s="76">
        <v>1.25</v>
      </c>
      <c r="F559" s="76">
        <v>0.77</v>
      </c>
      <c r="G559" s="76">
        <v>54.75</v>
      </c>
      <c r="H559" s="76">
        <v>16.04</v>
      </c>
      <c r="I559" s="76">
        <v>15.07</v>
      </c>
      <c r="J559" s="76">
        <v>7.49</v>
      </c>
      <c r="K559" s="76">
        <v>7.77</v>
      </c>
      <c r="L559" s="76">
        <v>0.28</v>
      </c>
      <c r="M559" s="76">
        <v>0.05</v>
      </c>
      <c r="N559" s="76">
        <v>1.2</v>
      </c>
      <c r="O559" s="76">
        <v>1.64</v>
      </c>
      <c r="P559" s="76">
        <v>-2.35</v>
      </c>
      <c r="Q559" s="76">
        <v>3.25</v>
      </c>
      <c r="R559" s="76">
        <v>15.64</v>
      </c>
      <c r="S559" s="76">
        <v>9.61</v>
      </c>
      <c r="T559" s="76">
        <v>11.97</v>
      </c>
      <c r="U559" s="76">
        <v>0.61</v>
      </c>
      <c r="V559" s="76">
        <v>0.39</v>
      </c>
      <c r="W559" s="76">
        <v>0.64</v>
      </c>
      <c r="X559" s="76">
        <v>4.83</v>
      </c>
      <c r="Y559" s="76">
        <v>0.0</v>
      </c>
      <c r="Z559" s="77">
        <v>466551.2</v>
      </c>
      <c r="AA559" s="76">
        <v>7.18</v>
      </c>
      <c r="AB559" s="76">
        <v>1.12</v>
      </c>
      <c r="AC559" s="76">
        <v>1.15</v>
      </c>
      <c r="AD559" s="76">
        <v>5.451106243E8</v>
      </c>
      <c r="AE559" s="74"/>
    </row>
    <row r="560">
      <c r="A560" s="73" t="s">
        <v>609</v>
      </c>
      <c r="B560" s="76">
        <v>42.5</v>
      </c>
      <c r="C560" s="76">
        <v>0.0</v>
      </c>
      <c r="D560" s="76">
        <v>0.15</v>
      </c>
      <c r="E560" s="76">
        <v>-0.01</v>
      </c>
      <c r="F560" s="76">
        <v>0.02</v>
      </c>
      <c r="G560" s="76">
        <v>24.94</v>
      </c>
      <c r="H560" s="76">
        <v>-10.67</v>
      </c>
      <c r="I560" s="76">
        <v>43.69</v>
      </c>
      <c r="J560" s="76">
        <v>-0.6</v>
      </c>
      <c r="K560" s="76">
        <v>-1.94</v>
      </c>
      <c r="L560" s="76">
        <v>-1.54</v>
      </c>
      <c r="M560" s="76">
        <v>0.0</v>
      </c>
      <c r="N560" s="76">
        <v>0.06</v>
      </c>
      <c r="O560" s="76">
        <v>-0.01</v>
      </c>
      <c r="P560" s="76">
        <v>-0.02</v>
      </c>
      <c r="Q560" s="76">
        <v>0.04</v>
      </c>
      <c r="R560" s="76">
        <v>-6.36</v>
      </c>
      <c r="S560" s="76">
        <v>12.79</v>
      </c>
      <c r="T560" s="76">
        <v>30.07</v>
      </c>
      <c r="U560" s="76">
        <v>-2.01</v>
      </c>
      <c r="V560" s="76">
        <v>3.01</v>
      </c>
      <c r="W560" s="76">
        <v>0.29</v>
      </c>
      <c r="X560" s="76">
        <v>17.7</v>
      </c>
      <c r="Y560" s="76">
        <v>0.0</v>
      </c>
      <c r="Z560" s="76">
        <v>0.0</v>
      </c>
      <c r="AA560" s="76">
        <v>-4587.35</v>
      </c>
      <c r="AB560" s="76">
        <v>291.75</v>
      </c>
      <c r="AC560" s="76">
        <v>0.0</v>
      </c>
      <c r="AD560" s="79">
        <v>1.42602375E7</v>
      </c>
      <c r="AE560" s="80"/>
    </row>
    <row r="561">
      <c r="A561" s="73" t="s">
        <v>610</v>
      </c>
      <c r="B561" s="76">
        <v>21.25</v>
      </c>
      <c r="C561" s="76">
        <v>0.0</v>
      </c>
      <c r="D561" s="76">
        <v>0.07</v>
      </c>
      <c r="E561" s="76">
        <v>0.0</v>
      </c>
      <c r="F561" s="76">
        <v>0.01</v>
      </c>
      <c r="G561" s="76">
        <v>24.94</v>
      </c>
      <c r="H561" s="76">
        <v>-10.67</v>
      </c>
      <c r="I561" s="76">
        <v>43.69</v>
      </c>
      <c r="J561" s="76">
        <v>-0.3</v>
      </c>
      <c r="K561" s="76">
        <v>-1.94</v>
      </c>
      <c r="L561" s="76">
        <v>-1.54</v>
      </c>
      <c r="M561" s="76">
        <v>0.0</v>
      </c>
      <c r="N561" s="76">
        <v>0.03</v>
      </c>
      <c r="O561" s="76">
        <v>0.0</v>
      </c>
      <c r="P561" s="76">
        <v>-0.01</v>
      </c>
      <c r="Q561" s="76">
        <v>0.04</v>
      </c>
      <c r="R561" s="76">
        <v>-6.36</v>
      </c>
      <c r="S561" s="76">
        <v>12.79</v>
      </c>
      <c r="T561" s="76">
        <v>30.07</v>
      </c>
      <c r="U561" s="76">
        <v>-2.01</v>
      </c>
      <c r="V561" s="76">
        <v>3.01</v>
      </c>
      <c r="W561" s="76">
        <v>0.29</v>
      </c>
      <c r="X561" s="76">
        <v>17.7</v>
      </c>
      <c r="Y561" s="76">
        <v>0.0</v>
      </c>
      <c r="Z561" s="76">
        <v>0.0</v>
      </c>
      <c r="AA561" s="76">
        <v>-4587.35</v>
      </c>
      <c r="AB561" s="76">
        <v>291.75</v>
      </c>
      <c r="AC561" s="76">
        <v>0.0</v>
      </c>
      <c r="AD561" s="79">
        <v>1.42602375E7</v>
      </c>
      <c r="AE561" s="80"/>
    </row>
    <row r="562">
      <c r="A562" s="73" t="s">
        <v>611</v>
      </c>
      <c r="B562" s="76">
        <v>12.8</v>
      </c>
      <c r="C562" s="76">
        <v>0.0</v>
      </c>
      <c r="D562" s="76">
        <v>23.24</v>
      </c>
      <c r="E562" s="76">
        <v>0.85</v>
      </c>
      <c r="F562" s="76">
        <v>0.31</v>
      </c>
      <c r="G562" s="76">
        <v>-38.99</v>
      </c>
      <c r="H562" s="76">
        <v>26.31</v>
      </c>
      <c r="I562" s="76">
        <v>12.16</v>
      </c>
      <c r="J562" s="76">
        <v>10.74</v>
      </c>
      <c r="K562" s="76">
        <v>-1.37</v>
      </c>
      <c r="L562" s="76">
        <v>-11.39</v>
      </c>
      <c r="M562" s="76">
        <v>-0.91</v>
      </c>
      <c r="N562" s="76">
        <v>2.83</v>
      </c>
      <c r="O562" s="76">
        <v>0.73</v>
      </c>
      <c r="P562" s="76">
        <v>-0.63</v>
      </c>
      <c r="Q562" s="76">
        <v>5.55</v>
      </c>
      <c r="R562" s="76">
        <v>3.68</v>
      </c>
      <c r="S562" s="76">
        <v>1.33</v>
      </c>
      <c r="T562" s="76">
        <v>7.92</v>
      </c>
      <c r="U562" s="76">
        <v>0.36</v>
      </c>
      <c r="V562" s="76">
        <v>0.64</v>
      </c>
      <c r="W562" s="76">
        <v>0.11</v>
      </c>
      <c r="X562" s="76">
        <v>15.19</v>
      </c>
      <c r="Y562" s="76">
        <v>0.0</v>
      </c>
      <c r="Z562" s="76">
        <v>16653.12</v>
      </c>
      <c r="AA562" s="76">
        <v>14.98</v>
      </c>
      <c r="AB562" s="76">
        <v>0.55</v>
      </c>
      <c r="AC562" s="76">
        <v>-0.19</v>
      </c>
      <c r="AD562" s="79">
        <v>1.217583826E9</v>
      </c>
      <c r="AE562" s="80"/>
    </row>
    <row r="563">
      <c r="A563" s="73" t="s">
        <v>612</v>
      </c>
      <c r="B563" s="76">
        <v>8.03</v>
      </c>
      <c r="C563" s="76">
        <v>0.0</v>
      </c>
      <c r="D563" s="76">
        <v>14.58</v>
      </c>
      <c r="E563" s="76">
        <v>0.54</v>
      </c>
      <c r="F563" s="76">
        <v>0.19</v>
      </c>
      <c r="G563" s="76">
        <v>-38.99</v>
      </c>
      <c r="H563" s="76">
        <v>26.31</v>
      </c>
      <c r="I563" s="76">
        <v>12.16</v>
      </c>
      <c r="J563" s="76">
        <v>6.74</v>
      </c>
      <c r="K563" s="76">
        <v>-1.37</v>
      </c>
      <c r="L563" s="76">
        <v>-11.39</v>
      </c>
      <c r="M563" s="76">
        <v>-0.91</v>
      </c>
      <c r="N563" s="76">
        <v>1.77</v>
      </c>
      <c r="O563" s="76">
        <v>0.46</v>
      </c>
      <c r="P563" s="76">
        <v>-0.4</v>
      </c>
      <c r="Q563" s="76">
        <v>5.55</v>
      </c>
      <c r="R563" s="76">
        <v>3.68</v>
      </c>
      <c r="S563" s="76">
        <v>1.33</v>
      </c>
      <c r="T563" s="76">
        <v>7.92</v>
      </c>
      <c r="U563" s="76">
        <v>0.36</v>
      </c>
      <c r="V563" s="76">
        <v>0.64</v>
      </c>
      <c r="W563" s="76">
        <v>0.11</v>
      </c>
      <c r="X563" s="76">
        <v>15.19</v>
      </c>
      <c r="Y563" s="76">
        <v>0.0</v>
      </c>
      <c r="Z563" s="79">
        <v>23637.9</v>
      </c>
      <c r="AA563" s="76">
        <v>14.98</v>
      </c>
      <c r="AB563" s="76">
        <v>0.55</v>
      </c>
      <c r="AC563" s="76">
        <v>-0.12</v>
      </c>
      <c r="AD563" s="76">
        <v>1.217583826E9</v>
      </c>
      <c r="AE563" s="74"/>
    </row>
    <row r="564">
      <c r="A564" s="73" t="s">
        <v>613</v>
      </c>
      <c r="B564" s="76">
        <v>34.13</v>
      </c>
      <c r="C564" s="76">
        <v>3.61</v>
      </c>
      <c r="D564" s="76">
        <v>9.91</v>
      </c>
      <c r="E564" s="76">
        <v>3.41</v>
      </c>
      <c r="F564" s="76">
        <v>0.68</v>
      </c>
      <c r="G564" s="76">
        <v>29.44</v>
      </c>
      <c r="H564" s="76">
        <v>11.41</v>
      </c>
      <c r="I564" s="76">
        <v>10.99</v>
      </c>
      <c r="J564" s="76">
        <v>9.55</v>
      </c>
      <c r="K564" s="76">
        <v>10.25</v>
      </c>
      <c r="L564" s="76">
        <v>0.7</v>
      </c>
      <c r="M564" s="76">
        <v>0.25</v>
      </c>
      <c r="N564" s="76">
        <v>1.09</v>
      </c>
      <c r="O564" s="76">
        <v>2.37</v>
      </c>
      <c r="P564" s="76">
        <v>-1.71</v>
      </c>
      <c r="Q564" s="76">
        <v>1.89</v>
      </c>
      <c r="R564" s="76">
        <v>34.41</v>
      </c>
      <c r="S564" s="76">
        <v>6.82</v>
      </c>
      <c r="T564" s="76">
        <v>16.01</v>
      </c>
      <c r="U564" s="76">
        <v>0.2</v>
      </c>
      <c r="V564" s="76">
        <v>0.8</v>
      </c>
      <c r="W564" s="76">
        <v>0.62</v>
      </c>
      <c r="X564" s="76">
        <v>10.99</v>
      </c>
      <c r="Y564" s="76">
        <v>9.89</v>
      </c>
      <c r="Z564" s="79">
        <v>6.3965412E7</v>
      </c>
      <c r="AA564" s="76">
        <v>10.01</v>
      </c>
      <c r="AB564" s="76">
        <v>3.45</v>
      </c>
      <c r="AC564" s="76">
        <v>0.04</v>
      </c>
      <c r="AD564" s="79">
        <v>4.183592328E9</v>
      </c>
      <c r="AE564" s="80"/>
    </row>
    <row r="565">
      <c r="A565" s="73" t="s">
        <v>614</v>
      </c>
      <c r="B565" s="76">
        <v>48.0</v>
      </c>
      <c r="C565" s="76">
        <v>0.0</v>
      </c>
      <c r="D565" s="76">
        <v>-13.3</v>
      </c>
      <c r="E565" s="76">
        <v>1.62</v>
      </c>
      <c r="F565" s="76">
        <v>0.52</v>
      </c>
      <c r="G565" s="76">
        <v>15.86</v>
      </c>
      <c r="H565" s="76">
        <v>9.39</v>
      </c>
      <c r="I565" s="76">
        <v>-7.58</v>
      </c>
      <c r="J565" s="76">
        <v>10.73</v>
      </c>
      <c r="K565" s="76">
        <v>17.39</v>
      </c>
      <c r="L565" s="76">
        <v>6.66</v>
      </c>
      <c r="M565" s="76">
        <v>1.01</v>
      </c>
      <c r="N565" s="76">
        <v>1.01</v>
      </c>
      <c r="O565" s="76">
        <v>-11.1</v>
      </c>
      <c r="P565" s="76">
        <v>-0.74</v>
      </c>
      <c r="Q565" s="76">
        <v>0.86</v>
      </c>
      <c r="R565" s="76">
        <v>-12.18</v>
      </c>
      <c r="S565" s="76">
        <v>-3.94</v>
      </c>
      <c r="T565" s="76">
        <v>2.59</v>
      </c>
      <c r="U565" s="76">
        <v>0.32</v>
      </c>
      <c r="V565" s="76">
        <v>0.68</v>
      </c>
      <c r="W565" s="76">
        <v>0.52</v>
      </c>
      <c r="X565" s="76">
        <v>7.32</v>
      </c>
      <c r="Y565" s="76">
        <v>0.0</v>
      </c>
      <c r="Z565" s="76">
        <v>0.0</v>
      </c>
      <c r="AA565" s="76">
        <v>29.64</v>
      </c>
      <c r="AB565" s="76">
        <v>-3.61</v>
      </c>
      <c r="AC565" s="76">
        <v>0.83</v>
      </c>
      <c r="AD565" s="79">
        <v>1.389696672E9</v>
      </c>
      <c r="AE565" s="80"/>
    </row>
    <row r="566">
      <c r="A566" s="73" t="s">
        <v>615</v>
      </c>
      <c r="B566" s="76">
        <v>16.86</v>
      </c>
      <c r="C566" s="76">
        <v>1.38</v>
      </c>
      <c r="D566" s="76">
        <v>114.12</v>
      </c>
      <c r="E566" s="76">
        <v>29.97</v>
      </c>
      <c r="F566" s="76">
        <v>17.63</v>
      </c>
      <c r="G566" s="76">
        <v>56.66</v>
      </c>
      <c r="H566" s="76">
        <v>20.48</v>
      </c>
      <c r="I566" s="76">
        <v>13.97</v>
      </c>
      <c r="J566" s="76">
        <v>77.88</v>
      </c>
      <c r="K566" s="76">
        <v>13.39</v>
      </c>
      <c r="L566" s="76">
        <v>0.73</v>
      </c>
      <c r="M566" s="76">
        <v>0.28</v>
      </c>
      <c r="N566" s="76">
        <v>15.95</v>
      </c>
      <c r="O566" s="76">
        <v>39.91</v>
      </c>
      <c r="P566" s="76">
        <v>-55.06</v>
      </c>
      <c r="Q566" s="76">
        <v>2.86</v>
      </c>
      <c r="R566" s="76">
        <v>26.26</v>
      </c>
      <c r="S566" s="76">
        <v>15.45</v>
      </c>
      <c r="T566" s="76">
        <v>22.24</v>
      </c>
      <c r="U566" s="76">
        <v>0.59</v>
      </c>
      <c r="V566" s="76">
        <v>0.41</v>
      </c>
      <c r="W566" s="76">
        <v>1.11</v>
      </c>
      <c r="X566" s="76">
        <v>30.7</v>
      </c>
      <c r="Y566" s="76">
        <v>42.81</v>
      </c>
      <c r="Z566" s="79">
        <v>1.2489821E7</v>
      </c>
      <c r="AA566" s="76">
        <v>0.56</v>
      </c>
      <c r="AB566" s="76">
        <v>0.15</v>
      </c>
      <c r="AC566" s="76">
        <v>4.79</v>
      </c>
      <c r="AD566" s="79">
        <v>2.583255505E9</v>
      </c>
      <c r="AE566" s="80"/>
    </row>
    <row r="567">
      <c r="A567" s="73" t="s">
        <v>616</v>
      </c>
      <c r="B567" s="76">
        <v>40.4</v>
      </c>
      <c r="C567" s="76">
        <v>10.97</v>
      </c>
      <c r="D567" s="76">
        <v>9.67</v>
      </c>
      <c r="E567" s="76">
        <v>2.71</v>
      </c>
      <c r="F567" s="76">
        <v>1.92</v>
      </c>
      <c r="G567" s="76">
        <v>20.96</v>
      </c>
      <c r="H567" s="76">
        <v>16.75</v>
      </c>
      <c r="I567" s="76">
        <v>12.32</v>
      </c>
      <c r="J567" s="76">
        <v>7.11</v>
      </c>
      <c r="K567" s="76">
        <v>6.9</v>
      </c>
      <c r="L567" s="76">
        <v>-0.21</v>
      </c>
      <c r="M567" s="76">
        <v>-0.08</v>
      </c>
      <c r="N567" s="76">
        <v>1.19</v>
      </c>
      <c r="O567" s="76">
        <v>5.99</v>
      </c>
      <c r="P567" s="76">
        <v>-3.97</v>
      </c>
      <c r="Q567" s="76">
        <v>2.61</v>
      </c>
      <c r="R567" s="76">
        <v>28.02</v>
      </c>
      <c r="S567" s="76">
        <v>19.81</v>
      </c>
      <c r="T567" s="76">
        <v>17.28</v>
      </c>
      <c r="U567" s="76">
        <v>0.71</v>
      </c>
      <c r="V567" s="76">
        <v>0.29</v>
      </c>
      <c r="W567" s="76">
        <v>1.61</v>
      </c>
      <c r="X567" s="76">
        <v>9.18</v>
      </c>
      <c r="Y567" s="76">
        <v>7.29</v>
      </c>
      <c r="Z567" s="76">
        <v>7915289.0</v>
      </c>
      <c r="AA567" s="76">
        <v>14.91</v>
      </c>
      <c r="AB567" s="76">
        <v>4.18</v>
      </c>
      <c r="AC567" s="76">
        <v>0.57</v>
      </c>
      <c r="AD567" s="79">
        <v>2.666517766E9</v>
      </c>
      <c r="AE567" s="80"/>
    </row>
    <row r="568">
      <c r="A568" s="73" t="s">
        <v>617</v>
      </c>
      <c r="B568" s="76">
        <v>12.54</v>
      </c>
      <c r="C568" s="76">
        <v>0.0</v>
      </c>
      <c r="D568" s="76">
        <v>-17.06</v>
      </c>
      <c r="E568" s="76">
        <v>0.95</v>
      </c>
      <c r="F568" s="76">
        <v>0.24</v>
      </c>
      <c r="G568" s="76">
        <v>0.0</v>
      </c>
      <c r="H568" s="76">
        <v>21.64</v>
      </c>
      <c r="I568" s="76">
        <v>-7.77</v>
      </c>
      <c r="J568" s="76">
        <v>6.13</v>
      </c>
      <c r="K568" s="76">
        <v>18.71</v>
      </c>
      <c r="L568" s="76">
        <v>12.58</v>
      </c>
      <c r="M568" s="76">
        <v>1.95</v>
      </c>
      <c r="N568" s="76">
        <v>1.33</v>
      </c>
      <c r="O568" s="76">
        <v>-6.45</v>
      </c>
      <c r="P568" s="76">
        <v>-0.29</v>
      </c>
      <c r="Q568" s="76">
        <v>0.84</v>
      </c>
      <c r="R568" s="76">
        <v>-5.57</v>
      </c>
      <c r="S568" s="76">
        <v>-1.4</v>
      </c>
      <c r="T568" s="76">
        <v>4.63</v>
      </c>
      <c r="U568" s="76">
        <v>0.25</v>
      </c>
      <c r="V568" s="76">
        <v>0.75</v>
      </c>
      <c r="W568" s="76">
        <v>0.18</v>
      </c>
      <c r="X568" s="76">
        <v>4.6</v>
      </c>
      <c r="Y568" s="76">
        <v>0.0</v>
      </c>
      <c r="Z568" s="76">
        <v>0.0</v>
      </c>
      <c r="AA568" s="76">
        <v>13.19</v>
      </c>
      <c r="AB568" s="76">
        <v>-0.73</v>
      </c>
      <c r="AC568" s="76">
        <v>0.06</v>
      </c>
      <c r="AD568" s="79">
        <v>5.004795801E9</v>
      </c>
      <c r="AE568" s="80"/>
    </row>
    <row r="569">
      <c r="A569" s="73" t="s">
        <v>618</v>
      </c>
      <c r="B569" s="76">
        <v>3.49</v>
      </c>
      <c r="C569" s="76">
        <v>0.0</v>
      </c>
      <c r="D569" s="76">
        <v>-23.75</v>
      </c>
      <c r="E569" s="76">
        <v>1.32</v>
      </c>
      <c r="F569" s="76">
        <v>0.33</v>
      </c>
      <c r="G569" s="76">
        <v>0.0</v>
      </c>
      <c r="H569" s="76">
        <v>21.64</v>
      </c>
      <c r="I569" s="76">
        <v>-7.77</v>
      </c>
      <c r="J569" s="76">
        <v>8.52</v>
      </c>
      <c r="K569" s="76">
        <v>18.71</v>
      </c>
      <c r="L569" s="76">
        <v>12.58</v>
      </c>
      <c r="M569" s="76">
        <v>1.95</v>
      </c>
      <c r="N569" s="76">
        <v>1.84</v>
      </c>
      <c r="O569" s="76">
        <v>-8.98</v>
      </c>
      <c r="P569" s="76">
        <v>-0.41</v>
      </c>
      <c r="Q569" s="76">
        <v>0.84</v>
      </c>
      <c r="R569" s="76">
        <v>-5.57</v>
      </c>
      <c r="S569" s="76">
        <v>-1.4</v>
      </c>
      <c r="T569" s="76">
        <v>4.63</v>
      </c>
      <c r="U569" s="76">
        <v>0.25</v>
      </c>
      <c r="V569" s="76">
        <v>0.75</v>
      </c>
      <c r="W569" s="76">
        <v>0.18</v>
      </c>
      <c r="X569" s="76">
        <v>4.6</v>
      </c>
      <c r="Y569" s="76">
        <v>0.0</v>
      </c>
      <c r="Z569" s="76">
        <v>0.0</v>
      </c>
      <c r="AA569" s="76">
        <v>2.64</v>
      </c>
      <c r="AB569" s="76">
        <v>-0.15</v>
      </c>
      <c r="AC569" s="76">
        <v>0.08</v>
      </c>
      <c r="AD569" s="79">
        <v>5.004795801E9</v>
      </c>
      <c r="AE569" s="80"/>
    </row>
    <row r="570">
      <c r="A570" s="73" t="s">
        <v>619</v>
      </c>
      <c r="B570" s="76">
        <v>3.51</v>
      </c>
      <c r="C570" s="76">
        <v>0.0</v>
      </c>
      <c r="D570" s="76">
        <v>-23.88</v>
      </c>
      <c r="E570" s="76">
        <v>1.33</v>
      </c>
      <c r="F570" s="76">
        <v>0.33</v>
      </c>
      <c r="G570" s="76">
        <v>0.0</v>
      </c>
      <c r="H570" s="76">
        <v>21.64</v>
      </c>
      <c r="I570" s="76">
        <v>-7.77</v>
      </c>
      <c r="J570" s="76">
        <v>8.57</v>
      </c>
      <c r="K570" s="76">
        <v>18.71</v>
      </c>
      <c r="L570" s="76">
        <v>12.58</v>
      </c>
      <c r="M570" s="76">
        <v>1.95</v>
      </c>
      <c r="N570" s="76">
        <v>1.85</v>
      </c>
      <c r="O570" s="76">
        <v>-9.03</v>
      </c>
      <c r="P570" s="76">
        <v>-0.41</v>
      </c>
      <c r="Q570" s="76">
        <v>0.84</v>
      </c>
      <c r="R570" s="76">
        <v>-5.57</v>
      </c>
      <c r="S570" s="76">
        <v>-1.4</v>
      </c>
      <c r="T570" s="76">
        <v>4.63</v>
      </c>
      <c r="U570" s="76">
        <v>0.25</v>
      </c>
      <c r="V570" s="76">
        <v>0.75</v>
      </c>
      <c r="W570" s="76">
        <v>0.18</v>
      </c>
      <c r="X570" s="76">
        <v>4.6</v>
      </c>
      <c r="Y570" s="76">
        <v>0.0</v>
      </c>
      <c r="Z570" s="79">
        <v>0.0</v>
      </c>
      <c r="AA570" s="76">
        <v>2.64</v>
      </c>
      <c r="AB570" s="76">
        <v>-0.15</v>
      </c>
      <c r="AC570" s="76">
        <v>0.08</v>
      </c>
      <c r="AD570" s="79">
        <v>5.004795801E9</v>
      </c>
      <c r="AE570" s="80"/>
    </row>
    <row r="571">
      <c r="A571" s="73" t="s">
        <v>620</v>
      </c>
      <c r="B571" s="76">
        <v>27.02</v>
      </c>
      <c r="C571" s="76">
        <v>8.99</v>
      </c>
      <c r="D571" s="76">
        <v>36.86</v>
      </c>
      <c r="E571" s="76">
        <v>5.05</v>
      </c>
      <c r="F571" s="76">
        <v>1.12</v>
      </c>
      <c r="G571" s="76">
        <v>53.44</v>
      </c>
      <c r="H571" s="76">
        <v>23.13</v>
      </c>
      <c r="I571" s="76">
        <v>6.66</v>
      </c>
      <c r="J571" s="76">
        <v>10.61</v>
      </c>
      <c r="K571" s="76">
        <v>9.52</v>
      </c>
      <c r="L571" s="76">
        <v>-1.09</v>
      </c>
      <c r="M571" s="76">
        <v>-0.52</v>
      </c>
      <c r="N571" s="76">
        <v>2.45</v>
      </c>
      <c r="O571" s="76">
        <v>237.62</v>
      </c>
      <c r="P571" s="76">
        <v>-1.49</v>
      </c>
      <c r="Q571" s="76">
        <v>1.02</v>
      </c>
      <c r="R571" s="76">
        <v>13.71</v>
      </c>
      <c r="S571" s="76">
        <v>3.04</v>
      </c>
      <c r="T571" s="76">
        <v>27.45</v>
      </c>
      <c r="U571" s="76">
        <v>0.22</v>
      </c>
      <c r="V571" s="76">
        <v>0.63</v>
      </c>
      <c r="W571" s="76">
        <v>0.46</v>
      </c>
      <c r="X571" s="76">
        <v>7.93</v>
      </c>
      <c r="Y571" s="76">
        <v>-13.5</v>
      </c>
      <c r="Z571" s="79">
        <v>1.84E8</v>
      </c>
      <c r="AA571" s="76">
        <v>5.35</v>
      </c>
      <c r="AB571" s="76">
        <v>0.73</v>
      </c>
      <c r="AC571" s="76">
        <v>-3.33</v>
      </c>
      <c r="AD571" s="79">
        <v>6.4635241521E10</v>
      </c>
      <c r="AE571" s="80"/>
    </row>
    <row r="572">
      <c r="A572" s="73" t="s">
        <v>621</v>
      </c>
      <c r="B572" s="76">
        <v>210.0</v>
      </c>
      <c r="C572" s="76">
        <v>9.53</v>
      </c>
      <c r="D572" s="76">
        <v>17.4</v>
      </c>
      <c r="E572" s="76">
        <v>1.85</v>
      </c>
      <c r="F572" s="76">
        <v>1.53</v>
      </c>
      <c r="G572" s="76">
        <v>22.29</v>
      </c>
      <c r="H572" s="76">
        <v>12.38</v>
      </c>
      <c r="I572" s="76">
        <v>11.79</v>
      </c>
      <c r="J572" s="76">
        <v>16.57</v>
      </c>
      <c r="K572" s="76">
        <v>14.51</v>
      </c>
      <c r="L572" s="76">
        <v>-2.03</v>
      </c>
      <c r="M572" s="76">
        <v>-0.23</v>
      </c>
      <c r="N572" s="76">
        <v>2.05</v>
      </c>
      <c r="O572" s="76">
        <v>3.44</v>
      </c>
      <c r="P572" s="76">
        <v>-3.66</v>
      </c>
      <c r="Q572" s="76">
        <v>4.29</v>
      </c>
      <c r="R572" s="76">
        <v>10.62</v>
      </c>
      <c r="S572" s="76">
        <v>8.8</v>
      </c>
      <c r="T572" s="76">
        <v>6.13</v>
      </c>
      <c r="U572" s="76">
        <v>0.83</v>
      </c>
      <c r="V572" s="76">
        <v>0.17</v>
      </c>
      <c r="W572" s="76">
        <v>0.75</v>
      </c>
      <c r="X572" s="76">
        <v>15.06</v>
      </c>
      <c r="Y572" s="76">
        <v>30.54</v>
      </c>
      <c r="Z572" s="76">
        <v>15611.5</v>
      </c>
      <c r="AA572" s="76">
        <v>113.61</v>
      </c>
      <c r="AB572" s="76">
        <v>12.07</v>
      </c>
      <c r="AC572" s="76">
        <v>-0.73</v>
      </c>
      <c r="AD572" s="79">
        <v>6.17679391E8</v>
      </c>
      <c r="AE572" s="80"/>
    </row>
    <row r="573">
      <c r="A573" s="73" t="s">
        <v>622</v>
      </c>
      <c r="B573" s="76">
        <v>209.0</v>
      </c>
      <c r="C573" s="76">
        <v>9.83</v>
      </c>
      <c r="D573" s="76">
        <v>17.32</v>
      </c>
      <c r="E573" s="76">
        <v>1.84</v>
      </c>
      <c r="F573" s="76">
        <v>1.53</v>
      </c>
      <c r="G573" s="76">
        <v>22.29</v>
      </c>
      <c r="H573" s="76">
        <v>12.38</v>
      </c>
      <c r="I573" s="76">
        <v>11.79</v>
      </c>
      <c r="J573" s="76">
        <v>16.5</v>
      </c>
      <c r="K573" s="76">
        <v>14.51</v>
      </c>
      <c r="L573" s="76">
        <v>-2.03</v>
      </c>
      <c r="M573" s="76">
        <v>-0.23</v>
      </c>
      <c r="N573" s="76">
        <v>2.04</v>
      </c>
      <c r="O573" s="76">
        <v>3.42</v>
      </c>
      <c r="P573" s="76">
        <v>-3.64</v>
      </c>
      <c r="Q573" s="76">
        <v>4.29</v>
      </c>
      <c r="R573" s="76">
        <v>10.62</v>
      </c>
      <c r="S573" s="76">
        <v>8.8</v>
      </c>
      <c r="T573" s="76">
        <v>6.13</v>
      </c>
      <c r="U573" s="76">
        <v>0.83</v>
      </c>
      <c r="V573" s="76">
        <v>0.17</v>
      </c>
      <c r="W573" s="76">
        <v>0.75</v>
      </c>
      <c r="X573" s="76">
        <v>15.06</v>
      </c>
      <c r="Y573" s="76">
        <v>30.54</v>
      </c>
      <c r="Z573" s="79">
        <v>25459.9</v>
      </c>
      <c r="AA573" s="76">
        <v>113.61</v>
      </c>
      <c r="AB573" s="76">
        <v>12.07</v>
      </c>
      <c r="AC573" s="76">
        <v>-0.72</v>
      </c>
      <c r="AD573" s="79">
        <v>6.17679391E8</v>
      </c>
      <c r="AE573" s="80"/>
    </row>
    <row r="574">
      <c r="A574" s="73" t="s">
        <v>623</v>
      </c>
      <c r="B574" s="76">
        <v>0.59</v>
      </c>
      <c r="C574" s="76">
        <v>0.0</v>
      </c>
      <c r="D574" s="76">
        <v>-1.41</v>
      </c>
      <c r="E574" s="76">
        <v>474.19</v>
      </c>
      <c r="F574" s="76">
        <v>66.4</v>
      </c>
      <c r="G574" s="76">
        <v>47.73</v>
      </c>
      <c r="H574" s="76">
        <v>-15.72</v>
      </c>
      <c r="I574" s="76">
        <v>-23.86</v>
      </c>
      <c r="J574" s="76">
        <v>-2.14</v>
      </c>
      <c r="K574" s="76">
        <v>-2.15</v>
      </c>
      <c r="L574" s="76">
        <v>-0.01</v>
      </c>
      <c r="M574" s="76">
        <v>2.44</v>
      </c>
      <c r="N574" s="76">
        <v>0.34</v>
      </c>
      <c r="O574" s="76">
        <v>-3113.39</v>
      </c>
      <c r="P574" s="76">
        <v>-99.41</v>
      </c>
      <c r="Q574" s="76">
        <v>0.94</v>
      </c>
      <c r="R574" s="76">
        <v>-33567.0</v>
      </c>
      <c r="S574" s="76">
        <v>-4700.0</v>
      </c>
      <c r="T574" s="76">
        <v>-8235.54</v>
      </c>
      <c r="U574" s="76">
        <v>0.14</v>
      </c>
      <c r="V574" s="76">
        <v>0.98</v>
      </c>
      <c r="W574" s="76">
        <v>197.0</v>
      </c>
      <c r="X574" s="76">
        <v>14.79</v>
      </c>
      <c r="Y574" s="76">
        <v>0.0</v>
      </c>
      <c r="Z574" s="76">
        <v>390264.3</v>
      </c>
      <c r="AA574" s="76">
        <v>0.0</v>
      </c>
      <c r="AB574" s="76">
        <v>-0.42</v>
      </c>
      <c r="AC574" s="76">
        <v>-0.11</v>
      </c>
      <c r="AD574" s="79">
        <v>1.279043241E8</v>
      </c>
      <c r="AE574" s="80"/>
    </row>
    <row r="575">
      <c r="A575" s="73" t="s">
        <v>624</v>
      </c>
      <c r="B575" s="76">
        <v>38.95</v>
      </c>
      <c r="C575" s="76">
        <v>1.57</v>
      </c>
      <c r="D575" s="76">
        <v>28.76</v>
      </c>
      <c r="E575" s="76">
        <v>4.6</v>
      </c>
      <c r="F575" s="76">
        <v>2.53</v>
      </c>
      <c r="G575" s="76">
        <v>70.18</v>
      </c>
      <c r="H575" s="76">
        <v>18.29</v>
      </c>
      <c r="I575" s="76">
        <v>13.84</v>
      </c>
      <c r="J575" s="76">
        <v>21.77</v>
      </c>
      <c r="K575" s="76">
        <v>21.47</v>
      </c>
      <c r="L575" s="76">
        <v>-0.3</v>
      </c>
      <c r="M575" s="76">
        <v>-0.06</v>
      </c>
      <c r="N575" s="76">
        <v>3.98</v>
      </c>
      <c r="O575" s="76">
        <v>12.93</v>
      </c>
      <c r="P575" s="76">
        <v>-3.84</v>
      </c>
      <c r="Q575" s="76">
        <v>2.35</v>
      </c>
      <c r="R575" s="76">
        <v>15.99</v>
      </c>
      <c r="S575" s="76">
        <v>8.8</v>
      </c>
      <c r="T575" s="76">
        <v>12.04</v>
      </c>
      <c r="U575" s="76">
        <v>0.55</v>
      </c>
      <c r="V575" s="76">
        <v>0.41</v>
      </c>
      <c r="W575" s="76">
        <v>0.64</v>
      </c>
      <c r="X575" s="76">
        <v>18.01</v>
      </c>
      <c r="Y575" s="76">
        <v>31.07</v>
      </c>
      <c r="Z575" s="79">
        <v>2.65E8</v>
      </c>
      <c r="AA575" s="76">
        <v>8.47</v>
      </c>
      <c r="AB575" s="76">
        <v>1.35</v>
      </c>
      <c r="AC575" s="76">
        <v>1.16</v>
      </c>
      <c r="AD575" s="79">
        <v>2.334669158E10</v>
      </c>
      <c r="AE575" s="80"/>
    </row>
    <row r="576">
      <c r="A576" s="73" t="s">
        <v>625</v>
      </c>
      <c r="B576" s="76">
        <v>2.29</v>
      </c>
      <c r="C576" s="76">
        <v>0.0</v>
      </c>
      <c r="D576" s="76">
        <v>-43.94</v>
      </c>
      <c r="E576" s="76">
        <v>0.03</v>
      </c>
      <c r="F576" s="76">
        <v>0.0</v>
      </c>
      <c r="G576" s="76">
        <v>24.06</v>
      </c>
      <c r="H576" s="76">
        <v>-10.7</v>
      </c>
      <c r="I576" s="76">
        <v>-10.96</v>
      </c>
      <c r="J576" s="76">
        <v>-45.0</v>
      </c>
      <c r="K576" s="76">
        <v>-46.99</v>
      </c>
      <c r="L576" s="76">
        <v>0.0</v>
      </c>
      <c r="M576" s="76">
        <v>0.0</v>
      </c>
      <c r="N576" s="76">
        <v>4.81</v>
      </c>
      <c r="O576" s="76">
        <v>0.34</v>
      </c>
      <c r="P576" s="76">
        <v>0.0</v>
      </c>
      <c r="Q576" s="76">
        <v>0.0</v>
      </c>
      <c r="R576" s="76">
        <v>-0.07</v>
      </c>
      <c r="S576" s="76">
        <v>0.0</v>
      </c>
      <c r="T576" s="76">
        <v>0.0</v>
      </c>
      <c r="U576" s="76">
        <v>0.05</v>
      </c>
      <c r="V576" s="76">
        <v>0.95</v>
      </c>
      <c r="W576" s="76">
        <v>0.0</v>
      </c>
      <c r="X576" s="76">
        <v>201.6</v>
      </c>
      <c r="Y576" s="76">
        <v>0.0</v>
      </c>
      <c r="Z576" s="79">
        <v>0.0</v>
      </c>
      <c r="AA576" s="76">
        <v>76.91</v>
      </c>
      <c r="AB576" s="76">
        <v>-0.05</v>
      </c>
      <c r="AC576" s="76">
        <v>0.47</v>
      </c>
      <c r="AD576" s="79">
        <v>7.189022222E7</v>
      </c>
      <c r="AE576" s="80"/>
    </row>
    <row r="577">
      <c r="A577" s="73" t="s">
        <v>626</v>
      </c>
      <c r="B577" s="76">
        <v>2.5</v>
      </c>
      <c r="C577" s="76">
        <v>0.0</v>
      </c>
      <c r="D577" s="76">
        <v>-47.96</v>
      </c>
      <c r="E577" s="76">
        <v>0.03</v>
      </c>
      <c r="F577" s="76">
        <v>0.0</v>
      </c>
      <c r="G577" s="76">
        <v>24.06</v>
      </c>
      <c r="H577" s="76">
        <v>-10.7</v>
      </c>
      <c r="I577" s="76">
        <v>-10.96</v>
      </c>
      <c r="J577" s="76">
        <v>-49.12</v>
      </c>
      <c r="K577" s="76">
        <v>-46.99</v>
      </c>
      <c r="L577" s="76">
        <v>0.0</v>
      </c>
      <c r="M577" s="76">
        <v>0.0</v>
      </c>
      <c r="N577" s="76">
        <v>5.26</v>
      </c>
      <c r="O577" s="76">
        <v>0.37</v>
      </c>
      <c r="P577" s="76">
        <v>0.0</v>
      </c>
      <c r="Q577" s="76">
        <v>0.0</v>
      </c>
      <c r="R577" s="76">
        <v>-0.07</v>
      </c>
      <c r="S577" s="76">
        <v>0.0</v>
      </c>
      <c r="T577" s="76">
        <v>0.0</v>
      </c>
      <c r="U577" s="76">
        <v>0.05</v>
      </c>
      <c r="V577" s="76">
        <v>0.95</v>
      </c>
      <c r="W577" s="76">
        <v>0.0</v>
      </c>
      <c r="X577" s="76">
        <v>201.6</v>
      </c>
      <c r="Y577" s="76">
        <v>0.0</v>
      </c>
      <c r="Z577" s="76">
        <v>0.0</v>
      </c>
      <c r="AA577" s="76">
        <v>76.91</v>
      </c>
      <c r="AB577" s="76">
        <v>-0.05</v>
      </c>
      <c r="AC577" s="76">
        <v>0.52</v>
      </c>
      <c r="AD577" s="76">
        <v>7.189022222E7</v>
      </c>
      <c r="AE577" s="74"/>
    </row>
    <row r="578">
      <c r="A578" s="73" t="s">
        <v>627</v>
      </c>
      <c r="B578" s="76">
        <v>6.55</v>
      </c>
      <c r="C578" s="76">
        <v>8.38</v>
      </c>
      <c r="D578" s="76">
        <v>-3.91</v>
      </c>
      <c r="E578" s="76">
        <v>0.34</v>
      </c>
      <c r="F578" s="76">
        <v>0.11</v>
      </c>
      <c r="G578" s="76">
        <v>32.92</v>
      </c>
      <c r="H578" s="76">
        <v>-7.77</v>
      </c>
      <c r="I578" s="76">
        <v>-6.46</v>
      </c>
      <c r="J578" s="76">
        <v>-3.25</v>
      </c>
      <c r="K578" s="76">
        <v>-16.98</v>
      </c>
      <c r="L578" s="76">
        <v>-13.73</v>
      </c>
      <c r="M578" s="76">
        <v>1.42</v>
      </c>
      <c r="N578" s="76">
        <v>0.25</v>
      </c>
      <c r="O578" s="76">
        <v>-0.29</v>
      </c>
      <c r="P578" s="76">
        <v>-0.12</v>
      </c>
      <c r="Q578" s="76">
        <v>0.16</v>
      </c>
      <c r="R578" s="76">
        <v>-8.57</v>
      </c>
      <c r="S578" s="76">
        <v>-2.88</v>
      </c>
      <c r="T578" s="76">
        <v>-7.97</v>
      </c>
      <c r="U578" s="76">
        <v>0.34</v>
      </c>
      <c r="V578" s="76">
        <v>0.67</v>
      </c>
      <c r="W578" s="76">
        <v>0.45</v>
      </c>
      <c r="X578" s="76">
        <v>5.93</v>
      </c>
      <c r="Y578" s="76">
        <v>0.0</v>
      </c>
      <c r="Z578" s="76">
        <v>211817.7</v>
      </c>
      <c r="AA578" s="76">
        <v>19.54</v>
      </c>
      <c r="AB578" s="76">
        <v>-1.67</v>
      </c>
      <c r="AC578" s="76">
        <v>0.02</v>
      </c>
      <c r="AD578" s="76">
        <v>2.882E8</v>
      </c>
      <c r="AE578" s="74"/>
    </row>
    <row r="579">
      <c r="A579" s="73" t="s">
        <v>628</v>
      </c>
      <c r="B579" s="76">
        <v>2.86</v>
      </c>
      <c r="C579" s="76">
        <v>0.0</v>
      </c>
      <c r="D579" s="76">
        <v>-2.31</v>
      </c>
      <c r="E579" s="76">
        <v>0.63</v>
      </c>
      <c r="F579" s="76">
        <v>0.53</v>
      </c>
      <c r="G579" s="76">
        <v>20.97</v>
      </c>
      <c r="H579" s="76">
        <v>-184.77</v>
      </c>
      <c r="I579" s="76">
        <v>-157.57</v>
      </c>
      <c r="J579" s="76">
        <v>-1.97</v>
      </c>
      <c r="K579" s="76">
        <v>-1.53</v>
      </c>
      <c r="L579" s="76">
        <v>0.44</v>
      </c>
      <c r="M579" s="76">
        <v>-0.14</v>
      </c>
      <c r="N579" s="76">
        <v>3.64</v>
      </c>
      <c r="O579" s="76">
        <v>1.17</v>
      </c>
      <c r="P579" s="76">
        <v>-1.07</v>
      </c>
      <c r="Q579" s="76">
        <v>9.31</v>
      </c>
      <c r="R579" s="76">
        <v>-27.03</v>
      </c>
      <c r="S579" s="76">
        <v>-22.78</v>
      </c>
      <c r="T579" s="76">
        <v>-28.96</v>
      </c>
      <c r="U579" s="76">
        <v>0.84</v>
      </c>
      <c r="V579" s="76">
        <v>0.06</v>
      </c>
      <c r="W579" s="76">
        <v>0.14</v>
      </c>
      <c r="X579" s="76">
        <v>54.39</v>
      </c>
      <c r="Y579" s="76">
        <v>0.0</v>
      </c>
      <c r="Z579" s="76">
        <v>78874.62</v>
      </c>
      <c r="AA579" s="76">
        <v>4.58</v>
      </c>
      <c r="AB579" s="76">
        <v>-1.24</v>
      </c>
      <c r="AC579" s="76">
        <v>0.03</v>
      </c>
      <c r="AD579" s="79">
        <v>1.144601143E8</v>
      </c>
      <c r="AE579" s="80"/>
    </row>
    <row r="580">
      <c r="A580" s="73" t="s">
        <v>629</v>
      </c>
      <c r="B580" s="76">
        <v>7.3</v>
      </c>
      <c r="C580" s="76">
        <v>17.61</v>
      </c>
      <c r="D580" s="76">
        <v>8.3</v>
      </c>
      <c r="E580" s="76">
        <v>1.12</v>
      </c>
      <c r="F580" s="76">
        <v>0.51</v>
      </c>
      <c r="G580" s="76">
        <v>30.38</v>
      </c>
      <c r="H580" s="76">
        <v>16.17</v>
      </c>
      <c r="I580" s="76">
        <v>15.71</v>
      </c>
      <c r="J580" s="76">
        <v>8.07</v>
      </c>
      <c r="K580" s="76">
        <v>10.19</v>
      </c>
      <c r="L580" s="76">
        <v>2.12</v>
      </c>
      <c r="M580" s="76">
        <v>0.29</v>
      </c>
      <c r="N580" s="76">
        <v>1.31</v>
      </c>
      <c r="O580" s="76">
        <v>0.89</v>
      </c>
      <c r="P580" s="76">
        <v>-3.64</v>
      </c>
      <c r="Q580" s="76">
        <v>2.96</v>
      </c>
      <c r="R580" s="76">
        <v>13.44</v>
      </c>
      <c r="S580" s="76">
        <v>6.1</v>
      </c>
      <c r="T580" s="76">
        <v>6.72</v>
      </c>
      <c r="U580" s="76">
        <v>0.45</v>
      </c>
      <c r="V580" s="76">
        <v>0.54</v>
      </c>
      <c r="W580" s="76">
        <v>0.39</v>
      </c>
      <c r="X580" s="76">
        <v>11.01</v>
      </c>
      <c r="Y580" s="76">
        <v>8.77</v>
      </c>
      <c r="Z580" s="76">
        <v>2808423.0</v>
      </c>
      <c r="AA580" s="76">
        <v>6.54</v>
      </c>
      <c r="AB580" s="76">
        <v>0.88</v>
      </c>
      <c r="AC580" s="76">
        <v>0.17</v>
      </c>
      <c r="AD580" s="79">
        <v>1.771108027E9</v>
      </c>
      <c r="AE580" s="80"/>
    </row>
    <row r="581">
      <c r="A581" s="73" t="s">
        <v>630</v>
      </c>
      <c r="B581" s="76">
        <v>16.63</v>
      </c>
      <c r="C581" s="76">
        <v>2.24</v>
      </c>
      <c r="D581" s="76">
        <v>9.62</v>
      </c>
      <c r="E581" s="76">
        <v>1.77</v>
      </c>
      <c r="F581" s="76">
        <v>0.67</v>
      </c>
      <c r="G581" s="76">
        <v>15.49</v>
      </c>
      <c r="H581" s="76">
        <v>4.91</v>
      </c>
      <c r="I581" s="76">
        <v>5.43</v>
      </c>
      <c r="J581" s="76">
        <v>10.63</v>
      </c>
      <c r="K581" s="76">
        <v>13.1</v>
      </c>
      <c r="L581" s="76">
        <v>2.47</v>
      </c>
      <c r="M581" s="76">
        <v>0.41</v>
      </c>
      <c r="N581" s="76">
        <v>0.52</v>
      </c>
      <c r="O581" s="76">
        <v>3.29</v>
      </c>
      <c r="P581" s="76">
        <v>-1.88</v>
      </c>
      <c r="Q581" s="76">
        <v>1.46</v>
      </c>
      <c r="R581" s="76">
        <v>18.4</v>
      </c>
      <c r="S581" s="76">
        <v>6.97</v>
      </c>
      <c r="T581" s="76">
        <v>3.54</v>
      </c>
      <c r="U581" s="76">
        <v>0.38</v>
      </c>
      <c r="V581" s="76">
        <v>0.62</v>
      </c>
      <c r="W581" s="76">
        <v>1.29</v>
      </c>
      <c r="X581" s="76">
        <v>41.95</v>
      </c>
      <c r="Y581" s="76">
        <v>48.2</v>
      </c>
      <c r="Z581" s="76">
        <v>2.4248114E7</v>
      </c>
      <c r="AA581" s="76">
        <v>9.4</v>
      </c>
      <c r="AB581" s="76">
        <v>1.73</v>
      </c>
      <c r="AC581" s="76">
        <v>1.13</v>
      </c>
      <c r="AD581" s="79">
        <v>8.30664587E9</v>
      </c>
      <c r="AE581" s="80"/>
    </row>
    <row r="582">
      <c r="A582" s="73" t="s">
        <v>631</v>
      </c>
      <c r="B582" s="76">
        <v>12.32</v>
      </c>
      <c r="C582" s="76">
        <v>0.0</v>
      </c>
      <c r="D582" s="76">
        <v>-12.81</v>
      </c>
      <c r="E582" s="76">
        <v>0.53</v>
      </c>
      <c r="F582" s="76">
        <v>0.17</v>
      </c>
      <c r="G582" s="76">
        <v>14.71</v>
      </c>
      <c r="H582" s="76">
        <v>1.24</v>
      </c>
      <c r="I582" s="76">
        <v>-1.27</v>
      </c>
      <c r="J582" s="76">
        <v>13.11</v>
      </c>
      <c r="K582" s="76">
        <v>31.52</v>
      </c>
      <c r="L582" s="76">
        <v>18.41</v>
      </c>
      <c r="M582" s="76">
        <v>0.74</v>
      </c>
      <c r="N582" s="76">
        <v>0.16</v>
      </c>
      <c r="O582" s="76">
        <v>0.45</v>
      </c>
      <c r="P582" s="76">
        <v>-0.43</v>
      </c>
      <c r="Q582" s="76">
        <v>2.45</v>
      </c>
      <c r="R582" s="76">
        <v>-4.13</v>
      </c>
      <c r="S582" s="76">
        <v>-1.29</v>
      </c>
      <c r="T582" s="76">
        <v>1.35</v>
      </c>
      <c r="U582" s="76">
        <v>0.31</v>
      </c>
      <c r="V582" s="76">
        <v>0.69</v>
      </c>
      <c r="W582" s="76">
        <v>1.01</v>
      </c>
      <c r="X582" s="76">
        <v>15.61</v>
      </c>
      <c r="Y582" s="76">
        <v>0.0</v>
      </c>
      <c r="Z582" s="76">
        <v>1.6508021E7</v>
      </c>
      <c r="AA582" s="76">
        <v>23.27</v>
      </c>
      <c r="AB582" s="76">
        <v>-0.96</v>
      </c>
      <c r="AC582" s="76">
        <v>0.09</v>
      </c>
      <c r="AD582" s="79">
        <v>1.631789113E9</v>
      </c>
      <c r="AE582" s="80"/>
    </row>
    <row r="583">
      <c r="A583" s="73" t="s">
        <v>632</v>
      </c>
      <c r="B583" s="76">
        <v>9.97</v>
      </c>
      <c r="C583" s="76">
        <v>0.0</v>
      </c>
      <c r="D583" s="76">
        <v>-0.73</v>
      </c>
      <c r="E583" s="76">
        <v>-0.11</v>
      </c>
      <c r="F583" s="76">
        <v>0.24</v>
      </c>
      <c r="G583" s="76">
        <v>19.88</v>
      </c>
      <c r="H583" s="76">
        <v>-8.84</v>
      </c>
      <c r="I583" s="76">
        <v>-51.35</v>
      </c>
      <c r="J583" s="76">
        <v>-4.26</v>
      </c>
      <c r="K583" s="76">
        <v>-36.09</v>
      </c>
      <c r="L583" s="76">
        <v>-34.19</v>
      </c>
      <c r="M583" s="76">
        <v>0.0</v>
      </c>
      <c r="N583" s="76">
        <v>0.38</v>
      </c>
      <c r="O583" s="76">
        <v>-0.23</v>
      </c>
      <c r="P583" s="76">
        <v>-0.41</v>
      </c>
      <c r="Q583" s="76">
        <v>0.28</v>
      </c>
      <c r="R583" s="76">
        <v>-15.03</v>
      </c>
      <c r="S583" s="76">
        <v>-33.3</v>
      </c>
      <c r="T583" s="76">
        <v>23.19</v>
      </c>
      <c r="U583" s="76">
        <v>-2.21</v>
      </c>
      <c r="V583" s="76">
        <v>3.21</v>
      </c>
      <c r="W583" s="76">
        <v>0.65</v>
      </c>
      <c r="X583" s="76">
        <v>2.3</v>
      </c>
      <c r="Y583" s="76">
        <v>0.0</v>
      </c>
      <c r="Z583" s="79">
        <v>1994.0</v>
      </c>
      <c r="AA583" s="76">
        <v>-90.5</v>
      </c>
      <c r="AB583" s="76">
        <v>-13.61</v>
      </c>
      <c r="AC583" s="76">
        <v>0.0</v>
      </c>
      <c r="AD583" s="79">
        <v>1.892253637E7</v>
      </c>
      <c r="AE583" s="80"/>
    </row>
    <row r="584">
      <c r="A584" s="73" t="s">
        <v>633</v>
      </c>
      <c r="B584" s="76">
        <v>1.57</v>
      </c>
      <c r="C584" s="76">
        <v>0.0</v>
      </c>
      <c r="D584" s="76">
        <v>-0.12</v>
      </c>
      <c r="E584" s="76">
        <v>-0.02</v>
      </c>
      <c r="F584" s="76">
        <v>0.04</v>
      </c>
      <c r="G584" s="76">
        <v>19.88</v>
      </c>
      <c r="H584" s="76">
        <v>-8.84</v>
      </c>
      <c r="I584" s="76">
        <v>-51.35</v>
      </c>
      <c r="J584" s="76">
        <v>-0.67</v>
      </c>
      <c r="K584" s="76">
        <v>-36.09</v>
      </c>
      <c r="L584" s="76">
        <v>-34.19</v>
      </c>
      <c r="M584" s="76">
        <v>0.0</v>
      </c>
      <c r="N584" s="76">
        <v>0.06</v>
      </c>
      <c r="O584" s="76">
        <v>-0.04</v>
      </c>
      <c r="P584" s="76">
        <v>-0.06</v>
      </c>
      <c r="Q584" s="76">
        <v>0.28</v>
      </c>
      <c r="R584" s="76">
        <v>-15.03</v>
      </c>
      <c r="S584" s="76">
        <v>-33.3</v>
      </c>
      <c r="T584" s="76">
        <v>23.19</v>
      </c>
      <c r="U584" s="76">
        <v>-2.21</v>
      </c>
      <c r="V584" s="76">
        <v>3.21</v>
      </c>
      <c r="W584" s="76">
        <v>0.65</v>
      </c>
      <c r="X584" s="76">
        <v>2.3</v>
      </c>
      <c r="Y584" s="76">
        <v>0.0</v>
      </c>
      <c r="Z584" s="76">
        <v>1041.71</v>
      </c>
      <c r="AA584" s="76">
        <v>-90.5</v>
      </c>
      <c r="AB584" s="76">
        <v>-13.61</v>
      </c>
      <c r="AC584" s="76">
        <v>0.0</v>
      </c>
      <c r="AD584" s="76">
        <v>1.892253637E7</v>
      </c>
      <c r="AE584" s="74"/>
    </row>
    <row r="585">
      <c r="A585" s="73" t="s">
        <v>634</v>
      </c>
      <c r="B585" s="76">
        <v>1.31</v>
      </c>
      <c r="C585" s="76">
        <v>0.0</v>
      </c>
      <c r="D585" s="76">
        <v>-36.98</v>
      </c>
      <c r="E585" s="76">
        <v>0.47</v>
      </c>
      <c r="F585" s="76">
        <v>0.23</v>
      </c>
      <c r="G585" s="76">
        <v>32.05</v>
      </c>
      <c r="H585" s="76">
        <v>-3.7</v>
      </c>
      <c r="I585" s="76">
        <v>-0.98</v>
      </c>
      <c r="J585" s="76">
        <v>-9.84</v>
      </c>
      <c r="K585" s="76">
        <v>-17.88</v>
      </c>
      <c r="L585" s="76">
        <v>-8.04</v>
      </c>
      <c r="M585" s="76">
        <v>0.39</v>
      </c>
      <c r="N585" s="76">
        <v>0.36</v>
      </c>
      <c r="O585" s="76">
        <v>6.61</v>
      </c>
      <c r="P585" s="76">
        <v>-0.32</v>
      </c>
      <c r="Q585" s="76">
        <v>1.14</v>
      </c>
      <c r="R585" s="76">
        <v>-1.28</v>
      </c>
      <c r="S585" s="76">
        <v>-0.61</v>
      </c>
      <c r="T585" s="76">
        <v>-5.97</v>
      </c>
      <c r="U585" s="76">
        <v>0.48</v>
      </c>
      <c r="V585" s="76">
        <v>0.52</v>
      </c>
      <c r="W585" s="76">
        <v>0.62</v>
      </c>
      <c r="X585" s="76">
        <v>8.69</v>
      </c>
      <c r="Y585" s="76">
        <v>0.0</v>
      </c>
      <c r="Z585" s="76">
        <v>88711.1</v>
      </c>
      <c r="AA585" s="76">
        <v>2.77</v>
      </c>
      <c r="AB585" s="76">
        <v>-0.04</v>
      </c>
      <c r="AC585" s="76">
        <v>0.31</v>
      </c>
      <c r="AD585" s="79">
        <v>8.657313684E7</v>
      </c>
      <c r="AE585" s="80"/>
    </row>
    <row r="586">
      <c r="A586" s="73" t="s">
        <v>635</v>
      </c>
      <c r="B586" s="76">
        <v>27.5</v>
      </c>
      <c r="C586" s="76">
        <v>6.36</v>
      </c>
      <c r="D586" s="76">
        <v>10.32</v>
      </c>
      <c r="E586" s="76">
        <v>1.87</v>
      </c>
      <c r="F586" s="76">
        <v>0.67</v>
      </c>
      <c r="G586" s="76">
        <v>7.15</v>
      </c>
      <c r="H586" s="76">
        <v>4.13</v>
      </c>
      <c r="I586" s="76">
        <v>2.13</v>
      </c>
      <c r="J586" s="76">
        <v>5.32</v>
      </c>
      <c r="K586" s="76">
        <v>7.82</v>
      </c>
      <c r="L586" s="76">
        <v>2.51</v>
      </c>
      <c r="M586" s="76">
        <v>0.88</v>
      </c>
      <c r="N586" s="76">
        <v>0.22</v>
      </c>
      <c r="O586" s="76">
        <v>4.15</v>
      </c>
      <c r="P586" s="76">
        <v>-1.05</v>
      </c>
      <c r="Q586" s="76">
        <v>1.83</v>
      </c>
      <c r="R586" s="76">
        <v>18.14</v>
      </c>
      <c r="S586" s="76">
        <v>6.52</v>
      </c>
      <c r="T586" s="76">
        <v>11.12</v>
      </c>
      <c r="U586" s="76">
        <v>0.36</v>
      </c>
      <c r="V586" s="76">
        <v>0.59</v>
      </c>
      <c r="W586" s="76">
        <v>3.07</v>
      </c>
      <c r="X586" s="76">
        <v>8.37</v>
      </c>
      <c r="Y586" s="76">
        <v>51.41</v>
      </c>
      <c r="Z586" s="79">
        <v>1.59E8</v>
      </c>
      <c r="AA586" s="76">
        <v>14.69</v>
      </c>
      <c r="AB586" s="76">
        <v>2.66</v>
      </c>
      <c r="AC586" s="76">
        <v>0.77</v>
      </c>
      <c r="AD586" s="79">
        <v>3.0685871508E10</v>
      </c>
      <c r="AE586" s="80"/>
    </row>
    <row r="587">
      <c r="A587" s="73" t="s">
        <v>636</v>
      </c>
      <c r="B587" s="76">
        <v>63.91</v>
      </c>
      <c r="C587" s="76">
        <v>17.75</v>
      </c>
      <c r="D587" s="76">
        <v>9.2</v>
      </c>
      <c r="E587" s="76">
        <v>2.93</v>
      </c>
      <c r="F587" s="76">
        <v>0.95</v>
      </c>
      <c r="G587" s="76">
        <v>30.14</v>
      </c>
      <c r="H587" s="76">
        <v>19.78</v>
      </c>
      <c r="I587" s="76">
        <v>14.19</v>
      </c>
      <c r="J587" s="76">
        <v>6.6</v>
      </c>
      <c r="K587" s="76">
        <v>8.47</v>
      </c>
      <c r="L587" s="76">
        <v>1.46</v>
      </c>
      <c r="M587" s="76">
        <v>0.65</v>
      </c>
      <c r="N587" s="76">
        <v>1.31</v>
      </c>
      <c r="O587" s="76">
        <v>3.45</v>
      </c>
      <c r="P587" s="76">
        <v>-1.58</v>
      </c>
      <c r="Q587" s="76">
        <v>3.18</v>
      </c>
      <c r="R587" s="76">
        <v>31.82</v>
      </c>
      <c r="S587" s="76">
        <v>10.3</v>
      </c>
      <c r="T587" s="76">
        <v>12.12</v>
      </c>
      <c r="U587" s="76">
        <v>0.32</v>
      </c>
      <c r="V587" s="76">
        <v>0.67</v>
      </c>
      <c r="W587" s="76">
        <v>0.73</v>
      </c>
      <c r="X587" s="76">
        <v>12.24</v>
      </c>
      <c r="Y587" s="76">
        <v>35.28</v>
      </c>
      <c r="Z587" s="76">
        <v>749838.8</v>
      </c>
      <c r="AA587" s="76">
        <v>21.83</v>
      </c>
      <c r="AB587" s="76">
        <v>6.95</v>
      </c>
      <c r="AC587" s="76">
        <v>0.11</v>
      </c>
      <c r="AD587" s="76">
        <v>7.677583658E9</v>
      </c>
      <c r="AE587" s="74"/>
    </row>
    <row r="588">
      <c r="A588" s="73" t="s">
        <v>637</v>
      </c>
      <c r="B588" s="76">
        <v>69.0</v>
      </c>
      <c r="C588" s="76">
        <v>14.75</v>
      </c>
      <c r="D588" s="76">
        <v>9.93</v>
      </c>
      <c r="E588" s="76">
        <v>3.16</v>
      </c>
      <c r="F588" s="76">
        <v>1.02</v>
      </c>
      <c r="G588" s="76">
        <v>30.14</v>
      </c>
      <c r="H588" s="76">
        <v>19.78</v>
      </c>
      <c r="I588" s="76">
        <v>14.19</v>
      </c>
      <c r="J588" s="76">
        <v>7.13</v>
      </c>
      <c r="K588" s="76">
        <v>8.47</v>
      </c>
      <c r="L588" s="76">
        <v>1.46</v>
      </c>
      <c r="M588" s="76">
        <v>0.65</v>
      </c>
      <c r="N588" s="76">
        <v>1.41</v>
      </c>
      <c r="O588" s="76">
        <v>3.72</v>
      </c>
      <c r="P588" s="76">
        <v>-1.71</v>
      </c>
      <c r="Q588" s="76">
        <v>3.18</v>
      </c>
      <c r="R588" s="76">
        <v>31.82</v>
      </c>
      <c r="S588" s="76">
        <v>10.3</v>
      </c>
      <c r="T588" s="76">
        <v>12.12</v>
      </c>
      <c r="U588" s="76">
        <v>0.32</v>
      </c>
      <c r="V588" s="76">
        <v>0.67</v>
      </c>
      <c r="W588" s="76">
        <v>0.73</v>
      </c>
      <c r="X588" s="76">
        <v>12.24</v>
      </c>
      <c r="Y588" s="76">
        <v>35.28</v>
      </c>
      <c r="Z588" s="76">
        <v>18847.13</v>
      </c>
      <c r="AA588" s="76">
        <v>21.83</v>
      </c>
      <c r="AB588" s="76">
        <v>6.95</v>
      </c>
      <c r="AC588" s="76">
        <v>0.12</v>
      </c>
      <c r="AD588" s="79">
        <v>7.677583658E9</v>
      </c>
      <c r="AE588" s="74"/>
    </row>
    <row r="589">
      <c r="A589" s="73" t="s">
        <v>638</v>
      </c>
      <c r="B589" s="76">
        <v>69.91</v>
      </c>
      <c r="C589" s="76">
        <v>17.85</v>
      </c>
      <c r="D589" s="76">
        <v>10.07</v>
      </c>
      <c r="E589" s="76">
        <v>3.2</v>
      </c>
      <c r="F589" s="76">
        <v>1.04</v>
      </c>
      <c r="G589" s="76">
        <v>30.14</v>
      </c>
      <c r="H589" s="76">
        <v>19.78</v>
      </c>
      <c r="I589" s="76">
        <v>14.19</v>
      </c>
      <c r="J589" s="76">
        <v>7.22</v>
      </c>
      <c r="K589" s="76">
        <v>8.47</v>
      </c>
      <c r="L589" s="76">
        <v>1.46</v>
      </c>
      <c r="M589" s="76">
        <v>0.65</v>
      </c>
      <c r="N589" s="76">
        <v>1.43</v>
      </c>
      <c r="O589" s="76">
        <v>3.77</v>
      </c>
      <c r="P589" s="76">
        <v>-1.73</v>
      </c>
      <c r="Q589" s="76">
        <v>3.18</v>
      </c>
      <c r="R589" s="76">
        <v>31.82</v>
      </c>
      <c r="S589" s="76">
        <v>10.3</v>
      </c>
      <c r="T589" s="76">
        <v>12.12</v>
      </c>
      <c r="U589" s="76">
        <v>0.32</v>
      </c>
      <c r="V589" s="76">
        <v>0.67</v>
      </c>
      <c r="W589" s="76">
        <v>0.73</v>
      </c>
      <c r="X589" s="76">
        <v>12.24</v>
      </c>
      <c r="Y589" s="76">
        <v>35.28</v>
      </c>
      <c r="Z589" s="76">
        <v>1.6216568E7</v>
      </c>
      <c r="AA589" s="76">
        <v>21.83</v>
      </c>
      <c r="AB589" s="76">
        <v>6.95</v>
      </c>
      <c r="AC589" s="76">
        <v>0.12</v>
      </c>
      <c r="AD589" s="79">
        <v>7.677583658E9</v>
      </c>
      <c r="AE589" s="80"/>
    </row>
    <row r="590">
      <c r="A590" s="73" t="s">
        <v>639</v>
      </c>
      <c r="B590" s="76">
        <v>6.31</v>
      </c>
      <c r="C590" s="76">
        <v>0.0</v>
      </c>
      <c r="D590" s="76">
        <v>-2.38</v>
      </c>
      <c r="E590" s="76">
        <v>0.38</v>
      </c>
      <c r="F590" s="76">
        <v>0.22</v>
      </c>
      <c r="G590" s="76">
        <v>8.4</v>
      </c>
      <c r="H590" s="76">
        <v>-4.72</v>
      </c>
      <c r="I590" s="76">
        <v>-12.52</v>
      </c>
      <c r="J590" s="76">
        <v>-6.31</v>
      </c>
      <c r="K590" s="76">
        <v>-6.44</v>
      </c>
      <c r="L590" s="76">
        <v>-0.17</v>
      </c>
      <c r="M590" s="76">
        <v>0.01</v>
      </c>
      <c r="N590" s="76">
        <v>0.3</v>
      </c>
      <c r="O590" s="76">
        <v>0.63</v>
      </c>
      <c r="P590" s="76">
        <v>-0.42</v>
      </c>
      <c r="Q590" s="76">
        <v>4.21</v>
      </c>
      <c r="R590" s="76">
        <v>-16.03</v>
      </c>
      <c r="S590" s="76">
        <v>-9.42</v>
      </c>
      <c r="T590" s="76">
        <v>-13.92</v>
      </c>
      <c r="U590" s="76">
        <v>0.59</v>
      </c>
      <c r="V590" s="76">
        <v>0.33</v>
      </c>
      <c r="W590" s="76">
        <v>0.75</v>
      </c>
      <c r="X590" s="76">
        <v>11.59</v>
      </c>
      <c r="Y590" s="76">
        <v>0.0</v>
      </c>
      <c r="Z590" s="79">
        <v>3423355.0</v>
      </c>
      <c r="AA590" s="76">
        <v>16.56</v>
      </c>
      <c r="AB590" s="76">
        <v>-2.66</v>
      </c>
      <c r="AC590" s="76">
        <v>0.0</v>
      </c>
      <c r="AD590" s="79">
        <v>7.857625513E9</v>
      </c>
      <c r="AE590" s="80"/>
    </row>
    <row r="591">
      <c r="A591" s="73" t="s">
        <v>640</v>
      </c>
      <c r="B591" s="76">
        <v>6.22</v>
      </c>
      <c r="C591" s="76">
        <v>0.0</v>
      </c>
      <c r="D591" s="76">
        <v>-2.34</v>
      </c>
      <c r="E591" s="76">
        <v>0.38</v>
      </c>
      <c r="F591" s="76">
        <v>0.22</v>
      </c>
      <c r="G591" s="76">
        <v>8.4</v>
      </c>
      <c r="H591" s="76">
        <v>-4.72</v>
      </c>
      <c r="I591" s="76">
        <v>-12.52</v>
      </c>
      <c r="J591" s="76">
        <v>-6.22</v>
      </c>
      <c r="K591" s="76">
        <v>-6.44</v>
      </c>
      <c r="L591" s="76">
        <v>-0.17</v>
      </c>
      <c r="M591" s="76">
        <v>0.01</v>
      </c>
      <c r="N591" s="76">
        <v>0.29</v>
      </c>
      <c r="O591" s="76">
        <v>0.63</v>
      </c>
      <c r="P591" s="76">
        <v>-0.41</v>
      </c>
      <c r="Q591" s="76">
        <v>4.21</v>
      </c>
      <c r="R591" s="76">
        <v>-16.03</v>
      </c>
      <c r="S591" s="76">
        <v>-9.42</v>
      </c>
      <c r="T591" s="76">
        <v>-13.92</v>
      </c>
      <c r="U591" s="76">
        <v>0.59</v>
      </c>
      <c r="V591" s="76">
        <v>0.33</v>
      </c>
      <c r="W591" s="76">
        <v>0.75</v>
      </c>
      <c r="X591" s="76">
        <v>11.59</v>
      </c>
      <c r="Y591" s="76">
        <v>0.0</v>
      </c>
      <c r="Z591" s="79">
        <v>1.07E8</v>
      </c>
      <c r="AA591" s="76">
        <v>16.56</v>
      </c>
      <c r="AB591" s="76">
        <v>-2.66</v>
      </c>
      <c r="AC591" s="76">
        <v>0.0</v>
      </c>
      <c r="AD591" s="79">
        <v>7.857625513E9</v>
      </c>
      <c r="AE591" s="80"/>
    </row>
    <row r="592">
      <c r="A592" s="73" t="s">
        <v>641</v>
      </c>
      <c r="B592" s="76">
        <v>8.0</v>
      </c>
      <c r="C592" s="76">
        <v>0.0</v>
      </c>
      <c r="D592" s="76">
        <v>-3.01</v>
      </c>
      <c r="E592" s="76">
        <v>0.48</v>
      </c>
      <c r="F592" s="76">
        <v>0.28</v>
      </c>
      <c r="G592" s="76">
        <v>8.4</v>
      </c>
      <c r="H592" s="76">
        <v>-4.72</v>
      </c>
      <c r="I592" s="76">
        <v>-12.52</v>
      </c>
      <c r="J592" s="76">
        <v>-8.0</v>
      </c>
      <c r="K592" s="76">
        <v>-6.44</v>
      </c>
      <c r="L592" s="76">
        <v>-0.17</v>
      </c>
      <c r="M592" s="76">
        <v>0.01</v>
      </c>
      <c r="N592" s="76">
        <v>0.38</v>
      </c>
      <c r="O592" s="76">
        <v>0.8</v>
      </c>
      <c r="P592" s="76">
        <v>-0.53</v>
      </c>
      <c r="Q592" s="76">
        <v>4.21</v>
      </c>
      <c r="R592" s="76">
        <v>-16.03</v>
      </c>
      <c r="S592" s="76">
        <v>-9.42</v>
      </c>
      <c r="T592" s="76">
        <v>-13.92</v>
      </c>
      <c r="U592" s="76">
        <v>0.59</v>
      </c>
      <c r="V592" s="76">
        <v>0.33</v>
      </c>
      <c r="W592" s="76">
        <v>0.75</v>
      </c>
      <c r="X592" s="76">
        <v>11.59</v>
      </c>
      <c r="Y592" s="76">
        <v>0.0</v>
      </c>
      <c r="Z592" s="76">
        <v>800.0</v>
      </c>
      <c r="AA592" s="76">
        <v>16.56</v>
      </c>
      <c r="AB592" s="76">
        <v>-2.66</v>
      </c>
      <c r="AC592" s="76">
        <v>0.01</v>
      </c>
      <c r="AD592" s="79">
        <v>7.857625513E9</v>
      </c>
      <c r="AE592" s="80"/>
    </row>
    <row r="593">
      <c r="A593" s="73" t="s">
        <v>642</v>
      </c>
      <c r="B593" s="76">
        <v>84.09</v>
      </c>
      <c r="C593" s="76">
        <v>9.06</v>
      </c>
      <c r="D593" s="76">
        <v>12.64</v>
      </c>
      <c r="E593" s="76">
        <v>1.75</v>
      </c>
      <c r="F593" s="76">
        <v>0.79</v>
      </c>
      <c r="G593" s="76">
        <v>34.81</v>
      </c>
      <c r="H593" s="76">
        <v>19.93</v>
      </c>
      <c r="I593" s="76">
        <v>14.15</v>
      </c>
      <c r="J593" s="76">
        <v>8.98</v>
      </c>
      <c r="K593" s="76">
        <v>10.54</v>
      </c>
      <c r="L593" s="76">
        <v>1.56</v>
      </c>
      <c r="M593" s="76">
        <v>0.3</v>
      </c>
      <c r="N593" s="76">
        <v>1.79</v>
      </c>
      <c r="O593" s="76">
        <v>22.69</v>
      </c>
      <c r="P593" s="76">
        <v>-0.96</v>
      </c>
      <c r="Q593" s="76">
        <v>1.24</v>
      </c>
      <c r="R593" s="76">
        <v>13.84</v>
      </c>
      <c r="S593" s="76">
        <v>6.22</v>
      </c>
      <c r="T593" s="76">
        <v>11.18</v>
      </c>
      <c r="U593" s="76">
        <v>0.45</v>
      </c>
      <c r="V593" s="76">
        <v>0.54</v>
      </c>
      <c r="W593" s="76">
        <v>0.44</v>
      </c>
      <c r="X593" s="76">
        <v>7.33</v>
      </c>
      <c r="Y593" s="76">
        <v>0.0</v>
      </c>
      <c r="Z593" s="79">
        <v>3.1E9</v>
      </c>
      <c r="AA593" s="76">
        <v>48.06</v>
      </c>
      <c r="AB593" s="76">
        <v>6.65</v>
      </c>
      <c r="AC593" s="76">
        <v>-0.34</v>
      </c>
      <c r="AD593" s="79">
        <v>3.81685E11</v>
      </c>
      <c r="AE593" s="80"/>
    </row>
    <row r="594">
      <c r="A594" s="73" t="s">
        <v>643</v>
      </c>
      <c r="B594" s="76">
        <v>4.49</v>
      </c>
      <c r="C594" s="76">
        <v>3.13</v>
      </c>
      <c r="D594" s="76">
        <v>36.47</v>
      </c>
      <c r="E594" s="76">
        <v>1.85</v>
      </c>
      <c r="F594" s="76">
        <v>0.21</v>
      </c>
      <c r="G594" s="76">
        <v>80.21</v>
      </c>
      <c r="H594" s="76">
        <v>76.72</v>
      </c>
      <c r="I594" s="76">
        <v>3.93</v>
      </c>
      <c r="J594" s="76">
        <v>1.87</v>
      </c>
      <c r="K594" s="76">
        <v>6.45</v>
      </c>
      <c r="L594" s="76">
        <v>4.58</v>
      </c>
      <c r="M594" s="76">
        <v>4.53</v>
      </c>
      <c r="N594" s="76">
        <v>1.43</v>
      </c>
      <c r="O594" s="76">
        <v>1.52</v>
      </c>
      <c r="P594" s="76">
        <v>-0.3</v>
      </c>
      <c r="Q594" s="76">
        <v>1.93</v>
      </c>
      <c r="R594" s="76">
        <v>5.06</v>
      </c>
      <c r="S594" s="76">
        <v>0.58</v>
      </c>
      <c r="T594" s="76">
        <v>12.39</v>
      </c>
      <c r="U594" s="76">
        <v>0.11</v>
      </c>
      <c r="V594" s="76">
        <v>0.89</v>
      </c>
      <c r="W594" s="76">
        <v>0.15</v>
      </c>
      <c r="X594" s="76">
        <v>31.14</v>
      </c>
      <c r="Y594" s="76">
        <v>-1.26</v>
      </c>
      <c r="Z594" s="76">
        <v>8.1858244E7</v>
      </c>
      <c r="AA594" s="76">
        <v>2.43</v>
      </c>
      <c r="AB594" s="76">
        <v>0.12</v>
      </c>
      <c r="AC594" s="76">
        <v>-0.45</v>
      </c>
      <c r="AD594" s="79">
        <v>4.853836091E9</v>
      </c>
      <c r="AE594" s="80"/>
    </row>
    <row r="595">
      <c r="A595" s="73" t="s">
        <v>644</v>
      </c>
      <c r="B595" s="76">
        <v>31.57</v>
      </c>
      <c r="C595" s="76">
        <v>5.01</v>
      </c>
      <c r="D595" s="76">
        <v>20.59</v>
      </c>
      <c r="E595" s="76">
        <v>1.78</v>
      </c>
      <c r="F595" s="76">
        <v>0.62</v>
      </c>
      <c r="G595" s="76">
        <v>4.67</v>
      </c>
      <c r="H595" s="76">
        <v>2.26</v>
      </c>
      <c r="I595" s="76">
        <v>1.0</v>
      </c>
      <c r="J595" s="76">
        <v>9.16</v>
      </c>
      <c r="K595" s="76">
        <v>13.77</v>
      </c>
      <c r="L595" s="76">
        <v>4.61</v>
      </c>
      <c r="M595" s="76">
        <v>0.9</v>
      </c>
      <c r="N595" s="76">
        <v>0.21</v>
      </c>
      <c r="O595" s="76">
        <v>2.99</v>
      </c>
      <c r="P595" s="76">
        <v>-1.03</v>
      </c>
      <c r="Q595" s="76">
        <v>2.09</v>
      </c>
      <c r="R595" s="76">
        <v>8.67</v>
      </c>
      <c r="S595" s="76">
        <v>3.01</v>
      </c>
      <c r="T595" s="76">
        <v>6.21</v>
      </c>
      <c r="U595" s="76">
        <v>0.35</v>
      </c>
      <c r="V595" s="76">
        <v>0.65</v>
      </c>
      <c r="W595" s="76">
        <v>3.0</v>
      </c>
      <c r="X595" s="76">
        <v>12.65</v>
      </c>
      <c r="Y595" s="76">
        <v>-3.63</v>
      </c>
      <c r="Z595" s="79">
        <v>2.56E8</v>
      </c>
      <c r="AA595" s="76">
        <v>17.69</v>
      </c>
      <c r="AB595" s="76">
        <v>1.53</v>
      </c>
      <c r="AC595" s="76">
        <v>-0.26</v>
      </c>
      <c r="AD595" s="79">
        <v>3.7838650674E10</v>
      </c>
      <c r="AE595" s="80"/>
    </row>
    <row r="596">
      <c r="A596" s="73" t="s">
        <v>645</v>
      </c>
      <c r="B596" s="76">
        <v>4.07</v>
      </c>
      <c r="C596" s="76">
        <v>6.94</v>
      </c>
      <c r="D596" s="76">
        <v>9.81</v>
      </c>
      <c r="E596" s="76">
        <v>0.97</v>
      </c>
      <c r="F596" s="76">
        <v>0.64</v>
      </c>
      <c r="G596" s="76">
        <v>31.22</v>
      </c>
      <c r="H596" s="76">
        <v>7.9</v>
      </c>
      <c r="I596" s="76">
        <v>7.48</v>
      </c>
      <c r="J596" s="76">
        <v>9.28</v>
      </c>
      <c r="K596" s="76">
        <v>11.51</v>
      </c>
      <c r="L596" s="76">
        <v>2.23</v>
      </c>
      <c r="M596" s="76">
        <v>0.23</v>
      </c>
      <c r="N596" s="76">
        <v>0.73</v>
      </c>
      <c r="O596" s="76">
        <v>1.84</v>
      </c>
      <c r="P596" s="76">
        <v>-1.65</v>
      </c>
      <c r="Q596" s="76">
        <v>2.35</v>
      </c>
      <c r="R596" s="76">
        <v>9.9</v>
      </c>
      <c r="S596" s="76">
        <v>6.57</v>
      </c>
      <c r="T596" s="76">
        <v>7.62</v>
      </c>
      <c r="U596" s="76">
        <v>0.66</v>
      </c>
      <c r="V596" s="76">
        <v>0.34</v>
      </c>
      <c r="W596" s="76">
        <v>0.88</v>
      </c>
      <c r="X596" s="76">
        <v>12.74</v>
      </c>
      <c r="Y596" s="76">
        <v>2.22</v>
      </c>
      <c r="Z596" s="76">
        <v>1148546.0</v>
      </c>
      <c r="AA596" s="76">
        <v>4.19</v>
      </c>
      <c r="AB596" s="76">
        <v>0.41</v>
      </c>
      <c r="AC596" s="76">
        <v>-0.75</v>
      </c>
      <c r="AD596" s="79">
        <v>5.995680533E8</v>
      </c>
      <c r="AE596" s="80"/>
    </row>
    <row r="597">
      <c r="A597" s="73" t="s">
        <v>646</v>
      </c>
      <c r="B597" s="76">
        <v>31.34</v>
      </c>
      <c r="C597" s="76">
        <v>4.33</v>
      </c>
      <c r="D597" s="76">
        <v>9.98</v>
      </c>
      <c r="E597" s="76">
        <v>2.52</v>
      </c>
      <c r="F597" s="76">
        <v>1.58</v>
      </c>
      <c r="G597" s="76">
        <v>71.93</v>
      </c>
      <c r="H597" s="76">
        <v>27.68</v>
      </c>
      <c r="I597" s="76">
        <v>25.78</v>
      </c>
      <c r="J597" s="76">
        <v>9.3</v>
      </c>
      <c r="K597" s="76">
        <v>9.7</v>
      </c>
      <c r="L597" s="76">
        <v>0.4</v>
      </c>
      <c r="M597" s="76">
        <v>0.11</v>
      </c>
      <c r="N597" s="76">
        <v>2.57</v>
      </c>
      <c r="O597" s="76">
        <v>3.03</v>
      </c>
      <c r="P597" s="76">
        <v>-4.43</v>
      </c>
      <c r="Q597" s="76">
        <v>5.17</v>
      </c>
      <c r="R597" s="76">
        <v>25.25</v>
      </c>
      <c r="S597" s="76">
        <v>15.78</v>
      </c>
      <c r="T597" s="76">
        <v>21.2</v>
      </c>
      <c r="U597" s="76">
        <v>0.62</v>
      </c>
      <c r="V597" s="76">
        <v>0.38</v>
      </c>
      <c r="W597" s="76">
        <v>0.61</v>
      </c>
      <c r="X597" s="76">
        <v>28.01</v>
      </c>
      <c r="Y597" s="76">
        <v>23.51</v>
      </c>
      <c r="Z597" s="79">
        <v>1.38E8</v>
      </c>
      <c r="AA597" s="76">
        <v>12.43</v>
      </c>
      <c r="AB597" s="76">
        <v>3.14</v>
      </c>
      <c r="AC597" s="76">
        <v>0.2</v>
      </c>
      <c r="AD597" s="79">
        <v>7.40243808E9</v>
      </c>
      <c r="AE597" s="80"/>
    </row>
    <row r="598">
      <c r="A598" s="73" t="s">
        <v>647</v>
      </c>
      <c r="B598" s="76">
        <v>0.63</v>
      </c>
      <c r="C598" s="76">
        <v>0.0</v>
      </c>
      <c r="D598" s="76">
        <v>-1.74</v>
      </c>
      <c r="E598" s="76">
        <v>0.4</v>
      </c>
      <c r="F598" s="76">
        <v>0.13</v>
      </c>
      <c r="G598" s="76">
        <v>27.39</v>
      </c>
      <c r="H598" s="76">
        <v>-42.34</v>
      </c>
      <c r="I598" s="76">
        <v>-47.03</v>
      </c>
      <c r="J598" s="76">
        <v>-1.93</v>
      </c>
      <c r="K598" s="76">
        <v>-2.81</v>
      </c>
      <c r="L598" s="76">
        <v>-0.89</v>
      </c>
      <c r="M598" s="76">
        <v>0.18</v>
      </c>
      <c r="N598" s="76">
        <v>0.82</v>
      </c>
      <c r="O598" s="76">
        <v>1.88</v>
      </c>
      <c r="P598" s="76">
        <v>-0.22</v>
      </c>
      <c r="Q598" s="76">
        <v>1.19</v>
      </c>
      <c r="R598" s="76">
        <v>-22.88</v>
      </c>
      <c r="S598" s="76">
        <v>-7.33</v>
      </c>
      <c r="T598" s="76">
        <v>-16.61</v>
      </c>
      <c r="U598" s="76">
        <v>0.32</v>
      </c>
      <c r="V598" s="76">
        <v>0.66</v>
      </c>
      <c r="W598" s="76">
        <v>0.16</v>
      </c>
      <c r="X598" s="76">
        <v>0.0</v>
      </c>
      <c r="Y598" s="76">
        <v>0.0</v>
      </c>
      <c r="Z598" s="76">
        <v>99431.0</v>
      </c>
      <c r="AA598" s="76">
        <v>1.59</v>
      </c>
      <c r="AB598" s="76">
        <v>-0.36</v>
      </c>
      <c r="AC598" s="76">
        <v>0.02</v>
      </c>
      <c r="AD598" s="79">
        <v>3.074425767E7</v>
      </c>
      <c r="AE598" s="80"/>
    </row>
    <row r="599">
      <c r="A599" s="73" t="s">
        <v>648</v>
      </c>
      <c r="B599" s="76">
        <v>40.89</v>
      </c>
      <c r="C599" s="76">
        <v>3.18</v>
      </c>
      <c r="D599" s="76">
        <v>21.79</v>
      </c>
      <c r="E599" s="76">
        <v>1.93</v>
      </c>
      <c r="F599" s="76">
        <v>1.06</v>
      </c>
      <c r="G599" s="76">
        <v>44.27</v>
      </c>
      <c r="H599" s="76">
        <v>16.1</v>
      </c>
      <c r="I599" s="76">
        <v>10.34</v>
      </c>
      <c r="J599" s="76">
        <v>13.99</v>
      </c>
      <c r="K599" s="76">
        <v>15.19</v>
      </c>
      <c r="L599" s="76">
        <v>1.2</v>
      </c>
      <c r="M599" s="76">
        <v>0.16</v>
      </c>
      <c r="N599" s="76">
        <v>2.25</v>
      </c>
      <c r="O599" s="76">
        <v>357.19</v>
      </c>
      <c r="P599" s="76">
        <v>-1.32</v>
      </c>
      <c r="Q599" s="76">
        <v>1.02</v>
      </c>
      <c r="R599" s="76">
        <v>8.85</v>
      </c>
      <c r="S599" s="76">
        <v>4.89</v>
      </c>
      <c r="T599" s="76">
        <v>8.76</v>
      </c>
      <c r="U599" s="76">
        <v>0.55</v>
      </c>
      <c r="V599" s="76">
        <v>0.45</v>
      </c>
      <c r="W599" s="76">
        <v>0.47</v>
      </c>
      <c r="X599" s="76">
        <v>4.76</v>
      </c>
      <c r="Y599" s="76">
        <v>3.9</v>
      </c>
      <c r="Z599" s="79">
        <v>2.22E8</v>
      </c>
      <c r="AA599" s="76">
        <v>21.21</v>
      </c>
      <c r="AB599" s="76">
        <v>1.88</v>
      </c>
      <c r="AC599" s="76">
        <v>1.76</v>
      </c>
      <c r="AD599" s="79">
        <v>1.31933E11</v>
      </c>
      <c r="AE599" s="80"/>
    </row>
    <row r="600">
      <c r="A600" s="73" t="s">
        <v>649</v>
      </c>
      <c r="B600" s="76">
        <v>45.34</v>
      </c>
      <c r="C600" s="76">
        <v>0.0</v>
      </c>
      <c r="D600" s="76">
        <v>24.16</v>
      </c>
      <c r="E600" s="76">
        <v>2.14</v>
      </c>
      <c r="F600" s="76">
        <v>1.18</v>
      </c>
      <c r="G600" s="76">
        <v>44.27</v>
      </c>
      <c r="H600" s="76">
        <v>16.1</v>
      </c>
      <c r="I600" s="76">
        <v>10.34</v>
      </c>
      <c r="J600" s="76">
        <v>15.52</v>
      </c>
      <c r="K600" s="76">
        <v>15.19</v>
      </c>
      <c r="L600" s="76">
        <v>1.2</v>
      </c>
      <c r="M600" s="76">
        <v>0.16</v>
      </c>
      <c r="N600" s="76">
        <v>2.5</v>
      </c>
      <c r="O600" s="76">
        <v>396.06</v>
      </c>
      <c r="P600" s="76">
        <v>-1.47</v>
      </c>
      <c r="Q600" s="76">
        <v>1.02</v>
      </c>
      <c r="R600" s="76">
        <v>8.85</v>
      </c>
      <c r="S600" s="76">
        <v>4.89</v>
      </c>
      <c r="T600" s="76">
        <v>8.76</v>
      </c>
      <c r="U600" s="76">
        <v>0.55</v>
      </c>
      <c r="V600" s="76">
        <v>0.45</v>
      </c>
      <c r="W600" s="76">
        <v>0.47</v>
      </c>
      <c r="X600" s="76">
        <v>4.76</v>
      </c>
      <c r="Y600" s="76">
        <v>3.9</v>
      </c>
      <c r="Z600" s="76">
        <v>0.0</v>
      </c>
      <c r="AA600" s="76">
        <v>21.21</v>
      </c>
      <c r="AB600" s="76">
        <v>1.88</v>
      </c>
      <c r="AC600" s="76">
        <v>1.95</v>
      </c>
      <c r="AD600" s="79">
        <v>1.31933E11</v>
      </c>
      <c r="AE600" s="80"/>
    </row>
    <row r="601">
      <c r="A601" s="73" t="s">
        <v>650</v>
      </c>
      <c r="B601" s="76">
        <v>22.04</v>
      </c>
      <c r="C601" s="76">
        <v>13.98</v>
      </c>
      <c r="D601" s="76">
        <v>7.53</v>
      </c>
      <c r="E601" s="76">
        <v>1.05</v>
      </c>
      <c r="F601" s="76">
        <v>0.63</v>
      </c>
      <c r="G601" s="76">
        <v>33.24</v>
      </c>
      <c r="H601" s="76">
        <v>14.0</v>
      </c>
      <c r="I601" s="76">
        <v>11.3</v>
      </c>
      <c r="J601" s="76">
        <v>6.08</v>
      </c>
      <c r="K601" s="76">
        <v>6.27</v>
      </c>
      <c r="L601" s="76">
        <v>0.2</v>
      </c>
      <c r="M601" s="76">
        <v>0.03</v>
      </c>
      <c r="N601" s="76">
        <v>0.85</v>
      </c>
      <c r="O601" s="76">
        <v>1.82</v>
      </c>
      <c r="P601" s="76">
        <v>-1.27</v>
      </c>
      <c r="Q601" s="76">
        <v>3.14</v>
      </c>
      <c r="R601" s="76">
        <v>13.91</v>
      </c>
      <c r="S601" s="76">
        <v>8.33</v>
      </c>
      <c r="T601" s="76">
        <v>11.77</v>
      </c>
      <c r="U601" s="76">
        <v>0.6</v>
      </c>
      <c r="V601" s="76">
        <v>0.4</v>
      </c>
      <c r="W601" s="76">
        <v>0.74</v>
      </c>
      <c r="X601" s="76">
        <v>1.58</v>
      </c>
      <c r="Y601" s="76">
        <v>34.57</v>
      </c>
      <c r="Z601" s="76">
        <v>5950022.0</v>
      </c>
      <c r="AA601" s="76">
        <v>21.04</v>
      </c>
      <c r="AB601" s="76">
        <v>2.93</v>
      </c>
      <c r="AC601" s="76">
        <v>-0.23</v>
      </c>
      <c r="AD601" s="79">
        <v>1.803673705E9</v>
      </c>
      <c r="AE601" s="80"/>
    </row>
    <row r="602">
      <c r="A602" s="73" t="s">
        <v>651</v>
      </c>
      <c r="B602" s="76">
        <v>5.0</v>
      </c>
      <c r="C602" s="76">
        <v>0.0</v>
      </c>
      <c r="D602" s="76">
        <v>4.45</v>
      </c>
      <c r="E602" s="76">
        <v>0.47</v>
      </c>
      <c r="F602" s="76">
        <v>0.26</v>
      </c>
      <c r="G602" s="76">
        <v>20.5</v>
      </c>
      <c r="H602" s="76">
        <v>14.35</v>
      </c>
      <c r="I602" s="76">
        <v>10.63</v>
      </c>
      <c r="J602" s="76">
        <v>3.3</v>
      </c>
      <c r="K602" s="76">
        <v>2.76</v>
      </c>
      <c r="L602" s="76">
        <v>-0.54</v>
      </c>
      <c r="M602" s="76">
        <v>-0.08</v>
      </c>
      <c r="N602" s="76">
        <v>0.47</v>
      </c>
      <c r="O602" s="76">
        <v>-3.7</v>
      </c>
      <c r="P602" s="76">
        <v>-0.3</v>
      </c>
      <c r="Q602" s="76">
        <v>0.64</v>
      </c>
      <c r="R602" s="76">
        <v>10.55</v>
      </c>
      <c r="S602" s="76">
        <v>5.86</v>
      </c>
      <c r="T602" s="76">
        <v>13.91</v>
      </c>
      <c r="U602" s="76">
        <v>0.56</v>
      </c>
      <c r="V602" s="76">
        <v>0.44</v>
      </c>
      <c r="W602" s="76">
        <v>0.55</v>
      </c>
      <c r="X602" s="76">
        <v>10.07</v>
      </c>
      <c r="Y602" s="76">
        <v>0.0</v>
      </c>
      <c r="Z602" s="76">
        <v>0.0</v>
      </c>
      <c r="AA602" s="76">
        <v>10.64</v>
      </c>
      <c r="AB602" s="76">
        <v>1.12</v>
      </c>
      <c r="AC602" s="76">
        <v>-0.03</v>
      </c>
      <c r="AD602" s="79">
        <v>1.780029215E9</v>
      </c>
      <c r="AE602" s="80"/>
    </row>
    <row r="603">
      <c r="A603" s="73" t="s">
        <v>652</v>
      </c>
      <c r="B603" s="76">
        <v>0.0</v>
      </c>
      <c r="C603" s="76">
        <v>0.0</v>
      </c>
      <c r="D603" s="76">
        <v>0.0</v>
      </c>
      <c r="E603" s="76">
        <v>0.0</v>
      </c>
      <c r="F603" s="76">
        <v>0.0</v>
      </c>
      <c r="G603" s="76">
        <v>20.5</v>
      </c>
      <c r="H603" s="76">
        <v>14.35</v>
      </c>
      <c r="I603" s="76">
        <v>10.63</v>
      </c>
      <c r="J603" s="76">
        <v>0.0</v>
      </c>
      <c r="K603" s="76">
        <v>2.76</v>
      </c>
      <c r="L603" s="76">
        <v>-0.54</v>
      </c>
      <c r="M603" s="76">
        <v>-0.08</v>
      </c>
      <c r="N603" s="76">
        <v>0.0</v>
      </c>
      <c r="O603" s="76">
        <v>0.0</v>
      </c>
      <c r="P603" s="76">
        <v>0.0</v>
      </c>
      <c r="Q603" s="76">
        <v>0.64</v>
      </c>
      <c r="R603" s="76">
        <v>10.55</v>
      </c>
      <c r="S603" s="76">
        <v>5.86</v>
      </c>
      <c r="T603" s="76">
        <v>13.91</v>
      </c>
      <c r="U603" s="76">
        <v>0.56</v>
      </c>
      <c r="V603" s="76">
        <v>0.44</v>
      </c>
      <c r="W603" s="76">
        <v>0.55</v>
      </c>
      <c r="X603" s="76">
        <v>10.07</v>
      </c>
      <c r="Y603" s="76">
        <v>0.0</v>
      </c>
      <c r="Z603" s="76">
        <v>0.0</v>
      </c>
      <c r="AA603" s="76">
        <v>10.64</v>
      </c>
      <c r="AB603" s="76">
        <v>1.12</v>
      </c>
      <c r="AC603" s="76">
        <v>0.0</v>
      </c>
      <c r="AD603" s="79">
        <v>1.780029215E9</v>
      </c>
      <c r="AE603" s="80"/>
    </row>
    <row r="604">
      <c r="A604" s="73" t="s">
        <v>653</v>
      </c>
      <c r="B604" s="76">
        <v>3.59</v>
      </c>
      <c r="C604" s="76">
        <v>0.0</v>
      </c>
      <c r="D604" s="76">
        <v>20.28</v>
      </c>
      <c r="E604" s="76">
        <v>0.39</v>
      </c>
      <c r="F604" s="76">
        <v>0.24</v>
      </c>
      <c r="G604" s="76">
        <v>63.54</v>
      </c>
      <c r="H604" s="76">
        <v>6.62</v>
      </c>
      <c r="I604" s="76">
        <v>1.68</v>
      </c>
      <c r="J604" s="76">
        <v>5.15</v>
      </c>
      <c r="K604" s="76">
        <v>9.0</v>
      </c>
      <c r="L604" s="76">
        <v>3.85</v>
      </c>
      <c r="M604" s="76">
        <v>0.29</v>
      </c>
      <c r="N604" s="76">
        <v>0.34</v>
      </c>
      <c r="O604" s="76">
        <v>2.76</v>
      </c>
      <c r="P604" s="76">
        <v>-0.36</v>
      </c>
      <c r="Q604" s="76">
        <v>1.39</v>
      </c>
      <c r="R604" s="76">
        <v>1.92</v>
      </c>
      <c r="S604" s="76">
        <v>1.2</v>
      </c>
      <c r="T604" s="76">
        <v>5.7</v>
      </c>
      <c r="U604" s="76">
        <v>0.63</v>
      </c>
      <c r="V604" s="76">
        <v>0.37</v>
      </c>
      <c r="W604" s="76">
        <v>0.71</v>
      </c>
      <c r="X604" s="76">
        <v>3.1</v>
      </c>
      <c r="Y604" s="76">
        <v>0.0</v>
      </c>
      <c r="Z604" s="76">
        <v>109454.9</v>
      </c>
      <c r="AA604" s="76">
        <v>9.23</v>
      </c>
      <c r="AB604" s="76">
        <v>0.18</v>
      </c>
      <c r="AC604" s="76">
        <v>-0.02</v>
      </c>
      <c r="AD604" s="79">
        <v>4.104584964E8</v>
      </c>
      <c r="AE604" s="80"/>
    </row>
    <row r="605">
      <c r="A605" s="73" t="s">
        <v>654</v>
      </c>
      <c r="B605" s="76">
        <v>15.24</v>
      </c>
      <c r="C605" s="76">
        <v>0.16</v>
      </c>
      <c r="D605" s="76">
        <v>-7.57</v>
      </c>
      <c r="E605" s="76">
        <v>2.24</v>
      </c>
      <c r="F605" s="76">
        <v>1.82</v>
      </c>
      <c r="G605" s="76">
        <v>22.04</v>
      </c>
      <c r="H605" s="76">
        <v>-7.31</v>
      </c>
      <c r="I605" s="76">
        <v>-14.81</v>
      </c>
      <c r="J605" s="76">
        <v>-15.33</v>
      </c>
      <c r="K605" s="76">
        <v>-11.65</v>
      </c>
      <c r="L605" s="76">
        <v>3.68</v>
      </c>
      <c r="M605" s="76">
        <v>-0.54</v>
      </c>
      <c r="N605" s="76">
        <v>1.12</v>
      </c>
      <c r="O605" s="76">
        <v>4.32</v>
      </c>
      <c r="P605" s="76">
        <v>-3.97</v>
      </c>
      <c r="Q605" s="76">
        <v>4.48</v>
      </c>
      <c r="R605" s="76">
        <v>-29.57</v>
      </c>
      <c r="S605" s="76">
        <v>-24.02</v>
      </c>
      <c r="T605" s="76">
        <v>-29.52</v>
      </c>
      <c r="U605" s="76">
        <v>0.81</v>
      </c>
      <c r="V605" s="76">
        <v>0.19</v>
      </c>
      <c r="W605" s="76">
        <v>1.62</v>
      </c>
      <c r="X605" s="76">
        <v>0.0</v>
      </c>
      <c r="Y605" s="76">
        <v>0.0</v>
      </c>
      <c r="Z605" s="76">
        <v>9220640.0</v>
      </c>
      <c r="AA605" s="76">
        <v>6.81</v>
      </c>
      <c r="AB605" s="76">
        <v>-2.01</v>
      </c>
      <c r="AC605" s="76">
        <v>0.0</v>
      </c>
      <c r="AD605" s="79">
        <v>5.773835087E8</v>
      </c>
      <c r="AE605" s="80"/>
    </row>
    <row r="606">
      <c r="A606" s="73" t="s">
        <v>655</v>
      </c>
      <c r="B606" s="76">
        <v>18.8</v>
      </c>
      <c r="C606" s="76">
        <v>27.68</v>
      </c>
      <c r="D606" s="76">
        <v>5.06</v>
      </c>
      <c r="E606" s="76">
        <v>2.38</v>
      </c>
      <c r="F606" s="76">
        <v>1.41</v>
      </c>
      <c r="G606" s="76">
        <v>41.07</v>
      </c>
      <c r="H606" s="76">
        <v>21.09</v>
      </c>
      <c r="I606" s="76">
        <v>34.01</v>
      </c>
      <c r="J606" s="76">
        <v>8.16</v>
      </c>
      <c r="K606" s="76">
        <v>8.76</v>
      </c>
      <c r="L606" s="76">
        <v>0.6</v>
      </c>
      <c r="M606" s="76">
        <v>0.18</v>
      </c>
      <c r="N606" s="76">
        <v>1.72</v>
      </c>
      <c r="O606" s="76">
        <v>3.46</v>
      </c>
      <c r="P606" s="76">
        <v>-4.07</v>
      </c>
      <c r="Q606" s="76">
        <v>2.65</v>
      </c>
      <c r="R606" s="76">
        <v>46.97</v>
      </c>
      <c r="S606" s="76">
        <v>27.87</v>
      </c>
      <c r="T606" s="76">
        <v>11.49</v>
      </c>
      <c r="U606" s="76">
        <v>0.59</v>
      </c>
      <c r="V606" s="76">
        <v>0.41</v>
      </c>
      <c r="W606" s="76">
        <v>0.82</v>
      </c>
      <c r="X606" s="76">
        <v>17.52</v>
      </c>
      <c r="Y606" s="76">
        <v>52.39</v>
      </c>
      <c r="Z606" s="76">
        <v>3.3789978E7</v>
      </c>
      <c r="AA606" s="76">
        <v>7.91</v>
      </c>
      <c r="AB606" s="76">
        <v>3.71</v>
      </c>
      <c r="AC606" s="76">
        <v>0.04</v>
      </c>
      <c r="AD606" s="79">
        <v>5.950240796E9</v>
      </c>
      <c r="AE606" s="80"/>
    </row>
    <row r="607">
      <c r="A607" s="73" t="s">
        <v>656</v>
      </c>
      <c r="B607" s="76">
        <v>1.58</v>
      </c>
      <c r="C607" s="76">
        <v>0.0</v>
      </c>
      <c r="D607" s="76">
        <v>-0.51</v>
      </c>
      <c r="E607" s="76">
        <v>0.25</v>
      </c>
      <c r="F607" s="76">
        <v>0.06</v>
      </c>
      <c r="G607" s="76">
        <v>11.8</v>
      </c>
      <c r="H607" s="76">
        <v>-3.1</v>
      </c>
      <c r="I607" s="76">
        <v>-8.78</v>
      </c>
      <c r="J607" s="76">
        <v>-1.45</v>
      </c>
      <c r="K607" s="76">
        <v>-9.42</v>
      </c>
      <c r="L607" s="76">
        <v>-7.97</v>
      </c>
      <c r="M607" s="76">
        <v>1.39</v>
      </c>
      <c r="N607" s="76">
        <v>0.04</v>
      </c>
      <c r="O607" s="76">
        <v>0.33</v>
      </c>
      <c r="P607" s="76">
        <v>-0.12</v>
      </c>
      <c r="Q607" s="76">
        <v>1.49</v>
      </c>
      <c r="R607" s="76">
        <v>-49.46</v>
      </c>
      <c r="S607" s="76">
        <v>-10.99</v>
      </c>
      <c r="T607" s="76">
        <v>-7.47</v>
      </c>
      <c r="U607" s="76">
        <v>0.22</v>
      </c>
      <c r="V607" s="76">
        <v>0.78</v>
      </c>
      <c r="W607" s="76">
        <v>1.25</v>
      </c>
      <c r="X607" s="76">
        <v>30.99</v>
      </c>
      <c r="Y607" s="76">
        <v>0.0</v>
      </c>
      <c r="Z607" s="76">
        <v>1848521.0</v>
      </c>
      <c r="AA607" s="76">
        <v>6.24</v>
      </c>
      <c r="AB607" s="76">
        <v>-3.09</v>
      </c>
      <c r="AC607" s="76">
        <v>0.0</v>
      </c>
      <c r="AD607" s="79">
        <v>5.100565606E8</v>
      </c>
      <c r="AE607" s="80"/>
    </row>
    <row r="608">
      <c r="A608" s="73" t="s">
        <v>657</v>
      </c>
      <c r="B608" s="76">
        <v>2.64</v>
      </c>
      <c r="C608" s="76">
        <v>7.2</v>
      </c>
      <c r="D608" s="76">
        <v>-242.81</v>
      </c>
      <c r="E608" s="76">
        <v>0.26</v>
      </c>
      <c r="F608" s="76">
        <v>0.12</v>
      </c>
      <c r="G608" s="76">
        <v>26.99</v>
      </c>
      <c r="H608" s="76">
        <v>5.58</v>
      </c>
      <c r="I608" s="76">
        <v>-0.08</v>
      </c>
      <c r="J608" s="76">
        <v>3.41</v>
      </c>
      <c r="K608" s="76">
        <v>-0.77</v>
      </c>
      <c r="L608" s="76">
        <v>-4.17</v>
      </c>
      <c r="M608" s="76">
        <v>-0.32</v>
      </c>
      <c r="N608" s="76">
        <v>0.19</v>
      </c>
      <c r="O608" s="76">
        <v>0.51</v>
      </c>
      <c r="P608" s="76">
        <v>-0.23</v>
      </c>
      <c r="Q608" s="76">
        <v>1.84</v>
      </c>
      <c r="R608" s="76">
        <v>-0.11</v>
      </c>
      <c r="S608" s="76">
        <v>-0.05</v>
      </c>
      <c r="T608" s="76">
        <v>5.49</v>
      </c>
      <c r="U608" s="76">
        <v>0.44</v>
      </c>
      <c r="V608" s="76">
        <v>0.55</v>
      </c>
      <c r="W608" s="76">
        <v>0.61</v>
      </c>
      <c r="X608" s="76">
        <v>10.59</v>
      </c>
      <c r="Y608" s="76">
        <v>0.0</v>
      </c>
      <c r="Z608" s="76">
        <v>75438.1</v>
      </c>
      <c r="AA608" s="76">
        <v>10.13</v>
      </c>
      <c r="AB608" s="76">
        <v>-0.01</v>
      </c>
      <c r="AC608" s="76">
        <v>2.24</v>
      </c>
      <c r="AD608" s="79">
        <v>1.675382623E8</v>
      </c>
      <c r="AE608" s="80"/>
    </row>
    <row r="609">
      <c r="A609" s="73" t="s">
        <v>658</v>
      </c>
      <c r="B609" s="76">
        <v>51.37</v>
      </c>
      <c r="C609" s="76">
        <v>4.77</v>
      </c>
      <c r="D609" s="76">
        <v>33.26</v>
      </c>
      <c r="E609" s="76">
        <v>9.62</v>
      </c>
      <c r="F609" s="76">
        <v>5.2</v>
      </c>
      <c r="G609" s="76">
        <v>33.39</v>
      </c>
      <c r="H609" s="76">
        <v>19.68</v>
      </c>
      <c r="I609" s="76">
        <v>15.67</v>
      </c>
      <c r="J609" s="76">
        <v>26.47</v>
      </c>
      <c r="K609" s="76">
        <v>26.04</v>
      </c>
      <c r="L609" s="76">
        <v>-0.43</v>
      </c>
      <c r="M609" s="76">
        <v>-0.16</v>
      </c>
      <c r="N609" s="76">
        <v>5.21</v>
      </c>
      <c r="O609" s="76">
        <v>18.4</v>
      </c>
      <c r="P609" s="76">
        <v>-14.65</v>
      </c>
      <c r="Q609" s="76">
        <v>1.78</v>
      </c>
      <c r="R609" s="76">
        <v>28.93</v>
      </c>
      <c r="S609" s="76">
        <v>15.62</v>
      </c>
      <c r="T609" s="76">
        <v>24.58</v>
      </c>
      <c r="U609" s="76">
        <v>0.54</v>
      </c>
      <c r="V609" s="76">
        <v>0.44</v>
      </c>
      <c r="W609" s="76">
        <v>1.0</v>
      </c>
      <c r="X609" s="76">
        <v>23.27</v>
      </c>
      <c r="Y609" s="76">
        <v>32.05</v>
      </c>
      <c r="Z609" s="79">
        <v>4.38E8</v>
      </c>
      <c r="AA609" s="76">
        <v>5.34</v>
      </c>
      <c r="AB609" s="76">
        <v>1.54</v>
      </c>
      <c r="AC609" s="76">
        <v>5.2</v>
      </c>
      <c r="AD609" s="79">
        <v>2.15616E11</v>
      </c>
      <c r="AE609" s="80"/>
    </row>
    <row r="610">
      <c r="A610" s="73" t="s">
        <v>659</v>
      </c>
      <c r="B610" s="76">
        <v>6.02</v>
      </c>
      <c r="C610" s="76">
        <v>0.0</v>
      </c>
      <c r="D610" s="76">
        <v>-5.83</v>
      </c>
      <c r="E610" s="76">
        <v>0.3</v>
      </c>
      <c r="F610" s="76">
        <v>0.22</v>
      </c>
      <c r="G610" s="76">
        <v>39.02</v>
      </c>
      <c r="H610" s="76">
        <v>-19.88</v>
      </c>
      <c r="I610" s="76">
        <v>-7.82</v>
      </c>
      <c r="J610" s="76">
        <v>-2.3</v>
      </c>
      <c r="K610" s="76">
        <v>0.95</v>
      </c>
      <c r="L610" s="76">
        <v>3.25</v>
      </c>
      <c r="M610" s="76">
        <v>-0.43</v>
      </c>
      <c r="N610" s="76">
        <v>0.46</v>
      </c>
      <c r="O610" s="76">
        <v>0.56</v>
      </c>
      <c r="P610" s="76">
        <v>-0.56</v>
      </c>
      <c r="Q610" s="76">
        <v>2.97</v>
      </c>
      <c r="R610" s="76">
        <v>-5.19</v>
      </c>
      <c r="S610" s="76">
        <v>-3.82</v>
      </c>
      <c r="T610" s="76">
        <v>-12.97</v>
      </c>
      <c r="U610" s="76">
        <v>0.74</v>
      </c>
      <c r="V610" s="76">
        <v>0.26</v>
      </c>
      <c r="W610" s="76">
        <v>0.49</v>
      </c>
      <c r="X610" s="76">
        <v>5.08</v>
      </c>
      <c r="Y610" s="76">
        <v>0.0</v>
      </c>
      <c r="Z610" s="76">
        <v>979481.2</v>
      </c>
      <c r="AA610" s="76">
        <v>19.87</v>
      </c>
      <c r="AB610" s="76">
        <v>-1.03</v>
      </c>
      <c r="AC610" s="76">
        <v>0.08</v>
      </c>
      <c r="AD610" s="79">
        <v>6.687827496E7</v>
      </c>
      <c r="AE610" s="80"/>
    </row>
    <row r="611">
      <c r="A611" s="73" t="s">
        <v>660</v>
      </c>
      <c r="B611" s="76">
        <v>4.44</v>
      </c>
      <c r="C611" s="76">
        <v>11.16</v>
      </c>
      <c r="D611" s="76">
        <v>9.51</v>
      </c>
      <c r="E611" s="76">
        <v>3.11</v>
      </c>
      <c r="F611" s="76">
        <v>0.67</v>
      </c>
      <c r="G611" s="76">
        <v>18.11</v>
      </c>
      <c r="H611" s="76">
        <v>9.85</v>
      </c>
      <c r="I611" s="76">
        <v>5.45</v>
      </c>
      <c r="J611" s="76">
        <v>5.26</v>
      </c>
      <c r="K611" s="76">
        <v>5.26</v>
      </c>
      <c r="L611" s="76">
        <v>-0.11</v>
      </c>
      <c r="M611" s="76">
        <v>-0.07</v>
      </c>
      <c r="N611" s="76">
        <v>0.52</v>
      </c>
      <c r="O611" s="76">
        <v>-23.28</v>
      </c>
      <c r="P611" s="76">
        <v>-2.05</v>
      </c>
      <c r="Q611" s="76">
        <v>0.96</v>
      </c>
      <c r="R611" s="76">
        <v>32.74</v>
      </c>
      <c r="S611" s="76">
        <v>7.0</v>
      </c>
      <c r="T611" s="76">
        <v>25.21</v>
      </c>
      <c r="U611" s="76">
        <v>0.21</v>
      </c>
      <c r="V611" s="76">
        <v>0.79</v>
      </c>
      <c r="W611" s="76">
        <v>1.29</v>
      </c>
      <c r="X611" s="76">
        <v>10.8</v>
      </c>
      <c r="Y611" s="76">
        <v>-16.94</v>
      </c>
      <c r="Z611" s="76">
        <v>14478.62</v>
      </c>
      <c r="AA611" s="76">
        <v>1.43</v>
      </c>
      <c r="AB611" s="76">
        <v>0.47</v>
      </c>
      <c r="AC611" s="76">
        <v>0.39</v>
      </c>
      <c r="AD611" s="79">
        <v>6.814595401E9</v>
      </c>
      <c r="AE611" s="80"/>
    </row>
    <row r="612">
      <c r="A612" s="73" t="s">
        <v>661</v>
      </c>
      <c r="B612" s="76">
        <v>4.74</v>
      </c>
      <c r="C612" s="76">
        <v>11.48</v>
      </c>
      <c r="D612" s="76">
        <v>10.15</v>
      </c>
      <c r="E612" s="76">
        <v>3.32</v>
      </c>
      <c r="F612" s="76">
        <v>0.71</v>
      </c>
      <c r="G612" s="76">
        <v>18.11</v>
      </c>
      <c r="H612" s="76">
        <v>9.85</v>
      </c>
      <c r="I612" s="76">
        <v>5.45</v>
      </c>
      <c r="J612" s="76">
        <v>5.61</v>
      </c>
      <c r="K612" s="76">
        <v>5.26</v>
      </c>
      <c r="L612" s="76">
        <v>-0.11</v>
      </c>
      <c r="M612" s="76">
        <v>-0.07</v>
      </c>
      <c r="N612" s="76">
        <v>0.55</v>
      </c>
      <c r="O612" s="76">
        <v>-24.86</v>
      </c>
      <c r="P612" s="76">
        <v>-2.19</v>
      </c>
      <c r="Q612" s="76">
        <v>0.96</v>
      </c>
      <c r="R612" s="76">
        <v>32.74</v>
      </c>
      <c r="S612" s="76">
        <v>7.0</v>
      </c>
      <c r="T612" s="76">
        <v>25.21</v>
      </c>
      <c r="U612" s="76">
        <v>0.21</v>
      </c>
      <c r="V612" s="76">
        <v>0.79</v>
      </c>
      <c r="W612" s="76">
        <v>1.29</v>
      </c>
      <c r="X612" s="76">
        <v>10.8</v>
      </c>
      <c r="Y612" s="76">
        <v>-16.94</v>
      </c>
      <c r="Z612" s="76">
        <v>26775.05</v>
      </c>
      <c r="AA612" s="76">
        <v>1.43</v>
      </c>
      <c r="AB612" s="76">
        <v>0.47</v>
      </c>
      <c r="AC612" s="76">
        <v>0.41</v>
      </c>
      <c r="AD612" s="79">
        <v>6.814595401E9</v>
      </c>
      <c r="AE612" s="80"/>
    </row>
    <row r="613">
      <c r="A613" s="73" t="s">
        <v>662</v>
      </c>
      <c r="B613" s="76">
        <v>9.1</v>
      </c>
      <c r="C613" s="76">
        <v>6.22</v>
      </c>
      <c r="D613" s="76">
        <v>7.66</v>
      </c>
      <c r="E613" s="76">
        <v>2.09</v>
      </c>
      <c r="F613" s="76">
        <v>0.6</v>
      </c>
      <c r="G613" s="76">
        <v>61.91</v>
      </c>
      <c r="H613" s="76">
        <v>45.18</v>
      </c>
      <c r="I613" s="76">
        <v>13.92</v>
      </c>
      <c r="J613" s="76">
        <v>2.36</v>
      </c>
      <c r="K613" s="76">
        <v>2.5</v>
      </c>
      <c r="L613" s="76">
        <v>0.14</v>
      </c>
      <c r="M613" s="76">
        <v>0.13</v>
      </c>
      <c r="N613" s="76">
        <v>1.07</v>
      </c>
      <c r="O613" s="76">
        <v>38.39</v>
      </c>
      <c r="P613" s="76">
        <v>-0.79</v>
      </c>
      <c r="Q613" s="76">
        <v>1.07</v>
      </c>
      <c r="R613" s="76">
        <v>27.23</v>
      </c>
      <c r="S613" s="76">
        <v>7.87</v>
      </c>
      <c r="T613" s="76">
        <v>24.72</v>
      </c>
      <c r="U613" s="76">
        <v>0.29</v>
      </c>
      <c r="V613" s="76">
        <v>0.46</v>
      </c>
      <c r="W613" s="76">
        <v>0.57</v>
      </c>
      <c r="X613" s="76">
        <v>13.02</v>
      </c>
      <c r="Y613" s="76">
        <v>-2.34</v>
      </c>
      <c r="Z613" s="79">
        <v>5751102.0</v>
      </c>
      <c r="AA613" s="76">
        <v>4.36</v>
      </c>
      <c r="AB613" s="76">
        <v>1.19</v>
      </c>
      <c r="AC613" s="76">
        <v>1.33</v>
      </c>
      <c r="AD613" s="79">
        <v>1.455156266E9</v>
      </c>
      <c r="AE613" s="79"/>
    </row>
    <row r="614">
      <c r="A614" s="73" t="s">
        <v>663</v>
      </c>
      <c r="B614" s="76">
        <v>22.43</v>
      </c>
      <c r="C614" s="76">
        <v>7.08</v>
      </c>
      <c r="D614" s="76">
        <v>6.94</v>
      </c>
      <c r="E614" s="76">
        <v>0.99</v>
      </c>
      <c r="F614" s="76">
        <v>0.53</v>
      </c>
      <c r="G614" s="76">
        <v>13.09</v>
      </c>
      <c r="H614" s="76">
        <v>6.58</v>
      </c>
      <c r="I614" s="76">
        <v>3.85</v>
      </c>
      <c r="J614" s="76">
        <v>4.05</v>
      </c>
      <c r="K614" s="76">
        <v>5.94</v>
      </c>
      <c r="L614" s="76">
        <v>1.6</v>
      </c>
      <c r="M614" s="76">
        <v>0.39</v>
      </c>
      <c r="N614" s="76">
        <v>0.27</v>
      </c>
      <c r="O614" s="76">
        <v>1.85</v>
      </c>
      <c r="P614" s="76">
        <v>-1.29</v>
      </c>
      <c r="Q614" s="76">
        <v>1.96</v>
      </c>
      <c r="R614" s="76">
        <v>14.25</v>
      </c>
      <c r="S614" s="76">
        <v>7.68</v>
      </c>
      <c r="T614" s="76">
        <v>9.83</v>
      </c>
      <c r="U614" s="76">
        <v>0.54</v>
      </c>
      <c r="V614" s="76">
        <v>0.46</v>
      </c>
      <c r="W614" s="76">
        <v>2.0</v>
      </c>
      <c r="X614" s="76">
        <v>23.58</v>
      </c>
      <c r="Y614" s="76">
        <v>18.79</v>
      </c>
      <c r="Z614" s="76">
        <v>1654.44</v>
      </c>
      <c r="AA614" s="76">
        <v>22.69</v>
      </c>
      <c r="AB614" s="76">
        <v>3.23</v>
      </c>
      <c r="AC614" s="76">
        <v>-0.45</v>
      </c>
      <c r="AD614" s="79">
        <v>8.735333151E8</v>
      </c>
      <c r="AE614" s="79"/>
    </row>
    <row r="615">
      <c r="A615" s="73" t="s">
        <v>664</v>
      </c>
      <c r="B615" s="76">
        <v>25.29</v>
      </c>
      <c r="C615" s="76">
        <v>6.91</v>
      </c>
      <c r="D615" s="76">
        <v>7.82</v>
      </c>
      <c r="E615" s="76">
        <v>1.11</v>
      </c>
      <c r="F615" s="76">
        <v>0.6</v>
      </c>
      <c r="G615" s="76">
        <v>13.09</v>
      </c>
      <c r="H615" s="76">
        <v>6.58</v>
      </c>
      <c r="I615" s="76">
        <v>3.85</v>
      </c>
      <c r="J615" s="76">
        <v>4.57</v>
      </c>
      <c r="K615" s="76">
        <v>5.94</v>
      </c>
      <c r="L615" s="76">
        <v>1.6</v>
      </c>
      <c r="M615" s="76">
        <v>0.39</v>
      </c>
      <c r="N615" s="76">
        <v>0.3</v>
      </c>
      <c r="O615" s="76">
        <v>2.08</v>
      </c>
      <c r="P615" s="76">
        <v>-1.46</v>
      </c>
      <c r="Q615" s="76">
        <v>1.96</v>
      </c>
      <c r="R615" s="76">
        <v>14.25</v>
      </c>
      <c r="S615" s="76">
        <v>7.68</v>
      </c>
      <c r="T615" s="76">
        <v>9.83</v>
      </c>
      <c r="U615" s="76">
        <v>0.54</v>
      </c>
      <c r="V615" s="76">
        <v>0.46</v>
      </c>
      <c r="W615" s="76">
        <v>2.0</v>
      </c>
      <c r="X615" s="76">
        <v>23.58</v>
      </c>
      <c r="Y615" s="76">
        <v>18.79</v>
      </c>
      <c r="Z615" s="76">
        <v>46932.81</v>
      </c>
      <c r="AA615" s="76">
        <v>22.69</v>
      </c>
      <c r="AB615" s="76">
        <v>3.23</v>
      </c>
      <c r="AC615" s="76">
        <v>-0.5</v>
      </c>
      <c r="AD615" s="79">
        <v>8.735333151E8</v>
      </c>
      <c r="AE615" s="79"/>
    </row>
    <row r="616">
      <c r="A616" s="73" t="s">
        <v>665</v>
      </c>
      <c r="B616" s="76">
        <v>13.32</v>
      </c>
      <c r="C616" s="76">
        <v>8.55</v>
      </c>
      <c r="D616" s="76">
        <v>14.93</v>
      </c>
      <c r="E616" s="76">
        <v>1.16</v>
      </c>
      <c r="F616" s="76">
        <v>0.38</v>
      </c>
      <c r="G616" s="76">
        <v>60.66</v>
      </c>
      <c r="H616" s="76">
        <v>16.25</v>
      </c>
      <c r="I616" s="76">
        <v>4.46</v>
      </c>
      <c r="J616" s="76">
        <v>4.1</v>
      </c>
      <c r="K616" s="76">
        <v>8.88</v>
      </c>
      <c r="L616" s="76">
        <v>4.78</v>
      </c>
      <c r="M616" s="76">
        <v>1.36</v>
      </c>
      <c r="N616" s="76">
        <v>0.67</v>
      </c>
      <c r="O616" s="76">
        <v>9.95</v>
      </c>
      <c r="P616" s="76">
        <v>-0.5</v>
      </c>
      <c r="Q616" s="76">
        <v>1.18</v>
      </c>
      <c r="R616" s="76">
        <v>7.8</v>
      </c>
      <c r="S616" s="76">
        <v>2.52</v>
      </c>
      <c r="T616" s="76">
        <v>9.77</v>
      </c>
      <c r="U616" s="76">
        <v>0.32</v>
      </c>
      <c r="V616" s="76">
        <v>0.67</v>
      </c>
      <c r="W616" s="76">
        <v>0.56</v>
      </c>
      <c r="X616" s="76">
        <v>8.46</v>
      </c>
      <c r="Y616" s="76">
        <v>-17.66</v>
      </c>
      <c r="Z616" s="76">
        <v>5.8230737E7</v>
      </c>
      <c r="AA616" s="76">
        <v>11.44</v>
      </c>
      <c r="AB616" s="76">
        <v>0.89</v>
      </c>
      <c r="AC616" s="76">
        <v>0.79</v>
      </c>
      <c r="AD616" s="79">
        <v>3.650863495E9</v>
      </c>
      <c r="AE616" s="79"/>
    </row>
    <row r="617">
      <c r="A617" s="73" t="s">
        <v>666</v>
      </c>
      <c r="B617" s="76">
        <v>3.5</v>
      </c>
      <c r="C617" s="76">
        <v>0.0</v>
      </c>
      <c r="D617" s="76">
        <v>-7.95</v>
      </c>
      <c r="E617" s="76">
        <v>0.98</v>
      </c>
      <c r="F617" s="76">
        <v>0.33</v>
      </c>
      <c r="G617" s="76">
        <v>64.92</v>
      </c>
      <c r="H617" s="76">
        <v>0.76</v>
      </c>
      <c r="I617" s="76">
        <v>-3.55</v>
      </c>
      <c r="J617" s="76">
        <v>37.22</v>
      </c>
      <c r="K617" s="76">
        <v>57.06</v>
      </c>
      <c r="L617" s="76">
        <v>19.84</v>
      </c>
      <c r="M617" s="76">
        <v>0.52</v>
      </c>
      <c r="N617" s="76">
        <v>0.28</v>
      </c>
      <c r="O617" s="76">
        <v>-9.5</v>
      </c>
      <c r="P617" s="76">
        <v>-0.43</v>
      </c>
      <c r="Q617" s="76">
        <v>0.87</v>
      </c>
      <c r="R617" s="76">
        <v>-12.35</v>
      </c>
      <c r="S617" s="76">
        <v>-4.14</v>
      </c>
      <c r="T617" s="76">
        <v>-0.79</v>
      </c>
      <c r="U617" s="76">
        <v>0.33</v>
      </c>
      <c r="V617" s="76">
        <v>0.67</v>
      </c>
      <c r="W617" s="76">
        <v>1.17</v>
      </c>
      <c r="X617" s="76">
        <v>9.7</v>
      </c>
      <c r="Y617" s="76">
        <v>0.0</v>
      </c>
      <c r="Z617" s="76">
        <v>247849.0</v>
      </c>
      <c r="AA617" s="76">
        <v>3.56</v>
      </c>
      <c r="AB617" s="76">
        <v>-0.44</v>
      </c>
      <c r="AC617" s="76">
        <v>-0.08</v>
      </c>
      <c r="AD617" s="79">
        <v>1.424270383E9</v>
      </c>
      <c r="AE617" s="79"/>
    </row>
    <row r="618">
      <c r="A618" s="73" t="s">
        <v>663</v>
      </c>
      <c r="B618" s="76">
        <v>22.53</v>
      </c>
      <c r="C618" s="76">
        <v>1.77</v>
      </c>
      <c r="D618" s="76">
        <v>7.76</v>
      </c>
      <c r="E618" s="76">
        <v>1.22</v>
      </c>
      <c r="F618" s="76">
        <v>0.99</v>
      </c>
      <c r="G618" s="76">
        <v>12.97</v>
      </c>
      <c r="H618" s="76">
        <v>7.04</v>
      </c>
      <c r="I618" s="76">
        <v>4.99</v>
      </c>
      <c r="J618" s="76">
        <v>5.51</v>
      </c>
      <c r="K618" s="76">
        <v>5.41</v>
      </c>
      <c r="L618" s="76">
        <v>-0.61</v>
      </c>
      <c r="M618" s="76">
        <v>-0.14</v>
      </c>
      <c r="N618" s="76">
        <v>0.39</v>
      </c>
      <c r="O618" s="76">
        <v>2.27</v>
      </c>
      <c r="P618" s="76">
        <v>-2.26</v>
      </c>
      <c r="Q618" s="76">
        <v>4.54</v>
      </c>
      <c r="R618" s="76">
        <v>15.77</v>
      </c>
      <c r="S618" s="76">
        <v>12.8</v>
      </c>
      <c r="T618" s="76">
        <v>15.79</v>
      </c>
      <c r="U618" s="76">
        <v>0.81</v>
      </c>
      <c r="V618" s="76">
        <v>0.19</v>
      </c>
      <c r="W618" s="76">
        <v>2.56</v>
      </c>
      <c r="X618" s="76">
        <v>32.16</v>
      </c>
      <c r="Y618" s="76">
        <v>0.0</v>
      </c>
      <c r="Z618" s="76">
        <v>6881.83</v>
      </c>
      <c r="AA618" s="76">
        <v>18.4</v>
      </c>
      <c r="AB618" s="76">
        <v>2.9</v>
      </c>
      <c r="AC618" s="76">
        <v>-1.13</v>
      </c>
      <c r="AD618" s="79">
        <v>8.972166666E8</v>
      </c>
      <c r="AE618" s="79"/>
    </row>
    <row r="619">
      <c r="A619" s="73" t="s">
        <v>664</v>
      </c>
      <c r="B619" s="76">
        <v>25.26</v>
      </c>
      <c r="C619" s="76">
        <v>1.74</v>
      </c>
      <c r="D619" s="76">
        <v>8.71</v>
      </c>
      <c r="E619" s="76">
        <v>1.37</v>
      </c>
      <c r="F619" s="76">
        <v>1.11</v>
      </c>
      <c r="G619" s="76">
        <v>12.97</v>
      </c>
      <c r="H619" s="76">
        <v>7.04</v>
      </c>
      <c r="I619" s="76">
        <v>4.99</v>
      </c>
      <c r="J619" s="76">
        <v>6.18</v>
      </c>
      <c r="K619" s="76">
        <v>5.41</v>
      </c>
      <c r="L619" s="76">
        <v>-0.61</v>
      </c>
      <c r="M619" s="76">
        <v>-0.14</v>
      </c>
      <c r="N619" s="76">
        <v>0.43</v>
      </c>
      <c r="O619" s="76">
        <v>2.55</v>
      </c>
      <c r="P619" s="76">
        <v>-2.54</v>
      </c>
      <c r="Q619" s="76">
        <v>4.54</v>
      </c>
      <c r="R619" s="76">
        <v>15.77</v>
      </c>
      <c r="S619" s="76">
        <v>12.8</v>
      </c>
      <c r="T619" s="76">
        <v>15.79</v>
      </c>
      <c r="U619" s="76">
        <v>0.81</v>
      </c>
      <c r="V619" s="76">
        <v>0.19</v>
      </c>
      <c r="W619" s="76">
        <v>2.56</v>
      </c>
      <c r="X619" s="76">
        <v>32.16</v>
      </c>
      <c r="Y619" s="76">
        <v>0.0</v>
      </c>
      <c r="Z619" s="76">
        <v>21346.61</v>
      </c>
      <c r="AA619" s="76">
        <v>18.4</v>
      </c>
      <c r="AB619" s="76">
        <v>2.9</v>
      </c>
      <c r="AC619" s="76">
        <v>-1.27</v>
      </c>
      <c r="AD619" s="79">
        <v>8.972166666E8</v>
      </c>
      <c r="AE619" s="79"/>
    </row>
    <row r="620">
      <c r="A620" s="73" t="s">
        <v>665</v>
      </c>
      <c r="B620" s="76">
        <v>20.2</v>
      </c>
      <c r="C620" s="76">
        <v>1.36</v>
      </c>
      <c r="D620" s="76">
        <v>33.2</v>
      </c>
      <c r="E620" s="76">
        <v>1.93</v>
      </c>
      <c r="F620" s="76">
        <v>0.64</v>
      </c>
      <c r="G620" s="76">
        <v>59.29</v>
      </c>
      <c r="H620" s="76">
        <v>17.03</v>
      </c>
      <c r="I620" s="76">
        <v>3.75</v>
      </c>
      <c r="J620" s="76">
        <v>7.3</v>
      </c>
      <c r="K620" s="76">
        <v>12.17</v>
      </c>
      <c r="L620" s="76">
        <v>4.87</v>
      </c>
      <c r="M620" s="76">
        <v>1.29</v>
      </c>
      <c r="N620" s="76">
        <v>1.24</v>
      </c>
      <c r="O620" s="76">
        <v>7.17</v>
      </c>
      <c r="P620" s="76">
        <v>-0.86</v>
      </c>
      <c r="Q620" s="76">
        <v>1.52</v>
      </c>
      <c r="R620" s="76">
        <v>5.81</v>
      </c>
      <c r="S620" s="76">
        <v>1.92</v>
      </c>
      <c r="T620" s="76">
        <v>9.55</v>
      </c>
      <c r="U620" s="76">
        <v>0.33</v>
      </c>
      <c r="V620" s="76">
        <v>0.67</v>
      </c>
      <c r="W620" s="76">
        <v>0.51</v>
      </c>
      <c r="X620" s="76">
        <v>6.2</v>
      </c>
      <c r="Y620" s="76">
        <v>-15.03</v>
      </c>
      <c r="Z620" s="76">
        <v>6.2411672E7</v>
      </c>
      <c r="AA620" s="76">
        <v>10.48</v>
      </c>
      <c r="AB620" s="76">
        <v>0.61</v>
      </c>
      <c r="AC620" s="76">
        <v>-0.07</v>
      </c>
      <c r="AD620" s="79">
        <v>6.246685679E9</v>
      </c>
      <c r="AE620" s="79"/>
    </row>
    <row r="621">
      <c r="A621" s="73" t="s">
        <v>666</v>
      </c>
      <c r="B621" s="76">
        <v>5.18</v>
      </c>
      <c r="C621" s="76">
        <v>0.0</v>
      </c>
      <c r="D621" s="76">
        <v>-12.39</v>
      </c>
      <c r="E621" s="76">
        <v>1.07</v>
      </c>
      <c r="F621" s="76">
        <v>0.36</v>
      </c>
      <c r="G621" s="76">
        <v>65.31</v>
      </c>
      <c r="H621" s="76">
        <v>2.49</v>
      </c>
      <c r="I621" s="76">
        <v>-3.02</v>
      </c>
      <c r="J621" s="76">
        <v>15.0</v>
      </c>
      <c r="K621" s="76">
        <v>22.95</v>
      </c>
      <c r="L621" s="76">
        <v>7.98</v>
      </c>
      <c r="M621" s="76">
        <v>0.57</v>
      </c>
      <c r="N621" s="76">
        <v>0.37</v>
      </c>
      <c r="O621" s="76">
        <v>53.62</v>
      </c>
      <c r="P621" s="76">
        <v>-0.45</v>
      </c>
      <c r="Q621" s="76">
        <v>1.03</v>
      </c>
      <c r="R621" s="76">
        <v>-8.65</v>
      </c>
      <c r="S621" s="76">
        <v>-2.89</v>
      </c>
      <c r="T621" s="76">
        <v>2.75</v>
      </c>
      <c r="U621" s="76">
        <v>0.33</v>
      </c>
      <c r="V621" s="76">
        <v>0.67</v>
      </c>
      <c r="W621" s="76">
        <v>0.96</v>
      </c>
      <c r="X621" s="76">
        <v>15.36</v>
      </c>
      <c r="Y621" s="76">
        <v>0.0</v>
      </c>
      <c r="Z621" s="76">
        <v>1.1489653E7</v>
      </c>
      <c r="AA621" s="76">
        <v>4.84</v>
      </c>
      <c r="AB621" s="76">
        <v>-0.42</v>
      </c>
      <c r="AC621" s="76">
        <v>-0.22</v>
      </c>
      <c r="AD621" s="79">
        <v>1.423587661E9</v>
      </c>
      <c r="AE621" s="79"/>
    </row>
  </sheetData>
  <autoFilter ref="$A$1:$AD$621">
    <sortState ref="A1:AD621">
      <sortCondition ref="A1:A621"/>
      <sortCondition ref="Z1:Z621"/>
    </sortState>
  </autoFilter>
  <customSheetViews>
    <customSheetView guid="{830104B7-79F9-479A-8B26-D5BD890D5455}" filter="1" showAutoFilter="1">
      <autoFilter ref="$A$1:$AD$322">
        <sortState ref="A1:AD322">
          <sortCondition ref="A1:A322"/>
          <sortCondition ref="Z1:Z322"/>
        </sortState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5"/>
    <col customWidth="1" min="3" max="3" width="26.88"/>
    <col customWidth="1" min="4" max="4" width="32.38"/>
    <col customWidth="1" min="5" max="5" width="35.63"/>
  </cols>
  <sheetData>
    <row r="1">
      <c r="A1" s="81" t="s">
        <v>667</v>
      </c>
      <c r="B1" s="81" t="s">
        <v>668</v>
      </c>
      <c r="C1" s="81" t="s">
        <v>669</v>
      </c>
      <c r="D1" s="81" t="s">
        <v>670</v>
      </c>
      <c r="E1" s="81" t="s">
        <v>668</v>
      </c>
    </row>
    <row r="2">
      <c r="A2" s="45" t="s">
        <v>671</v>
      </c>
      <c r="B2" s="45" t="s">
        <v>672</v>
      </c>
      <c r="C2" s="45" t="s">
        <v>673</v>
      </c>
      <c r="D2" s="45" t="s">
        <v>674</v>
      </c>
      <c r="E2" s="45" t="s">
        <v>674</v>
      </c>
    </row>
    <row r="3">
      <c r="A3" s="45" t="s">
        <v>675</v>
      </c>
      <c r="B3" s="45" t="s">
        <v>676</v>
      </c>
      <c r="C3" s="45" t="s">
        <v>677</v>
      </c>
      <c r="D3" s="45" t="s">
        <v>678</v>
      </c>
      <c r="E3" s="45" t="s">
        <v>679</v>
      </c>
    </row>
    <row r="4">
      <c r="A4" s="45" t="s">
        <v>680</v>
      </c>
      <c r="B4" s="45"/>
      <c r="C4" s="45" t="s">
        <v>681</v>
      </c>
      <c r="D4" s="45" t="s">
        <v>682</v>
      </c>
      <c r="E4" s="45" t="s">
        <v>683</v>
      </c>
    </row>
    <row r="5">
      <c r="A5" s="45" t="s">
        <v>684</v>
      </c>
      <c r="B5" s="45"/>
      <c r="C5" s="45" t="s">
        <v>673</v>
      </c>
      <c r="D5" s="45" t="s">
        <v>674</v>
      </c>
      <c r="E5" s="45" t="s">
        <v>674</v>
      </c>
    </row>
    <row r="6">
      <c r="A6" s="45" t="s">
        <v>685</v>
      </c>
      <c r="B6" s="45"/>
      <c r="C6" s="45" t="s">
        <v>686</v>
      </c>
      <c r="D6" s="45" t="s">
        <v>687</v>
      </c>
      <c r="E6" s="45" t="s">
        <v>687</v>
      </c>
    </row>
    <row r="7">
      <c r="A7" s="45" t="s">
        <v>688</v>
      </c>
      <c r="B7" s="45"/>
      <c r="C7" s="45" t="s">
        <v>686</v>
      </c>
      <c r="D7" s="45" t="s">
        <v>687</v>
      </c>
      <c r="E7" s="45" t="s">
        <v>687</v>
      </c>
    </row>
    <row r="8">
      <c r="A8" s="45" t="s">
        <v>689</v>
      </c>
      <c r="B8" s="45" t="s">
        <v>672</v>
      </c>
      <c r="C8" s="45" t="s">
        <v>681</v>
      </c>
      <c r="D8" s="45" t="s">
        <v>690</v>
      </c>
      <c r="E8" s="45" t="s">
        <v>691</v>
      </c>
    </row>
    <row r="9">
      <c r="A9" s="45" t="s">
        <v>692</v>
      </c>
      <c r="B9" s="45" t="s">
        <v>693</v>
      </c>
      <c r="C9" s="45" t="s">
        <v>694</v>
      </c>
      <c r="D9" s="45" t="s">
        <v>695</v>
      </c>
      <c r="E9" s="45" t="s">
        <v>696</v>
      </c>
    </row>
    <row r="10">
      <c r="A10" s="45" t="s">
        <v>697</v>
      </c>
      <c r="B10" s="45"/>
      <c r="C10" s="45" t="s">
        <v>698</v>
      </c>
      <c r="D10" s="45" t="s">
        <v>699</v>
      </c>
      <c r="E10" s="45" t="s">
        <v>700</v>
      </c>
    </row>
    <row r="11">
      <c r="A11" s="45" t="s">
        <v>701</v>
      </c>
      <c r="B11" s="45" t="s">
        <v>693</v>
      </c>
      <c r="C11" s="45" t="s">
        <v>702</v>
      </c>
      <c r="D11" s="45" t="s">
        <v>702</v>
      </c>
      <c r="E11" s="45" t="s">
        <v>702</v>
      </c>
    </row>
    <row r="12">
      <c r="A12" s="45" t="s">
        <v>703</v>
      </c>
      <c r="B12" s="45"/>
      <c r="C12" s="45" t="s">
        <v>704</v>
      </c>
      <c r="D12" s="45" t="s">
        <v>705</v>
      </c>
      <c r="E12" s="45" t="s">
        <v>705</v>
      </c>
    </row>
    <row r="13">
      <c r="A13" s="45" t="s">
        <v>706</v>
      </c>
      <c r="B13" s="45"/>
      <c r="C13" s="45" t="s">
        <v>702</v>
      </c>
      <c r="D13" s="45" t="s">
        <v>707</v>
      </c>
      <c r="E13" s="45" t="s">
        <v>707</v>
      </c>
    </row>
    <row r="14">
      <c r="A14" s="45" t="s">
        <v>708</v>
      </c>
      <c r="B14" s="45" t="s">
        <v>709</v>
      </c>
      <c r="C14" s="45" t="s">
        <v>698</v>
      </c>
      <c r="D14" s="45" t="s">
        <v>710</v>
      </c>
      <c r="E14" s="45" t="s">
        <v>711</v>
      </c>
    </row>
    <row r="15">
      <c r="A15" s="82" t="s">
        <v>712</v>
      </c>
      <c r="B15" s="82" t="s">
        <v>672</v>
      </c>
      <c r="C15" s="82" t="s">
        <v>694</v>
      </c>
      <c r="D15" s="82" t="s">
        <v>713</v>
      </c>
      <c r="E15" s="82" t="s">
        <v>713</v>
      </c>
    </row>
    <row r="16">
      <c r="A16" s="45" t="s">
        <v>714</v>
      </c>
      <c r="B16" s="45" t="s">
        <v>672</v>
      </c>
      <c r="C16" s="45" t="s">
        <v>677</v>
      </c>
      <c r="D16" s="45" t="s">
        <v>715</v>
      </c>
      <c r="E16" s="45" t="s">
        <v>715</v>
      </c>
    </row>
    <row r="17">
      <c r="A17" s="45" t="s">
        <v>716</v>
      </c>
      <c r="B17" s="45" t="s">
        <v>676</v>
      </c>
      <c r="C17" s="45" t="s">
        <v>686</v>
      </c>
      <c r="D17" s="45" t="s">
        <v>687</v>
      </c>
      <c r="E17" s="45" t="s">
        <v>687</v>
      </c>
    </row>
    <row r="18">
      <c r="A18" s="45" t="s">
        <v>717</v>
      </c>
      <c r="B18" s="45" t="s">
        <v>672</v>
      </c>
      <c r="C18" s="45" t="s">
        <v>698</v>
      </c>
      <c r="D18" s="45" t="s">
        <v>707</v>
      </c>
      <c r="E18" s="45" t="s">
        <v>710</v>
      </c>
    </row>
    <row r="19">
      <c r="A19" s="82" t="s">
        <v>718</v>
      </c>
      <c r="B19" s="82" t="s">
        <v>672</v>
      </c>
      <c r="C19" s="82" t="s">
        <v>694</v>
      </c>
      <c r="D19" s="82" t="s">
        <v>713</v>
      </c>
      <c r="E19" s="82" t="s">
        <v>713</v>
      </c>
    </row>
    <row r="20">
      <c r="A20" s="45" t="s">
        <v>719</v>
      </c>
      <c r="B20" s="45"/>
      <c r="C20" s="45" t="s">
        <v>694</v>
      </c>
      <c r="D20" s="45" t="s">
        <v>695</v>
      </c>
      <c r="E20" s="45" t="s">
        <v>720</v>
      </c>
    </row>
    <row r="21">
      <c r="A21" s="45" t="s">
        <v>721</v>
      </c>
      <c r="B21" s="45" t="s">
        <v>672</v>
      </c>
      <c r="C21" s="45" t="s">
        <v>698</v>
      </c>
      <c r="D21" s="45" t="s">
        <v>722</v>
      </c>
      <c r="E21" s="45" t="s">
        <v>723</v>
      </c>
    </row>
    <row r="22">
      <c r="A22" s="45" t="s">
        <v>724</v>
      </c>
      <c r="B22" s="45"/>
      <c r="C22" s="45" t="s">
        <v>677</v>
      </c>
      <c r="D22" s="45" t="s">
        <v>725</v>
      </c>
      <c r="E22" s="45" t="s">
        <v>725</v>
      </c>
    </row>
    <row r="23">
      <c r="A23" s="45" t="s">
        <v>726</v>
      </c>
      <c r="B23" s="45" t="s">
        <v>672</v>
      </c>
      <c r="C23" s="45" t="s">
        <v>677</v>
      </c>
      <c r="D23" s="45" t="s">
        <v>727</v>
      </c>
      <c r="E23" s="45" t="s">
        <v>728</v>
      </c>
    </row>
    <row r="24">
      <c r="A24" s="45" t="s">
        <v>729</v>
      </c>
      <c r="B24" s="45"/>
      <c r="C24" s="45" t="s">
        <v>681</v>
      </c>
      <c r="D24" s="45" t="s">
        <v>690</v>
      </c>
      <c r="E24" s="45" t="s">
        <v>691</v>
      </c>
    </row>
    <row r="25">
      <c r="A25" s="45" t="s">
        <v>730</v>
      </c>
      <c r="B25" s="45"/>
      <c r="C25" s="45" t="s">
        <v>702</v>
      </c>
      <c r="D25" s="45" t="s">
        <v>695</v>
      </c>
      <c r="E25" s="45" t="s">
        <v>720</v>
      </c>
    </row>
    <row r="26">
      <c r="A26" s="45" t="s">
        <v>731</v>
      </c>
      <c r="B26" s="45" t="s">
        <v>672</v>
      </c>
      <c r="C26" s="45" t="s">
        <v>698</v>
      </c>
      <c r="D26" s="45" t="s">
        <v>707</v>
      </c>
      <c r="E26" s="45" t="s">
        <v>710</v>
      </c>
    </row>
    <row r="27">
      <c r="A27" s="45" t="s">
        <v>732</v>
      </c>
      <c r="B27" s="45"/>
      <c r="C27" s="45" t="s">
        <v>698</v>
      </c>
      <c r="D27" s="45" t="s">
        <v>707</v>
      </c>
      <c r="E27" s="45" t="s">
        <v>733</v>
      </c>
    </row>
    <row r="28">
      <c r="A28" s="45" t="s">
        <v>734</v>
      </c>
      <c r="B28" s="45"/>
      <c r="C28" s="45" t="s">
        <v>694</v>
      </c>
      <c r="D28" s="45" t="s">
        <v>695</v>
      </c>
      <c r="E28" s="45" t="s">
        <v>720</v>
      </c>
    </row>
    <row r="29">
      <c r="A29" s="45" t="s">
        <v>735</v>
      </c>
      <c r="B29" s="45" t="s">
        <v>672</v>
      </c>
      <c r="C29" s="45" t="s">
        <v>694</v>
      </c>
      <c r="D29" s="45" t="s">
        <v>713</v>
      </c>
      <c r="E29" s="45" t="s">
        <v>713</v>
      </c>
    </row>
    <row r="30">
      <c r="A30" s="45" t="s">
        <v>736</v>
      </c>
      <c r="B30" s="45"/>
      <c r="C30" s="45" t="s">
        <v>702</v>
      </c>
      <c r="D30" s="45" t="s">
        <v>702</v>
      </c>
      <c r="E30" s="45" t="s">
        <v>702</v>
      </c>
    </row>
    <row r="31">
      <c r="A31" s="45" t="s">
        <v>737</v>
      </c>
      <c r="B31" s="45"/>
      <c r="C31" s="45" t="s">
        <v>702</v>
      </c>
      <c r="D31" s="45" t="s">
        <v>738</v>
      </c>
      <c r="E31" s="45" t="s">
        <v>739</v>
      </c>
    </row>
    <row r="32">
      <c r="A32" s="45" t="s">
        <v>740</v>
      </c>
      <c r="B32" s="45"/>
      <c r="C32" s="45" t="s">
        <v>694</v>
      </c>
      <c r="D32" s="45" t="s">
        <v>741</v>
      </c>
      <c r="E32" s="45" t="s">
        <v>742</v>
      </c>
    </row>
    <row r="33">
      <c r="A33" s="45" t="s">
        <v>743</v>
      </c>
      <c r="B33" s="45" t="s">
        <v>676</v>
      </c>
      <c r="C33" s="45" t="s">
        <v>694</v>
      </c>
      <c r="D33" s="45" t="s">
        <v>695</v>
      </c>
      <c r="E33" s="45" t="s">
        <v>744</v>
      </c>
    </row>
    <row r="34">
      <c r="A34" s="45" t="s">
        <v>745</v>
      </c>
      <c r="B34" s="45" t="s">
        <v>672</v>
      </c>
      <c r="C34" s="45" t="s">
        <v>677</v>
      </c>
      <c r="D34" s="45" t="s">
        <v>746</v>
      </c>
      <c r="E34" s="45" t="s">
        <v>746</v>
      </c>
    </row>
    <row r="35">
      <c r="A35" s="45" t="s">
        <v>747</v>
      </c>
      <c r="B35" s="45" t="s">
        <v>748</v>
      </c>
      <c r="C35" s="45" t="s">
        <v>698</v>
      </c>
      <c r="D35" s="45" t="s">
        <v>722</v>
      </c>
      <c r="E35" s="45" t="s">
        <v>723</v>
      </c>
    </row>
    <row r="36">
      <c r="A36" s="45" t="s">
        <v>749</v>
      </c>
      <c r="B36" s="45"/>
      <c r="C36" s="45" t="s">
        <v>673</v>
      </c>
      <c r="D36" s="45" t="s">
        <v>750</v>
      </c>
      <c r="E36" s="45" t="s">
        <v>750</v>
      </c>
    </row>
    <row r="37">
      <c r="A37" s="45" t="s">
        <v>751</v>
      </c>
      <c r="B37" s="45"/>
      <c r="C37" s="45" t="s">
        <v>681</v>
      </c>
      <c r="D37" s="45" t="s">
        <v>752</v>
      </c>
      <c r="E37" s="45" t="s">
        <v>753</v>
      </c>
    </row>
    <row r="38">
      <c r="A38" s="45" t="s">
        <v>754</v>
      </c>
      <c r="B38" s="45"/>
      <c r="C38" s="45" t="s">
        <v>677</v>
      </c>
      <c r="D38" s="45" t="s">
        <v>678</v>
      </c>
      <c r="E38" s="45" t="s">
        <v>679</v>
      </c>
    </row>
    <row r="39">
      <c r="A39" s="45" t="s">
        <v>755</v>
      </c>
      <c r="B39" s="45" t="s">
        <v>672</v>
      </c>
      <c r="C39" s="45" t="s">
        <v>677</v>
      </c>
      <c r="D39" s="45" t="s">
        <v>678</v>
      </c>
      <c r="E39" s="45" t="s">
        <v>679</v>
      </c>
    </row>
    <row r="40">
      <c r="A40" s="45" t="s">
        <v>756</v>
      </c>
      <c r="B40" s="45" t="s">
        <v>709</v>
      </c>
      <c r="C40" s="45" t="s">
        <v>677</v>
      </c>
      <c r="D40" s="45" t="s">
        <v>678</v>
      </c>
      <c r="E40" s="45" t="s">
        <v>679</v>
      </c>
    </row>
    <row r="41">
      <c r="A41" s="45" t="s">
        <v>757</v>
      </c>
      <c r="B41" s="45" t="s">
        <v>748</v>
      </c>
      <c r="C41" s="45" t="s">
        <v>694</v>
      </c>
      <c r="D41" s="45" t="s">
        <v>713</v>
      </c>
      <c r="E41" s="45" t="s">
        <v>713</v>
      </c>
    </row>
    <row r="42">
      <c r="A42" s="45" t="s">
        <v>758</v>
      </c>
      <c r="B42" s="45" t="s">
        <v>672</v>
      </c>
      <c r="C42" s="45" t="s">
        <v>677</v>
      </c>
      <c r="D42" s="45" t="s">
        <v>715</v>
      </c>
      <c r="E42" s="45" t="s">
        <v>759</v>
      </c>
    </row>
    <row r="43">
      <c r="A43" s="45" t="s">
        <v>760</v>
      </c>
      <c r="B43" s="45" t="s">
        <v>672</v>
      </c>
      <c r="C43" s="45" t="s">
        <v>677</v>
      </c>
      <c r="D43" s="45" t="s">
        <v>727</v>
      </c>
      <c r="E43" s="45" t="s">
        <v>761</v>
      </c>
    </row>
    <row r="44">
      <c r="A44" s="45" t="s">
        <v>762</v>
      </c>
      <c r="B44" s="45"/>
      <c r="C44" s="45" t="s">
        <v>694</v>
      </c>
      <c r="D44" s="45" t="s">
        <v>763</v>
      </c>
      <c r="E44" s="45" t="s">
        <v>764</v>
      </c>
    </row>
    <row r="45">
      <c r="A45" s="45" t="s">
        <v>765</v>
      </c>
      <c r="B45" s="45"/>
      <c r="C45" s="45" t="s">
        <v>677</v>
      </c>
      <c r="D45" s="45" t="s">
        <v>678</v>
      </c>
      <c r="E45" s="45" t="s">
        <v>766</v>
      </c>
    </row>
    <row r="46">
      <c r="A46" s="45" t="s">
        <v>767</v>
      </c>
      <c r="B46" s="45" t="s">
        <v>672</v>
      </c>
      <c r="C46" s="45" t="s">
        <v>681</v>
      </c>
      <c r="D46" s="45" t="s">
        <v>752</v>
      </c>
      <c r="E46" s="45" t="s">
        <v>753</v>
      </c>
    </row>
    <row r="47">
      <c r="A47" s="45" t="s">
        <v>768</v>
      </c>
      <c r="B47" s="45"/>
      <c r="C47" s="45" t="s">
        <v>677</v>
      </c>
      <c r="D47" s="45" t="s">
        <v>678</v>
      </c>
      <c r="E47" s="45" t="s">
        <v>679</v>
      </c>
    </row>
    <row r="48">
      <c r="A48" s="45" t="s">
        <v>769</v>
      </c>
      <c r="B48" s="45" t="s">
        <v>693</v>
      </c>
      <c r="C48" s="45" t="s">
        <v>702</v>
      </c>
      <c r="D48" s="45" t="s">
        <v>702</v>
      </c>
      <c r="E48" s="45" t="s">
        <v>702</v>
      </c>
    </row>
    <row r="49">
      <c r="A49" s="45" t="s">
        <v>770</v>
      </c>
      <c r="B49" s="45"/>
      <c r="C49" s="45" t="s">
        <v>677</v>
      </c>
      <c r="D49" s="45" t="s">
        <v>746</v>
      </c>
      <c r="E49" s="45" t="s">
        <v>771</v>
      </c>
    </row>
    <row r="50">
      <c r="A50" s="45" t="s">
        <v>772</v>
      </c>
      <c r="B50" s="45"/>
      <c r="C50" s="45" t="s">
        <v>677</v>
      </c>
      <c r="D50" s="45" t="s">
        <v>678</v>
      </c>
      <c r="E50" s="45" t="s">
        <v>679</v>
      </c>
    </row>
    <row r="51">
      <c r="A51" s="45" t="s">
        <v>773</v>
      </c>
      <c r="B51" s="45" t="s">
        <v>676</v>
      </c>
      <c r="C51" s="45" t="s">
        <v>677</v>
      </c>
      <c r="D51" s="45" t="s">
        <v>678</v>
      </c>
      <c r="E51" s="45" t="s">
        <v>679</v>
      </c>
    </row>
    <row r="52">
      <c r="A52" s="45" t="s">
        <v>774</v>
      </c>
      <c r="B52" s="45" t="s">
        <v>748</v>
      </c>
      <c r="C52" s="45" t="s">
        <v>673</v>
      </c>
      <c r="D52" s="45" t="s">
        <v>775</v>
      </c>
      <c r="E52" s="45" t="s">
        <v>775</v>
      </c>
    </row>
    <row r="53">
      <c r="A53" s="45" t="s">
        <v>776</v>
      </c>
      <c r="B53" s="45" t="s">
        <v>672</v>
      </c>
      <c r="C53" s="45" t="s">
        <v>698</v>
      </c>
      <c r="D53" s="45" t="s">
        <v>777</v>
      </c>
      <c r="E53" s="45" t="s">
        <v>778</v>
      </c>
    </row>
    <row r="54">
      <c r="A54" s="45" t="s">
        <v>779</v>
      </c>
      <c r="B54" s="45"/>
      <c r="C54" s="45" t="s">
        <v>698</v>
      </c>
      <c r="D54" s="45" t="s">
        <v>775</v>
      </c>
      <c r="E54" s="45" t="s">
        <v>775</v>
      </c>
    </row>
    <row r="55">
      <c r="A55" s="45" t="s">
        <v>780</v>
      </c>
      <c r="B55" s="45"/>
      <c r="C55" s="45" t="s">
        <v>677</v>
      </c>
      <c r="D55" s="45" t="s">
        <v>678</v>
      </c>
      <c r="E55" s="45" t="s">
        <v>679</v>
      </c>
    </row>
    <row r="56">
      <c r="A56" s="45" t="s">
        <v>781</v>
      </c>
      <c r="B56" s="45" t="s">
        <v>709</v>
      </c>
      <c r="C56" s="45" t="s">
        <v>677</v>
      </c>
      <c r="D56" s="45" t="s">
        <v>678</v>
      </c>
      <c r="E56" s="45" t="s">
        <v>679</v>
      </c>
    </row>
    <row r="57">
      <c r="A57" s="45" t="s">
        <v>782</v>
      </c>
      <c r="B57" s="45"/>
      <c r="C57" s="45" t="s">
        <v>677</v>
      </c>
      <c r="D57" s="45" t="s">
        <v>678</v>
      </c>
      <c r="E57" s="45" t="s">
        <v>679</v>
      </c>
    </row>
    <row r="58">
      <c r="A58" s="45" t="s">
        <v>783</v>
      </c>
      <c r="B58" s="45"/>
      <c r="C58" s="45" t="s">
        <v>698</v>
      </c>
      <c r="D58" s="45" t="s">
        <v>699</v>
      </c>
      <c r="E58" s="45" t="s">
        <v>784</v>
      </c>
    </row>
    <row r="59">
      <c r="A59" s="45" t="s">
        <v>785</v>
      </c>
      <c r="B59" s="45"/>
      <c r="C59" s="45" t="s">
        <v>677</v>
      </c>
      <c r="D59" s="45" t="s">
        <v>678</v>
      </c>
      <c r="E59" s="45" t="s">
        <v>679</v>
      </c>
    </row>
    <row r="60">
      <c r="A60" s="45" t="s">
        <v>786</v>
      </c>
      <c r="B60" s="45" t="s">
        <v>693</v>
      </c>
      <c r="C60" s="45" t="s">
        <v>677</v>
      </c>
      <c r="D60" s="45" t="s">
        <v>746</v>
      </c>
      <c r="E60" s="45" t="s">
        <v>771</v>
      </c>
    </row>
    <row r="61">
      <c r="A61" s="82" t="s">
        <v>787</v>
      </c>
      <c r="B61" s="82" t="s">
        <v>672</v>
      </c>
      <c r="C61" s="82" t="s">
        <v>677</v>
      </c>
      <c r="D61" s="82" t="s">
        <v>746</v>
      </c>
      <c r="E61" s="82" t="s">
        <v>746</v>
      </c>
    </row>
    <row r="62">
      <c r="A62" s="45" t="s">
        <v>788</v>
      </c>
      <c r="B62" s="45"/>
      <c r="C62" s="45" t="s">
        <v>681</v>
      </c>
      <c r="D62" s="45" t="s">
        <v>789</v>
      </c>
      <c r="E62" s="45" t="s">
        <v>790</v>
      </c>
    </row>
    <row r="63">
      <c r="A63" s="45" t="s">
        <v>791</v>
      </c>
      <c r="B63" s="45"/>
      <c r="C63" s="45" t="s">
        <v>677</v>
      </c>
      <c r="D63" s="45" t="s">
        <v>678</v>
      </c>
      <c r="E63" s="45" t="s">
        <v>679</v>
      </c>
    </row>
    <row r="64">
      <c r="A64" s="45" t="s">
        <v>792</v>
      </c>
      <c r="B64" s="45" t="s">
        <v>709</v>
      </c>
      <c r="C64" s="45" t="s">
        <v>677</v>
      </c>
      <c r="D64" s="45" t="s">
        <v>678</v>
      </c>
      <c r="E64" s="45" t="s">
        <v>679</v>
      </c>
    </row>
    <row r="65">
      <c r="A65" s="45" t="s">
        <v>793</v>
      </c>
      <c r="B65" s="45"/>
      <c r="C65" s="45" t="s">
        <v>677</v>
      </c>
      <c r="D65" s="45" t="s">
        <v>678</v>
      </c>
      <c r="E65" s="45" t="s">
        <v>679</v>
      </c>
    </row>
    <row r="66">
      <c r="A66" s="45" t="s">
        <v>794</v>
      </c>
      <c r="B66" s="45" t="s">
        <v>709</v>
      </c>
      <c r="C66" s="45" t="s">
        <v>795</v>
      </c>
      <c r="D66" s="45" t="s">
        <v>738</v>
      </c>
      <c r="E66" s="45" t="s">
        <v>739</v>
      </c>
    </row>
    <row r="67">
      <c r="A67" s="45" t="s">
        <v>796</v>
      </c>
      <c r="B67" s="45"/>
      <c r="C67" s="45" t="s">
        <v>677</v>
      </c>
      <c r="D67" s="45" t="s">
        <v>725</v>
      </c>
      <c r="E67" s="45" t="s">
        <v>725</v>
      </c>
    </row>
    <row r="68">
      <c r="A68" s="45" t="s">
        <v>797</v>
      </c>
      <c r="B68" s="45" t="s">
        <v>672</v>
      </c>
      <c r="C68" s="45" t="s">
        <v>798</v>
      </c>
      <c r="D68" s="45" t="s">
        <v>798</v>
      </c>
      <c r="E68" s="45" t="s">
        <v>799</v>
      </c>
    </row>
    <row r="69">
      <c r="A69" s="45" t="s">
        <v>800</v>
      </c>
      <c r="B69" s="45" t="s">
        <v>672</v>
      </c>
      <c r="C69" s="45" t="s">
        <v>681</v>
      </c>
      <c r="D69" s="45" t="s">
        <v>752</v>
      </c>
      <c r="E69" s="45" t="s">
        <v>753</v>
      </c>
    </row>
    <row r="70">
      <c r="A70" s="45" t="s">
        <v>801</v>
      </c>
      <c r="B70" s="45"/>
      <c r="C70" s="45" t="s">
        <v>677</v>
      </c>
      <c r="D70" s="45" t="s">
        <v>727</v>
      </c>
      <c r="E70" s="45" t="s">
        <v>761</v>
      </c>
    </row>
    <row r="71">
      <c r="A71" s="45" t="s">
        <v>802</v>
      </c>
      <c r="B71" s="45"/>
      <c r="C71" s="45" t="s">
        <v>677</v>
      </c>
      <c r="D71" s="45" t="s">
        <v>678</v>
      </c>
      <c r="E71" s="45" t="s">
        <v>679</v>
      </c>
    </row>
    <row r="72">
      <c r="A72" s="45" t="s">
        <v>803</v>
      </c>
      <c r="B72" s="45" t="s">
        <v>709</v>
      </c>
      <c r="C72" s="45" t="s">
        <v>795</v>
      </c>
      <c r="D72" s="45" t="s">
        <v>804</v>
      </c>
      <c r="E72" s="45" t="s">
        <v>805</v>
      </c>
    </row>
    <row r="73">
      <c r="A73" s="45" t="s">
        <v>806</v>
      </c>
      <c r="B73" s="45" t="s">
        <v>672</v>
      </c>
      <c r="C73" s="45" t="s">
        <v>677</v>
      </c>
      <c r="D73" s="45" t="s">
        <v>715</v>
      </c>
      <c r="E73" s="45" t="s">
        <v>715</v>
      </c>
    </row>
    <row r="74">
      <c r="A74" s="45" t="s">
        <v>807</v>
      </c>
      <c r="B74" s="45" t="s">
        <v>672</v>
      </c>
      <c r="C74" s="45" t="s">
        <v>677</v>
      </c>
      <c r="D74" s="45" t="s">
        <v>715</v>
      </c>
      <c r="E74" s="45" t="s">
        <v>715</v>
      </c>
    </row>
    <row r="75">
      <c r="A75" s="45" t="s">
        <v>808</v>
      </c>
      <c r="B75" s="45" t="s">
        <v>748</v>
      </c>
      <c r="C75" s="45" t="s">
        <v>809</v>
      </c>
      <c r="D75" s="45" t="s">
        <v>810</v>
      </c>
      <c r="E75" s="45" t="s">
        <v>810</v>
      </c>
    </row>
    <row r="76">
      <c r="A76" s="45" t="s">
        <v>811</v>
      </c>
      <c r="B76" s="45" t="s">
        <v>709</v>
      </c>
      <c r="C76" s="45" t="s">
        <v>677</v>
      </c>
      <c r="D76" s="45" t="s">
        <v>678</v>
      </c>
      <c r="E76" s="45" t="s">
        <v>679</v>
      </c>
    </row>
    <row r="77">
      <c r="A77" s="45" t="s">
        <v>812</v>
      </c>
      <c r="B77" s="45"/>
      <c r="C77" s="45" t="s">
        <v>677</v>
      </c>
      <c r="D77" s="45" t="s">
        <v>725</v>
      </c>
      <c r="E77" s="45" t="s">
        <v>725</v>
      </c>
    </row>
    <row r="78">
      <c r="A78" s="45" t="s">
        <v>813</v>
      </c>
      <c r="B78" s="45" t="s">
        <v>672</v>
      </c>
      <c r="C78" s="45" t="s">
        <v>681</v>
      </c>
      <c r="D78" s="45" t="s">
        <v>752</v>
      </c>
      <c r="E78" s="45" t="s">
        <v>814</v>
      </c>
    </row>
    <row r="79">
      <c r="A79" s="45" t="s">
        <v>815</v>
      </c>
      <c r="B79" s="45"/>
      <c r="C79" s="45" t="s">
        <v>677</v>
      </c>
      <c r="D79" s="45" t="s">
        <v>678</v>
      </c>
      <c r="E79" s="45" t="s">
        <v>679</v>
      </c>
    </row>
    <row r="80">
      <c r="A80" s="45" t="s">
        <v>816</v>
      </c>
      <c r="B80" s="45" t="s">
        <v>672</v>
      </c>
      <c r="C80" s="45" t="s">
        <v>698</v>
      </c>
      <c r="D80" s="45" t="s">
        <v>707</v>
      </c>
      <c r="E80" s="45" t="s">
        <v>817</v>
      </c>
    </row>
    <row r="81">
      <c r="A81" s="45" t="s">
        <v>818</v>
      </c>
      <c r="B81" s="45"/>
      <c r="C81" s="45" t="s">
        <v>694</v>
      </c>
      <c r="D81" s="45" t="s">
        <v>707</v>
      </c>
      <c r="E81" s="45" t="s">
        <v>819</v>
      </c>
    </row>
    <row r="82">
      <c r="A82" s="45" t="s">
        <v>820</v>
      </c>
      <c r="B82" s="45"/>
      <c r="C82" s="45" t="s">
        <v>677</v>
      </c>
      <c r="D82" s="45" t="s">
        <v>678</v>
      </c>
      <c r="E82" s="45" t="s">
        <v>766</v>
      </c>
    </row>
    <row r="83">
      <c r="A83" s="45" t="s">
        <v>821</v>
      </c>
      <c r="B83" s="45"/>
      <c r="C83" s="45" t="s">
        <v>677</v>
      </c>
      <c r="D83" s="45" t="s">
        <v>725</v>
      </c>
      <c r="E83" s="45" t="s">
        <v>725</v>
      </c>
    </row>
    <row r="84">
      <c r="A84" s="45" t="s">
        <v>822</v>
      </c>
      <c r="B84" s="45" t="s">
        <v>693</v>
      </c>
      <c r="C84" s="45" t="s">
        <v>702</v>
      </c>
      <c r="D84" s="45" t="s">
        <v>702</v>
      </c>
      <c r="E84" s="45" t="s">
        <v>702</v>
      </c>
    </row>
    <row r="85">
      <c r="A85" s="45" t="s">
        <v>823</v>
      </c>
      <c r="B85" s="45" t="s">
        <v>693</v>
      </c>
      <c r="C85" s="45" t="s">
        <v>702</v>
      </c>
      <c r="D85" s="45" t="s">
        <v>702</v>
      </c>
      <c r="E85" s="45" t="s">
        <v>702</v>
      </c>
    </row>
    <row r="86">
      <c r="A86" s="45" t="s">
        <v>824</v>
      </c>
      <c r="B86" s="45"/>
      <c r="C86" s="45" t="s">
        <v>698</v>
      </c>
      <c r="D86" s="45" t="s">
        <v>825</v>
      </c>
      <c r="E86" s="45" t="s">
        <v>826</v>
      </c>
    </row>
    <row r="87">
      <c r="A87" s="45" t="s">
        <v>827</v>
      </c>
      <c r="B87" s="45"/>
      <c r="C87" s="45" t="s">
        <v>698</v>
      </c>
      <c r="D87" s="45" t="s">
        <v>710</v>
      </c>
      <c r="E87" s="45" t="s">
        <v>711</v>
      </c>
    </row>
    <row r="88">
      <c r="A88" s="45" t="s">
        <v>828</v>
      </c>
      <c r="B88" s="45" t="s">
        <v>672</v>
      </c>
      <c r="C88" s="45" t="s">
        <v>681</v>
      </c>
      <c r="D88" s="45" t="s">
        <v>752</v>
      </c>
      <c r="E88" s="45" t="s">
        <v>829</v>
      </c>
    </row>
    <row r="89">
      <c r="A89" s="45" t="s">
        <v>830</v>
      </c>
      <c r="B89" s="45" t="s">
        <v>672</v>
      </c>
      <c r="C89" s="45" t="s">
        <v>694</v>
      </c>
      <c r="D89" s="45" t="s">
        <v>713</v>
      </c>
      <c r="E89" s="45" t="s">
        <v>713</v>
      </c>
    </row>
    <row r="90">
      <c r="A90" s="82" t="s">
        <v>831</v>
      </c>
      <c r="B90" s="82" t="s">
        <v>672</v>
      </c>
      <c r="C90" s="82" t="s">
        <v>809</v>
      </c>
      <c r="D90" s="82" t="s">
        <v>810</v>
      </c>
      <c r="E90" s="82" t="s">
        <v>810</v>
      </c>
    </row>
    <row r="91">
      <c r="A91" s="45" t="s">
        <v>832</v>
      </c>
      <c r="B91" s="45"/>
      <c r="C91" s="45" t="s">
        <v>686</v>
      </c>
      <c r="D91" s="45" t="s">
        <v>833</v>
      </c>
      <c r="E91" s="45" t="s">
        <v>833</v>
      </c>
    </row>
    <row r="92">
      <c r="A92" s="45" t="s">
        <v>834</v>
      </c>
      <c r="B92" s="45"/>
      <c r="C92" s="45" t="s">
        <v>698</v>
      </c>
      <c r="D92" s="45" t="s">
        <v>710</v>
      </c>
      <c r="E92" s="45" t="s">
        <v>835</v>
      </c>
    </row>
    <row r="93">
      <c r="A93" s="45" t="s">
        <v>836</v>
      </c>
      <c r="B93" s="45"/>
      <c r="C93" s="45" t="s">
        <v>686</v>
      </c>
      <c r="D93" s="45" t="s">
        <v>687</v>
      </c>
      <c r="E93" s="45" t="s">
        <v>687</v>
      </c>
    </row>
    <row r="94">
      <c r="A94" s="45" t="s">
        <v>837</v>
      </c>
      <c r="B94" s="45"/>
      <c r="C94" s="45" t="s">
        <v>677</v>
      </c>
      <c r="D94" s="45" t="s">
        <v>725</v>
      </c>
      <c r="E94" s="45" t="s">
        <v>725</v>
      </c>
    </row>
    <row r="95">
      <c r="A95" s="45" t="s">
        <v>838</v>
      </c>
      <c r="B95" s="45" t="s">
        <v>672</v>
      </c>
      <c r="C95" s="45" t="s">
        <v>677</v>
      </c>
      <c r="D95" s="45" t="s">
        <v>715</v>
      </c>
      <c r="E95" s="45" t="s">
        <v>715</v>
      </c>
    </row>
    <row r="96">
      <c r="A96" s="45" t="s">
        <v>839</v>
      </c>
      <c r="B96" s="45" t="s">
        <v>672</v>
      </c>
      <c r="C96" s="45" t="s">
        <v>694</v>
      </c>
      <c r="D96" s="45" t="s">
        <v>695</v>
      </c>
      <c r="E96" s="45" t="s">
        <v>720</v>
      </c>
    </row>
    <row r="97">
      <c r="A97" s="45" t="s">
        <v>840</v>
      </c>
      <c r="B97" s="45" t="s">
        <v>672</v>
      </c>
      <c r="C97" s="45" t="s">
        <v>698</v>
      </c>
      <c r="D97" s="45" t="s">
        <v>707</v>
      </c>
      <c r="E97" s="45" t="s">
        <v>710</v>
      </c>
    </row>
    <row r="98">
      <c r="A98" s="45" t="s">
        <v>841</v>
      </c>
      <c r="B98" s="45"/>
      <c r="C98" s="45" t="s">
        <v>686</v>
      </c>
      <c r="D98" s="45" t="s">
        <v>687</v>
      </c>
      <c r="E98" s="45" t="s">
        <v>687</v>
      </c>
    </row>
    <row r="99">
      <c r="A99" s="45" t="s">
        <v>842</v>
      </c>
      <c r="B99" s="45" t="s">
        <v>709</v>
      </c>
      <c r="C99" s="45" t="s">
        <v>698</v>
      </c>
      <c r="D99" s="45" t="s">
        <v>710</v>
      </c>
      <c r="E99" s="45" t="s">
        <v>835</v>
      </c>
    </row>
    <row r="100">
      <c r="A100" s="45" t="s">
        <v>843</v>
      </c>
      <c r="B100" s="45"/>
      <c r="C100" s="45" t="s">
        <v>686</v>
      </c>
      <c r="D100" s="45" t="s">
        <v>687</v>
      </c>
      <c r="E100" s="45" t="s">
        <v>687</v>
      </c>
    </row>
    <row r="101">
      <c r="A101" s="45" t="s">
        <v>844</v>
      </c>
      <c r="B101" s="45" t="s">
        <v>709</v>
      </c>
      <c r="C101" s="45" t="s">
        <v>686</v>
      </c>
      <c r="D101" s="45" t="s">
        <v>687</v>
      </c>
      <c r="E101" s="45" t="s">
        <v>687</v>
      </c>
    </row>
    <row r="102">
      <c r="A102" s="45" t="s">
        <v>845</v>
      </c>
      <c r="B102" s="45"/>
      <c r="C102" s="45" t="s">
        <v>686</v>
      </c>
      <c r="D102" s="45" t="s">
        <v>846</v>
      </c>
      <c r="E102" s="45" t="s">
        <v>846</v>
      </c>
    </row>
    <row r="103">
      <c r="A103" s="45" t="s">
        <v>847</v>
      </c>
      <c r="B103" s="45"/>
      <c r="C103" s="45" t="s">
        <v>686</v>
      </c>
      <c r="D103" s="45" t="s">
        <v>687</v>
      </c>
      <c r="E103" s="45" t="s">
        <v>687</v>
      </c>
    </row>
    <row r="104">
      <c r="A104" s="45" t="s">
        <v>848</v>
      </c>
      <c r="B104" s="45" t="s">
        <v>709</v>
      </c>
      <c r="C104" s="45" t="s">
        <v>686</v>
      </c>
      <c r="D104" s="45" t="s">
        <v>687</v>
      </c>
      <c r="E104" s="45" t="s">
        <v>687</v>
      </c>
    </row>
    <row r="105">
      <c r="A105" s="45" t="s">
        <v>849</v>
      </c>
      <c r="B105" s="45"/>
      <c r="C105" s="45" t="s">
        <v>686</v>
      </c>
      <c r="D105" s="45" t="s">
        <v>846</v>
      </c>
      <c r="E105" s="45" t="s">
        <v>846</v>
      </c>
    </row>
    <row r="106">
      <c r="A106" s="45" t="s">
        <v>850</v>
      </c>
      <c r="B106" s="45"/>
      <c r="C106" s="45" t="s">
        <v>698</v>
      </c>
      <c r="D106" s="45" t="s">
        <v>707</v>
      </c>
      <c r="E106" s="45" t="s">
        <v>710</v>
      </c>
    </row>
    <row r="107">
      <c r="A107" s="45" t="s">
        <v>851</v>
      </c>
      <c r="B107" s="45" t="s">
        <v>672</v>
      </c>
      <c r="C107" s="45" t="s">
        <v>677</v>
      </c>
      <c r="D107" s="45" t="s">
        <v>746</v>
      </c>
      <c r="E107" s="45" t="s">
        <v>746</v>
      </c>
    </row>
    <row r="108">
      <c r="A108" s="45" t="s">
        <v>852</v>
      </c>
      <c r="B108" s="45" t="s">
        <v>676</v>
      </c>
      <c r="C108" s="45" t="s">
        <v>686</v>
      </c>
      <c r="D108" s="45" t="s">
        <v>687</v>
      </c>
      <c r="E108" s="45" t="s">
        <v>687</v>
      </c>
    </row>
    <row r="109">
      <c r="A109" s="45" t="s">
        <v>853</v>
      </c>
      <c r="B109" s="45"/>
      <c r="C109" s="45" t="s">
        <v>686</v>
      </c>
      <c r="D109" s="45" t="s">
        <v>687</v>
      </c>
      <c r="E109" s="45" t="s">
        <v>687</v>
      </c>
    </row>
    <row r="110">
      <c r="A110" s="45" t="s">
        <v>854</v>
      </c>
      <c r="B110" s="45"/>
      <c r="C110" s="45" t="s">
        <v>686</v>
      </c>
      <c r="D110" s="45" t="s">
        <v>687</v>
      </c>
      <c r="E110" s="45" t="s">
        <v>687</v>
      </c>
    </row>
    <row r="111">
      <c r="A111" s="45" t="s">
        <v>855</v>
      </c>
      <c r="B111" s="45" t="s">
        <v>709</v>
      </c>
      <c r="C111" s="45" t="s">
        <v>686</v>
      </c>
      <c r="D111" s="45" t="s">
        <v>687</v>
      </c>
      <c r="E111" s="45" t="s">
        <v>687</v>
      </c>
    </row>
    <row r="112">
      <c r="A112" s="45" t="s">
        <v>856</v>
      </c>
      <c r="B112" s="45"/>
      <c r="C112" s="45" t="s">
        <v>702</v>
      </c>
      <c r="D112" s="45" t="s">
        <v>702</v>
      </c>
      <c r="E112" s="45" t="s">
        <v>702</v>
      </c>
    </row>
    <row r="113">
      <c r="A113" s="45" t="s">
        <v>857</v>
      </c>
      <c r="B113" s="45" t="s">
        <v>748</v>
      </c>
      <c r="C113" s="45" t="s">
        <v>704</v>
      </c>
      <c r="D113" s="45" t="s">
        <v>858</v>
      </c>
      <c r="E113" s="45" t="s">
        <v>859</v>
      </c>
    </row>
    <row r="114">
      <c r="A114" s="45" t="s">
        <v>860</v>
      </c>
      <c r="B114" s="45" t="s">
        <v>672</v>
      </c>
      <c r="C114" s="45" t="s">
        <v>698</v>
      </c>
      <c r="D114" s="45" t="s">
        <v>707</v>
      </c>
      <c r="E114" s="45" t="s">
        <v>817</v>
      </c>
    </row>
    <row r="115">
      <c r="A115" s="45" t="s">
        <v>861</v>
      </c>
      <c r="B115" s="45"/>
      <c r="C115" s="45" t="s">
        <v>686</v>
      </c>
      <c r="D115" s="45" t="s">
        <v>687</v>
      </c>
      <c r="E115" s="45" t="s">
        <v>687</v>
      </c>
    </row>
    <row r="116">
      <c r="A116" s="45" t="s">
        <v>862</v>
      </c>
      <c r="B116" s="45" t="s">
        <v>672</v>
      </c>
      <c r="C116" s="45" t="s">
        <v>698</v>
      </c>
      <c r="D116" s="45" t="s">
        <v>722</v>
      </c>
      <c r="E116" s="45" t="s">
        <v>723</v>
      </c>
    </row>
    <row r="117">
      <c r="A117" s="45" t="s">
        <v>863</v>
      </c>
      <c r="B117" s="45"/>
      <c r="C117" s="45" t="s">
        <v>694</v>
      </c>
      <c r="D117" s="45" t="s">
        <v>695</v>
      </c>
      <c r="E117" s="45" t="s">
        <v>720</v>
      </c>
    </row>
    <row r="118">
      <c r="A118" s="45" t="s">
        <v>864</v>
      </c>
      <c r="B118" s="45"/>
      <c r="C118" s="45" t="s">
        <v>677</v>
      </c>
      <c r="D118" s="45" t="s">
        <v>715</v>
      </c>
      <c r="E118" s="45" t="s">
        <v>715</v>
      </c>
    </row>
    <row r="119">
      <c r="A119" s="45" t="s">
        <v>865</v>
      </c>
      <c r="B119" s="45" t="s">
        <v>672</v>
      </c>
      <c r="C119" s="45" t="s">
        <v>686</v>
      </c>
      <c r="D119" s="45" t="s">
        <v>687</v>
      </c>
      <c r="E119" s="45" t="s">
        <v>687</v>
      </c>
    </row>
    <row r="120">
      <c r="A120" s="45" t="s">
        <v>866</v>
      </c>
      <c r="B120" s="45"/>
      <c r="C120" s="45" t="s">
        <v>686</v>
      </c>
      <c r="D120" s="45" t="s">
        <v>687</v>
      </c>
      <c r="E120" s="45" t="s">
        <v>687</v>
      </c>
    </row>
    <row r="121">
      <c r="A121" s="45" t="s">
        <v>867</v>
      </c>
      <c r="B121" s="45"/>
      <c r="C121" s="45" t="s">
        <v>686</v>
      </c>
      <c r="D121" s="45" t="s">
        <v>687</v>
      </c>
      <c r="E121" s="45" t="s">
        <v>687</v>
      </c>
    </row>
    <row r="122">
      <c r="A122" s="45" t="s">
        <v>868</v>
      </c>
      <c r="B122" s="45" t="s">
        <v>709</v>
      </c>
      <c r="C122" s="45" t="s">
        <v>686</v>
      </c>
      <c r="D122" s="45" t="s">
        <v>687</v>
      </c>
      <c r="E122" s="45" t="s">
        <v>687</v>
      </c>
    </row>
    <row r="123">
      <c r="A123" s="45" t="s">
        <v>869</v>
      </c>
      <c r="B123" s="45" t="s">
        <v>672</v>
      </c>
      <c r="C123" s="45" t="s">
        <v>686</v>
      </c>
      <c r="D123" s="45" t="s">
        <v>687</v>
      </c>
      <c r="E123" s="45" t="s">
        <v>687</v>
      </c>
    </row>
    <row r="124">
      <c r="A124" s="45" t="s">
        <v>870</v>
      </c>
      <c r="B124" s="45" t="s">
        <v>693</v>
      </c>
      <c r="C124" s="45" t="s">
        <v>686</v>
      </c>
      <c r="D124" s="45" t="s">
        <v>687</v>
      </c>
      <c r="E124" s="45" t="s">
        <v>687</v>
      </c>
    </row>
    <row r="125">
      <c r="A125" s="45" t="s">
        <v>871</v>
      </c>
      <c r="B125" s="45" t="s">
        <v>693</v>
      </c>
      <c r="C125" s="45" t="s">
        <v>702</v>
      </c>
      <c r="D125" s="45" t="s">
        <v>702</v>
      </c>
      <c r="E125" s="45" t="s">
        <v>702</v>
      </c>
    </row>
    <row r="126">
      <c r="A126" s="45" t="s">
        <v>872</v>
      </c>
      <c r="B126" s="45"/>
      <c r="C126" s="45" t="s">
        <v>694</v>
      </c>
      <c r="D126" s="45" t="s">
        <v>695</v>
      </c>
      <c r="E126" s="45" t="s">
        <v>720</v>
      </c>
    </row>
    <row r="127">
      <c r="A127" s="45" t="s">
        <v>873</v>
      </c>
      <c r="B127" s="45" t="s">
        <v>672</v>
      </c>
      <c r="C127" s="45" t="s">
        <v>698</v>
      </c>
      <c r="D127" s="45" t="s">
        <v>825</v>
      </c>
      <c r="E127" s="45" t="s">
        <v>826</v>
      </c>
    </row>
    <row r="128">
      <c r="A128" s="45" t="s">
        <v>874</v>
      </c>
      <c r="B128" s="45" t="s">
        <v>672</v>
      </c>
      <c r="C128" s="45" t="s">
        <v>681</v>
      </c>
      <c r="D128" s="45" t="s">
        <v>875</v>
      </c>
      <c r="E128" s="45" t="s">
        <v>733</v>
      </c>
    </row>
    <row r="129">
      <c r="A129" s="45" t="s">
        <v>876</v>
      </c>
      <c r="B129" s="45"/>
      <c r="C129" s="45" t="s">
        <v>677</v>
      </c>
      <c r="D129" s="45" t="s">
        <v>678</v>
      </c>
      <c r="E129" s="45" t="s">
        <v>877</v>
      </c>
    </row>
    <row r="130">
      <c r="A130" s="45" t="s">
        <v>878</v>
      </c>
      <c r="B130" s="45"/>
      <c r="C130" s="45" t="s">
        <v>795</v>
      </c>
      <c r="D130" s="45" t="s">
        <v>804</v>
      </c>
      <c r="E130" s="45" t="s">
        <v>879</v>
      </c>
    </row>
    <row r="131">
      <c r="A131" s="45" t="s">
        <v>880</v>
      </c>
      <c r="B131" s="45" t="s">
        <v>693</v>
      </c>
      <c r="C131" s="45" t="s">
        <v>694</v>
      </c>
      <c r="D131" s="45" t="s">
        <v>695</v>
      </c>
      <c r="E131" s="45" t="s">
        <v>720</v>
      </c>
    </row>
    <row r="132">
      <c r="A132" s="45" t="s">
        <v>881</v>
      </c>
      <c r="B132" s="45"/>
      <c r="C132" s="45" t="s">
        <v>677</v>
      </c>
      <c r="D132" s="45" t="s">
        <v>727</v>
      </c>
      <c r="E132" s="45" t="s">
        <v>761</v>
      </c>
    </row>
    <row r="133">
      <c r="A133" s="45" t="s">
        <v>882</v>
      </c>
      <c r="B133" s="45" t="s">
        <v>672</v>
      </c>
      <c r="C133" s="45" t="s">
        <v>798</v>
      </c>
      <c r="D133" s="45" t="s">
        <v>798</v>
      </c>
      <c r="E133" s="45" t="s">
        <v>799</v>
      </c>
    </row>
    <row r="134">
      <c r="A134" s="45" t="s">
        <v>883</v>
      </c>
      <c r="B134" s="45" t="s">
        <v>672</v>
      </c>
      <c r="C134" s="45" t="s">
        <v>686</v>
      </c>
      <c r="D134" s="45" t="s">
        <v>833</v>
      </c>
      <c r="E134" s="45" t="s">
        <v>833</v>
      </c>
    </row>
    <row r="135">
      <c r="A135" s="45" t="s">
        <v>884</v>
      </c>
      <c r="B135" s="45"/>
      <c r="C135" s="45" t="s">
        <v>795</v>
      </c>
      <c r="D135" s="45" t="s">
        <v>885</v>
      </c>
      <c r="E135" s="45" t="s">
        <v>886</v>
      </c>
    </row>
    <row r="136">
      <c r="A136" s="45" t="s">
        <v>887</v>
      </c>
      <c r="B136" s="45"/>
      <c r="C136" s="45" t="s">
        <v>798</v>
      </c>
      <c r="D136" s="45" t="s">
        <v>798</v>
      </c>
      <c r="E136" s="45" t="s">
        <v>799</v>
      </c>
    </row>
    <row r="137">
      <c r="A137" s="45" t="s">
        <v>888</v>
      </c>
      <c r="B137" s="45"/>
      <c r="C137" s="45" t="s">
        <v>686</v>
      </c>
      <c r="D137" s="45" t="s">
        <v>687</v>
      </c>
      <c r="E137" s="45" t="s">
        <v>687</v>
      </c>
    </row>
    <row r="138">
      <c r="A138" s="45" t="s">
        <v>889</v>
      </c>
      <c r="B138" s="45" t="s">
        <v>693</v>
      </c>
      <c r="C138" s="45" t="s">
        <v>677</v>
      </c>
      <c r="D138" s="45" t="s">
        <v>890</v>
      </c>
      <c r="E138" s="45" t="s">
        <v>890</v>
      </c>
    </row>
    <row r="139">
      <c r="A139" s="45" t="s">
        <v>891</v>
      </c>
      <c r="B139" s="45"/>
      <c r="C139" s="45" t="s">
        <v>698</v>
      </c>
      <c r="D139" s="45" t="s">
        <v>710</v>
      </c>
      <c r="E139" s="45" t="s">
        <v>835</v>
      </c>
    </row>
    <row r="140">
      <c r="A140" s="45" t="s">
        <v>892</v>
      </c>
      <c r="B140" s="45"/>
      <c r="C140" s="45" t="s">
        <v>698</v>
      </c>
      <c r="D140" s="45" t="s">
        <v>710</v>
      </c>
      <c r="E140" s="45" t="s">
        <v>835</v>
      </c>
    </row>
    <row r="141">
      <c r="A141" s="45" t="s">
        <v>893</v>
      </c>
      <c r="B141" s="45"/>
      <c r="C141" s="45" t="s">
        <v>698</v>
      </c>
      <c r="D141" s="45" t="s">
        <v>710</v>
      </c>
      <c r="E141" s="45" t="s">
        <v>835</v>
      </c>
    </row>
    <row r="142">
      <c r="A142" s="82" t="s">
        <v>894</v>
      </c>
      <c r="B142" s="82" t="s">
        <v>672</v>
      </c>
      <c r="C142" s="82" t="s">
        <v>698</v>
      </c>
      <c r="D142" s="82" t="s">
        <v>825</v>
      </c>
      <c r="E142" s="82" t="s">
        <v>826</v>
      </c>
    </row>
    <row r="143">
      <c r="A143" s="45" t="s">
        <v>895</v>
      </c>
      <c r="B143" s="45" t="s">
        <v>672</v>
      </c>
      <c r="C143" s="45" t="s">
        <v>698</v>
      </c>
      <c r="D143" s="45" t="s">
        <v>699</v>
      </c>
      <c r="E143" s="45" t="s">
        <v>896</v>
      </c>
    </row>
    <row r="144">
      <c r="A144" s="45" t="s">
        <v>897</v>
      </c>
      <c r="B144" s="45"/>
      <c r="C144" s="45" t="s">
        <v>677</v>
      </c>
      <c r="D144" s="45" t="s">
        <v>678</v>
      </c>
      <c r="E144" s="45" t="s">
        <v>679</v>
      </c>
    </row>
    <row r="145">
      <c r="A145" s="45" t="s">
        <v>898</v>
      </c>
      <c r="B145" s="45" t="s">
        <v>672</v>
      </c>
      <c r="C145" s="45" t="s">
        <v>698</v>
      </c>
      <c r="D145" s="45" t="s">
        <v>825</v>
      </c>
      <c r="E145" s="45" t="s">
        <v>826</v>
      </c>
    </row>
    <row r="146">
      <c r="A146" s="45" t="s">
        <v>899</v>
      </c>
      <c r="B146" s="45"/>
      <c r="C146" s="45" t="s">
        <v>673</v>
      </c>
      <c r="D146" s="45" t="s">
        <v>674</v>
      </c>
      <c r="E146" s="45" t="s">
        <v>674</v>
      </c>
    </row>
    <row r="147">
      <c r="A147" s="45" t="s">
        <v>900</v>
      </c>
      <c r="B147" s="45"/>
      <c r="C147" s="45" t="s">
        <v>677</v>
      </c>
      <c r="D147" s="45" t="s">
        <v>678</v>
      </c>
      <c r="E147" s="45" t="s">
        <v>766</v>
      </c>
    </row>
    <row r="148">
      <c r="A148" s="45" t="s">
        <v>901</v>
      </c>
      <c r="B148" s="45"/>
      <c r="C148" s="45" t="s">
        <v>798</v>
      </c>
      <c r="D148" s="45" t="s">
        <v>798</v>
      </c>
      <c r="E148" s="45" t="s">
        <v>799</v>
      </c>
    </row>
    <row r="149">
      <c r="A149" s="45" t="s">
        <v>902</v>
      </c>
      <c r="B149" s="45"/>
      <c r="C149" s="45" t="s">
        <v>702</v>
      </c>
      <c r="D149" s="45" t="s">
        <v>702</v>
      </c>
      <c r="E149" s="45" t="s">
        <v>702</v>
      </c>
    </row>
    <row r="150">
      <c r="A150" s="45" t="s">
        <v>903</v>
      </c>
      <c r="B150" s="45" t="s">
        <v>672</v>
      </c>
      <c r="C150" s="45" t="s">
        <v>698</v>
      </c>
      <c r="D150" s="45" t="s">
        <v>825</v>
      </c>
      <c r="E150" s="45" t="s">
        <v>826</v>
      </c>
    </row>
    <row r="151">
      <c r="A151" s="45" t="s">
        <v>904</v>
      </c>
      <c r="B151" s="45"/>
      <c r="C151" s="45" t="s">
        <v>798</v>
      </c>
      <c r="D151" s="45" t="s">
        <v>798</v>
      </c>
      <c r="E151" s="45" t="s">
        <v>799</v>
      </c>
    </row>
    <row r="152">
      <c r="A152" s="82" t="s">
        <v>905</v>
      </c>
      <c r="B152" s="82" t="s">
        <v>672</v>
      </c>
      <c r="C152" s="82" t="s">
        <v>673</v>
      </c>
      <c r="D152" s="82" t="s">
        <v>875</v>
      </c>
      <c r="E152" s="82" t="s">
        <v>775</v>
      </c>
    </row>
    <row r="153">
      <c r="A153" s="45" t="s">
        <v>906</v>
      </c>
      <c r="B153" s="45"/>
      <c r="C153" s="45" t="s">
        <v>698</v>
      </c>
      <c r="D153" s="45" t="s">
        <v>710</v>
      </c>
      <c r="E153" s="45" t="s">
        <v>835</v>
      </c>
    </row>
    <row r="154">
      <c r="A154" s="45" t="s">
        <v>907</v>
      </c>
      <c r="B154" s="45"/>
      <c r="C154" s="45" t="s">
        <v>694</v>
      </c>
      <c r="D154" s="45" t="s">
        <v>713</v>
      </c>
      <c r="E154" s="45" t="s">
        <v>713</v>
      </c>
    </row>
    <row r="155">
      <c r="A155" s="45" t="s">
        <v>908</v>
      </c>
      <c r="B155" s="45" t="s">
        <v>672</v>
      </c>
      <c r="C155" s="45" t="s">
        <v>795</v>
      </c>
      <c r="D155" s="45" t="s">
        <v>909</v>
      </c>
      <c r="E155" s="45" t="s">
        <v>910</v>
      </c>
    </row>
    <row r="156">
      <c r="A156" s="45" t="s">
        <v>911</v>
      </c>
      <c r="B156" s="45"/>
      <c r="C156" s="45" t="s">
        <v>694</v>
      </c>
      <c r="D156" s="45" t="s">
        <v>763</v>
      </c>
      <c r="E156" s="45" t="s">
        <v>764</v>
      </c>
    </row>
    <row r="157">
      <c r="A157" s="45" t="s">
        <v>912</v>
      </c>
      <c r="B157" s="45"/>
      <c r="C157" s="45" t="s">
        <v>686</v>
      </c>
      <c r="D157" s="45" t="s">
        <v>687</v>
      </c>
      <c r="E157" s="45" t="s">
        <v>687</v>
      </c>
    </row>
    <row r="158">
      <c r="A158" s="45" t="s">
        <v>913</v>
      </c>
      <c r="B158" s="45"/>
      <c r="C158" s="45" t="s">
        <v>694</v>
      </c>
      <c r="D158" s="45" t="s">
        <v>695</v>
      </c>
      <c r="E158" s="45" t="s">
        <v>720</v>
      </c>
    </row>
    <row r="159">
      <c r="A159" s="45" t="s">
        <v>914</v>
      </c>
      <c r="B159" s="45" t="s">
        <v>693</v>
      </c>
      <c r="C159" s="45" t="s">
        <v>677</v>
      </c>
      <c r="D159" s="45" t="s">
        <v>725</v>
      </c>
      <c r="E159" s="45" t="s">
        <v>725</v>
      </c>
    </row>
    <row r="160">
      <c r="A160" s="45" t="s">
        <v>915</v>
      </c>
      <c r="B160" s="45" t="s">
        <v>672</v>
      </c>
      <c r="C160" s="45" t="s">
        <v>694</v>
      </c>
      <c r="D160" s="45" t="s">
        <v>695</v>
      </c>
      <c r="E160" s="45" t="s">
        <v>720</v>
      </c>
    </row>
    <row r="161">
      <c r="A161" s="45" t="s">
        <v>916</v>
      </c>
      <c r="B161" s="45"/>
      <c r="C161" s="45" t="s">
        <v>694</v>
      </c>
      <c r="D161" s="45" t="s">
        <v>695</v>
      </c>
      <c r="E161" s="45" t="s">
        <v>720</v>
      </c>
    </row>
    <row r="162">
      <c r="A162" s="45" t="s">
        <v>917</v>
      </c>
      <c r="B162" s="45"/>
      <c r="C162" s="45" t="s">
        <v>698</v>
      </c>
      <c r="D162" s="45" t="s">
        <v>710</v>
      </c>
      <c r="E162" s="45" t="s">
        <v>835</v>
      </c>
    </row>
    <row r="163">
      <c r="A163" s="45" t="s">
        <v>918</v>
      </c>
      <c r="B163" s="45" t="s">
        <v>709</v>
      </c>
      <c r="C163" s="45" t="s">
        <v>686</v>
      </c>
      <c r="D163" s="45" t="s">
        <v>687</v>
      </c>
      <c r="E163" s="45" t="s">
        <v>687</v>
      </c>
    </row>
    <row r="164">
      <c r="A164" s="45" t="s">
        <v>919</v>
      </c>
      <c r="B164" s="45" t="s">
        <v>672</v>
      </c>
      <c r="C164" s="45" t="s">
        <v>686</v>
      </c>
      <c r="D164" s="45" t="s">
        <v>687</v>
      </c>
      <c r="E164" s="45" t="s">
        <v>687</v>
      </c>
    </row>
    <row r="165">
      <c r="A165" s="45" t="s">
        <v>920</v>
      </c>
      <c r="B165" s="45"/>
      <c r="C165" s="45" t="s">
        <v>686</v>
      </c>
      <c r="D165" s="45" t="s">
        <v>687</v>
      </c>
      <c r="E165" s="45" t="s">
        <v>687</v>
      </c>
    </row>
    <row r="166">
      <c r="A166" s="45" t="s">
        <v>921</v>
      </c>
      <c r="B166" s="45"/>
      <c r="C166" s="45" t="s">
        <v>795</v>
      </c>
      <c r="D166" s="45" t="s">
        <v>804</v>
      </c>
      <c r="E166" s="45" t="s">
        <v>805</v>
      </c>
    </row>
    <row r="167">
      <c r="A167" s="45" t="s">
        <v>922</v>
      </c>
      <c r="B167" s="45" t="s">
        <v>709</v>
      </c>
      <c r="C167" s="45" t="s">
        <v>686</v>
      </c>
      <c r="D167" s="45" t="s">
        <v>687</v>
      </c>
      <c r="E167" s="45" t="s">
        <v>687</v>
      </c>
    </row>
    <row r="168">
      <c r="A168" s="45" t="s">
        <v>923</v>
      </c>
      <c r="B168" s="45"/>
      <c r="C168" s="45" t="s">
        <v>686</v>
      </c>
      <c r="D168" s="45" t="s">
        <v>687</v>
      </c>
      <c r="E168" s="45" t="s">
        <v>687</v>
      </c>
    </row>
    <row r="169">
      <c r="A169" s="45" t="s">
        <v>924</v>
      </c>
      <c r="B169" s="45" t="s">
        <v>672</v>
      </c>
      <c r="C169" s="45" t="s">
        <v>694</v>
      </c>
      <c r="D169" s="45" t="s">
        <v>819</v>
      </c>
      <c r="E169" s="45" t="s">
        <v>925</v>
      </c>
    </row>
    <row r="170">
      <c r="A170" s="45" t="s">
        <v>926</v>
      </c>
      <c r="B170" s="45" t="s">
        <v>672</v>
      </c>
      <c r="C170" s="45" t="s">
        <v>798</v>
      </c>
      <c r="D170" s="45" t="s">
        <v>798</v>
      </c>
      <c r="E170" s="45" t="s">
        <v>799</v>
      </c>
    </row>
    <row r="171">
      <c r="A171" s="45" t="s">
        <v>927</v>
      </c>
      <c r="B171" s="45" t="s">
        <v>672</v>
      </c>
      <c r="C171" s="45" t="s">
        <v>686</v>
      </c>
      <c r="D171" s="45" t="s">
        <v>687</v>
      </c>
      <c r="E171" s="45" t="s">
        <v>687</v>
      </c>
    </row>
    <row r="172">
      <c r="A172" s="45" t="s">
        <v>928</v>
      </c>
      <c r="B172" s="45"/>
      <c r="C172" s="45" t="s">
        <v>686</v>
      </c>
      <c r="D172" s="45" t="s">
        <v>687</v>
      </c>
      <c r="E172" s="45" t="s">
        <v>687</v>
      </c>
    </row>
    <row r="173">
      <c r="A173" s="45" t="s">
        <v>929</v>
      </c>
      <c r="B173" s="45" t="s">
        <v>672</v>
      </c>
      <c r="C173" s="45" t="s">
        <v>686</v>
      </c>
      <c r="D173" s="45" t="s">
        <v>687</v>
      </c>
      <c r="E173" s="45" t="s">
        <v>687</v>
      </c>
    </row>
    <row r="174">
      <c r="A174" s="45" t="s">
        <v>930</v>
      </c>
      <c r="B174" s="45" t="s">
        <v>676</v>
      </c>
      <c r="C174" s="45" t="s">
        <v>686</v>
      </c>
      <c r="D174" s="45" t="s">
        <v>687</v>
      </c>
      <c r="E174" s="45" t="s">
        <v>687</v>
      </c>
    </row>
    <row r="175">
      <c r="A175" s="82" t="s">
        <v>931</v>
      </c>
      <c r="B175" s="82" t="s">
        <v>672</v>
      </c>
      <c r="C175" s="82" t="s">
        <v>809</v>
      </c>
      <c r="D175" s="82" t="s">
        <v>810</v>
      </c>
      <c r="E175" s="82" t="s">
        <v>810</v>
      </c>
    </row>
    <row r="176">
      <c r="A176" s="45" t="s">
        <v>932</v>
      </c>
      <c r="B176" s="45"/>
      <c r="C176" s="45" t="s">
        <v>686</v>
      </c>
      <c r="D176" s="45" t="s">
        <v>687</v>
      </c>
      <c r="E176" s="45" t="s">
        <v>687</v>
      </c>
    </row>
    <row r="177">
      <c r="A177" s="45" t="s">
        <v>933</v>
      </c>
      <c r="B177" s="45" t="s">
        <v>693</v>
      </c>
      <c r="C177" s="45" t="s">
        <v>686</v>
      </c>
      <c r="D177" s="45" t="s">
        <v>687</v>
      </c>
      <c r="E177" s="45" t="s">
        <v>687</v>
      </c>
    </row>
    <row r="178">
      <c r="A178" s="45" t="s">
        <v>934</v>
      </c>
      <c r="B178" s="45"/>
      <c r="C178" s="45" t="s">
        <v>686</v>
      </c>
      <c r="D178" s="45" t="s">
        <v>687</v>
      </c>
      <c r="E178" s="45" t="s">
        <v>687</v>
      </c>
    </row>
    <row r="179">
      <c r="A179" s="45" t="s">
        <v>935</v>
      </c>
      <c r="B179" s="45" t="s">
        <v>672</v>
      </c>
      <c r="C179" s="45" t="s">
        <v>686</v>
      </c>
      <c r="D179" s="45" t="s">
        <v>687</v>
      </c>
      <c r="E179" s="45" t="s">
        <v>687</v>
      </c>
    </row>
    <row r="180">
      <c r="A180" s="45" t="s">
        <v>936</v>
      </c>
      <c r="B180" s="45"/>
      <c r="C180" s="45" t="s">
        <v>694</v>
      </c>
      <c r="D180" s="45" t="s">
        <v>695</v>
      </c>
      <c r="E180" s="45" t="s">
        <v>720</v>
      </c>
    </row>
    <row r="181">
      <c r="A181" s="45" t="s">
        <v>937</v>
      </c>
      <c r="B181" s="45"/>
      <c r="C181" s="45" t="s">
        <v>686</v>
      </c>
      <c r="D181" s="45" t="s">
        <v>687</v>
      </c>
      <c r="E181" s="45" t="s">
        <v>687</v>
      </c>
    </row>
    <row r="182">
      <c r="A182" s="45" t="s">
        <v>938</v>
      </c>
      <c r="B182" s="45"/>
      <c r="C182" s="45" t="s">
        <v>698</v>
      </c>
      <c r="D182" s="45" t="s">
        <v>699</v>
      </c>
      <c r="E182" s="45" t="s">
        <v>939</v>
      </c>
    </row>
    <row r="183">
      <c r="A183" s="45" t="s">
        <v>940</v>
      </c>
      <c r="B183" s="45" t="s">
        <v>672</v>
      </c>
      <c r="C183" s="45" t="s">
        <v>694</v>
      </c>
      <c r="D183" s="45" t="s">
        <v>741</v>
      </c>
      <c r="E183" s="45" t="s">
        <v>941</v>
      </c>
    </row>
    <row r="184">
      <c r="A184" s="45" t="s">
        <v>942</v>
      </c>
      <c r="B184" s="45" t="s">
        <v>709</v>
      </c>
      <c r="C184" s="45" t="s">
        <v>795</v>
      </c>
      <c r="D184" s="45" t="s">
        <v>909</v>
      </c>
      <c r="E184" s="45" t="s">
        <v>910</v>
      </c>
    </row>
    <row r="185">
      <c r="A185" s="45" t="s">
        <v>943</v>
      </c>
      <c r="B185" s="45" t="s">
        <v>672</v>
      </c>
      <c r="C185" s="45" t="s">
        <v>698</v>
      </c>
      <c r="D185" s="45" t="s">
        <v>825</v>
      </c>
      <c r="E185" s="45" t="s">
        <v>826</v>
      </c>
    </row>
    <row r="186">
      <c r="A186" s="45" t="s">
        <v>944</v>
      </c>
      <c r="B186" s="45" t="s">
        <v>672</v>
      </c>
      <c r="C186" s="45" t="s">
        <v>698</v>
      </c>
      <c r="D186" s="45" t="s">
        <v>825</v>
      </c>
      <c r="E186" s="45" t="s">
        <v>826</v>
      </c>
    </row>
    <row r="187">
      <c r="A187" s="45" t="s">
        <v>945</v>
      </c>
      <c r="B187" s="45" t="s">
        <v>709</v>
      </c>
      <c r="C187" s="45" t="s">
        <v>795</v>
      </c>
      <c r="D187" s="45" t="s">
        <v>885</v>
      </c>
      <c r="E187" s="45" t="s">
        <v>886</v>
      </c>
    </row>
    <row r="188">
      <c r="A188" s="45" t="s">
        <v>946</v>
      </c>
      <c r="B188" s="45"/>
      <c r="C188" s="45" t="s">
        <v>686</v>
      </c>
      <c r="D188" s="45" t="s">
        <v>687</v>
      </c>
      <c r="E188" s="45" t="s">
        <v>687</v>
      </c>
    </row>
    <row r="189">
      <c r="A189" s="45" t="s">
        <v>947</v>
      </c>
      <c r="B189" s="45" t="s">
        <v>672</v>
      </c>
      <c r="C189" s="45" t="s">
        <v>795</v>
      </c>
      <c r="D189" s="45" t="s">
        <v>804</v>
      </c>
      <c r="E189" s="45" t="s">
        <v>948</v>
      </c>
    </row>
    <row r="190">
      <c r="A190" s="45" t="s">
        <v>949</v>
      </c>
      <c r="B190" s="45"/>
      <c r="C190" s="45" t="s">
        <v>702</v>
      </c>
      <c r="D190" s="45" t="s">
        <v>702</v>
      </c>
      <c r="E190" s="45" t="s">
        <v>702</v>
      </c>
    </row>
    <row r="191">
      <c r="A191" s="45" t="s">
        <v>950</v>
      </c>
      <c r="B191" s="45" t="s">
        <v>748</v>
      </c>
      <c r="C191" s="45" t="s">
        <v>694</v>
      </c>
      <c r="D191" s="45" t="s">
        <v>713</v>
      </c>
      <c r="E191" s="45" t="s">
        <v>713</v>
      </c>
    </row>
    <row r="192">
      <c r="A192" s="45" t="s">
        <v>951</v>
      </c>
      <c r="B192" s="45" t="s">
        <v>672</v>
      </c>
      <c r="C192" s="45" t="s">
        <v>673</v>
      </c>
      <c r="D192" s="45" t="s">
        <v>674</v>
      </c>
      <c r="E192" s="45" t="s">
        <v>674</v>
      </c>
    </row>
    <row r="193">
      <c r="A193" s="45" t="s">
        <v>952</v>
      </c>
      <c r="B193" s="45"/>
      <c r="C193" s="45" t="s">
        <v>677</v>
      </c>
      <c r="D193" s="45" t="s">
        <v>678</v>
      </c>
      <c r="E193" s="45" t="s">
        <v>877</v>
      </c>
    </row>
    <row r="194">
      <c r="A194" s="45" t="s">
        <v>953</v>
      </c>
      <c r="B194" s="45" t="s">
        <v>709</v>
      </c>
      <c r="C194" s="45" t="s">
        <v>694</v>
      </c>
      <c r="D194" s="45" t="s">
        <v>819</v>
      </c>
      <c r="E194" s="45" t="s">
        <v>954</v>
      </c>
    </row>
    <row r="195">
      <c r="A195" s="45" t="s">
        <v>955</v>
      </c>
      <c r="B195" s="45" t="s">
        <v>672</v>
      </c>
      <c r="C195" s="45" t="s">
        <v>694</v>
      </c>
      <c r="D195" s="45" t="s">
        <v>763</v>
      </c>
      <c r="E195" s="45" t="s">
        <v>764</v>
      </c>
    </row>
    <row r="196">
      <c r="A196" s="45" t="s">
        <v>956</v>
      </c>
      <c r="B196" s="45" t="s">
        <v>693</v>
      </c>
      <c r="C196" s="45" t="s">
        <v>694</v>
      </c>
      <c r="D196" s="45" t="s">
        <v>695</v>
      </c>
      <c r="E196" s="45" t="s">
        <v>957</v>
      </c>
    </row>
    <row r="197">
      <c r="A197" s="45" t="s">
        <v>958</v>
      </c>
      <c r="B197" s="45" t="s">
        <v>672</v>
      </c>
      <c r="C197" s="45" t="s">
        <v>681</v>
      </c>
      <c r="D197" s="45" t="s">
        <v>690</v>
      </c>
      <c r="E197" s="45" t="s">
        <v>691</v>
      </c>
    </row>
    <row r="198">
      <c r="A198" s="45" t="s">
        <v>959</v>
      </c>
      <c r="B198" s="45"/>
      <c r="C198" s="45" t="s">
        <v>677</v>
      </c>
      <c r="D198" s="45" t="s">
        <v>725</v>
      </c>
      <c r="E198" s="45" t="s">
        <v>725</v>
      </c>
    </row>
    <row r="199">
      <c r="A199" s="45" t="s">
        <v>960</v>
      </c>
      <c r="B199" s="45" t="s">
        <v>693</v>
      </c>
      <c r="C199" s="45" t="s">
        <v>677</v>
      </c>
      <c r="D199" s="45" t="s">
        <v>725</v>
      </c>
      <c r="E199" s="45" t="s">
        <v>725</v>
      </c>
    </row>
    <row r="200">
      <c r="A200" s="45" t="s">
        <v>961</v>
      </c>
      <c r="B200" s="45" t="s">
        <v>693</v>
      </c>
      <c r="C200" s="45" t="s">
        <v>694</v>
      </c>
      <c r="D200" s="45" t="s">
        <v>695</v>
      </c>
      <c r="E200" s="45" t="s">
        <v>957</v>
      </c>
    </row>
    <row r="201">
      <c r="A201" s="45" t="s">
        <v>962</v>
      </c>
      <c r="B201" s="45" t="s">
        <v>963</v>
      </c>
      <c r="C201" s="45" t="s">
        <v>673</v>
      </c>
      <c r="D201" s="45" t="s">
        <v>775</v>
      </c>
      <c r="E201" s="45" t="s">
        <v>775</v>
      </c>
    </row>
    <row r="202">
      <c r="A202" s="45" t="s">
        <v>964</v>
      </c>
      <c r="B202" s="45"/>
      <c r="C202" s="45" t="s">
        <v>686</v>
      </c>
      <c r="D202" s="45" t="s">
        <v>687</v>
      </c>
      <c r="E202" s="45" t="s">
        <v>687</v>
      </c>
    </row>
    <row r="203">
      <c r="A203" s="45" t="s">
        <v>965</v>
      </c>
      <c r="B203" s="45" t="s">
        <v>672</v>
      </c>
      <c r="C203" s="45" t="s">
        <v>698</v>
      </c>
      <c r="D203" s="45" t="s">
        <v>825</v>
      </c>
      <c r="E203" s="45" t="s">
        <v>826</v>
      </c>
    </row>
    <row r="204">
      <c r="A204" s="45" t="s">
        <v>966</v>
      </c>
      <c r="B204" s="45" t="s">
        <v>709</v>
      </c>
      <c r="C204" s="45" t="s">
        <v>795</v>
      </c>
      <c r="D204" s="45" t="s">
        <v>885</v>
      </c>
      <c r="E204" s="45" t="s">
        <v>886</v>
      </c>
    </row>
    <row r="205">
      <c r="A205" s="82" t="s">
        <v>967</v>
      </c>
      <c r="B205" s="82" t="s">
        <v>672</v>
      </c>
      <c r="C205" s="82" t="s">
        <v>681</v>
      </c>
      <c r="D205" s="82" t="s">
        <v>875</v>
      </c>
      <c r="E205" s="82" t="s">
        <v>733</v>
      </c>
    </row>
    <row r="206">
      <c r="A206" s="45" t="s">
        <v>968</v>
      </c>
      <c r="B206" s="45" t="s">
        <v>672</v>
      </c>
      <c r="C206" s="45" t="s">
        <v>673</v>
      </c>
      <c r="D206" s="45" t="s">
        <v>674</v>
      </c>
      <c r="E206" s="45" t="s">
        <v>674</v>
      </c>
    </row>
    <row r="207">
      <c r="A207" s="45" t="s">
        <v>969</v>
      </c>
      <c r="B207" s="45" t="s">
        <v>709</v>
      </c>
      <c r="C207" s="45" t="s">
        <v>795</v>
      </c>
      <c r="D207" s="45" t="s">
        <v>885</v>
      </c>
      <c r="E207" s="45" t="s">
        <v>886</v>
      </c>
    </row>
    <row r="208">
      <c r="A208" s="45" t="s">
        <v>970</v>
      </c>
      <c r="B208" s="45" t="s">
        <v>676</v>
      </c>
      <c r="C208" s="45" t="s">
        <v>694</v>
      </c>
      <c r="D208" s="45" t="s">
        <v>695</v>
      </c>
      <c r="E208" s="45" t="s">
        <v>744</v>
      </c>
    </row>
    <row r="209">
      <c r="A209" s="45" t="s">
        <v>971</v>
      </c>
      <c r="B209" s="45"/>
      <c r="C209" s="45" t="s">
        <v>686</v>
      </c>
      <c r="D209" s="45" t="s">
        <v>687</v>
      </c>
      <c r="E209" s="45" t="s">
        <v>687</v>
      </c>
    </row>
    <row r="210">
      <c r="A210" s="45" t="s">
        <v>972</v>
      </c>
      <c r="B210" s="45"/>
      <c r="C210" s="45" t="s">
        <v>795</v>
      </c>
      <c r="D210" s="45" t="s">
        <v>804</v>
      </c>
      <c r="E210" s="45" t="s">
        <v>805</v>
      </c>
    </row>
    <row r="211">
      <c r="A211" s="45" t="s">
        <v>973</v>
      </c>
      <c r="B211" s="45" t="s">
        <v>963</v>
      </c>
      <c r="C211" s="45" t="s">
        <v>677</v>
      </c>
      <c r="D211" s="45" t="s">
        <v>746</v>
      </c>
      <c r="E211" s="45" t="s">
        <v>771</v>
      </c>
    </row>
    <row r="212">
      <c r="A212" s="45" t="s">
        <v>974</v>
      </c>
      <c r="B212" s="45"/>
      <c r="C212" s="45" t="s">
        <v>702</v>
      </c>
      <c r="D212" s="45" t="s">
        <v>713</v>
      </c>
      <c r="E212" s="45" t="s">
        <v>713</v>
      </c>
    </row>
    <row r="213">
      <c r="A213" s="45" t="s">
        <v>975</v>
      </c>
      <c r="B213" s="45" t="s">
        <v>672</v>
      </c>
      <c r="C213" s="45" t="s">
        <v>698</v>
      </c>
      <c r="D213" s="45" t="s">
        <v>710</v>
      </c>
      <c r="E213" s="45" t="s">
        <v>711</v>
      </c>
    </row>
    <row r="214">
      <c r="A214" s="45" t="s">
        <v>976</v>
      </c>
      <c r="B214" s="45" t="s">
        <v>672</v>
      </c>
      <c r="C214" s="45" t="s">
        <v>677</v>
      </c>
      <c r="D214" s="45" t="s">
        <v>715</v>
      </c>
      <c r="E214" s="45" t="s">
        <v>715</v>
      </c>
    </row>
    <row r="215">
      <c r="A215" s="45" t="s">
        <v>977</v>
      </c>
      <c r="B215" s="45"/>
      <c r="C215" s="45" t="s">
        <v>698</v>
      </c>
      <c r="D215" s="45" t="s">
        <v>707</v>
      </c>
      <c r="E215" s="45" t="s">
        <v>710</v>
      </c>
    </row>
    <row r="216">
      <c r="A216" s="45" t="s">
        <v>978</v>
      </c>
      <c r="B216" s="45"/>
      <c r="C216" s="45" t="s">
        <v>694</v>
      </c>
      <c r="D216" s="45" t="s">
        <v>741</v>
      </c>
      <c r="E216" s="45" t="s">
        <v>941</v>
      </c>
    </row>
    <row r="217">
      <c r="A217" s="45" t="s">
        <v>979</v>
      </c>
      <c r="B217" s="45" t="s">
        <v>672</v>
      </c>
      <c r="C217" s="45" t="s">
        <v>673</v>
      </c>
      <c r="D217" s="45" t="s">
        <v>674</v>
      </c>
      <c r="E217" s="45" t="s">
        <v>674</v>
      </c>
    </row>
    <row r="218">
      <c r="A218" s="45" t="s">
        <v>980</v>
      </c>
      <c r="B218" s="45" t="s">
        <v>672</v>
      </c>
      <c r="C218" s="45" t="s">
        <v>698</v>
      </c>
      <c r="D218" s="45" t="s">
        <v>825</v>
      </c>
      <c r="E218" s="45" t="s">
        <v>826</v>
      </c>
    </row>
    <row r="219">
      <c r="A219" s="82" t="s">
        <v>981</v>
      </c>
      <c r="B219" s="82" t="s">
        <v>672</v>
      </c>
      <c r="C219" s="82" t="s">
        <v>694</v>
      </c>
      <c r="D219" s="82" t="s">
        <v>695</v>
      </c>
      <c r="E219" s="82" t="s">
        <v>982</v>
      </c>
    </row>
    <row r="220">
      <c r="A220" s="45" t="s">
        <v>983</v>
      </c>
      <c r="B220" s="45"/>
      <c r="C220" s="45" t="s">
        <v>677</v>
      </c>
      <c r="D220" s="45" t="s">
        <v>715</v>
      </c>
      <c r="E220" s="45" t="s">
        <v>715</v>
      </c>
    </row>
    <row r="221">
      <c r="A221" s="45" t="s">
        <v>984</v>
      </c>
      <c r="B221" s="45"/>
      <c r="C221" s="45" t="s">
        <v>698</v>
      </c>
      <c r="D221" s="45" t="s">
        <v>985</v>
      </c>
      <c r="E221" s="45" t="s">
        <v>986</v>
      </c>
    </row>
    <row r="222">
      <c r="A222" s="45" t="s">
        <v>987</v>
      </c>
      <c r="B222" s="45" t="s">
        <v>672</v>
      </c>
      <c r="C222" s="45" t="s">
        <v>698</v>
      </c>
      <c r="D222" s="45" t="s">
        <v>710</v>
      </c>
      <c r="E222" s="45" t="s">
        <v>988</v>
      </c>
    </row>
    <row r="223">
      <c r="A223" s="45" t="s">
        <v>989</v>
      </c>
      <c r="B223" s="45"/>
      <c r="C223" s="45" t="s">
        <v>698</v>
      </c>
      <c r="D223" s="45" t="s">
        <v>777</v>
      </c>
      <c r="E223" s="45" t="s">
        <v>990</v>
      </c>
    </row>
    <row r="224">
      <c r="A224" s="45" t="s">
        <v>991</v>
      </c>
      <c r="B224" s="45" t="s">
        <v>672</v>
      </c>
      <c r="C224" s="45" t="s">
        <v>673</v>
      </c>
      <c r="D224" s="45" t="s">
        <v>875</v>
      </c>
      <c r="E224" s="45" t="s">
        <v>775</v>
      </c>
    </row>
    <row r="225">
      <c r="A225" s="45" t="s">
        <v>992</v>
      </c>
      <c r="B225" s="45"/>
      <c r="C225" s="45" t="s">
        <v>677</v>
      </c>
      <c r="D225" s="45" t="s">
        <v>746</v>
      </c>
      <c r="E225" s="45" t="s">
        <v>771</v>
      </c>
    </row>
    <row r="226">
      <c r="A226" s="45" t="s">
        <v>993</v>
      </c>
      <c r="B226" s="45" t="s">
        <v>676</v>
      </c>
      <c r="C226" s="45" t="s">
        <v>677</v>
      </c>
      <c r="D226" s="45" t="s">
        <v>678</v>
      </c>
      <c r="E226" s="45" t="s">
        <v>679</v>
      </c>
    </row>
    <row r="227">
      <c r="A227" s="45" t="s">
        <v>994</v>
      </c>
      <c r="B227" s="45"/>
      <c r="C227" s="45" t="s">
        <v>677</v>
      </c>
      <c r="D227" s="45" t="s">
        <v>715</v>
      </c>
      <c r="E227" s="45" t="s">
        <v>715</v>
      </c>
    </row>
    <row r="228">
      <c r="A228" s="45" t="s">
        <v>995</v>
      </c>
      <c r="B228" s="45"/>
      <c r="C228" s="45" t="s">
        <v>702</v>
      </c>
      <c r="D228" s="45" t="s">
        <v>707</v>
      </c>
      <c r="E228" s="45" t="s">
        <v>707</v>
      </c>
    </row>
    <row r="229">
      <c r="A229" s="45" t="s">
        <v>996</v>
      </c>
      <c r="B229" s="45" t="s">
        <v>748</v>
      </c>
      <c r="C229" s="45" t="s">
        <v>686</v>
      </c>
      <c r="D229" s="45" t="s">
        <v>833</v>
      </c>
      <c r="E229" s="45" t="s">
        <v>833</v>
      </c>
    </row>
    <row r="230">
      <c r="A230" s="45" t="s">
        <v>997</v>
      </c>
      <c r="B230" s="45" t="s">
        <v>672</v>
      </c>
      <c r="C230" s="45" t="s">
        <v>677</v>
      </c>
      <c r="D230" s="45" t="s">
        <v>715</v>
      </c>
      <c r="E230" s="45" t="s">
        <v>715</v>
      </c>
    </row>
    <row r="231">
      <c r="A231" s="45" t="s">
        <v>998</v>
      </c>
      <c r="B231" s="45"/>
      <c r="C231" s="45" t="s">
        <v>694</v>
      </c>
      <c r="D231" s="45" t="s">
        <v>763</v>
      </c>
      <c r="E231" s="45" t="s">
        <v>764</v>
      </c>
    </row>
    <row r="232">
      <c r="A232" s="45" t="s">
        <v>999</v>
      </c>
      <c r="B232" s="45" t="s">
        <v>748</v>
      </c>
      <c r="C232" s="45" t="s">
        <v>698</v>
      </c>
      <c r="D232" s="45" t="s">
        <v>825</v>
      </c>
      <c r="E232" s="45" t="s">
        <v>826</v>
      </c>
    </row>
    <row r="233">
      <c r="A233" s="45" t="s">
        <v>1000</v>
      </c>
      <c r="B233" s="45"/>
      <c r="C233" s="45" t="s">
        <v>809</v>
      </c>
      <c r="D233" s="45" t="s">
        <v>705</v>
      </c>
      <c r="E233" s="45" t="s">
        <v>705</v>
      </c>
    </row>
    <row r="234">
      <c r="A234" s="45" t="s">
        <v>1001</v>
      </c>
      <c r="B234" s="45" t="s">
        <v>672</v>
      </c>
      <c r="C234" s="45" t="s">
        <v>677</v>
      </c>
      <c r="D234" s="45" t="s">
        <v>727</v>
      </c>
      <c r="E234" s="45" t="s">
        <v>761</v>
      </c>
    </row>
    <row r="235">
      <c r="A235" s="45" t="s">
        <v>1002</v>
      </c>
      <c r="B235" s="45"/>
      <c r="C235" s="45" t="s">
        <v>686</v>
      </c>
      <c r="D235" s="45" t="s">
        <v>687</v>
      </c>
      <c r="E235" s="45" t="s">
        <v>687</v>
      </c>
    </row>
    <row r="236">
      <c r="A236" s="45" t="s">
        <v>1003</v>
      </c>
      <c r="B236" s="45" t="s">
        <v>709</v>
      </c>
      <c r="C236" s="45" t="s">
        <v>677</v>
      </c>
      <c r="D236" s="45" t="s">
        <v>678</v>
      </c>
      <c r="E236" s="45" t="s">
        <v>679</v>
      </c>
    </row>
    <row r="237">
      <c r="A237" s="45" t="s">
        <v>1004</v>
      </c>
      <c r="B237" s="45" t="s">
        <v>709</v>
      </c>
      <c r="C237" s="45" t="s">
        <v>677</v>
      </c>
      <c r="D237" s="45" t="s">
        <v>678</v>
      </c>
      <c r="E237" s="45" t="s">
        <v>679</v>
      </c>
    </row>
    <row r="238">
      <c r="A238" s="45" t="s">
        <v>1005</v>
      </c>
      <c r="B238" s="45" t="s">
        <v>693</v>
      </c>
      <c r="C238" s="45" t="s">
        <v>694</v>
      </c>
      <c r="D238" s="45" t="s">
        <v>695</v>
      </c>
      <c r="E238" s="45" t="s">
        <v>696</v>
      </c>
    </row>
    <row r="239">
      <c r="A239" s="45" t="s">
        <v>1006</v>
      </c>
      <c r="B239" s="45"/>
      <c r="C239" s="45" t="s">
        <v>702</v>
      </c>
      <c r="D239" s="45" t="s">
        <v>702</v>
      </c>
      <c r="E239" s="45" t="s">
        <v>702</v>
      </c>
    </row>
    <row r="240">
      <c r="A240" s="45" t="s">
        <v>1007</v>
      </c>
      <c r="B240" s="45" t="s">
        <v>672</v>
      </c>
      <c r="C240" s="45" t="s">
        <v>681</v>
      </c>
      <c r="D240" s="45" t="s">
        <v>752</v>
      </c>
      <c r="E240" s="45" t="s">
        <v>753</v>
      </c>
    </row>
    <row r="241">
      <c r="A241" s="45" t="s">
        <v>1008</v>
      </c>
      <c r="B241" s="45"/>
      <c r="C241" s="45" t="s">
        <v>698</v>
      </c>
      <c r="D241" s="45" t="s">
        <v>825</v>
      </c>
      <c r="E241" s="45" t="s">
        <v>826</v>
      </c>
    </row>
    <row r="242">
      <c r="A242" s="45" t="s">
        <v>1009</v>
      </c>
      <c r="B242" s="45" t="s">
        <v>672</v>
      </c>
      <c r="C242" s="45" t="s">
        <v>698</v>
      </c>
      <c r="D242" s="45" t="s">
        <v>825</v>
      </c>
      <c r="E242" s="45" t="s">
        <v>826</v>
      </c>
    </row>
    <row r="243">
      <c r="A243" s="45" t="s">
        <v>1010</v>
      </c>
      <c r="B243" s="45"/>
      <c r="C243" s="45" t="s">
        <v>681</v>
      </c>
      <c r="D243" s="45" t="s">
        <v>752</v>
      </c>
      <c r="E243" s="45" t="s">
        <v>829</v>
      </c>
    </row>
    <row r="244">
      <c r="A244" s="45" t="s">
        <v>1011</v>
      </c>
      <c r="B244" s="45"/>
      <c r="C244" s="45" t="s">
        <v>681</v>
      </c>
      <c r="D244" s="45" t="s">
        <v>752</v>
      </c>
      <c r="E244" s="45" t="s">
        <v>829</v>
      </c>
    </row>
    <row r="245">
      <c r="A245" s="45" t="s">
        <v>1012</v>
      </c>
      <c r="B245" s="45"/>
      <c r="C245" s="45" t="s">
        <v>677</v>
      </c>
      <c r="D245" s="45" t="s">
        <v>715</v>
      </c>
      <c r="E245" s="45" t="s">
        <v>715</v>
      </c>
    </row>
    <row r="246">
      <c r="A246" s="45" t="s">
        <v>1013</v>
      </c>
      <c r="B246" s="45"/>
      <c r="C246" s="45" t="s">
        <v>694</v>
      </c>
      <c r="D246" s="45" t="s">
        <v>763</v>
      </c>
      <c r="E246" s="45" t="s">
        <v>764</v>
      </c>
    </row>
    <row r="247">
      <c r="A247" s="45" t="s">
        <v>1014</v>
      </c>
      <c r="B247" s="45" t="s">
        <v>676</v>
      </c>
      <c r="C247" s="45" t="s">
        <v>795</v>
      </c>
      <c r="D247" s="45" t="s">
        <v>909</v>
      </c>
      <c r="E247" s="45" t="s">
        <v>1015</v>
      </c>
    </row>
    <row r="248">
      <c r="A248" s="45" t="s">
        <v>1016</v>
      </c>
      <c r="B248" s="45" t="s">
        <v>709</v>
      </c>
      <c r="C248" s="45" t="s">
        <v>698</v>
      </c>
      <c r="D248" s="45" t="s">
        <v>707</v>
      </c>
      <c r="E248" s="45" t="s">
        <v>817</v>
      </c>
    </row>
    <row r="249">
      <c r="A249" s="82" t="s">
        <v>1017</v>
      </c>
      <c r="B249" s="82" t="s">
        <v>672</v>
      </c>
      <c r="C249" s="82" t="s">
        <v>698</v>
      </c>
      <c r="D249" s="82" t="s">
        <v>825</v>
      </c>
      <c r="E249" s="82" t="s">
        <v>826</v>
      </c>
    </row>
    <row r="250">
      <c r="A250" s="45" t="s">
        <v>1018</v>
      </c>
      <c r="B250" s="45" t="s">
        <v>672</v>
      </c>
      <c r="C250" s="45" t="s">
        <v>698</v>
      </c>
      <c r="D250" s="45" t="s">
        <v>722</v>
      </c>
      <c r="E250" s="45" t="s">
        <v>1019</v>
      </c>
    </row>
    <row r="251">
      <c r="A251" s="45" t="s">
        <v>1020</v>
      </c>
      <c r="B251" s="45" t="s">
        <v>672</v>
      </c>
      <c r="C251" s="45" t="s">
        <v>698</v>
      </c>
      <c r="D251" s="45" t="s">
        <v>1021</v>
      </c>
      <c r="E251" s="45" t="s">
        <v>1021</v>
      </c>
    </row>
    <row r="252">
      <c r="A252" s="45" t="s">
        <v>1022</v>
      </c>
      <c r="B252" s="45"/>
      <c r="C252" s="45" t="s">
        <v>686</v>
      </c>
      <c r="D252" s="45" t="s">
        <v>687</v>
      </c>
      <c r="E252" s="45" t="s">
        <v>687</v>
      </c>
    </row>
    <row r="253">
      <c r="A253" s="45" t="s">
        <v>1023</v>
      </c>
      <c r="B253" s="45" t="s">
        <v>672</v>
      </c>
      <c r="C253" s="45" t="s">
        <v>686</v>
      </c>
      <c r="D253" s="45" t="s">
        <v>687</v>
      </c>
      <c r="E253" s="45" t="s">
        <v>687</v>
      </c>
    </row>
    <row r="254">
      <c r="A254" s="45" t="s">
        <v>1024</v>
      </c>
      <c r="B254" s="45" t="s">
        <v>672</v>
      </c>
      <c r="C254" s="45" t="s">
        <v>809</v>
      </c>
      <c r="D254" s="45" t="s">
        <v>810</v>
      </c>
      <c r="E254" s="45" t="s">
        <v>810</v>
      </c>
    </row>
    <row r="255">
      <c r="A255" s="45" t="s">
        <v>1025</v>
      </c>
      <c r="B255" s="45"/>
      <c r="C255" s="45" t="s">
        <v>686</v>
      </c>
      <c r="D255" s="45" t="s">
        <v>687</v>
      </c>
      <c r="E255" s="45" t="s">
        <v>687</v>
      </c>
    </row>
    <row r="256">
      <c r="A256" s="82" t="s">
        <v>1026</v>
      </c>
      <c r="B256" s="82" t="s">
        <v>672</v>
      </c>
      <c r="C256" s="82" t="s">
        <v>698</v>
      </c>
      <c r="D256" s="82" t="s">
        <v>707</v>
      </c>
      <c r="E256" s="82" t="s">
        <v>817</v>
      </c>
    </row>
    <row r="257">
      <c r="A257" s="45" t="s">
        <v>1027</v>
      </c>
      <c r="B257" s="45" t="s">
        <v>672</v>
      </c>
      <c r="C257" s="45" t="s">
        <v>698</v>
      </c>
      <c r="D257" s="45" t="s">
        <v>707</v>
      </c>
      <c r="E257" s="45" t="s">
        <v>710</v>
      </c>
    </row>
    <row r="258">
      <c r="A258" s="45" t="s">
        <v>1028</v>
      </c>
      <c r="B258" s="45" t="s">
        <v>748</v>
      </c>
      <c r="C258" s="45" t="s">
        <v>673</v>
      </c>
      <c r="D258" s="45" t="s">
        <v>750</v>
      </c>
      <c r="E258" s="45" t="s">
        <v>750</v>
      </c>
    </row>
    <row r="259">
      <c r="A259" s="45" t="s">
        <v>1029</v>
      </c>
      <c r="B259" s="45" t="s">
        <v>672</v>
      </c>
      <c r="C259" s="45" t="s">
        <v>677</v>
      </c>
      <c r="D259" s="45" t="s">
        <v>715</v>
      </c>
      <c r="E259" s="45" t="s">
        <v>715</v>
      </c>
    </row>
    <row r="260">
      <c r="A260" s="45" t="s">
        <v>1030</v>
      </c>
      <c r="B260" s="45" t="s">
        <v>672</v>
      </c>
      <c r="C260" s="45" t="s">
        <v>694</v>
      </c>
      <c r="D260" s="45" t="s">
        <v>695</v>
      </c>
      <c r="E260" s="45" t="s">
        <v>982</v>
      </c>
    </row>
    <row r="261">
      <c r="A261" s="45" t="s">
        <v>1031</v>
      </c>
      <c r="B261" s="45" t="s">
        <v>672</v>
      </c>
      <c r="C261" s="45" t="s">
        <v>677</v>
      </c>
      <c r="D261" s="45" t="s">
        <v>715</v>
      </c>
      <c r="E261" s="45" t="s">
        <v>759</v>
      </c>
    </row>
    <row r="262">
      <c r="A262" s="45" t="s">
        <v>1032</v>
      </c>
      <c r="B262" s="45" t="s">
        <v>672</v>
      </c>
      <c r="C262" s="45" t="s">
        <v>698</v>
      </c>
      <c r="D262" s="45" t="s">
        <v>707</v>
      </c>
      <c r="E262" s="45" t="s">
        <v>710</v>
      </c>
    </row>
    <row r="263">
      <c r="A263" s="45" t="s">
        <v>1033</v>
      </c>
      <c r="B263" s="45" t="s">
        <v>693</v>
      </c>
      <c r="C263" s="45" t="s">
        <v>795</v>
      </c>
      <c r="D263" s="45" t="s">
        <v>738</v>
      </c>
      <c r="E263" s="45" t="s">
        <v>739</v>
      </c>
    </row>
    <row r="264">
      <c r="A264" s="45" t="s">
        <v>1034</v>
      </c>
      <c r="B264" s="45" t="s">
        <v>693</v>
      </c>
      <c r="C264" s="45" t="s">
        <v>795</v>
      </c>
      <c r="D264" s="45" t="s">
        <v>738</v>
      </c>
      <c r="E264" s="45" t="s">
        <v>739</v>
      </c>
    </row>
    <row r="265">
      <c r="A265" s="45" t="s">
        <v>1035</v>
      </c>
      <c r="B265" s="45" t="s">
        <v>672</v>
      </c>
      <c r="C265" s="45" t="s">
        <v>798</v>
      </c>
      <c r="D265" s="45" t="s">
        <v>798</v>
      </c>
      <c r="E265" s="45" t="s">
        <v>1036</v>
      </c>
    </row>
    <row r="266">
      <c r="A266" s="45" t="s">
        <v>1037</v>
      </c>
      <c r="B266" s="45"/>
      <c r="C266" s="45" t="s">
        <v>694</v>
      </c>
      <c r="D266" s="45" t="s">
        <v>695</v>
      </c>
      <c r="E266" s="45" t="s">
        <v>982</v>
      </c>
    </row>
    <row r="267">
      <c r="A267" s="45" t="s">
        <v>1038</v>
      </c>
      <c r="B267" s="45" t="s">
        <v>672</v>
      </c>
      <c r="C267" s="45" t="s">
        <v>809</v>
      </c>
      <c r="D267" s="45" t="s">
        <v>810</v>
      </c>
      <c r="E267" s="45" t="s">
        <v>810</v>
      </c>
    </row>
    <row r="268">
      <c r="A268" s="45" t="s">
        <v>1039</v>
      </c>
      <c r="B268" s="45"/>
      <c r="C268" s="45" t="s">
        <v>702</v>
      </c>
      <c r="D268" s="45" t="s">
        <v>702</v>
      </c>
      <c r="E268" s="45" t="s">
        <v>702</v>
      </c>
    </row>
    <row r="269">
      <c r="A269" s="45" t="s">
        <v>1040</v>
      </c>
      <c r="B269" s="45" t="s">
        <v>693</v>
      </c>
      <c r="C269" s="45" t="s">
        <v>677</v>
      </c>
      <c r="D269" s="45" t="s">
        <v>890</v>
      </c>
      <c r="E269" s="45" t="s">
        <v>890</v>
      </c>
    </row>
    <row r="270">
      <c r="A270" s="45" t="s">
        <v>1041</v>
      </c>
      <c r="B270" s="45" t="s">
        <v>672</v>
      </c>
      <c r="C270" s="45" t="s">
        <v>681</v>
      </c>
      <c r="D270" s="45" t="s">
        <v>752</v>
      </c>
      <c r="E270" s="45" t="s">
        <v>829</v>
      </c>
    </row>
    <row r="271">
      <c r="A271" s="45" t="s">
        <v>1042</v>
      </c>
      <c r="B271" s="45" t="s">
        <v>672</v>
      </c>
      <c r="C271" s="45" t="s">
        <v>698</v>
      </c>
      <c r="D271" s="45" t="s">
        <v>825</v>
      </c>
      <c r="E271" s="45" t="s">
        <v>826</v>
      </c>
    </row>
    <row r="272">
      <c r="A272" s="45" t="s">
        <v>1043</v>
      </c>
      <c r="B272" s="45" t="s">
        <v>672</v>
      </c>
      <c r="C272" s="45" t="s">
        <v>698</v>
      </c>
      <c r="D272" s="45" t="s">
        <v>777</v>
      </c>
      <c r="E272" s="45" t="s">
        <v>778</v>
      </c>
    </row>
    <row r="273">
      <c r="A273" s="82" t="s">
        <v>1044</v>
      </c>
      <c r="B273" s="82" t="s">
        <v>672</v>
      </c>
      <c r="C273" s="82" t="s">
        <v>698</v>
      </c>
      <c r="D273" s="82" t="s">
        <v>825</v>
      </c>
      <c r="E273" s="82" t="s">
        <v>826</v>
      </c>
    </row>
    <row r="274">
      <c r="A274" s="45" t="s">
        <v>1045</v>
      </c>
      <c r="B274" s="45"/>
      <c r="C274" s="45" t="s">
        <v>677</v>
      </c>
      <c r="D274" s="45" t="s">
        <v>678</v>
      </c>
      <c r="E274" s="45" t="s">
        <v>877</v>
      </c>
    </row>
    <row r="275">
      <c r="A275" s="45" t="s">
        <v>1046</v>
      </c>
      <c r="B275" s="45"/>
      <c r="C275" s="45" t="s">
        <v>795</v>
      </c>
      <c r="D275" s="45" t="s">
        <v>885</v>
      </c>
      <c r="E275" s="45" t="s">
        <v>1047</v>
      </c>
    </row>
    <row r="276">
      <c r="A276" s="45" t="s">
        <v>1048</v>
      </c>
      <c r="B276" s="45"/>
      <c r="C276" s="45" t="s">
        <v>702</v>
      </c>
      <c r="D276" s="45" t="s">
        <v>702</v>
      </c>
      <c r="E276" s="45" t="s">
        <v>702</v>
      </c>
    </row>
    <row r="277">
      <c r="A277" s="45" t="s">
        <v>1049</v>
      </c>
      <c r="B277" s="45" t="s">
        <v>672</v>
      </c>
      <c r="C277" s="45" t="s">
        <v>698</v>
      </c>
      <c r="D277" s="45" t="s">
        <v>707</v>
      </c>
      <c r="E277" s="45" t="s">
        <v>1050</v>
      </c>
    </row>
    <row r="278">
      <c r="A278" s="45" t="s">
        <v>1051</v>
      </c>
      <c r="B278" s="45" t="s">
        <v>672</v>
      </c>
      <c r="C278" s="45" t="s">
        <v>694</v>
      </c>
      <c r="D278" s="45" t="s">
        <v>741</v>
      </c>
      <c r="E278" s="45" t="s">
        <v>713</v>
      </c>
    </row>
    <row r="279">
      <c r="A279" s="45" t="s">
        <v>1052</v>
      </c>
      <c r="B279" s="45"/>
      <c r="C279" s="45" t="s">
        <v>694</v>
      </c>
      <c r="D279" s="45" t="s">
        <v>707</v>
      </c>
      <c r="E279" s="45" t="s">
        <v>819</v>
      </c>
    </row>
    <row r="280">
      <c r="A280" s="45" t="s">
        <v>1053</v>
      </c>
      <c r="B280" s="45" t="s">
        <v>672</v>
      </c>
      <c r="C280" s="45" t="s">
        <v>795</v>
      </c>
      <c r="D280" s="45" t="s">
        <v>738</v>
      </c>
      <c r="E280" s="45" t="s">
        <v>739</v>
      </c>
    </row>
    <row r="281">
      <c r="A281" s="45" t="s">
        <v>1054</v>
      </c>
      <c r="B281" s="45"/>
      <c r="C281" s="45" t="s">
        <v>698</v>
      </c>
      <c r="D281" s="45" t="s">
        <v>710</v>
      </c>
      <c r="E281" s="45" t="s">
        <v>1055</v>
      </c>
    </row>
    <row r="282">
      <c r="A282" s="45" t="s">
        <v>1056</v>
      </c>
      <c r="B282" s="45"/>
      <c r="C282" s="45" t="s">
        <v>681</v>
      </c>
      <c r="D282" s="45" t="s">
        <v>752</v>
      </c>
      <c r="E282" s="45" t="s">
        <v>753</v>
      </c>
    </row>
    <row r="283">
      <c r="A283" s="45" t="s">
        <v>1057</v>
      </c>
      <c r="B283" s="45" t="s">
        <v>693</v>
      </c>
      <c r="C283" s="45" t="s">
        <v>677</v>
      </c>
      <c r="D283" s="45" t="s">
        <v>715</v>
      </c>
      <c r="E283" s="45" t="s">
        <v>715</v>
      </c>
    </row>
    <row r="284">
      <c r="A284" s="45" t="s">
        <v>1058</v>
      </c>
      <c r="B284" s="45"/>
      <c r="C284" s="45" t="s">
        <v>677</v>
      </c>
      <c r="D284" s="45" t="s">
        <v>1059</v>
      </c>
      <c r="E284" s="45" t="s">
        <v>1059</v>
      </c>
    </row>
    <row r="285">
      <c r="A285" s="45" t="s">
        <v>1060</v>
      </c>
      <c r="B285" s="45" t="s">
        <v>672</v>
      </c>
      <c r="C285" s="45" t="s">
        <v>698</v>
      </c>
      <c r="D285" s="45" t="s">
        <v>722</v>
      </c>
      <c r="E285" s="45" t="s">
        <v>1019</v>
      </c>
    </row>
    <row r="286">
      <c r="A286" s="45" t="s">
        <v>1061</v>
      </c>
      <c r="B286" s="45" t="s">
        <v>672</v>
      </c>
      <c r="C286" s="45" t="s">
        <v>681</v>
      </c>
      <c r="D286" s="45" t="s">
        <v>752</v>
      </c>
      <c r="E286" s="45" t="s">
        <v>753</v>
      </c>
    </row>
    <row r="287">
      <c r="A287" s="45" t="s">
        <v>1062</v>
      </c>
      <c r="B287" s="45" t="s">
        <v>693</v>
      </c>
      <c r="C287" s="45" t="s">
        <v>694</v>
      </c>
      <c r="D287" s="45" t="s">
        <v>695</v>
      </c>
      <c r="E287" s="45" t="s">
        <v>957</v>
      </c>
    </row>
    <row r="288">
      <c r="A288" s="45" t="s">
        <v>1063</v>
      </c>
      <c r="B288" s="45" t="s">
        <v>672</v>
      </c>
      <c r="C288" s="45" t="s">
        <v>698</v>
      </c>
      <c r="D288" s="45" t="s">
        <v>825</v>
      </c>
      <c r="E288" s="45" t="s">
        <v>826</v>
      </c>
    </row>
    <row r="289">
      <c r="A289" s="45" t="s">
        <v>1064</v>
      </c>
      <c r="B289" s="45"/>
      <c r="C289" s="45" t="s">
        <v>795</v>
      </c>
      <c r="D289" s="45" t="s">
        <v>909</v>
      </c>
      <c r="E289" s="45" t="s">
        <v>1015</v>
      </c>
    </row>
    <row r="290">
      <c r="A290" s="45" t="s">
        <v>1065</v>
      </c>
      <c r="B290" s="45" t="s">
        <v>1066</v>
      </c>
      <c r="C290" s="45" t="s">
        <v>698</v>
      </c>
      <c r="D290" s="45" t="s">
        <v>722</v>
      </c>
      <c r="E290" s="45" t="s">
        <v>1019</v>
      </c>
    </row>
    <row r="291">
      <c r="A291" s="45" t="s">
        <v>1067</v>
      </c>
      <c r="B291" s="45"/>
      <c r="C291" s="45" t="s">
        <v>795</v>
      </c>
      <c r="D291" s="45" t="s">
        <v>1068</v>
      </c>
      <c r="E291" s="45" t="s">
        <v>1068</v>
      </c>
    </row>
    <row r="292">
      <c r="A292" s="45" t="s">
        <v>1069</v>
      </c>
      <c r="B292" s="45" t="s">
        <v>672</v>
      </c>
      <c r="C292" s="45" t="s">
        <v>698</v>
      </c>
      <c r="D292" s="45" t="s">
        <v>825</v>
      </c>
      <c r="E292" s="45" t="s">
        <v>826</v>
      </c>
    </row>
    <row r="293">
      <c r="A293" s="45" t="s">
        <v>1070</v>
      </c>
      <c r="B293" s="45"/>
      <c r="C293" s="45" t="s">
        <v>694</v>
      </c>
      <c r="D293" s="45" t="s">
        <v>763</v>
      </c>
      <c r="E293" s="45" t="s">
        <v>1071</v>
      </c>
    </row>
    <row r="294">
      <c r="A294" s="45" t="s">
        <v>1072</v>
      </c>
      <c r="B294" s="45" t="s">
        <v>676</v>
      </c>
      <c r="C294" s="45" t="s">
        <v>677</v>
      </c>
      <c r="D294" s="45" t="s">
        <v>715</v>
      </c>
      <c r="E294" s="45" t="s">
        <v>715</v>
      </c>
    </row>
    <row r="295">
      <c r="A295" s="45" t="s">
        <v>1073</v>
      </c>
      <c r="B295" s="45"/>
      <c r="C295" s="45" t="s">
        <v>694</v>
      </c>
      <c r="D295" s="45" t="s">
        <v>819</v>
      </c>
      <c r="E295" s="45" t="s">
        <v>954</v>
      </c>
    </row>
    <row r="296">
      <c r="A296" s="45" t="s">
        <v>1074</v>
      </c>
      <c r="B296" s="45" t="s">
        <v>672</v>
      </c>
      <c r="C296" s="45" t="s">
        <v>698</v>
      </c>
      <c r="D296" s="45" t="s">
        <v>1021</v>
      </c>
      <c r="E296" s="45" t="s">
        <v>1021</v>
      </c>
    </row>
    <row r="297">
      <c r="A297" s="45" t="s">
        <v>1075</v>
      </c>
      <c r="B297" s="45"/>
      <c r="C297" s="45" t="s">
        <v>698</v>
      </c>
      <c r="D297" s="45" t="s">
        <v>985</v>
      </c>
      <c r="E297" s="45" t="s">
        <v>986</v>
      </c>
    </row>
    <row r="298">
      <c r="A298" s="45" t="s">
        <v>1076</v>
      </c>
      <c r="B298" s="45"/>
      <c r="C298" s="45" t="s">
        <v>795</v>
      </c>
      <c r="D298" s="45" t="s">
        <v>909</v>
      </c>
      <c r="E298" s="45" t="s">
        <v>1015</v>
      </c>
    </row>
    <row r="299">
      <c r="A299" s="45" t="s">
        <v>1077</v>
      </c>
      <c r="B299" s="45" t="s">
        <v>672</v>
      </c>
      <c r="C299" s="45" t="s">
        <v>686</v>
      </c>
      <c r="D299" s="45" t="s">
        <v>687</v>
      </c>
      <c r="E299" s="45" t="s">
        <v>687</v>
      </c>
    </row>
    <row r="300">
      <c r="A300" s="45" t="s">
        <v>1078</v>
      </c>
      <c r="B300" s="45"/>
      <c r="C300" s="45" t="s">
        <v>694</v>
      </c>
      <c r="D300" s="45" t="s">
        <v>763</v>
      </c>
      <c r="E300" s="45" t="s">
        <v>764</v>
      </c>
    </row>
    <row r="301">
      <c r="A301" s="45" t="s">
        <v>1079</v>
      </c>
      <c r="B301" s="45" t="s">
        <v>748</v>
      </c>
      <c r="C301" s="45" t="s">
        <v>673</v>
      </c>
      <c r="D301" s="45" t="s">
        <v>775</v>
      </c>
      <c r="E301" s="45" t="s">
        <v>775</v>
      </c>
    </row>
    <row r="302">
      <c r="A302" s="45" t="s">
        <v>1080</v>
      </c>
      <c r="B302" s="45" t="s">
        <v>672</v>
      </c>
      <c r="C302" s="45" t="s">
        <v>681</v>
      </c>
      <c r="D302" s="45" t="s">
        <v>789</v>
      </c>
      <c r="E302" s="45" t="s">
        <v>1081</v>
      </c>
    </row>
    <row r="303">
      <c r="A303" s="45" t="s">
        <v>1082</v>
      </c>
      <c r="B303" s="45" t="s">
        <v>748</v>
      </c>
      <c r="C303" s="45" t="s">
        <v>795</v>
      </c>
      <c r="D303" s="45" t="s">
        <v>804</v>
      </c>
      <c r="E303" s="45" t="s">
        <v>948</v>
      </c>
    </row>
    <row r="304">
      <c r="A304" s="45" t="s">
        <v>1083</v>
      </c>
      <c r="B304" s="45"/>
      <c r="C304" s="45" t="s">
        <v>677</v>
      </c>
      <c r="D304" s="45" t="s">
        <v>725</v>
      </c>
      <c r="E304" s="45" t="s">
        <v>725</v>
      </c>
    </row>
    <row r="305">
      <c r="A305" s="45" t="s">
        <v>1084</v>
      </c>
      <c r="B305" s="45"/>
      <c r="C305" s="45" t="s">
        <v>681</v>
      </c>
      <c r="D305" s="45" t="s">
        <v>752</v>
      </c>
      <c r="E305" s="45" t="s">
        <v>829</v>
      </c>
    </row>
    <row r="306">
      <c r="A306" s="45" t="s">
        <v>1085</v>
      </c>
      <c r="B306" s="45" t="s">
        <v>672</v>
      </c>
      <c r="C306" s="45" t="s">
        <v>673</v>
      </c>
      <c r="D306" s="45" t="s">
        <v>674</v>
      </c>
      <c r="E306" s="45" t="s">
        <v>674</v>
      </c>
    </row>
    <row r="307">
      <c r="A307" s="45" t="s">
        <v>1086</v>
      </c>
      <c r="B307" s="45" t="s">
        <v>672</v>
      </c>
      <c r="C307" s="45" t="s">
        <v>673</v>
      </c>
      <c r="D307" s="45" t="s">
        <v>775</v>
      </c>
      <c r="E307" s="45" t="s">
        <v>775</v>
      </c>
    </row>
    <row r="308">
      <c r="A308" s="45" t="s">
        <v>1087</v>
      </c>
      <c r="B308" s="45" t="s">
        <v>709</v>
      </c>
      <c r="C308" s="45" t="s">
        <v>704</v>
      </c>
      <c r="D308" s="45" t="s">
        <v>705</v>
      </c>
      <c r="E308" s="45" t="s">
        <v>705</v>
      </c>
    </row>
    <row r="309">
      <c r="A309" s="45" t="s">
        <v>1088</v>
      </c>
      <c r="B309" s="45" t="s">
        <v>672</v>
      </c>
      <c r="C309" s="45" t="s">
        <v>686</v>
      </c>
      <c r="D309" s="45" t="s">
        <v>687</v>
      </c>
      <c r="E309" s="45" t="s">
        <v>687</v>
      </c>
    </row>
    <row r="310">
      <c r="A310" s="45" t="s">
        <v>1089</v>
      </c>
      <c r="B310" s="45" t="s">
        <v>693</v>
      </c>
      <c r="C310" s="45" t="s">
        <v>702</v>
      </c>
      <c r="D310" s="45" t="s">
        <v>702</v>
      </c>
      <c r="E310" s="45" t="s">
        <v>702</v>
      </c>
    </row>
    <row r="311">
      <c r="A311" s="45" t="s">
        <v>1090</v>
      </c>
      <c r="B311" s="45" t="s">
        <v>693</v>
      </c>
      <c r="C311" s="45" t="s">
        <v>702</v>
      </c>
      <c r="D311" s="45" t="s">
        <v>702</v>
      </c>
      <c r="E311" s="45" t="s">
        <v>702</v>
      </c>
    </row>
    <row r="312">
      <c r="A312" s="45" t="s">
        <v>1091</v>
      </c>
      <c r="B312" s="45" t="s">
        <v>693</v>
      </c>
      <c r="C312" s="45" t="s">
        <v>702</v>
      </c>
      <c r="D312" s="45" t="s">
        <v>702</v>
      </c>
      <c r="E312" s="45" t="s">
        <v>702</v>
      </c>
    </row>
    <row r="313">
      <c r="A313" s="45" t="s">
        <v>1092</v>
      </c>
      <c r="B313" s="45" t="s">
        <v>693</v>
      </c>
      <c r="C313" s="45" t="s">
        <v>702</v>
      </c>
      <c r="D313" s="45" t="s">
        <v>702</v>
      </c>
      <c r="E313" s="45" t="s">
        <v>702</v>
      </c>
    </row>
    <row r="314">
      <c r="A314" s="45" t="s">
        <v>1093</v>
      </c>
      <c r="B314" s="45" t="s">
        <v>672</v>
      </c>
      <c r="C314" s="45" t="s">
        <v>798</v>
      </c>
      <c r="D314" s="45" t="s">
        <v>798</v>
      </c>
      <c r="E314" s="45" t="s">
        <v>1036</v>
      </c>
    </row>
    <row r="315">
      <c r="A315" s="45" t="s">
        <v>1094</v>
      </c>
      <c r="B315" s="45"/>
      <c r="C315" s="45" t="s">
        <v>686</v>
      </c>
      <c r="D315" s="45" t="s">
        <v>687</v>
      </c>
      <c r="E315" s="45" t="s">
        <v>687</v>
      </c>
    </row>
    <row r="316">
      <c r="A316" s="45" t="s">
        <v>1095</v>
      </c>
      <c r="B316" s="45" t="s">
        <v>672</v>
      </c>
      <c r="C316" s="45" t="s">
        <v>673</v>
      </c>
      <c r="D316" s="45" t="s">
        <v>674</v>
      </c>
      <c r="E316" s="45" t="s">
        <v>674</v>
      </c>
    </row>
    <row r="317">
      <c r="A317" s="45" t="s">
        <v>1096</v>
      </c>
      <c r="B317" s="45"/>
      <c r="C317" s="45" t="s">
        <v>795</v>
      </c>
      <c r="D317" s="45" t="s">
        <v>885</v>
      </c>
      <c r="E317" s="45" t="s">
        <v>1047</v>
      </c>
    </row>
    <row r="318">
      <c r="A318" s="45" t="s">
        <v>1097</v>
      </c>
      <c r="B318" s="45" t="s">
        <v>709</v>
      </c>
      <c r="C318" s="45" t="s">
        <v>681</v>
      </c>
      <c r="D318" s="45" t="s">
        <v>875</v>
      </c>
      <c r="E318" s="45" t="s">
        <v>733</v>
      </c>
    </row>
    <row r="319">
      <c r="A319" s="45" t="s">
        <v>1098</v>
      </c>
      <c r="B319" s="45" t="s">
        <v>672</v>
      </c>
      <c r="C319" s="45" t="s">
        <v>698</v>
      </c>
      <c r="D319" s="45" t="s">
        <v>825</v>
      </c>
      <c r="E319" s="45" t="s">
        <v>826</v>
      </c>
    </row>
    <row r="320">
      <c r="A320" s="45" t="s">
        <v>1099</v>
      </c>
      <c r="B320" s="45"/>
      <c r="C320" s="45" t="s">
        <v>677</v>
      </c>
      <c r="D320" s="45" t="s">
        <v>725</v>
      </c>
      <c r="E320" s="45" t="s">
        <v>725</v>
      </c>
    </row>
    <row r="321">
      <c r="A321" s="82" t="s">
        <v>1100</v>
      </c>
      <c r="B321" s="82" t="s">
        <v>672</v>
      </c>
      <c r="C321" s="82" t="s">
        <v>677</v>
      </c>
      <c r="D321" s="82" t="s">
        <v>746</v>
      </c>
      <c r="E321" s="82" t="s">
        <v>771</v>
      </c>
    </row>
    <row r="322">
      <c r="A322" s="45" t="s">
        <v>1101</v>
      </c>
      <c r="B322" s="45"/>
      <c r="C322" s="45" t="s">
        <v>677</v>
      </c>
      <c r="D322" s="45" t="s">
        <v>1059</v>
      </c>
      <c r="E322" s="45" t="s">
        <v>1059</v>
      </c>
    </row>
    <row r="323">
      <c r="A323" s="45" t="s">
        <v>1102</v>
      </c>
      <c r="B323" s="45" t="s">
        <v>676</v>
      </c>
      <c r="C323" s="45" t="s">
        <v>798</v>
      </c>
      <c r="D323" s="45" t="s">
        <v>798</v>
      </c>
      <c r="E323" s="45" t="s">
        <v>799</v>
      </c>
    </row>
    <row r="324">
      <c r="A324" s="82" t="s">
        <v>1103</v>
      </c>
      <c r="B324" s="82" t="s">
        <v>672</v>
      </c>
      <c r="C324" s="82" t="s">
        <v>698</v>
      </c>
      <c r="D324" s="82" t="s">
        <v>707</v>
      </c>
      <c r="E324" s="83" t="s">
        <v>817</v>
      </c>
    </row>
    <row r="325">
      <c r="A325" s="45" t="s">
        <v>1104</v>
      </c>
      <c r="B325" s="45" t="s">
        <v>672</v>
      </c>
      <c r="C325" s="45" t="s">
        <v>673</v>
      </c>
      <c r="D325" s="45" t="s">
        <v>875</v>
      </c>
      <c r="E325" s="45" t="s">
        <v>775</v>
      </c>
    </row>
    <row r="326">
      <c r="A326" s="82" t="s">
        <v>1105</v>
      </c>
      <c r="B326" s="82" t="s">
        <v>672</v>
      </c>
      <c r="C326" s="82" t="s">
        <v>673</v>
      </c>
      <c r="D326" s="82" t="s">
        <v>875</v>
      </c>
      <c r="E326" s="82" t="s">
        <v>775</v>
      </c>
    </row>
    <row r="327">
      <c r="A327" s="45" t="s">
        <v>1106</v>
      </c>
      <c r="B327" s="45" t="s">
        <v>676</v>
      </c>
      <c r="C327" s="45" t="s">
        <v>677</v>
      </c>
      <c r="D327" s="45" t="s">
        <v>678</v>
      </c>
      <c r="E327" s="45" t="s">
        <v>679</v>
      </c>
    </row>
    <row r="328">
      <c r="A328" s="45" t="s">
        <v>1107</v>
      </c>
      <c r="B328" s="45"/>
      <c r="C328" s="45" t="s">
        <v>698</v>
      </c>
      <c r="D328" s="45" t="s">
        <v>1021</v>
      </c>
      <c r="E328" s="45" t="s">
        <v>1021</v>
      </c>
    </row>
    <row r="329">
      <c r="A329" s="82" t="s">
        <v>1108</v>
      </c>
      <c r="B329" s="82" t="s">
        <v>672</v>
      </c>
      <c r="C329" s="82" t="s">
        <v>698</v>
      </c>
      <c r="D329" s="82" t="s">
        <v>825</v>
      </c>
      <c r="E329" s="82" t="s">
        <v>826</v>
      </c>
    </row>
    <row r="330">
      <c r="A330" s="45" t="s">
        <v>1109</v>
      </c>
      <c r="B330" s="45"/>
      <c r="C330" s="45" t="s">
        <v>677</v>
      </c>
      <c r="D330" s="45" t="s">
        <v>725</v>
      </c>
      <c r="E330" s="45" t="s">
        <v>725</v>
      </c>
    </row>
    <row r="331">
      <c r="A331" s="45" t="s">
        <v>1110</v>
      </c>
      <c r="B331" s="45" t="s">
        <v>672</v>
      </c>
      <c r="C331" s="45" t="s">
        <v>795</v>
      </c>
      <c r="D331" s="45" t="s">
        <v>885</v>
      </c>
      <c r="E331" s="45" t="s">
        <v>1111</v>
      </c>
    </row>
    <row r="332">
      <c r="A332" s="45" t="s">
        <v>1112</v>
      </c>
      <c r="B332" s="45" t="s">
        <v>693</v>
      </c>
      <c r="C332" s="45" t="s">
        <v>677</v>
      </c>
      <c r="D332" s="45" t="s">
        <v>890</v>
      </c>
      <c r="E332" s="45" t="s">
        <v>890</v>
      </c>
    </row>
    <row r="333">
      <c r="A333" s="45" t="s">
        <v>1113</v>
      </c>
      <c r="B333" s="45"/>
      <c r="C333" s="45" t="s">
        <v>673</v>
      </c>
      <c r="D333" s="45" t="s">
        <v>875</v>
      </c>
      <c r="E333" s="45" t="s">
        <v>775</v>
      </c>
    </row>
    <row r="334">
      <c r="A334" s="45" t="s">
        <v>1114</v>
      </c>
      <c r="B334" s="45" t="s">
        <v>676</v>
      </c>
      <c r="C334" s="45" t="s">
        <v>694</v>
      </c>
      <c r="D334" s="45" t="s">
        <v>819</v>
      </c>
      <c r="E334" s="45" t="s">
        <v>954</v>
      </c>
    </row>
    <row r="335">
      <c r="A335" s="45" t="s">
        <v>1115</v>
      </c>
      <c r="B335" s="45"/>
      <c r="C335" s="45" t="s">
        <v>702</v>
      </c>
      <c r="D335" s="45" t="s">
        <v>695</v>
      </c>
      <c r="E335" s="45" t="s">
        <v>696</v>
      </c>
    </row>
    <row r="336">
      <c r="A336" s="45" t="s">
        <v>1116</v>
      </c>
      <c r="B336" s="45" t="s">
        <v>672</v>
      </c>
      <c r="C336" s="45" t="s">
        <v>809</v>
      </c>
      <c r="D336" s="45" t="s">
        <v>1117</v>
      </c>
      <c r="E336" s="45" t="s">
        <v>1117</v>
      </c>
    </row>
    <row r="337">
      <c r="A337" s="45" t="s">
        <v>1118</v>
      </c>
      <c r="B337" s="45"/>
      <c r="C337" s="45" t="s">
        <v>702</v>
      </c>
      <c r="D337" s="45" t="s">
        <v>702</v>
      </c>
      <c r="E337" s="45" t="s">
        <v>702</v>
      </c>
    </row>
    <row r="338">
      <c r="A338" s="45" t="s">
        <v>1119</v>
      </c>
      <c r="B338" s="45" t="s">
        <v>963</v>
      </c>
      <c r="C338" s="45" t="s">
        <v>677</v>
      </c>
      <c r="D338" s="45" t="s">
        <v>746</v>
      </c>
      <c r="E338" s="45" t="s">
        <v>771</v>
      </c>
    </row>
    <row r="339">
      <c r="A339" s="45" t="s">
        <v>1120</v>
      </c>
      <c r="B339" s="45"/>
      <c r="C339" s="45" t="s">
        <v>677</v>
      </c>
      <c r="D339" s="45" t="s">
        <v>678</v>
      </c>
      <c r="E339" s="45" t="s">
        <v>679</v>
      </c>
    </row>
    <row r="340">
      <c r="A340" s="45" t="s">
        <v>1121</v>
      </c>
      <c r="B340" s="45" t="s">
        <v>672</v>
      </c>
      <c r="C340" s="45" t="s">
        <v>798</v>
      </c>
      <c r="D340" s="45" t="s">
        <v>798</v>
      </c>
      <c r="E340" s="45" t="s">
        <v>799</v>
      </c>
    </row>
    <row r="341">
      <c r="A341" s="45" t="s">
        <v>1122</v>
      </c>
      <c r="B341" s="45" t="s">
        <v>693</v>
      </c>
      <c r="C341" s="45" t="s">
        <v>686</v>
      </c>
      <c r="D341" s="45" t="s">
        <v>687</v>
      </c>
      <c r="E341" s="45" t="s">
        <v>687</v>
      </c>
    </row>
    <row r="342">
      <c r="A342" s="45" t="s">
        <v>1123</v>
      </c>
      <c r="B342" s="45" t="s">
        <v>748</v>
      </c>
      <c r="C342" s="45" t="s">
        <v>694</v>
      </c>
      <c r="D342" s="45" t="s">
        <v>713</v>
      </c>
      <c r="E342" s="45" t="s">
        <v>713</v>
      </c>
    </row>
    <row r="343">
      <c r="A343" s="45" t="s">
        <v>1124</v>
      </c>
      <c r="B343" s="45" t="s">
        <v>693</v>
      </c>
      <c r="C343" s="45" t="s">
        <v>702</v>
      </c>
      <c r="D343" s="45" t="s">
        <v>702</v>
      </c>
      <c r="E343" s="45" t="s">
        <v>702</v>
      </c>
    </row>
    <row r="344">
      <c r="A344" s="45" t="s">
        <v>1125</v>
      </c>
      <c r="B344" s="45" t="s">
        <v>672</v>
      </c>
      <c r="C344" s="45" t="s">
        <v>677</v>
      </c>
      <c r="D344" s="45" t="s">
        <v>727</v>
      </c>
      <c r="E344" s="45" t="s">
        <v>761</v>
      </c>
    </row>
    <row r="345">
      <c r="A345" s="45" t="s">
        <v>1126</v>
      </c>
      <c r="B345" s="45"/>
      <c r="C345" s="45" t="s">
        <v>694</v>
      </c>
      <c r="D345" s="45" t="s">
        <v>695</v>
      </c>
      <c r="E345" s="45" t="s">
        <v>696</v>
      </c>
    </row>
    <row r="346">
      <c r="A346" s="45" t="s">
        <v>1127</v>
      </c>
      <c r="B346" s="45" t="s">
        <v>672</v>
      </c>
      <c r="C346" s="45" t="s">
        <v>694</v>
      </c>
      <c r="D346" s="45" t="s">
        <v>741</v>
      </c>
      <c r="E346" s="45" t="s">
        <v>941</v>
      </c>
    </row>
    <row r="347">
      <c r="A347" s="45" t="s">
        <v>1128</v>
      </c>
      <c r="B347" s="45" t="s">
        <v>1066</v>
      </c>
      <c r="C347" s="45" t="s">
        <v>694</v>
      </c>
      <c r="D347" s="45" t="s">
        <v>763</v>
      </c>
      <c r="E347" s="45" t="s">
        <v>764</v>
      </c>
    </row>
    <row r="348">
      <c r="A348" s="45" t="s">
        <v>1129</v>
      </c>
      <c r="B348" s="45"/>
      <c r="C348" s="45" t="s">
        <v>698</v>
      </c>
      <c r="D348" s="45" t="s">
        <v>710</v>
      </c>
      <c r="E348" s="45" t="s">
        <v>835</v>
      </c>
    </row>
    <row r="349">
      <c r="A349" s="45" t="s">
        <v>1130</v>
      </c>
      <c r="B349" s="45" t="s">
        <v>672</v>
      </c>
      <c r="C349" s="45" t="s">
        <v>673</v>
      </c>
      <c r="D349" s="45" t="s">
        <v>674</v>
      </c>
      <c r="E349" s="45" t="s">
        <v>674</v>
      </c>
    </row>
    <row r="350">
      <c r="A350" s="45" t="s">
        <v>1131</v>
      </c>
      <c r="B350" s="45" t="s">
        <v>748</v>
      </c>
      <c r="C350" s="45" t="s">
        <v>809</v>
      </c>
      <c r="D350" s="45" t="s">
        <v>810</v>
      </c>
      <c r="E350" s="45" t="s">
        <v>810</v>
      </c>
    </row>
    <row r="351">
      <c r="A351" s="45" t="s">
        <v>1132</v>
      </c>
      <c r="B351" s="45" t="s">
        <v>693</v>
      </c>
      <c r="C351" s="45" t="s">
        <v>702</v>
      </c>
      <c r="D351" s="45" t="s">
        <v>702</v>
      </c>
      <c r="E351" s="45" t="s">
        <v>702</v>
      </c>
    </row>
    <row r="352">
      <c r="A352" s="45" t="s">
        <v>1133</v>
      </c>
      <c r="B352" s="45" t="s">
        <v>672</v>
      </c>
      <c r="C352" s="45" t="s">
        <v>673</v>
      </c>
      <c r="D352" s="45" t="s">
        <v>875</v>
      </c>
      <c r="E352" s="45" t="s">
        <v>775</v>
      </c>
    </row>
    <row r="353">
      <c r="A353" s="45" t="s">
        <v>1134</v>
      </c>
      <c r="B353" s="45" t="s">
        <v>672</v>
      </c>
      <c r="C353" s="45" t="s">
        <v>694</v>
      </c>
      <c r="D353" s="45" t="s">
        <v>695</v>
      </c>
      <c r="E353" s="45" t="s">
        <v>957</v>
      </c>
    </row>
    <row r="354">
      <c r="A354" s="45" t="s">
        <v>1135</v>
      </c>
      <c r="B354" s="45"/>
      <c r="C354" s="45" t="s">
        <v>795</v>
      </c>
      <c r="D354" s="45" t="s">
        <v>909</v>
      </c>
      <c r="E354" s="45" t="s">
        <v>1015</v>
      </c>
    </row>
    <row r="355">
      <c r="A355" s="45" t="s">
        <v>1136</v>
      </c>
      <c r="B355" s="45"/>
      <c r="C355" s="45" t="s">
        <v>798</v>
      </c>
      <c r="D355" s="45" t="s">
        <v>798</v>
      </c>
      <c r="E355" s="45" t="s">
        <v>805</v>
      </c>
    </row>
    <row r="356">
      <c r="A356" s="45" t="s">
        <v>1137</v>
      </c>
      <c r="B356" s="45" t="s">
        <v>709</v>
      </c>
      <c r="C356" s="45" t="s">
        <v>694</v>
      </c>
      <c r="D356" s="45" t="s">
        <v>819</v>
      </c>
      <c r="E356" s="45" t="s">
        <v>954</v>
      </c>
    </row>
    <row r="357">
      <c r="A357" s="45" t="s">
        <v>1138</v>
      </c>
      <c r="B357" s="45" t="s">
        <v>693</v>
      </c>
      <c r="C357" s="45" t="s">
        <v>677</v>
      </c>
      <c r="D357" s="45" t="s">
        <v>725</v>
      </c>
      <c r="E357" s="45" t="s">
        <v>725</v>
      </c>
    </row>
    <row r="358">
      <c r="A358" s="45" t="s">
        <v>1139</v>
      </c>
      <c r="B358" s="45"/>
      <c r="C358" s="45" t="s">
        <v>694</v>
      </c>
      <c r="D358" s="45" t="s">
        <v>819</v>
      </c>
      <c r="E358" s="45" t="s">
        <v>954</v>
      </c>
    </row>
    <row r="359">
      <c r="A359" s="45" t="s">
        <v>1140</v>
      </c>
      <c r="B359" s="45" t="s">
        <v>672</v>
      </c>
      <c r="C359" s="45" t="s">
        <v>698</v>
      </c>
      <c r="D359" s="45" t="s">
        <v>825</v>
      </c>
      <c r="E359" s="45" t="s">
        <v>826</v>
      </c>
    </row>
    <row r="360">
      <c r="A360" s="45" t="s">
        <v>1141</v>
      </c>
      <c r="B360" s="45"/>
      <c r="C360" s="45" t="s">
        <v>694</v>
      </c>
      <c r="D360" s="45" t="s">
        <v>695</v>
      </c>
      <c r="E360" s="45" t="s">
        <v>720</v>
      </c>
    </row>
    <row r="361">
      <c r="A361" s="45" t="s">
        <v>1142</v>
      </c>
      <c r="B361" s="45"/>
      <c r="C361" s="45" t="s">
        <v>686</v>
      </c>
      <c r="D361" s="45" t="s">
        <v>687</v>
      </c>
      <c r="E361" s="45" t="s">
        <v>687</v>
      </c>
    </row>
    <row r="362">
      <c r="A362" s="45" t="s">
        <v>1143</v>
      </c>
      <c r="B362" s="45" t="s">
        <v>672</v>
      </c>
      <c r="C362" s="45" t="s">
        <v>698</v>
      </c>
      <c r="D362" s="45" t="s">
        <v>722</v>
      </c>
      <c r="E362" s="45" t="s">
        <v>1019</v>
      </c>
    </row>
    <row r="363">
      <c r="A363" s="45" t="s">
        <v>1144</v>
      </c>
      <c r="B363" s="45"/>
      <c r="C363" s="45" t="s">
        <v>681</v>
      </c>
      <c r="D363" s="45" t="s">
        <v>752</v>
      </c>
      <c r="E363" s="45" t="s">
        <v>814</v>
      </c>
    </row>
    <row r="364">
      <c r="A364" s="45" t="s">
        <v>1145</v>
      </c>
      <c r="B364" s="45" t="s">
        <v>672</v>
      </c>
      <c r="C364" s="45" t="s">
        <v>694</v>
      </c>
      <c r="D364" s="45" t="s">
        <v>695</v>
      </c>
      <c r="E364" s="45" t="s">
        <v>957</v>
      </c>
    </row>
    <row r="365">
      <c r="A365" s="45" t="s">
        <v>1146</v>
      </c>
      <c r="B365" s="45" t="s">
        <v>676</v>
      </c>
      <c r="C365" s="45" t="s">
        <v>686</v>
      </c>
      <c r="D365" s="45" t="s">
        <v>687</v>
      </c>
      <c r="E365" s="45" t="s">
        <v>687</v>
      </c>
    </row>
    <row r="366">
      <c r="A366" s="45" t="s">
        <v>1147</v>
      </c>
      <c r="B366" s="45" t="s">
        <v>672</v>
      </c>
      <c r="C366" s="45" t="s">
        <v>694</v>
      </c>
      <c r="D366" s="45" t="s">
        <v>763</v>
      </c>
      <c r="E366" s="45" t="s">
        <v>764</v>
      </c>
    </row>
    <row r="367">
      <c r="A367" s="45" t="s">
        <v>1148</v>
      </c>
      <c r="B367" s="45"/>
      <c r="C367" s="45" t="s">
        <v>677</v>
      </c>
      <c r="D367" s="45" t="s">
        <v>678</v>
      </c>
      <c r="E367" s="45" t="s">
        <v>679</v>
      </c>
    </row>
    <row r="368">
      <c r="A368" s="45" t="s">
        <v>1149</v>
      </c>
      <c r="B368" s="45"/>
      <c r="C368" s="45" t="s">
        <v>798</v>
      </c>
      <c r="D368" s="45" t="s">
        <v>798</v>
      </c>
      <c r="E368" s="45" t="s">
        <v>799</v>
      </c>
    </row>
    <row r="369">
      <c r="A369" s="45" t="s">
        <v>1150</v>
      </c>
      <c r="B369" s="45"/>
      <c r="C369" s="45" t="s">
        <v>694</v>
      </c>
      <c r="D369" s="45" t="s">
        <v>695</v>
      </c>
      <c r="E369" s="45" t="s">
        <v>720</v>
      </c>
    </row>
    <row r="370">
      <c r="A370" s="45" t="s">
        <v>1151</v>
      </c>
      <c r="B370" s="45" t="s">
        <v>672</v>
      </c>
      <c r="C370" s="45" t="s">
        <v>698</v>
      </c>
      <c r="D370" s="45" t="s">
        <v>825</v>
      </c>
      <c r="E370" s="45" t="s">
        <v>826</v>
      </c>
    </row>
    <row r="371">
      <c r="A371" s="45" t="s">
        <v>1152</v>
      </c>
      <c r="B371" s="45"/>
      <c r="C371" s="45" t="s">
        <v>694</v>
      </c>
      <c r="D371" s="45" t="s">
        <v>819</v>
      </c>
      <c r="E371" s="45" t="s">
        <v>954</v>
      </c>
    </row>
    <row r="372">
      <c r="A372" s="45" t="s">
        <v>1153</v>
      </c>
      <c r="B372" s="45"/>
      <c r="C372" s="45" t="s">
        <v>694</v>
      </c>
      <c r="D372" s="45" t="s">
        <v>695</v>
      </c>
      <c r="E372" s="45" t="s">
        <v>696</v>
      </c>
    </row>
    <row r="373">
      <c r="A373" s="45" t="s">
        <v>1154</v>
      </c>
      <c r="B373" s="45"/>
      <c r="C373" s="45" t="s">
        <v>677</v>
      </c>
      <c r="D373" s="45" t="s">
        <v>678</v>
      </c>
      <c r="E373" s="45" t="s">
        <v>679</v>
      </c>
    </row>
    <row r="374">
      <c r="A374" s="45" t="s">
        <v>1155</v>
      </c>
      <c r="B374" s="45" t="s">
        <v>676</v>
      </c>
      <c r="C374" s="45" t="s">
        <v>686</v>
      </c>
      <c r="D374" s="45" t="s">
        <v>833</v>
      </c>
      <c r="E374" s="45" t="s">
        <v>833</v>
      </c>
    </row>
    <row r="375">
      <c r="A375" s="45" t="s">
        <v>1156</v>
      </c>
      <c r="B375" s="45" t="s">
        <v>672</v>
      </c>
      <c r="C375" s="45" t="s">
        <v>686</v>
      </c>
      <c r="D375" s="45" t="s">
        <v>833</v>
      </c>
      <c r="E375" s="45" t="s">
        <v>833</v>
      </c>
    </row>
    <row r="376">
      <c r="A376" s="45" t="s">
        <v>1157</v>
      </c>
      <c r="B376" s="45" t="s">
        <v>672</v>
      </c>
      <c r="C376" s="45" t="s">
        <v>677</v>
      </c>
      <c r="D376" s="45" t="s">
        <v>715</v>
      </c>
      <c r="E376" s="45" t="s">
        <v>715</v>
      </c>
    </row>
    <row r="377">
      <c r="A377" s="45" t="s">
        <v>1158</v>
      </c>
      <c r="B377" s="45" t="s">
        <v>672</v>
      </c>
      <c r="C377" s="45" t="s">
        <v>698</v>
      </c>
      <c r="D377" s="45" t="s">
        <v>722</v>
      </c>
      <c r="E377" s="45" t="s">
        <v>723</v>
      </c>
    </row>
    <row r="378">
      <c r="A378" s="45" t="s">
        <v>1159</v>
      </c>
      <c r="B378" s="45" t="s">
        <v>672</v>
      </c>
      <c r="C378" s="45" t="s">
        <v>698</v>
      </c>
      <c r="D378" s="45" t="s">
        <v>710</v>
      </c>
      <c r="E378" s="45" t="s">
        <v>835</v>
      </c>
    </row>
    <row r="379">
      <c r="A379" s="45" t="s">
        <v>1160</v>
      </c>
      <c r="B379" s="45" t="s">
        <v>672</v>
      </c>
      <c r="C379" s="45" t="s">
        <v>698</v>
      </c>
      <c r="D379" s="45" t="s">
        <v>699</v>
      </c>
      <c r="E379" s="45" t="s">
        <v>700</v>
      </c>
    </row>
    <row r="380">
      <c r="A380" s="45" t="s">
        <v>1161</v>
      </c>
      <c r="B380" s="45"/>
      <c r="C380" s="45" t="s">
        <v>694</v>
      </c>
      <c r="D380" s="45" t="s">
        <v>763</v>
      </c>
      <c r="E380" s="45" t="s">
        <v>1162</v>
      </c>
    </row>
    <row r="381">
      <c r="A381" s="82" t="s">
        <v>1163</v>
      </c>
      <c r="B381" s="82" t="s">
        <v>672</v>
      </c>
      <c r="C381" s="82" t="s">
        <v>677</v>
      </c>
      <c r="D381" s="82" t="s">
        <v>1059</v>
      </c>
      <c r="E381" s="82" t="s">
        <v>1059</v>
      </c>
    </row>
    <row r="382">
      <c r="A382" s="45" t="s">
        <v>574</v>
      </c>
      <c r="B382" s="45" t="s">
        <v>672</v>
      </c>
      <c r="C382" s="45" t="s">
        <v>694</v>
      </c>
      <c r="D382" s="45" t="s">
        <v>695</v>
      </c>
      <c r="E382" s="45" t="s">
        <v>1164</v>
      </c>
    </row>
    <row r="383">
      <c r="A383" s="45" t="s">
        <v>1165</v>
      </c>
      <c r="B383" s="45" t="s">
        <v>672</v>
      </c>
      <c r="C383" s="45" t="s">
        <v>681</v>
      </c>
      <c r="D383" s="45" t="s">
        <v>690</v>
      </c>
      <c r="E383" s="45" t="s">
        <v>691</v>
      </c>
    </row>
    <row r="384">
      <c r="A384" s="45" t="s">
        <v>1166</v>
      </c>
      <c r="B384" s="45" t="s">
        <v>693</v>
      </c>
      <c r="C384" s="45" t="s">
        <v>702</v>
      </c>
      <c r="D384" s="45" t="s">
        <v>702</v>
      </c>
      <c r="E384" s="45" t="s">
        <v>702</v>
      </c>
    </row>
    <row r="385">
      <c r="A385" s="45" t="s">
        <v>1167</v>
      </c>
      <c r="B385" s="45" t="s">
        <v>676</v>
      </c>
      <c r="C385" s="45" t="s">
        <v>698</v>
      </c>
      <c r="D385" s="45" t="s">
        <v>707</v>
      </c>
      <c r="E385" s="45" t="s">
        <v>817</v>
      </c>
    </row>
    <row r="386">
      <c r="A386" s="45" t="s">
        <v>1168</v>
      </c>
      <c r="B386" s="45" t="s">
        <v>1066</v>
      </c>
      <c r="C386" s="45" t="s">
        <v>698</v>
      </c>
      <c r="D386" s="45" t="s">
        <v>699</v>
      </c>
      <c r="E386" s="45" t="s">
        <v>1169</v>
      </c>
    </row>
    <row r="387">
      <c r="A387" s="45" t="s">
        <v>1170</v>
      </c>
      <c r="B387" s="45" t="s">
        <v>672</v>
      </c>
      <c r="C387" s="45" t="s">
        <v>698</v>
      </c>
      <c r="D387" s="45" t="s">
        <v>722</v>
      </c>
      <c r="E387" s="45" t="s">
        <v>1171</v>
      </c>
    </row>
    <row r="388">
      <c r="A388" s="45" t="s">
        <v>1172</v>
      </c>
      <c r="B388" s="45" t="s">
        <v>672</v>
      </c>
      <c r="C388" s="45" t="s">
        <v>681</v>
      </c>
      <c r="D388" s="45" t="s">
        <v>752</v>
      </c>
      <c r="E388" s="45" t="s">
        <v>814</v>
      </c>
    </row>
    <row r="389">
      <c r="A389" s="45" t="s">
        <v>1173</v>
      </c>
      <c r="B389" s="45"/>
      <c r="C389" s="45" t="s">
        <v>686</v>
      </c>
      <c r="D389" s="45" t="s">
        <v>833</v>
      </c>
      <c r="E389" s="45" t="s">
        <v>833</v>
      </c>
    </row>
    <row r="390">
      <c r="A390" s="45" t="s">
        <v>1174</v>
      </c>
      <c r="B390" s="45"/>
      <c r="C390" s="45" t="s">
        <v>795</v>
      </c>
      <c r="D390" s="45" t="s">
        <v>1175</v>
      </c>
      <c r="E390" s="45" t="s">
        <v>1175</v>
      </c>
    </row>
    <row r="391">
      <c r="A391" s="82" t="s">
        <v>1176</v>
      </c>
      <c r="B391" s="82"/>
      <c r="C391" s="45" t="s">
        <v>702</v>
      </c>
      <c r="D391" s="82" t="s">
        <v>690</v>
      </c>
      <c r="E391" s="82" t="s">
        <v>690</v>
      </c>
    </row>
    <row r="392">
      <c r="A392" s="82" t="s">
        <v>1177</v>
      </c>
      <c r="B392" s="82" t="s">
        <v>672</v>
      </c>
      <c r="C392" s="82" t="s">
        <v>698</v>
      </c>
      <c r="D392" s="82" t="s">
        <v>707</v>
      </c>
      <c r="E392" s="82" t="s">
        <v>710</v>
      </c>
    </row>
    <row r="393">
      <c r="A393" s="45" t="s">
        <v>1178</v>
      </c>
      <c r="B393" s="45"/>
      <c r="C393" s="45" t="s">
        <v>694</v>
      </c>
      <c r="D393" s="45" t="s">
        <v>741</v>
      </c>
      <c r="E393" s="45" t="s">
        <v>1179</v>
      </c>
    </row>
    <row r="394">
      <c r="A394" s="45" t="s">
        <v>1180</v>
      </c>
      <c r="B394" s="45"/>
      <c r="C394" s="45" t="s">
        <v>677</v>
      </c>
      <c r="D394" s="45" t="s">
        <v>1059</v>
      </c>
      <c r="E394" s="45" t="s">
        <v>1059</v>
      </c>
    </row>
    <row r="395">
      <c r="A395" s="45" t="s">
        <v>1181</v>
      </c>
      <c r="B395" s="45" t="s">
        <v>693</v>
      </c>
      <c r="C395" s="45" t="s">
        <v>702</v>
      </c>
      <c r="D395" s="45" t="s">
        <v>702</v>
      </c>
      <c r="E395" s="45" t="s">
        <v>702</v>
      </c>
    </row>
    <row r="396">
      <c r="A396" s="45" t="s">
        <v>1182</v>
      </c>
      <c r="B396" s="45" t="s">
        <v>672</v>
      </c>
      <c r="C396" s="45" t="s">
        <v>809</v>
      </c>
      <c r="D396" s="45" t="s">
        <v>810</v>
      </c>
      <c r="E396" s="45" t="s">
        <v>810</v>
      </c>
    </row>
    <row r="397">
      <c r="A397" s="45" t="s">
        <v>1183</v>
      </c>
      <c r="B397" s="45" t="s">
        <v>676</v>
      </c>
      <c r="C397" s="45" t="s">
        <v>694</v>
      </c>
      <c r="D397" s="45" t="s">
        <v>695</v>
      </c>
      <c r="E397" s="45" t="s">
        <v>696</v>
      </c>
    </row>
    <row r="398">
      <c r="A398" s="45" t="s">
        <v>1184</v>
      </c>
      <c r="B398" s="45"/>
      <c r="C398" s="45" t="s">
        <v>686</v>
      </c>
      <c r="D398" s="45" t="s">
        <v>687</v>
      </c>
      <c r="E398" s="45" t="s">
        <v>687</v>
      </c>
    </row>
    <row r="399">
      <c r="A399" s="45" t="s">
        <v>1185</v>
      </c>
      <c r="B399" s="45"/>
      <c r="C399" s="45" t="s">
        <v>686</v>
      </c>
      <c r="D399" s="45" t="s">
        <v>687</v>
      </c>
      <c r="E399" s="45" t="s">
        <v>687</v>
      </c>
    </row>
    <row r="400">
      <c r="A400" s="45" t="s">
        <v>1186</v>
      </c>
      <c r="B400" s="45" t="s">
        <v>748</v>
      </c>
      <c r="C400" s="45" t="s">
        <v>694</v>
      </c>
      <c r="D400" s="45" t="s">
        <v>763</v>
      </c>
      <c r="E400" s="45" t="s">
        <v>1071</v>
      </c>
    </row>
    <row r="401">
      <c r="A401" s="45" t="s">
        <v>1187</v>
      </c>
      <c r="B401" s="45"/>
      <c r="C401" s="45" t="s">
        <v>795</v>
      </c>
      <c r="D401" s="45" t="s">
        <v>909</v>
      </c>
      <c r="E401" s="45" t="s">
        <v>1015</v>
      </c>
    </row>
    <row r="402">
      <c r="A402" s="45" t="s">
        <v>1188</v>
      </c>
      <c r="B402" s="45" t="s">
        <v>676</v>
      </c>
      <c r="C402" s="45" t="s">
        <v>677</v>
      </c>
      <c r="D402" s="45" t="s">
        <v>727</v>
      </c>
      <c r="E402" s="45" t="s">
        <v>761</v>
      </c>
    </row>
    <row r="403">
      <c r="A403" s="45" t="s">
        <v>1189</v>
      </c>
      <c r="B403" s="45" t="s">
        <v>672</v>
      </c>
      <c r="C403" s="45" t="s">
        <v>795</v>
      </c>
      <c r="D403" s="45" t="s">
        <v>909</v>
      </c>
      <c r="E403" s="45" t="s">
        <v>1015</v>
      </c>
    </row>
    <row r="404">
      <c r="A404" s="45" t="s">
        <v>1190</v>
      </c>
      <c r="B404" s="45" t="s">
        <v>676</v>
      </c>
      <c r="C404" s="45" t="s">
        <v>686</v>
      </c>
      <c r="D404" s="45" t="s">
        <v>687</v>
      </c>
      <c r="E404" s="45" t="s">
        <v>687</v>
      </c>
    </row>
    <row r="405">
      <c r="A405" s="45" t="s">
        <v>1191</v>
      </c>
      <c r="B405" s="45" t="s">
        <v>676</v>
      </c>
      <c r="C405" s="45" t="s">
        <v>694</v>
      </c>
      <c r="D405" s="45" t="s">
        <v>763</v>
      </c>
      <c r="E405" s="45" t="s">
        <v>1192</v>
      </c>
    </row>
    <row r="406">
      <c r="A406" s="45" t="s">
        <v>1193</v>
      </c>
      <c r="B406" s="45"/>
      <c r="C406" s="45" t="s">
        <v>694</v>
      </c>
      <c r="D406" s="45" t="s">
        <v>741</v>
      </c>
      <c r="E406" s="45" t="s">
        <v>1179</v>
      </c>
    </row>
    <row r="407">
      <c r="A407" s="45" t="s">
        <v>1194</v>
      </c>
      <c r="B407" s="45" t="s">
        <v>672</v>
      </c>
      <c r="C407" s="45" t="s">
        <v>698</v>
      </c>
      <c r="D407" s="45" t="s">
        <v>825</v>
      </c>
      <c r="E407" s="45" t="s">
        <v>826</v>
      </c>
    </row>
    <row r="408">
      <c r="A408" s="45" t="s">
        <v>1195</v>
      </c>
      <c r="B408" s="45" t="s">
        <v>672</v>
      </c>
      <c r="C408" s="45" t="s">
        <v>698</v>
      </c>
      <c r="D408" s="45" t="s">
        <v>710</v>
      </c>
      <c r="E408" s="45" t="s">
        <v>1055</v>
      </c>
    </row>
    <row r="409">
      <c r="A409" s="45" t="s">
        <v>1196</v>
      </c>
      <c r="B409" s="45"/>
      <c r="C409" s="45" t="s">
        <v>698</v>
      </c>
      <c r="D409" s="45" t="s">
        <v>710</v>
      </c>
      <c r="E409" s="45" t="s">
        <v>835</v>
      </c>
    </row>
    <row r="410">
      <c r="A410" s="45" t="s">
        <v>1197</v>
      </c>
      <c r="B410" s="45"/>
      <c r="C410" s="45" t="s">
        <v>704</v>
      </c>
      <c r="D410" s="45" t="s">
        <v>705</v>
      </c>
      <c r="E410" s="45" t="s">
        <v>705</v>
      </c>
    </row>
    <row r="411">
      <c r="A411" s="45" t="s">
        <v>1198</v>
      </c>
      <c r="B411" s="45" t="s">
        <v>672</v>
      </c>
      <c r="C411" s="45" t="s">
        <v>698</v>
      </c>
      <c r="D411" s="45" t="s">
        <v>825</v>
      </c>
      <c r="E411" s="45" t="s">
        <v>826</v>
      </c>
    </row>
    <row r="412">
      <c r="A412" s="45" t="s">
        <v>1199</v>
      </c>
      <c r="B412" s="45"/>
      <c r="C412" s="45" t="s">
        <v>686</v>
      </c>
      <c r="D412" s="45" t="s">
        <v>687</v>
      </c>
      <c r="E412" s="45" t="s">
        <v>687</v>
      </c>
    </row>
    <row r="413">
      <c r="A413" s="45" t="s">
        <v>1200</v>
      </c>
      <c r="B413" s="45" t="s">
        <v>672</v>
      </c>
      <c r="C413" s="45" t="s">
        <v>681</v>
      </c>
      <c r="D413" s="45" t="s">
        <v>690</v>
      </c>
      <c r="E413" s="45" t="s">
        <v>691</v>
      </c>
    </row>
    <row r="414">
      <c r="A414" s="45" t="s">
        <v>1201</v>
      </c>
      <c r="B414" s="45"/>
      <c r="C414" s="45" t="s">
        <v>702</v>
      </c>
      <c r="D414" s="45" t="s">
        <v>710</v>
      </c>
      <c r="E414" s="45" t="s">
        <v>710</v>
      </c>
    </row>
    <row r="415">
      <c r="A415" s="45" t="s">
        <v>1202</v>
      </c>
      <c r="B415" s="45" t="s">
        <v>672</v>
      </c>
      <c r="C415" s="45" t="s">
        <v>694</v>
      </c>
      <c r="D415" s="45" t="s">
        <v>695</v>
      </c>
      <c r="E415" s="45" t="s">
        <v>1164</v>
      </c>
    </row>
    <row r="416">
      <c r="A416" s="45" t="s">
        <v>1203</v>
      </c>
      <c r="B416" s="45" t="s">
        <v>676</v>
      </c>
      <c r="C416" s="45" t="s">
        <v>686</v>
      </c>
      <c r="D416" s="45" t="s">
        <v>687</v>
      </c>
      <c r="E416" s="45" t="s">
        <v>687</v>
      </c>
    </row>
    <row r="417">
      <c r="A417" s="45" t="s">
        <v>1204</v>
      </c>
      <c r="B417" s="45" t="s">
        <v>672</v>
      </c>
      <c r="C417" s="45" t="s">
        <v>704</v>
      </c>
      <c r="D417" s="45" t="s">
        <v>705</v>
      </c>
      <c r="E417" s="45" t="s">
        <v>705</v>
      </c>
    </row>
    <row r="418">
      <c r="A418" s="45" t="s">
        <v>1205</v>
      </c>
      <c r="B418" s="45"/>
      <c r="C418" s="45" t="s">
        <v>795</v>
      </c>
      <c r="D418" s="45" t="s">
        <v>885</v>
      </c>
      <c r="E418" s="45" t="s">
        <v>1047</v>
      </c>
    </row>
    <row r="419">
      <c r="A419" s="45" t="s">
        <v>1206</v>
      </c>
      <c r="B419" s="45"/>
      <c r="C419" s="45" t="s">
        <v>686</v>
      </c>
      <c r="D419" s="45" t="s">
        <v>687</v>
      </c>
      <c r="E419" s="45" t="s">
        <v>687</v>
      </c>
    </row>
    <row r="420">
      <c r="A420" s="45" t="s">
        <v>1207</v>
      </c>
      <c r="B420" s="45" t="s">
        <v>672</v>
      </c>
      <c r="C420" s="45" t="s">
        <v>809</v>
      </c>
      <c r="D420" s="45" t="s">
        <v>810</v>
      </c>
      <c r="E420" s="45" t="s">
        <v>810</v>
      </c>
    </row>
    <row r="421">
      <c r="A421" s="45" t="s">
        <v>1208</v>
      </c>
      <c r="B421" s="45" t="s">
        <v>672</v>
      </c>
      <c r="C421" s="45" t="s">
        <v>694</v>
      </c>
      <c r="D421" s="45" t="s">
        <v>695</v>
      </c>
      <c r="E421" s="45" t="s">
        <v>720</v>
      </c>
    </row>
    <row r="422">
      <c r="A422" s="45" t="s">
        <v>1209</v>
      </c>
      <c r="B422" s="45"/>
      <c r="C422" s="45" t="s">
        <v>694</v>
      </c>
      <c r="D422" s="45" t="s">
        <v>695</v>
      </c>
      <c r="E422" s="45" t="s">
        <v>720</v>
      </c>
    </row>
    <row r="423">
      <c r="A423" s="45" t="s">
        <v>1210</v>
      </c>
      <c r="B423" s="45" t="s">
        <v>672</v>
      </c>
      <c r="C423" s="45" t="s">
        <v>698</v>
      </c>
      <c r="D423" s="45" t="s">
        <v>825</v>
      </c>
      <c r="E423" s="45" t="s">
        <v>826</v>
      </c>
    </row>
    <row r="424">
      <c r="A424" s="45" t="s">
        <v>1211</v>
      </c>
      <c r="B424" s="45" t="s">
        <v>709</v>
      </c>
      <c r="C424" s="45" t="s">
        <v>686</v>
      </c>
      <c r="D424" s="45" t="s">
        <v>687</v>
      </c>
      <c r="E424" s="45" t="s">
        <v>687</v>
      </c>
    </row>
    <row r="425">
      <c r="A425" s="45" t="s">
        <v>1212</v>
      </c>
      <c r="B425" s="45" t="s">
        <v>672</v>
      </c>
      <c r="C425" s="45" t="s">
        <v>694</v>
      </c>
      <c r="D425" s="45" t="s">
        <v>819</v>
      </c>
      <c r="E425" s="45" t="s">
        <v>954</v>
      </c>
    </row>
    <row r="426">
      <c r="A426" s="45" t="s">
        <v>1213</v>
      </c>
      <c r="B426" s="45"/>
      <c r="C426" s="45" t="s">
        <v>698</v>
      </c>
      <c r="D426" s="45" t="s">
        <v>710</v>
      </c>
      <c r="E426" s="45" t="s">
        <v>835</v>
      </c>
    </row>
    <row r="427">
      <c r="A427" s="45" t="s">
        <v>1214</v>
      </c>
      <c r="B427" s="45" t="s">
        <v>672</v>
      </c>
      <c r="C427" s="45" t="s">
        <v>698</v>
      </c>
      <c r="D427" s="45" t="s">
        <v>985</v>
      </c>
      <c r="E427" s="45" t="s">
        <v>1215</v>
      </c>
    </row>
    <row r="428">
      <c r="A428" s="45" t="s">
        <v>1216</v>
      </c>
      <c r="B428" s="45" t="s">
        <v>672</v>
      </c>
      <c r="C428" s="45" t="s">
        <v>798</v>
      </c>
      <c r="D428" s="45" t="s">
        <v>798</v>
      </c>
      <c r="E428" s="45" t="s">
        <v>799</v>
      </c>
    </row>
    <row r="429">
      <c r="A429" s="45" t="s">
        <v>1217</v>
      </c>
      <c r="B429" s="45"/>
      <c r="C429" s="45" t="s">
        <v>698</v>
      </c>
      <c r="D429" s="45" t="s">
        <v>722</v>
      </c>
      <c r="E429" s="45" t="s">
        <v>1019</v>
      </c>
    </row>
    <row r="430">
      <c r="A430" s="45" t="s">
        <v>1218</v>
      </c>
      <c r="B430" s="45"/>
      <c r="C430" s="45" t="s">
        <v>795</v>
      </c>
      <c r="D430" s="45" t="s">
        <v>804</v>
      </c>
      <c r="E430" s="45" t="s">
        <v>879</v>
      </c>
    </row>
    <row r="431">
      <c r="A431" s="45" t="s">
        <v>1219</v>
      </c>
      <c r="B431" s="45" t="s">
        <v>693</v>
      </c>
      <c r="C431" s="45" t="s">
        <v>686</v>
      </c>
      <c r="D431" s="45" t="s">
        <v>687</v>
      </c>
      <c r="E431" s="45" t="s">
        <v>687</v>
      </c>
    </row>
    <row r="432">
      <c r="A432" s="45" t="s">
        <v>1220</v>
      </c>
      <c r="B432" s="45" t="s">
        <v>709</v>
      </c>
      <c r="C432" s="45" t="s">
        <v>795</v>
      </c>
      <c r="D432" s="45" t="s">
        <v>885</v>
      </c>
      <c r="E432" s="45" t="s">
        <v>886</v>
      </c>
    </row>
    <row r="433">
      <c r="A433" s="45" t="s">
        <v>1221</v>
      </c>
      <c r="B433" s="45" t="s">
        <v>672</v>
      </c>
      <c r="C433" s="45" t="s">
        <v>795</v>
      </c>
      <c r="D433" s="45" t="s">
        <v>738</v>
      </c>
      <c r="E433" s="45" t="s">
        <v>739</v>
      </c>
    </row>
    <row r="434">
      <c r="A434" s="45" t="s">
        <v>1222</v>
      </c>
      <c r="B434" s="45"/>
      <c r="C434" s="45" t="s">
        <v>698</v>
      </c>
      <c r="D434" s="45" t="s">
        <v>687</v>
      </c>
      <c r="E434" s="45" t="s">
        <v>687</v>
      </c>
    </row>
    <row r="435">
      <c r="A435" s="45" t="s">
        <v>1223</v>
      </c>
      <c r="B435" s="45"/>
      <c r="C435" s="45" t="s">
        <v>677</v>
      </c>
      <c r="D435" s="45" t="s">
        <v>725</v>
      </c>
      <c r="E435" s="45" t="s">
        <v>725</v>
      </c>
    </row>
    <row r="436">
      <c r="A436" s="45" t="s">
        <v>1224</v>
      </c>
      <c r="B436" s="45"/>
      <c r="C436" s="45" t="s">
        <v>702</v>
      </c>
      <c r="D436" s="45" t="s">
        <v>804</v>
      </c>
      <c r="E436" s="45" t="s">
        <v>879</v>
      </c>
    </row>
    <row r="437">
      <c r="A437" s="45" t="s">
        <v>1225</v>
      </c>
      <c r="B437" s="45" t="s">
        <v>672</v>
      </c>
      <c r="C437" s="45" t="s">
        <v>698</v>
      </c>
      <c r="D437" s="45" t="s">
        <v>710</v>
      </c>
      <c r="E437" s="45" t="s">
        <v>1055</v>
      </c>
    </row>
    <row r="438">
      <c r="A438" s="45" t="s">
        <v>1226</v>
      </c>
      <c r="B438" s="45" t="s">
        <v>672</v>
      </c>
      <c r="C438" s="45" t="s">
        <v>698</v>
      </c>
      <c r="D438" s="45" t="s">
        <v>825</v>
      </c>
      <c r="E438" s="45" t="s">
        <v>826</v>
      </c>
    </row>
    <row r="439">
      <c r="A439" s="45" t="s">
        <v>1227</v>
      </c>
      <c r="B439" s="45"/>
      <c r="C439" s="45" t="s">
        <v>704</v>
      </c>
      <c r="D439" s="45" t="s">
        <v>705</v>
      </c>
      <c r="E439" s="45" t="s">
        <v>705</v>
      </c>
    </row>
    <row r="440">
      <c r="A440" s="45" t="s">
        <v>1228</v>
      </c>
      <c r="B440" s="45" t="s">
        <v>672</v>
      </c>
      <c r="C440" s="45" t="s">
        <v>694</v>
      </c>
      <c r="D440" s="45" t="s">
        <v>713</v>
      </c>
      <c r="E440" s="45" t="s">
        <v>713</v>
      </c>
    </row>
    <row r="441">
      <c r="A441" s="45" t="s">
        <v>1229</v>
      </c>
      <c r="B441" s="45"/>
      <c r="C441" s="45" t="s">
        <v>694</v>
      </c>
      <c r="D441" s="45" t="s">
        <v>695</v>
      </c>
      <c r="E441" s="45" t="s">
        <v>720</v>
      </c>
    </row>
    <row r="442">
      <c r="A442" s="45" t="s">
        <v>1230</v>
      </c>
      <c r="B442" s="45"/>
      <c r="C442" s="45" t="s">
        <v>694</v>
      </c>
      <c r="D442" s="45" t="s">
        <v>695</v>
      </c>
      <c r="E442" s="45" t="s">
        <v>957</v>
      </c>
    </row>
    <row r="443">
      <c r="A443" s="45" t="s">
        <v>1231</v>
      </c>
      <c r="B443" s="45" t="s">
        <v>672</v>
      </c>
      <c r="C443" s="45" t="s">
        <v>698</v>
      </c>
      <c r="D443" s="45" t="s">
        <v>710</v>
      </c>
      <c r="E443" s="45" t="s">
        <v>711</v>
      </c>
    </row>
    <row r="444">
      <c r="A444" s="45" t="s">
        <v>1232</v>
      </c>
      <c r="B444" s="45" t="s">
        <v>672</v>
      </c>
      <c r="C444" s="45" t="s">
        <v>698</v>
      </c>
      <c r="D444" s="45" t="s">
        <v>707</v>
      </c>
      <c r="E444" s="45" t="s">
        <v>1050</v>
      </c>
    </row>
    <row r="445">
      <c r="A445" s="45" t="s">
        <v>1233</v>
      </c>
      <c r="B445" s="45" t="s">
        <v>672</v>
      </c>
      <c r="C445" s="45" t="s">
        <v>694</v>
      </c>
      <c r="D445" s="45" t="s">
        <v>763</v>
      </c>
      <c r="E445" s="45" t="s">
        <v>1162</v>
      </c>
    </row>
    <row r="446">
      <c r="A446" s="45" t="s">
        <v>1234</v>
      </c>
      <c r="B446" s="45"/>
      <c r="C446" s="45" t="s">
        <v>698</v>
      </c>
      <c r="D446" s="45" t="s">
        <v>985</v>
      </c>
      <c r="E446" s="45" t="s">
        <v>1050</v>
      </c>
    </row>
    <row r="447">
      <c r="A447" s="45" t="s">
        <v>1235</v>
      </c>
      <c r="B447" s="45" t="s">
        <v>672</v>
      </c>
      <c r="C447" s="45" t="s">
        <v>677</v>
      </c>
      <c r="D447" s="45" t="s">
        <v>727</v>
      </c>
      <c r="E447" s="45" t="s">
        <v>728</v>
      </c>
    </row>
    <row r="448">
      <c r="A448" s="45" t="s">
        <v>1236</v>
      </c>
      <c r="B448" s="45"/>
      <c r="C448" s="45" t="s">
        <v>694</v>
      </c>
      <c r="D448" s="45" t="s">
        <v>707</v>
      </c>
      <c r="E448" s="45" t="s">
        <v>819</v>
      </c>
    </row>
    <row r="449">
      <c r="A449" s="45" t="s">
        <v>1237</v>
      </c>
      <c r="B449" s="45" t="s">
        <v>963</v>
      </c>
      <c r="C449" s="45" t="s">
        <v>694</v>
      </c>
      <c r="D449" s="45" t="s">
        <v>695</v>
      </c>
      <c r="E449" s="45" t="s">
        <v>696</v>
      </c>
    </row>
    <row r="450">
      <c r="A450" s="45" t="s">
        <v>1238</v>
      </c>
      <c r="B450" s="45"/>
      <c r="C450" s="45" t="s">
        <v>677</v>
      </c>
      <c r="D450" s="45" t="s">
        <v>725</v>
      </c>
      <c r="E450" s="45" t="s">
        <v>725</v>
      </c>
    </row>
    <row r="451">
      <c r="A451" s="45" t="s">
        <v>1239</v>
      </c>
      <c r="B451" s="45"/>
      <c r="C451" s="45" t="s">
        <v>677</v>
      </c>
      <c r="D451" s="45" t="s">
        <v>725</v>
      </c>
      <c r="E451" s="45" t="s">
        <v>725</v>
      </c>
    </row>
    <row r="452">
      <c r="A452" s="45" t="s">
        <v>1240</v>
      </c>
      <c r="B452" s="45" t="s">
        <v>672</v>
      </c>
      <c r="C452" s="45" t="s">
        <v>698</v>
      </c>
      <c r="D452" s="45" t="s">
        <v>722</v>
      </c>
      <c r="E452" s="45" t="s">
        <v>723</v>
      </c>
    </row>
  </sheetData>
  <autoFilter ref="$A$1:$E$452">
    <sortState ref="A1:E452">
      <sortCondition ref="A1:A45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</cols>
  <sheetData>
    <row r="1">
      <c r="A1" s="82" t="s">
        <v>1241</v>
      </c>
    </row>
    <row r="7">
      <c r="A7" s="82" t="s">
        <v>669</v>
      </c>
      <c r="B7" s="82" t="s">
        <v>670</v>
      </c>
      <c r="C7" s="82" t="s">
        <v>668</v>
      </c>
      <c r="D7" s="82" t="s">
        <v>1242</v>
      </c>
    </row>
    <row r="8">
      <c r="D8" s="82" t="s">
        <v>667</v>
      </c>
      <c r="E8" s="82" t="s">
        <v>668</v>
      </c>
    </row>
    <row r="9">
      <c r="A9" s="82" t="s">
        <v>798</v>
      </c>
      <c r="B9" s="82" t="s">
        <v>798</v>
      </c>
      <c r="C9" s="82" t="s">
        <v>799</v>
      </c>
    </row>
    <row r="10">
      <c r="C10" s="82" t="s">
        <v>1243</v>
      </c>
      <c r="D10" s="82" t="s">
        <v>1244</v>
      </c>
      <c r="E10" s="82" t="s">
        <v>672</v>
      </c>
    </row>
    <row r="11">
      <c r="C11" s="82" t="s">
        <v>1245</v>
      </c>
      <c r="D11" s="82" t="s">
        <v>882</v>
      </c>
      <c r="E11" s="82" t="s">
        <v>672</v>
      </c>
    </row>
    <row r="12">
      <c r="C12" s="82" t="s">
        <v>1246</v>
      </c>
      <c r="D12" s="82" t="s">
        <v>904</v>
      </c>
    </row>
    <row r="13">
      <c r="C13" s="82" t="s">
        <v>1247</v>
      </c>
      <c r="D13" s="82" t="s">
        <v>926</v>
      </c>
      <c r="E13" s="82" t="s">
        <v>672</v>
      </c>
    </row>
    <row r="14">
      <c r="C14" s="82" t="s">
        <v>1248</v>
      </c>
      <c r="D14" s="82" t="s">
        <v>1149</v>
      </c>
    </row>
    <row r="15">
      <c r="C15" s="82" t="s">
        <v>1249</v>
      </c>
      <c r="D15" s="82" t="s">
        <v>1102</v>
      </c>
      <c r="E15" s="82" t="s">
        <v>676</v>
      </c>
    </row>
    <row r="16">
      <c r="C16" s="82" t="s">
        <v>1250</v>
      </c>
      <c r="D16" s="82" t="s">
        <v>797</v>
      </c>
      <c r="E16" s="82" t="s">
        <v>672</v>
      </c>
    </row>
    <row r="17">
      <c r="C17" s="82" t="s">
        <v>1251</v>
      </c>
      <c r="D17" s="82" t="s">
        <v>1121</v>
      </c>
      <c r="E17" s="82" t="s">
        <v>672</v>
      </c>
    </row>
    <row r="18">
      <c r="C18" s="82" t="s">
        <v>1252</v>
      </c>
      <c r="D18" s="82" t="s">
        <v>1216</v>
      </c>
      <c r="E18" s="82" t="s">
        <v>672</v>
      </c>
    </row>
    <row r="19">
      <c r="C19" s="82" t="s">
        <v>1036</v>
      </c>
    </row>
    <row r="20">
      <c r="C20" s="82" t="s">
        <v>1253</v>
      </c>
      <c r="D20" s="82" t="s">
        <v>1035</v>
      </c>
      <c r="E20" s="82" t="s">
        <v>672</v>
      </c>
    </row>
    <row r="21">
      <c r="C21" s="82" t="s">
        <v>1254</v>
      </c>
      <c r="D21" s="82" t="s">
        <v>1093</v>
      </c>
      <c r="E21" s="82" t="s">
        <v>672</v>
      </c>
    </row>
    <row r="23">
      <c r="A23" s="82" t="s">
        <v>669</v>
      </c>
      <c r="B23" s="82" t="s">
        <v>670</v>
      </c>
      <c r="C23" s="82" t="s">
        <v>668</v>
      </c>
      <c r="D23" s="82" t="s">
        <v>1242</v>
      </c>
    </row>
    <row r="24">
      <c r="D24" s="82" t="s">
        <v>667</v>
      </c>
      <c r="E24" s="82" t="s">
        <v>668</v>
      </c>
    </row>
    <row r="25">
      <c r="A25" s="82" t="s">
        <v>795</v>
      </c>
      <c r="B25" s="82" t="s">
        <v>738</v>
      </c>
      <c r="C25" s="82" t="s">
        <v>739</v>
      </c>
    </row>
    <row r="26">
      <c r="C26" s="82" t="s">
        <v>1255</v>
      </c>
      <c r="D26" s="82" t="s">
        <v>794</v>
      </c>
      <c r="E26" s="82" t="s">
        <v>709</v>
      </c>
    </row>
    <row r="27">
      <c r="C27" s="82" t="s">
        <v>1256</v>
      </c>
      <c r="D27" s="82" t="s">
        <v>1033</v>
      </c>
      <c r="E27" s="82" t="s">
        <v>693</v>
      </c>
    </row>
    <row r="28">
      <c r="C28" s="82" t="s">
        <v>1257</v>
      </c>
      <c r="D28" s="82" t="s">
        <v>1034</v>
      </c>
      <c r="E28" s="82" t="s">
        <v>693</v>
      </c>
    </row>
    <row r="29">
      <c r="C29" s="82" t="s">
        <v>1258</v>
      </c>
      <c r="D29" s="82" t="s">
        <v>1053</v>
      </c>
      <c r="E29" s="82" t="s">
        <v>672</v>
      </c>
    </row>
    <row r="30">
      <c r="C30" s="82" t="s">
        <v>1221</v>
      </c>
      <c r="D30" s="82" t="s">
        <v>1221</v>
      </c>
      <c r="E30" s="82" t="s">
        <v>672</v>
      </c>
    </row>
    <row r="31">
      <c r="B31" s="82" t="s">
        <v>885</v>
      </c>
      <c r="C31" s="82" t="s">
        <v>886</v>
      </c>
    </row>
    <row r="32">
      <c r="C32" s="82" t="s">
        <v>1259</v>
      </c>
      <c r="D32" s="82" t="s">
        <v>945</v>
      </c>
      <c r="E32" s="82" t="s">
        <v>709</v>
      </c>
    </row>
    <row r="33">
      <c r="C33" s="82" t="s">
        <v>1260</v>
      </c>
      <c r="D33" s="82" t="s">
        <v>966</v>
      </c>
      <c r="E33" s="82" t="s">
        <v>709</v>
      </c>
    </row>
    <row r="34">
      <c r="C34" s="82" t="s">
        <v>1261</v>
      </c>
      <c r="D34" s="82" t="s">
        <v>969</v>
      </c>
      <c r="E34" s="82" t="s">
        <v>709</v>
      </c>
    </row>
    <row r="35">
      <c r="C35" s="82" t="s">
        <v>1262</v>
      </c>
      <c r="D35" s="82" t="s">
        <v>884</v>
      </c>
    </row>
    <row r="36">
      <c r="C36" s="82" t="s">
        <v>1263</v>
      </c>
      <c r="D36" s="82" t="s">
        <v>1220</v>
      </c>
      <c r="E36" s="82" t="s">
        <v>709</v>
      </c>
    </row>
    <row r="37">
      <c r="C37" s="82" t="s">
        <v>1047</v>
      </c>
    </row>
    <row r="38">
      <c r="C38" s="82" t="s">
        <v>1264</v>
      </c>
      <c r="D38" s="82" t="s">
        <v>1046</v>
      </c>
    </row>
    <row r="39">
      <c r="C39" s="82" t="s">
        <v>1265</v>
      </c>
      <c r="D39" s="82" t="s">
        <v>1096</v>
      </c>
    </row>
    <row r="40">
      <c r="C40" s="82" t="s">
        <v>1266</v>
      </c>
      <c r="D40" s="82" t="s">
        <v>1205</v>
      </c>
    </row>
    <row r="41">
      <c r="C41" s="82" t="s">
        <v>1111</v>
      </c>
    </row>
    <row r="42">
      <c r="C42" s="82" t="s">
        <v>1267</v>
      </c>
      <c r="D42" s="82" t="s">
        <v>1110</v>
      </c>
      <c r="E42" s="82" t="s">
        <v>672</v>
      </c>
    </row>
    <row r="43">
      <c r="B43" s="82" t="s">
        <v>804</v>
      </c>
      <c r="C43" s="82" t="s">
        <v>805</v>
      </c>
    </row>
    <row r="44">
      <c r="C44" s="82" t="s">
        <v>1268</v>
      </c>
      <c r="D44" s="82" t="s">
        <v>803</v>
      </c>
      <c r="E44" s="82" t="s">
        <v>709</v>
      </c>
    </row>
    <row r="45">
      <c r="C45" s="82" t="s">
        <v>1269</v>
      </c>
      <c r="D45" s="82" t="s">
        <v>972</v>
      </c>
    </row>
    <row r="46">
      <c r="C46" s="82" t="s">
        <v>948</v>
      </c>
    </row>
    <row r="47">
      <c r="C47" s="82" t="s">
        <v>1270</v>
      </c>
      <c r="D47" s="82" t="s">
        <v>947</v>
      </c>
      <c r="E47" s="82" t="s">
        <v>672</v>
      </c>
    </row>
    <row r="48">
      <c r="C48" s="82" t="s">
        <v>1271</v>
      </c>
      <c r="D48" s="82" t="s">
        <v>1082</v>
      </c>
      <c r="E48" s="82" t="s">
        <v>748</v>
      </c>
    </row>
    <row r="49">
      <c r="C49" s="82" t="s">
        <v>879</v>
      </c>
    </row>
    <row r="50">
      <c r="C50" s="82" t="s">
        <v>1272</v>
      </c>
      <c r="D50" s="82" t="s">
        <v>878</v>
      </c>
    </row>
    <row r="51">
      <c r="C51" s="82" t="s">
        <v>1273</v>
      </c>
      <c r="D51" s="82" t="s">
        <v>1218</v>
      </c>
    </row>
    <row r="52">
      <c r="B52" s="82" t="s">
        <v>909</v>
      </c>
      <c r="C52" s="82" t="s">
        <v>910</v>
      </c>
    </row>
    <row r="53">
      <c r="C53" s="82" t="s">
        <v>1274</v>
      </c>
      <c r="D53" s="82" t="s">
        <v>908</v>
      </c>
      <c r="E53" s="82" t="s">
        <v>672</v>
      </c>
    </row>
    <row r="54">
      <c r="C54" s="82" t="s">
        <v>1275</v>
      </c>
      <c r="D54" s="82" t="s">
        <v>942</v>
      </c>
      <c r="E54" s="82" t="s">
        <v>709</v>
      </c>
    </row>
    <row r="55">
      <c r="C55" s="82" t="s">
        <v>1015</v>
      </c>
    </row>
    <row r="56">
      <c r="C56" s="82" t="s">
        <v>1276</v>
      </c>
      <c r="D56" s="82" t="s">
        <v>1135</v>
      </c>
    </row>
    <row r="57">
      <c r="C57" s="82" t="s">
        <v>1277</v>
      </c>
      <c r="D57" s="82" t="s">
        <v>1014</v>
      </c>
      <c r="E57" s="82" t="s">
        <v>676</v>
      </c>
    </row>
    <row r="58">
      <c r="C58" s="82" t="s">
        <v>1278</v>
      </c>
      <c r="D58" s="82" t="s">
        <v>1064</v>
      </c>
    </row>
    <row r="59">
      <c r="C59" s="82" t="s">
        <v>1279</v>
      </c>
      <c r="D59" s="82" t="s">
        <v>1187</v>
      </c>
    </row>
    <row r="60">
      <c r="C60" s="82" t="s">
        <v>1280</v>
      </c>
      <c r="D60" s="82" t="s">
        <v>1076</v>
      </c>
    </row>
    <row r="61">
      <c r="C61" s="82" t="s">
        <v>1281</v>
      </c>
      <c r="D61" s="82" t="s">
        <v>1189</v>
      </c>
      <c r="E61" s="82" t="s">
        <v>672</v>
      </c>
    </row>
    <row r="62">
      <c r="B62" s="82" t="s">
        <v>1068</v>
      </c>
      <c r="C62" s="82" t="s">
        <v>1068</v>
      </c>
    </row>
    <row r="63">
      <c r="C63" s="82" t="s">
        <v>1282</v>
      </c>
      <c r="D63" s="82" t="s">
        <v>1067</v>
      </c>
    </row>
    <row r="64">
      <c r="B64" s="82" t="s">
        <v>1175</v>
      </c>
      <c r="C64" s="82" t="s">
        <v>1175</v>
      </c>
    </row>
    <row r="65">
      <c r="C65" s="82" t="s">
        <v>1283</v>
      </c>
      <c r="D65" s="82" t="s">
        <v>1174</v>
      </c>
    </row>
    <row r="67">
      <c r="A67" s="82" t="s">
        <v>669</v>
      </c>
      <c r="B67" s="82" t="s">
        <v>670</v>
      </c>
      <c r="C67" s="82" t="s">
        <v>668</v>
      </c>
      <c r="D67" s="82" t="s">
        <v>1242</v>
      </c>
    </row>
    <row r="68">
      <c r="D68" s="82" t="s">
        <v>667</v>
      </c>
      <c r="E68" s="82" t="s">
        <v>668</v>
      </c>
    </row>
    <row r="69">
      <c r="A69" s="82" t="s">
        <v>694</v>
      </c>
      <c r="B69" s="82" t="s">
        <v>741</v>
      </c>
      <c r="C69" s="82" t="s">
        <v>941</v>
      </c>
    </row>
    <row r="70">
      <c r="C70" s="82" t="s">
        <v>1284</v>
      </c>
      <c r="D70" s="82" t="s">
        <v>940</v>
      </c>
      <c r="E70" s="82" t="s">
        <v>672</v>
      </c>
    </row>
    <row r="71">
      <c r="C71" s="82" t="s">
        <v>1285</v>
      </c>
      <c r="D71" s="82" t="s">
        <v>978</v>
      </c>
    </row>
    <row r="72">
      <c r="C72" s="82" t="s">
        <v>1286</v>
      </c>
      <c r="D72" s="82" t="s">
        <v>1127</v>
      </c>
      <c r="E72" s="82" t="s">
        <v>672</v>
      </c>
    </row>
    <row r="73">
      <c r="C73" s="82" t="s">
        <v>742</v>
      </c>
    </row>
    <row r="74">
      <c r="C74" s="82" t="s">
        <v>1287</v>
      </c>
      <c r="D74" s="82" t="s">
        <v>740</v>
      </c>
    </row>
    <row r="75">
      <c r="C75" s="82" t="s">
        <v>1179</v>
      </c>
    </row>
    <row r="76">
      <c r="C76" s="82" t="s">
        <v>1288</v>
      </c>
      <c r="D76" s="82" t="s">
        <v>1178</v>
      </c>
    </row>
    <row r="77">
      <c r="C77" s="82" t="s">
        <v>1289</v>
      </c>
      <c r="D77" s="82" t="s">
        <v>1193</v>
      </c>
    </row>
    <row r="78">
      <c r="C78" s="82" t="s">
        <v>713</v>
      </c>
    </row>
    <row r="79">
      <c r="C79" s="82" t="s">
        <v>1290</v>
      </c>
      <c r="D79" s="82" t="s">
        <v>1051</v>
      </c>
      <c r="E79" s="82" t="s">
        <v>672</v>
      </c>
    </row>
    <row r="80">
      <c r="B80" s="82" t="s">
        <v>819</v>
      </c>
      <c r="C80" s="82" t="s">
        <v>925</v>
      </c>
    </row>
    <row r="81">
      <c r="C81" s="82" t="s">
        <v>1291</v>
      </c>
      <c r="D81" s="82" t="s">
        <v>924</v>
      </c>
      <c r="E81" s="82" t="s">
        <v>672</v>
      </c>
    </row>
    <row r="82">
      <c r="C82" s="82" t="s">
        <v>954</v>
      </c>
    </row>
    <row r="83">
      <c r="C83" s="82" t="s">
        <v>1292</v>
      </c>
      <c r="D83" s="82" t="s">
        <v>953</v>
      </c>
      <c r="E83" s="82" t="s">
        <v>709</v>
      </c>
    </row>
    <row r="84">
      <c r="C84" s="82" t="s">
        <v>1293</v>
      </c>
      <c r="D84" s="82" t="s">
        <v>1114</v>
      </c>
      <c r="E84" s="82" t="s">
        <v>676</v>
      </c>
    </row>
    <row r="85">
      <c r="C85" s="82" t="s">
        <v>1294</v>
      </c>
      <c r="D85" s="82" t="s">
        <v>1137</v>
      </c>
      <c r="E85" s="82" t="s">
        <v>709</v>
      </c>
    </row>
    <row r="86">
      <c r="C86" s="82" t="s">
        <v>1295</v>
      </c>
      <c r="D86" s="82" t="s">
        <v>1139</v>
      </c>
    </row>
    <row r="87">
      <c r="C87" s="82" t="s">
        <v>1296</v>
      </c>
      <c r="D87" s="82" t="s">
        <v>1152</v>
      </c>
    </row>
    <row r="88">
      <c r="C88" s="82" t="s">
        <v>1212</v>
      </c>
      <c r="D88" s="82" t="s">
        <v>1212</v>
      </c>
      <c r="E88" s="82" t="s">
        <v>672</v>
      </c>
    </row>
    <row r="89">
      <c r="C89" s="82" t="s">
        <v>1297</v>
      </c>
      <c r="D89" s="82" t="s">
        <v>1073</v>
      </c>
    </row>
    <row r="90">
      <c r="B90" s="82" t="s">
        <v>763</v>
      </c>
      <c r="C90" s="82" t="s">
        <v>1162</v>
      </c>
    </row>
    <row r="91">
      <c r="C91" s="82" t="s">
        <v>1298</v>
      </c>
      <c r="D91" s="82" t="s">
        <v>1161</v>
      </c>
    </row>
    <row r="92">
      <c r="C92" s="82" t="s">
        <v>1299</v>
      </c>
      <c r="D92" s="82" t="s">
        <v>1233</v>
      </c>
      <c r="E92" s="82" t="s">
        <v>672</v>
      </c>
    </row>
    <row r="93">
      <c r="C93" s="82" t="s">
        <v>764</v>
      </c>
    </row>
    <row r="94">
      <c r="C94" s="82" t="s">
        <v>1300</v>
      </c>
      <c r="D94" s="82" t="s">
        <v>911</v>
      </c>
    </row>
    <row r="95">
      <c r="C95" s="82" t="s">
        <v>1301</v>
      </c>
      <c r="D95" s="82" t="s">
        <v>1302</v>
      </c>
      <c r="E95" s="82" t="s">
        <v>672</v>
      </c>
    </row>
    <row r="96">
      <c r="C96" s="82" t="s">
        <v>1303</v>
      </c>
      <c r="D96" s="82" t="s">
        <v>762</v>
      </c>
    </row>
    <row r="97">
      <c r="C97" s="82" t="s">
        <v>1304</v>
      </c>
      <c r="D97" s="82" t="s">
        <v>1147</v>
      </c>
      <c r="E97" s="82" t="s">
        <v>672</v>
      </c>
    </row>
    <row r="98">
      <c r="C98" s="82" t="s">
        <v>1305</v>
      </c>
      <c r="D98" s="82" t="s">
        <v>998</v>
      </c>
    </row>
    <row r="99">
      <c r="C99" s="82" t="s">
        <v>1306</v>
      </c>
      <c r="D99" s="82" t="s">
        <v>1013</v>
      </c>
    </row>
    <row r="100">
      <c r="C100" s="82" t="s">
        <v>1307</v>
      </c>
      <c r="D100" s="82" t="s">
        <v>955</v>
      </c>
      <c r="E100" s="82" t="s">
        <v>672</v>
      </c>
    </row>
    <row r="101">
      <c r="C101" s="82" t="s">
        <v>1308</v>
      </c>
      <c r="D101" s="82" t="s">
        <v>1078</v>
      </c>
    </row>
    <row r="102">
      <c r="C102" s="82" t="s">
        <v>1309</v>
      </c>
      <c r="D102" s="82" t="s">
        <v>1128</v>
      </c>
      <c r="E102" s="82" t="s">
        <v>1066</v>
      </c>
    </row>
    <row r="103">
      <c r="C103" s="82" t="s">
        <v>1071</v>
      </c>
    </row>
    <row r="104">
      <c r="C104" s="82" t="s">
        <v>1310</v>
      </c>
      <c r="D104" s="82" t="s">
        <v>1070</v>
      </c>
    </row>
    <row r="105">
      <c r="C105" s="82" t="s">
        <v>1311</v>
      </c>
      <c r="D105" s="82" t="s">
        <v>1186</v>
      </c>
      <c r="E105" s="82" t="s">
        <v>748</v>
      </c>
    </row>
    <row r="106">
      <c r="C106" s="82" t="s">
        <v>1192</v>
      </c>
    </row>
    <row r="107">
      <c r="C107" s="82" t="s">
        <v>1312</v>
      </c>
      <c r="D107" s="82" t="s">
        <v>1191</v>
      </c>
      <c r="E107" s="82" t="s">
        <v>676</v>
      </c>
    </row>
    <row r="108">
      <c r="B108" s="82" t="s">
        <v>695</v>
      </c>
      <c r="C108" s="82" t="s">
        <v>744</v>
      </c>
    </row>
    <row r="109">
      <c r="C109" s="82" t="s">
        <v>743</v>
      </c>
      <c r="D109" s="82" t="s">
        <v>743</v>
      </c>
      <c r="E109" s="82" t="s">
        <v>676</v>
      </c>
    </row>
    <row r="110">
      <c r="C110" s="82" t="s">
        <v>1313</v>
      </c>
      <c r="D110" s="82" t="s">
        <v>970</v>
      </c>
      <c r="E110" s="82" t="s">
        <v>676</v>
      </c>
    </row>
    <row r="111">
      <c r="C111" s="82" t="s">
        <v>957</v>
      </c>
    </row>
    <row r="112">
      <c r="C112" s="82" t="s">
        <v>1314</v>
      </c>
      <c r="D112" s="82" t="s">
        <v>956</v>
      </c>
      <c r="E112" s="82" t="s">
        <v>693</v>
      </c>
    </row>
    <row r="113">
      <c r="C113" s="82" t="s">
        <v>1315</v>
      </c>
      <c r="D113" s="82" t="s">
        <v>961</v>
      </c>
      <c r="E113" s="82" t="s">
        <v>693</v>
      </c>
    </row>
    <row r="114">
      <c r="C114" s="82" t="s">
        <v>1316</v>
      </c>
      <c r="D114" s="82" t="s">
        <v>1145</v>
      </c>
      <c r="E114" s="82" t="s">
        <v>672</v>
      </c>
    </row>
    <row r="115">
      <c r="C115" s="82" t="s">
        <v>1317</v>
      </c>
      <c r="D115" s="82" t="s">
        <v>1230</v>
      </c>
    </row>
    <row r="116">
      <c r="C116" s="82" t="s">
        <v>1318</v>
      </c>
      <c r="D116" s="82" t="s">
        <v>1062</v>
      </c>
      <c r="E116" s="82" t="s">
        <v>693</v>
      </c>
    </row>
    <row r="117">
      <c r="C117" s="82" t="s">
        <v>1319</v>
      </c>
      <c r="D117" s="82" t="s">
        <v>1134</v>
      </c>
      <c r="E117" s="82" t="s">
        <v>672</v>
      </c>
    </row>
    <row r="118">
      <c r="C118" s="82" t="s">
        <v>982</v>
      </c>
    </row>
    <row r="119">
      <c r="C119" s="82" t="s">
        <v>1320</v>
      </c>
      <c r="D119" s="82" t="s">
        <v>981</v>
      </c>
      <c r="E119" s="82" t="s">
        <v>672</v>
      </c>
    </row>
    <row r="120">
      <c r="C120" s="82" t="s">
        <v>1321</v>
      </c>
      <c r="D120" s="82" t="s">
        <v>1030</v>
      </c>
      <c r="E120" s="82" t="s">
        <v>672</v>
      </c>
    </row>
    <row r="121">
      <c r="C121" s="82" t="s">
        <v>1322</v>
      </c>
      <c r="D121" s="82" t="s">
        <v>1037</v>
      </c>
    </row>
    <row r="122">
      <c r="C122" s="82" t="s">
        <v>1164</v>
      </c>
    </row>
    <row r="123">
      <c r="C123" s="82" t="s">
        <v>1323</v>
      </c>
      <c r="D123" s="82" t="s">
        <v>1324</v>
      </c>
      <c r="E123" s="82" t="s">
        <v>672</v>
      </c>
    </row>
    <row r="124">
      <c r="C124" s="82" t="s">
        <v>1325</v>
      </c>
      <c r="D124" s="82" t="s">
        <v>1202</v>
      </c>
      <c r="E124" s="82" t="s">
        <v>672</v>
      </c>
    </row>
    <row r="125">
      <c r="C125" s="82" t="s">
        <v>720</v>
      </c>
    </row>
    <row r="126">
      <c r="C126" s="82" t="s">
        <v>1326</v>
      </c>
      <c r="D126" s="82" t="s">
        <v>719</v>
      </c>
    </row>
    <row r="127">
      <c r="C127" s="82" t="s">
        <v>1327</v>
      </c>
      <c r="D127" s="82" t="s">
        <v>839</v>
      </c>
      <c r="E127" s="82" t="s">
        <v>672</v>
      </c>
    </row>
    <row r="128">
      <c r="C128" s="82" t="s">
        <v>1328</v>
      </c>
      <c r="D128" s="82" t="s">
        <v>1150</v>
      </c>
    </row>
    <row r="129">
      <c r="C129" s="82" t="s">
        <v>1329</v>
      </c>
      <c r="D129" s="82" t="s">
        <v>880</v>
      </c>
      <c r="E129" s="82" t="s">
        <v>693</v>
      </c>
    </row>
    <row r="130">
      <c r="C130" s="82" t="s">
        <v>1330</v>
      </c>
      <c r="D130" s="82" t="s">
        <v>936</v>
      </c>
    </row>
    <row r="131">
      <c r="C131" s="82" t="s">
        <v>1331</v>
      </c>
      <c r="D131" s="82" t="s">
        <v>913</v>
      </c>
    </row>
    <row r="132">
      <c r="C132" s="82" t="s">
        <v>1332</v>
      </c>
      <c r="D132" s="82" t="s">
        <v>734</v>
      </c>
    </row>
    <row r="133">
      <c r="C133" s="82" t="s">
        <v>1333</v>
      </c>
      <c r="D133" s="82" t="s">
        <v>915</v>
      </c>
      <c r="E133" s="82" t="s">
        <v>672</v>
      </c>
    </row>
    <row r="134">
      <c r="C134" s="82" t="s">
        <v>1334</v>
      </c>
      <c r="D134" s="82" t="s">
        <v>916</v>
      </c>
    </row>
    <row r="135">
      <c r="C135" s="82" t="s">
        <v>1335</v>
      </c>
      <c r="D135" s="82" t="s">
        <v>863</v>
      </c>
    </row>
    <row r="136">
      <c r="C136" s="82" t="s">
        <v>1336</v>
      </c>
      <c r="D136" s="82" t="s">
        <v>1141</v>
      </c>
    </row>
    <row r="137">
      <c r="C137" s="82" t="s">
        <v>1337</v>
      </c>
      <c r="D137" s="82" t="s">
        <v>872</v>
      </c>
    </row>
    <row r="138">
      <c r="C138" s="82" t="s">
        <v>1338</v>
      </c>
      <c r="D138" s="82" t="s">
        <v>1209</v>
      </c>
    </row>
    <row r="139">
      <c r="C139" s="82" t="s">
        <v>1339</v>
      </c>
      <c r="D139" s="82" t="s">
        <v>1208</v>
      </c>
      <c r="E139" s="82" t="s">
        <v>672</v>
      </c>
    </row>
    <row r="140">
      <c r="C140" s="82" t="s">
        <v>1340</v>
      </c>
      <c r="D140" s="82" t="s">
        <v>1229</v>
      </c>
    </row>
    <row r="141">
      <c r="C141" s="82" t="s">
        <v>696</v>
      </c>
    </row>
    <row r="142">
      <c r="C142" s="82" t="s">
        <v>1341</v>
      </c>
      <c r="D142" s="82" t="s">
        <v>692</v>
      </c>
      <c r="E142" s="82" t="s">
        <v>693</v>
      </c>
    </row>
    <row r="143">
      <c r="C143" s="82" t="s">
        <v>1342</v>
      </c>
      <c r="D143" s="82" t="s">
        <v>1126</v>
      </c>
    </row>
    <row r="144">
      <c r="C144" s="82" t="s">
        <v>1343</v>
      </c>
      <c r="D144" s="82" t="s">
        <v>1005</v>
      </c>
      <c r="E144" s="82" t="s">
        <v>693</v>
      </c>
    </row>
    <row r="145">
      <c r="C145" s="82" t="s">
        <v>1344</v>
      </c>
      <c r="D145" s="82" t="s">
        <v>1153</v>
      </c>
    </row>
    <row r="146">
      <c r="C146" s="82" t="s">
        <v>1345</v>
      </c>
      <c r="D146" s="82" t="s">
        <v>1183</v>
      </c>
      <c r="E146" s="82" t="s">
        <v>676</v>
      </c>
    </row>
    <row r="147">
      <c r="C147" s="82" t="s">
        <v>1346</v>
      </c>
      <c r="D147" s="82" t="s">
        <v>1237</v>
      </c>
      <c r="E147" s="82" t="s">
        <v>963</v>
      </c>
    </row>
    <row r="148">
      <c r="B148" s="82" t="s">
        <v>713</v>
      </c>
      <c r="C148" s="82" t="s">
        <v>713</v>
      </c>
    </row>
    <row r="149">
      <c r="C149" s="82" t="s">
        <v>1347</v>
      </c>
      <c r="D149" s="82" t="s">
        <v>735</v>
      </c>
      <c r="E149" s="82" t="s">
        <v>672</v>
      </c>
    </row>
    <row r="150">
      <c r="C150" s="82" t="s">
        <v>1348</v>
      </c>
      <c r="D150" s="82" t="s">
        <v>718</v>
      </c>
      <c r="E150" s="82" t="s">
        <v>672</v>
      </c>
    </row>
    <row r="151">
      <c r="C151" s="82" t="s">
        <v>1349</v>
      </c>
      <c r="D151" s="82" t="s">
        <v>757</v>
      </c>
      <c r="E151" s="82" t="s">
        <v>748</v>
      </c>
    </row>
    <row r="152">
      <c r="C152" s="82" t="s">
        <v>1350</v>
      </c>
      <c r="D152" s="82" t="s">
        <v>830</v>
      </c>
      <c r="E152" s="82" t="s">
        <v>672</v>
      </c>
    </row>
    <row r="153">
      <c r="C153" s="82" t="s">
        <v>1351</v>
      </c>
      <c r="D153" s="82" t="s">
        <v>907</v>
      </c>
    </row>
    <row r="154">
      <c r="C154" s="82" t="s">
        <v>1352</v>
      </c>
      <c r="D154" s="82" t="s">
        <v>712</v>
      </c>
      <c r="E154" s="82" t="s">
        <v>672</v>
      </c>
    </row>
    <row r="155">
      <c r="C155" s="82" t="s">
        <v>1353</v>
      </c>
      <c r="D155" s="82" t="s">
        <v>950</v>
      </c>
      <c r="E155" s="82" t="s">
        <v>748</v>
      </c>
    </row>
    <row r="156">
      <c r="C156" s="82" t="s">
        <v>1354</v>
      </c>
      <c r="D156" s="82" t="s">
        <v>1123</v>
      </c>
      <c r="E156" s="82" t="s">
        <v>748</v>
      </c>
    </row>
    <row r="157">
      <c r="C157" s="82" t="s">
        <v>1355</v>
      </c>
      <c r="D157" s="82" t="s">
        <v>1356</v>
      </c>
      <c r="E157" s="82" t="s">
        <v>672</v>
      </c>
    </row>
    <row r="158">
      <c r="C158" s="82" t="s">
        <v>1357</v>
      </c>
      <c r="D158" s="82" t="s">
        <v>1228</v>
      </c>
      <c r="E158" s="82" t="s">
        <v>672</v>
      </c>
    </row>
    <row r="159">
      <c r="B159" s="82" t="s">
        <v>707</v>
      </c>
      <c r="C159" s="82" t="s">
        <v>819</v>
      </c>
    </row>
    <row r="160">
      <c r="C160" s="82" t="s">
        <v>1358</v>
      </c>
      <c r="D160" s="82" t="s">
        <v>818</v>
      </c>
    </row>
    <row r="161">
      <c r="C161" s="82" t="s">
        <v>1359</v>
      </c>
      <c r="D161" s="82" t="s">
        <v>1052</v>
      </c>
    </row>
    <row r="162">
      <c r="C162" s="82" t="s">
        <v>1360</v>
      </c>
      <c r="D162" s="82" t="s">
        <v>1236</v>
      </c>
    </row>
    <row r="164">
      <c r="A164" s="82" t="s">
        <v>669</v>
      </c>
      <c r="B164" s="82" t="s">
        <v>670</v>
      </c>
      <c r="C164" s="82" t="s">
        <v>668</v>
      </c>
      <c r="D164" s="82" t="s">
        <v>1242</v>
      </c>
    </row>
    <row r="165">
      <c r="D165" s="82" t="s">
        <v>667</v>
      </c>
      <c r="E165" s="82" t="s">
        <v>668</v>
      </c>
    </row>
    <row r="166">
      <c r="A166" s="82" t="s">
        <v>681</v>
      </c>
      <c r="B166" s="82" t="s">
        <v>690</v>
      </c>
      <c r="C166" s="82" t="s">
        <v>691</v>
      </c>
    </row>
    <row r="167">
      <c r="C167" s="82" t="s">
        <v>1361</v>
      </c>
      <c r="D167" s="82" t="s">
        <v>729</v>
      </c>
    </row>
    <row r="168">
      <c r="C168" s="82" t="s">
        <v>1362</v>
      </c>
      <c r="D168" s="82" t="s">
        <v>689</v>
      </c>
      <c r="E168" s="82" t="s">
        <v>672</v>
      </c>
    </row>
    <row r="169">
      <c r="C169" s="82" t="s">
        <v>1363</v>
      </c>
      <c r="D169" s="82" t="s">
        <v>958</v>
      </c>
      <c r="E169" s="82" t="s">
        <v>672</v>
      </c>
    </row>
    <row r="170">
      <c r="C170" s="82" t="s">
        <v>1364</v>
      </c>
      <c r="D170" s="82" t="s">
        <v>1165</v>
      </c>
      <c r="E170" s="82" t="s">
        <v>672</v>
      </c>
    </row>
    <row r="171">
      <c r="C171" s="82" t="s">
        <v>1365</v>
      </c>
      <c r="D171" s="82" t="s">
        <v>1200</v>
      </c>
      <c r="E171" s="82" t="s">
        <v>672</v>
      </c>
    </row>
    <row r="172">
      <c r="B172" s="82" t="s">
        <v>752</v>
      </c>
      <c r="C172" s="82" t="s">
        <v>814</v>
      </c>
    </row>
    <row r="173">
      <c r="C173" s="82" t="s">
        <v>1366</v>
      </c>
      <c r="D173" s="82" t="s">
        <v>813</v>
      </c>
      <c r="E173" s="82" t="s">
        <v>672</v>
      </c>
    </row>
    <row r="174">
      <c r="C174" s="82" t="s">
        <v>1367</v>
      </c>
      <c r="D174" s="82" t="s">
        <v>1144</v>
      </c>
    </row>
    <row r="175">
      <c r="C175" s="82" t="s">
        <v>1368</v>
      </c>
      <c r="D175" s="82" t="s">
        <v>1172</v>
      </c>
      <c r="E175" s="82" t="s">
        <v>672</v>
      </c>
    </row>
    <row r="176">
      <c r="C176" s="82" t="s">
        <v>753</v>
      </c>
    </row>
    <row r="177">
      <c r="C177" s="82" t="s">
        <v>1369</v>
      </c>
      <c r="D177" s="82" t="s">
        <v>800</v>
      </c>
      <c r="E177" s="82" t="s">
        <v>672</v>
      </c>
    </row>
    <row r="178">
      <c r="C178" s="82" t="s">
        <v>1370</v>
      </c>
      <c r="D178" s="82" t="s">
        <v>751</v>
      </c>
    </row>
    <row r="179">
      <c r="C179" s="82" t="s">
        <v>1371</v>
      </c>
      <c r="D179" s="82" t="s">
        <v>1007</v>
      </c>
      <c r="E179" s="82" t="s">
        <v>672</v>
      </c>
    </row>
    <row r="180">
      <c r="C180" s="82" t="s">
        <v>1372</v>
      </c>
      <c r="D180" s="82" t="s">
        <v>1061</v>
      </c>
      <c r="E180" s="82" t="s">
        <v>672</v>
      </c>
    </row>
    <row r="181">
      <c r="C181" s="82" t="s">
        <v>1373</v>
      </c>
      <c r="D181" s="82" t="s">
        <v>767</v>
      </c>
      <c r="E181" s="82" t="s">
        <v>672</v>
      </c>
    </row>
    <row r="182">
      <c r="C182" s="82" t="s">
        <v>1374</v>
      </c>
      <c r="D182" s="82" t="s">
        <v>1056</v>
      </c>
    </row>
    <row r="183">
      <c r="C183" s="82" t="s">
        <v>829</v>
      </c>
    </row>
    <row r="184">
      <c r="C184" s="82" t="s">
        <v>1375</v>
      </c>
      <c r="D184" s="82" t="s">
        <v>828</v>
      </c>
      <c r="E184" s="82" t="s">
        <v>672</v>
      </c>
    </row>
    <row r="185">
      <c r="C185" s="82" t="s">
        <v>1376</v>
      </c>
      <c r="D185" s="82" t="s">
        <v>1010</v>
      </c>
    </row>
    <row r="186">
      <c r="C186" s="82" t="s">
        <v>1377</v>
      </c>
      <c r="D186" s="82" t="s">
        <v>1011</v>
      </c>
    </row>
    <row r="187">
      <c r="C187" s="82" t="s">
        <v>1378</v>
      </c>
      <c r="D187" s="82" t="s">
        <v>1041</v>
      </c>
      <c r="E187" s="82" t="s">
        <v>672</v>
      </c>
    </row>
    <row r="188">
      <c r="C188" s="82" t="s">
        <v>1379</v>
      </c>
      <c r="D188" s="82" t="s">
        <v>1084</v>
      </c>
    </row>
    <row r="189">
      <c r="B189" s="82" t="s">
        <v>682</v>
      </c>
      <c r="C189" s="82" t="s">
        <v>683</v>
      </c>
    </row>
    <row r="190">
      <c r="C190" s="82" t="s">
        <v>1380</v>
      </c>
      <c r="D190" s="82" t="s">
        <v>680</v>
      </c>
    </row>
    <row r="191">
      <c r="B191" s="82" t="s">
        <v>789</v>
      </c>
      <c r="C191" s="82" t="s">
        <v>1081</v>
      </c>
    </row>
    <row r="192">
      <c r="C192" s="82" t="s">
        <v>1381</v>
      </c>
      <c r="D192" s="82" t="s">
        <v>1080</v>
      </c>
      <c r="E192" s="82" t="s">
        <v>672</v>
      </c>
    </row>
    <row r="193">
      <c r="C193" s="82" t="s">
        <v>790</v>
      </c>
    </row>
    <row r="194">
      <c r="C194" s="82" t="s">
        <v>1382</v>
      </c>
      <c r="D194" s="82" t="s">
        <v>788</v>
      </c>
    </row>
    <row r="195">
      <c r="B195" s="82" t="s">
        <v>875</v>
      </c>
      <c r="C195" s="82" t="s">
        <v>733</v>
      </c>
    </row>
    <row r="196">
      <c r="C196" s="82" t="s">
        <v>1383</v>
      </c>
      <c r="D196" s="82" t="s">
        <v>874</v>
      </c>
      <c r="E196" s="82" t="s">
        <v>672</v>
      </c>
    </row>
    <row r="197">
      <c r="C197" s="82" t="s">
        <v>1384</v>
      </c>
      <c r="D197" s="82" t="s">
        <v>967</v>
      </c>
      <c r="E197" s="82" t="s">
        <v>672</v>
      </c>
    </row>
    <row r="198">
      <c r="C198" s="82" t="s">
        <v>1385</v>
      </c>
      <c r="D198" s="82" t="s">
        <v>1097</v>
      </c>
      <c r="E198" s="82" t="s">
        <v>709</v>
      </c>
    </row>
    <row r="200">
      <c r="A200" s="82" t="s">
        <v>669</v>
      </c>
      <c r="B200" s="82" t="s">
        <v>670</v>
      </c>
      <c r="C200" s="82" t="s">
        <v>668</v>
      </c>
      <c r="D200" s="82" t="s">
        <v>1242</v>
      </c>
    </row>
    <row r="201">
      <c r="D201" s="82" t="s">
        <v>667</v>
      </c>
      <c r="E201" s="82" t="s">
        <v>668</v>
      </c>
    </row>
    <row r="202">
      <c r="A202" s="82" t="s">
        <v>698</v>
      </c>
      <c r="B202" s="82" t="s">
        <v>825</v>
      </c>
      <c r="C202" s="82" t="s">
        <v>826</v>
      </c>
    </row>
    <row r="203">
      <c r="C203" s="82" t="s">
        <v>1386</v>
      </c>
      <c r="D203" s="82" t="s">
        <v>824</v>
      </c>
    </row>
    <row r="204">
      <c r="C204" s="82" t="s">
        <v>1387</v>
      </c>
      <c r="D204" s="82" t="s">
        <v>873</v>
      </c>
      <c r="E204" s="82" t="s">
        <v>672</v>
      </c>
    </row>
    <row r="205">
      <c r="C205" s="82" t="s">
        <v>1388</v>
      </c>
      <c r="D205" s="82" t="s">
        <v>894</v>
      </c>
      <c r="E205" s="82" t="s">
        <v>672</v>
      </c>
    </row>
    <row r="206">
      <c r="C206" s="82" t="s">
        <v>1389</v>
      </c>
      <c r="D206" s="82" t="s">
        <v>898</v>
      </c>
      <c r="E206" s="82" t="s">
        <v>672</v>
      </c>
    </row>
    <row r="207">
      <c r="C207" s="82" t="s">
        <v>1390</v>
      </c>
      <c r="D207" s="82" t="s">
        <v>903</v>
      </c>
      <c r="E207" s="82" t="s">
        <v>672</v>
      </c>
    </row>
    <row r="208">
      <c r="C208" s="82" t="s">
        <v>943</v>
      </c>
      <c r="D208" s="82" t="s">
        <v>943</v>
      </c>
      <c r="E208" s="82" t="s">
        <v>672</v>
      </c>
    </row>
    <row r="209">
      <c r="C209" s="82" t="s">
        <v>1391</v>
      </c>
      <c r="D209" s="82" t="s">
        <v>944</v>
      </c>
      <c r="E209" s="82" t="s">
        <v>672</v>
      </c>
    </row>
    <row r="210">
      <c r="C210" s="82" t="s">
        <v>1392</v>
      </c>
      <c r="D210" s="82" t="s">
        <v>965</v>
      </c>
      <c r="E210" s="82" t="s">
        <v>672</v>
      </c>
    </row>
    <row r="211">
      <c r="C211" s="82" t="s">
        <v>1393</v>
      </c>
      <c r="D211" s="82" t="s">
        <v>980</v>
      </c>
      <c r="E211" s="82" t="s">
        <v>672</v>
      </c>
    </row>
    <row r="212">
      <c r="C212" s="82" t="s">
        <v>1394</v>
      </c>
      <c r="D212" s="82" t="s">
        <v>999</v>
      </c>
      <c r="E212" s="82" t="s">
        <v>748</v>
      </c>
    </row>
    <row r="213">
      <c r="C213" s="82" t="s">
        <v>1395</v>
      </c>
      <c r="D213" s="82" t="s">
        <v>1009</v>
      </c>
      <c r="E213" s="82" t="s">
        <v>672</v>
      </c>
    </row>
    <row r="214">
      <c r="C214" s="82" t="s">
        <v>1396</v>
      </c>
      <c r="D214" s="82" t="s">
        <v>1008</v>
      </c>
    </row>
    <row r="215">
      <c r="C215" s="82" t="s">
        <v>1397</v>
      </c>
      <c r="D215" s="82" t="s">
        <v>1017</v>
      </c>
      <c r="E215" s="82" t="s">
        <v>672</v>
      </c>
    </row>
    <row r="216">
      <c r="C216" s="82" t="s">
        <v>1398</v>
      </c>
      <c r="D216" s="82" t="s">
        <v>1044</v>
      </c>
      <c r="E216" s="82" t="s">
        <v>672</v>
      </c>
    </row>
    <row r="217">
      <c r="C217" s="82" t="s">
        <v>1399</v>
      </c>
      <c r="D217" s="82" t="s">
        <v>1069</v>
      </c>
      <c r="E217" s="82" t="s">
        <v>672</v>
      </c>
    </row>
    <row r="218">
      <c r="C218" s="82" t="s">
        <v>1400</v>
      </c>
      <c r="D218" s="82" t="s">
        <v>1042</v>
      </c>
      <c r="E218" s="82" t="s">
        <v>672</v>
      </c>
    </row>
    <row r="219">
      <c r="C219" s="82" t="s">
        <v>1401</v>
      </c>
      <c r="D219" s="82" t="s">
        <v>1063</v>
      </c>
      <c r="E219" s="82" t="s">
        <v>672</v>
      </c>
    </row>
    <row r="220">
      <c r="C220" s="82" t="s">
        <v>1402</v>
      </c>
      <c r="D220" s="82" t="s">
        <v>1098</v>
      </c>
      <c r="E220" s="82" t="s">
        <v>672</v>
      </c>
    </row>
    <row r="221">
      <c r="C221" s="82" t="s">
        <v>1403</v>
      </c>
      <c r="D221" s="82" t="s">
        <v>1108</v>
      </c>
      <c r="E221" s="82" t="s">
        <v>672</v>
      </c>
    </row>
    <row r="222">
      <c r="C222" s="82" t="s">
        <v>1404</v>
      </c>
      <c r="D222" s="82" t="s">
        <v>1140</v>
      </c>
      <c r="E222" s="82" t="s">
        <v>672</v>
      </c>
    </row>
    <row r="223">
      <c r="C223" s="82" t="s">
        <v>1405</v>
      </c>
      <c r="D223" s="82" t="s">
        <v>1151</v>
      </c>
      <c r="E223" s="82" t="s">
        <v>672</v>
      </c>
    </row>
    <row r="224">
      <c r="C224" s="82" t="s">
        <v>1406</v>
      </c>
      <c r="D224" s="82" t="s">
        <v>1194</v>
      </c>
      <c r="E224" s="82" t="s">
        <v>672</v>
      </c>
    </row>
    <row r="225">
      <c r="C225" s="82" t="s">
        <v>1407</v>
      </c>
      <c r="D225" s="82" t="s">
        <v>1198</v>
      </c>
      <c r="E225" s="82" t="s">
        <v>672</v>
      </c>
    </row>
    <row r="226">
      <c r="C226" s="82" t="s">
        <v>1408</v>
      </c>
      <c r="D226" s="82" t="s">
        <v>1210</v>
      </c>
      <c r="E226" s="82" t="s">
        <v>672</v>
      </c>
    </row>
    <row r="227">
      <c r="C227" s="82" t="s">
        <v>1409</v>
      </c>
      <c r="D227" s="82" t="s">
        <v>1226</v>
      </c>
      <c r="E227" s="82" t="s">
        <v>672</v>
      </c>
    </row>
    <row r="228">
      <c r="B228" s="82" t="s">
        <v>710</v>
      </c>
      <c r="C228" s="82" t="s">
        <v>835</v>
      </c>
    </row>
    <row r="229">
      <c r="C229" s="82" t="s">
        <v>1410</v>
      </c>
      <c r="D229" s="82" t="s">
        <v>842</v>
      </c>
      <c r="E229" s="82" t="s">
        <v>709</v>
      </c>
    </row>
    <row r="230">
      <c r="C230" s="82" t="s">
        <v>1411</v>
      </c>
      <c r="D230" s="82" t="s">
        <v>892</v>
      </c>
    </row>
    <row r="231">
      <c r="C231" s="82" t="s">
        <v>1412</v>
      </c>
      <c r="D231" s="82" t="s">
        <v>906</v>
      </c>
    </row>
    <row r="232">
      <c r="C232" s="82" t="s">
        <v>1413</v>
      </c>
      <c r="D232" s="82" t="s">
        <v>917</v>
      </c>
    </row>
    <row r="233">
      <c r="C233" s="82" t="s">
        <v>1414</v>
      </c>
      <c r="D233" s="82" t="s">
        <v>834</v>
      </c>
    </row>
    <row r="234">
      <c r="C234" s="82" t="s">
        <v>1415</v>
      </c>
      <c r="D234" s="82" t="s">
        <v>891</v>
      </c>
    </row>
    <row r="235">
      <c r="C235" s="82" t="s">
        <v>1416</v>
      </c>
      <c r="D235" s="82" t="s">
        <v>1129</v>
      </c>
    </row>
    <row r="236">
      <c r="C236" s="82" t="s">
        <v>1417</v>
      </c>
      <c r="D236" s="82" t="s">
        <v>893</v>
      </c>
    </row>
    <row r="237">
      <c r="C237" s="82" t="s">
        <v>1418</v>
      </c>
      <c r="D237" s="82" t="s">
        <v>1159</v>
      </c>
      <c r="E237" s="82" t="s">
        <v>672</v>
      </c>
    </row>
    <row r="238">
      <c r="C238" s="82" t="s">
        <v>1196</v>
      </c>
      <c r="D238" s="82" t="s">
        <v>1196</v>
      </c>
    </row>
    <row r="239">
      <c r="C239" s="82" t="s">
        <v>1419</v>
      </c>
      <c r="D239" s="82" t="s">
        <v>1213</v>
      </c>
    </row>
    <row r="240">
      <c r="C240" s="82" t="s">
        <v>988</v>
      </c>
    </row>
    <row r="241">
      <c r="C241" s="82" t="s">
        <v>1420</v>
      </c>
      <c r="D241" s="82" t="s">
        <v>987</v>
      </c>
      <c r="E241" s="82" t="s">
        <v>672</v>
      </c>
    </row>
    <row r="242">
      <c r="C242" s="82" t="s">
        <v>1421</v>
      </c>
      <c r="D242" s="82" t="s">
        <v>1201</v>
      </c>
      <c r="E242" s="82" t="s">
        <v>676</v>
      </c>
    </row>
    <row r="243">
      <c r="C243" s="82" t="s">
        <v>711</v>
      </c>
    </row>
    <row r="244">
      <c r="C244" s="82" t="s">
        <v>1422</v>
      </c>
      <c r="D244" s="82" t="s">
        <v>708</v>
      </c>
      <c r="E244" s="82" t="s">
        <v>709</v>
      </c>
    </row>
    <row r="245">
      <c r="C245" s="82" t="s">
        <v>1423</v>
      </c>
      <c r="D245" s="82" t="s">
        <v>827</v>
      </c>
    </row>
    <row r="246">
      <c r="C246" s="82" t="s">
        <v>1424</v>
      </c>
      <c r="D246" s="82" t="s">
        <v>975</v>
      </c>
      <c r="E246" s="82" t="s">
        <v>672</v>
      </c>
    </row>
    <row r="247">
      <c r="C247" s="82" t="s">
        <v>1425</v>
      </c>
      <c r="D247" s="82" t="s">
        <v>1231</v>
      </c>
      <c r="E247" s="82" t="s">
        <v>672</v>
      </c>
    </row>
    <row r="248">
      <c r="C248" s="82" t="s">
        <v>1055</v>
      </c>
    </row>
    <row r="249">
      <c r="C249" s="82" t="s">
        <v>1426</v>
      </c>
      <c r="D249" s="82" t="s">
        <v>1054</v>
      </c>
    </row>
    <row r="250">
      <c r="C250" s="82" t="s">
        <v>1427</v>
      </c>
      <c r="D250" s="82" t="s">
        <v>1195</v>
      </c>
      <c r="E250" s="82" t="s">
        <v>672</v>
      </c>
    </row>
    <row r="251">
      <c r="C251" s="82" t="s">
        <v>1428</v>
      </c>
      <c r="D251" s="82" t="s">
        <v>1225</v>
      </c>
      <c r="E251" s="82" t="s">
        <v>672</v>
      </c>
    </row>
    <row r="253">
      <c r="A253" s="82" t="s">
        <v>669</v>
      </c>
      <c r="B253" s="82" t="s">
        <v>670</v>
      </c>
      <c r="C253" s="82" t="s">
        <v>668</v>
      </c>
      <c r="D253" s="82" t="s">
        <v>1242</v>
      </c>
    </row>
    <row r="254">
      <c r="D254" s="82" t="s">
        <v>667</v>
      </c>
      <c r="E254" s="82" t="s">
        <v>668</v>
      </c>
    </row>
    <row r="255">
      <c r="A255" s="82" t="s">
        <v>698</v>
      </c>
      <c r="B255" s="82" t="s">
        <v>985</v>
      </c>
      <c r="C255" s="82" t="s">
        <v>1050</v>
      </c>
    </row>
    <row r="256">
      <c r="C256" s="82" t="s">
        <v>1429</v>
      </c>
      <c r="D256" s="82" t="s">
        <v>1234</v>
      </c>
    </row>
    <row r="257">
      <c r="C257" s="82" t="s">
        <v>1215</v>
      </c>
    </row>
    <row r="258">
      <c r="C258" s="82" t="s">
        <v>1430</v>
      </c>
      <c r="D258" s="82" t="s">
        <v>1214</v>
      </c>
      <c r="E258" s="82" t="s">
        <v>672</v>
      </c>
    </row>
    <row r="259">
      <c r="C259" s="82" t="s">
        <v>986</v>
      </c>
    </row>
    <row r="260">
      <c r="C260" s="82" t="s">
        <v>1431</v>
      </c>
      <c r="D260" s="82" t="s">
        <v>984</v>
      </c>
    </row>
    <row r="261">
      <c r="B261" s="82" t="s">
        <v>1021</v>
      </c>
      <c r="C261" s="82" t="s">
        <v>1021</v>
      </c>
    </row>
    <row r="262">
      <c r="C262" s="82" t="s">
        <v>1432</v>
      </c>
      <c r="D262" s="82" t="s">
        <v>1074</v>
      </c>
      <c r="E262" s="82" t="s">
        <v>672</v>
      </c>
    </row>
    <row r="263">
      <c r="C263" s="82" t="s">
        <v>1433</v>
      </c>
      <c r="D263" s="82" t="s">
        <v>1020</v>
      </c>
      <c r="E263" s="82" t="s">
        <v>672</v>
      </c>
    </row>
    <row r="264">
      <c r="C264" s="82" t="s">
        <v>1434</v>
      </c>
      <c r="D264" s="82" t="s">
        <v>1107</v>
      </c>
    </row>
    <row r="265">
      <c r="B265" s="82" t="s">
        <v>777</v>
      </c>
      <c r="C265" s="82" t="s">
        <v>990</v>
      </c>
    </row>
    <row r="266">
      <c r="C266" s="82" t="s">
        <v>1435</v>
      </c>
      <c r="D266" s="82" t="s">
        <v>989</v>
      </c>
    </row>
    <row r="267">
      <c r="C267" s="82" t="s">
        <v>778</v>
      </c>
    </row>
    <row r="268">
      <c r="C268" s="82" t="s">
        <v>1436</v>
      </c>
      <c r="D268" s="82" t="s">
        <v>776</v>
      </c>
      <c r="E268" s="82" t="s">
        <v>672</v>
      </c>
    </row>
    <row r="269">
      <c r="C269" s="82" t="s">
        <v>1437</v>
      </c>
      <c r="D269" s="82" t="s">
        <v>1043</v>
      </c>
      <c r="E269" s="82" t="s">
        <v>672</v>
      </c>
    </row>
    <row r="270">
      <c r="B270" s="82" t="s">
        <v>699</v>
      </c>
      <c r="C270" s="82" t="s">
        <v>784</v>
      </c>
    </row>
    <row r="271">
      <c r="C271" s="82" t="s">
        <v>1438</v>
      </c>
      <c r="D271" s="82" t="s">
        <v>783</v>
      </c>
    </row>
    <row r="272">
      <c r="C272" s="82" t="s">
        <v>939</v>
      </c>
    </row>
    <row r="273">
      <c r="C273" s="82" t="s">
        <v>1439</v>
      </c>
      <c r="D273" s="82" t="s">
        <v>938</v>
      </c>
    </row>
    <row r="274">
      <c r="C274" s="82" t="s">
        <v>700</v>
      </c>
    </row>
    <row r="275">
      <c r="C275" s="82" t="s">
        <v>1440</v>
      </c>
      <c r="D275" s="82" t="s">
        <v>697</v>
      </c>
    </row>
    <row r="276">
      <c r="C276" s="82" t="s">
        <v>1441</v>
      </c>
      <c r="D276" s="82" t="s">
        <v>1160</v>
      </c>
      <c r="E276" s="82" t="s">
        <v>672</v>
      </c>
    </row>
    <row r="277">
      <c r="C277" s="82" t="s">
        <v>896</v>
      </c>
    </row>
    <row r="278">
      <c r="C278" s="82" t="s">
        <v>1442</v>
      </c>
      <c r="D278" s="82" t="s">
        <v>895</v>
      </c>
      <c r="E278" s="82" t="s">
        <v>672</v>
      </c>
    </row>
    <row r="279">
      <c r="C279" s="82" t="s">
        <v>1169</v>
      </c>
    </row>
    <row r="280">
      <c r="C280" s="82" t="s">
        <v>1443</v>
      </c>
      <c r="D280" s="82" t="s">
        <v>1168</v>
      </c>
      <c r="E280" s="82" t="s">
        <v>1066</v>
      </c>
    </row>
    <row r="281">
      <c r="B281" s="82" t="s">
        <v>722</v>
      </c>
      <c r="C281" s="82" t="s">
        <v>723</v>
      </c>
    </row>
    <row r="282">
      <c r="C282" s="82" t="s">
        <v>1444</v>
      </c>
      <c r="D282" s="82" t="s">
        <v>721</v>
      </c>
      <c r="E282" s="82" t="s">
        <v>672</v>
      </c>
    </row>
    <row r="283">
      <c r="C283" s="82" t="s">
        <v>1445</v>
      </c>
      <c r="D283" s="82" t="s">
        <v>747</v>
      </c>
      <c r="E283" s="82" t="s">
        <v>748</v>
      </c>
    </row>
    <row r="284">
      <c r="C284" s="82" t="s">
        <v>1446</v>
      </c>
      <c r="D284" s="82" t="s">
        <v>862</v>
      </c>
      <c r="E284" s="82" t="s">
        <v>672</v>
      </c>
    </row>
    <row r="285">
      <c r="C285" s="82" t="s">
        <v>1447</v>
      </c>
      <c r="D285" s="82" t="s">
        <v>1158</v>
      </c>
      <c r="E285" s="82" t="s">
        <v>672</v>
      </c>
    </row>
    <row r="286">
      <c r="C286" s="82" t="s">
        <v>1448</v>
      </c>
      <c r="D286" s="82" t="s">
        <v>1240</v>
      </c>
      <c r="E286" s="82" t="s">
        <v>672</v>
      </c>
    </row>
    <row r="287">
      <c r="C287" s="82" t="s">
        <v>1019</v>
      </c>
    </row>
    <row r="288">
      <c r="C288" s="82" t="s">
        <v>1449</v>
      </c>
      <c r="D288" s="82" t="s">
        <v>1143</v>
      </c>
      <c r="E288" s="82" t="s">
        <v>672</v>
      </c>
    </row>
    <row r="289">
      <c r="C289" s="82" t="s">
        <v>1450</v>
      </c>
      <c r="D289" s="82" t="s">
        <v>1018</v>
      </c>
      <c r="E289" s="82" t="s">
        <v>672</v>
      </c>
    </row>
    <row r="290">
      <c r="C290" s="82" t="s">
        <v>1451</v>
      </c>
      <c r="D290" s="82" t="s">
        <v>1065</v>
      </c>
      <c r="E290" s="82" t="s">
        <v>1066</v>
      </c>
    </row>
    <row r="291">
      <c r="C291" s="82" t="s">
        <v>1452</v>
      </c>
      <c r="D291" s="82" t="s">
        <v>1060</v>
      </c>
      <c r="E291" s="82" t="s">
        <v>672</v>
      </c>
    </row>
    <row r="292">
      <c r="C292" s="82" t="s">
        <v>1453</v>
      </c>
      <c r="D292" s="82" t="s">
        <v>1217</v>
      </c>
    </row>
    <row r="293">
      <c r="C293" s="82" t="s">
        <v>1171</v>
      </c>
    </row>
    <row r="294">
      <c r="C294" s="82" t="s">
        <v>1454</v>
      </c>
      <c r="D294" s="82" t="s">
        <v>1170</v>
      </c>
      <c r="E294" s="82" t="s">
        <v>672</v>
      </c>
    </row>
    <row r="295">
      <c r="B295" s="82" t="s">
        <v>707</v>
      </c>
      <c r="C295" s="82" t="s">
        <v>710</v>
      </c>
    </row>
    <row r="296">
      <c r="C296" s="82" t="s">
        <v>1455</v>
      </c>
      <c r="D296" s="82" t="s">
        <v>731</v>
      </c>
      <c r="E296" s="82" t="s">
        <v>672</v>
      </c>
    </row>
    <row r="297">
      <c r="C297" s="82" t="s">
        <v>1456</v>
      </c>
      <c r="D297" s="82" t="s">
        <v>840</v>
      </c>
      <c r="E297" s="82" t="s">
        <v>672</v>
      </c>
    </row>
    <row r="298">
      <c r="C298" s="82" t="s">
        <v>1457</v>
      </c>
      <c r="D298" s="82" t="s">
        <v>850</v>
      </c>
    </row>
    <row r="299">
      <c r="C299" s="82" t="s">
        <v>1458</v>
      </c>
      <c r="D299" s="82" t="s">
        <v>1177</v>
      </c>
      <c r="E299" s="82" t="s">
        <v>672</v>
      </c>
    </row>
    <row r="300">
      <c r="C300" s="82" t="s">
        <v>1459</v>
      </c>
      <c r="D300" s="82" t="s">
        <v>977</v>
      </c>
    </row>
    <row r="301">
      <c r="C301" s="82" t="s">
        <v>1460</v>
      </c>
      <c r="D301" s="82" t="s">
        <v>1027</v>
      </c>
      <c r="E301" s="82" t="s">
        <v>672</v>
      </c>
    </row>
    <row r="302">
      <c r="C302" s="82" t="s">
        <v>1461</v>
      </c>
      <c r="D302" s="82" t="s">
        <v>717</v>
      </c>
      <c r="E302" s="82" t="s">
        <v>672</v>
      </c>
    </row>
    <row r="303">
      <c r="C303" s="82" t="s">
        <v>1462</v>
      </c>
      <c r="D303" s="82" t="s">
        <v>1032</v>
      </c>
      <c r="E303" s="82" t="s">
        <v>672</v>
      </c>
    </row>
    <row r="304">
      <c r="C304" s="82" t="s">
        <v>1050</v>
      </c>
    </row>
    <row r="305">
      <c r="C305" s="82" t="s">
        <v>1463</v>
      </c>
      <c r="D305" s="82" t="s">
        <v>1049</v>
      </c>
      <c r="E305" s="82" t="s">
        <v>672</v>
      </c>
    </row>
    <row r="306">
      <c r="C306" s="82" t="s">
        <v>1464</v>
      </c>
      <c r="D306" s="82" t="s">
        <v>1232</v>
      </c>
      <c r="E306" s="82" t="s">
        <v>672</v>
      </c>
    </row>
    <row r="307">
      <c r="C307" s="82" t="s">
        <v>817</v>
      </c>
    </row>
    <row r="308">
      <c r="C308" s="82" t="s">
        <v>1465</v>
      </c>
      <c r="D308" s="82" t="s">
        <v>816</v>
      </c>
      <c r="E308" s="82" t="s">
        <v>672</v>
      </c>
    </row>
    <row r="309">
      <c r="C309" s="82" t="s">
        <v>1466</v>
      </c>
      <c r="D309" s="82" t="s">
        <v>860</v>
      </c>
      <c r="E309" s="82" t="s">
        <v>672</v>
      </c>
    </row>
    <row r="310">
      <c r="C310" s="82" t="s">
        <v>1467</v>
      </c>
      <c r="D310" s="82" t="s">
        <v>1016</v>
      </c>
      <c r="E310" s="82" t="s">
        <v>709</v>
      </c>
    </row>
    <row r="311">
      <c r="C311" s="82" t="s">
        <v>1103</v>
      </c>
      <c r="D311" s="82" t="s">
        <v>1103</v>
      </c>
      <c r="E311" s="82" t="s">
        <v>672</v>
      </c>
    </row>
    <row r="312">
      <c r="C312" s="82" t="s">
        <v>1468</v>
      </c>
      <c r="D312" s="82" t="s">
        <v>1026</v>
      </c>
      <c r="E312" s="82" t="s">
        <v>672</v>
      </c>
    </row>
    <row r="313">
      <c r="C313" s="82" t="s">
        <v>1469</v>
      </c>
      <c r="D313" s="82" t="s">
        <v>1167</v>
      </c>
      <c r="E313" s="82" t="s">
        <v>676</v>
      </c>
    </row>
    <row r="315">
      <c r="A315" s="82" t="s">
        <v>669</v>
      </c>
      <c r="B315" s="82" t="s">
        <v>670</v>
      </c>
      <c r="C315" s="82" t="s">
        <v>668</v>
      </c>
      <c r="D315" s="82" t="s">
        <v>1242</v>
      </c>
    </row>
    <row r="316">
      <c r="D316" s="82" t="s">
        <v>667</v>
      </c>
      <c r="E316" s="82" t="s">
        <v>668</v>
      </c>
    </row>
    <row r="317">
      <c r="A317" s="82" t="s">
        <v>673</v>
      </c>
      <c r="B317" s="82" t="s">
        <v>775</v>
      </c>
      <c r="C317" s="82" t="s">
        <v>775</v>
      </c>
    </row>
    <row r="318">
      <c r="C318" s="82" t="s">
        <v>1470</v>
      </c>
      <c r="D318" s="82" t="s">
        <v>774</v>
      </c>
      <c r="E318" s="82" t="s">
        <v>748</v>
      </c>
    </row>
    <row r="319">
      <c r="C319" s="82" t="s">
        <v>1471</v>
      </c>
      <c r="D319" s="82" t="s">
        <v>962</v>
      </c>
      <c r="E319" s="82" t="s">
        <v>963</v>
      </c>
    </row>
    <row r="320">
      <c r="C320" s="82" t="s">
        <v>1472</v>
      </c>
      <c r="D320" s="82" t="s">
        <v>1079</v>
      </c>
      <c r="E320" s="82" t="s">
        <v>748</v>
      </c>
    </row>
    <row r="321">
      <c r="C321" s="82" t="s">
        <v>1473</v>
      </c>
      <c r="D321" s="82" t="s">
        <v>1086</v>
      </c>
      <c r="E321" s="82" t="s">
        <v>672</v>
      </c>
    </row>
    <row r="322">
      <c r="B322" s="82" t="s">
        <v>1474</v>
      </c>
      <c r="C322" s="82" t="s">
        <v>1474</v>
      </c>
    </row>
    <row r="323">
      <c r="B323" s="82" t="s">
        <v>674</v>
      </c>
      <c r="C323" s="82" t="s">
        <v>674</v>
      </c>
    </row>
    <row r="324">
      <c r="C324" s="82" t="s">
        <v>1475</v>
      </c>
      <c r="D324" s="82" t="s">
        <v>684</v>
      </c>
    </row>
    <row r="325">
      <c r="C325" s="82" t="s">
        <v>1476</v>
      </c>
      <c r="D325" s="82" t="s">
        <v>671</v>
      </c>
      <c r="E325" s="82" t="s">
        <v>672</v>
      </c>
    </row>
    <row r="326">
      <c r="C326" s="82" t="s">
        <v>899</v>
      </c>
      <c r="D326" s="82" t="s">
        <v>899</v>
      </c>
    </row>
    <row r="327">
      <c r="C327" s="82" t="s">
        <v>1477</v>
      </c>
      <c r="D327" s="82" t="s">
        <v>951</v>
      </c>
      <c r="E327" s="82" t="s">
        <v>672</v>
      </c>
    </row>
    <row r="328">
      <c r="C328" s="82" t="s">
        <v>1478</v>
      </c>
      <c r="D328" s="82" t="s">
        <v>979</v>
      </c>
      <c r="E328" s="82" t="s">
        <v>672</v>
      </c>
    </row>
    <row r="329">
      <c r="C329" s="82" t="s">
        <v>1479</v>
      </c>
      <c r="D329" s="82" t="s">
        <v>1095</v>
      </c>
      <c r="E329" s="82" t="s">
        <v>672</v>
      </c>
    </row>
    <row r="330">
      <c r="C330" s="82" t="s">
        <v>1480</v>
      </c>
      <c r="D330" s="82" t="s">
        <v>968</v>
      </c>
      <c r="E330" s="82" t="s">
        <v>672</v>
      </c>
    </row>
    <row r="331">
      <c r="C331" s="82" t="s">
        <v>1481</v>
      </c>
      <c r="D331" s="82" t="s">
        <v>1085</v>
      </c>
      <c r="E331" s="82" t="s">
        <v>672</v>
      </c>
    </row>
    <row r="332">
      <c r="C332" s="82" t="s">
        <v>1482</v>
      </c>
      <c r="D332" s="82" t="s">
        <v>1130</v>
      </c>
      <c r="E332" s="82" t="s">
        <v>672</v>
      </c>
    </row>
    <row r="333">
      <c r="B333" s="82" t="s">
        <v>750</v>
      </c>
      <c r="C333" s="82" t="s">
        <v>750</v>
      </c>
    </row>
    <row r="334">
      <c r="C334" s="82" t="s">
        <v>1483</v>
      </c>
      <c r="D334" s="82" t="s">
        <v>749</v>
      </c>
    </row>
    <row r="335">
      <c r="C335" s="82" t="s">
        <v>1484</v>
      </c>
      <c r="D335" s="82" t="s">
        <v>1028</v>
      </c>
      <c r="E335" s="82" t="s">
        <v>748</v>
      </c>
    </row>
    <row r="336">
      <c r="B336" s="82" t="s">
        <v>875</v>
      </c>
      <c r="C336" s="82" t="s">
        <v>775</v>
      </c>
    </row>
    <row r="337">
      <c r="C337" s="82" t="s">
        <v>1485</v>
      </c>
      <c r="D337" s="82" t="s">
        <v>1113</v>
      </c>
    </row>
    <row r="338">
      <c r="C338" s="82" t="s">
        <v>1486</v>
      </c>
      <c r="D338" s="82" t="s">
        <v>905</v>
      </c>
      <c r="E338" s="82" t="s">
        <v>672</v>
      </c>
    </row>
    <row r="339">
      <c r="C339" s="82" t="s">
        <v>1487</v>
      </c>
      <c r="D339" s="82" t="s">
        <v>991</v>
      </c>
      <c r="E339" s="82" t="s">
        <v>672</v>
      </c>
    </row>
    <row r="340">
      <c r="C340" s="82" t="s">
        <v>1488</v>
      </c>
      <c r="D340" s="82" t="s">
        <v>1105</v>
      </c>
      <c r="E340" s="82" t="s">
        <v>672</v>
      </c>
    </row>
    <row r="341">
      <c r="C341" s="82" t="s">
        <v>1489</v>
      </c>
      <c r="D341" s="82" t="s">
        <v>1104</v>
      </c>
      <c r="E341" s="82" t="s">
        <v>672</v>
      </c>
    </row>
    <row r="342">
      <c r="C342" s="82" t="s">
        <v>1490</v>
      </c>
      <c r="D342" s="82" t="s">
        <v>1133</v>
      </c>
      <c r="E342" s="82" t="s">
        <v>672</v>
      </c>
    </row>
    <row r="344">
      <c r="A344" s="82" t="s">
        <v>669</v>
      </c>
      <c r="B344" s="82" t="s">
        <v>670</v>
      </c>
      <c r="C344" s="82" t="s">
        <v>668</v>
      </c>
      <c r="D344" s="82" t="s">
        <v>1242</v>
      </c>
    </row>
    <row r="345">
      <c r="D345" s="82" t="s">
        <v>667</v>
      </c>
      <c r="E345" s="82" t="s">
        <v>668</v>
      </c>
    </row>
    <row r="346">
      <c r="A346" s="82" t="s">
        <v>809</v>
      </c>
      <c r="B346" s="82" t="s">
        <v>1117</v>
      </c>
      <c r="C346" s="82" t="s">
        <v>1117</v>
      </c>
    </row>
    <row r="347">
      <c r="C347" s="82" t="s">
        <v>1491</v>
      </c>
      <c r="D347" s="82" t="s">
        <v>1116</v>
      </c>
      <c r="E347" s="82" t="s">
        <v>672</v>
      </c>
    </row>
    <row r="348">
      <c r="B348" s="82" t="s">
        <v>810</v>
      </c>
      <c r="C348" s="82" t="s">
        <v>810</v>
      </c>
    </row>
    <row r="349">
      <c r="C349" s="82" t="s">
        <v>1492</v>
      </c>
      <c r="D349" s="82" t="s">
        <v>808</v>
      </c>
      <c r="E349" s="82" t="s">
        <v>748</v>
      </c>
    </row>
    <row r="350">
      <c r="C350" s="82" t="s">
        <v>1493</v>
      </c>
      <c r="D350" s="82" t="s">
        <v>931</v>
      </c>
      <c r="E350" s="82" t="s">
        <v>672</v>
      </c>
    </row>
    <row r="351">
      <c r="C351" s="82" t="s">
        <v>1024</v>
      </c>
      <c r="D351" s="82" t="s">
        <v>1024</v>
      </c>
      <c r="E351" s="82" t="s">
        <v>672</v>
      </c>
    </row>
    <row r="352">
      <c r="C352" s="82" t="s">
        <v>1494</v>
      </c>
      <c r="D352" s="82" t="s">
        <v>1038</v>
      </c>
      <c r="E352" s="82" t="s">
        <v>672</v>
      </c>
    </row>
    <row r="353">
      <c r="C353" s="82" t="s">
        <v>1495</v>
      </c>
      <c r="D353" s="82" t="s">
        <v>831</v>
      </c>
      <c r="E353" s="82" t="s">
        <v>672</v>
      </c>
    </row>
    <row r="354">
      <c r="C354" s="82" t="s">
        <v>1496</v>
      </c>
      <c r="D354" s="82" t="s">
        <v>1131</v>
      </c>
      <c r="E354" s="82" t="s">
        <v>748</v>
      </c>
    </row>
    <row r="355">
      <c r="C355" s="82" t="s">
        <v>1497</v>
      </c>
      <c r="D355" s="82" t="s">
        <v>1182</v>
      </c>
      <c r="E355" s="82" t="s">
        <v>672</v>
      </c>
    </row>
    <row r="356">
      <c r="C356" s="82" t="s">
        <v>1498</v>
      </c>
      <c r="D356" s="82" t="s">
        <v>1207</v>
      </c>
      <c r="E356" s="82" t="s">
        <v>672</v>
      </c>
    </row>
    <row r="358">
      <c r="A358" s="82" t="s">
        <v>669</v>
      </c>
      <c r="B358" s="82" t="s">
        <v>670</v>
      </c>
      <c r="C358" s="82" t="s">
        <v>668</v>
      </c>
      <c r="D358" s="82" t="s">
        <v>1242</v>
      </c>
    </row>
    <row r="359">
      <c r="D359" s="82" t="s">
        <v>667</v>
      </c>
      <c r="E359" s="82" t="s">
        <v>668</v>
      </c>
    </row>
    <row r="360">
      <c r="A360" s="82" t="s">
        <v>704</v>
      </c>
      <c r="B360" s="82" t="s">
        <v>705</v>
      </c>
      <c r="C360" s="82" t="s">
        <v>705</v>
      </c>
    </row>
    <row r="361">
      <c r="C361" s="82" t="s">
        <v>1499</v>
      </c>
      <c r="D361" s="82" t="s">
        <v>703</v>
      </c>
    </row>
    <row r="362">
      <c r="C362" s="82" t="s">
        <v>1500</v>
      </c>
      <c r="D362" s="82" t="s">
        <v>1087</v>
      </c>
      <c r="E362" s="82" t="s">
        <v>709</v>
      </c>
    </row>
    <row r="363">
      <c r="C363" s="82" t="s">
        <v>1501</v>
      </c>
      <c r="D363" s="82" t="s">
        <v>1197</v>
      </c>
    </row>
    <row r="364">
      <c r="C364" s="82" t="s">
        <v>1502</v>
      </c>
      <c r="D364" s="82" t="s">
        <v>1227</v>
      </c>
    </row>
    <row r="365">
      <c r="C365" s="82" t="s">
        <v>1503</v>
      </c>
      <c r="D365" s="82" t="s">
        <v>1204</v>
      </c>
      <c r="E365" s="82" t="s">
        <v>672</v>
      </c>
    </row>
    <row r="366">
      <c r="C366" s="82" t="s">
        <v>1504</v>
      </c>
      <c r="D366" s="82" t="s">
        <v>1505</v>
      </c>
      <c r="E366" s="82" t="s">
        <v>672</v>
      </c>
    </row>
    <row r="367">
      <c r="B367" s="82" t="s">
        <v>858</v>
      </c>
      <c r="C367" s="82" t="s">
        <v>859</v>
      </c>
    </row>
    <row r="368">
      <c r="C368" s="82" t="s">
        <v>1506</v>
      </c>
      <c r="D368" s="82" t="s">
        <v>857</v>
      </c>
      <c r="E368" s="82" t="s">
        <v>748</v>
      </c>
    </row>
    <row r="370">
      <c r="A370" s="82" t="s">
        <v>669</v>
      </c>
      <c r="B370" s="82" t="s">
        <v>670</v>
      </c>
      <c r="C370" s="82" t="s">
        <v>668</v>
      </c>
      <c r="D370" s="82" t="s">
        <v>1242</v>
      </c>
    </row>
    <row r="371">
      <c r="D371" s="82" t="s">
        <v>667</v>
      </c>
      <c r="E371" s="82" t="s">
        <v>668</v>
      </c>
    </row>
    <row r="372">
      <c r="A372" s="82" t="s">
        <v>686</v>
      </c>
      <c r="B372" s="82" t="s">
        <v>687</v>
      </c>
      <c r="C372" s="82" t="s">
        <v>687</v>
      </c>
    </row>
    <row r="373">
      <c r="C373" s="82" t="s">
        <v>1507</v>
      </c>
      <c r="D373" s="82" t="s">
        <v>685</v>
      </c>
    </row>
    <row r="374">
      <c r="C374" s="82" t="s">
        <v>1508</v>
      </c>
      <c r="D374" s="82" t="s">
        <v>1203</v>
      </c>
      <c r="E374" s="82" t="s">
        <v>676</v>
      </c>
    </row>
    <row r="375">
      <c r="C375" s="82" t="s">
        <v>1509</v>
      </c>
      <c r="D375" s="82" t="s">
        <v>688</v>
      </c>
    </row>
    <row r="376">
      <c r="C376" s="82" t="s">
        <v>1510</v>
      </c>
      <c r="D376" s="82" t="s">
        <v>716</v>
      </c>
      <c r="E376" s="82" t="s">
        <v>676</v>
      </c>
    </row>
    <row r="377">
      <c r="C377" s="82" t="s">
        <v>1511</v>
      </c>
      <c r="D377" s="82" t="s">
        <v>836</v>
      </c>
    </row>
    <row r="378">
      <c r="C378" s="82" t="s">
        <v>1512</v>
      </c>
      <c r="D378" s="82" t="s">
        <v>870</v>
      </c>
      <c r="E378" s="82" t="s">
        <v>693</v>
      </c>
    </row>
    <row r="379">
      <c r="C379" s="82" t="s">
        <v>1513</v>
      </c>
      <c r="D379" s="82" t="s">
        <v>841</v>
      </c>
    </row>
    <row r="380">
      <c r="C380" s="82" t="s">
        <v>1514</v>
      </c>
      <c r="D380" s="82" t="s">
        <v>844</v>
      </c>
      <c r="E380" s="82" t="s">
        <v>709</v>
      </c>
    </row>
    <row r="381">
      <c r="C381" s="82" t="s">
        <v>1515</v>
      </c>
      <c r="D381" s="82" t="s">
        <v>918</v>
      </c>
      <c r="E381" s="82" t="s">
        <v>709</v>
      </c>
    </row>
    <row r="382">
      <c r="C382" s="82" t="s">
        <v>1516</v>
      </c>
      <c r="D382" s="82" t="s">
        <v>852</v>
      </c>
      <c r="E382" s="82" t="s">
        <v>676</v>
      </c>
    </row>
    <row r="383">
      <c r="C383" s="82" t="s">
        <v>1517</v>
      </c>
      <c r="D383" s="82" t="s">
        <v>971</v>
      </c>
    </row>
    <row r="384">
      <c r="C384" s="82" t="s">
        <v>1518</v>
      </c>
      <c r="D384" s="82" t="s">
        <v>847</v>
      </c>
    </row>
    <row r="385">
      <c r="C385" s="82" t="s">
        <v>1519</v>
      </c>
      <c r="D385" s="82" t="s">
        <v>855</v>
      </c>
      <c r="E385" s="82" t="s">
        <v>709</v>
      </c>
    </row>
    <row r="386">
      <c r="C386" s="82" t="s">
        <v>1520</v>
      </c>
      <c r="D386" s="82" t="s">
        <v>853</v>
      </c>
    </row>
    <row r="387">
      <c r="C387" s="82" t="s">
        <v>1521</v>
      </c>
      <c r="D387" s="82" t="s">
        <v>854</v>
      </c>
    </row>
    <row r="388">
      <c r="C388" s="82" t="s">
        <v>848</v>
      </c>
      <c r="D388" s="82" t="s">
        <v>848</v>
      </c>
      <c r="E388" s="82" t="s">
        <v>709</v>
      </c>
    </row>
    <row r="389">
      <c r="C389" s="82" t="s">
        <v>1522</v>
      </c>
      <c r="D389" s="82" t="s">
        <v>843</v>
      </c>
    </row>
    <row r="390">
      <c r="C390" s="82" t="s">
        <v>1523</v>
      </c>
      <c r="D390" s="82" t="s">
        <v>861</v>
      </c>
    </row>
    <row r="391">
      <c r="C391" s="82" t="s">
        <v>1524</v>
      </c>
      <c r="D391" s="82" t="s">
        <v>868</v>
      </c>
      <c r="E391" s="82" t="s">
        <v>709</v>
      </c>
    </row>
    <row r="392">
      <c r="C392" s="82" t="s">
        <v>1525</v>
      </c>
      <c r="D392" s="82" t="s">
        <v>888</v>
      </c>
    </row>
    <row r="393">
      <c r="C393" s="82" t="s">
        <v>1526</v>
      </c>
      <c r="D393" s="82" t="s">
        <v>865</v>
      </c>
      <c r="E393" s="82" t="s">
        <v>672</v>
      </c>
    </row>
    <row r="394">
      <c r="C394" s="82" t="s">
        <v>1527</v>
      </c>
      <c r="D394" s="82" t="s">
        <v>866</v>
      </c>
    </row>
    <row r="395">
      <c r="C395" s="82" t="s">
        <v>1528</v>
      </c>
      <c r="D395" s="82" t="s">
        <v>867</v>
      </c>
    </row>
    <row r="396">
      <c r="C396" s="82" t="s">
        <v>1529</v>
      </c>
      <c r="D396" s="82" t="s">
        <v>869</v>
      </c>
    </row>
    <row r="397">
      <c r="C397" s="82" t="s">
        <v>1530</v>
      </c>
      <c r="D397" s="82" t="s">
        <v>912</v>
      </c>
    </row>
    <row r="398">
      <c r="C398" s="82" t="s">
        <v>1531</v>
      </c>
      <c r="D398" s="82" t="s">
        <v>920</v>
      </c>
    </row>
    <row r="399">
      <c r="C399" s="82" t="s">
        <v>1532</v>
      </c>
      <c r="D399" s="82" t="s">
        <v>922</v>
      </c>
      <c r="E399" s="82" t="s">
        <v>709</v>
      </c>
    </row>
    <row r="400">
      <c r="C400" s="82" t="s">
        <v>1533</v>
      </c>
      <c r="D400" s="82" t="s">
        <v>1025</v>
      </c>
    </row>
    <row r="401">
      <c r="C401" s="82" t="s">
        <v>923</v>
      </c>
      <c r="D401" s="82" t="s">
        <v>923</v>
      </c>
    </row>
    <row r="402">
      <c r="C402" s="82" t="s">
        <v>1534</v>
      </c>
      <c r="D402" s="82" t="s">
        <v>927</v>
      </c>
      <c r="E402" s="82" t="s">
        <v>672</v>
      </c>
    </row>
    <row r="403">
      <c r="C403" s="82" t="s">
        <v>1535</v>
      </c>
      <c r="D403" s="82" t="s">
        <v>930</v>
      </c>
      <c r="E403" s="82" t="s">
        <v>676</v>
      </c>
    </row>
    <row r="404">
      <c r="C404" s="82" t="s">
        <v>1536</v>
      </c>
      <c r="D404" s="82" t="s">
        <v>932</v>
      </c>
    </row>
    <row r="405">
      <c r="C405" s="82" t="s">
        <v>1537</v>
      </c>
      <c r="D405" s="82" t="s">
        <v>928</v>
      </c>
    </row>
    <row r="406">
      <c r="C406" s="82" t="s">
        <v>1538</v>
      </c>
      <c r="D406" s="82" t="s">
        <v>929</v>
      </c>
      <c r="E406" s="82" t="s">
        <v>672</v>
      </c>
    </row>
    <row r="407">
      <c r="C407" s="82" t="s">
        <v>1539</v>
      </c>
      <c r="D407" s="82" t="s">
        <v>919</v>
      </c>
      <c r="E407" s="82" t="s">
        <v>672</v>
      </c>
    </row>
    <row r="408">
      <c r="C408" s="82" t="s">
        <v>1540</v>
      </c>
      <c r="D408" s="82" t="s">
        <v>934</v>
      </c>
    </row>
    <row r="409">
      <c r="C409" s="82" t="s">
        <v>1541</v>
      </c>
      <c r="D409" s="82" t="s">
        <v>933</v>
      </c>
      <c r="E409" s="82" t="s">
        <v>693</v>
      </c>
    </row>
    <row r="410">
      <c r="C410" s="82" t="s">
        <v>1542</v>
      </c>
      <c r="D410" s="82" t="s">
        <v>935</v>
      </c>
      <c r="E410" s="82" t="s">
        <v>672</v>
      </c>
    </row>
    <row r="411">
      <c r="C411" s="82" t="s">
        <v>1543</v>
      </c>
      <c r="D411" s="82" t="s">
        <v>937</v>
      </c>
    </row>
    <row r="412">
      <c r="C412" s="82" t="s">
        <v>1544</v>
      </c>
      <c r="D412" s="82" t="s">
        <v>946</v>
      </c>
    </row>
    <row r="413">
      <c r="C413" s="82" t="s">
        <v>1545</v>
      </c>
      <c r="D413" s="82" t="s">
        <v>964</v>
      </c>
    </row>
    <row r="414">
      <c r="C414" s="82" t="s">
        <v>1546</v>
      </c>
      <c r="D414" s="82" t="s">
        <v>1002</v>
      </c>
    </row>
    <row r="415">
      <c r="C415" s="82" t="s">
        <v>1547</v>
      </c>
      <c r="D415" s="82" t="s">
        <v>1022</v>
      </c>
    </row>
    <row r="416">
      <c r="C416" s="82" t="s">
        <v>1548</v>
      </c>
      <c r="D416" s="82" t="s">
        <v>1023</v>
      </c>
      <c r="E416" s="82" t="s">
        <v>672</v>
      </c>
    </row>
    <row r="417">
      <c r="C417" s="82" t="s">
        <v>1549</v>
      </c>
      <c r="D417" s="82" t="s">
        <v>1077</v>
      </c>
      <c r="E417" s="82" t="s">
        <v>672</v>
      </c>
    </row>
    <row r="418">
      <c r="C418" s="82" t="s">
        <v>1550</v>
      </c>
      <c r="D418" s="82" t="s">
        <v>1088</v>
      </c>
      <c r="E418" s="82" t="s">
        <v>672</v>
      </c>
    </row>
    <row r="419">
      <c r="C419" s="82" t="s">
        <v>1551</v>
      </c>
      <c r="D419" s="82" t="s">
        <v>1094</v>
      </c>
    </row>
    <row r="420">
      <c r="C420" s="82" t="s">
        <v>1552</v>
      </c>
      <c r="D420" s="82" t="s">
        <v>1122</v>
      </c>
      <c r="E420" s="82" t="s">
        <v>693</v>
      </c>
    </row>
    <row r="421">
      <c r="C421" s="82" t="s">
        <v>1553</v>
      </c>
      <c r="D421" s="82" t="s">
        <v>1142</v>
      </c>
    </row>
    <row r="422">
      <c r="C422" s="82" t="s">
        <v>1554</v>
      </c>
      <c r="D422" s="82" t="s">
        <v>1146</v>
      </c>
      <c r="E422" s="82" t="s">
        <v>676</v>
      </c>
    </row>
    <row r="423">
      <c r="C423" s="82" t="s">
        <v>1555</v>
      </c>
      <c r="D423" s="82" t="s">
        <v>1185</v>
      </c>
    </row>
    <row r="424">
      <c r="C424" s="82" t="s">
        <v>1556</v>
      </c>
      <c r="D424" s="82" t="s">
        <v>1184</v>
      </c>
    </row>
    <row r="425">
      <c r="C425" s="82" t="s">
        <v>1557</v>
      </c>
      <c r="D425" s="82" t="s">
        <v>1190</v>
      </c>
      <c r="E425" s="82" t="s">
        <v>676</v>
      </c>
    </row>
    <row r="426">
      <c r="C426" s="82" t="s">
        <v>1558</v>
      </c>
      <c r="D426" s="82" t="s">
        <v>1206</v>
      </c>
    </row>
    <row r="427">
      <c r="C427" s="82" t="s">
        <v>1559</v>
      </c>
      <c r="D427" s="82" t="s">
        <v>1199</v>
      </c>
    </row>
    <row r="428">
      <c r="C428" s="82" t="s">
        <v>1560</v>
      </c>
      <c r="D428" s="82" t="s">
        <v>1211</v>
      </c>
      <c r="E428" s="82" t="s">
        <v>709</v>
      </c>
    </row>
    <row r="429">
      <c r="C429" s="82" t="s">
        <v>1561</v>
      </c>
      <c r="D429" s="82" t="s">
        <v>1219</v>
      </c>
      <c r="E429" s="82" t="s">
        <v>693</v>
      </c>
    </row>
    <row r="430">
      <c r="B430" s="82" t="s">
        <v>833</v>
      </c>
      <c r="C430" s="82" t="s">
        <v>833</v>
      </c>
    </row>
    <row r="431">
      <c r="C431" s="82" t="s">
        <v>1562</v>
      </c>
      <c r="D431" s="82" t="s">
        <v>832</v>
      </c>
    </row>
    <row r="432">
      <c r="C432" s="82" t="s">
        <v>1563</v>
      </c>
      <c r="D432" s="82" t="s">
        <v>883</v>
      </c>
      <c r="E432" s="82" t="s">
        <v>672</v>
      </c>
    </row>
    <row r="433">
      <c r="C433" s="82" t="s">
        <v>1564</v>
      </c>
      <c r="D433" s="82" t="s">
        <v>996</v>
      </c>
      <c r="E433" s="82" t="s">
        <v>748</v>
      </c>
    </row>
    <row r="434">
      <c r="C434" s="82" t="s">
        <v>1565</v>
      </c>
      <c r="D434" s="82" t="s">
        <v>1156</v>
      </c>
      <c r="E434" s="82" t="s">
        <v>672</v>
      </c>
    </row>
    <row r="435">
      <c r="C435" s="82" t="s">
        <v>1566</v>
      </c>
      <c r="D435" s="82" t="s">
        <v>1155</v>
      </c>
      <c r="E435" s="82" t="s">
        <v>676</v>
      </c>
    </row>
    <row r="436">
      <c r="C436" s="82" t="s">
        <v>1567</v>
      </c>
      <c r="D436" s="82" t="s">
        <v>1173</v>
      </c>
    </row>
    <row r="437">
      <c r="B437" s="82" t="s">
        <v>846</v>
      </c>
      <c r="C437" s="82" t="s">
        <v>846</v>
      </c>
    </row>
    <row r="438">
      <c r="C438" s="82" t="s">
        <v>1568</v>
      </c>
      <c r="D438" s="82" t="s">
        <v>845</v>
      </c>
    </row>
    <row r="439">
      <c r="C439" s="82" t="s">
        <v>1569</v>
      </c>
      <c r="D439" s="82" t="s">
        <v>849</v>
      </c>
    </row>
    <row r="441">
      <c r="A441" s="82" t="s">
        <v>669</v>
      </c>
      <c r="B441" s="82" t="s">
        <v>670</v>
      </c>
      <c r="C441" s="82" t="s">
        <v>668</v>
      </c>
      <c r="D441" s="82" t="s">
        <v>1242</v>
      </c>
    </row>
    <row r="442">
      <c r="D442" s="82" t="s">
        <v>667</v>
      </c>
      <c r="E442" s="82" t="s">
        <v>668</v>
      </c>
    </row>
    <row r="443">
      <c r="A443" s="82" t="s">
        <v>677</v>
      </c>
      <c r="B443" s="82" t="s">
        <v>678</v>
      </c>
      <c r="C443" s="82" t="s">
        <v>679</v>
      </c>
    </row>
    <row r="444">
      <c r="C444" s="82" t="s">
        <v>1570</v>
      </c>
      <c r="D444" s="82" t="s">
        <v>675</v>
      </c>
      <c r="E444" s="82" t="s">
        <v>676</v>
      </c>
    </row>
    <row r="445">
      <c r="C445" s="82" t="s">
        <v>1571</v>
      </c>
      <c r="D445" s="82" t="s">
        <v>1148</v>
      </c>
    </row>
    <row r="446">
      <c r="C446" s="82" t="s">
        <v>1572</v>
      </c>
      <c r="D446" s="82" t="s">
        <v>802</v>
      </c>
    </row>
    <row r="447">
      <c r="C447" s="82" t="s">
        <v>1573</v>
      </c>
      <c r="D447" s="82" t="s">
        <v>754</v>
      </c>
    </row>
    <row r="448">
      <c r="C448" s="82" t="s">
        <v>1574</v>
      </c>
      <c r="D448" s="82" t="s">
        <v>781</v>
      </c>
      <c r="E448" s="82" t="s">
        <v>709</v>
      </c>
    </row>
    <row r="449">
      <c r="C449" s="82" t="s">
        <v>1575</v>
      </c>
      <c r="D449" s="82" t="s">
        <v>773</v>
      </c>
      <c r="E449" s="82" t="s">
        <v>676</v>
      </c>
    </row>
    <row r="450">
      <c r="C450" s="82" t="s">
        <v>1576</v>
      </c>
      <c r="D450" s="82" t="s">
        <v>792</v>
      </c>
      <c r="E450" s="82" t="s">
        <v>709</v>
      </c>
    </row>
    <row r="451">
      <c r="C451" s="82" t="s">
        <v>1577</v>
      </c>
      <c r="D451" s="82" t="s">
        <v>772</v>
      </c>
    </row>
    <row r="452">
      <c r="C452" s="82" t="s">
        <v>1578</v>
      </c>
      <c r="D452" s="82" t="s">
        <v>768</v>
      </c>
    </row>
    <row r="453">
      <c r="C453" s="82" t="s">
        <v>1579</v>
      </c>
      <c r="D453" s="82" t="s">
        <v>793</v>
      </c>
    </row>
    <row r="454">
      <c r="C454" s="82" t="s">
        <v>1580</v>
      </c>
      <c r="D454" s="82" t="s">
        <v>811</v>
      </c>
      <c r="E454" s="82" t="s">
        <v>709</v>
      </c>
    </row>
    <row r="455">
      <c r="C455" s="82" t="s">
        <v>1581</v>
      </c>
      <c r="D455" s="82" t="s">
        <v>756</v>
      </c>
      <c r="E455" s="82" t="s">
        <v>709</v>
      </c>
    </row>
    <row r="456">
      <c r="C456" s="82" t="s">
        <v>1582</v>
      </c>
      <c r="D456" s="82" t="s">
        <v>755</v>
      </c>
      <c r="E456" s="82" t="s">
        <v>672</v>
      </c>
    </row>
    <row r="457">
      <c r="C457" s="82" t="s">
        <v>1583</v>
      </c>
      <c r="D457" s="82" t="s">
        <v>815</v>
      </c>
    </row>
    <row r="458">
      <c r="C458" s="82" t="s">
        <v>1584</v>
      </c>
      <c r="D458" s="82" t="s">
        <v>791</v>
      </c>
    </row>
    <row r="459">
      <c r="C459" s="82" t="s">
        <v>1585</v>
      </c>
      <c r="D459" s="82" t="s">
        <v>993</v>
      </c>
      <c r="E459" s="82" t="s">
        <v>676</v>
      </c>
    </row>
    <row r="460">
      <c r="C460" s="82" t="s">
        <v>1586</v>
      </c>
      <c r="D460" s="82" t="s">
        <v>1003</v>
      </c>
      <c r="E460" s="82" t="s">
        <v>709</v>
      </c>
    </row>
    <row r="461">
      <c r="C461" s="82" t="s">
        <v>1587</v>
      </c>
      <c r="D461" s="82" t="s">
        <v>1004</v>
      </c>
      <c r="E461" s="82" t="s">
        <v>709</v>
      </c>
    </row>
    <row r="462">
      <c r="C462" s="82" t="s">
        <v>1588</v>
      </c>
      <c r="D462" s="82" t="s">
        <v>780</v>
      </c>
    </row>
    <row r="463">
      <c r="C463" s="82" t="s">
        <v>1589</v>
      </c>
      <c r="D463" s="82" t="s">
        <v>782</v>
      </c>
    </row>
    <row r="464">
      <c r="C464" s="82" t="s">
        <v>1590</v>
      </c>
      <c r="D464" s="82" t="s">
        <v>785</v>
      </c>
    </row>
    <row r="465">
      <c r="C465" s="82" t="s">
        <v>1591</v>
      </c>
      <c r="D465" s="82" t="s">
        <v>1120</v>
      </c>
    </row>
    <row r="466">
      <c r="C466" s="82" t="s">
        <v>1106</v>
      </c>
      <c r="D466" s="82" t="s">
        <v>1106</v>
      </c>
      <c r="E466" s="82" t="s">
        <v>676</v>
      </c>
    </row>
    <row r="467">
      <c r="C467" s="82" t="s">
        <v>1592</v>
      </c>
      <c r="D467" s="82" t="s">
        <v>1154</v>
      </c>
    </row>
    <row r="468">
      <c r="C468" s="82" t="s">
        <v>877</v>
      </c>
    </row>
    <row r="469">
      <c r="C469" s="82" t="s">
        <v>1593</v>
      </c>
      <c r="D469" s="82" t="s">
        <v>876</v>
      </c>
    </row>
    <row r="470">
      <c r="C470" s="82" t="s">
        <v>1594</v>
      </c>
      <c r="D470" s="82" t="s">
        <v>952</v>
      </c>
    </row>
    <row r="471">
      <c r="C471" s="82" t="s">
        <v>1595</v>
      </c>
      <c r="D471" s="82" t="s">
        <v>1045</v>
      </c>
    </row>
    <row r="472">
      <c r="C472" s="82" t="s">
        <v>766</v>
      </c>
    </row>
    <row r="473">
      <c r="C473" s="82" t="s">
        <v>1596</v>
      </c>
      <c r="D473" s="82" t="s">
        <v>765</v>
      </c>
    </row>
    <row r="474">
      <c r="C474" s="82" t="s">
        <v>1597</v>
      </c>
      <c r="D474" s="82" t="s">
        <v>900</v>
      </c>
    </row>
    <row r="475">
      <c r="B475" s="82" t="s">
        <v>725</v>
      </c>
      <c r="C475" s="82" t="s">
        <v>725</v>
      </c>
    </row>
    <row r="476">
      <c r="C476" s="82" t="s">
        <v>1598</v>
      </c>
      <c r="D476" s="82" t="s">
        <v>821</v>
      </c>
    </row>
    <row r="477">
      <c r="C477" s="82" t="s">
        <v>1599</v>
      </c>
      <c r="D477" s="82" t="s">
        <v>812</v>
      </c>
    </row>
    <row r="478">
      <c r="C478" s="82" t="s">
        <v>1600</v>
      </c>
      <c r="D478" s="82" t="s">
        <v>1239</v>
      </c>
    </row>
    <row r="479">
      <c r="C479" s="82" t="s">
        <v>1601</v>
      </c>
      <c r="D479" s="82" t="s">
        <v>837</v>
      </c>
    </row>
    <row r="480">
      <c r="C480" s="82" t="s">
        <v>1602</v>
      </c>
      <c r="D480" s="82" t="s">
        <v>914</v>
      </c>
      <c r="E480" s="82" t="s">
        <v>693</v>
      </c>
    </row>
    <row r="481">
      <c r="C481" s="82" t="s">
        <v>1603</v>
      </c>
      <c r="D481" s="82" t="s">
        <v>959</v>
      </c>
    </row>
    <row r="482">
      <c r="C482" s="82" t="s">
        <v>1604</v>
      </c>
      <c r="D482" s="82" t="s">
        <v>960</v>
      </c>
      <c r="E482" s="82" t="s">
        <v>693</v>
      </c>
    </row>
    <row r="483">
      <c r="C483" s="82" t="s">
        <v>1605</v>
      </c>
      <c r="D483" s="82" t="s">
        <v>1083</v>
      </c>
    </row>
    <row r="484">
      <c r="C484" s="82" t="s">
        <v>1606</v>
      </c>
      <c r="D484" s="82" t="s">
        <v>1099</v>
      </c>
    </row>
    <row r="485">
      <c r="C485" s="82" t="s">
        <v>1607</v>
      </c>
      <c r="D485" s="82" t="s">
        <v>1109</v>
      </c>
    </row>
    <row r="486">
      <c r="C486" s="82" t="s">
        <v>1608</v>
      </c>
      <c r="D486" s="82" t="s">
        <v>1138</v>
      </c>
      <c r="E486" s="82" t="s">
        <v>693</v>
      </c>
    </row>
    <row r="487">
      <c r="C487" s="82" t="s">
        <v>1609</v>
      </c>
      <c r="D487" s="82" t="s">
        <v>724</v>
      </c>
    </row>
    <row r="488">
      <c r="C488" s="82" t="s">
        <v>1610</v>
      </c>
      <c r="D488" s="82" t="s">
        <v>1223</v>
      </c>
    </row>
    <row r="489">
      <c r="C489" s="82" t="s">
        <v>1611</v>
      </c>
      <c r="D489" s="82" t="s">
        <v>1238</v>
      </c>
    </row>
    <row r="490">
      <c r="B490" s="82" t="s">
        <v>746</v>
      </c>
      <c r="C490" s="82" t="s">
        <v>771</v>
      </c>
    </row>
    <row r="491">
      <c r="C491" s="82" t="s">
        <v>1612</v>
      </c>
      <c r="D491" s="82" t="s">
        <v>786</v>
      </c>
      <c r="E491" s="82" t="s">
        <v>693</v>
      </c>
    </row>
    <row r="492">
      <c r="C492" s="82" t="s">
        <v>1613</v>
      </c>
      <c r="D492" s="82" t="s">
        <v>770</v>
      </c>
    </row>
    <row r="493">
      <c r="C493" s="82" t="s">
        <v>1614</v>
      </c>
      <c r="D493" s="82" t="s">
        <v>973</v>
      </c>
      <c r="E493" s="82" t="s">
        <v>963</v>
      </c>
    </row>
    <row r="494">
      <c r="C494" s="82" t="s">
        <v>1615</v>
      </c>
      <c r="D494" s="82" t="s">
        <v>1100</v>
      </c>
    </row>
    <row r="495">
      <c r="C495" s="82" t="s">
        <v>1119</v>
      </c>
      <c r="D495" s="82" t="s">
        <v>1119</v>
      </c>
      <c r="E495" s="82" t="s">
        <v>963</v>
      </c>
    </row>
    <row r="496">
      <c r="C496" s="82" t="s">
        <v>746</v>
      </c>
    </row>
    <row r="497">
      <c r="C497" s="82" t="s">
        <v>1616</v>
      </c>
      <c r="D497" s="82" t="s">
        <v>745</v>
      </c>
      <c r="E497" s="82" t="s">
        <v>672</v>
      </c>
    </row>
    <row r="498">
      <c r="C498" s="82" t="s">
        <v>1617</v>
      </c>
      <c r="D498" s="82" t="s">
        <v>787</v>
      </c>
      <c r="E498" s="82" t="s">
        <v>672</v>
      </c>
    </row>
    <row r="499">
      <c r="C499" s="82" t="s">
        <v>1618</v>
      </c>
      <c r="D499" s="82" t="s">
        <v>851</v>
      </c>
      <c r="E499" s="82" t="s">
        <v>672</v>
      </c>
    </row>
    <row r="500">
      <c r="B500" s="82" t="s">
        <v>727</v>
      </c>
      <c r="C500" s="82" t="s">
        <v>761</v>
      </c>
    </row>
    <row r="501">
      <c r="C501" s="82" t="s">
        <v>1619</v>
      </c>
      <c r="D501" s="82" t="s">
        <v>801</v>
      </c>
    </row>
    <row r="502">
      <c r="C502" s="82" t="s">
        <v>1620</v>
      </c>
      <c r="D502" s="82" t="s">
        <v>760</v>
      </c>
      <c r="E502" s="82" t="s">
        <v>672</v>
      </c>
    </row>
    <row r="503">
      <c r="C503" s="82" t="s">
        <v>1621</v>
      </c>
      <c r="D503" s="82" t="s">
        <v>1001</v>
      </c>
      <c r="E503" s="82" t="s">
        <v>672</v>
      </c>
    </row>
    <row r="504">
      <c r="C504" s="82" t="s">
        <v>1622</v>
      </c>
      <c r="D504" s="82" t="s">
        <v>1125</v>
      </c>
      <c r="E504" s="82" t="s">
        <v>672</v>
      </c>
    </row>
    <row r="505">
      <c r="C505" s="82" t="s">
        <v>1623</v>
      </c>
      <c r="D505" s="82" t="s">
        <v>881</v>
      </c>
    </row>
    <row r="506">
      <c r="C506" s="82" t="s">
        <v>1624</v>
      </c>
      <c r="D506" s="82" t="s">
        <v>1188</v>
      </c>
      <c r="E506" s="82" t="s">
        <v>676</v>
      </c>
    </row>
    <row r="507">
      <c r="C507" s="82" t="s">
        <v>728</v>
      </c>
    </row>
    <row r="508">
      <c r="C508" s="82" t="s">
        <v>1625</v>
      </c>
      <c r="D508" s="82" t="s">
        <v>726</v>
      </c>
      <c r="E508" s="82" t="s">
        <v>672</v>
      </c>
    </row>
    <row r="509">
      <c r="C509" s="82" t="s">
        <v>1626</v>
      </c>
      <c r="D509" s="82" t="s">
        <v>1235</v>
      </c>
      <c r="E509" s="82" t="s">
        <v>672</v>
      </c>
    </row>
    <row r="511">
      <c r="A511" s="82" t="s">
        <v>669</v>
      </c>
      <c r="B511" s="82" t="s">
        <v>670</v>
      </c>
      <c r="C511" s="82" t="s">
        <v>668</v>
      </c>
      <c r="D511" s="82" t="s">
        <v>1242</v>
      </c>
    </row>
    <row r="512">
      <c r="D512" s="82" t="s">
        <v>667</v>
      </c>
      <c r="E512" s="82" t="s">
        <v>668</v>
      </c>
    </row>
    <row r="513">
      <c r="A513" s="82" t="s">
        <v>677</v>
      </c>
      <c r="B513" s="82" t="s">
        <v>715</v>
      </c>
      <c r="C513" s="82" t="s">
        <v>715</v>
      </c>
    </row>
    <row r="514">
      <c r="C514" s="82" t="s">
        <v>1627</v>
      </c>
      <c r="D514" s="82" t="s">
        <v>714</v>
      </c>
      <c r="E514" s="82" t="s">
        <v>672</v>
      </c>
    </row>
    <row r="515">
      <c r="C515" s="82" t="s">
        <v>1628</v>
      </c>
      <c r="D515" s="82" t="s">
        <v>806</v>
      </c>
      <c r="E515" s="82" t="s">
        <v>672</v>
      </c>
    </row>
    <row r="516">
      <c r="C516" s="82" t="s">
        <v>1629</v>
      </c>
      <c r="D516" s="82" t="s">
        <v>807</v>
      </c>
      <c r="E516" s="82" t="s">
        <v>672</v>
      </c>
    </row>
    <row r="517">
      <c r="C517" s="82" t="s">
        <v>1630</v>
      </c>
      <c r="D517" s="82" t="s">
        <v>864</v>
      </c>
    </row>
    <row r="518">
      <c r="C518" s="82" t="s">
        <v>1631</v>
      </c>
      <c r="D518" s="82" t="s">
        <v>838</v>
      </c>
      <c r="E518" s="82" t="s">
        <v>672</v>
      </c>
    </row>
    <row r="519">
      <c r="C519" s="82" t="s">
        <v>1632</v>
      </c>
      <c r="D519" s="82" t="s">
        <v>976</v>
      </c>
      <c r="E519" s="82" t="s">
        <v>672</v>
      </c>
    </row>
    <row r="520">
      <c r="C520" s="82" t="s">
        <v>1633</v>
      </c>
      <c r="D520" s="82" t="s">
        <v>983</v>
      </c>
    </row>
    <row r="521">
      <c r="C521" s="82" t="s">
        <v>1634</v>
      </c>
      <c r="D521" s="82" t="s">
        <v>994</v>
      </c>
    </row>
    <row r="522">
      <c r="C522" s="82" t="s">
        <v>1635</v>
      </c>
      <c r="D522" s="82" t="s">
        <v>997</v>
      </c>
      <c r="E522" s="82" t="s">
        <v>672</v>
      </c>
    </row>
    <row r="523">
      <c r="C523" s="82" t="s">
        <v>1636</v>
      </c>
      <c r="D523" s="82" t="s">
        <v>1012</v>
      </c>
    </row>
    <row r="524">
      <c r="C524" s="82" t="s">
        <v>1637</v>
      </c>
      <c r="D524" s="82" t="s">
        <v>1029</v>
      </c>
      <c r="E524" s="82" t="s">
        <v>672</v>
      </c>
    </row>
    <row r="525">
      <c r="C525" s="82" t="s">
        <v>1638</v>
      </c>
      <c r="D525" s="82" t="s">
        <v>1057</v>
      </c>
      <c r="E525" s="82" t="s">
        <v>693</v>
      </c>
    </row>
    <row r="526">
      <c r="C526" s="82" t="s">
        <v>1639</v>
      </c>
      <c r="D526" s="82" t="s">
        <v>1072</v>
      </c>
      <c r="E526" s="82" t="s">
        <v>676</v>
      </c>
    </row>
    <row r="527">
      <c r="C527" s="82" t="s">
        <v>1640</v>
      </c>
      <c r="D527" s="82" t="s">
        <v>1157</v>
      </c>
      <c r="E527" s="82" t="s">
        <v>672</v>
      </c>
    </row>
    <row r="528">
      <c r="C528" s="82" t="s">
        <v>759</v>
      </c>
    </row>
    <row r="529">
      <c r="C529" s="82" t="s">
        <v>1641</v>
      </c>
      <c r="D529" s="82" t="s">
        <v>758</v>
      </c>
      <c r="E529" s="82" t="s">
        <v>672</v>
      </c>
    </row>
    <row r="530">
      <c r="C530" s="82" t="s">
        <v>1642</v>
      </c>
      <c r="D530" s="82" t="s">
        <v>1031</v>
      </c>
      <c r="E530" s="82" t="s">
        <v>672</v>
      </c>
    </row>
    <row r="531">
      <c r="B531" s="82" t="s">
        <v>1059</v>
      </c>
      <c r="C531" s="82" t="s">
        <v>1059</v>
      </c>
    </row>
    <row r="532">
      <c r="C532" s="82" t="s">
        <v>1643</v>
      </c>
      <c r="D532" s="82" t="s">
        <v>1058</v>
      </c>
    </row>
    <row r="533">
      <c r="C533" s="82" t="s">
        <v>1644</v>
      </c>
      <c r="D533" s="82" t="s">
        <v>1101</v>
      </c>
    </row>
    <row r="534">
      <c r="C534" s="82" t="s">
        <v>1645</v>
      </c>
      <c r="D534" s="82" t="s">
        <v>1163</v>
      </c>
      <c r="E534" s="82" t="s">
        <v>672</v>
      </c>
    </row>
    <row r="535">
      <c r="B535" s="82" t="s">
        <v>890</v>
      </c>
      <c r="C535" s="82" t="s">
        <v>890</v>
      </c>
    </row>
    <row r="536">
      <c r="C536" s="82" t="s">
        <v>1646</v>
      </c>
      <c r="D536" s="82" t="s">
        <v>889</v>
      </c>
      <c r="E536" s="82" t="s">
        <v>693</v>
      </c>
    </row>
    <row r="537">
      <c r="C537" s="82" t="s">
        <v>1647</v>
      </c>
      <c r="D537" s="82" t="s">
        <v>1040</v>
      </c>
      <c r="E537" s="82" t="s">
        <v>693</v>
      </c>
    </row>
    <row r="538">
      <c r="C538" s="82" t="s">
        <v>1648</v>
      </c>
      <c r="D538" s="82" t="s">
        <v>1112</v>
      </c>
      <c r="E538" s="82" t="s">
        <v>693</v>
      </c>
    </row>
    <row r="540">
      <c r="A540" s="82" t="s">
        <v>669</v>
      </c>
      <c r="B540" s="82" t="s">
        <v>670</v>
      </c>
      <c r="C540" s="82" t="s">
        <v>668</v>
      </c>
      <c r="D540" s="82" t="s">
        <v>1242</v>
      </c>
    </row>
    <row r="541">
      <c r="D541" s="82" t="s">
        <v>667</v>
      </c>
      <c r="E541" s="82" t="s">
        <v>668</v>
      </c>
    </row>
    <row r="542">
      <c r="A542" s="82" t="s">
        <v>702</v>
      </c>
      <c r="B542" s="82" t="s">
        <v>702</v>
      </c>
      <c r="C542" s="82" t="s">
        <v>702</v>
      </c>
    </row>
    <row r="543">
      <c r="C543" s="82" t="s">
        <v>1649</v>
      </c>
      <c r="D543" s="82" t="s">
        <v>1132</v>
      </c>
      <c r="E543" s="82" t="s">
        <v>693</v>
      </c>
    </row>
    <row r="544">
      <c r="C544" s="82" t="s">
        <v>1650</v>
      </c>
      <c r="D544" s="82" t="s">
        <v>701</v>
      </c>
      <c r="E544" s="82" t="s">
        <v>693</v>
      </c>
    </row>
    <row r="545">
      <c r="C545" s="82" t="s">
        <v>1651</v>
      </c>
      <c r="D545" s="82" t="s">
        <v>736</v>
      </c>
    </row>
    <row r="546">
      <c r="C546" s="82" t="s">
        <v>1652</v>
      </c>
      <c r="D546" s="82" t="s">
        <v>769</v>
      </c>
      <c r="E546" s="82" t="s">
        <v>693</v>
      </c>
    </row>
    <row r="547">
      <c r="C547" s="82" t="s">
        <v>1653</v>
      </c>
      <c r="D547" s="82" t="s">
        <v>822</v>
      </c>
      <c r="E547" s="82" t="s">
        <v>693</v>
      </c>
    </row>
    <row r="548">
      <c r="C548" s="82" t="s">
        <v>1654</v>
      </c>
      <c r="D548" s="82" t="s">
        <v>823</v>
      </c>
      <c r="E548" s="82" t="s">
        <v>693</v>
      </c>
    </row>
    <row r="549">
      <c r="C549" s="82" t="s">
        <v>1655</v>
      </c>
      <c r="D549" s="82" t="s">
        <v>1039</v>
      </c>
    </row>
    <row r="550">
      <c r="C550" s="82" t="s">
        <v>1656</v>
      </c>
      <c r="D550" s="82" t="s">
        <v>856</v>
      </c>
    </row>
    <row r="551">
      <c r="C551" s="82" t="s">
        <v>1657</v>
      </c>
      <c r="D551" s="82" t="s">
        <v>1089</v>
      </c>
      <c r="E551" s="82" t="s">
        <v>693</v>
      </c>
    </row>
    <row r="552">
      <c r="C552" s="82" t="s">
        <v>1658</v>
      </c>
      <c r="D552" s="82" t="s">
        <v>949</v>
      </c>
    </row>
    <row r="553">
      <c r="C553" s="82" t="s">
        <v>1659</v>
      </c>
      <c r="D553" s="82" t="s">
        <v>1006</v>
      </c>
    </row>
    <row r="554">
      <c r="C554" s="82" t="s">
        <v>1660</v>
      </c>
      <c r="D554" s="82" t="s">
        <v>1048</v>
      </c>
    </row>
    <row r="555">
      <c r="C555" s="82" t="s">
        <v>1661</v>
      </c>
      <c r="D555" s="82" t="s">
        <v>1090</v>
      </c>
      <c r="E555" s="82" t="s">
        <v>693</v>
      </c>
    </row>
    <row r="556">
      <c r="C556" s="82" t="s">
        <v>1662</v>
      </c>
      <c r="D556" s="82" t="s">
        <v>1118</v>
      </c>
    </row>
    <row r="557">
      <c r="C557" s="82" t="s">
        <v>1663</v>
      </c>
      <c r="D557" s="82" t="s">
        <v>1124</v>
      </c>
      <c r="E557" s="82" t="s">
        <v>693</v>
      </c>
    </row>
    <row r="558">
      <c r="C558" s="82" t="s">
        <v>1664</v>
      </c>
      <c r="D558" s="82" t="s">
        <v>1091</v>
      </c>
      <c r="E558" s="82" t="s">
        <v>693</v>
      </c>
    </row>
    <row r="559">
      <c r="C559" s="82" t="s">
        <v>1665</v>
      </c>
      <c r="D559" s="82" t="s">
        <v>1092</v>
      </c>
      <c r="E559" s="82" t="s">
        <v>693</v>
      </c>
    </row>
    <row r="561">
      <c r="A561" s="82" t="s">
        <v>1666</v>
      </c>
    </row>
    <row r="562">
      <c r="A562" s="82" t="s">
        <v>1667</v>
      </c>
    </row>
    <row r="563">
      <c r="A563" s="82" t="s">
        <v>1668</v>
      </c>
    </row>
    <row r="564">
      <c r="A564" s="82" t="s">
        <v>1669</v>
      </c>
    </row>
    <row r="565">
      <c r="A565" s="82" t="s">
        <v>1670</v>
      </c>
    </row>
    <row r="566">
      <c r="A566" s="82" t="s">
        <v>1671</v>
      </c>
    </row>
    <row r="567">
      <c r="A567" s="82" t="s">
        <v>1672</v>
      </c>
    </row>
    <row r="568">
      <c r="A568" s="82" t="s">
        <v>1673</v>
      </c>
    </row>
    <row r="569">
      <c r="A569" s="82" t="s">
        <v>1674</v>
      </c>
    </row>
    <row r="571">
      <c r="A571" s="82" t="s">
        <v>1675</v>
      </c>
    </row>
    <row r="572">
      <c r="A572" s="82" t="s">
        <v>1676</v>
      </c>
    </row>
    <row r="573">
      <c r="A573" s="82" t="s">
        <v>1677</v>
      </c>
    </row>
    <row r="574">
      <c r="A574" s="82" t="s">
        <v>1678</v>
      </c>
    </row>
    <row r="575">
      <c r="A575" s="82" t="s">
        <v>1679</v>
      </c>
    </row>
    <row r="576">
      <c r="A576" s="82" t="s">
        <v>1680</v>
      </c>
    </row>
    <row r="577">
      <c r="A577" s="82" t="s">
        <v>1681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9.25"/>
    <col customWidth="1" min="3" max="3" width="16.13"/>
    <col customWidth="1" min="4" max="4" width="13.13"/>
    <col customWidth="1" min="5" max="5" width="10.5"/>
    <col customWidth="1" min="6" max="6" width="16.88"/>
    <col customWidth="1" min="7" max="8" width="10.5"/>
    <col customWidth="1" min="9" max="9" width="3.63"/>
    <col customWidth="1" min="10" max="10" width="3.75"/>
    <col customWidth="1" min="11" max="11" width="10.25"/>
    <col customWidth="1" min="12" max="12" width="3.5"/>
    <col customWidth="1" min="13" max="13" width="10.25"/>
    <col customWidth="1" min="14" max="14" width="16.13"/>
    <col customWidth="1" min="15" max="19" width="9.38"/>
    <col customWidth="1" min="20" max="20" width="3.88"/>
    <col customWidth="1" min="21" max="21" width="3.38"/>
    <col customWidth="1" min="22" max="22" width="10.25"/>
  </cols>
  <sheetData>
    <row r="1" ht="5.25" customHeight="1">
      <c r="A1" s="84" t="s">
        <v>1682</v>
      </c>
      <c r="B1" s="85"/>
      <c r="C1" s="86"/>
      <c r="D1" s="87"/>
      <c r="E1" s="87"/>
      <c r="F1" s="88"/>
      <c r="G1" s="87"/>
      <c r="H1" s="87"/>
      <c r="M1" s="85"/>
      <c r="N1" s="89"/>
      <c r="O1" s="90"/>
      <c r="P1" s="90"/>
      <c r="Q1" s="90"/>
      <c r="R1" s="91"/>
      <c r="S1" s="91"/>
    </row>
    <row r="2">
      <c r="A2" s="85"/>
      <c r="B2" s="85"/>
      <c r="C2" s="92" t="s">
        <v>1683</v>
      </c>
      <c r="D2" s="87"/>
      <c r="E2" s="87"/>
      <c r="F2" s="88"/>
      <c r="G2" s="87"/>
      <c r="H2" s="87"/>
      <c r="M2" s="85"/>
      <c r="N2" s="89"/>
      <c r="O2" s="90"/>
      <c r="P2" s="90"/>
      <c r="Q2" s="90"/>
      <c r="R2" s="91"/>
      <c r="S2" s="91"/>
    </row>
    <row r="3">
      <c r="A3" s="85"/>
      <c r="B3" s="93"/>
      <c r="C3" s="94">
        <v>100000.0</v>
      </c>
      <c r="D3" s="95" t="s">
        <v>1684</v>
      </c>
      <c r="E3" s="87"/>
      <c r="F3" s="96" t="s">
        <v>1685</v>
      </c>
      <c r="G3" s="87"/>
      <c r="H3" s="87"/>
      <c r="N3" s="97"/>
      <c r="O3" s="98"/>
      <c r="P3" s="98"/>
      <c r="Q3" s="98"/>
      <c r="R3" s="99"/>
      <c r="S3" s="99"/>
    </row>
    <row r="4" ht="5.25" customHeight="1">
      <c r="A4" s="85"/>
      <c r="C4" s="100"/>
      <c r="F4" s="101"/>
    </row>
    <row r="5">
      <c r="A5" s="85"/>
      <c r="B5" s="102" t="s">
        <v>1686</v>
      </c>
      <c r="C5" s="103" t="s">
        <v>1687</v>
      </c>
      <c r="D5" s="104" t="s">
        <v>34</v>
      </c>
      <c r="E5" s="105" t="s">
        <v>1688</v>
      </c>
      <c r="F5" s="106" t="s">
        <v>1689</v>
      </c>
      <c r="G5" s="107" t="s">
        <v>1688</v>
      </c>
      <c r="H5" s="107" t="s">
        <v>1690</v>
      </c>
      <c r="J5" s="108" t="s">
        <v>1691</v>
      </c>
      <c r="K5" s="109"/>
      <c r="M5" s="102" t="s">
        <v>1686</v>
      </c>
      <c r="N5" s="105" t="s">
        <v>1687</v>
      </c>
      <c r="O5" s="104" t="s">
        <v>32</v>
      </c>
      <c r="P5" s="105" t="s">
        <v>1688</v>
      </c>
      <c r="Q5" s="104" t="s">
        <v>1692</v>
      </c>
      <c r="R5" s="107" t="s">
        <v>1688</v>
      </c>
      <c r="S5" s="107" t="s">
        <v>1690</v>
      </c>
      <c r="U5" s="108" t="s">
        <v>1691</v>
      </c>
      <c r="V5" s="109"/>
    </row>
    <row r="6">
      <c r="A6" s="85"/>
      <c r="B6" s="110" t="s">
        <v>500</v>
      </c>
      <c r="C6" s="111">
        <f>VLOOKUP(B6,'Dados StatusInvest'!$A:$Z,26,0)</f>
        <v>1570000000</v>
      </c>
      <c r="D6" s="112">
        <f>VLOOKUP(B6,'Dados StatusInvest'!$A:$Z,20,0)/100</f>
        <v>0.0719</v>
      </c>
      <c r="E6" s="87" t="str">
        <f t="shared" ref="E6:E443" si="1">RANK(D6,$D$6:$D$443,0)</f>
        <v>#N/A</v>
      </c>
      <c r="F6" s="113">
        <f>IF(ISERROR(1/VLOOKUP(B6,Capa!A:AH,13,0)),0,1/VLOOKUP(B6,Capa!A:AH,13,0))</f>
        <v>3.757774344</v>
      </c>
      <c r="G6" s="114">
        <f t="shared" ref="G6:G443" si="2">RANK(F6,$F$6:$F$443,0)+RANK(F6,$F$6:$F$443,0)/1000000</f>
        <v>197.000197</v>
      </c>
      <c r="H6" s="115" t="str">
        <f t="shared" ref="H6:H443" si="3">G6+E6+IF(C6&lt;$C$3,1000,0)</f>
        <v>#N/A</v>
      </c>
      <c r="J6" s="116">
        <v>1.0</v>
      </c>
      <c r="K6" s="117" t="str">
        <f t="shared" ref="K6:K45" si="4">index(B:B,match(SMALL(H:H,J6),H:H,0))</f>
        <v>#N/A</v>
      </c>
      <c r="M6" s="110" t="s">
        <v>500</v>
      </c>
      <c r="N6" s="111">
        <f>VLOOKUP(M6,'Dados StatusInvest'!$A:$Z,26,0)</f>
        <v>1570000000</v>
      </c>
      <c r="O6" s="118">
        <f>VLOOKUP(M6,'Dados StatusInvest'!$A:$Z,18,0)/100</f>
        <v>0.1833</v>
      </c>
      <c r="P6" s="119" t="str">
        <f t="shared" ref="P6:P443" si="5">RANK(O6,$O$6:$O$443,0)</f>
        <v>#N/A</v>
      </c>
      <c r="Q6" s="120">
        <f>IF(ISERROR(1/VLOOKUP(M6,Capa!A:AH,6,0)),0,1/VLOOKUP(M6,Capa!A:AH,6,0))</f>
        <v>0.02653927813</v>
      </c>
      <c r="R6" s="121">
        <f t="shared" ref="R6:R443" si="6">RANK(Q6,$Q$6:$Q$443,0)+RANK(Q6,$Q$6:$Q$443,0)/1000000</f>
        <v>234.000234</v>
      </c>
      <c r="S6" s="122" t="str">
        <f t="shared" ref="S6:S443" si="7">R6+P6+IF(N6&lt;$C$3,1000,0)</f>
        <v>#N/A</v>
      </c>
      <c r="U6" s="116">
        <v>1.0</v>
      </c>
      <c r="V6" s="117" t="str">
        <f t="shared" ref="V6:V45" si="8">index(M:M,match(SMALL(S:S,U6),S:S,0))</f>
        <v>#N/A</v>
      </c>
    </row>
    <row r="7">
      <c r="A7" s="85"/>
      <c r="B7" s="110" t="s">
        <v>642</v>
      </c>
      <c r="C7" s="111">
        <f>VLOOKUP(B7,'Dados StatusInvest'!$A:$Z,26,0)</f>
        <v>3100000000</v>
      </c>
      <c r="D7" s="112">
        <f>VLOOKUP(B7,'Dados StatusInvest'!$A:$Z,20,0)/100</f>
        <v>0.1118</v>
      </c>
      <c r="E7" s="87" t="str">
        <f t="shared" si="1"/>
        <v>#N/A</v>
      </c>
      <c r="F7" s="113">
        <f>IF(ISERROR(1/VLOOKUP(B7,Capa!A:AH,13,0)),0,1/VLOOKUP(B7,Capa!A:AH,13,0))</f>
        <v>1384.319491</v>
      </c>
      <c r="G7" s="114">
        <f t="shared" si="2"/>
        <v>10.00001</v>
      </c>
      <c r="H7" s="115" t="str">
        <f t="shared" si="3"/>
        <v>#N/A</v>
      </c>
      <c r="J7" s="116">
        <v>2.0</v>
      </c>
      <c r="K7" s="117" t="str">
        <f t="shared" si="4"/>
        <v>#N/A</v>
      </c>
      <c r="M7" s="110" t="s">
        <v>642</v>
      </c>
      <c r="N7" s="111">
        <f>VLOOKUP(M7,'Dados StatusInvest'!$A:$Z,26,0)</f>
        <v>3100000000</v>
      </c>
      <c r="O7" s="118">
        <f>VLOOKUP(M7,'Dados StatusInvest'!$A:$Z,18,0)/100</f>
        <v>0.1384</v>
      </c>
      <c r="P7" s="119" t="str">
        <f t="shared" si="5"/>
        <v>#N/A</v>
      </c>
      <c r="Q7" s="120">
        <f>IF(ISERROR(1/VLOOKUP(M7,Capa!A:AH,6,0)),0,1/VLOOKUP(M7,Capa!A:AH,6,0))</f>
        <v>0.00004310344828</v>
      </c>
      <c r="R7" s="121">
        <f t="shared" si="6"/>
        <v>304.000304</v>
      </c>
      <c r="S7" s="122" t="str">
        <f t="shared" si="7"/>
        <v>#N/A</v>
      </c>
      <c r="U7" s="116">
        <v>2.0</v>
      </c>
      <c r="V7" s="117" t="str">
        <f t="shared" si="8"/>
        <v>#N/A</v>
      </c>
    </row>
    <row r="8">
      <c r="A8" s="123"/>
      <c r="B8" s="110" t="s">
        <v>388</v>
      </c>
      <c r="C8" s="111">
        <f>VLOOKUP(B8,'Dados StatusInvest'!$A:$Z,26,0)</f>
        <v>1650000000</v>
      </c>
      <c r="D8" s="112">
        <f>VLOOKUP(B8,'Dados StatusInvest'!$A:$Z,20,0)/100</f>
        <v>0</v>
      </c>
      <c r="E8" s="87" t="str">
        <f t="shared" si="1"/>
        <v>#N/A</v>
      </c>
      <c r="F8" s="113">
        <f>IF(ISERROR(1/VLOOKUP(B8,Capa!A:AH,13,0)),0,1/VLOOKUP(B8,Capa!A:AH,13,0))</f>
        <v>7.651794173</v>
      </c>
      <c r="G8" s="114">
        <f t="shared" si="2"/>
        <v>108.000108</v>
      </c>
      <c r="H8" s="115" t="str">
        <f t="shared" si="3"/>
        <v>#N/A</v>
      </c>
      <c r="J8" s="116">
        <v>3.0</v>
      </c>
      <c r="K8" s="117" t="str">
        <f t="shared" si="4"/>
        <v>#N/A</v>
      </c>
      <c r="M8" s="110" t="s">
        <v>388</v>
      </c>
      <c r="N8" s="111">
        <f>VLOOKUP(M8,'Dados StatusInvest'!$A:$Z,26,0)</f>
        <v>1650000000</v>
      </c>
      <c r="O8" s="118">
        <f>VLOOKUP(M8,'Dados StatusInvest'!$A:$Z,18,0)/100</f>
        <v>0.2086</v>
      </c>
      <c r="P8" s="119" t="str">
        <f t="shared" si="5"/>
        <v>#N/A</v>
      </c>
      <c r="Q8" s="120">
        <f>IF(ISERROR(1/VLOOKUP(M8,Capa!A:AH,6,0)),0,1/VLOOKUP(M8,Capa!A:AH,6,0))</f>
        <v>0.02073828287</v>
      </c>
      <c r="R8" s="121">
        <f t="shared" si="6"/>
        <v>252.000252</v>
      </c>
      <c r="S8" s="122" t="str">
        <f t="shared" si="7"/>
        <v>#N/A</v>
      </c>
      <c r="U8" s="116">
        <v>3.0</v>
      </c>
      <c r="V8" s="117" t="str">
        <f t="shared" si="8"/>
        <v>#N/A</v>
      </c>
    </row>
    <row r="9">
      <c r="A9" s="123"/>
      <c r="B9" s="110" t="s">
        <v>499</v>
      </c>
      <c r="C9" s="111">
        <f>VLOOKUP(B9,'Dados StatusInvest'!$A:$Z,26,0)</f>
        <v>557000000</v>
      </c>
      <c r="D9" s="112">
        <f>VLOOKUP(B9,'Dados StatusInvest'!$A:$Z,20,0)/100</f>
        <v>0.0719</v>
      </c>
      <c r="E9" s="87" t="str">
        <f t="shared" si="1"/>
        <v>#N/A</v>
      </c>
      <c r="F9" s="113">
        <f>IF(ISERROR(1/VLOOKUP(B9,Capa!A:AH,13,0)),0,1/VLOOKUP(B9,Capa!A:AH,13,0))</f>
        <v>1040.866792</v>
      </c>
      <c r="G9" s="114">
        <f t="shared" si="2"/>
        <v>12.000012</v>
      </c>
      <c r="H9" s="115" t="str">
        <f t="shared" si="3"/>
        <v>#N/A</v>
      </c>
      <c r="J9" s="116">
        <v>4.0</v>
      </c>
      <c r="K9" s="117" t="str">
        <f t="shared" si="4"/>
        <v>#N/A</v>
      </c>
      <c r="M9" s="110" t="s">
        <v>499</v>
      </c>
      <c r="N9" s="111">
        <f>VLOOKUP(M9,'Dados StatusInvest'!$A:$Z,26,0)</f>
        <v>557000000</v>
      </c>
      <c r="O9" s="118">
        <f>VLOOKUP(M9,'Dados StatusInvest'!$A:$Z,18,0)/100</f>
        <v>0.1833</v>
      </c>
      <c r="P9" s="119" t="str">
        <f t="shared" si="5"/>
        <v>#N/A</v>
      </c>
      <c r="Q9" s="120">
        <f>IF(ISERROR(1/VLOOKUP(M9,Capa!A:AH,6,0)),0,1/VLOOKUP(M9,Capa!A:AH,6,0))</f>
        <v>0.00008795074758</v>
      </c>
      <c r="R9" s="121">
        <f t="shared" si="6"/>
        <v>299.000299</v>
      </c>
      <c r="S9" s="122" t="str">
        <f t="shared" si="7"/>
        <v>#N/A</v>
      </c>
      <c r="U9" s="116">
        <v>4.0</v>
      </c>
      <c r="V9" s="117" t="str">
        <f t="shared" si="8"/>
        <v>#N/A</v>
      </c>
    </row>
    <row r="10">
      <c r="A10" s="123"/>
      <c r="B10" s="110" t="s">
        <v>105</v>
      </c>
      <c r="C10" s="111">
        <f>VLOOKUP(B10,'Dados StatusInvest'!$A:$Z,26,0)</f>
        <v>827000000</v>
      </c>
      <c r="D10" s="112">
        <f>VLOOKUP(B10,'Dados StatusInvest'!$A:$Z,20,0)/100</f>
        <v>0</v>
      </c>
      <c r="E10" s="87" t="str">
        <f t="shared" si="1"/>
        <v>#N/A</v>
      </c>
      <c r="F10" s="113">
        <f>IF(ISERROR(1/VLOOKUP(B10,Capa!A:AH,13,0)),0,1/VLOOKUP(B10,Capa!A:AH,13,0))</f>
        <v>12.76910636</v>
      </c>
      <c r="G10" s="114">
        <f t="shared" si="2"/>
        <v>55.000055</v>
      </c>
      <c r="H10" s="115" t="str">
        <f t="shared" si="3"/>
        <v>#N/A</v>
      </c>
      <c r="J10" s="116">
        <v>5.0</v>
      </c>
      <c r="K10" s="117" t="str">
        <f t="shared" si="4"/>
        <v>#N/A</v>
      </c>
      <c r="M10" s="110" t="s">
        <v>105</v>
      </c>
      <c r="N10" s="111">
        <f>VLOOKUP(M10,'Dados StatusInvest'!$A:$Z,26,0)</f>
        <v>827000000</v>
      </c>
      <c r="O10" s="118">
        <f>VLOOKUP(M10,'Dados StatusInvest'!$A:$Z,18,0)/100</f>
        <v>0.1337</v>
      </c>
      <c r="P10" s="119" t="str">
        <f t="shared" si="5"/>
        <v>#N/A</v>
      </c>
      <c r="Q10" s="120">
        <f>IF(ISERROR(1/VLOOKUP(M10,Capa!A:AH,6,0)),0,1/VLOOKUP(M10,Capa!A:AH,6,0))</f>
        <v>0.04719207173</v>
      </c>
      <c r="R10" s="121">
        <f t="shared" si="6"/>
        <v>188.000188</v>
      </c>
      <c r="S10" s="122" t="str">
        <f t="shared" si="7"/>
        <v>#N/A</v>
      </c>
      <c r="U10" s="116">
        <v>5.0</v>
      </c>
      <c r="V10" s="117" t="str">
        <f t="shared" si="8"/>
        <v>#N/A</v>
      </c>
    </row>
    <row r="11">
      <c r="A11" s="123"/>
      <c r="B11" s="110" t="s">
        <v>96</v>
      </c>
      <c r="C11" s="111">
        <f>VLOOKUP(B11,'Dados StatusInvest'!$A:$Z,26,0)</f>
        <v>866000000</v>
      </c>
      <c r="D11" s="112">
        <f>VLOOKUP(B11,'Dados StatusInvest'!$A:$Z,20,0)/100</f>
        <v>0.0947</v>
      </c>
      <c r="E11" s="87" t="str">
        <f t="shared" si="1"/>
        <v>#N/A</v>
      </c>
      <c r="F11" s="113">
        <f>IF(ISERROR(1/VLOOKUP(B11,Capa!A:AH,13,0)),0,1/VLOOKUP(B11,Capa!A:AH,13,0))</f>
        <v>1.672952972</v>
      </c>
      <c r="G11" s="114">
        <f t="shared" si="2"/>
        <v>227.000227</v>
      </c>
      <c r="H11" s="115" t="str">
        <f t="shared" si="3"/>
        <v>#N/A</v>
      </c>
      <c r="J11" s="116">
        <v>6.0</v>
      </c>
      <c r="K11" s="117" t="str">
        <f t="shared" si="4"/>
        <v>#N/A</v>
      </c>
      <c r="M11" s="110" t="s">
        <v>96</v>
      </c>
      <c r="N11" s="111">
        <f>VLOOKUP(M11,'Dados StatusInvest'!$A:$Z,26,0)</f>
        <v>866000000</v>
      </c>
      <c r="O11" s="118">
        <f>VLOOKUP(M11,'Dados StatusInvest'!$A:$Z,18,0)/100</f>
        <v>0.2455</v>
      </c>
      <c r="P11" s="119" t="str">
        <f t="shared" si="5"/>
        <v>#N/A</v>
      </c>
      <c r="Q11" s="120">
        <f>IF(ISERROR(1/VLOOKUP(M11,Capa!A:AH,6,0)),0,1/VLOOKUP(M11,Capa!A:AH,6,0))</f>
        <v>0.05707762557</v>
      </c>
      <c r="R11" s="121">
        <f t="shared" si="6"/>
        <v>169.000169</v>
      </c>
      <c r="S11" s="122" t="str">
        <f t="shared" si="7"/>
        <v>#N/A</v>
      </c>
      <c r="U11" s="116">
        <v>6.0</v>
      </c>
      <c r="V11" s="117" t="str">
        <f t="shared" si="8"/>
        <v>#N/A</v>
      </c>
    </row>
    <row r="12">
      <c r="A12" s="123"/>
      <c r="B12" s="110" t="s">
        <v>103</v>
      </c>
      <c r="C12" s="111">
        <f>VLOOKUP(B12,'Dados StatusInvest'!$A:$Z,26,0)</f>
        <v>983000000</v>
      </c>
      <c r="D12" s="112">
        <f>VLOOKUP(B12,'Dados StatusInvest'!$A:$Z,20,0)/100</f>
        <v>0</v>
      </c>
      <c r="E12" s="87" t="str">
        <f t="shared" si="1"/>
        <v>#N/A</v>
      </c>
      <c r="F12" s="113">
        <f>IF(ISERROR(1/VLOOKUP(B12,Capa!A:AH,13,0)),0,1/VLOOKUP(B12,Capa!A:AH,13,0))</f>
        <v>7381.740575</v>
      </c>
      <c r="G12" s="114">
        <f t="shared" si="2"/>
        <v>1.000001</v>
      </c>
      <c r="H12" s="115" t="str">
        <f t="shared" si="3"/>
        <v>#N/A</v>
      </c>
      <c r="J12" s="116">
        <v>7.0</v>
      </c>
      <c r="K12" s="117" t="str">
        <f t="shared" si="4"/>
        <v>#N/A</v>
      </c>
      <c r="M12" s="110" t="s">
        <v>103</v>
      </c>
      <c r="N12" s="111">
        <f>VLOOKUP(M12,'Dados StatusInvest'!$A:$Z,26,0)</f>
        <v>983000000</v>
      </c>
      <c r="O12" s="118">
        <f>VLOOKUP(M12,'Dados StatusInvest'!$A:$Z,18,0)/100</f>
        <v>0.0873</v>
      </c>
      <c r="P12" s="119" t="str">
        <f t="shared" si="5"/>
        <v>#N/A</v>
      </c>
      <c r="Q12" s="120">
        <f>IF(ISERROR(1/VLOOKUP(M12,Capa!A:AH,6,0)),0,1/VLOOKUP(M12,Capa!A:AH,6,0))</f>
        <v>0.0002737850787</v>
      </c>
      <c r="R12" s="121">
        <f t="shared" si="6"/>
        <v>294.000294</v>
      </c>
      <c r="S12" s="122" t="str">
        <f t="shared" si="7"/>
        <v>#N/A</v>
      </c>
      <c r="U12" s="116">
        <v>7.0</v>
      </c>
      <c r="V12" s="117" t="str">
        <f t="shared" si="8"/>
        <v>#N/A</v>
      </c>
    </row>
    <row r="13">
      <c r="A13" s="123"/>
      <c r="B13" s="110" t="s">
        <v>434</v>
      </c>
      <c r="C13" s="111">
        <f>VLOOKUP(B13,'Dados StatusInvest'!$A:$Z,26,0)</f>
        <v>195000000</v>
      </c>
      <c r="D13" s="112">
        <f>VLOOKUP(B13,'Dados StatusInvest'!$A:$Z,20,0)/100</f>
        <v>0.0685</v>
      </c>
      <c r="E13" s="87" t="str">
        <f t="shared" si="1"/>
        <v>#N/A</v>
      </c>
      <c r="F13" s="113">
        <f>IF(ISERROR(1/VLOOKUP(B13,Capa!A:AH,13,0)),0,1/VLOOKUP(B13,Capa!A:AH,13,0))</f>
        <v>5902.366153</v>
      </c>
      <c r="G13" s="114">
        <f t="shared" si="2"/>
        <v>2.000002</v>
      </c>
      <c r="H13" s="115" t="str">
        <f t="shared" si="3"/>
        <v>#N/A</v>
      </c>
      <c r="J13" s="116">
        <v>8.0</v>
      </c>
      <c r="K13" s="117" t="str">
        <f t="shared" si="4"/>
        <v>#N/A</v>
      </c>
      <c r="M13" s="110" t="s">
        <v>434</v>
      </c>
      <c r="N13" s="111">
        <f>VLOOKUP(M13,'Dados StatusInvest'!$A:$Z,26,0)</f>
        <v>195000000</v>
      </c>
      <c r="O13" s="118">
        <f>VLOOKUP(M13,'Dados StatusInvest'!$A:$Z,18,0)/100</f>
        <v>0.033</v>
      </c>
      <c r="P13" s="119" t="str">
        <f t="shared" si="5"/>
        <v>#N/A</v>
      </c>
      <c r="Q13" s="120">
        <f>IF(ISERROR(1/VLOOKUP(M13,Capa!A:AH,6,0)),0,1/VLOOKUP(M13,Capa!A:AH,6,0))</f>
        <v>0.0003392705683</v>
      </c>
      <c r="R13" s="121">
        <f t="shared" si="6"/>
        <v>292.000292</v>
      </c>
      <c r="S13" s="122" t="str">
        <f t="shared" si="7"/>
        <v>#N/A</v>
      </c>
      <c r="U13" s="116">
        <v>8.0</v>
      </c>
      <c r="V13" s="117" t="str">
        <f t="shared" si="8"/>
        <v>#N/A</v>
      </c>
    </row>
    <row r="14">
      <c r="A14" s="123"/>
      <c r="B14" s="110" t="s">
        <v>1693</v>
      </c>
      <c r="C14" s="111" t="str">
        <f>VLOOKUP(B14,'Dados StatusInvest'!$A:$Z,26,0)</f>
        <v>#N/A</v>
      </c>
      <c r="D14" s="112" t="str">
        <f>VLOOKUP(B14,'Dados StatusInvest'!$A:$Z,20,0)/100</f>
        <v>#N/A</v>
      </c>
      <c r="E14" s="87" t="str">
        <f t="shared" si="1"/>
        <v>#N/A</v>
      </c>
      <c r="F14" s="113">
        <f>IF(ISERROR(1/VLOOKUP(B14,Capa!A:AH,13,0)),0,1/VLOOKUP(B14,Capa!A:AH,13,0))</f>
        <v>0</v>
      </c>
      <c r="G14" s="114">
        <f t="shared" si="2"/>
        <v>246.000246</v>
      </c>
      <c r="H14" s="115" t="str">
        <f t="shared" si="3"/>
        <v>#N/A</v>
      </c>
      <c r="J14" s="116">
        <v>9.0</v>
      </c>
      <c r="K14" s="117" t="str">
        <f t="shared" si="4"/>
        <v>#N/A</v>
      </c>
      <c r="M14" s="110" t="s">
        <v>1693</v>
      </c>
      <c r="N14" s="111" t="str">
        <f>VLOOKUP(M14,'Dados StatusInvest'!$A:$Z,26,0)</f>
        <v>#N/A</v>
      </c>
      <c r="O14" s="118" t="str">
        <f>VLOOKUP(M14,'Dados StatusInvest'!$A:$Z,18,0)/100</f>
        <v>#N/A</v>
      </c>
      <c r="P14" s="119" t="str">
        <f t="shared" si="5"/>
        <v>#N/A</v>
      </c>
      <c r="Q14" s="120">
        <f>IF(ISERROR(1/VLOOKUP(M14,Capa!A:AH,6,0)),0,1/VLOOKUP(M14,Capa!A:AH,6,0))</f>
        <v>0</v>
      </c>
      <c r="R14" s="121">
        <f t="shared" si="6"/>
        <v>306.000306</v>
      </c>
      <c r="S14" s="122" t="str">
        <f t="shared" si="7"/>
        <v>#N/A</v>
      </c>
      <c r="U14" s="116">
        <v>9.0</v>
      </c>
      <c r="V14" s="117" t="str">
        <f t="shared" si="8"/>
        <v>#N/A</v>
      </c>
    </row>
    <row r="15">
      <c r="A15" s="123"/>
      <c r="B15" s="110" t="s">
        <v>381</v>
      </c>
      <c r="C15" s="111">
        <f>VLOOKUP(B15,'Dados StatusInvest'!$A:$Z,26,0)</f>
        <v>51395002</v>
      </c>
      <c r="D15" s="112">
        <f>VLOOKUP(B15,'Dados StatusInvest'!$A:$Z,20,0)/100</f>
        <v>0</v>
      </c>
      <c r="E15" s="87" t="str">
        <f t="shared" si="1"/>
        <v>#N/A</v>
      </c>
      <c r="F15" s="113">
        <f>IF(ISERROR(1/VLOOKUP(B15,Capa!A:AH,13,0)),0,1/VLOOKUP(B15,Capa!A:AH,13,0))</f>
        <v>8.571431077</v>
      </c>
      <c r="G15" s="114">
        <f t="shared" si="2"/>
        <v>94.000094</v>
      </c>
      <c r="H15" s="115" t="str">
        <f t="shared" si="3"/>
        <v>#N/A</v>
      </c>
      <c r="J15" s="116">
        <v>10.0</v>
      </c>
      <c r="K15" s="117" t="str">
        <f t="shared" si="4"/>
        <v>#N/A</v>
      </c>
      <c r="M15" s="110" t="s">
        <v>381</v>
      </c>
      <c r="N15" s="111">
        <f>VLOOKUP(M15,'Dados StatusInvest'!$A:$Z,26,0)</f>
        <v>51395002</v>
      </c>
      <c r="O15" s="118">
        <f>VLOOKUP(M15,'Dados StatusInvest'!$A:$Z,18,0)/100</f>
        <v>0.1005</v>
      </c>
      <c r="P15" s="119" t="str">
        <f t="shared" si="5"/>
        <v>#N/A</v>
      </c>
      <c r="Q15" s="120">
        <f>IF(ISERROR(1/VLOOKUP(M15,Capa!A:AH,6,0)),0,1/VLOOKUP(M15,Capa!A:AH,6,0))</f>
        <v>0.01705029838</v>
      </c>
      <c r="R15" s="121">
        <f t="shared" si="6"/>
        <v>268.000268</v>
      </c>
      <c r="S15" s="122" t="str">
        <f t="shared" si="7"/>
        <v>#N/A</v>
      </c>
      <c r="U15" s="116">
        <v>10.0</v>
      </c>
      <c r="V15" s="117" t="str">
        <f t="shared" si="8"/>
        <v>#N/A</v>
      </c>
    </row>
    <row r="16">
      <c r="A16" s="123"/>
      <c r="B16" s="110" t="s">
        <v>53</v>
      </c>
      <c r="C16" s="111">
        <f>VLOOKUP(B16,'Dados StatusInvest'!$A:$Z,26,0)</f>
        <v>456000000</v>
      </c>
      <c r="D16" s="112">
        <f>VLOOKUP(B16,'Dados StatusInvest'!$A:$Z,20,0)/100</f>
        <v>0.2093</v>
      </c>
      <c r="E16" s="87" t="str">
        <f t="shared" si="1"/>
        <v>#N/A</v>
      </c>
      <c r="F16" s="113">
        <f>IF(ISERROR(1/VLOOKUP(B16,Capa!A:AH,13,0)),0,1/VLOOKUP(B16,Capa!A:AH,13,0))</f>
        <v>0</v>
      </c>
      <c r="G16" s="114">
        <f t="shared" si="2"/>
        <v>246.000246</v>
      </c>
      <c r="H16" s="115" t="str">
        <f t="shared" si="3"/>
        <v>#N/A</v>
      </c>
      <c r="J16" s="116">
        <v>11.0</v>
      </c>
      <c r="K16" s="117" t="str">
        <f t="shared" si="4"/>
        <v>#N/A</v>
      </c>
      <c r="M16" s="110" t="s">
        <v>53</v>
      </c>
      <c r="N16" s="111">
        <f>VLOOKUP(M16,'Dados StatusInvest'!$A:$Z,26,0)</f>
        <v>456000000</v>
      </c>
      <c r="O16" s="118">
        <f>VLOOKUP(M16,'Dados StatusInvest'!$A:$Z,18,0)/100</f>
        <v>0.1743</v>
      </c>
      <c r="P16" s="119" t="str">
        <f t="shared" si="5"/>
        <v>#N/A</v>
      </c>
      <c r="Q16" s="120">
        <f>IF(ISERROR(1/VLOOKUP(M16,Capa!A:AH,6,0)),0,1/VLOOKUP(M16,Capa!A:AH,6,0))</f>
        <v>0</v>
      </c>
      <c r="R16" s="121">
        <f t="shared" si="6"/>
        <v>306.000306</v>
      </c>
      <c r="S16" s="122" t="str">
        <f t="shared" si="7"/>
        <v>#N/A</v>
      </c>
      <c r="U16" s="116">
        <v>11.0</v>
      </c>
      <c r="V16" s="117" t="str">
        <f t="shared" si="8"/>
        <v>#N/A</v>
      </c>
    </row>
    <row r="17">
      <c r="A17" s="123"/>
      <c r="B17" s="110" t="s">
        <v>390</v>
      </c>
      <c r="C17" s="111">
        <f>VLOOKUP(B17,'Dados StatusInvest'!$A:$Z,26,0)</f>
        <v>80878878</v>
      </c>
      <c r="D17" s="112">
        <f>VLOOKUP(B17,'Dados StatusInvest'!$A:$Z,20,0)/100</f>
        <v>0.1287</v>
      </c>
      <c r="E17" s="87" t="str">
        <f t="shared" si="1"/>
        <v>#N/A</v>
      </c>
      <c r="F17" s="113">
        <f>IF(ISERROR(1/VLOOKUP(B17,Capa!A:AH,13,0)),0,1/VLOOKUP(B17,Capa!A:AH,13,0))</f>
        <v>0</v>
      </c>
      <c r="G17" s="114">
        <f t="shared" si="2"/>
        <v>246.000246</v>
      </c>
      <c r="H17" s="115" t="str">
        <f t="shared" si="3"/>
        <v>#N/A</v>
      </c>
      <c r="J17" s="116">
        <v>12.0</v>
      </c>
      <c r="K17" s="117" t="str">
        <f t="shared" si="4"/>
        <v>#N/A</v>
      </c>
      <c r="M17" s="110" t="s">
        <v>390</v>
      </c>
      <c r="N17" s="111">
        <f>VLOOKUP(M17,'Dados StatusInvest'!$A:$Z,26,0)</f>
        <v>80878878</v>
      </c>
      <c r="O17" s="118">
        <f>VLOOKUP(M17,'Dados StatusInvest'!$A:$Z,18,0)/100</f>
        <v>0.2503</v>
      </c>
      <c r="P17" s="119" t="str">
        <f t="shared" si="5"/>
        <v>#N/A</v>
      </c>
      <c r="Q17" s="120">
        <f>IF(ISERROR(1/VLOOKUP(M17,Capa!A:AH,6,0)),0,1/VLOOKUP(M17,Capa!A:AH,6,0))</f>
        <v>0</v>
      </c>
      <c r="R17" s="121">
        <f t="shared" si="6"/>
        <v>306.000306</v>
      </c>
      <c r="S17" s="122" t="str">
        <f t="shared" si="7"/>
        <v>#N/A</v>
      </c>
      <c r="U17" s="116">
        <v>12.0</v>
      </c>
      <c r="V17" s="117" t="str">
        <f t="shared" si="8"/>
        <v>#N/A</v>
      </c>
    </row>
    <row r="18">
      <c r="A18" s="123"/>
      <c r="B18" s="110" t="s">
        <v>416</v>
      </c>
      <c r="C18" s="111">
        <f>VLOOKUP(B18,'Dados StatusInvest'!$A:$Z,26,0)</f>
        <v>207000000</v>
      </c>
      <c r="D18" s="112">
        <f>VLOOKUP(B18,'Dados StatusInvest'!$A:$Z,20,0)/100</f>
        <v>0.1406</v>
      </c>
      <c r="E18" s="87" t="str">
        <f t="shared" si="1"/>
        <v>#N/A</v>
      </c>
      <c r="F18" s="113">
        <f>IF(ISERROR(1/VLOOKUP(B18,Capa!A:AH,13,0)),0,1/VLOOKUP(B18,Capa!A:AH,13,0))</f>
        <v>2613.539427</v>
      </c>
      <c r="G18" s="114">
        <f t="shared" si="2"/>
        <v>5.000005</v>
      </c>
      <c r="H18" s="115" t="str">
        <f t="shared" si="3"/>
        <v>#N/A</v>
      </c>
      <c r="J18" s="116">
        <v>13.0</v>
      </c>
      <c r="K18" s="117" t="str">
        <f t="shared" si="4"/>
        <v>#N/A</v>
      </c>
      <c r="M18" s="110" t="s">
        <v>416</v>
      </c>
      <c r="N18" s="111">
        <f>VLOOKUP(M18,'Dados StatusInvest'!$A:$Z,26,0)</f>
        <v>207000000</v>
      </c>
      <c r="O18" s="118">
        <f>VLOOKUP(M18,'Dados StatusInvest'!$A:$Z,18,0)/100</f>
        <v>0.1372</v>
      </c>
      <c r="P18" s="119" t="str">
        <f t="shared" si="5"/>
        <v>#N/A</v>
      </c>
      <c r="Q18" s="120">
        <f>IF(ISERROR(1/VLOOKUP(M18,Capa!A:AH,6,0)),0,1/VLOOKUP(M18,Capa!A:AH,6,0))</f>
        <v>0.0002300172513</v>
      </c>
      <c r="R18" s="121">
        <f t="shared" si="6"/>
        <v>295.000295</v>
      </c>
      <c r="S18" s="122" t="str">
        <f t="shared" si="7"/>
        <v>#N/A</v>
      </c>
      <c r="U18" s="116">
        <v>13.0</v>
      </c>
      <c r="V18" s="117" t="str">
        <f t="shared" si="8"/>
        <v>#N/A</v>
      </c>
    </row>
    <row r="19">
      <c r="A19" s="123"/>
      <c r="B19" s="110" t="s">
        <v>386</v>
      </c>
      <c r="C19" s="111">
        <f>VLOOKUP(B19,'Dados StatusInvest'!$A:$Z,26,0)</f>
        <v>515000000</v>
      </c>
      <c r="D19" s="112">
        <f>VLOOKUP(B19,'Dados StatusInvest'!$A:$Z,20,0)/100</f>
        <v>0.163</v>
      </c>
      <c r="E19" s="87" t="str">
        <f t="shared" si="1"/>
        <v>#N/A</v>
      </c>
      <c r="F19" s="113">
        <f>IF(ISERROR(1/VLOOKUP(B19,Capa!A:AH,13,0)),0,1/VLOOKUP(B19,Capa!A:AH,13,0))</f>
        <v>0.4655469924</v>
      </c>
      <c r="G19" s="114">
        <f t="shared" si="2"/>
        <v>243.000243</v>
      </c>
      <c r="H19" s="115" t="str">
        <f t="shared" si="3"/>
        <v>#N/A</v>
      </c>
      <c r="J19" s="116">
        <v>14.0</v>
      </c>
      <c r="K19" s="117" t="str">
        <f t="shared" si="4"/>
        <v>#N/A</v>
      </c>
      <c r="M19" s="110" t="s">
        <v>386</v>
      </c>
      <c r="N19" s="111">
        <f>VLOOKUP(M19,'Dados StatusInvest'!$A:$Z,26,0)</f>
        <v>515000000</v>
      </c>
      <c r="O19" s="118">
        <f>VLOOKUP(M19,'Dados StatusInvest'!$A:$Z,18,0)/100</f>
        <v>0.1722</v>
      </c>
      <c r="P19" s="119" t="str">
        <f t="shared" si="5"/>
        <v>#N/A</v>
      </c>
      <c r="Q19" s="120">
        <f>IF(ISERROR(1/VLOOKUP(M19,Capa!A:AH,6,0)),0,1/VLOOKUP(M19,Capa!A:AH,6,0))</f>
        <v>0.06793478261</v>
      </c>
      <c r="R19" s="121">
        <f t="shared" si="6"/>
        <v>153.000153</v>
      </c>
      <c r="S19" s="122" t="str">
        <f t="shared" si="7"/>
        <v>#N/A</v>
      </c>
      <c r="U19" s="116">
        <v>14.0</v>
      </c>
      <c r="V19" s="117" t="str">
        <f t="shared" si="8"/>
        <v>#N/A</v>
      </c>
    </row>
    <row r="20">
      <c r="A20" s="123"/>
      <c r="B20" s="110" t="s">
        <v>543</v>
      </c>
      <c r="C20" s="111">
        <f>VLOOKUP(B20,'Dados StatusInvest'!$A:$Z,26,0)</f>
        <v>445000000</v>
      </c>
      <c r="D20" s="112">
        <f>VLOOKUP(B20,'Dados StatusInvest'!$A:$Z,20,0)/100</f>
        <v>0.0972</v>
      </c>
      <c r="E20" s="87" t="str">
        <f t="shared" si="1"/>
        <v>#N/A</v>
      </c>
      <c r="F20" s="113">
        <f>IF(ISERROR(1/VLOOKUP(B20,Capa!A:AH,13,0)),0,1/VLOOKUP(B20,Capa!A:AH,13,0))</f>
        <v>758.1381292</v>
      </c>
      <c r="G20" s="114">
        <f t="shared" si="2"/>
        <v>14.000014</v>
      </c>
      <c r="H20" s="115" t="str">
        <f t="shared" si="3"/>
        <v>#N/A</v>
      </c>
      <c r="J20" s="116">
        <v>15.0</v>
      </c>
      <c r="K20" s="117" t="str">
        <f t="shared" si="4"/>
        <v>#N/A</v>
      </c>
      <c r="M20" s="110" t="s">
        <v>543</v>
      </c>
      <c r="N20" s="111">
        <f>VLOOKUP(M20,'Dados StatusInvest'!$A:$Z,26,0)</f>
        <v>445000000</v>
      </c>
      <c r="O20" s="118">
        <f>VLOOKUP(M20,'Dados StatusInvest'!$A:$Z,18,0)/100</f>
        <v>0.0706</v>
      </c>
      <c r="P20" s="119" t="str">
        <f t="shared" si="5"/>
        <v>#N/A</v>
      </c>
      <c r="Q20" s="120">
        <f>IF(ISERROR(1/VLOOKUP(M20,Capa!A:AH,6,0)),0,1/VLOOKUP(M20,Capa!A:AH,6,0))</f>
        <v>0.0001371742112</v>
      </c>
      <c r="R20" s="121">
        <f t="shared" si="6"/>
        <v>297.000297</v>
      </c>
      <c r="S20" s="122" t="str">
        <f t="shared" si="7"/>
        <v>#N/A</v>
      </c>
      <c r="U20" s="116">
        <v>15.0</v>
      </c>
      <c r="V20" s="117" t="str">
        <f t="shared" si="8"/>
        <v>#N/A</v>
      </c>
    </row>
    <row r="21">
      <c r="A21" s="123"/>
      <c r="B21" s="110" t="s">
        <v>658</v>
      </c>
      <c r="C21" s="111">
        <f>VLOOKUP(B21,'Dados StatusInvest'!$A:$Z,26,0)</f>
        <v>438000000</v>
      </c>
      <c r="D21" s="112">
        <f>VLOOKUP(B21,'Dados StatusInvest'!$A:$Z,20,0)/100</f>
        <v>0.2458</v>
      </c>
      <c r="E21" s="87" t="str">
        <f t="shared" si="1"/>
        <v>#N/A</v>
      </c>
      <c r="F21" s="113">
        <f>IF(ISERROR(1/VLOOKUP(B21,Capa!A:AH,13,0)),0,1/VLOOKUP(B21,Capa!A:AH,13,0))</f>
        <v>1421.418974</v>
      </c>
      <c r="G21" s="114">
        <f t="shared" si="2"/>
        <v>9.000009</v>
      </c>
      <c r="H21" s="115" t="str">
        <f t="shared" si="3"/>
        <v>#N/A</v>
      </c>
      <c r="J21" s="116">
        <v>16.0</v>
      </c>
      <c r="K21" s="117" t="str">
        <f t="shared" si="4"/>
        <v>#N/A</v>
      </c>
      <c r="M21" s="110" t="s">
        <v>658</v>
      </c>
      <c r="N21" s="111">
        <f>VLOOKUP(M21,'Dados StatusInvest'!$A:$Z,26,0)</f>
        <v>438000000</v>
      </c>
      <c r="O21" s="118">
        <f>VLOOKUP(M21,'Dados StatusInvest'!$A:$Z,18,0)/100</f>
        <v>0.2893</v>
      </c>
      <c r="P21" s="119" t="str">
        <f t="shared" si="5"/>
        <v>#N/A</v>
      </c>
      <c r="Q21" s="120">
        <f>IF(ISERROR(1/VLOOKUP(M21,Capa!A:AH,6,0)),0,1/VLOOKUP(M21,Capa!A:AH,6,0))</f>
        <v>0.00006958942241</v>
      </c>
      <c r="R21" s="121">
        <f t="shared" si="6"/>
        <v>302.000302</v>
      </c>
      <c r="S21" s="122" t="str">
        <f t="shared" si="7"/>
        <v>#N/A</v>
      </c>
      <c r="U21" s="116">
        <v>16.0</v>
      </c>
      <c r="V21" s="117" t="str">
        <f t="shared" si="8"/>
        <v>#N/A</v>
      </c>
    </row>
    <row r="22">
      <c r="A22" s="123"/>
      <c r="B22" s="110" t="s">
        <v>475</v>
      </c>
      <c r="C22" s="111">
        <f>VLOOKUP(B22,'Dados StatusInvest'!$A:$Z,26,0)</f>
        <v>76344659</v>
      </c>
      <c r="D22" s="112">
        <f>VLOOKUP(B22,'Dados StatusInvest'!$A:$Z,20,0)/100</f>
        <v>0.0569</v>
      </c>
      <c r="E22" s="87" t="str">
        <f t="shared" si="1"/>
        <v>#N/A</v>
      </c>
      <c r="F22" s="113">
        <f>IF(ISERROR(1/VLOOKUP(B22,Capa!A:AH,13,0)),0,1/VLOOKUP(B22,Capa!A:AH,13,0))</f>
        <v>0</v>
      </c>
      <c r="G22" s="114">
        <f t="shared" si="2"/>
        <v>246.000246</v>
      </c>
      <c r="H22" s="115" t="str">
        <f t="shared" si="3"/>
        <v>#N/A</v>
      </c>
      <c r="J22" s="116">
        <v>17.0</v>
      </c>
      <c r="K22" s="117" t="str">
        <f t="shared" si="4"/>
        <v>#N/A</v>
      </c>
      <c r="M22" s="110" t="s">
        <v>475</v>
      </c>
      <c r="N22" s="111">
        <f>VLOOKUP(M22,'Dados StatusInvest'!$A:$Z,26,0)</f>
        <v>76344659</v>
      </c>
      <c r="O22" s="118">
        <f>VLOOKUP(M22,'Dados StatusInvest'!$A:$Z,18,0)/100</f>
        <v>-0.4714</v>
      </c>
      <c r="P22" s="119" t="str">
        <f t="shared" si="5"/>
        <v>#N/A</v>
      </c>
      <c r="Q22" s="120">
        <f>IF(ISERROR(1/VLOOKUP(M22,Capa!A:AH,6,0)),0,1/VLOOKUP(M22,Capa!A:AH,6,0))</f>
        <v>0</v>
      </c>
      <c r="R22" s="121">
        <f t="shared" si="6"/>
        <v>306.000306</v>
      </c>
      <c r="S22" s="122" t="str">
        <f t="shared" si="7"/>
        <v>#N/A</v>
      </c>
      <c r="U22" s="116">
        <v>17.0</v>
      </c>
      <c r="V22" s="117" t="str">
        <f t="shared" si="8"/>
        <v>#N/A</v>
      </c>
    </row>
    <row r="23">
      <c r="A23" s="123"/>
      <c r="B23" s="110" t="s">
        <v>598</v>
      </c>
      <c r="C23" s="111">
        <f>VLOOKUP(B23,'Dados StatusInvest'!$A:$Z,26,0)</f>
        <v>432000000</v>
      </c>
      <c r="D23" s="112">
        <f>VLOOKUP(B23,'Dados StatusInvest'!$A:$Z,20,0)/100</f>
        <v>0.0167</v>
      </c>
      <c r="E23" s="87" t="str">
        <f t="shared" si="1"/>
        <v>#N/A</v>
      </c>
      <c r="F23" s="113">
        <f>IF(ISERROR(1/VLOOKUP(B23,Capa!A:AH,13,0)),0,1/VLOOKUP(B23,Capa!A:AH,13,0))</f>
        <v>1239.505899</v>
      </c>
      <c r="G23" s="114">
        <f t="shared" si="2"/>
        <v>11.000011</v>
      </c>
      <c r="H23" s="115" t="str">
        <f t="shared" si="3"/>
        <v>#N/A</v>
      </c>
      <c r="J23" s="116">
        <v>18.0</v>
      </c>
      <c r="K23" s="117" t="str">
        <f t="shared" si="4"/>
        <v>#N/A</v>
      </c>
      <c r="M23" s="110" t="s">
        <v>598</v>
      </c>
      <c r="N23" s="111">
        <f>VLOOKUP(M23,'Dados StatusInvest'!$A:$Z,26,0)</f>
        <v>432000000</v>
      </c>
      <c r="O23" s="118">
        <f>VLOOKUP(M23,'Dados StatusInvest'!$A:$Z,18,0)/100</f>
        <v>0.1452</v>
      </c>
      <c r="P23" s="119" t="str">
        <f t="shared" si="5"/>
        <v>#N/A</v>
      </c>
      <c r="Q23" s="120">
        <f>IF(ISERROR(1/VLOOKUP(M23,Capa!A:AH,6,0)),0,1/VLOOKUP(M23,Capa!A:AH,6,0))</f>
        <v>0.00006273525721</v>
      </c>
      <c r="R23" s="121">
        <f t="shared" si="6"/>
        <v>303.000303</v>
      </c>
      <c r="S23" s="122" t="str">
        <f t="shared" si="7"/>
        <v>#N/A</v>
      </c>
      <c r="U23" s="116">
        <v>18.0</v>
      </c>
      <c r="V23" s="117" t="str">
        <f t="shared" si="8"/>
        <v>#N/A</v>
      </c>
    </row>
    <row r="24">
      <c r="A24" s="123"/>
      <c r="B24" s="110" t="s">
        <v>344</v>
      </c>
      <c r="C24" s="111">
        <f>VLOOKUP(B24,'Dados StatusInvest'!$A:$Z,26,0)</f>
        <v>0</v>
      </c>
      <c r="D24" s="112">
        <f>VLOOKUP(B24,'Dados StatusInvest'!$A:$Z,20,0)/100</f>
        <v>0.0222</v>
      </c>
      <c r="E24" s="87" t="str">
        <f t="shared" si="1"/>
        <v>#N/A</v>
      </c>
      <c r="F24" s="113">
        <f>IF(ISERROR(1/VLOOKUP(B24,Capa!A:AH,13,0)),0,1/VLOOKUP(B24,Capa!A:AH,13,0))</f>
        <v>0</v>
      </c>
      <c r="G24" s="114">
        <f t="shared" si="2"/>
        <v>246.000246</v>
      </c>
      <c r="H24" s="115" t="str">
        <f t="shared" si="3"/>
        <v>#N/A</v>
      </c>
      <c r="J24" s="116">
        <v>19.0</v>
      </c>
      <c r="K24" s="117" t="str">
        <f t="shared" si="4"/>
        <v>#N/A</v>
      </c>
      <c r="M24" s="110" t="s">
        <v>344</v>
      </c>
      <c r="N24" s="111">
        <f>VLOOKUP(M24,'Dados StatusInvest'!$A:$Z,26,0)</f>
        <v>0</v>
      </c>
      <c r="O24" s="118">
        <f>VLOOKUP(M24,'Dados StatusInvest'!$A:$Z,18,0)/100</f>
        <v>-0.0016</v>
      </c>
      <c r="P24" s="119" t="str">
        <f t="shared" si="5"/>
        <v>#N/A</v>
      </c>
      <c r="Q24" s="120">
        <f>IF(ISERROR(1/VLOOKUP(M24,Capa!A:AH,6,0)),0,1/VLOOKUP(M24,Capa!A:AH,6,0))</f>
        <v>0</v>
      </c>
      <c r="R24" s="121">
        <f t="shared" si="6"/>
        <v>306.000306</v>
      </c>
      <c r="S24" s="122" t="str">
        <f t="shared" si="7"/>
        <v>#N/A</v>
      </c>
      <c r="U24" s="116">
        <v>19.0</v>
      </c>
      <c r="V24" s="117" t="str">
        <f t="shared" si="8"/>
        <v>#N/A</v>
      </c>
    </row>
    <row r="25">
      <c r="A25" s="123"/>
      <c r="B25" s="110" t="s">
        <v>531</v>
      </c>
      <c r="C25" s="111">
        <f>VLOOKUP(B25,'Dados StatusInvest'!$A:$Z,26,0)</f>
        <v>202000000</v>
      </c>
      <c r="D25" s="112">
        <f>VLOOKUP(B25,'Dados StatusInvest'!$A:$Z,20,0)/100</f>
        <v>0.0934</v>
      </c>
      <c r="E25" s="87" t="str">
        <f t="shared" si="1"/>
        <v>#N/A</v>
      </c>
      <c r="F25" s="113">
        <f>IF(ISERROR(1/VLOOKUP(B25,Capa!A:AH,13,0)),0,1/VLOOKUP(B25,Capa!A:AH,13,0))</f>
        <v>3.328409891</v>
      </c>
      <c r="G25" s="114">
        <f t="shared" si="2"/>
        <v>201.000201</v>
      </c>
      <c r="H25" s="115" t="str">
        <f t="shared" si="3"/>
        <v>#N/A</v>
      </c>
      <c r="J25" s="116">
        <v>20.0</v>
      </c>
      <c r="K25" s="117" t="str">
        <f t="shared" si="4"/>
        <v>#N/A</v>
      </c>
      <c r="M25" s="110" t="s">
        <v>531</v>
      </c>
      <c r="N25" s="111">
        <f>VLOOKUP(M25,'Dados StatusInvest'!$A:$Z,26,0)</f>
        <v>202000000</v>
      </c>
      <c r="O25" s="118">
        <f>VLOOKUP(M25,'Dados StatusInvest'!$A:$Z,18,0)/100</f>
        <v>0.0271</v>
      </c>
      <c r="P25" s="119" t="str">
        <f t="shared" si="5"/>
        <v>#N/A</v>
      </c>
      <c r="Q25" s="120">
        <f>IF(ISERROR(1/VLOOKUP(M25,Capa!A:AH,6,0)),0,1/VLOOKUP(M25,Capa!A:AH,6,0))</f>
        <v>0.06112469438</v>
      </c>
      <c r="R25" s="121">
        <f t="shared" si="6"/>
        <v>166.000166</v>
      </c>
      <c r="S25" s="122" t="str">
        <f t="shared" si="7"/>
        <v>#N/A</v>
      </c>
      <c r="U25" s="116">
        <v>20.0</v>
      </c>
      <c r="V25" s="117" t="str">
        <f t="shared" si="8"/>
        <v>#N/A</v>
      </c>
    </row>
    <row r="26">
      <c r="A26" s="123"/>
      <c r="B26" s="110" t="s">
        <v>341</v>
      </c>
      <c r="C26" s="111">
        <f>VLOOKUP(B26,'Dados StatusInvest'!$A:$Z,26,0)</f>
        <v>320000000</v>
      </c>
      <c r="D26" s="112">
        <f>VLOOKUP(B26,'Dados StatusInvest'!$A:$Z,20,0)/100</f>
        <v>0.0581</v>
      </c>
      <c r="E26" s="87" t="str">
        <f t="shared" si="1"/>
        <v>#N/A</v>
      </c>
      <c r="F26" s="113">
        <f>IF(ISERROR(1/VLOOKUP(B26,Capa!A:AH,13,0)),0,1/VLOOKUP(B26,Capa!A:AH,13,0))</f>
        <v>12.52065262</v>
      </c>
      <c r="G26" s="114">
        <f t="shared" si="2"/>
        <v>62.000062</v>
      </c>
      <c r="H26" s="115" t="str">
        <f t="shared" si="3"/>
        <v>#N/A</v>
      </c>
      <c r="J26" s="116">
        <v>21.0</v>
      </c>
      <c r="K26" s="117" t="str">
        <f t="shared" si="4"/>
        <v>#N/A</v>
      </c>
      <c r="M26" s="110" t="s">
        <v>341</v>
      </c>
      <c r="N26" s="111">
        <f>VLOOKUP(M26,'Dados StatusInvest'!$A:$Z,26,0)</f>
        <v>320000000</v>
      </c>
      <c r="O26" s="118">
        <f>VLOOKUP(M26,'Dados StatusInvest'!$A:$Z,18,0)/100</f>
        <v>0.055</v>
      </c>
      <c r="P26" s="119" t="str">
        <f t="shared" si="5"/>
        <v>#N/A</v>
      </c>
      <c r="Q26" s="120">
        <f>IF(ISERROR(1/VLOOKUP(M26,Capa!A:AH,6,0)),0,1/VLOOKUP(M26,Capa!A:AH,6,0))</f>
        <v>0.04686035614</v>
      </c>
      <c r="R26" s="121">
        <f t="shared" si="6"/>
        <v>189.000189</v>
      </c>
      <c r="S26" s="122" t="str">
        <f t="shared" si="7"/>
        <v>#N/A</v>
      </c>
      <c r="U26" s="116">
        <v>21.0</v>
      </c>
      <c r="V26" s="117" t="str">
        <f t="shared" si="8"/>
        <v>#N/A</v>
      </c>
    </row>
    <row r="27">
      <c r="A27" s="123"/>
      <c r="B27" s="110" t="s">
        <v>221</v>
      </c>
      <c r="C27" s="111">
        <f>VLOOKUP(B27,'Dados StatusInvest'!$A:$Z,26,0)</f>
        <v>169000000</v>
      </c>
      <c r="D27" s="112">
        <f>VLOOKUP(B27,'Dados StatusInvest'!$A:$Z,20,0)/100</f>
        <v>0.0558</v>
      </c>
      <c r="E27" s="87" t="str">
        <f t="shared" si="1"/>
        <v>#N/A</v>
      </c>
      <c r="F27" s="113">
        <f>IF(ISERROR(1/VLOOKUP(B27,Capa!A:AH,13,0)),0,1/VLOOKUP(B27,Capa!A:AH,13,0))</f>
        <v>4.472727544</v>
      </c>
      <c r="G27" s="114">
        <f t="shared" si="2"/>
        <v>173.000173</v>
      </c>
      <c r="H27" s="115" t="str">
        <f t="shared" si="3"/>
        <v>#N/A</v>
      </c>
      <c r="J27" s="116">
        <v>22.0</v>
      </c>
      <c r="K27" s="117" t="str">
        <f t="shared" si="4"/>
        <v>#N/A</v>
      </c>
      <c r="M27" s="110" t="s">
        <v>221</v>
      </c>
      <c r="N27" s="111">
        <f>VLOOKUP(M27,'Dados StatusInvest'!$A:$Z,26,0)</f>
        <v>169000000</v>
      </c>
      <c r="O27" s="118">
        <f>VLOOKUP(M27,'Dados StatusInvest'!$A:$Z,18,0)/100</f>
        <v>0.1043</v>
      </c>
      <c r="P27" s="119" t="str">
        <f t="shared" si="5"/>
        <v>#N/A</v>
      </c>
      <c r="Q27" s="120">
        <f>IF(ISERROR(1/VLOOKUP(M27,Capa!A:AH,6,0)),0,1/VLOOKUP(M27,Capa!A:AH,6,0))</f>
        <v>0.2777777778</v>
      </c>
      <c r="R27" s="121">
        <f t="shared" si="6"/>
        <v>44.000044</v>
      </c>
      <c r="S27" s="122" t="str">
        <f t="shared" si="7"/>
        <v>#N/A</v>
      </c>
      <c r="U27" s="116">
        <v>22.0</v>
      </c>
      <c r="V27" s="117" t="str">
        <f t="shared" si="8"/>
        <v>#N/A</v>
      </c>
    </row>
    <row r="28">
      <c r="A28" s="123"/>
      <c r="B28" s="110" t="s">
        <v>530</v>
      </c>
      <c r="C28" s="111">
        <f>VLOOKUP(B28,'Dados StatusInvest'!$A:$Z,26,0)</f>
        <v>276000000</v>
      </c>
      <c r="D28" s="112">
        <f>VLOOKUP(B28,'Dados StatusInvest'!$A:$Z,20,0)/100</f>
        <v>0.2256</v>
      </c>
      <c r="E28" s="87" t="str">
        <f t="shared" si="1"/>
        <v>#N/A</v>
      </c>
      <c r="F28" s="113">
        <f>IF(ISERROR(1/VLOOKUP(B28,Capa!A:AH,13,0)),0,1/VLOOKUP(B28,Capa!A:AH,13,0))</f>
        <v>16.37432501</v>
      </c>
      <c r="G28" s="114">
        <f t="shared" si="2"/>
        <v>37.000037</v>
      </c>
      <c r="H28" s="115" t="str">
        <f t="shared" si="3"/>
        <v>#N/A</v>
      </c>
      <c r="J28" s="116">
        <v>23.0</v>
      </c>
      <c r="K28" s="117" t="str">
        <f t="shared" si="4"/>
        <v>#N/A</v>
      </c>
      <c r="M28" s="110" t="s">
        <v>530</v>
      </c>
      <c r="N28" s="111">
        <f>VLOOKUP(M28,'Dados StatusInvest'!$A:$Z,26,0)</f>
        <v>276000000</v>
      </c>
      <c r="O28" s="118">
        <f>VLOOKUP(M28,'Dados StatusInvest'!$A:$Z,18,0)/100</f>
        <v>0.1919</v>
      </c>
      <c r="P28" s="119" t="str">
        <f t="shared" si="5"/>
        <v>#N/A</v>
      </c>
      <c r="Q28" s="120">
        <f>IF(ISERROR(1/VLOOKUP(M28,Capa!A:AH,6,0)),0,1/VLOOKUP(M28,Capa!A:AH,6,0))</f>
        <v>0.03847633705</v>
      </c>
      <c r="R28" s="121">
        <f t="shared" si="6"/>
        <v>206.000206</v>
      </c>
      <c r="S28" s="122" t="str">
        <f t="shared" si="7"/>
        <v>#N/A</v>
      </c>
      <c r="U28" s="116">
        <v>23.0</v>
      </c>
      <c r="V28" s="117" t="str">
        <f t="shared" si="8"/>
        <v>#N/A</v>
      </c>
    </row>
    <row r="29">
      <c r="A29" s="123"/>
      <c r="B29" s="110" t="s">
        <v>1694</v>
      </c>
      <c r="C29" s="111" t="str">
        <f>VLOOKUP(B29,'Dados StatusInvest'!$A:$Z,26,0)</f>
        <v>#N/A</v>
      </c>
      <c r="D29" s="112" t="str">
        <f>VLOOKUP(B29,'Dados StatusInvest'!$A:$Z,20,0)/100</f>
        <v>#N/A</v>
      </c>
      <c r="E29" s="87" t="str">
        <f t="shared" si="1"/>
        <v>#N/A</v>
      </c>
      <c r="F29" s="113">
        <f>IF(ISERROR(1/VLOOKUP(B29,Capa!A:AH,13,0)),0,1/VLOOKUP(B29,Capa!A:AH,13,0))</f>
        <v>0</v>
      </c>
      <c r="G29" s="114">
        <f t="shared" si="2"/>
        <v>246.000246</v>
      </c>
      <c r="H29" s="115" t="str">
        <f t="shared" si="3"/>
        <v>#N/A</v>
      </c>
      <c r="J29" s="116">
        <v>24.0</v>
      </c>
      <c r="K29" s="117" t="str">
        <f t="shared" si="4"/>
        <v>#N/A</v>
      </c>
      <c r="M29" s="110" t="s">
        <v>1694</v>
      </c>
      <c r="N29" s="111" t="str">
        <f>VLOOKUP(M29,'Dados StatusInvest'!$A:$Z,26,0)</f>
        <v>#N/A</v>
      </c>
      <c r="O29" s="118" t="str">
        <f>VLOOKUP(M29,'Dados StatusInvest'!$A:$Z,18,0)/100</f>
        <v>#N/A</v>
      </c>
      <c r="P29" s="119" t="str">
        <f t="shared" si="5"/>
        <v>#N/A</v>
      </c>
      <c r="Q29" s="120">
        <f>IF(ISERROR(1/VLOOKUP(M29,Capa!A:AH,6,0)),0,1/VLOOKUP(M29,Capa!A:AH,6,0))</f>
        <v>0</v>
      </c>
      <c r="R29" s="121">
        <f t="shared" si="6"/>
        <v>306.000306</v>
      </c>
      <c r="S29" s="122" t="str">
        <f t="shared" si="7"/>
        <v>#N/A</v>
      </c>
      <c r="U29" s="116">
        <v>24.0</v>
      </c>
      <c r="V29" s="117" t="str">
        <f t="shared" si="8"/>
        <v>#N/A</v>
      </c>
    </row>
    <row r="30">
      <c r="A30" s="123"/>
      <c r="B30" s="110" t="s">
        <v>595</v>
      </c>
      <c r="C30" s="111">
        <f>VLOOKUP(B30,'Dados StatusInvest'!$A:$Z,26,0)</f>
        <v>313000000</v>
      </c>
      <c r="D30" s="112">
        <f>VLOOKUP(B30,'Dados StatusInvest'!$A:$Z,20,0)/100</f>
        <v>-0.0949</v>
      </c>
      <c r="E30" s="87" t="str">
        <f t="shared" si="1"/>
        <v>#N/A</v>
      </c>
      <c r="F30" s="113">
        <f>IF(ISERROR(1/VLOOKUP(B30,Capa!A:AH,13,0)),0,1/VLOOKUP(B30,Capa!A:AH,13,0))</f>
        <v>0</v>
      </c>
      <c r="G30" s="114">
        <f t="shared" si="2"/>
        <v>246.000246</v>
      </c>
      <c r="H30" s="115" t="str">
        <f t="shared" si="3"/>
        <v>#N/A</v>
      </c>
      <c r="J30" s="116">
        <v>25.0</v>
      </c>
      <c r="K30" s="117" t="str">
        <f t="shared" si="4"/>
        <v>#N/A</v>
      </c>
      <c r="M30" s="110" t="s">
        <v>595</v>
      </c>
      <c r="N30" s="111">
        <f>VLOOKUP(M30,'Dados StatusInvest'!$A:$Z,26,0)</f>
        <v>313000000</v>
      </c>
      <c r="O30" s="118">
        <f>VLOOKUP(M30,'Dados StatusInvest'!$A:$Z,18,0)/100</f>
        <v>0.0217</v>
      </c>
      <c r="P30" s="119" t="str">
        <f t="shared" si="5"/>
        <v>#N/A</v>
      </c>
      <c r="Q30" s="120">
        <f>IF(ISERROR(1/VLOOKUP(M30,Capa!A:AH,6,0)),0,1/VLOOKUP(M30,Capa!A:AH,6,0))</f>
        <v>0</v>
      </c>
      <c r="R30" s="121">
        <f t="shared" si="6"/>
        <v>306.000306</v>
      </c>
      <c r="S30" s="122" t="str">
        <f t="shared" si="7"/>
        <v>#N/A</v>
      </c>
      <c r="U30" s="116">
        <v>25.0</v>
      </c>
      <c r="V30" s="117" t="str">
        <f t="shared" si="8"/>
        <v>#N/A</v>
      </c>
    </row>
    <row r="31">
      <c r="A31" s="123"/>
      <c r="B31" s="110" t="s">
        <v>136</v>
      </c>
      <c r="C31" s="111">
        <f>VLOOKUP(B31,'Dados StatusInvest'!$A:$Z,26,0)</f>
        <v>694000000</v>
      </c>
      <c r="D31" s="112">
        <f>VLOOKUP(B31,'Dados StatusInvest'!$A:$Z,20,0)/100</f>
        <v>0</v>
      </c>
      <c r="E31" s="87" t="str">
        <f t="shared" si="1"/>
        <v>#N/A</v>
      </c>
      <c r="F31" s="113">
        <f>IF(ISERROR(1/VLOOKUP(B31,Capa!A:AH,13,0)),0,1/VLOOKUP(B31,Capa!A:AH,13,0))</f>
        <v>2.17680914</v>
      </c>
      <c r="G31" s="114">
        <f t="shared" si="2"/>
        <v>217.000217</v>
      </c>
      <c r="H31" s="115" t="str">
        <f t="shared" si="3"/>
        <v>#N/A</v>
      </c>
      <c r="J31" s="116">
        <v>26.0</v>
      </c>
      <c r="K31" s="117" t="str">
        <f t="shared" si="4"/>
        <v>#N/A</v>
      </c>
      <c r="M31" s="110" t="s">
        <v>136</v>
      </c>
      <c r="N31" s="111">
        <f>VLOOKUP(M31,'Dados StatusInvest'!$A:$Z,26,0)</f>
        <v>694000000</v>
      </c>
      <c r="O31" s="118">
        <f>VLOOKUP(M31,'Dados StatusInvest'!$A:$Z,18,0)/100</f>
        <v>0.206</v>
      </c>
      <c r="P31" s="119" t="str">
        <f t="shared" si="5"/>
        <v>#N/A</v>
      </c>
      <c r="Q31" s="120">
        <f>IF(ISERROR(1/VLOOKUP(M31,Capa!A:AH,6,0)),0,1/VLOOKUP(M31,Capa!A:AH,6,0))</f>
        <v>0.01630257581</v>
      </c>
      <c r="R31" s="121">
        <f t="shared" si="6"/>
        <v>270.00027</v>
      </c>
      <c r="S31" s="122" t="str">
        <f t="shared" si="7"/>
        <v>#N/A</v>
      </c>
      <c r="U31" s="116">
        <v>26.0</v>
      </c>
      <c r="V31" s="117" t="str">
        <f t="shared" si="8"/>
        <v>#N/A</v>
      </c>
    </row>
    <row r="32">
      <c r="A32" s="123"/>
      <c r="B32" s="110" t="s">
        <v>1695</v>
      </c>
      <c r="C32" s="111" t="str">
        <f>VLOOKUP(B32,'Dados StatusInvest'!$A:$Z,26,0)</f>
        <v>#N/A</v>
      </c>
      <c r="D32" s="112" t="str">
        <f>VLOOKUP(B32,'Dados StatusInvest'!$A:$Z,20,0)/100</f>
        <v>#N/A</v>
      </c>
      <c r="E32" s="87" t="str">
        <f t="shared" si="1"/>
        <v>#N/A</v>
      </c>
      <c r="F32" s="113">
        <f>IF(ISERROR(1/VLOOKUP(B32,Capa!A:AH,13,0)),0,1/VLOOKUP(B32,Capa!A:AH,13,0))</f>
        <v>0</v>
      </c>
      <c r="G32" s="114">
        <f t="shared" si="2"/>
        <v>246.000246</v>
      </c>
      <c r="H32" s="115" t="str">
        <f t="shared" si="3"/>
        <v>#N/A</v>
      </c>
      <c r="J32" s="116">
        <v>27.0</v>
      </c>
      <c r="K32" s="117" t="str">
        <f t="shared" si="4"/>
        <v>#N/A</v>
      </c>
      <c r="M32" s="110" t="s">
        <v>1695</v>
      </c>
      <c r="N32" s="111" t="str">
        <f>VLOOKUP(M32,'Dados StatusInvest'!$A:$Z,26,0)</f>
        <v>#N/A</v>
      </c>
      <c r="O32" s="118" t="str">
        <f>VLOOKUP(M32,'Dados StatusInvest'!$A:$Z,18,0)/100</f>
        <v>#N/A</v>
      </c>
      <c r="P32" s="119" t="str">
        <f t="shared" si="5"/>
        <v>#N/A</v>
      </c>
      <c r="Q32" s="120">
        <f>IF(ISERROR(1/VLOOKUP(M32,Capa!A:AH,6,0)),0,1/VLOOKUP(M32,Capa!A:AH,6,0))</f>
        <v>0</v>
      </c>
      <c r="R32" s="121">
        <f t="shared" si="6"/>
        <v>306.000306</v>
      </c>
      <c r="S32" s="122" t="str">
        <f t="shared" si="7"/>
        <v>#N/A</v>
      </c>
      <c r="U32" s="116">
        <v>27.0</v>
      </c>
      <c r="V32" s="117" t="str">
        <f t="shared" si="8"/>
        <v>#N/A</v>
      </c>
    </row>
    <row r="33">
      <c r="A33" s="123"/>
      <c r="B33" s="110" t="s">
        <v>306</v>
      </c>
      <c r="C33" s="111">
        <f>VLOOKUP(B33,'Dados StatusInvest'!$A:$Z,26,0)</f>
        <v>312000000</v>
      </c>
      <c r="D33" s="112">
        <f>VLOOKUP(B33,'Dados StatusInvest'!$A:$Z,20,0)/100</f>
        <v>0.1039</v>
      </c>
      <c r="E33" s="87" t="str">
        <f t="shared" si="1"/>
        <v>#N/A</v>
      </c>
      <c r="F33" s="113">
        <f>IF(ISERROR(1/VLOOKUP(B33,Capa!A:AH,13,0)),0,1/VLOOKUP(B33,Capa!A:AH,13,0))</f>
        <v>5.136502813</v>
      </c>
      <c r="G33" s="114">
        <f t="shared" si="2"/>
        <v>157.000157</v>
      </c>
      <c r="H33" s="115" t="str">
        <f t="shared" si="3"/>
        <v>#N/A</v>
      </c>
      <c r="J33" s="116">
        <v>28.0</v>
      </c>
      <c r="K33" s="117" t="str">
        <f t="shared" si="4"/>
        <v>#N/A</v>
      </c>
      <c r="M33" s="110" t="s">
        <v>306</v>
      </c>
      <c r="N33" s="111">
        <f>VLOOKUP(M33,'Dados StatusInvest'!$A:$Z,26,0)</f>
        <v>312000000</v>
      </c>
      <c r="O33" s="118">
        <f>VLOOKUP(M33,'Dados StatusInvest'!$A:$Z,18,0)/100</f>
        <v>0.1178</v>
      </c>
      <c r="P33" s="119" t="str">
        <f t="shared" si="5"/>
        <v>#N/A</v>
      </c>
      <c r="Q33" s="120">
        <f>IF(ISERROR(1/VLOOKUP(M33,Capa!A:AH,6,0)),0,1/VLOOKUP(M33,Capa!A:AH,6,0))</f>
        <v>0.02436647173</v>
      </c>
      <c r="R33" s="121">
        <f t="shared" si="6"/>
        <v>244.000244</v>
      </c>
      <c r="S33" s="122" t="str">
        <f t="shared" si="7"/>
        <v>#N/A</v>
      </c>
      <c r="U33" s="116">
        <v>28.0</v>
      </c>
      <c r="V33" s="117" t="str">
        <f t="shared" si="8"/>
        <v>#N/A</v>
      </c>
    </row>
    <row r="34">
      <c r="A34" s="123"/>
      <c r="B34" s="110" t="s">
        <v>149</v>
      </c>
      <c r="C34" s="111">
        <f>VLOOKUP(B34,'Dados StatusInvest'!$A:$Z,26,0)</f>
        <v>378000000</v>
      </c>
      <c r="D34" s="112">
        <f>VLOOKUP(B34,'Dados StatusInvest'!$A:$Z,20,0)/100</f>
        <v>0.1344</v>
      </c>
      <c r="E34" s="87" t="str">
        <f t="shared" si="1"/>
        <v>#N/A</v>
      </c>
      <c r="F34" s="113">
        <f>IF(ISERROR(1/VLOOKUP(B34,Capa!A:AH,13,0)),0,1/VLOOKUP(B34,Capa!A:AH,13,0))</f>
        <v>0</v>
      </c>
      <c r="G34" s="114">
        <f t="shared" si="2"/>
        <v>246.000246</v>
      </c>
      <c r="H34" s="115" t="str">
        <f t="shared" si="3"/>
        <v>#N/A</v>
      </c>
      <c r="J34" s="116">
        <v>29.0</v>
      </c>
      <c r="K34" s="117" t="str">
        <f t="shared" si="4"/>
        <v>#N/A</v>
      </c>
      <c r="M34" s="110" t="s">
        <v>149</v>
      </c>
      <c r="N34" s="111">
        <f>VLOOKUP(M34,'Dados StatusInvest'!$A:$Z,26,0)</f>
        <v>378000000</v>
      </c>
      <c r="O34" s="118">
        <f>VLOOKUP(M34,'Dados StatusInvest'!$A:$Z,18,0)/100</f>
        <v>0.239</v>
      </c>
      <c r="P34" s="119" t="str">
        <f t="shared" si="5"/>
        <v>#N/A</v>
      </c>
      <c r="Q34" s="120">
        <f>IF(ISERROR(1/VLOOKUP(M34,Capa!A:AH,6,0)),0,1/VLOOKUP(M34,Capa!A:AH,6,0))</f>
        <v>0</v>
      </c>
      <c r="R34" s="121">
        <f t="shared" si="6"/>
        <v>306.000306</v>
      </c>
      <c r="S34" s="122" t="str">
        <f t="shared" si="7"/>
        <v>#N/A</v>
      </c>
      <c r="U34" s="116">
        <v>29.0</v>
      </c>
      <c r="V34" s="117" t="str">
        <f t="shared" si="8"/>
        <v>#N/A</v>
      </c>
    </row>
    <row r="35">
      <c r="A35" s="123"/>
      <c r="B35" s="110" t="s">
        <v>402</v>
      </c>
      <c r="C35" s="111">
        <f>VLOOKUP(B35,'Dados StatusInvest'!$A:$Z,26,0)</f>
        <v>0</v>
      </c>
      <c r="D35" s="112">
        <f>VLOOKUP(B35,'Dados StatusInvest'!$A:$Z,20,0)/100</f>
        <v>0.0337</v>
      </c>
      <c r="E35" s="87" t="str">
        <f t="shared" si="1"/>
        <v>#N/A</v>
      </c>
      <c r="F35" s="113">
        <f>IF(ISERROR(1/VLOOKUP(B35,Capa!A:AH,13,0)),0,1/VLOOKUP(B35,Capa!A:AH,13,0))</f>
        <v>0</v>
      </c>
      <c r="G35" s="114">
        <f t="shared" si="2"/>
        <v>246.000246</v>
      </c>
      <c r="H35" s="115" t="str">
        <f t="shared" si="3"/>
        <v>#N/A</v>
      </c>
      <c r="J35" s="116">
        <v>30.0</v>
      </c>
      <c r="K35" s="117" t="str">
        <f t="shared" si="4"/>
        <v>#N/A</v>
      </c>
      <c r="M35" s="110" t="s">
        <v>402</v>
      </c>
      <c r="N35" s="111">
        <f>VLOOKUP(M35,'Dados StatusInvest'!$A:$Z,26,0)</f>
        <v>0</v>
      </c>
      <c r="O35" s="118">
        <f>VLOOKUP(M35,'Dados StatusInvest'!$A:$Z,18,0)/100</f>
        <v>0.0902</v>
      </c>
      <c r="P35" s="119" t="str">
        <f t="shared" si="5"/>
        <v>#N/A</v>
      </c>
      <c r="Q35" s="120">
        <f>IF(ISERROR(1/VLOOKUP(M35,Capa!A:AH,6,0)),0,1/VLOOKUP(M35,Capa!A:AH,6,0))</f>
        <v>0</v>
      </c>
      <c r="R35" s="121">
        <f t="shared" si="6"/>
        <v>306.000306</v>
      </c>
      <c r="S35" s="122" t="str">
        <f t="shared" si="7"/>
        <v>#N/A</v>
      </c>
      <c r="U35" s="116">
        <v>30.0</v>
      </c>
      <c r="V35" s="117" t="str">
        <f t="shared" si="8"/>
        <v>#N/A</v>
      </c>
    </row>
    <row r="36">
      <c r="A36" s="123"/>
      <c r="B36" s="110" t="s">
        <v>162</v>
      </c>
      <c r="C36" s="111">
        <f>VLOOKUP(B36,'Dados StatusInvest'!$A:$Z,26,0)</f>
        <v>0</v>
      </c>
      <c r="D36" s="112">
        <f>VLOOKUP(B36,'Dados StatusInvest'!$A:$Z,20,0)/100</f>
        <v>0.0698</v>
      </c>
      <c r="E36" s="87" t="str">
        <f t="shared" si="1"/>
        <v>#N/A</v>
      </c>
      <c r="F36" s="113">
        <f>IF(ISERROR(1/VLOOKUP(B36,Capa!A:AH,13,0)),0,1/VLOOKUP(B36,Capa!A:AH,13,0))</f>
        <v>0</v>
      </c>
      <c r="G36" s="114">
        <f t="shared" si="2"/>
        <v>246.000246</v>
      </c>
      <c r="H36" s="115" t="str">
        <f t="shared" si="3"/>
        <v>#N/A</v>
      </c>
      <c r="J36" s="116">
        <v>31.0</v>
      </c>
      <c r="K36" s="117" t="str">
        <f t="shared" si="4"/>
        <v>#N/A</v>
      </c>
      <c r="M36" s="110" t="s">
        <v>162</v>
      </c>
      <c r="N36" s="111">
        <f>VLOOKUP(M36,'Dados StatusInvest'!$A:$Z,26,0)</f>
        <v>0</v>
      </c>
      <c r="O36" s="118">
        <f>VLOOKUP(M36,'Dados StatusInvest'!$A:$Z,18,0)/100</f>
        <v>0.0453</v>
      </c>
      <c r="P36" s="119" t="str">
        <f t="shared" si="5"/>
        <v>#N/A</v>
      </c>
      <c r="Q36" s="120">
        <f>IF(ISERROR(1/VLOOKUP(M36,Capa!A:AH,6,0)),0,1/VLOOKUP(M36,Capa!A:AH,6,0))</f>
        <v>0</v>
      </c>
      <c r="R36" s="121">
        <f t="shared" si="6"/>
        <v>306.000306</v>
      </c>
      <c r="S36" s="122" t="str">
        <f t="shared" si="7"/>
        <v>#N/A</v>
      </c>
      <c r="U36" s="116">
        <v>31.0</v>
      </c>
      <c r="V36" s="117" t="str">
        <f t="shared" si="8"/>
        <v>#N/A</v>
      </c>
    </row>
    <row r="37">
      <c r="A37" s="123"/>
      <c r="B37" s="110" t="s">
        <v>635</v>
      </c>
      <c r="C37" s="111">
        <f>VLOOKUP(B37,'Dados StatusInvest'!$A:$Z,26,0)</f>
        <v>159000000</v>
      </c>
      <c r="D37" s="112">
        <f>VLOOKUP(B37,'Dados StatusInvest'!$A:$Z,20,0)/100</f>
        <v>0.1112</v>
      </c>
      <c r="E37" s="87" t="str">
        <f t="shared" si="1"/>
        <v>#N/A</v>
      </c>
      <c r="F37" s="113">
        <f>IF(ISERROR(1/VLOOKUP(B37,Capa!A:AH,13,0)),0,1/VLOOKUP(B37,Capa!A:AH,13,0))</f>
        <v>24.02817521</v>
      </c>
      <c r="G37" s="114">
        <f t="shared" si="2"/>
        <v>27.000027</v>
      </c>
      <c r="H37" s="115" t="str">
        <f t="shared" si="3"/>
        <v>#N/A</v>
      </c>
      <c r="J37" s="116">
        <v>32.0</v>
      </c>
      <c r="K37" s="117" t="str">
        <f t="shared" si="4"/>
        <v>#N/A</v>
      </c>
      <c r="M37" s="110" t="s">
        <v>635</v>
      </c>
      <c r="N37" s="111">
        <f>VLOOKUP(M37,'Dados StatusInvest'!$A:$Z,26,0)</f>
        <v>159000000</v>
      </c>
      <c r="O37" s="118">
        <f>VLOOKUP(M37,'Dados StatusInvest'!$A:$Z,18,0)/100</f>
        <v>0.1814</v>
      </c>
      <c r="P37" s="119" t="str">
        <f t="shared" si="5"/>
        <v>#N/A</v>
      </c>
      <c r="Q37" s="120">
        <f>IF(ISERROR(1/VLOOKUP(M37,Capa!A:AH,6,0)),0,1/VLOOKUP(M37,Capa!A:AH,6,0))</f>
        <v>0.03664345914</v>
      </c>
      <c r="R37" s="121">
        <f t="shared" si="6"/>
        <v>210.00021</v>
      </c>
      <c r="S37" s="122" t="str">
        <f t="shared" si="7"/>
        <v>#N/A</v>
      </c>
      <c r="U37" s="116">
        <v>32.0</v>
      </c>
      <c r="V37" s="117" t="str">
        <f t="shared" si="8"/>
        <v>#N/A</v>
      </c>
    </row>
    <row r="38">
      <c r="A38" s="123"/>
      <c r="B38" s="110" t="s">
        <v>107</v>
      </c>
      <c r="C38" s="111">
        <f>VLOOKUP(B38,'Dados StatusInvest'!$A:$Z,26,0)</f>
        <v>309000000</v>
      </c>
      <c r="D38" s="112">
        <f>VLOOKUP(B38,'Dados StatusInvest'!$A:$Z,20,0)/100</f>
        <v>0</v>
      </c>
      <c r="E38" s="87" t="str">
        <f t="shared" si="1"/>
        <v>#N/A</v>
      </c>
      <c r="F38" s="113">
        <f>IF(ISERROR(1/VLOOKUP(B38,Capa!A:AH,13,0)),0,1/VLOOKUP(B38,Capa!A:AH,13,0))</f>
        <v>0</v>
      </c>
      <c r="G38" s="114">
        <f t="shared" si="2"/>
        <v>246.000246</v>
      </c>
      <c r="H38" s="115" t="str">
        <f t="shared" si="3"/>
        <v>#N/A</v>
      </c>
      <c r="J38" s="116">
        <v>33.0</v>
      </c>
      <c r="K38" s="117" t="str">
        <f t="shared" si="4"/>
        <v>#N/A</v>
      </c>
      <c r="M38" s="110" t="s">
        <v>107</v>
      </c>
      <c r="N38" s="111">
        <f>VLOOKUP(M38,'Dados StatusInvest'!$A:$Z,26,0)</f>
        <v>309000000</v>
      </c>
      <c r="O38" s="118">
        <f>VLOOKUP(M38,'Dados StatusInvest'!$A:$Z,18,0)/100</f>
        <v>0.6993</v>
      </c>
      <c r="P38" s="119" t="str">
        <f t="shared" si="5"/>
        <v>#N/A</v>
      </c>
      <c r="Q38" s="120">
        <f>IF(ISERROR(1/VLOOKUP(M38,Capa!A:AH,6,0)),0,1/VLOOKUP(M38,Capa!A:AH,6,0))</f>
        <v>0.0297000297</v>
      </c>
      <c r="R38" s="121">
        <f t="shared" si="6"/>
        <v>224.000224</v>
      </c>
      <c r="S38" s="122" t="str">
        <f t="shared" si="7"/>
        <v>#N/A</v>
      </c>
      <c r="U38" s="116">
        <v>33.0</v>
      </c>
      <c r="V38" s="117" t="str">
        <f t="shared" si="8"/>
        <v>#N/A</v>
      </c>
    </row>
    <row r="39">
      <c r="A39" s="123"/>
      <c r="B39" s="110" t="s">
        <v>565</v>
      </c>
      <c r="C39" s="111">
        <f>VLOOKUP(B39,'Dados StatusInvest'!$A:$Z,26,0)</f>
        <v>468000000</v>
      </c>
      <c r="D39" s="112">
        <f>VLOOKUP(B39,'Dados StatusInvest'!$A:$Z,20,0)/100</f>
        <v>0.0621</v>
      </c>
      <c r="E39" s="87" t="str">
        <f t="shared" si="1"/>
        <v>#N/A</v>
      </c>
      <c r="F39" s="113">
        <f>IF(ISERROR(1/VLOOKUP(B39,Capa!A:AH,13,0)),0,1/VLOOKUP(B39,Capa!A:AH,13,0))</f>
        <v>916.9057004</v>
      </c>
      <c r="G39" s="114">
        <f t="shared" si="2"/>
        <v>13.000013</v>
      </c>
      <c r="H39" s="115" t="str">
        <f t="shared" si="3"/>
        <v>#N/A</v>
      </c>
      <c r="J39" s="116">
        <v>34.0</v>
      </c>
      <c r="K39" s="117" t="str">
        <f t="shared" si="4"/>
        <v>#N/A</v>
      </c>
      <c r="M39" s="110" t="s">
        <v>565</v>
      </c>
      <c r="N39" s="111">
        <f>VLOOKUP(M39,'Dados StatusInvest'!$A:$Z,26,0)</f>
        <v>468000000</v>
      </c>
      <c r="O39" s="118">
        <f>VLOOKUP(M39,'Dados StatusInvest'!$A:$Z,18,0)/100</f>
        <v>0.1688</v>
      </c>
      <c r="P39" s="119" t="str">
        <f t="shared" si="5"/>
        <v>#N/A</v>
      </c>
      <c r="Q39" s="120">
        <f>IF(ISERROR(1/VLOOKUP(M39,Capa!A:AH,6,0)),0,1/VLOOKUP(M39,Capa!A:AH,6,0))</f>
        <v>0.0000234521576</v>
      </c>
      <c r="R39" s="121">
        <f t="shared" si="6"/>
        <v>305.000305</v>
      </c>
      <c r="S39" s="122" t="str">
        <f t="shared" si="7"/>
        <v>#N/A</v>
      </c>
      <c r="U39" s="116">
        <v>34.0</v>
      </c>
      <c r="V39" s="117" t="str">
        <f t="shared" si="8"/>
        <v>#N/A</v>
      </c>
    </row>
    <row r="40">
      <c r="A40" s="123"/>
      <c r="B40" s="110" t="s">
        <v>1696</v>
      </c>
      <c r="C40" s="111" t="str">
        <f>VLOOKUP(B40,'Dados StatusInvest'!$A:$Z,26,0)</f>
        <v>#N/A</v>
      </c>
      <c r="D40" s="112" t="str">
        <f>VLOOKUP(B40,'Dados StatusInvest'!$A:$Z,20,0)/100</f>
        <v>#N/A</v>
      </c>
      <c r="E40" s="87" t="str">
        <f t="shared" si="1"/>
        <v>#N/A</v>
      </c>
      <c r="F40" s="113">
        <f>IF(ISERROR(1/VLOOKUP(B40,Capa!A:AH,13,0)),0,1/VLOOKUP(B40,Capa!A:AH,13,0))</f>
        <v>0</v>
      </c>
      <c r="G40" s="114">
        <f t="shared" si="2"/>
        <v>246.000246</v>
      </c>
      <c r="H40" s="115" t="str">
        <f t="shared" si="3"/>
        <v>#N/A</v>
      </c>
      <c r="J40" s="116">
        <v>35.0</v>
      </c>
      <c r="K40" s="117" t="str">
        <f t="shared" si="4"/>
        <v>#N/A</v>
      </c>
      <c r="M40" s="110" t="s">
        <v>1696</v>
      </c>
      <c r="N40" s="111" t="str">
        <f>VLOOKUP(M40,'Dados StatusInvest'!$A:$Z,26,0)</f>
        <v>#N/A</v>
      </c>
      <c r="O40" s="118" t="str">
        <f>VLOOKUP(M40,'Dados StatusInvest'!$A:$Z,18,0)/100</f>
        <v>#N/A</v>
      </c>
      <c r="P40" s="119" t="str">
        <f t="shared" si="5"/>
        <v>#N/A</v>
      </c>
      <c r="Q40" s="120">
        <f>IF(ISERROR(1/VLOOKUP(M40,Capa!A:AH,6,0)),0,1/VLOOKUP(M40,Capa!A:AH,6,0))</f>
        <v>0</v>
      </c>
      <c r="R40" s="121">
        <f t="shared" si="6"/>
        <v>306.000306</v>
      </c>
      <c r="S40" s="122" t="str">
        <f t="shared" si="7"/>
        <v>#N/A</v>
      </c>
      <c r="U40" s="116">
        <v>35.0</v>
      </c>
      <c r="V40" s="117" t="str">
        <f t="shared" si="8"/>
        <v>#N/A</v>
      </c>
    </row>
    <row r="41">
      <c r="A41" s="123"/>
      <c r="B41" s="110" t="s">
        <v>1697</v>
      </c>
      <c r="C41" s="111" t="str">
        <f>VLOOKUP(B41,'Dados StatusInvest'!$A:$Z,26,0)</f>
        <v>#N/A</v>
      </c>
      <c r="D41" s="112" t="str">
        <f>VLOOKUP(B41,'Dados StatusInvest'!$A:$Z,20,0)/100</f>
        <v>#N/A</v>
      </c>
      <c r="E41" s="87" t="str">
        <f t="shared" si="1"/>
        <v>#N/A</v>
      </c>
      <c r="F41" s="113">
        <f>IF(ISERROR(1/VLOOKUP(B41,Capa!A:AH,13,0)),0,1/VLOOKUP(B41,Capa!A:AH,13,0))</f>
        <v>0</v>
      </c>
      <c r="G41" s="114">
        <f t="shared" si="2"/>
        <v>246.000246</v>
      </c>
      <c r="H41" s="115" t="str">
        <f t="shared" si="3"/>
        <v>#N/A</v>
      </c>
      <c r="J41" s="116">
        <v>36.0</v>
      </c>
      <c r="K41" s="117" t="str">
        <f t="shared" si="4"/>
        <v>#N/A</v>
      </c>
      <c r="M41" s="110" t="s">
        <v>1697</v>
      </c>
      <c r="N41" s="111" t="str">
        <f>VLOOKUP(M41,'Dados StatusInvest'!$A:$Z,26,0)</f>
        <v>#N/A</v>
      </c>
      <c r="O41" s="118" t="str">
        <f>VLOOKUP(M41,'Dados StatusInvest'!$A:$Z,18,0)/100</f>
        <v>#N/A</v>
      </c>
      <c r="P41" s="119" t="str">
        <f t="shared" si="5"/>
        <v>#N/A</v>
      </c>
      <c r="Q41" s="120">
        <f>IF(ISERROR(1/VLOOKUP(M41,Capa!A:AH,6,0)),0,1/VLOOKUP(M41,Capa!A:AH,6,0))</f>
        <v>0</v>
      </c>
      <c r="R41" s="121">
        <f t="shared" si="6"/>
        <v>306.000306</v>
      </c>
      <c r="S41" s="122" t="str">
        <f t="shared" si="7"/>
        <v>#N/A</v>
      </c>
      <c r="U41" s="116">
        <v>36.0</v>
      </c>
      <c r="V41" s="117" t="str">
        <f t="shared" si="8"/>
        <v>#N/A</v>
      </c>
    </row>
    <row r="42">
      <c r="A42" s="123"/>
      <c r="B42" s="110" t="s">
        <v>1698</v>
      </c>
      <c r="C42" s="111" t="str">
        <f>VLOOKUP(B42,'Dados StatusInvest'!$A:$Z,26,0)</f>
        <v>#N/A</v>
      </c>
      <c r="D42" s="112" t="str">
        <f>VLOOKUP(B42,'Dados StatusInvest'!$A:$Z,20,0)/100</f>
        <v>#N/A</v>
      </c>
      <c r="E42" s="87" t="str">
        <f t="shared" si="1"/>
        <v>#N/A</v>
      </c>
      <c r="F42" s="113">
        <f>IF(ISERROR(1/VLOOKUP(B42,Capa!A:AH,13,0)),0,1/VLOOKUP(B42,Capa!A:AH,13,0))</f>
        <v>0</v>
      </c>
      <c r="G42" s="114">
        <f t="shared" si="2"/>
        <v>246.000246</v>
      </c>
      <c r="H42" s="115" t="str">
        <f t="shared" si="3"/>
        <v>#N/A</v>
      </c>
      <c r="J42" s="116">
        <v>37.0</v>
      </c>
      <c r="K42" s="117" t="str">
        <f t="shared" si="4"/>
        <v>#N/A</v>
      </c>
      <c r="M42" s="110" t="s">
        <v>1698</v>
      </c>
      <c r="N42" s="111" t="str">
        <f>VLOOKUP(M42,'Dados StatusInvest'!$A:$Z,26,0)</f>
        <v>#N/A</v>
      </c>
      <c r="O42" s="118" t="str">
        <f>VLOOKUP(M42,'Dados StatusInvest'!$A:$Z,18,0)/100</f>
        <v>#N/A</v>
      </c>
      <c r="P42" s="119" t="str">
        <f t="shared" si="5"/>
        <v>#N/A</v>
      </c>
      <c r="Q42" s="120">
        <f>IF(ISERROR(1/VLOOKUP(M42,Capa!A:AH,6,0)),0,1/VLOOKUP(M42,Capa!A:AH,6,0))</f>
        <v>0</v>
      </c>
      <c r="R42" s="121">
        <f t="shared" si="6"/>
        <v>306.000306</v>
      </c>
      <c r="S42" s="122" t="str">
        <f t="shared" si="7"/>
        <v>#N/A</v>
      </c>
      <c r="U42" s="116">
        <v>37.0</v>
      </c>
      <c r="V42" s="117" t="str">
        <f t="shared" si="8"/>
        <v>#N/A</v>
      </c>
    </row>
    <row r="43">
      <c r="A43" s="123"/>
      <c r="B43" s="110" t="s">
        <v>355</v>
      </c>
      <c r="C43" s="111">
        <f>VLOOKUP(B43,'Dados StatusInvest'!$A:$Z,26,0)</f>
        <v>117000000</v>
      </c>
      <c r="D43" s="112">
        <f>VLOOKUP(B43,'Dados StatusInvest'!$A:$Z,20,0)/100</f>
        <v>0.0235</v>
      </c>
      <c r="E43" s="87" t="str">
        <f t="shared" si="1"/>
        <v>#N/A</v>
      </c>
      <c r="F43" s="113">
        <f>IF(ISERROR(1/VLOOKUP(B43,Capa!A:AH,13,0)),0,1/VLOOKUP(B43,Capa!A:AH,13,0))</f>
        <v>5654.318907</v>
      </c>
      <c r="G43" s="114">
        <f t="shared" si="2"/>
        <v>3.000003</v>
      </c>
      <c r="H43" s="115" t="str">
        <f t="shared" si="3"/>
        <v>#N/A</v>
      </c>
      <c r="J43" s="116">
        <v>38.0</v>
      </c>
      <c r="K43" s="117" t="str">
        <f t="shared" si="4"/>
        <v>#N/A</v>
      </c>
      <c r="M43" s="110" t="s">
        <v>355</v>
      </c>
      <c r="N43" s="111">
        <f>VLOOKUP(M43,'Dados StatusInvest'!$A:$Z,26,0)</f>
        <v>117000000</v>
      </c>
      <c r="O43" s="118">
        <f>VLOOKUP(M43,'Dados StatusInvest'!$A:$Z,18,0)/100</f>
        <v>-0.0064</v>
      </c>
      <c r="P43" s="119" t="str">
        <f t="shared" si="5"/>
        <v>#N/A</v>
      </c>
      <c r="Q43" s="120">
        <f>IF(ISERROR(1/VLOOKUP(M43,Capa!A:AH,6,0)),0,1/VLOOKUP(M43,Capa!A:AH,6,0))</f>
        <v>0.0003311258278</v>
      </c>
      <c r="R43" s="121">
        <f t="shared" si="6"/>
        <v>293.000293</v>
      </c>
      <c r="S43" s="122" t="str">
        <f t="shared" si="7"/>
        <v>#N/A</v>
      </c>
      <c r="U43" s="116">
        <v>38.0</v>
      </c>
      <c r="V43" s="117" t="str">
        <f t="shared" si="8"/>
        <v>#N/A</v>
      </c>
    </row>
    <row r="44">
      <c r="A44" s="123"/>
      <c r="B44" s="110" t="s">
        <v>527</v>
      </c>
      <c r="C44" s="111">
        <f>VLOOKUP(B44,'Dados StatusInvest'!$A:$Z,26,0)</f>
        <v>8377166</v>
      </c>
      <c r="D44" s="112">
        <f>VLOOKUP(B44,'Dados StatusInvest'!$A:$Z,20,0)/100</f>
        <v>0.0684</v>
      </c>
      <c r="E44" s="87" t="str">
        <f t="shared" si="1"/>
        <v>#N/A</v>
      </c>
      <c r="F44" s="113">
        <f>IF(ISERROR(1/VLOOKUP(B44,Capa!A:AH,13,0)),0,1/VLOOKUP(B44,Capa!A:AH,13,0))</f>
        <v>7.228363393</v>
      </c>
      <c r="G44" s="114">
        <f t="shared" si="2"/>
        <v>114.000114</v>
      </c>
      <c r="H44" s="115" t="str">
        <f t="shared" si="3"/>
        <v>#N/A</v>
      </c>
      <c r="J44" s="116">
        <v>39.0</v>
      </c>
      <c r="K44" s="117" t="str">
        <f t="shared" si="4"/>
        <v>#N/A</v>
      </c>
      <c r="M44" s="110" t="s">
        <v>527</v>
      </c>
      <c r="N44" s="111">
        <f>VLOOKUP(M44,'Dados StatusInvest'!$A:$Z,26,0)</f>
        <v>8377166</v>
      </c>
      <c r="O44" s="118">
        <f>VLOOKUP(M44,'Dados StatusInvest'!$A:$Z,18,0)/100</f>
        <v>0.0074</v>
      </c>
      <c r="P44" s="119" t="str">
        <f t="shared" si="5"/>
        <v>#N/A</v>
      </c>
      <c r="Q44" s="120">
        <f>IF(ISERROR(1/VLOOKUP(M44,Capa!A:AH,6,0)),0,1/VLOOKUP(M44,Capa!A:AH,6,0))</f>
        <v>0.406504065</v>
      </c>
      <c r="R44" s="121">
        <f t="shared" si="6"/>
        <v>31.000031</v>
      </c>
      <c r="S44" s="122" t="str">
        <f t="shared" si="7"/>
        <v>#N/A</v>
      </c>
      <c r="U44" s="116">
        <v>39.0</v>
      </c>
      <c r="V44" s="117" t="str">
        <f t="shared" si="8"/>
        <v>#N/A</v>
      </c>
    </row>
    <row r="45">
      <c r="A45" s="123"/>
      <c r="B45" s="110" t="s">
        <v>624</v>
      </c>
      <c r="C45" s="111">
        <f>VLOOKUP(B45,'Dados StatusInvest'!$A:$Z,26,0)</f>
        <v>265000000</v>
      </c>
      <c r="D45" s="112">
        <f>VLOOKUP(B45,'Dados StatusInvest'!$A:$Z,20,0)/100</f>
        <v>0.1204</v>
      </c>
      <c r="E45" s="87" t="str">
        <f t="shared" si="1"/>
        <v>#N/A</v>
      </c>
      <c r="F45" s="113">
        <f>IF(ISERROR(1/VLOOKUP(B45,Capa!A:AH,13,0)),0,1/VLOOKUP(B45,Capa!A:AH,13,0))</f>
        <v>5.461853703</v>
      </c>
      <c r="G45" s="114">
        <f t="shared" si="2"/>
        <v>144.000144</v>
      </c>
      <c r="H45" s="115" t="str">
        <f t="shared" si="3"/>
        <v>#N/A</v>
      </c>
      <c r="J45" s="116">
        <v>40.0</v>
      </c>
      <c r="K45" s="117" t="str">
        <f t="shared" si="4"/>
        <v>#N/A</v>
      </c>
      <c r="M45" s="110" t="s">
        <v>624</v>
      </c>
      <c r="N45" s="111">
        <f>VLOOKUP(M45,'Dados StatusInvest'!$A:$Z,26,0)</f>
        <v>265000000</v>
      </c>
      <c r="O45" s="118">
        <f>VLOOKUP(M45,'Dados StatusInvest'!$A:$Z,18,0)/100</f>
        <v>0.1599</v>
      </c>
      <c r="P45" s="119" t="str">
        <f t="shared" si="5"/>
        <v>#N/A</v>
      </c>
      <c r="Q45" s="120">
        <f>IF(ISERROR(1/VLOOKUP(M45,Capa!A:AH,6,0)),0,1/VLOOKUP(M45,Capa!A:AH,6,0))</f>
        <v>0.0257003341</v>
      </c>
      <c r="R45" s="121">
        <f t="shared" si="6"/>
        <v>237.000237</v>
      </c>
      <c r="S45" s="122" t="str">
        <f t="shared" si="7"/>
        <v>#N/A</v>
      </c>
      <c r="U45" s="116">
        <v>40.0</v>
      </c>
      <c r="V45" s="117" t="str">
        <f t="shared" si="8"/>
        <v>#N/A</v>
      </c>
    </row>
    <row r="46">
      <c r="A46" s="123"/>
      <c r="B46" s="110" t="s">
        <v>665</v>
      </c>
      <c r="C46" s="111">
        <f>VLOOKUP(B46,'Dados StatusInvest'!$A:$Z,26,0)</f>
        <v>58230737</v>
      </c>
      <c r="D46" s="112">
        <f>VLOOKUP(B46,'Dados StatusInvest'!$A:$Z,20,0)/100</f>
        <v>0.0977</v>
      </c>
      <c r="E46" s="87" t="str">
        <f t="shared" si="1"/>
        <v>#N/A</v>
      </c>
      <c r="F46" s="113">
        <f>IF(ISERROR(1/VLOOKUP(B46,Capa!A:AH,13,0)),0,1/VLOOKUP(B46,Capa!A:AH,13,0))</f>
        <v>6.042966043</v>
      </c>
      <c r="G46" s="114">
        <f t="shared" si="2"/>
        <v>133.000133</v>
      </c>
      <c r="H46" s="115" t="str">
        <f t="shared" si="3"/>
        <v>#N/A</v>
      </c>
      <c r="J46" s="116"/>
      <c r="M46" s="110" t="s">
        <v>665</v>
      </c>
      <c r="N46" s="111">
        <f>VLOOKUP(M46,'Dados StatusInvest'!$A:$Z,26,0)</f>
        <v>58230737</v>
      </c>
      <c r="O46" s="118">
        <f>VLOOKUP(M46,'Dados StatusInvest'!$A:$Z,18,0)/100</f>
        <v>0.078</v>
      </c>
      <c r="P46" s="119" t="str">
        <f t="shared" si="5"/>
        <v>#N/A</v>
      </c>
      <c r="Q46" s="120">
        <f>IF(ISERROR(1/VLOOKUP(M46,Capa!A:AH,6,0)),0,1/VLOOKUP(M46,Capa!A:AH,6,0))</f>
        <v>0.07645259939</v>
      </c>
      <c r="R46" s="121">
        <f t="shared" si="6"/>
        <v>143.000143</v>
      </c>
      <c r="S46" s="122" t="str">
        <f t="shared" si="7"/>
        <v>#N/A</v>
      </c>
    </row>
    <row r="47">
      <c r="A47" s="123"/>
      <c r="B47" s="110" t="s">
        <v>1699</v>
      </c>
      <c r="C47" s="111" t="str">
        <f>VLOOKUP(B47,'Dados StatusInvest'!$A:$Z,26,0)</f>
        <v>#N/A</v>
      </c>
      <c r="D47" s="112" t="str">
        <f>VLOOKUP(B47,'Dados StatusInvest'!$A:$Z,20,0)/100</f>
        <v>#N/A</v>
      </c>
      <c r="E47" s="87" t="str">
        <f t="shared" si="1"/>
        <v>#N/A</v>
      </c>
      <c r="F47" s="113">
        <f>IF(ISERROR(1/VLOOKUP(B47,Capa!A:AH,13,0)),0,1/VLOOKUP(B47,Capa!A:AH,13,0))</f>
        <v>0</v>
      </c>
      <c r="G47" s="114">
        <f t="shared" si="2"/>
        <v>246.000246</v>
      </c>
      <c r="H47" s="115" t="str">
        <f t="shared" si="3"/>
        <v>#N/A</v>
      </c>
      <c r="J47" s="116"/>
      <c r="M47" s="110" t="s">
        <v>1699</v>
      </c>
      <c r="N47" s="111" t="str">
        <f>VLOOKUP(M47,'Dados StatusInvest'!$A:$Z,26,0)</f>
        <v>#N/A</v>
      </c>
      <c r="O47" s="118" t="str">
        <f>VLOOKUP(M47,'Dados StatusInvest'!$A:$Z,18,0)/100</f>
        <v>#N/A</v>
      </c>
      <c r="P47" s="119" t="str">
        <f t="shared" si="5"/>
        <v>#N/A</v>
      </c>
      <c r="Q47" s="120">
        <f>IF(ISERROR(1/VLOOKUP(M47,Capa!A:AH,6,0)),0,1/VLOOKUP(M47,Capa!A:AH,6,0))</f>
        <v>0</v>
      </c>
      <c r="R47" s="121">
        <f t="shared" si="6"/>
        <v>306.000306</v>
      </c>
      <c r="S47" s="122" t="str">
        <f t="shared" si="7"/>
        <v>#N/A</v>
      </c>
    </row>
    <row r="48">
      <c r="A48" s="123"/>
      <c r="B48" s="110" t="s">
        <v>649</v>
      </c>
      <c r="C48" s="111">
        <f>VLOOKUP(B48,'Dados StatusInvest'!$A:$Z,26,0)</f>
        <v>0</v>
      </c>
      <c r="D48" s="112">
        <f>VLOOKUP(B48,'Dados StatusInvest'!$A:$Z,20,0)/100</f>
        <v>0.0876</v>
      </c>
      <c r="E48" s="87" t="str">
        <f t="shared" si="1"/>
        <v>#N/A</v>
      </c>
      <c r="F48" s="113">
        <f>IF(ISERROR(1/VLOOKUP(B48,Capa!A:AH,13,0)),0,1/VLOOKUP(B48,Capa!A:AH,13,0))</f>
        <v>0</v>
      </c>
      <c r="G48" s="114">
        <f t="shared" si="2"/>
        <v>246.000246</v>
      </c>
      <c r="H48" s="115" t="str">
        <f t="shared" si="3"/>
        <v>#N/A</v>
      </c>
      <c r="J48" s="116"/>
      <c r="M48" s="110" t="s">
        <v>649</v>
      </c>
      <c r="N48" s="111">
        <f>VLOOKUP(M48,'Dados StatusInvest'!$A:$Z,26,0)</f>
        <v>0</v>
      </c>
      <c r="O48" s="118">
        <f>VLOOKUP(M48,'Dados StatusInvest'!$A:$Z,18,0)/100</f>
        <v>0.0885</v>
      </c>
      <c r="P48" s="119" t="str">
        <f t="shared" si="5"/>
        <v>#N/A</v>
      </c>
      <c r="Q48" s="120">
        <f>IF(ISERROR(1/VLOOKUP(M48,Capa!A:AH,6,0)),0,1/VLOOKUP(M48,Capa!A:AH,6,0))</f>
        <v>0</v>
      </c>
      <c r="R48" s="121">
        <f t="shared" si="6"/>
        <v>306.000306</v>
      </c>
      <c r="S48" s="122" t="str">
        <f t="shared" si="7"/>
        <v>#N/A</v>
      </c>
    </row>
    <row r="49">
      <c r="A49" s="123"/>
      <c r="B49" s="110" t="s">
        <v>367</v>
      </c>
      <c r="C49" s="111">
        <f>VLOOKUP(B49,'Dados StatusInvest'!$A:$Z,26,0)</f>
        <v>69618341</v>
      </c>
      <c r="D49" s="112">
        <f>VLOOKUP(B49,'Dados StatusInvest'!$A:$Z,20,0)/100</f>
        <v>0.0122</v>
      </c>
      <c r="E49" s="87" t="str">
        <f t="shared" si="1"/>
        <v>#N/A</v>
      </c>
      <c r="F49" s="113">
        <f>IF(ISERROR(1/VLOOKUP(B49,Capa!A:AH,13,0)),0,1/VLOOKUP(B49,Capa!A:AH,13,0))</f>
        <v>5.96763596</v>
      </c>
      <c r="G49" s="114">
        <f t="shared" si="2"/>
        <v>134.000134</v>
      </c>
      <c r="H49" s="115" t="str">
        <f t="shared" si="3"/>
        <v>#N/A</v>
      </c>
      <c r="J49" s="116"/>
      <c r="M49" s="110" t="s">
        <v>367</v>
      </c>
      <c r="N49" s="111">
        <f>VLOOKUP(M49,'Dados StatusInvest'!$A:$Z,26,0)</f>
        <v>69618341</v>
      </c>
      <c r="O49" s="118">
        <f>VLOOKUP(M49,'Dados StatusInvest'!$A:$Z,18,0)/100</f>
        <v>0.0672</v>
      </c>
      <c r="P49" s="119" t="str">
        <f t="shared" si="5"/>
        <v>#N/A</v>
      </c>
      <c r="Q49" s="120">
        <f>IF(ISERROR(1/VLOOKUP(M49,Capa!A:AH,6,0)),0,1/VLOOKUP(M49,Capa!A:AH,6,0))</f>
        <v>0.04244482173</v>
      </c>
      <c r="R49" s="121">
        <f t="shared" si="6"/>
        <v>200.0002</v>
      </c>
      <c r="S49" s="122" t="str">
        <f t="shared" si="7"/>
        <v>#N/A</v>
      </c>
    </row>
    <row r="50">
      <c r="A50" s="123"/>
      <c r="B50" s="110" t="s">
        <v>238</v>
      </c>
      <c r="C50" s="111">
        <f>VLOOKUP(B50,'Dados StatusInvest'!$A:$Z,26,0)</f>
        <v>220000000</v>
      </c>
      <c r="D50" s="112">
        <f>VLOOKUP(B50,'Dados StatusInvest'!$A:$Z,20,0)/100</f>
        <v>-0.0392</v>
      </c>
      <c r="E50" s="87" t="str">
        <f t="shared" si="1"/>
        <v>#N/A</v>
      </c>
      <c r="F50" s="113">
        <f>IF(ISERROR(1/VLOOKUP(B50,Capa!A:AH,13,0)),0,1/VLOOKUP(B50,Capa!A:AH,13,0))</f>
        <v>25.18242386</v>
      </c>
      <c r="G50" s="114">
        <f t="shared" si="2"/>
        <v>25.000025</v>
      </c>
      <c r="H50" s="115" t="str">
        <f t="shared" si="3"/>
        <v>#N/A</v>
      </c>
      <c r="J50" s="116"/>
      <c r="M50" s="110" t="s">
        <v>238</v>
      </c>
      <c r="N50" s="111">
        <f>VLOOKUP(M50,'Dados StatusInvest'!$A:$Z,26,0)</f>
        <v>220000000</v>
      </c>
      <c r="O50" s="118">
        <f>VLOOKUP(M50,'Dados StatusInvest'!$A:$Z,18,0)/100</f>
        <v>-2.2396</v>
      </c>
      <c r="P50" s="119" t="str">
        <f t="shared" si="5"/>
        <v>#N/A</v>
      </c>
      <c r="Q50" s="120">
        <f>IF(ISERROR(1/VLOOKUP(M50,Capa!A:AH,6,0)),0,1/VLOOKUP(M50,Capa!A:AH,6,0))</f>
        <v>0.157480315</v>
      </c>
      <c r="R50" s="121">
        <f t="shared" si="6"/>
        <v>83.000083</v>
      </c>
      <c r="S50" s="122" t="str">
        <f t="shared" si="7"/>
        <v>#N/A</v>
      </c>
    </row>
    <row r="51">
      <c r="A51" s="123"/>
      <c r="B51" s="110" t="s">
        <v>459</v>
      </c>
      <c r="C51" s="111">
        <f>VLOOKUP(B51,'Dados StatusInvest'!$A:$Z,26,0)</f>
        <v>157000000</v>
      </c>
      <c r="D51" s="112">
        <f>VLOOKUP(B51,'Dados StatusInvest'!$A:$Z,20,0)/100</f>
        <v>0.1381</v>
      </c>
      <c r="E51" s="87" t="str">
        <f t="shared" si="1"/>
        <v>#N/A</v>
      </c>
      <c r="F51" s="113">
        <f>IF(ISERROR(1/VLOOKUP(B51,Capa!A:AH,13,0)),0,1/VLOOKUP(B51,Capa!A:AH,13,0))</f>
        <v>1.45350943</v>
      </c>
      <c r="G51" s="114">
        <f t="shared" si="2"/>
        <v>232.000232</v>
      </c>
      <c r="H51" s="115" t="str">
        <f t="shared" si="3"/>
        <v>#N/A</v>
      </c>
      <c r="J51" s="116"/>
      <c r="M51" s="110" t="s">
        <v>459</v>
      </c>
      <c r="N51" s="111">
        <f>VLOOKUP(M51,'Dados StatusInvest'!$A:$Z,26,0)</f>
        <v>157000000</v>
      </c>
      <c r="O51" s="118">
        <f>VLOOKUP(M51,'Dados StatusInvest'!$A:$Z,18,0)/100</f>
        <v>0.1811</v>
      </c>
      <c r="P51" s="119" t="str">
        <f t="shared" si="5"/>
        <v>#N/A</v>
      </c>
      <c r="Q51" s="120">
        <f>IF(ISERROR(1/VLOOKUP(M51,Capa!A:AH,6,0)),0,1/VLOOKUP(M51,Capa!A:AH,6,0))</f>
        <v>0.02975304969</v>
      </c>
      <c r="R51" s="121">
        <f t="shared" si="6"/>
        <v>223.000223</v>
      </c>
      <c r="S51" s="122" t="str">
        <f t="shared" si="7"/>
        <v>#N/A</v>
      </c>
    </row>
    <row r="52">
      <c r="A52" s="123"/>
      <c r="B52" s="110" t="s">
        <v>258</v>
      </c>
      <c r="C52" s="111">
        <f>VLOOKUP(B52,'Dados StatusInvest'!$A:$Z,26,0)</f>
        <v>161000000</v>
      </c>
      <c r="D52" s="112">
        <f>VLOOKUP(B52,'Dados StatusInvest'!$A:$Z,20,0)/100</f>
        <v>0.1025</v>
      </c>
      <c r="E52" s="87" t="str">
        <f t="shared" si="1"/>
        <v>#N/A</v>
      </c>
      <c r="F52" s="113">
        <f>IF(ISERROR(1/VLOOKUP(B52,Capa!A:AH,13,0)),0,1/VLOOKUP(B52,Capa!A:AH,13,0))</f>
        <v>3.999338041</v>
      </c>
      <c r="G52" s="114">
        <f t="shared" si="2"/>
        <v>190.00019</v>
      </c>
      <c r="H52" s="115" t="str">
        <f t="shared" si="3"/>
        <v>#N/A</v>
      </c>
      <c r="M52" s="110" t="s">
        <v>258</v>
      </c>
      <c r="N52" s="111">
        <f>VLOOKUP(M52,'Dados StatusInvest'!$A:$Z,26,0)</f>
        <v>161000000</v>
      </c>
      <c r="O52" s="118">
        <f>VLOOKUP(M52,'Dados StatusInvest'!$A:$Z,18,0)/100</f>
        <v>0.1745</v>
      </c>
      <c r="P52" s="119" t="str">
        <f t="shared" si="5"/>
        <v>#N/A</v>
      </c>
      <c r="Q52" s="120">
        <f>IF(ISERROR(1/VLOOKUP(M52,Capa!A:AH,6,0)),0,1/VLOOKUP(M52,Capa!A:AH,6,0))</f>
        <v>0.0319284802</v>
      </c>
      <c r="R52" s="121">
        <f t="shared" si="6"/>
        <v>216.000216</v>
      </c>
      <c r="S52" s="122" t="str">
        <f t="shared" si="7"/>
        <v>#N/A</v>
      </c>
    </row>
    <row r="53">
      <c r="A53" s="123"/>
      <c r="B53" s="110" t="s">
        <v>213</v>
      </c>
      <c r="C53" s="111">
        <f>VLOOKUP(B53,'Dados StatusInvest'!$A:$Z,26,0)</f>
        <v>155000000</v>
      </c>
      <c r="D53" s="112">
        <f>VLOOKUP(B53,'Dados StatusInvest'!$A:$Z,20,0)/100</f>
        <v>0.1205</v>
      </c>
      <c r="E53" s="87" t="str">
        <f t="shared" si="1"/>
        <v>#N/A</v>
      </c>
      <c r="F53" s="113">
        <f>IF(ISERROR(1/VLOOKUP(B53,Capa!A:AH,13,0)),0,1/VLOOKUP(B53,Capa!A:AH,13,0))</f>
        <v>7.218434657</v>
      </c>
      <c r="G53" s="114">
        <f t="shared" si="2"/>
        <v>115.000115</v>
      </c>
      <c r="H53" s="115" t="str">
        <f t="shared" si="3"/>
        <v>#N/A</v>
      </c>
      <c r="M53" s="110" t="s">
        <v>213</v>
      </c>
      <c r="N53" s="111">
        <f>VLOOKUP(M53,'Dados StatusInvest'!$A:$Z,26,0)</f>
        <v>155000000</v>
      </c>
      <c r="O53" s="118">
        <f>VLOOKUP(M53,'Dados StatusInvest'!$A:$Z,18,0)/100</f>
        <v>0.1399</v>
      </c>
      <c r="P53" s="119" t="str">
        <f t="shared" si="5"/>
        <v>#N/A</v>
      </c>
      <c r="Q53" s="120">
        <f>IF(ISERROR(1/VLOOKUP(M53,Capa!A:AH,6,0)),0,1/VLOOKUP(M53,Capa!A:AH,6,0))</f>
        <v>0.08568980291</v>
      </c>
      <c r="R53" s="121">
        <f t="shared" si="6"/>
        <v>133.000133</v>
      </c>
      <c r="S53" s="122" t="str">
        <f t="shared" si="7"/>
        <v>#N/A</v>
      </c>
    </row>
    <row r="54">
      <c r="A54" s="123"/>
      <c r="B54" s="110" t="s">
        <v>1700</v>
      </c>
      <c r="C54" s="111" t="str">
        <f>VLOOKUP(B54,'Dados StatusInvest'!$A:$Z,26,0)</f>
        <v>#N/A</v>
      </c>
      <c r="D54" s="112" t="str">
        <f>VLOOKUP(B54,'Dados StatusInvest'!$A:$Z,20,0)/100</f>
        <v>#N/A</v>
      </c>
      <c r="E54" s="87" t="str">
        <f t="shared" si="1"/>
        <v>#N/A</v>
      </c>
      <c r="F54" s="113">
        <f>IF(ISERROR(1/VLOOKUP(B54,Capa!A:AH,13,0)),0,1/VLOOKUP(B54,Capa!A:AH,13,0))</f>
        <v>0</v>
      </c>
      <c r="G54" s="114">
        <f t="shared" si="2"/>
        <v>246.000246</v>
      </c>
      <c r="H54" s="115" t="str">
        <f t="shared" si="3"/>
        <v>#N/A</v>
      </c>
      <c r="M54" s="110" t="s">
        <v>1700</v>
      </c>
      <c r="N54" s="111" t="str">
        <f>VLOOKUP(M54,'Dados StatusInvest'!$A:$Z,26,0)</f>
        <v>#N/A</v>
      </c>
      <c r="O54" s="118" t="str">
        <f>VLOOKUP(M54,'Dados StatusInvest'!$A:$Z,18,0)/100</f>
        <v>#N/A</v>
      </c>
      <c r="P54" s="119" t="str">
        <f t="shared" si="5"/>
        <v>#N/A</v>
      </c>
      <c r="Q54" s="120">
        <f>IF(ISERROR(1/VLOOKUP(M54,Capa!A:AH,6,0)),0,1/VLOOKUP(M54,Capa!A:AH,6,0))</f>
        <v>0</v>
      </c>
      <c r="R54" s="121">
        <f t="shared" si="6"/>
        <v>306.000306</v>
      </c>
      <c r="S54" s="122" t="str">
        <f t="shared" si="7"/>
        <v>#N/A</v>
      </c>
    </row>
    <row r="55">
      <c r="A55" s="123"/>
      <c r="B55" s="110" t="s">
        <v>241</v>
      </c>
      <c r="C55" s="111">
        <f>VLOOKUP(B55,'Dados StatusInvest'!$A:$Z,26,0)</f>
        <v>139000000</v>
      </c>
      <c r="D55" s="112">
        <f>VLOOKUP(B55,'Dados StatusInvest'!$A:$Z,20,0)/100</f>
        <v>0.0652</v>
      </c>
      <c r="E55" s="87" t="str">
        <f t="shared" si="1"/>
        <v>#N/A</v>
      </c>
      <c r="F55" s="113">
        <f>IF(ISERROR(1/VLOOKUP(B55,Capa!A:AH,13,0)),0,1/VLOOKUP(B55,Capa!A:AH,13,0))</f>
        <v>2217.927189</v>
      </c>
      <c r="G55" s="114">
        <f t="shared" si="2"/>
        <v>6.000006</v>
      </c>
      <c r="H55" s="115" t="str">
        <f t="shared" si="3"/>
        <v>#N/A</v>
      </c>
      <c r="M55" s="110" t="s">
        <v>241</v>
      </c>
      <c r="N55" s="111">
        <f>VLOOKUP(M55,'Dados StatusInvest'!$A:$Z,26,0)</f>
        <v>139000000</v>
      </c>
      <c r="O55" s="118">
        <f>VLOOKUP(M55,'Dados StatusInvest'!$A:$Z,18,0)/100</f>
        <v>-0.11</v>
      </c>
      <c r="P55" s="119" t="str">
        <f t="shared" si="5"/>
        <v>#N/A</v>
      </c>
      <c r="Q55" s="120">
        <f>IF(ISERROR(1/VLOOKUP(M55,Capa!A:AH,6,0)),0,1/VLOOKUP(M55,Capa!A:AH,6,0))</f>
        <v>0.0004329004329</v>
      </c>
      <c r="R55" s="121">
        <f t="shared" si="6"/>
        <v>291.000291</v>
      </c>
      <c r="S55" s="122" t="str">
        <f t="shared" si="7"/>
        <v>#N/A</v>
      </c>
    </row>
    <row r="56">
      <c r="A56" s="123"/>
      <c r="B56" s="110" t="s">
        <v>483</v>
      </c>
      <c r="C56" s="111">
        <f>VLOOKUP(B56,'Dados StatusInvest'!$A:$Z,26,0)</f>
        <v>175070.4</v>
      </c>
      <c r="D56" s="112">
        <f>VLOOKUP(B56,'Dados StatusInvest'!$A:$Z,20,0)/100</f>
        <v>0.2185</v>
      </c>
      <c r="E56" s="87" t="str">
        <f t="shared" si="1"/>
        <v>#N/A</v>
      </c>
      <c r="F56" s="113">
        <f>IF(ISERROR(1/VLOOKUP(B56,Capa!A:AH,13,0)),0,1/VLOOKUP(B56,Capa!A:AH,13,0))</f>
        <v>-0.2486943546</v>
      </c>
      <c r="G56" s="114">
        <f t="shared" si="2"/>
        <v>394.000394</v>
      </c>
      <c r="H56" s="115" t="str">
        <f t="shared" si="3"/>
        <v>#N/A</v>
      </c>
      <c r="M56" s="110" t="s">
        <v>483</v>
      </c>
      <c r="N56" s="111">
        <f>VLOOKUP(M56,'Dados StatusInvest'!$A:$Z,26,0)</f>
        <v>175070.4</v>
      </c>
      <c r="O56" s="118">
        <f>VLOOKUP(M56,'Dados StatusInvest'!$A:$Z,18,0)/100</f>
        <v>-0.1189</v>
      </c>
      <c r="P56" s="119" t="str">
        <f t="shared" si="5"/>
        <v>#N/A</v>
      </c>
      <c r="Q56" s="120">
        <f>IF(ISERROR(1/VLOOKUP(M56,Capa!A:AH,6,0)),0,1/VLOOKUP(M56,Capa!A:AH,6,0))</f>
        <v>6.25</v>
      </c>
      <c r="R56" s="121">
        <f t="shared" si="6"/>
        <v>1.000001</v>
      </c>
      <c r="S56" s="122" t="str">
        <f t="shared" si="7"/>
        <v>#N/A</v>
      </c>
    </row>
    <row r="57">
      <c r="A57" s="123"/>
      <c r="B57" s="110" t="s">
        <v>1701</v>
      </c>
      <c r="C57" s="111" t="str">
        <f>VLOOKUP(B57,'Dados StatusInvest'!$A:$Z,26,0)</f>
        <v>#N/A</v>
      </c>
      <c r="D57" s="112" t="str">
        <f>VLOOKUP(B57,'Dados StatusInvest'!$A:$Z,20,0)/100</f>
        <v>#N/A</v>
      </c>
      <c r="E57" s="87" t="str">
        <f t="shared" si="1"/>
        <v>#N/A</v>
      </c>
      <c r="F57" s="113">
        <f>IF(ISERROR(1/VLOOKUP(B57,Capa!A:AH,13,0)),0,1/VLOOKUP(B57,Capa!A:AH,13,0))</f>
        <v>0</v>
      </c>
      <c r="G57" s="114">
        <f t="shared" si="2"/>
        <v>246.000246</v>
      </c>
      <c r="H57" s="115" t="str">
        <f t="shared" si="3"/>
        <v>#N/A</v>
      </c>
      <c r="M57" s="110" t="s">
        <v>1701</v>
      </c>
      <c r="N57" s="111" t="str">
        <f>VLOOKUP(M57,'Dados StatusInvest'!$A:$Z,26,0)</f>
        <v>#N/A</v>
      </c>
      <c r="O57" s="118" t="str">
        <f>VLOOKUP(M57,'Dados StatusInvest'!$A:$Z,18,0)/100</f>
        <v>#N/A</v>
      </c>
      <c r="P57" s="119" t="str">
        <f t="shared" si="5"/>
        <v>#N/A</v>
      </c>
      <c r="Q57" s="120">
        <f>IF(ISERROR(1/VLOOKUP(M57,Capa!A:AH,6,0)),0,1/VLOOKUP(M57,Capa!A:AH,6,0))</f>
        <v>0</v>
      </c>
      <c r="R57" s="121">
        <f t="shared" si="6"/>
        <v>306.000306</v>
      </c>
      <c r="S57" s="122" t="str">
        <f t="shared" si="7"/>
        <v>#N/A</v>
      </c>
    </row>
    <row r="58">
      <c r="A58" s="123"/>
      <c r="B58" s="110" t="s">
        <v>397</v>
      </c>
      <c r="C58" s="111">
        <f>VLOOKUP(B58,'Dados StatusInvest'!$A:$Z,26,0)</f>
        <v>139000000</v>
      </c>
      <c r="D58" s="112">
        <f>VLOOKUP(B58,'Dados StatusInvest'!$A:$Z,20,0)/100</f>
        <v>0.0793</v>
      </c>
      <c r="E58" s="87" t="str">
        <f t="shared" si="1"/>
        <v>#N/A</v>
      </c>
      <c r="F58" s="113">
        <f>IF(ISERROR(1/VLOOKUP(B58,Capa!A:AH,13,0)),0,1/VLOOKUP(B58,Capa!A:AH,13,0))</f>
        <v>4.215561975</v>
      </c>
      <c r="G58" s="114">
        <f t="shared" si="2"/>
        <v>184.000184</v>
      </c>
      <c r="H58" s="115" t="str">
        <f t="shared" si="3"/>
        <v>#N/A</v>
      </c>
      <c r="M58" s="110" t="s">
        <v>397</v>
      </c>
      <c r="N58" s="111">
        <f>VLOOKUP(M58,'Dados StatusInvest'!$A:$Z,26,0)</f>
        <v>139000000</v>
      </c>
      <c r="O58" s="118">
        <f>VLOOKUP(M58,'Dados StatusInvest'!$A:$Z,18,0)/100</f>
        <v>0.1806</v>
      </c>
      <c r="P58" s="119" t="str">
        <f t="shared" si="5"/>
        <v>#N/A</v>
      </c>
      <c r="Q58" s="120">
        <f>IF(ISERROR(1/VLOOKUP(M58,Capa!A:AH,6,0)),0,1/VLOOKUP(M58,Capa!A:AH,6,0))</f>
        <v>0.05045408678</v>
      </c>
      <c r="R58" s="121">
        <f t="shared" si="6"/>
        <v>182.000182</v>
      </c>
      <c r="S58" s="122" t="str">
        <f t="shared" si="7"/>
        <v>#N/A</v>
      </c>
    </row>
    <row r="59">
      <c r="A59" s="123"/>
      <c r="B59" s="110" t="s">
        <v>640</v>
      </c>
      <c r="C59" s="111">
        <f>VLOOKUP(B59,'Dados StatusInvest'!$A:$Z,26,0)</f>
        <v>107000000</v>
      </c>
      <c r="D59" s="112">
        <f>VLOOKUP(B59,'Dados StatusInvest'!$A:$Z,20,0)/100</f>
        <v>-0.1392</v>
      </c>
      <c r="E59" s="87" t="str">
        <f t="shared" si="1"/>
        <v>#N/A</v>
      </c>
      <c r="F59" s="113">
        <f>IF(ISERROR(1/VLOOKUP(B59,Capa!A:AH,13,0)),0,1/VLOOKUP(B59,Capa!A:AH,13,0))</f>
        <v>-20.98206987</v>
      </c>
      <c r="G59" s="114">
        <f t="shared" si="2"/>
        <v>430.00043</v>
      </c>
      <c r="H59" s="115" t="str">
        <f t="shared" si="3"/>
        <v>#N/A</v>
      </c>
      <c r="M59" s="110" t="s">
        <v>640</v>
      </c>
      <c r="N59" s="111">
        <f>VLOOKUP(M59,'Dados StatusInvest'!$A:$Z,26,0)</f>
        <v>107000000</v>
      </c>
      <c r="O59" s="118">
        <f>VLOOKUP(M59,'Dados StatusInvest'!$A:$Z,18,0)/100</f>
        <v>-0.1603</v>
      </c>
      <c r="P59" s="119" t="str">
        <f t="shared" si="5"/>
        <v>#N/A</v>
      </c>
      <c r="Q59" s="120">
        <f>IF(ISERROR(1/VLOOKUP(M59,Capa!A:AH,6,0)),0,1/VLOOKUP(M59,Capa!A:AH,6,0))</f>
        <v>0.1623376623</v>
      </c>
      <c r="R59" s="121">
        <f t="shared" si="6"/>
        <v>75.000075</v>
      </c>
      <c r="S59" s="122" t="str">
        <f t="shared" si="7"/>
        <v>#N/A</v>
      </c>
    </row>
    <row r="60">
      <c r="A60" s="123"/>
      <c r="B60" s="110" t="s">
        <v>519</v>
      </c>
      <c r="C60" s="111">
        <f>VLOOKUP(B60,'Dados StatusInvest'!$A:$Z,26,0)</f>
        <v>581000000</v>
      </c>
      <c r="D60" s="112">
        <f>VLOOKUP(B60,'Dados StatusInvest'!$A:$Z,20,0)/100</f>
        <v>-0.1036</v>
      </c>
      <c r="E60" s="87" t="str">
        <f t="shared" si="1"/>
        <v>#N/A</v>
      </c>
      <c r="F60" s="113">
        <f>IF(ISERROR(1/VLOOKUP(B60,Capa!A:AH,13,0)),0,1/VLOOKUP(B60,Capa!A:AH,13,0))</f>
        <v>628.9811183</v>
      </c>
      <c r="G60" s="114">
        <f t="shared" si="2"/>
        <v>15.000015</v>
      </c>
      <c r="H60" s="115" t="str">
        <f t="shared" si="3"/>
        <v>#N/A</v>
      </c>
      <c r="M60" s="110" t="s">
        <v>519</v>
      </c>
      <c r="N60" s="111">
        <f>VLOOKUP(M60,'Dados StatusInvest'!$A:$Z,26,0)</f>
        <v>581000000</v>
      </c>
      <c r="O60" s="118">
        <f>VLOOKUP(M60,'Dados StatusInvest'!$A:$Z,18,0)/100</f>
        <v>0.3874</v>
      </c>
      <c r="P60" s="119" t="str">
        <f t="shared" si="5"/>
        <v>#N/A</v>
      </c>
      <c r="Q60" s="120">
        <f>IF(ISERROR(1/VLOOKUP(M60,Capa!A:AH,6,0)),0,1/VLOOKUP(M60,Capa!A:AH,6,0))</f>
        <v>0.000129617628</v>
      </c>
      <c r="R60" s="121">
        <f t="shared" si="6"/>
        <v>298.000298</v>
      </c>
      <c r="S60" s="122" t="str">
        <f t="shared" si="7"/>
        <v>#N/A</v>
      </c>
    </row>
    <row r="61">
      <c r="A61" s="123"/>
      <c r="B61" s="110" t="s">
        <v>494</v>
      </c>
      <c r="C61" s="111">
        <f>VLOOKUP(B61,'Dados StatusInvest'!$A:$Z,26,0)</f>
        <v>0</v>
      </c>
      <c r="D61" s="112">
        <f>VLOOKUP(B61,'Dados StatusInvest'!$A:$Z,20,0)/100</f>
        <v>-0.2088</v>
      </c>
      <c r="E61" s="87" t="str">
        <f t="shared" si="1"/>
        <v>#N/A</v>
      </c>
      <c r="F61" s="113">
        <f>IF(ISERROR(1/VLOOKUP(B61,Capa!A:AH,13,0)),0,1/VLOOKUP(B61,Capa!A:AH,13,0))</f>
        <v>0</v>
      </c>
      <c r="G61" s="114">
        <f t="shared" si="2"/>
        <v>246.000246</v>
      </c>
      <c r="H61" s="115" t="str">
        <f t="shared" si="3"/>
        <v>#N/A</v>
      </c>
      <c r="M61" s="110" t="s">
        <v>494</v>
      </c>
      <c r="N61" s="111">
        <f>VLOOKUP(M61,'Dados StatusInvest'!$A:$Z,26,0)</f>
        <v>0</v>
      </c>
      <c r="O61" s="118">
        <f>VLOOKUP(M61,'Dados StatusInvest'!$A:$Z,18,0)/100</f>
        <v>-0.5045</v>
      </c>
      <c r="P61" s="119" t="str">
        <f t="shared" si="5"/>
        <v>#N/A</v>
      </c>
      <c r="Q61" s="120">
        <f>IF(ISERROR(1/VLOOKUP(M61,Capa!A:AH,6,0)),0,1/VLOOKUP(M61,Capa!A:AH,6,0))</f>
        <v>0</v>
      </c>
      <c r="R61" s="121">
        <f t="shared" si="6"/>
        <v>306.000306</v>
      </c>
      <c r="S61" s="122" t="str">
        <f t="shared" si="7"/>
        <v>#N/A</v>
      </c>
    </row>
    <row r="62">
      <c r="A62" s="123"/>
      <c r="B62" s="110" t="s">
        <v>256</v>
      </c>
      <c r="C62" s="111">
        <f>VLOOKUP(B62,'Dados StatusInvest'!$A:$Z,26,0)</f>
        <v>88875473</v>
      </c>
      <c r="D62" s="112">
        <f>VLOOKUP(B62,'Dados StatusInvest'!$A:$Z,20,0)/100</f>
        <v>0.1878</v>
      </c>
      <c r="E62" s="87" t="str">
        <f t="shared" si="1"/>
        <v>#N/A</v>
      </c>
      <c r="F62" s="113">
        <f>IF(ISERROR(1/VLOOKUP(B62,Capa!A:AH,13,0)),0,1/VLOOKUP(B62,Capa!A:AH,13,0))</f>
        <v>8.061182307</v>
      </c>
      <c r="G62" s="114">
        <f t="shared" si="2"/>
        <v>105.000105</v>
      </c>
      <c r="H62" s="115" t="str">
        <f t="shared" si="3"/>
        <v>#N/A</v>
      </c>
      <c r="M62" s="110" t="s">
        <v>256</v>
      </c>
      <c r="N62" s="111">
        <f>VLOOKUP(M62,'Dados StatusInvest'!$A:$Z,26,0)</f>
        <v>88875473</v>
      </c>
      <c r="O62" s="118">
        <f>VLOOKUP(M62,'Dados StatusInvest'!$A:$Z,18,0)/100</f>
        <v>-0.1479</v>
      </c>
      <c r="P62" s="119" t="str">
        <f t="shared" si="5"/>
        <v>#N/A</v>
      </c>
      <c r="Q62" s="120">
        <f>IF(ISERROR(1/VLOOKUP(M62,Capa!A:AH,6,0)),0,1/VLOOKUP(M62,Capa!A:AH,6,0))</f>
        <v>0.4273504274</v>
      </c>
      <c r="R62" s="121">
        <f t="shared" si="6"/>
        <v>29.000029</v>
      </c>
      <c r="S62" s="122" t="str">
        <f t="shared" si="7"/>
        <v>#N/A</v>
      </c>
    </row>
    <row r="63">
      <c r="A63" s="123"/>
      <c r="B63" s="110" t="s">
        <v>104</v>
      </c>
      <c r="C63" s="111">
        <f>VLOOKUP(B63,'Dados StatusInvest'!$A:$Z,26,0)</f>
        <v>136000000</v>
      </c>
      <c r="D63" s="112">
        <f>VLOOKUP(B63,'Dados StatusInvest'!$A:$Z,20,0)/100</f>
        <v>0</v>
      </c>
      <c r="E63" s="87" t="str">
        <f t="shared" si="1"/>
        <v>#N/A</v>
      </c>
      <c r="F63" s="113">
        <f>IF(ISERROR(1/VLOOKUP(B63,Capa!A:AH,13,0)),0,1/VLOOKUP(B63,Capa!A:AH,13,0))</f>
        <v>3542.405251</v>
      </c>
      <c r="G63" s="114">
        <f t="shared" si="2"/>
        <v>4.000004</v>
      </c>
      <c r="H63" s="115" t="str">
        <f t="shared" si="3"/>
        <v>#N/A</v>
      </c>
      <c r="M63" s="110" t="s">
        <v>104</v>
      </c>
      <c r="N63" s="111">
        <f>VLOOKUP(M63,'Dados StatusInvest'!$A:$Z,26,0)</f>
        <v>136000000</v>
      </c>
      <c r="O63" s="118">
        <f>VLOOKUP(M63,'Dados StatusInvest'!$A:$Z,18,0)/100</f>
        <v>0.1337</v>
      </c>
      <c r="P63" s="119" t="str">
        <f t="shared" si="5"/>
        <v>#N/A</v>
      </c>
      <c r="Q63" s="120">
        <f>IF(ISERROR(1/VLOOKUP(M63,Capa!A:AH,6,0)),0,1/VLOOKUP(M63,Capa!A:AH,6,0))</f>
        <v>0.0001976284585</v>
      </c>
      <c r="R63" s="121">
        <f t="shared" si="6"/>
        <v>296.000296</v>
      </c>
      <c r="S63" s="122" t="str">
        <f t="shared" si="7"/>
        <v>#N/A</v>
      </c>
    </row>
    <row r="64">
      <c r="A64" s="123"/>
      <c r="B64" s="110" t="s">
        <v>314</v>
      </c>
      <c r="C64" s="111">
        <f>VLOOKUP(B64,'Dados StatusInvest'!$A:$Z,26,0)</f>
        <v>30563739</v>
      </c>
      <c r="D64" s="112">
        <f>VLOOKUP(B64,'Dados StatusInvest'!$A:$Z,20,0)/100</f>
        <v>0.0618</v>
      </c>
      <c r="E64" s="87" t="str">
        <f t="shared" si="1"/>
        <v>#N/A</v>
      </c>
      <c r="F64" s="113">
        <f>IF(ISERROR(1/VLOOKUP(B64,Capa!A:AH,13,0)),0,1/VLOOKUP(B64,Capa!A:AH,13,0))</f>
        <v>3.554435831</v>
      </c>
      <c r="G64" s="114">
        <f t="shared" si="2"/>
        <v>198.000198</v>
      </c>
      <c r="H64" s="115" t="str">
        <f t="shared" si="3"/>
        <v>#N/A</v>
      </c>
      <c r="M64" s="110" t="s">
        <v>314</v>
      </c>
      <c r="N64" s="111">
        <f>VLOOKUP(M64,'Dados StatusInvest'!$A:$Z,26,0)</f>
        <v>30563739</v>
      </c>
      <c r="O64" s="118">
        <f>VLOOKUP(M64,'Dados StatusInvest'!$A:$Z,18,0)/100</f>
        <v>0.106</v>
      </c>
      <c r="P64" s="119" t="str">
        <f t="shared" si="5"/>
        <v>#N/A</v>
      </c>
      <c r="Q64" s="120">
        <f>IF(ISERROR(1/VLOOKUP(M64,Capa!A:AH,6,0)),0,1/VLOOKUP(M64,Capa!A:AH,6,0))</f>
        <v>0.06422607579</v>
      </c>
      <c r="R64" s="121">
        <f t="shared" si="6"/>
        <v>161.000161</v>
      </c>
      <c r="S64" s="122" t="str">
        <f t="shared" si="7"/>
        <v>#N/A</v>
      </c>
    </row>
    <row r="65">
      <c r="A65" s="123"/>
      <c r="B65" s="110" t="s">
        <v>1702</v>
      </c>
      <c r="C65" s="111" t="str">
        <f>VLOOKUP(B65,'Dados StatusInvest'!$A:$Z,26,0)</f>
        <v>#N/A</v>
      </c>
      <c r="D65" s="112" t="str">
        <f>VLOOKUP(B65,'Dados StatusInvest'!$A:$Z,20,0)/100</f>
        <v>#N/A</v>
      </c>
      <c r="E65" s="87" t="str">
        <f t="shared" si="1"/>
        <v>#N/A</v>
      </c>
      <c r="F65" s="113">
        <f>IF(ISERROR(1/VLOOKUP(B65,Capa!A:AH,13,0)),0,1/VLOOKUP(B65,Capa!A:AH,13,0))</f>
        <v>0</v>
      </c>
      <c r="G65" s="114">
        <f t="shared" si="2"/>
        <v>246.000246</v>
      </c>
      <c r="H65" s="115" t="str">
        <f t="shared" si="3"/>
        <v>#N/A</v>
      </c>
      <c r="M65" s="110" t="s">
        <v>1702</v>
      </c>
      <c r="N65" s="111" t="str">
        <f>VLOOKUP(M65,'Dados StatusInvest'!$A:$Z,26,0)</f>
        <v>#N/A</v>
      </c>
      <c r="O65" s="118" t="str">
        <f>VLOOKUP(M65,'Dados StatusInvest'!$A:$Z,18,0)/100</f>
        <v>#N/A</v>
      </c>
      <c r="P65" s="119" t="str">
        <f t="shared" si="5"/>
        <v>#N/A</v>
      </c>
      <c r="Q65" s="120">
        <f>IF(ISERROR(1/VLOOKUP(M65,Capa!A:AH,6,0)),0,1/VLOOKUP(M65,Capa!A:AH,6,0))</f>
        <v>0</v>
      </c>
      <c r="R65" s="121">
        <f t="shared" si="6"/>
        <v>306.000306</v>
      </c>
      <c r="S65" s="122" t="str">
        <f t="shared" si="7"/>
        <v>#N/A</v>
      </c>
    </row>
    <row r="66">
      <c r="A66" s="123"/>
      <c r="B66" s="110" t="s">
        <v>346</v>
      </c>
      <c r="C66" s="111">
        <f>VLOOKUP(B66,'Dados StatusInvest'!$A:$Z,26,0)</f>
        <v>125000000</v>
      </c>
      <c r="D66" s="112">
        <f>VLOOKUP(B66,'Dados StatusInvest'!$A:$Z,20,0)/100</f>
        <v>0.0615</v>
      </c>
      <c r="E66" s="87" t="str">
        <f t="shared" si="1"/>
        <v>#N/A</v>
      </c>
      <c r="F66" s="113">
        <f>IF(ISERROR(1/VLOOKUP(B66,Capa!A:AH,13,0)),0,1/VLOOKUP(B66,Capa!A:AH,13,0))</f>
        <v>12.48598744</v>
      </c>
      <c r="G66" s="114">
        <f t="shared" si="2"/>
        <v>63.000063</v>
      </c>
      <c r="H66" s="115" t="str">
        <f t="shared" si="3"/>
        <v>#N/A</v>
      </c>
      <c r="M66" s="110" t="s">
        <v>346</v>
      </c>
      <c r="N66" s="111">
        <f>VLOOKUP(M66,'Dados StatusInvest'!$A:$Z,26,0)</f>
        <v>125000000</v>
      </c>
      <c r="O66" s="118">
        <f>VLOOKUP(M66,'Dados StatusInvest'!$A:$Z,18,0)/100</f>
        <v>0.0542</v>
      </c>
      <c r="P66" s="119" t="str">
        <f t="shared" si="5"/>
        <v>#N/A</v>
      </c>
      <c r="Q66" s="120">
        <f>IF(ISERROR(1/VLOOKUP(M66,Capa!A:AH,6,0)),0,1/VLOOKUP(M66,Capa!A:AH,6,0))</f>
        <v>0.1042752868</v>
      </c>
      <c r="R66" s="121">
        <f t="shared" si="6"/>
        <v>115.000115</v>
      </c>
      <c r="S66" s="122" t="str">
        <f t="shared" si="7"/>
        <v>#N/A</v>
      </c>
    </row>
    <row r="67">
      <c r="A67" s="123"/>
      <c r="B67" s="110" t="s">
        <v>450</v>
      </c>
      <c r="C67" s="111">
        <f>VLOOKUP(B67,'Dados StatusInvest'!$A:$Z,26,0)</f>
        <v>75413751</v>
      </c>
      <c r="D67" s="112">
        <f>VLOOKUP(B67,'Dados StatusInvest'!$A:$Z,20,0)/100</f>
        <v>-0.0304</v>
      </c>
      <c r="E67" s="87" t="str">
        <f t="shared" si="1"/>
        <v>#N/A</v>
      </c>
      <c r="F67" s="113">
        <f>IF(ISERROR(1/VLOOKUP(B67,Capa!A:AH,13,0)),0,1/VLOOKUP(B67,Capa!A:AH,13,0))</f>
        <v>-60.246091</v>
      </c>
      <c r="G67" s="114">
        <f t="shared" si="2"/>
        <v>435.000435</v>
      </c>
      <c r="H67" s="115" t="str">
        <f t="shared" si="3"/>
        <v>#N/A</v>
      </c>
      <c r="M67" s="110" t="s">
        <v>450</v>
      </c>
      <c r="N67" s="111">
        <f>VLOOKUP(M67,'Dados StatusInvest'!$A:$Z,26,0)</f>
        <v>75413751</v>
      </c>
      <c r="O67" s="118">
        <f>VLOOKUP(M67,'Dados StatusInvest'!$A:$Z,18,0)/100</f>
        <v>-0.2534</v>
      </c>
      <c r="P67" s="119" t="str">
        <f t="shared" si="5"/>
        <v>#N/A</v>
      </c>
      <c r="Q67" s="120">
        <f>IF(ISERROR(1/VLOOKUP(M67,Capa!A:AH,6,0)),0,1/VLOOKUP(M67,Capa!A:AH,6,0))</f>
        <v>0.1009081736</v>
      </c>
      <c r="R67" s="121">
        <f t="shared" si="6"/>
        <v>122.000122</v>
      </c>
      <c r="S67" s="122" t="str">
        <f t="shared" si="7"/>
        <v>#N/A</v>
      </c>
    </row>
    <row r="68">
      <c r="A68" s="123"/>
      <c r="B68" s="110" t="s">
        <v>208</v>
      </c>
      <c r="C68" s="111">
        <f>VLOOKUP(B68,'Dados StatusInvest'!$A:$Z,26,0)</f>
        <v>0</v>
      </c>
      <c r="D68" s="112">
        <f>VLOOKUP(B68,'Dados StatusInvest'!$A:$Z,20,0)/100</f>
        <v>0.0577</v>
      </c>
      <c r="E68" s="87" t="str">
        <f t="shared" si="1"/>
        <v>#N/A</v>
      </c>
      <c r="F68" s="113">
        <f>IF(ISERROR(1/VLOOKUP(B68,Capa!A:AH,13,0)),0,1/VLOOKUP(B68,Capa!A:AH,13,0))</f>
        <v>0</v>
      </c>
      <c r="G68" s="114">
        <f t="shared" si="2"/>
        <v>246.000246</v>
      </c>
      <c r="H68" s="115" t="str">
        <f t="shared" si="3"/>
        <v>#N/A</v>
      </c>
      <c r="M68" s="110" t="s">
        <v>208</v>
      </c>
      <c r="N68" s="111">
        <f>VLOOKUP(M68,'Dados StatusInvest'!$A:$Z,26,0)</f>
        <v>0</v>
      </c>
      <c r="O68" s="118">
        <f>VLOOKUP(M68,'Dados StatusInvest'!$A:$Z,18,0)/100</f>
        <v>0.135</v>
      </c>
      <c r="P68" s="119" t="str">
        <f t="shared" si="5"/>
        <v>#N/A</v>
      </c>
      <c r="Q68" s="120">
        <f>IF(ISERROR(1/VLOOKUP(M68,Capa!A:AH,6,0)),0,1/VLOOKUP(M68,Capa!A:AH,6,0))</f>
        <v>0</v>
      </c>
      <c r="R68" s="121">
        <f t="shared" si="6"/>
        <v>306.000306</v>
      </c>
      <c r="S68" s="122" t="str">
        <f t="shared" si="7"/>
        <v>#N/A</v>
      </c>
    </row>
    <row r="69">
      <c r="A69" s="123"/>
      <c r="B69" s="110" t="s">
        <v>224</v>
      </c>
      <c r="C69" s="111">
        <f>VLOOKUP(B69,'Dados StatusInvest'!$A:$Z,26,0)</f>
        <v>112000000</v>
      </c>
      <c r="D69" s="112">
        <f>VLOOKUP(B69,'Dados StatusInvest'!$A:$Z,20,0)/100</f>
        <v>0.1603</v>
      </c>
      <c r="E69" s="87" t="str">
        <f t="shared" si="1"/>
        <v>#N/A</v>
      </c>
      <c r="F69" s="113">
        <f>IF(ISERROR(1/VLOOKUP(B69,Capa!A:AH,13,0)),0,1/VLOOKUP(B69,Capa!A:AH,13,0))</f>
        <v>4.036581223</v>
      </c>
      <c r="G69" s="114">
        <f t="shared" si="2"/>
        <v>187.000187</v>
      </c>
      <c r="H69" s="115" t="str">
        <f t="shared" si="3"/>
        <v>#N/A</v>
      </c>
      <c r="M69" s="110" t="s">
        <v>224</v>
      </c>
      <c r="N69" s="111">
        <f>VLOOKUP(M69,'Dados StatusInvest'!$A:$Z,26,0)</f>
        <v>112000000</v>
      </c>
      <c r="O69" s="118">
        <f>VLOOKUP(M69,'Dados StatusInvest'!$A:$Z,18,0)/100</f>
        <v>0.2404</v>
      </c>
      <c r="P69" s="119" t="str">
        <f t="shared" si="5"/>
        <v>#N/A</v>
      </c>
      <c r="Q69" s="120">
        <f>IF(ISERROR(1/VLOOKUP(M69,Capa!A:AH,6,0)),0,1/VLOOKUP(M69,Capa!A:AH,6,0))</f>
        <v>0.0201247736</v>
      </c>
      <c r="R69" s="121">
        <f t="shared" si="6"/>
        <v>256.000256</v>
      </c>
      <c r="S69" s="122" t="str">
        <f t="shared" si="7"/>
        <v>#N/A</v>
      </c>
    </row>
    <row r="70">
      <c r="A70" s="123"/>
      <c r="B70" s="110" t="s">
        <v>280</v>
      </c>
      <c r="C70" s="111">
        <f>VLOOKUP(B70,'Dados StatusInvest'!$A:$Z,26,0)</f>
        <v>63572354</v>
      </c>
      <c r="D70" s="112">
        <f>VLOOKUP(B70,'Dados StatusInvest'!$A:$Z,20,0)/100</f>
        <v>0.1372</v>
      </c>
      <c r="E70" s="87" t="str">
        <f t="shared" si="1"/>
        <v>#N/A</v>
      </c>
      <c r="F70" s="113">
        <f>IF(ISERROR(1/VLOOKUP(B70,Capa!A:AH,13,0)),0,1/VLOOKUP(B70,Capa!A:AH,13,0))</f>
        <v>1.937858559</v>
      </c>
      <c r="G70" s="114">
        <f t="shared" si="2"/>
        <v>223.000223</v>
      </c>
      <c r="H70" s="115" t="str">
        <f t="shared" si="3"/>
        <v>#N/A</v>
      </c>
      <c r="M70" s="110" t="s">
        <v>280</v>
      </c>
      <c r="N70" s="111">
        <f>VLOOKUP(M70,'Dados StatusInvest'!$A:$Z,26,0)</f>
        <v>63572354</v>
      </c>
      <c r="O70" s="118">
        <f>VLOOKUP(M70,'Dados StatusInvest'!$A:$Z,18,0)/100</f>
        <v>0.2466</v>
      </c>
      <c r="P70" s="119" t="str">
        <f t="shared" si="5"/>
        <v>#N/A</v>
      </c>
      <c r="Q70" s="120">
        <f>IF(ISERROR(1/VLOOKUP(M70,Capa!A:AH,6,0)),0,1/VLOOKUP(M70,Capa!A:AH,6,0))</f>
        <v>0.03004807692</v>
      </c>
      <c r="R70" s="121">
        <f t="shared" si="6"/>
        <v>222.000222</v>
      </c>
      <c r="S70" s="122" t="str">
        <f t="shared" si="7"/>
        <v>#N/A</v>
      </c>
    </row>
    <row r="71">
      <c r="A71" s="123"/>
      <c r="B71" s="110" t="s">
        <v>160</v>
      </c>
      <c r="C71" s="111">
        <f>VLOOKUP(B71,'Dados StatusInvest'!$A:$Z,26,0)</f>
        <v>41769222</v>
      </c>
      <c r="D71" s="112">
        <f>VLOOKUP(B71,'Dados StatusInvest'!$A:$Z,20,0)/100</f>
        <v>-0.2187</v>
      </c>
      <c r="E71" s="87" t="str">
        <f t="shared" si="1"/>
        <v>#N/A</v>
      </c>
      <c r="F71" s="113">
        <f>IF(ISERROR(1/VLOOKUP(B71,Capa!A:AH,13,0)),0,1/VLOOKUP(B71,Capa!A:AH,13,0))</f>
        <v>-18.09455938</v>
      </c>
      <c r="G71" s="114">
        <f t="shared" si="2"/>
        <v>423.000423</v>
      </c>
      <c r="H71" s="115" t="str">
        <f t="shared" si="3"/>
        <v>#N/A</v>
      </c>
      <c r="M71" s="110" t="s">
        <v>160</v>
      </c>
      <c r="N71" s="111">
        <f>VLOOKUP(M71,'Dados StatusInvest'!$A:$Z,26,0)</f>
        <v>41769222</v>
      </c>
      <c r="O71" s="118">
        <f>VLOOKUP(M71,'Dados StatusInvest'!$A:$Z,18,0)/100</f>
        <v>-1.3456</v>
      </c>
      <c r="P71" s="119" t="str">
        <f t="shared" si="5"/>
        <v>#N/A</v>
      </c>
      <c r="Q71" s="120">
        <f>IF(ISERROR(1/VLOOKUP(M71,Capa!A:AH,6,0)),0,1/VLOOKUP(M71,Capa!A:AH,6,0))</f>
        <v>0.1025641026</v>
      </c>
      <c r="R71" s="121">
        <f t="shared" si="6"/>
        <v>119.000119</v>
      </c>
      <c r="S71" s="122" t="str">
        <f t="shared" si="7"/>
        <v>#N/A</v>
      </c>
    </row>
    <row r="72">
      <c r="A72" s="123"/>
      <c r="B72" s="110" t="s">
        <v>558</v>
      </c>
      <c r="C72" s="111">
        <f>VLOOKUP(B72,'Dados StatusInvest'!$A:$Z,26,0)</f>
        <v>178000000</v>
      </c>
      <c r="D72" s="112">
        <f>VLOOKUP(B72,'Dados StatusInvest'!$A:$Z,20,0)/100</f>
        <v>0</v>
      </c>
      <c r="E72" s="87" t="str">
        <f t="shared" si="1"/>
        <v>#N/A</v>
      </c>
      <c r="F72" s="113">
        <f>IF(ISERROR(1/VLOOKUP(B72,Capa!A:AH,13,0)),0,1/VLOOKUP(B72,Capa!A:AH,13,0))</f>
        <v>9.834223096</v>
      </c>
      <c r="G72" s="114">
        <f t="shared" si="2"/>
        <v>84.000084</v>
      </c>
      <c r="H72" s="115" t="str">
        <f t="shared" si="3"/>
        <v>#N/A</v>
      </c>
      <c r="M72" s="110" t="s">
        <v>558</v>
      </c>
      <c r="N72" s="111">
        <f>VLOOKUP(M72,'Dados StatusInvest'!$A:$Z,26,0)</f>
        <v>178000000</v>
      </c>
      <c r="O72" s="118">
        <f>VLOOKUP(M72,'Dados StatusInvest'!$A:$Z,18,0)/100</f>
        <v>0</v>
      </c>
      <c r="P72" s="119" t="str">
        <f t="shared" si="5"/>
        <v>#N/A</v>
      </c>
      <c r="Q72" s="120">
        <f>IF(ISERROR(1/VLOOKUP(M72,Capa!A:AH,6,0)),0,1/VLOOKUP(M72,Capa!A:AH,6,0))</f>
        <v>0.02828854314</v>
      </c>
      <c r="R72" s="121">
        <f t="shared" si="6"/>
        <v>229.000229</v>
      </c>
      <c r="S72" s="122" t="str">
        <f t="shared" si="7"/>
        <v>#N/A</v>
      </c>
    </row>
    <row r="73">
      <c r="A73" s="123"/>
      <c r="B73" s="110" t="s">
        <v>230</v>
      </c>
      <c r="C73" s="111">
        <f>VLOOKUP(B73,'Dados StatusInvest'!$A:$Z,26,0)</f>
        <v>122000000</v>
      </c>
      <c r="D73" s="112">
        <f>VLOOKUP(B73,'Dados StatusInvest'!$A:$Z,20,0)/100</f>
        <v>0.0828</v>
      </c>
      <c r="E73" s="87" t="str">
        <f t="shared" si="1"/>
        <v>#N/A</v>
      </c>
      <c r="F73" s="113">
        <f>IF(ISERROR(1/VLOOKUP(B73,Capa!A:AH,13,0)),0,1/VLOOKUP(B73,Capa!A:AH,13,0))</f>
        <v>0</v>
      </c>
      <c r="G73" s="114">
        <f t="shared" si="2"/>
        <v>246.000246</v>
      </c>
      <c r="H73" s="115" t="str">
        <f t="shared" si="3"/>
        <v>#N/A</v>
      </c>
      <c r="M73" s="110" t="s">
        <v>230</v>
      </c>
      <c r="N73" s="111">
        <f>VLOOKUP(M73,'Dados StatusInvest'!$A:$Z,26,0)</f>
        <v>122000000</v>
      </c>
      <c r="O73" s="118">
        <f>VLOOKUP(M73,'Dados StatusInvest'!$A:$Z,18,0)/100</f>
        <v>0.0848</v>
      </c>
      <c r="P73" s="119" t="str">
        <f t="shared" si="5"/>
        <v>#N/A</v>
      </c>
      <c r="Q73" s="120">
        <f>IF(ISERROR(1/VLOOKUP(M73,Capa!A:AH,6,0)),0,1/VLOOKUP(M73,Capa!A:AH,6,0))</f>
        <v>0</v>
      </c>
      <c r="R73" s="121">
        <f t="shared" si="6"/>
        <v>306.000306</v>
      </c>
      <c r="S73" s="122" t="str">
        <f t="shared" si="7"/>
        <v>#N/A</v>
      </c>
    </row>
    <row r="74">
      <c r="A74" s="123"/>
      <c r="B74" s="110" t="s">
        <v>493</v>
      </c>
      <c r="C74" s="111">
        <f>VLOOKUP(B74,'Dados StatusInvest'!$A:$Z,26,0)</f>
        <v>36962425</v>
      </c>
      <c r="D74" s="112">
        <f>VLOOKUP(B74,'Dados StatusInvest'!$A:$Z,20,0)/100</f>
        <v>-0.2088</v>
      </c>
      <c r="E74" s="87" t="str">
        <f t="shared" si="1"/>
        <v>#N/A</v>
      </c>
      <c r="F74" s="113">
        <f>IF(ISERROR(1/VLOOKUP(B74,Capa!A:AH,13,0)),0,1/VLOOKUP(B74,Capa!A:AH,13,0))</f>
        <v>-98.03921569</v>
      </c>
      <c r="G74" s="114">
        <f t="shared" si="2"/>
        <v>438.000438</v>
      </c>
      <c r="H74" s="115" t="str">
        <f t="shared" si="3"/>
        <v>#N/A</v>
      </c>
      <c r="M74" s="110" t="s">
        <v>493</v>
      </c>
      <c r="N74" s="111">
        <f>VLOOKUP(M74,'Dados StatusInvest'!$A:$Z,26,0)</f>
        <v>36962425</v>
      </c>
      <c r="O74" s="118">
        <f>VLOOKUP(M74,'Dados StatusInvest'!$A:$Z,18,0)/100</f>
        <v>-0.5045</v>
      </c>
      <c r="P74" s="119" t="str">
        <f t="shared" si="5"/>
        <v>#N/A</v>
      </c>
      <c r="Q74" s="120">
        <f>IF(ISERROR(1/VLOOKUP(M74,Capa!A:AH,6,0)),0,1/VLOOKUP(M74,Capa!A:AH,6,0))</f>
        <v>0.3300330033</v>
      </c>
      <c r="R74" s="121">
        <f t="shared" si="6"/>
        <v>39.000039</v>
      </c>
      <c r="S74" s="122" t="str">
        <f t="shared" si="7"/>
        <v>#N/A</v>
      </c>
    </row>
    <row r="75">
      <c r="A75" s="123"/>
      <c r="B75" s="110" t="s">
        <v>203</v>
      </c>
      <c r="C75" s="111">
        <f>VLOOKUP(B75,'Dados StatusInvest'!$A:$Z,26,0)</f>
        <v>0</v>
      </c>
      <c r="D75" s="112">
        <f>VLOOKUP(B75,'Dados StatusInvest'!$A:$Z,20,0)/100</f>
        <v>0.1231</v>
      </c>
      <c r="E75" s="87" t="str">
        <f t="shared" si="1"/>
        <v>#N/A</v>
      </c>
      <c r="F75" s="113">
        <f>IF(ISERROR(1/VLOOKUP(B75,Capa!A:AH,13,0)),0,1/VLOOKUP(B75,Capa!A:AH,13,0))</f>
        <v>0</v>
      </c>
      <c r="G75" s="114">
        <f t="shared" si="2"/>
        <v>246.000246</v>
      </c>
      <c r="H75" s="115" t="str">
        <f t="shared" si="3"/>
        <v>#N/A</v>
      </c>
      <c r="M75" s="110" t="s">
        <v>203</v>
      </c>
      <c r="N75" s="111">
        <f>VLOOKUP(M75,'Dados StatusInvest'!$A:$Z,26,0)</f>
        <v>0</v>
      </c>
      <c r="O75" s="118">
        <f>VLOOKUP(M75,'Dados StatusInvest'!$A:$Z,18,0)/100</f>
        <v>0.2071</v>
      </c>
      <c r="P75" s="119" t="str">
        <f t="shared" si="5"/>
        <v>#N/A</v>
      </c>
      <c r="Q75" s="120">
        <f>IF(ISERROR(1/VLOOKUP(M75,Capa!A:AH,6,0)),0,1/VLOOKUP(M75,Capa!A:AH,6,0))</f>
        <v>0</v>
      </c>
      <c r="R75" s="121">
        <f t="shared" si="6"/>
        <v>306.000306</v>
      </c>
      <c r="S75" s="122" t="str">
        <f t="shared" si="7"/>
        <v>#N/A</v>
      </c>
    </row>
    <row r="76">
      <c r="A76" s="123"/>
      <c r="B76" s="110" t="s">
        <v>600</v>
      </c>
      <c r="C76" s="111">
        <f>VLOOKUP(B76,'Dados StatusInvest'!$A:$Z,26,0)</f>
        <v>81249691</v>
      </c>
      <c r="D76" s="112">
        <f>VLOOKUP(B76,'Dados StatusInvest'!$A:$Z,20,0)/100</f>
        <v>0.1575</v>
      </c>
      <c r="E76" s="87" t="str">
        <f t="shared" si="1"/>
        <v>#N/A</v>
      </c>
      <c r="F76" s="113">
        <f>IF(ISERROR(1/VLOOKUP(B76,Capa!A:AH,13,0)),0,1/VLOOKUP(B76,Capa!A:AH,13,0))</f>
        <v>1.538092795</v>
      </c>
      <c r="G76" s="114">
        <f t="shared" si="2"/>
        <v>230.00023</v>
      </c>
      <c r="H76" s="115" t="str">
        <f t="shared" si="3"/>
        <v>#N/A</v>
      </c>
      <c r="M76" s="110" t="s">
        <v>600</v>
      </c>
      <c r="N76" s="111">
        <f>VLOOKUP(M76,'Dados StatusInvest'!$A:$Z,26,0)</f>
        <v>81249691</v>
      </c>
      <c r="O76" s="118">
        <f>VLOOKUP(M76,'Dados StatusInvest'!$A:$Z,18,0)/100</f>
        <v>0.2254</v>
      </c>
      <c r="P76" s="119" t="str">
        <f t="shared" si="5"/>
        <v>#N/A</v>
      </c>
      <c r="Q76" s="120">
        <f>IF(ISERROR(1/VLOOKUP(M76,Capa!A:AH,6,0)),0,1/VLOOKUP(M76,Capa!A:AH,6,0))</f>
        <v>0.02255808707</v>
      </c>
      <c r="R76" s="121">
        <f t="shared" si="6"/>
        <v>246.000246</v>
      </c>
      <c r="S76" s="122" t="str">
        <f t="shared" si="7"/>
        <v>#N/A</v>
      </c>
    </row>
    <row r="77">
      <c r="A77" s="123"/>
      <c r="B77" s="110" t="s">
        <v>405</v>
      </c>
      <c r="C77" s="111">
        <f>VLOOKUP(B77,'Dados StatusInvest'!$A:$Z,26,0)</f>
        <v>0</v>
      </c>
      <c r="D77" s="112">
        <f>VLOOKUP(B77,'Dados StatusInvest'!$A:$Z,20,0)/100</f>
        <v>-0.1187</v>
      </c>
      <c r="E77" s="87" t="str">
        <f t="shared" si="1"/>
        <v>#N/A</v>
      </c>
      <c r="F77" s="113">
        <f>IF(ISERROR(1/VLOOKUP(B77,Capa!A:AH,13,0)),0,1/VLOOKUP(B77,Capa!A:AH,13,0))</f>
        <v>0</v>
      </c>
      <c r="G77" s="114">
        <f t="shared" si="2"/>
        <v>246.000246</v>
      </c>
      <c r="H77" s="115" t="str">
        <f t="shared" si="3"/>
        <v>#N/A</v>
      </c>
      <c r="M77" s="110" t="s">
        <v>405</v>
      </c>
      <c r="N77" s="111">
        <f>VLOOKUP(M77,'Dados StatusInvest'!$A:$Z,26,0)</f>
        <v>0</v>
      </c>
      <c r="O77" s="118">
        <f>VLOOKUP(M77,'Dados StatusInvest'!$A:$Z,18,0)/100</f>
        <v>0.1349</v>
      </c>
      <c r="P77" s="119" t="str">
        <f t="shared" si="5"/>
        <v>#N/A</v>
      </c>
      <c r="Q77" s="120">
        <f>IF(ISERROR(1/VLOOKUP(M77,Capa!A:AH,6,0)),0,1/VLOOKUP(M77,Capa!A:AH,6,0))</f>
        <v>0</v>
      </c>
      <c r="R77" s="121">
        <f t="shared" si="6"/>
        <v>306.000306</v>
      </c>
      <c r="S77" s="122" t="str">
        <f t="shared" si="7"/>
        <v>#N/A</v>
      </c>
    </row>
    <row r="78">
      <c r="A78" s="123"/>
      <c r="B78" s="110" t="s">
        <v>1703</v>
      </c>
      <c r="C78" s="111" t="str">
        <f>VLOOKUP(B78,'Dados StatusInvest'!$A:$Z,26,0)</f>
        <v>#N/A</v>
      </c>
      <c r="D78" s="112" t="str">
        <f>VLOOKUP(B78,'Dados StatusInvest'!$A:$Z,20,0)/100</f>
        <v>#N/A</v>
      </c>
      <c r="E78" s="87" t="str">
        <f t="shared" si="1"/>
        <v>#N/A</v>
      </c>
      <c r="F78" s="113">
        <f>IF(ISERROR(1/VLOOKUP(B78,Capa!A:AH,13,0)),0,1/VLOOKUP(B78,Capa!A:AH,13,0))</f>
        <v>0</v>
      </c>
      <c r="G78" s="114">
        <f t="shared" si="2"/>
        <v>246.000246</v>
      </c>
      <c r="H78" s="115" t="str">
        <f t="shared" si="3"/>
        <v>#N/A</v>
      </c>
      <c r="M78" s="110" t="s">
        <v>1703</v>
      </c>
      <c r="N78" s="111" t="str">
        <f>VLOOKUP(M78,'Dados StatusInvest'!$A:$Z,26,0)</f>
        <v>#N/A</v>
      </c>
      <c r="O78" s="118" t="str">
        <f>VLOOKUP(M78,'Dados StatusInvest'!$A:$Z,18,0)/100</f>
        <v>#N/A</v>
      </c>
      <c r="P78" s="119" t="str">
        <f t="shared" si="5"/>
        <v>#N/A</v>
      </c>
      <c r="Q78" s="120">
        <f>IF(ISERROR(1/VLOOKUP(M78,Capa!A:AH,6,0)),0,1/VLOOKUP(M78,Capa!A:AH,6,0))</f>
        <v>0</v>
      </c>
      <c r="R78" s="121">
        <f t="shared" si="6"/>
        <v>306.000306</v>
      </c>
      <c r="S78" s="122" t="str">
        <f t="shared" si="7"/>
        <v>#N/A</v>
      </c>
    </row>
    <row r="79">
      <c r="A79" s="123"/>
      <c r="B79" s="110" t="s">
        <v>292</v>
      </c>
      <c r="C79" s="111">
        <f>VLOOKUP(B79,'Dados StatusInvest'!$A:$Z,26,0)</f>
        <v>490000000</v>
      </c>
      <c r="D79" s="112">
        <f>VLOOKUP(B79,'Dados StatusInvest'!$A:$Z,20,0)/100</f>
        <v>0.059</v>
      </c>
      <c r="E79" s="87" t="str">
        <f t="shared" si="1"/>
        <v>#N/A</v>
      </c>
      <c r="F79" s="113">
        <f>IF(ISERROR(1/VLOOKUP(B79,Capa!A:AH,13,0)),0,1/VLOOKUP(B79,Capa!A:AH,13,0))</f>
        <v>5.670812817</v>
      </c>
      <c r="G79" s="114">
        <f t="shared" si="2"/>
        <v>141.000141</v>
      </c>
      <c r="H79" s="115" t="str">
        <f t="shared" si="3"/>
        <v>#N/A</v>
      </c>
      <c r="M79" s="110" t="s">
        <v>292</v>
      </c>
      <c r="N79" s="111">
        <f>VLOOKUP(M79,'Dados StatusInvest'!$A:$Z,26,0)</f>
        <v>490000000</v>
      </c>
      <c r="O79" s="118">
        <f>VLOOKUP(M79,'Dados StatusInvest'!$A:$Z,18,0)/100</f>
        <v>0.0017</v>
      </c>
      <c r="P79" s="119" t="str">
        <f t="shared" si="5"/>
        <v>#N/A</v>
      </c>
      <c r="Q79" s="120">
        <f>IF(ISERROR(1/VLOOKUP(M79,Capa!A:AH,6,0)),0,1/VLOOKUP(M79,Capa!A:AH,6,0))</f>
        <v>0.04572473708</v>
      </c>
      <c r="R79" s="121">
        <f t="shared" si="6"/>
        <v>191.000191</v>
      </c>
      <c r="S79" s="122" t="str">
        <f t="shared" si="7"/>
        <v>#N/A</v>
      </c>
    </row>
    <row r="80">
      <c r="A80" s="123"/>
      <c r="B80" s="110" t="s">
        <v>110</v>
      </c>
      <c r="C80" s="111">
        <f>VLOOKUP(B80,'Dados StatusInvest'!$A:$Z,26,0)</f>
        <v>76635501</v>
      </c>
      <c r="D80" s="112">
        <f>VLOOKUP(B80,'Dados StatusInvest'!$A:$Z,20,0)/100</f>
        <v>0.1271</v>
      </c>
      <c r="E80" s="87" t="str">
        <f t="shared" si="1"/>
        <v>#N/A</v>
      </c>
      <c r="F80" s="113">
        <f>IF(ISERROR(1/VLOOKUP(B80,Capa!A:AH,13,0)),0,1/VLOOKUP(B80,Capa!A:AH,13,0))</f>
        <v>14.07438462</v>
      </c>
      <c r="G80" s="114">
        <f t="shared" si="2"/>
        <v>46.000046</v>
      </c>
      <c r="H80" s="115" t="str">
        <f t="shared" si="3"/>
        <v>#N/A</v>
      </c>
      <c r="M80" s="110" t="s">
        <v>110</v>
      </c>
      <c r="N80" s="111">
        <f>VLOOKUP(M80,'Dados StatusInvest'!$A:$Z,26,0)</f>
        <v>76635501</v>
      </c>
      <c r="O80" s="118">
        <f>VLOOKUP(M80,'Dados StatusInvest'!$A:$Z,18,0)/100</f>
        <v>-0.6309</v>
      </c>
      <c r="P80" s="119" t="str">
        <f t="shared" si="5"/>
        <v>#N/A</v>
      </c>
      <c r="Q80" s="120">
        <f>IF(ISERROR(1/VLOOKUP(M80,Capa!A:AH,6,0)),0,1/VLOOKUP(M80,Capa!A:AH,6,0))</f>
        <v>0.1773049645</v>
      </c>
      <c r="R80" s="121">
        <f t="shared" si="6"/>
        <v>74.000074</v>
      </c>
      <c r="S80" s="122" t="str">
        <f t="shared" si="7"/>
        <v>#N/A</v>
      </c>
    </row>
    <row r="81">
      <c r="A81" s="123"/>
      <c r="B81" s="110" t="s">
        <v>293</v>
      </c>
      <c r="C81" s="111">
        <f>VLOOKUP(B81,'Dados StatusInvest'!$A:$Z,26,0)</f>
        <v>149000000</v>
      </c>
      <c r="D81" s="112">
        <f>VLOOKUP(B81,'Dados StatusInvest'!$A:$Z,20,0)/100</f>
        <v>0.0976</v>
      </c>
      <c r="E81" s="87" t="str">
        <f t="shared" si="1"/>
        <v>#N/A</v>
      </c>
      <c r="F81" s="113">
        <f>IF(ISERROR(1/VLOOKUP(B81,Capa!A:AH,13,0)),0,1/VLOOKUP(B81,Capa!A:AH,13,0))</f>
        <v>5.403879426</v>
      </c>
      <c r="G81" s="114">
        <f t="shared" si="2"/>
        <v>147.000147</v>
      </c>
      <c r="H81" s="115" t="str">
        <f t="shared" si="3"/>
        <v>#N/A</v>
      </c>
      <c r="M81" s="110" t="s">
        <v>293</v>
      </c>
      <c r="N81" s="111">
        <f>VLOOKUP(M81,'Dados StatusInvest'!$A:$Z,26,0)</f>
        <v>149000000</v>
      </c>
      <c r="O81" s="118">
        <f>VLOOKUP(M81,'Dados StatusInvest'!$A:$Z,18,0)/100</f>
        <v>0.1786</v>
      </c>
      <c r="P81" s="119" t="str">
        <f t="shared" si="5"/>
        <v>#N/A</v>
      </c>
      <c r="Q81" s="120">
        <f>IF(ISERROR(1/VLOOKUP(M81,Capa!A:AH,6,0)),0,1/VLOOKUP(M81,Capa!A:AH,6,0))</f>
        <v>0.01915708812</v>
      </c>
      <c r="R81" s="121">
        <f t="shared" si="6"/>
        <v>262.000262</v>
      </c>
      <c r="S81" s="122" t="str">
        <f t="shared" si="7"/>
        <v>#N/A</v>
      </c>
    </row>
    <row r="82">
      <c r="A82" s="123"/>
      <c r="B82" s="110" t="s">
        <v>326</v>
      </c>
      <c r="C82" s="111">
        <f>VLOOKUP(B82,'Dados StatusInvest'!$A:$Z,26,0)</f>
        <v>55006614</v>
      </c>
      <c r="D82" s="112">
        <f>VLOOKUP(B82,'Dados StatusInvest'!$A:$Z,20,0)/100</f>
        <v>0.0931</v>
      </c>
      <c r="E82" s="87" t="str">
        <f t="shared" si="1"/>
        <v>#N/A</v>
      </c>
      <c r="F82" s="113">
        <f>IF(ISERROR(1/VLOOKUP(B82,Capa!A:AH,13,0)),0,1/VLOOKUP(B82,Capa!A:AH,13,0))</f>
        <v>6.632356665</v>
      </c>
      <c r="G82" s="114">
        <f t="shared" si="2"/>
        <v>121.000121</v>
      </c>
      <c r="H82" s="115" t="str">
        <f t="shared" si="3"/>
        <v>#N/A</v>
      </c>
      <c r="M82" s="110" t="s">
        <v>326</v>
      </c>
      <c r="N82" s="111">
        <f>VLOOKUP(M82,'Dados StatusInvest'!$A:$Z,26,0)</f>
        <v>55006614</v>
      </c>
      <c r="O82" s="118">
        <f>VLOOKUP(M82,'Dados StatusInvest'!$A:$Z,18,0)/100</f>
        <v>0.1113</v>
      </c>
      <c r="P82" s="119" t="str">
        <f t="shared" si="5"/>
        <v>#N/A</v>
      </c>
      <c r="Q82" s="120">
        <f>IF(ISERROR(1/VLOOKUP(M82,Capa!A:AH,6,0)),0,1/VLOOKUP(M82,Capa!A:AH,6,0))</f>
        <v>0.05614823133</v>
      </c>
      <c r="R82" s="121">
        <f t="shared" si="6"/>
        <v>172.000172</v>
      </c>
      <c r="S82" s="122" t="str">
        <f t="shared" si="7"/>
        <v>#N/A</v>
      </c>
    </row>
    <row r="83">
      <c r="A83" s="123"/>
      <c r="B83" s="110" t="s">
        <v>470</v>
      </c>
      <c r="C83" s="111">
        <f>VLOOKUP(B83,'Dados StatusInvest'!$A:$Z,26,0)</f>
        <v>73363887</v>
      </c>
      <c r="D83" s="112">
        <f>VLOOKUP(B83,'Dados StatusInvest'!$A:$Z,20,0)/100</f>
        <v>0.1142</v>
      </c>
      <c r="E83" s="87" t="str">
        <f t="shared" si="1"/>
        <v>#N/A</v>
      </c>
      <c r="F83" s="113">
        <f>IF(ISERROR(1/VLOOKUP(B83,Capa!A:AH,13,0)),0,1/VLOOKUP(B83,Capa!A:AH,13,0))</f>
        <v>5.013513824</v>
      </c>
      <c r="G83" s="114">
        <f t="shared" si="2"/>
        <v>164.000164</v>
      </c>
      <c r="H83" s="115" t="str">
        <f t="shared" si="3"/>
        <v>#N/A</v>
      </c>
      <c r="M83" s="110" t="s">
        <v>470</v>
      </c>
      <c r="N83" s="111">
        <f>VLOOKUP(M83,'Dados StatusInvest'!$A:$Z,26,0)</f>
        <v>73363887</v>
      </c>
      <c r="O83" s="118">
        <f>VLOOKUP(M83,'Dados StatusInvest'!$A:$Z,18,0)/100</f>
        <v>0.1218</v>
      </c>
      <c r="P83" s="119" t="str">
        <f t="shared" si="5"/>
        <v>#N/A</v>
      </c>
      <c r="Q83" s="120">
        <f>IF(ISERROR(1/VLOOKUP(M83,Capa!A:AH,6,0)),0,1/VLOOKUP(M83,Capa!A:AH,6,0))</f>
        <v>0.03054367746</v>
      </c>
      <c r="R83" s="121">
        <f t="shared" si="6"/>
        <v>219.000219</v>
      </c>
      <c r="S83" s="122" t="str">
        <f t="shared" si="7"/>
        <v>#N/A</v>
      </c>
    </row>
    <row r="84">
      <c r="A84" s="123"/>
      <c r="B84" s="110" t="s">
        <v>1704</v>
      </c>
      <c r="C84" s="111" t="str">
        <f>VLOOKUP(B84,'Dados StatusInvest'!$A:$Z,26,0)</f>
        <v>#N/A</v>
      </c>
      <c r="D84" s="112" t="str">
        <f>VLOOKUP(B84,'Dados StatusInvest'!$A:$Z,20,0)/100</f>
        <v>#N/A</v>
      </c>
      <c r="E84" s="87" t="str">
        <f t="shared" si="1"/>
        <v>#N/A</v>
      </c>
      <c r="F84" s="113">
        <f>IF(ISERROR(1/VLOOKUP(B84,Capa!A:AH,13,0)),0,1/VLOOKUP(B84,Capa!A:AH,13,0))</f>
        <v>0</v>
      </c>
      <c r="G84" s="114">
        <f t="shared" si="2"/>
        <v>246.000246</v>
      </c>
      <c r="H84" s="115" t="str">
        <f t="shared" si="3"/>
        <v>#N/A</v>
      </c>
      <c r="M84" s="110" t="s">
        <v>1704</v>
      </c>
      <c r="N84" s="111" t="str">
        <f>VLOOKUP(M84,'Dados StatusInvest'!$A:$Z,26,0)</f>
        <v>#N/A</v>
      </c>
      <c r="O84" s="118" t="str">
        <f>VLOOKUP(M84,'Dados StatusInvest'!$A:$Z,18,0)/100</f>
        <v>#N/A</v>
      </c>
      <c r="P84" s="119" t="str">
        <f t="shared" si="5"/>
        <v>#N/A</v>
      </c>
      <c r="Q84" s="120">
        <f>IF(ISERROR(1/VLOOKUP(M84,Capa!A:AH,6,0)),0,1/VLOOKUP(M84,Capa!A:AH,6,0))</f>
        <v>0</v>
      </c>
      <c r="R84" s="121">
        <f t="shared" si="6"/>
        <v>306.000306</v>
      </c>
      <c r="S84" s="122" t="str">
        <f t="shared" si="7"/>
        <v>#N/A</v>
      </c>
    </row>
    <row r="85">
      <c r="A85" s="123"/>
      <c r="B85" s="110" t="s">
        <v>144</v>
      </c>
      <c r="C85" s="111">
        <f>VLOOKUP(B85,'Dados StatusInvest'!$A:$Z,26,0)</f>
        <v>89738896</v>
      </c>
      <c r="D85" s="112">
        <f>VLOOKUP(B85,'Dados StatusInvest'!$A:$Z,20,0)/100</f>
        <v>0.1141</v>
      </c>
      <c r="E85" s="87" t="str">
        <f t="shared" si="1"/>
        <v>#N/A</v>
      </c>
      <c r="F85" s="113">
        <f>IF(ISERROR(1/VLOOKUP(B85,Capa!A:AH,13,0)),0,1/VLOOKUP(B85,Capa!A:AH,13,0))</f>
        <v>0</v>
      </c>
      <c r="G85" s="114">
        <f t="shared" si="2"/>
        <v>246.000246</v>
      </c>
      <c r="H85" s="115" t="str">
        <f t="shared" si="3"/>
        <v>#N/A</v>
      </c>
      <c r="M85" s="110" t="s">
        <v>144</v>
      </c>
      <c r="N85" s="111">
        <f>VLOOKUP(M85,'Dados StatusInvest'!$A:$Z,26,0)</f>
        <v>89738896</v>
      </c>
      <c r="O85" s="118">
        <f>VLOOKUP(M85,'Dados StatusInvest'!$A:$Z,18,0)/100</f>
        <v>0.1238</v>
      </c>
      <c r="P85" s="119" t="str">
        <f t="shared" si="5"/>
        <v>#N/A</v>
      </c>
      <c r="Q85" s="120">
        <f>IF(ISERROR(1/VLOOKUP(M85,Capa!A:AH,6,0)),0,1/VLOOKUP(M85,Capa!A:AH,6,0))</f>
        <v>0.04342162397</v>
      </c>
      <c r="R85" s="121">
        <f t="shared" si="6"/>
        <v>198.000198</v>
      </c>
      <c r="S85" s="122" t="str">
        <f t="shared" si="7"/>
        <v>#N/A</v>
      </c>
    </row>
    <row r="86">
      <c r="A86" s="123"/>
      <c r="B86" s="110" t="s">
        <v>227</v>
      </c>
      <c r="C86" s="111">
        <f>VLOOKUP(B86,'Dados StatusInvest'!$A:$Z,26,0)</f>
        <v>121000000</v>
      </c>
      <c r="D86" s="112">
        <f>VLOOKUP(B86,'Dados StatusInvest'!$A:$Z,20,0)/100</f>
        <v>0.0815</v>
      </c>
      <c r="E86" s="87" t="str">
        <f t="shared" si="1"/>
        <v>#N/A</v>
      </c>
      <c r="F86" s="113">
        <f>IF(ISERROR(1/VLOOKUP(B86,Capa!A:AH,13,0)),0,1/VLOOKUP(B86,Capa!A:AH,13,0))</f>
        <v>0</v>
      </c>
      <c r="G86" s="114">
        <f t="shared" si="2"/>
        <v>246.000246</v>
      </c>
      <c r="H86" s="115" t="str">
        <f t="shared" si="3"/>
        <v>#N/A</v>
      </c>
      <c r="M86" s="110" t="s">
        <v>227</v>
      </c>
      <c r="N86" s="111">
        <f>VLOOKUP(M86,'Dados StatusInvest'!$A:$Z,26,0)</f>
        <v>121000000</v>
      </c>
      <c r="O86" s="118">
        <f>VLOOKUP(M86,'Dados StatusInvest'!$A:$Z,18,0)/100</f>
        <v>0.085</v>
      </c>
      <c r="P86" s="119" t="str">
        <f t="shared" si="5"/>
        <v>#N/A</v>
      </c>
      <c r="Q86" s="120">
        <f>IF(ISERROR(1/VLOOKUP(M86,Capa!A:AH,6,0)),0,1/VLOOKUP(M86,Capa!A:AH,6,0))</f>
        <v>0</v>
      </c>
      <c r="R86" s="121">
        <f t="shared" si="6"/>
        <v>306.000306</v>
      </c>
      <c r="S86" s="122" t="str">
        <f t="shared" si="7"/>
        <v>#N/A</v>
      </c>
    </row>
    <row r="87">
      <c r="A87" s="123"/>
      <c r="B87" s="110" t="s">
        <v>291</v>
      </c>
      <c r="C87" s="111">
        <f>VLOOKUP(B87,'Dados StatusInvest'!$A:$Z,26,0)</f>
        <v>0</v>
      </c>
      <c r="D87" s="112">
        <f>VLOOKUP(B87,'Dados StatusInvest'!$A:$Z,20,0)/100</f>
        <v>0.1375</v>
      </c>
      <c r="E87" s="87" t="str">
        <f t="shared" si="1"/>
        <v>#N/A</v>
      </c>
      <c r="F87" s="113">
        <f>IF(ISERROR(1/VLOOKUP(B87,Capa!A:AH,13,0)),0,1/VLOOKUP(B87,Capa!A:AH,13,0))</f>
        <v>0</v>
      </c>
      <c r="G87" s="114">
        <f t="shared" si="2"/>
        <v>246.000246</v>
      </c>
      <c r="H87" s="115" t="str">
        <f t="shared" si="3"/>
        <v>#N/A</v>
      </c>
      <c r="M87" s="110" t="s">
        <v>291</v>
      </c>
      <c r="N87" s="111">
        <f>VLOOKUP(M87,'Dados StatusInvest'!$A:$Z,26,0)</f>
        <v>0</v>
      </c>
      <c r="O87" s="118">
        <f>VLOOKUP(M87,'Dados StatusInvest'!$A:$Z,18,0)/100</f>
        <v>0.1717</v>
      </c>
      <c r="P87" s="119" t="str">
        <f t="shared" si="5"/>
        <v>#N/A</v>
      </c>
      <c r="Q87" s="120">
        <f>IF(ISERROR(1/VLOOKUP(M87,Capa!A:AH,6,0)),0,1/VLOOKUP(M87,Capa!A:AH,6,0))</f>
        <v>0</v>
      </c>
      <c r="R87" s="121">
        <f t="shared" si="6"/>
        <v>306.000306</v>
      </c>
      <c r="S87" s="122" t="str">
        <f t="shared" si="7"/>
        <v>#N/A</v>
      </c>
    </row>
    <row r="88">
      <c r="A88" s="123"/>
      <c r="B88" s="110" t="s">
        <v>373</v>
      </c>
      <c r="C88" s="111">
        <f>VLOOKUP(B88,'Dados StatusInvest'!$A:$Z,26,0)</f>
        <v>0</v>
      </c>
      <c r="D88" s="112">
        <f>VLOOKUP(B88,'Dados StatusInvest'!$A:$Z,20,0)/100</f>
        <v>0.1162</v>
      </c>
      <c r="E88" s="87" t="str">
        <f t="shared" si="1"/>
        <v>#N/A</v>
      </c>
      <c r="F88" s="113">
        <f>IF(ISERROR(1/VLOOKUP(B88,Capa!A:AH,13,0)),0,1/VLOOKUP(B88,Capa!A:AH,13,0))</f>
        <v>0</v>
      </c>
      <c r="G88" s="114">
        <f t="shared" si="2"/>
        <v>246.000246</v>
      </c>
      <c r="H88" s="115" t="str">
        <f t="shared" si="3"/>
        <v>#N/A</v>
      </c>
      <c r="M88" s="110" t="s">
        <v>373</v>
      </c>
      <c r="N88" s="111">
        <f>VLOOKUP(M88,'Dados StatusInvest'!$A:$Z,26,0)</f>
        <v>0</v>
      </c>
      <c r="O88" s="118">
        <f>VLOOKUP(M88,'Dados StatusInvest'!$A:$Z,18,0)/100</f>
        <v>0.1404</v>
      </c>
      <c r="P88" s="119" t="str">
        <f t="shared" si="5"/>
        <v>#N/A</v>
      </c>
      <c r="Q88" s="120">
        <f>IF(ISERROR(1/VLOOKUP(M88,Capa!A:AH,6,0)),0,1/VLOOKUP(M88,Capa!A:AH,6,0))</f>
        <v>0</v>
      </c>
      <c r="R88" s="121">
        <f t="shared" si="6"/>
        <v>306.000306</v>
      </c>
      <c r="S88" s="122" t="str">
        <f t="shared" si="7"/>
        <v>#N/A</v>
      </c>
    </row>
    <row r="89">
      <c r="A89" s="123"/>
      <c r="B89" s="110" t="s">
        <v>561</v>
      </c>
      <c r="C89" s="111">
        <f>VLOOKUP(B89,'Dados StatusInvest'!$A:$Z,26,0)</f>
        <v>61269908</v>
      </c>
      <c r="D89" s="112">
        <f>VLOOKUP(B89,'Dados StatusInvest'!$A:$Z,20,0)/100</f>
        <v>0.1211</v>
      </c>
      <c r="E89" s="87" t="str">
        <f t="shared" si="1"/>
        <v>#N/A</v>
      </c>
      <c r="F89" s="113">
        <f>IF(ISERROR(1/VLOOKUP(B89,Capa!A:AH,13,0)),0,1/VLOOKUP(B89,Capa!A:AH,13,0))</f>
        <v>2.953344491</v>
      </c>
      <c r="G89" s="114">
        <f t="shared" si="2"/>
        <v>204.000204</v>
      </c>
      <c r="H89" s="115" t="str">
        <f t="shared" si="3"/>
        <v>#N/A</v>
      </c>
      <c r="M89" s="110" t="s">
        <v>561</v>
      </c>
      <c r="N89" s="111">
        <f>VLOOKUP(M89,'Dados StatusInvest'!$A:$Z,26,0)</f>
        <v>61269908</v>
      </c>
      <c r="O89" s="118">
        <f>VLOOKUP(M89,'Dados StatusInvest'!$A:$Z,18,0)/100</f>
        <v>0.1771</v>
      </c>
      <c r="P89" s="119" t="str">
        <f t="shared" si="5"/>
        <v>#N/A</v>
      </c>
      <c r="Q89" s="120">
        <f>IF(ISERROR(1/VLOOKUP(M89,Capa!A:AH,6,0)),0,1/VLOOKUP(M89,Capa!A:AH,6,0))</f>
        <v>0.0217817469</v>
      </c>
      <c r="R89" s="121">
        <f t="shared" si="6"/>
        <v>249.000249</v>
      </c>
      <c r="S89" s="122" t="str">
        <f t="shared" si="7"/>
        <v>#N/A</v>
      </c>
    </row>
    <row r="90">
      <c r="A90" s="123"/>
      <c r="B90" s="110" t="s">
        <v>66</v>
      </c>
      <c r="C90" s="111">
        <f>VLOOKUP(B90,'Dados StatusInvest'!$A:$Z,26,0)</f>
        <v>36061574</v>
      </c>
      <c r="D90" s="112">
        <f>VLOOKUP(B90,'Dados StatusInvest'!$A:$Z,20,0)/100</f>
        <v>0.0782</v>
      </c>
      <c r="E90" s="87" t="str">
        <f t="shared" si="1"/>
        <v>#N/A</v>
      </c>
      <c r="F90" s="113">
        <f>IF(ISERROR(1/VLOOKUP(B90,Capa!A:AH,13,0)),0,1/VLOOKUP(B90,Capa!A:AH,13,0))</f>
        <v>11.20420061</v>
      </c>
      <c r="G90" s="114">
        <f t="shared" si="2"/>
        <v>74.000074</v>
      </c>
      <c r="H90" s="115" t="str">
        <f t="shared" si="3"/>
        <v>#N/A</v>
      </c>
      <c r="M90" s="110" t="s">
        <v>66</v>
      </c>
      <c r="N90" s="111">
        <f>VLOOKUP(M90,'Dados StatusInvest'!$A:$Z,26,0)</f>
        <v>36061574</v>
      </c>
      <c r="O90" s="118">
        <f>VLOOKUP(M90,'Dados StatusInvest'!$A:$Z,18,0)/100</f>
        <v>0.0869</v>
      </c>
      <c r="P90" s="119" t="str">
        <f t="shared" si="5"/>
        <v>#N/A</v>
      </c>
      <c r="Q90" s="120">
        <f>IF(ISERROR(1/VLOOKUP(M90,Capa!A:AH,6,0)),0,1/VLOOKUP(M90,Capa!A:AH,6,0))</f>
        <v>0.06891798759</v>
      </c>
      <c r="R90" s="121">
        <f t="shared" si="6"/>
        <v>150.00015</v>
      </c>
      <c r="S90" s="122" t="str">
        <f t="shared" si="7"/>
        <v>#N/A</v>
      </c>
    </row>
    <row r="91">
      <c r="A91" s="123"/>
      <c r="B91" s="110" t="s">
        <v>1705</v>
      </c>
      <c r="C91" s="111" t="str">
        <f>VLOOKUP(B91,'Dados StatusInvest'!$A:$Z,26,0)</f>
        <v>#N/A</v>
      </c>
      <c r="D91" s="112" t="str">
        <f>VLOOKUP(B91,'Dados StatusInvest'!$A:$Z,20,0)/100</f>
        <v>#N/A</v>
      </c>
      <c r="E91" s="87" t="str">
        <f t="shared" si="1"/>
        <v>#N/A</v>
      </c>
      <c r="F91" s="113">
        <f>IF(ISERROR(1/VLOOKUP(B91,Capa!A:AH,13,0)),0,1/VLOOKUP(B91,Capa!A:AH,13,0))</f>
        <v>0</v>
      </c>
      <c r="G91" s="114">
        <f t="shared" si="2"/>
        <v>246.000246</v>
      </c>
      <c r="H91" s="115" t="str">
        <f t="shared" si="3"/>
        <v>#N/A</v>
      </c>
      <c r="M91" s="110" t="s">
        <v>1705</v>
      </c>
      <c r="N91" s="111" t="str">
        <f>VLOOKUP(M91,'Dados StatusInvest'!$A:$Z,26,0)</f>
        <v>#N/A</v>
      </c>
      <c r="O91" s="118" t="str">
        <f>VLOOKUP(M91,'Dados StatusInvest'!$A:$Z,18,0)/100</f>
        <v>#N/A</v>
      </c>
      <c r="P91" s="119" t="str">
        <f t="shared" si="5"/>
        <v>#N/A</v>
      </c>
      <c r="Q91" s="120">
        <f>IF(ISERROR(1/VLOOKUP(M91,Capa!A:AH,6,0)),0,1/VLOOKUP(M91,Capa!A:AH,6,0))</f>
        <v>0</v>
      </c>
      <c r="R91" s="121">
        <f t="shared" si="6"/>
        <v>306.000306</v>
      </c>
      <c r="S91" s="122" t="str">
        <f t="shared" si="7"/>
        <v>#N/A</v>
      </c>
    </row>
    <row r="92">
      <c r="A92" s="123"/>
      <c r="B92" s="110" t="s">
        <v>409</v>
      </c>
      <c r="C92" s="111">
        <f>VLOOKUP(B92,'Dados StatusInvest'!$A:$Z,26,0)</f>
        <v>8170431</v>
      </c>
      <c r="D92" s="112">
        <f>VLOOKUP(B92,'Dados StatusInvest'!$A:$Z,20,0)/100</f>
        <v>0.063</v>
      </c>
      <c r="E92" s="87" t="str">
        <f t="shared" si="1"/>
        <v>#N/A</v>
      </c>
      <c r="F92" s="113">
        <f>IF(ISERROR(1/VLOOKUP(B92,Capa!A:AH,13,0)),0,1/VLOOKUP(B92,Capa!A:AH,13,0))</f>
        <v>10.9595574</v>
      </c>
      <c r="G92" s="114">
        <f t="shared" si="2"/>
        <v>75.000075</v>
      </c>
      <c r="H92" s="115" t="str">
        <f t="shared" si="3"/>
        <v>#N/A</v>
      </c>
      <c r="M92" s="110" t="s">
        <v>409</v>
      </c>
      <c r="N92" s="111">
        <f>VLOOKUP(M92,'Dados StatusInvest'!$A:$Z,26,0)</f>
        <v>8170431</v>
      </c>
      <c r="O92" s="118">
        <f>VLOOKUP(M92,'Dados StatusInvest'!$A:$Z,18,0)/100</f>
        <v>0.4083</v>
      </c>
      <c r="P92" s="119" t="str">
        <f t="shared" si="5"/>
        <v>#N/A</v>
      </c>
      <c r="Q92" s="120">
        <f>IF(ISERROR(1/VLOOKUP(M92,Capa!A:AH,6,0)),0,1/VLOOKUP(M92,Capa!A:AH,6,0))</f>
        <v>0.2092050209</v>
      </c>
      <c r="R92" s="121">
        <f t="shared" si="6"/>
        <v>62.000062</v>
      </c>
      <c r="S92" s="122" t="str">
        <f t="shared" si="7"/>
        <v>#N/A</v>
      </c>
    </row>
    <row r="93">
      <c r="A93" s="123"/>
      <c r="B93" s="110" t="s">
        <v>1706</v>
      </c>
      <c r="C93" s="111" t="str">
        <f>VLOOKUP(B93,'Dados StatusInvest'!$A:$Z,26,0)</f>
        <v>#N/A</v>
      </c>
      <c r="D93" s="112" t="str">
        <f>VLOOKUP(B93,'Dados StatusInvest'!$A:$Z,20,0)/100</f>
        <v>#N/A</v>
      </c>
      <c r="E93" s="87" t="str">
        <f t="shared" si="1"/>
        <v>#N/A</v>
      </c>
      <c r="F93" s="113">
        <f>IF(ISERROR(1/VLOOKUP(B93,Capa!A:AH,13,0)),0,1/VLOOKUP(B93,Capa!A:AH,13,0))</f>
        <v>0</v>
      </c>
      <c r="G93" s="114">
        <f t="shared" si="2"/>
        <v>246.000246</v>
      </c>
      <c r="H93" s="115" t="str">
        <f t="shared" si="3"/>
        <v>#N/A</v>
      </c>
      <c r="M93" s="110" t="s">
        <v>1706</v>
      </c>
      <c r="N93" s="111" t="str">
        <f>VLOOKUP(M93,'Dados StatusInvest'!$A:$Z,26,0)</f>
        <v>#N/A</v>
      </c>
      <c r="O93" s="118" t="str">
        <f>VLOOKUP(M93,'Dados StatusInvest'!$A:$Z,18,0)/100</f>
        <v>#N/A</v>
      </c>
      <c r="P93" s="119" t="str">
        <f t="shared" si="5"/>
        <v>#N/A</v>
      </c>
      <c r="Q93" s="120">
        <f>IF(ISERROR(1/VLOOKUP(M93,Capa!A:AH,6,0)),0,1/VLOOKUP(M93,Capa!A:AH,6,0))</f>
        <v>0</v>
      </c>
      <c r="R93" s="121">
        <f t="shared" si="6"/>
        <v>306.000306</v>
      </c>
      <c r="S93" s="122" t="str">
        <f t="shared" si="7"/>
        <v>#N/A</v>
      </c>
    </row>
    <row r="94">
      <c r="A94" s="123"/>
      <c r="B94" s="110" t="s">
        <v>364</v>
      </c>
      <c r="C94" s="111">
        <f>VLOOKUP(B94,'Dados StatusInvest'!$A:$Z,26,0)</f>
        <v>0</v>
      </c>
      <c r="D94" s="112">
        <f>VLOOKUP(B94,'Dados StatusInvest'!$A:$Z,20,0)/100</f>
        <v>-0.136</v>
      </c>
      <c r="E94" s="87" t="str">
        <f t="shared" si="1"/>
        <v>#N/A</v>
      </c>
      <c r="F94" s="113">
        <f>IF(ISERROR(1/VLOOKUP(B94,Capa!A:AH,13,0)),0,1/VLOOKUP(B94,Capa!A:AH,13,0))</f>
        <v>0</v>
      </c>
      <c r="G94" s="114">
        <f t="shared" si="2"/>
        <v>246.000246</v>
      </c>
      <c r="H94" s="115" t="str">
        <f t="shared" si="3"/>
        <v>#N/A</v>
      </c>
      <c r="M94" s="110" t="s">
        <v>364</v>
      </c>
      <c r="N94" s="111">
        <f>VLOOKUP(M94,'Dados StatusInvest'!$A:$Z,26,0)</f>
        <v>0</v>
      </c>
      <c r="O94" s="118">
        <f>VLOOKUP(M94,'Dados StatusInvest'!$A:$Z,18,0)/100</f>
        <v>0.0351</v>
      </c>
      <c r="P94" s="119" t="str">
        <f t="shared" si="5"/>
        <v>#N/A</v>
      </c>
      <c r="Q94" s="120">
        <f>IF(ISERROR(1/VLOOKUP(M94,Capa!A:AH,6,0)),0,1/VLOOKUP(M94,Capa!A:AH,6,0))</f>
        <v>0</v>
      </c>
      <c r="R94" s="121">
        <f t="shared" si="6"/>
        <v>306.000306</v>
      </c>
      <c r="S94" s="122" t="str">
        <f t="shared" si="7"/>
        <v>#N/A</v>
      </c>
    </row>
    <row r="95">
      <c r="A95" s="123"/>
      <c r="B95" s="110" t="s">
        <v>426</v>
      </c>
      <c r="C95" s="111">
        <f>VLOOKUP(B95,'Dados StatusInvest'!$A:$Z,26,0)</f>
        <v>11675397</v>
      </c>
      <c r="D95" s="112">
        <f>VLOOKUP(B95,'Dados StatusInvest'!$A:$Z,20,0)/100</f>
        <v>0.065</v>
      </c>
      <c r="E95" s="87" t="str">
        <f t="shared" si="1"/>
        <v>#N/A</v>
      </c>
      <c r="F95" s="113">
        <f>IF(ISERROR(1/VLOOKUP(B95,Capa!A:AH,13,0)),0,1/VLOOKUP(B95,Capa!A:AH,13,0))</f>
        <v>12.97524885</v>
      </c>
      <c r="G95" s="114">
        <f t="shared" si="2"/>
        <v>51.000051</v>
      </c>
      <c r="H95" s="115" t="str">
        <f t="shared" si="3"/>
        <v>#N/A</v>
      </c>
      <c r="M95" s="110" t="s">
        <v>426</v>
      </c>
      <c r="N95" s="111">
        <f>VLOOKUP(M95,'Dados StatusInvest'!$A:$Z,26,0)</f>
        <v>11675397</v>
      </c>
      <c r="O95" s="118">
        <f>VLOOKUP(M95,'Dados StatusInvest'!$A:$Z,18,0)/100</f>
        <v>0.0817</v>
      </c>
      <c r="P95" s="119" t="str">
        <f t="shared" si="5"/>
        <v>#N/A</v>
      </c>
      <c r="Q95" s="120">
        <f>IF(ISERROR(1/VLOOKUP(M95,Capa!A:AH,6,0)),0,1/VLOOKUP(M95,Capa!A:AH,6,0))</f>
        <v>0.03982477101</v>
      </c>
      <c r="R95" s="121">
        <f t="shared" si="6"/>
        <v>204.000204</v>
      </c>
      <c r="S95" s="122" t="str">
        <f t="shared" si="7"/>
        <v>#N/A</v>
      </c>
    </row>
    <row r="96">
      <c r="A96" s="123"/>
      <c r="B96" s="110" t="s">
        <v>275</v>
      </c>
      <c r="C96" s="111">
        <f>VLOOKUP(B96,'Dados StatusInvest'!$A:$Z,26,0)</f>
        <v>89504737</v>
      </c>
      <c r="D96" s="112">
        <f>VLOOKUP(B96,'Dados StatusInvest'!$A:$Z,20,0)/100</f>
        <v>0.1135</v>
      </c>
      <c r="E96" s="87" t="str">
        <f t="shared" si="1"/>
        <v>#N/A</v>
      </c>
      <c r="F96" s="113">
        <f>IF(ISERROR(1/VLOOKUP(B96,Capa!A:AH,13,0)),0,1/VLOOKUP(B96,Capa!A:AH,13,0))</f>
        <v>2.641150262</v>
      </c>
      <c r="G96" s="114">
        <f t="shared" si="2"/>
        <v>212.000212</v>
      </c>
      <c r="H96" s="115" t="str">
        <f t="shared" si="3"/>
        <v>#N/A</v>
      </c>
      <c r="M96" s="110" t="s">
        <v>275</v>
      </c>
      <c r="N96" s="111">
        <f>VLOOKUP(M96,'Dados StatusInvest'!$A:$Z,26,0)</f>
        <v>89504737</v>
      </c>
      <c r="O96" s="118">
        <f>VLOOKUP(M96,'Dados StatusInvest'!$A:$Z,18,0)/100</f>
        <v>0.2193</v>
      </c>
      <c r="P96" s="119" t="str">
        <f t="shared" si="5"/>
        <v>#N/A</v>
      </c>
      <c r="Q96" s="120">
        <f>IF(ISERROR(1/VLOOKUP(M96,Capa!A:AH,6,0)),0,1/VLOOKUP(M96,Capa!A:AH,6,0))</f>
        <v>0.09389671362</v>
      </c>
      <c r="R96" s="121">
        <f t="shared" si="6"/>
        <v>127.000127</v>
      </c>
      <c r="S96" s="122" t="str">
        <f t="shared" si="7"/>
        <v>#N/A</v>
      </c>
    </row>
    <row r="97">
      <c r="A97" s="123"/>
      <c r="B97" s="110" t="s">
        <v>646</v>
      </c>
      <c r="C97" s="111">
        <f>VLOOKUP(B97,'Dados StatusInvest'!$A:$Z,26,0)</f>
        <v>138000000</v>
      </c>
      <c r="D97" s="112">
        <f>VLOOKUP(B97,'Dados StatusInvest'!$A:$Z,20,0)/100</f>
        <v>0.212</v>
      </c>
      <c r="E97" s="87" t="str">
        <f t="shared" si="1"/>
        <v>#N/A</v>
      </c>
      <c r="F97" s="113">
        <f>IF(ISERROR(1/VLOOKUP(B97,Capa!A:AH,13,0)),0,1/VLOOKUP(B97,Capa!A:AH,13,0))</f>
        <v>3.538940798</v>
      </c>
      <c r="G97" s="114">
        <f t="shared" si="2"/>
        <v>199.000199</v>
      </c>
      <c r="H97" s="115" t="str">
        <f t="shared" si="3"/>
        <v>#N/A</v>
      </c>
      <c r="M97" s="110" t="s">
        <v>646</v>
      </c>
      <c r="N97" s="111">
        <f>VLOOKUP(M97,'Dados StatusInvest'!$A:$Z,26,0)</f>
        <v>138000000</v>
      </c>
      <c r="O97" s="118">
        <f>VLOOKUP(M97,'Dados StatusInvest'!$A:$Z,18,0)/100</f>
        <v>0.2525</v>
      </c>
      <c r="P97" s="119" t="str">
        <f t="shared" si="5"/>
        <v>#N/A</v>
      </c>
      <c r="Q97" s="120">
        <f>IF(ISERROR(1/VLOOKUP(M97,Capa!A:AH,6,0)),0,1/VLOOKUP(M97,Capa!A:AH,6,0))</f>
        <v>0.0325732899</v>
      </c>
      <c r="R97" s="121">
        <f t="shared" si="6"/>
        <v>214.000214</v>
      </c>
      <c r="S97" s="122" t="str">
        <f t="shared" si="7"/>
        <v>#N/A</v>
      </c>
    </row>
    <row r="98">
      <c r="A98" s="123"/>
      <c r="B98" s="110" t="s">
        <v>1707</v>
      </c>
      <c r="C98" s="111" t="str">
        <f>VLOOKUP(B98,'Dados StatusInvest'!$A:$Z,26,0)</f>
        <v>#N/A</v>
      </c>
      <c r="D98" s="112" t="str">
        <f>VLOOKUP(B98,'Dados StatusInvest'!$A:$Z,20,0)/100</f>
        <v>#N/A</v>
      </c>
      <c r="E98" s="87" t="str">
        <f t="shared" si="1"/>
        <v>#N/A</v>
      </c>
      <c r="F98" s="113">
        <f>IF(ISERROR(1/VLOOKUP(B98,Capa!A:AH,13,0)),0,1/VLOOKUP(B98,Capa!A:AH,13,0))</f>
        <v>0</v>
      </c>
      <c r="G98" s="114">
        <f t="shared" si="2"/>
        <v>246.000246</v>
      </c>
      <c r="H98" s="115" t="str">
        <f t="shared" si="3"/>
        <v>#N/A</v>
      </c>
      <c r="M98" s="110" t="s">
        <v>1707</v>
      </c>
      <c r="N98" s="111" t="str">
        <f>VLOOKUP(M98,'Dados StatusInvest'!$A:$Z,26,0)</f>
        <v>#N/A</v>
      </c>
      <c r="O98" s="118" t="str">
        <f>VLOOKUP(M98,'Dados StatusInvest'!$A:$Z,18,0)/100</f>
        <v>#N/A</v>
      </c>
      <c r="P98" s="119" t="str">
        <f t="shared" si="5"/>
        <v>#N/A</v>
      </c>
      <c r="Q98" s="120">
        <f>IF(ISERROR(1/VLOOKUP(M98,Capa!A:AH,6,0)),0,1/VLOOKUP(M98,Capa!A:AH,6,0))</f>
        <v>0</v>
      </c>
      <c r="R98" s="121">
        <f t="shared" si="6"/>
        <v>306.000306</v>
      </c>
      <c r="S98" s="122" t="str">
        <f t="shared" si="7"/>
        <v>#N/A</v>
      </c>
    </row>
    <row r="99">
      <c r="A99" s="123"/>
      <c r="B99" s="110" t="s">
        <v>613</v>
      </c>
      <c r="C99" s="111">
        <f>VLOOKUP(B99,'Dados StatusInvest'!$A:$Z,26,0)</f>
        <v>63965412</v>
      </c>
      <c r="D99" s="112">
        <f>VLOOKUP(B99,'Dados StatusInvest'!$A:$Z,20,0)/100</f>
        <v>0.1601</v>
      </c>
      <c r="E99" s="87" t="str">
        <f t="shared" si="1"/>
        <v>#N/A</v>
      </c>
      <c r="F99" s="113">
        <f>IF(ISERROR(1/VLOOKUP(B99,Capa!A:AH,13,0)),0,1/VLOOKUP(B99,Capa!A:AH,13,0))</f>
        <v>8.440686523</v>
      </c>
      <c r="G99" s="114">
        <f t="shared" si="2"/>
        <v>99.000099</v>
      </c>
      <c r="H99" s="115" t="str">
        <f t="shared" si="3"/>
        <v>#N/A</v>
      </c>
      <c r="M99" s="110" t="s">
        <v>613</v>
      </c>
      <c r="N99" s="111">
        <f>VLOOKUP(M99,'Dados StatusInvest'!$A:$Z,26,0)</f>
        <v>63965412</v>
      </c>
      <c r="O99" s="118">
        <f>VLOOKUP(M99,'Dados StatusInvest'!$A:$Z,18,0)/100</f>
        <v>0.3441</v>
      </c>
      <c r="P99" s="119" t="str">
        <f t="shared" si="5"/>
        <v>#N/A</v>
      </c>
      <c r="Q99" s="120">
        <f>IF(ISERROR(1/VLOOKUP(M99,Capa!A:AH,6,0)),0,1/VLOOKUP(M99,Capa!A:AH,6,0))</f>
        <v>0.030422878</v>
      </c>
      <c r="R99" s="121">
        <f t="shared" si="6"/>
        <v>220.00022</v>
      </c>
      <c r="S99" s="122" t="str">
        <f t="shared" si="7"/>
        <v>#N/A</v>
      </c>
    </row>
    <row r="100">
      <c r="A100" s="123"/>
      <c r="B100" s="110" t="s">
        <v>521</v>
      </c>
      <c r="C100" s="111">
        <f>VLOOKUP(B100,'Dados StatusInvest'!$A:$Z,26,0)</f>
        <v>119000000</v>
      </c>
      <c r="D100" s="112">
        <f>VLOOKUP(B100,'Dados StatusInvest'!$A:$Z,20,0)/100</f>
        <v>0.1172</v>
      </c>
      <c r="E100" s="87" t="str">
        <f t="shared" si="1"/>
        <v>#N/A</v>
      </c>
      <c r="F100" s="113">
        <f>IF(ISERROR(1/VLOOKUP(B100,Capa!A:AH,13,0)),0,1/VLOOKUP(B100,Capa!A:AH,13,0))</f>
        <v>13.10578058</v>
      </c>
      <c r="G100" s="114">
        <f t="shared" si="2"/>
        <v>50.00005</v>
      </c>
      <c r="H100" s="115" t="str">
        <f t="shared" si="3"/>
        <v>#N/A</v>
      </c>
      <c r="M100" s="110" t="s">
        <v>521</v>
      </c>
      <c r="N100" s="111">
        <f>VLOOKUP(M100,'Dados StatusInvest'!$A:$Z,26,0)</f>
        <v>119000000</v>
      </c>
      <c r="O100" s="118">
        <f>VLOOKUP(M100,'Dados StatusInvest'!$A:$Z,18,0)/100</f>
        <v>0.213</v>
      </c>
      <c r="P100" s="119" t="str">
        <f t="shared" si="5"/>
        <v>#N/A</v>
      </c>
      <c r="Q100" s="120">
        <f>IF(ISERROR(1/VLOOKUP(M100,Capa!A:AH,6,0)),0,1/VLOOKUP(M100,Capa!A:AH,6,0))</f>
        <v>0.0195427008</v>
      </c>
      <c r="R100" s="121">
        <f t="shared" si="6"/>
        <v>259.000259</v>
      </c>
      <c r="S100" s="122" t="str">
        <f t="shared" si="7"/>
        <v>#N/A</v>
      </c>
    </row>
    <row r="101">
      <c r="A101" s="123"/>
      <c r="B101" s="110" t="s">
        <v>446</v>
      </c>
      <c r="C101" s="111">
        <f>VLOOKUP(B101,'Dados StatusInvest'!$A:$Z,26,0)</f>
        <v>56136252</v>
      </c>
      <c r="D101" s="112">
        <f>VLOOKUP(B101,'Dados StatusInvest'!$A:$Z,20,0)/100</f>
        <v>0.1409</v>
      </c>
      <c r="E101" s="87" t="str">
        <f t="shared" si="1"/>
        <v>#N/A</v>
      </c>
      <c r="F101" s="113">
        <f>IF(ISERROR(1/VLOOKUP(B101,Capa!A:AH,13,0)),0,1/VLOOKUP(B101,Capa!A:AH,13,0))</f>
        <v>4.683704952</v>
      </c>
      <c r="G101" s="114">
        <f t="shared" si="2"/>
        <v>169.000169</v>
      </c>
      <c r="H101" s="115" t="str">
        <f t="shared" si="3"/>
        <v>#N/A</v>
      </c>
      <c r="M101" s="110" t="s">
        <v>446</v>
      </c>
      <c r="N101" s="111">
        <f>VLOOKUP(M101,'Dados StatusInvest'!$A:$Z,26,0)</f>
        <v>56136252</v>
      </c>
      <c r="O101" s="118">
        <f>VLOOKUP(M101,'Dados StatusInvest'!$A:$Z,18,0)/100</f>
        <v>0.0998</v>
      </c>
      <c r="P101" s="119" t="str">
        <f t="shared" si="5"/>
        <v>#N/A</v>
      </c>
      <c r="Q101" s="120">
        <f>IF(ISERROR(1/VLOOKUP(M101,Capa!A:AH,6,0)),0,1/VLOOKUP(M101,Capa!A:AH,6,0))</f>
        <v>0.07369196758</v>
      </c>
      <c r="R101" s="121">
        <f t="shared" si="6"/>
        <v>145.000145</v>
      </c>
      <c r="S101" s="122" t="str">
        <f t="shared" si="7"/>
        <v>#N/A</v>
      </c>
    </row>
    <row r="102">
      <c r="A102" s="123"/>
      <c r="B102" s="110" t="s">
        <v>607</v>
      </c>
      <c r="C102" s="111">
        <f>VLOOKUP(B102,'Dados StatusInvest'!$A:$Z,26,0)</f>
        <v>259804.8</v>
      </c>
      <c r="D102" s="112">
        <f>VLOOKUP(B102,'Dados StatusInvest'!$A:$Z,20,0)/100</f>
        <v>-0.0975</v>
      </c>
      <c r="E102" s="87" t="str">
        <f t="shared" si="1"/>
        <v>#N/A</v>
      </c>
      <c r="F102" s="113">
        <f>IF(ISERROR(1/VLOOKUP(B102,Capa!A:AH,13,0)),0,1/VLOOKUP(B102,Capa!A:AH,13,0))</f>
        <v>-3.565761137</v>
      </c>
      <c r="G102" s="114">
        <f t="shared" si="2"/>
        <v>413.000413</v>
      </c>
      <c r="H102" s="115" t="str">
        <f t="shared" si="3"/>
        <v>#N/A</v>
      </c>
      <c r="M102" s="110" t="s">
        <v>607</v>
      </c>
      <c r="N102" s="111">
        <f>VLOOKUP(M102,'Dados StatusInvest'!$A:$Z,26,0)</f>
        <v>259804.8</v>
      </c>
      <c r="O102" s="118">
        <f>VLOOKUP(M102,'Dados StatusInvest'!$A:$Z,18,0)/100</f>
        <v>-0.4207</v>
      </c>
      <c r="P102" s="119" t="str">
        <f t="shared" si="5"/>
        <v>#N/A</v>
      </c>
      <c r="Q102" s="120">
        <f>IF(ISERROR(1/VLOOKUP(M102,Capa!A:AH,6,0)),0,1/VLOOKUP(M102,Capa!A:AH,6,0))</f>
        <v>0.6622516556</v>
      </c>
      <c r="R102" s="121">
        <f t="shared" si="6"/>
        <v>20.00002</v>
      </c>
      <c r="S102" s="122" t="str">
        <f t="shared" si="7"/>
        <v>#N/A</v>
      </c>
    </row>
    <row r="103">
      <c r="A103" s="123"/>
      <c r="B103" s="110" t="s">
        <v>392</v>
      </c>
      <c r="C103" s="111">
        <f>VLOOKUP(B103,'Dados StatusInvest'!$A:$Z,26,0)</f>
        <v>42543084</v>
      </c>
      <c r="D103" s="112">
        <f>VLOOKUP(B103,'Dados StatusInvest'!$A:$Z,20,0)/100</f>
        <v>0.1272</v>
      </c>
      <c r="E103" s="87" t="str">
        <f t="shared" si="1"/>
        <v>#N/A</v>
      </c>
      <c r="F103" s="113">
        <f>IF(ISERROR(1/VLOOKUP(B103,Capa!A:AH,13,0)),0,1/VLOOKUP(B103,Capa!A:AH,13,0))</f>
        <v>1.065087347</v>
      </c>
      <c r="G103" s="114">
        <f t="shared" si="2"/>
        <v>239.000239</v>
      </c>
      <c r="H103" s="115" t="str">
        <f t="shared" si="3"/>
        <v>#N/A</v>
      </c>
      <c r="M103" s="110" t="s">
        <v>392</v>
      </c>
      <c r="N103" s="111">
        <f>VLOOKUP(M103,'Dados StatusInvest'!$A:$Z,26,0)</f>
        <v>42543084</v>
      </c>
      <c r="O103" s="118">
        <f>VLOOKUP(M103,'Dados StatusInvest'!$A:$Z,18,0)/100</f>
        <v>0.2057</v>
      </c>
      <c r="P103" s="119" t="str">
        <f t="shared" si="5"/>
        <v>#N/A</v>
      </c>
      <c r="Q103" s="120">
        <f>IF(ISERROR(1/VLOOKUP(M103,Capa!A:AH,6,0)),0,1/VLOOKUP(M103,Capa!A:AH,6,0))</f>
        <v>0.1017293998</v>
      </c>
      <c r="R103" s="121">
        <f t="shared" si="6"/>
        <v>121.000121</v>
      </c>
      <c r="S103" s="122" t="str">
        <f t="shared" si="7"/>
        <v>#N/A</v>
      </c>
    </row>
    <row r="104">
      <c r="A104" s="123"/>
      <c r="B104" s="110" t="s">
        <v>410</v>
      </c>
      <c r="C104" s="111">
        <f>VLOOKUP(B104,'Dados StatusInvest'!$A:$Z,26,0)</f>
        <v>0</v>
      </c>
      <c r="D104" s="112">
        <f>VLOOKUP(B104,'Dados StatusInvest'!$A:$Z,20,0)/100</f>
        <v>-0.0223</v>
      </c>
      <c r="E104" s="87" t="str">
        <f t="shared" si="1"/>
        <v>#N/A</v>
      </c>
      <c r="F104" s="113">
        <f>IF(ISERROR(1/VLOOKUP(B104,Capa!A:AH,13,0)),0,1/VLOOKUP(B104,Capa!A:AH,13,0))</f>
        <v>0</v>
      </c>
      <c r="G104" s="114">
        <f t="shared" si="2"/>
        <v>246.000246</v>
      </c>
      <c r="H104" s="115" t="str">
        <f t="shared" si="3"/>
        <v>#N/A</v>
      </c>
      <c r="M104" s="110" t="s">
        <v>410</v>
      </c>
      <c r="N104" s="111">
        <f>VLOOKUP(M104,'Dados StatusInvest'!$A:$Z,26,0)</f>
        <v>0</v>
      </c>
      <c r="O104" s="118">
        <f>VLOOKUP(M104,'Dados StatusInvest'!$A:$Z,18,0)/100</f>
        <v>-0.0481</v>
      </c>
      <c r="P104" s="119" t="str">
        <f t="shared" si="5"/>
        <v>#N/A</v>
      </c>
      <c r="Q104" s="120">
        <f>IF(ISERROR(1/VLOOKUP(M104,Capa!A:AH,6,0)),0,1/VLOOKUP(M104,Capa!A:AH,6,0))</f>
        <v>0</v>
      </c>
      <c r="R104" s="121">
        <f t="shared" si="6"/>
        <v>306.000306</v>
      </c>
      <c r="S104" s="122" t="str">
        <f t="shared" si="7"/>
        <v>#N/A</v>
      </c>
    </row>
    <row r="105">
      <c r="A105" s="123"/>
      <c r="B105" s="110" t="s">
        <v>387</v>
      </c>
      <c r="C105" s="111">
        <f>VLOOKUP(B105,'Dados StatusInvest'!$A:$Z,26,0)</f>
        <v>48665897</v>
      </c>
      <c r="D105" s="112">
        <f>VLOOKUP(B105,'Dados StatusInvest'!$A:$Z,20,0)/100</f>
        <v>0</v>
      </c>
      <c r="E105" s="87" t="str">
        <f t="shared" si="1"/>
        <v>#N/A</v>
      </c>
      <c r="F105" s="113">
        <f>IF(ISERROR(1/VLOOKUP(B105,Capa!A:AH,13,0)),0,1/VLOOKUP(B105,Capa!A:AH,13,0))</f>
        <v>2135.89092</v>
      </c>
      <c r="G105" s="114">
        <f t="shared" si="2"/>
        <v>7.000007</v>
      </c>
      <c r="H105" s="115" t="str">
        <f t="shared" si="3"/>
        <v>#N/A</v>
      </c>
      <c r="M105" s="110" t="s">
        <v>387</v>
      </c>
      <c r="N105" s="111">
        <f>VLOOKUP(M105,'Dados StatusInvest'!$A:$Z,26,0)</f>
        <v>48665897</v>
      </c>
      <c r="O105" s="118">
        <f>VLOOKUP(M105,'Dados StatusInvest'!$A:$Z,18,0)/100</f>
        <v>0.2086</v>
      </c>
      <c r="P105" s="119" t="str">
        <f t="shared" si="5"/>
        <v>#N/A</v>
      </c>
      <c r="Q105" s="120">
        <f>IF(ISERROR(1/VLOOKUP(M105,Capa!A:AH,6,0)),0,1/VLOOKUP(M105,Capa!A:AH,6,0))</f>
        <v>0.00007955449483</v>
      </c>
      <c r="R105" s="121">
        <f t="shared" si="6"/>
        <v>301.000301</v>
      </c>
      <c r="S105" s="122" t="str">
        <f t="shared" si="7"/>
        <v>#N/A</v>
      </c>
    </row>
    <row r="106">
      <c r="A106" s="123"/>
      <c r="B106" s="110" t="s">
        <v>617</v>
      </c>
      <c r="C106" s="111">
        <f>VLOOKUP(B106,'Dados StatusInvest'!$A:$Z,26,0)</f>
        <v>0</v>
      </c>
      <c r="D106" s="112">
        <f>VLOOKUP(B106,'Dados StatusInvest'!$A:$Z,20,0)/100</f>
        <v>0.0463</v>
      </c>
      <c r="E106" s="87" t="str">
        <f t="shared" si="1"/>
        <v>#N/A</v>
      </c>
      <c r="F106" s="113">
        <f>IF(ISERROR(1/VLOOKUP(B106,Capa!A:AH,13,0)),0,1/VLOOKUP(B106,Capa!A:AH,13,0))</f>
        <v>0</v>
      </c>
      <c r="G106" s="114">
        <f t="shared" si="2"/>
        <v>246.000246</v>
      </c>
      <c r="H106" s="115" t="str">
        <f t="shared" si="3"/>
        <v>#N/A</v>
      </c>
      <c r="M106" s="110" t="s">
        <v>617</v>
      </c>
      <c r="N106" s="111">
        <f>VLOOKUP(M106,'Dados StatusInvest'!$A:$Z,26,0)</f>
        <v>0</v>
      </c>
      <c r="O106" s="118">
        <f>VLOOKUP(M106,'Dados StatusInvest'!$A:$Z,18,0)/100</f>
        <v>-0.0557</v>
      </c>
      <c r="P106" s="119" t="str">
        <f t="shared" si="5"/>
        <v>#N/A</v>
      </c>
      <c r="Q106" s="120">
        <f>IF(ISERROR(1/VLOOKUP(M106,Capa!A:AH,6,0)),0,1/VLOOKUP(M106,Capa!A:AH,6,0))</f>
        <v>0</v>
      </c>
      <c r="R106" s="121">
        <f t="shared" si="6"/>
        <v>306.000306</v>
      </c>
      <c r="S106" s="122" t="str">
        <f t="shared" si="7"/>
        <v>#N/A</v>
      </c>
    </row>
    <row r="107">
      <c r="A107" s="123"/>
      <c r="B107" s="110" t="s">
        <v>139</v>
      </c>
      <c r="C107" s="111">
        <f>VLOOKUP(B107,'Dados StatusInvest'!$A:$Z,26,0)</f>
        <v>38432884</v>
      </c>
      <c r="D107" s="112">
        <f>VLOOKUP(B107,'Dados StatusInvest'!$A:$Z,20,0)/100</f>
        <v>0</v>
      </c>
      <c r="E107" s="87" t="str">
        <f t="shared" si="1"/>
        <v>#N/A</v>
      </c>
      <c r="F107" s="113">
        <f>IF(ISERROR(1/VLOOKUP(B107,Capa!A:AH,13,0)),0,1/VLOOKUP(B107,Capa!A:AH,13,0))</f>
        <v>0</v>
      </c>
      <c r="G107" s="114">
        <f t="shared" si="2"/>
        <v>246.000246</v>
      </c>
      <c r="H107" s="115" t="str">
        <f t="shared" si="3"/>
        <v>#N/A</v>
      </c>
      <c r="M107" s="110" t="s">
        <v>139</v>
      </c>
      <c r="N107" s="111">
        <f>VLOOKUP(M107,'Dados StatusInvest'!$A:$Z,26,0)</f>
        <v>38432884</v>
      </c>
      <c r="O107" s="118">
        <f>VLOOKUP(M107,'Dados StatusInvest'!$A:$Z,18,0)/100</f>
        <v>0.051</v>
      </c>
      <c r="P107" s="119" t="str">
        <f t="shared" si="5"/>
        <v>#N/A</v>
      </c>
      <c r="Q107" s="120">
        <f>IF(ISERROR(1/VLOOKUP(M107,Capa!A:AH,6,0)),0,1/VLOOKUP(M107,Capa!A:AH,6,0))</f>
        <v>0</v>
      </c>
      <c r="R107" s="121">
        <f t="shared" si="6"/>
        <v>306.000306</v>
      </c>
      <c r="S107" s="122" t="str">
        <f t="shared" si="7"/>
        <v>#N/A</v>
      </c>
    </row>
    <row r="108">
      <c r="A108" s="123"/>
      <c r="B108" s="110" t="s">
        <v>536</v>
      </c>
      <c r="C108" s="111">
        <f>VLOOKUP(B108,'Dados StatusInvest'!$A:$Z,26,0)</f>
        <v>32680537</v>
      </c>
      <c r="D108" s="112">
        <f>VLOOKUP(B108,'Dados StatusInvest'!$A:$Z,20,0)/100</f>
        <v>0.0818</v>
      </c>
      <c r="E108" s="87" t="str">
        <f t="shared" si="1"/>
        <v>#N/A</v>
      </c>
      <c r="F108" s="113">
        <f>IF(ISERROR(1/VLOOKUP(B108,Capa!A:AH,13,0)),0,1/VLOOKUP(B108,Capa!A:AH,13,0))</f>
        <v>11.3187681</v>
      </c>
      <c r="G108" s="114">
        <f t="shared" si="2"/>
        <v>71.000071</v>
      </c>
      <c r="H108" s="115" t="str">
        <f t="shared" si="3"/>
        <v>#N/A</v>
      </c>
      <c r="M108" s="110" t="s">
        <v>536</v>
      </c>
      <c r="N108" s="111">
        <f>VLOOKUP(M108,'Dados StatusInvest'!$A:$Z,26,0)</f>
        <v>32680537</v>
      </c>
      <c r="O108" s="118">
        <f>VLOOKUP(M108,'Dados StatusInvest'!$A:$Z,18,0)/100</f>
        <v>0.0299</v>
      </c>
      <c r="P108" s="119" t="str">
        <f t="shared" si="5"/>
        <v>#N/A</v>
      </c>
      <c r="Q108" s="120">
        <f>IF(ISERROR(1/VLOOKUP(M108,Capa!A:AH,6,0)),0,1/VLOOKUP(M108,Capa!A:AH,6,0))</f>
        <v>0.1550387597</v>
      </c>
      <c r="R108" s="121">
        <f t="shared" si="6"/>
        <v>86.000086</v>
      </c>
      <c r="S108" s="122" t="str">
        <f t="shared" si="7"/>
        <v>#N/A</v>
      </c>
    </row>
    <row r="109">
      <c r="A109" s="123"/>
      <c r="B109" s="110" t="s">
        <v>240</v>
      </c>
      <c r="C109" s="111">
        <f>VLOOKUP(B109,'Dados StatusInvest'!$A:$Z,26,0)</f>
        <v>160000000</v>
      </c>
      <c r="D109" s="112">
        <f>VLOOKUP(B109,'Dados StatusInvest'!$A:$Z,20,0)/100</f>
        <v>0.0875</v>
      </c>
      <c r="E109" s="87" t="str">
        <f t="shared" si="1"/>
        <v>#N/A</v>
      </c>
      <c r="F109" s="113">
        <f>IF(ISERROR(1/VLOOKUP(B109,Capa!A:AH,13,0)),0,1/VLOOKUP(B109,Capa!A:AH,13,0))</f>
        <v>4.104280019</v>
      </c>
      <c r="G109" s="114">
        <f t="shared" si="2"/>
        <v>186.000186</v>
      </c>
      <c r="H109" s="115" t="str">
        <f t="shared" si="3"/>
        <v>#N/A</v>
      </c>
      <c r="M109" s="110" t="s">
        <v>240</v>
      </c>
      <c r="N109" s="111">
        <f>VLOOKUP(M109,'Dados StatusInvest'!$A:$Z,26,0)</f>
        <v>160000000</v>
      </c>
      <c r="O109" s="118">
        <f>VLOOKUP(M109,'Dados StatusInvest'!$A:$Z,18,0)/100</f>
        <v>0.1568</v>
      </c>
      <c r="P109" s="119" t="str">
        <f t="shared" si="5"/>
        <v>#N/A</v>
      </c>
      <c r="Q109" s="120">
        <f>IF(ISERROR(1/VLOOKUP(M109,Capa!A:AH,6,0)),0,1/VLOOKUP(M109,Capa!A:AH,6,0))</f>
        <v>0.01749475157</v>
      </c>
      <c r="R109" s="121">
        <f t="shared" si="6"/>
        <v>264.000264</v>
      </c>
      <c r="S109" s="122" t="str">
        <f t="shared" si="7"/>
        <v>#N/A</v>
      </c>
    </row>
    <row r="110">
      <c r="A110" s="123"/>
      <c r="B110" s="110" t="s">
        <v>580</v>
      </c>
      <c r="C110" s="111">
        <f>VLOOKUP(B110,'Dados StatusInvest'!$A:$Z,26,0)</f>
        <v>50090515</v>
      </c>
      <c r="D110" s="112">
        <f>VLOOKUP(B110,'Dados StatusInvest'!$A:$Z,20,0)/100</f>
        <v>0.0717</v>
      </c>
      <c r="E110" s="87" t="str">
        <f t="shared" si="1"/>
        <v>#N/A</v>
      </c>
      <c r="F110" s="113">
        <f>IF(ISERROR(1/VLOOKUP(B110,Capa!A:AH,13,0)),0,1/VLOOKUP(B110,Capa!A:AH,13,0))</f>
        <v>5.054833321</v>
      </c>
      <c r="G110" s="114">
        <f t="shared" si="2"/>
        <v>161.000161</v>
      </c>
      <c r="H110" s="115" t="str">
        <f t="shared" si="3"/>
        <v>#N/A</v>
      </c>
      <c r="M110" s="110" t="s">
        <v>580</v>
      </c>
      <c r="N110" s="111">
        <f>VLOOKUP(M110,'Dados StatusInvest'!$A:$Z,26,0)</f>
        <v>50090515</v>
      </c>
      <c r="O110" s="118">
        <f>VLOOKUP(M110,'Dados StatusInvest'!$A:$Z,18,0)/100</f>
        <v>0.075</v>
      </c>
      <c r="P110" s="119" t="str">
        <f t="shared" si="5"/>
        <v>#N/A</v>
      </c>
      <c r="Q110" s="120">
        <f>IF(ISERROR(1/VLOOKUP(M110,Capa!A:AH,6,0)),0,1/VLOOKUP(M110,Capa!A:AH,6,0))</f>
        <v>0.06385696041</v>
      </c>
      <c r="R110" s="121">
        <f t="shared" si="6"/>
        <v>162.000162</v>
      </c>
      <c r="S110" s="122" t="str">
        <f t="shared" si="7"/>
        <v>#N/A</v>
      </c>
    </row>
    <row r="111">
      <c r="A111" s="123"/>
      <c r="B111" s="110" t="s">
        <v>462</v>
      </c>
      <c r="C111" s="111">
        <f>VLOOKUP(B111,'Dados StatusInvest'!$A:$Z,26,0)</f>
        <v>11988510</v>
      </c>
      <c r="D111" s="112">
        <f>VLOOKUP(B111,'Dados StatusInvest'!$A:$Z,20,0)/100</f>
        <v>0.0863</v>
      </c>
      <c r="E111" s="87" t="str">
        <f t="shared" si="1"/>
        <v>#N/A</v>
      </c>
      <c r="F111" s="113">
        <f>IF(ISERROR(1/VLOOKUP(B111,Capa!A:AH,13,0)),0,1/VLOOKUP(B111,Capa!A:AH,13,0))</f>
        <v>15.67667981</v>
      </c>
      <c r="G111" s="114">
        <f t="shared" si="2"/>
        <v>39.000039</v>
      </c>
      <c r="H111" s="115" t="str">
        <f t="shared" si="3"/>
        <v>#N/A</v>
      </c>
      <c r="M111" s="110" t="s">
        <v>462</v>
      </c>
      <c r="N111" s="111">
        <f>VLOOKUP(M111,'Dados StatusInvest'!$A:$Z,26,0)</f>
        <v>11988510</v>
      </c>
      <c r="O111" s="118">
        <f>VLOOKUP(M111,'Dados StatusInvest'!$A:$Z,18,0)/100</f>
        <v>0.0479</v>
      </c>
      <c r="P111" s="119" t="str">
        <f t="shared" si="5"/>
        <v>#N/A</v>
      </c>
      <c r="Q111" s="120">
        <f>IF(ISERROR(1/VLOOKUP(M111,Capa!A:AH,6,0)),0,1/VLOOKUP(M111,Capa!A:AH,6,0))</f>
        <v>0.09633911368</v>
      </c>
      <c r="R111" s="121">
        <f t="shared" si="6"/>
        <v>126.000126</v>
      </c>
      <c r="S111" s="122" t="str">
        <f t="shared" si="7"/>
        <v>#N/A</v>
      </c>
    </row>
    <row r="112">
      <c r="A112" s="123"/>
      <c r="B112" s="110" t="s">
        <v>71</v>
      </c>
      <c r="C112" s="111">
        <f>VLOOKUP(B112,'Dados StatusInvest'!$A:$Z,26,0)</f>
        <v>289427.5</v>
      </c>
      <c r="D112" s="112">
        <f>VLOOKUP(B112,'Dados StatusInvest'!$A:$Z,20,0)/100</f>
        <v>0.2148</v>
      </c>
      <c r="E112" s="87" t="str">
        <f t="shared" si="1"/>
        <v>#N/A</v>
      </c>
      <c r="F112" s="113">
        <f>IF(ISERROR(1/VLOOKUP(B112,Capa!A:AH,13,0)),0,1/VLOOKUP(B112,Capa!A:AH,13,0))</f>
        <v>6.055159314</v>
      </c>
      <c r="G112" s="114">
        <f t="shared" si="2"/>
        <v>131.000131</v>
      </c>
      <c r="H112" s="115" t="str">
        <f t="shared" si="3"/>
        <v>#N/A</v>
      </c>
      <c r="M112" s="110" t="s">
        <v>71</v>
      </c>
      <c r="N112" s="111">
        <f>VLOOKUP(M112,'Dados StatusInvest'!$A:$Z,26,0)</f>
        <v>289427.5</v>
      </c>
      <c r="O112" s="118">
        <f>VLOOKUP(M112,'Dados StatusInvest'!$A:$Z,18,0)/100</f>
        <v>0.0545</v>
      </c>
      <c r="P112" s="119" t="str">
        <f t="shared" si="5"/>
        <v>#N/A</v>
      </c>
      <c r="Q112" s="120">
        <f>IF(ISERROR(1/VLOOKUP(M112,Capa!A:AH,6,0)),0,1/VLOOKUP(M112,Capa!A:AH,6,0))</f>
        <v>1.052631579</v>
      </c>
      <c r="R112" s="121">
        <f t="shared" si="6"/>
        <v>8.000008</v>
      </c>
      <c r="S112" s="122" t="str">
        <f t="shared" si="7"/>
        <v>#N/A</v>
      </c>
    </row>
    <row r="113">
      <c r="A113" s="123"/>
      <c r="B113" s="110" t="s">
        <v>167</v>
      </c>
      <c r="C113" s="111">
        <f>VLOOKUP(B113,'Dados StatusInvest'!$A:$Z,26,0)</f>
        <v>32073916</v>
      </c>
      <c r="D113" s="112">
        <f>VLOOKUP(B113,'Dados StatusInvest'!$A:$Z,20,0)/100</f>
        <v>0</v>
      </c>
      <c r="E113" s="87" t="str">
        <f t="shared" si="1"/>
        <v>#N/A</v>
      </c>
      <c r="F113" s="113">
        <f>IF(ISERROR(1/VLOOKUP(B113,Capa!A:AH,13,0)),0,1/VLOOKUP(B113,Capa!A:AH,13,0))</f>
        <v>12.75425085</v>
      </c>
      <c r="G113" s="114">
        <f t="shared" si="2"/>
        <v>56.000056</v>
      </c>
      <c r="H113" s="115" t="str">
        <f t="shared" si="3"/>
        <v>#N/A</v>
      </c>
      <c r="M113" s="110" t="s">
        <v>167</v>
      </c>
      <c r="N113" s="111">
        <f>VLOOKUP(M113,'Dados StatusInvest'!$A:$Z,26,0)</f>
        <v>32073916</v>
      </c>
      <c r="O113" s="118">
        <f>VLOOKUP(M113,'Dados StatusInvest'!$A:$Z,18,0)/100</f>
        <v>0.1145</v>
      </c>
      <c r="P113" s="119" t="str">
        <f t="shared" si="5"/>
        <v>#N/A</v>
      </c>
      <c r="Q113" s="120">
        <f>IF(ISERROR(1/VLOOKUP(M113,Capa!A:AH,6,0)),0,1/VLOOKUP(M113,Capa!A:AH,6,0))</f>
        <v>0.05339028297</v>
      </c>
      <c r="R113" s="121">
        <f t="shared" si="6"/>
        <v>176.000176</v>
      </c>
      <c r="S113" s="122" t="str">
        <f t="shared" si="7"/>
        <v>#N/A</v>
      </c>
    </row>
    <row r="114">
      <c r="A114" s="123"/>
      <c r="B114" s="110" t="s">
        <v>579</v>
      </c>
      <c r="C114" s="111">
        <f>VLOOKUP(B114,'Dados StatusInvest'!$A:$Z,26,0)</f>
        <v>0</v>
      </c>
      <c r="D114" s="112">
        <f>VLOOKUP(B114,'Dados StatusInvest'!$A:$Z,20,0)/100</f>
        <v>0.2063</v>
      </c>
      <c r="E114" s="87" t="str">
        <f t="shared" si="1"/>
        <v>#N/A</v>
      </c>
      <c r="F114" s="113">
        <f>IF(ISERROR(1/VLOOKUP(B114,Capa!A:AH,13,0)),0,1/VLOOKUP(B114,Capa!A:AH,13,0))</f>
        <v>0</v>
      </c>
      <c r="G114" s="114">
        <f t="shared" si="2"/>
        <v>246.000246</v>
      </c>
      <c r="H114" s="115" t="str">
        <f t="shared" si="3"/>
        <v>#N/A</v>
      </c>
      <c r="M114" s="110" t="s">
        <v>579</v>
      </c>
      <c r="N114" s="111">
        <f>VLOOKUP(M114,'Dados StatusInvest'!$A:$Z,26,0)</f>
        <v>0</v>
      </c>
      <c r="O114" s="118">
        <f>VLOOKUP(M114,'Dados StatusInvest'!$A:$Z,18,0)/100</f>
        <v>0.3796</v>
      </c>
      <c r="P114" s="119" t="str">
        <f t="shared" si="5"/>
        <v>#N/A</v>
      </c>
      <c r="Q114" s="120">
        <f>IF(ISERROR(1/VLOOKUP(M114,Capa!A:AH,6,0)),0,1/VLOOKUP(M114,Capa!A:AH,6,0))</f>
        <v>0</v>
      </c>
      <c r="R114" s="121">
        <f t="shared" si="6"/>
        <v>306.000306</v>
      </c>
      <c r="S114" s="122" t="str">
        <f t="shared" si="7"/>
        <v>#N/A</v>
      </c>
    </row>
    <row r="115">
      <c r="A115" s="123"/>
      <c r="B115" s="110" t="s">
        <v>421</v>
      </c>
      <c r="C115" s="111">
        <f>VLOOKUP(B115,'Dados StatusInvest'!$A:$Z,26,0)</f>
        <v>26126598</v>
      </c>
      <c r="D115" s="112">
        <f>VLOOKUP(B115,'Dados StatusInvest'!$A:$Z,20,0)/100</f>
        <v>-0.2049</v>
      </c>
      <c r="E115" s="87" t="str">
        <f t="shared" si="1"/>
        <v>#N/A</v>
      </c>
      <c r="F115" s="113">
        <f>IF(ISERROR(1/VLOOKUP(B115,Capa!A:AH,13,0)),0,1/VLOOKUP(B115,Capa!A:AH,13,0))</f>
        <v>-4.796973177</v>
      </c>
      <c r="G115" s="114">
        <f t="shared" si="2"/>
        <v>415.000415</v>
      </c>
      <c r="H115" s="115" t="str">
        <f t="shared" si="3"/>
        <v>#N/A</v>
      </c>
      <c r="M115" s="110" t="s">
        <v>421</v>
      </c>
      <c r="N115" s="111">
        <f>VLOOKUP(M115,'Dados StatusInvest'!$A:$Z,26,0)</f>
        <v>26126598</v>
      </c>
      <c r="O115" s="118">
        <f>VLOOKUP(M115,'Dados StatusInvest'!$A:$Z,18,0)/100</f>
        <v>-0.1126</v>
      </c>
      <c r="P115" s="119" t="str">
        <f t="shared" si="5"/>
        <v>#N/A</v>
      </c>
      <c r="Q115" s="120">
        <f>IF(ISERROR(1/VLOOKUP(M115,Capa!A:AH,6,0)),0,1/VLOOKUP(M115,Capa!A:AH,6,0))</f>
        <v>0.2816901408</v>
      </c>
      <c r="R115" s="121">
        <f t="shared" si="6"/>
        <v>43.000043</v>
      </c>
      <c r="S115" s="122" t="str">
        <f t="shared" si="7"/>
        <v>#N/A</v>
      </c>
    </row>
    <row r="116">
      <c r="A116" s="123"/>
      <c r="B116" s="110" t="s">
        <v>512</v>
      </c>
      <c r="C116" s="111">
        <f>VLOOKUP(B116,'Dados StatusInvest'!$A:$Z,26,0)</f>
        <v>70129994</v>
      </c>
      <c r="D116" s="112">
        <f>VLOOKUP(B116,'Dados StatusInvest'!$A:$Z,20,0)/100</f>
        <v>0.1281</v>
      </c>
      <c r="E116" s="87" t="str">
        <f t="shared" si="1"/>
        <v>#N/A</v>
      </c>
      <c r="F116" s="113">
        <f>IF(ISERROR(1/VLOOKUP(B116,Capa!A:AH,13,0)),0,1/VLOOKUP(B116,Capa!A:AH,13,0))</f>
        <v>6.551524801</v>
      </c>
      <c r="G116" s="114">
        <f t="shared" si="2"/>
        <v>122.000122</v>
      </c>
      <c r="H116" s="115" t="str">
        <f t="shared" si="3"/>
        <v>#N/A</v>
      </c>
      <c r="M116" s="110" t="s">
        <v>512</v>
      </c>
      <c r="N116" s="111">
        <f>VLOOKUP(M116,'Dados StatusInvest'!$A:$Z,26,0)</f>
        <v>70129994</v>
      </c>
      <c r="O116" s="118">
        <f>VLOOKUP(M116,'Dados StatusInvest'!$A:$Z,18,0)/100</f>
        <v>0.2778</v>
      </c>
      <c r="P116" s="119" t="str">
        <f t="shared" si="5"/>
        <v>#N/A</v>
      </c>
      <c r="Q116" s="120">
        <f>IF(ISERROR(1/VLOOKUP(M116,Capa!A:AH,6,0)),0,1/VLOOKUP(M116,Capa!A:AH,6,0))</f>
        <v>0.1547987616</v>
      </c>
      <c r="R116" s="121">
        <f t="shared" si="6"/>
        <v>87.000087</v>
      </c>
      <c r="S116" s="122" t="str">
        <f t="shared" si="7"/>
        <v>#N/A</v>
      </c>
    </row>
    <row r="117">
      <c r="A117" s="123"/>
      <c r="B117" s="110" t="s">
        <v>1708</v>
      </c>
      <c r="C117" s="111" t="str">
        <f>VLOOKUP(B117,'Dados StatusInvest'!$A:$Z,26,0)</f>
        <v>#N/A</v>
      </c>
      <c r="D117" s="112" t="str">
        <f>VLOOKUP(B117,'Dados StatusInvest'!$A:$Z,20,0)/100</f>
        <v>#N/A</v>
      </c>
      <c r="E117" s="87" t="str">
        <f t="shared" si="1"/>
        <v>#N/A</v>
      </c>
      <c r="F117" s="113">
        <f>IF(ISERROR(1/VLOOKUP(B117,Capa!A:AH,13,0)),0,1/VLOOKUP(B117,Capa!A:AH,13,0))</f>
        <v>0</v>
      </c>
      <c r="G117" s="114">
        <f t="shared" si="2"/>
        <v>246.000246</v>
      </c>
      <c r="H117" s="115" t="str">
        <f t="shared" si="3"/>
        <v>#N/A</v>
      </c>
      <c r="M117" s="110" t="s">
        <v>1708</v>
      </c>
      <c r="N117" s="111" t="str">
        <f>VLOOKUP(M117,'Dados StatusInvest'!$A:$Z,26,0)</f>
        <v>#N/A</v>
      </c>
      <c r="O117" s="118" t="str">
        <f>VLOOKUP(M117,'Dados StatusInvest'!$A:$Z,18,0)/100</f>
        <v>#N/A</v>
      </c>
      <c r="P117" s="119" t="str">
        <f t="shared" si="5"/>
        <v>#N/A</v>
      </c>
      <c r="Q117" s="120">
        <f>IF(ISERROR(1/VLOOKUP(M117,Capa!A:AH,6,0)),0,1/VLOOKUP(M117,Capa!A:AH,6,0))</f>
        <v>0</v>
      </c>
      <c r="R117" s="121">
        <f t="shared" si="6"/>
        <v>306.000306</v>
      </c>
      <c r="S117" s="122" t="str">
        <f t="shared" si="7"/>
        <v>#N/A</v>
      </c>
    </row>
    <row r="118">
      <c r="A118" s="123"/>
      <c r="B118" s="110" t="s">
        <v>395</v>
      </c>
      <c r="C118" s="111">
        <f>VLOOKUP(B118,'Dados StatusInvest'!$A:$Z,26,0)</f>
        <v>10378939</v>
      </c>
      <c r="D118" s="112">
        <f>VLOOKUP(B118,'Dados StatusInvest'!$A:$Z,20,0)/100</f>
        <v>0.1003</v>
      </c>
      <c r="E118" s="87" t="str">
        <f t="shared" si="1"/>
        <v>#N/A</v>
      </c>
      <c r="F118" s="113">
        <f>IF(ISERROR(1/VLOOKUP(B118,Capa!A:AH,13,0)),0,1/VLOOKUP(B118,Capa!A:AH,13,0))</f>
        <v>8.435566849</v>
      </c>
      <c r="G118" s="114">
        <f t="shared" si="2"/>
        <v>100.0001</v>
      </c>
      <c r="H118" s="115" t="str">
        <f t="shared" si="3"/>
        <v>#N/A</v>
      </c>
      <c r="M118" s="110" t="s">
        <v>395</v>
      </c>
      <c r="N118" s="111">
        <f>VLOOKUP(M118,'Dados StatusInvest'!$A:$Z,26,0)</f>
        <v>10378939</v>
      </c>
      <c r="O118" s="118">
        <f>VLOOKUP(M118,'Dados StatusInvest'!$A:$Z,18,0)/100</f>
        <v>0.0513</v>
      </c>
      <c r="P118" s="119" t="str">
        <f t="shared" si="5"/>
        <v>#N/A</v>
      </c>
      <c r="Q118" s="120">
        <f>IF(ISERROR(1/VLOOKUP(M118,Capa!A:AH,6,0)),0,1/VLOOKUP(M118,Capa!A:AH,6,0))</f>
        <v>0.1234567901</v>
      </c>
      <c r="R118" s="121">
        <f t="shared" si="6"/>
        <v>100.0001</v>
      </c>
      <c r="S118" s="122" t="str">
        <f t="shared" si="7"/>
        <v>#N/A</v>
      </c>
    </row>
    <row r="119">
      <c r="A119" s="123"/>
      <c r="B119" s="110" t="s">
        <v>339</v>
      </c>
      <c r="C119" s="111">
        <f>VLOOKUP(B119,'Dados StatusInvest'!$A:$Z,26,0)</f>
        <v>2966414</v>
      </c>
      <c r="D119" s="112">
        <f>VLOOKUP(B119,'Dados StatusInvest'!$A:$Z,20,0)/100</f>
        <v>-0.0574</v>
      </c>
      <c r="E119" s="87" t="str">
        <f t="shared" si="1"/>
        <v>#N/A</v>
      </c>
      <c r="F119" s="113">
        <f>IF(ISERROR(1/VLOOKUP(B119,Capa!A:AH,13,0)),0,1/VLOOKUP(B119,Capa!A:AH,13,0))</f>
        <v>-15.66915694</v>
      </c>
      <c r="G119" s="114">
        <f t="shared" si="2"/>
        <v>421.000421</v>
      </c>
      <c r="H119" s="115" t="str">
        <f t="shared" si="3"/>
        <v>#N/A</v>
      </c>
      <c r="M119" s="110" t="s">
        <v>339</v>
      </c>
      <c r="N119" s="111">
        <f>VLOOKUP(M119,'Dados StatusInvest'!$A:$Z,26,0)</f>
        <v>2966414</v>
      </c>
      <c r="O119" s="118">
        <f>VLOOKUP(M119,'Dados StatusInvest'!$A:$Z,18,0)/100</f>
        <v>-0.0987</v>
      </c>
      <c r="P119" s="119" t="str">
        <f t="shared" si="5"/>
        <v>#N/A</v>
      </c>
      <c r="Q119" s="120">
        <f>IF(ISERROR(1/VLOOKUP(M119,Capa!A:AH,6,0)),0,1/VLOOKUP(M119,Capa!A:AH,6,0))</f>
        <v>0.3571428571</v>
      </c>
      <c r="R119" s="121">
        <f t="shared" si="6"/>
        <v>35.000035</v>
      </c>
      <c r="S119" s="122" t="str">
        <f t="shared" si="7"/>
        <v>#N/A</v>
      </c>
    </row>
    <row r="120">
      <c r="A120" s="123"/>
      <c r="B120" s="110" t="s">
        <v>401</v>
      </c>
      <c r="C120" s="111">
        <f>VLOOKUP(B120,'Dados StatusInvest'!$A:$Z,26,0)</f>
        <v>0</v>
      </c>
      <c r="D120" s="112">
        <f>VLOOKUP(B120,'Dados StatusInvest'!$A:$Z,20,0)/100</f>
        <v>0.0337</v>
      </c>
      <c r="E120" s="87" t="str">
        <f t="shared" si="1"/>
        <v>#N/A</v>
      </c>
      <c r="F120" s="113">
        <f>IF(ISERROR(1/VLOOKUP(B120,Capa!A:AH,13,0)),0,1/VLOOKUP(B120,Capa!A:AH,13,0))</f>
        <v>0</v>
      </c>
      <c r="G120" s="114">
        <f t="shared" si="2"/>
        <v>246.000246</v>
      </c>
      <c r="H120" s="115" t="str">
        <f t="shared" si="3"/>
        <v>#N/A</v>
      </c>
      <c r="M120" s="110" t="s">
        <v>401</v>
      </c>
      <c r="N120" s="111">
        <f>VLOOKUP(M120,'Dados StatusInvest'!$A:$Z,26,0)</f>
        <v>0</v>
      </c>
      <c r="O120" s="118">
        <f>VLOOKUP(M120,'Dados StatusInvest'!$A:$Z,18,0)/100</f>
        <v>0.0902</v>
      </c>
      <c r="P120" s="119" t="str">
        <f t="shared" si="5"/>
        <v>#N/A</v>
      </c>
      <c r="Q120" s="120">
        <f>IF(ISERROR(1/VLOOKUP(M120,Capa!A:AH,6,0)),0,1/VLOOKUP(M120,Capa!A:AH,6,0))</f>
        <v>0</v>
      </c>
      <c r="R120" s="121">
        <f t="shared" si="6"/>
        <v>306.000306</v>
      </c>
      <c r="S120" s="122" t="str">
        <f t="shared" si="7"/>
        <v>#N/A</v>
      </c>
    </row>
    <row r="121">
      <c r="A121" s="123"/>
      <c r="B121" s="110" t="s">
        <v>118</v>
      </c>
      <c r="C121" s="111">
        <f>VLOOKUP(B121,'Dados StatusInvest'!$A:$Z,26,0)</f>
        <v>0</v>
      </c>
      <c r="D121" s="112">
        <f>VLOOKUP(B121,'Dados StatusInvest'!$A:$Z,20,0)/100</f>
        <v>0</v>
      </c>
      <c r="E121" s="87" t="str">
        <f t="shared" si="1"/>
        <v>#N/A</v>
      </c>
      <c r="F121" s="113">
        <f>IF(ISERROR(1/VLOOKUP(B121,Capa!A:AH,13,0)),0,1/VLOOKUP(B121,Capa!A:AH,13,0))</f>
        <v>0</v>
      </c>
      <c r="G121" s="114">
        <f t="shared" si="2"/>
        <v>246.000246</v>
      </c>
      <c r="H121" s="115" t="str">
        <f t="shared" si="3"/>
        <v>#N/A</v>
      </c>
      <c r="M121" s="110" t="s">
        <v>118</v>
      </c>
      <c r="N121" s="111">
        <f>VLOOKUP(M121,'Dados StatusInvest'!$A:$Z,26,0)</f>
        <v>0</v>
      </c>
      <c r="O121" s="118">
        <f>VLOOKUP(M121,'Dados StatusInvest'!$A:$Z,18,0)/100</f>
        <v>-0.0045</v>
      </c>
      <c r="P121" s="119" t="str">
        <f t="shared" si="5"/>
        <v>#N/A</v>
      </c>
      <c r="Q121" s="120">
        <f>IF(ISERROR(1/VLOOKUP(M121,Capa!A:AH,6,0)),0,1/VLOOKUP(M121,Capa!A:AH,6,0))</f>
        <v>0</v>
      </c>
      <c r="R121" s="121">
        <f t="shared" si="6"/>
        <v>306.000306</v>
      </c>
      <c r="S121" s="122" t="str">
        <f t="shared" si="7"/>
        <v>#N/A</v>
      </c>
    </row>
    <row r="122">
      <c r="A122" s="123"/>
      <c r="B122" s="110" t="s">
        <v>163</v>
      </c>
      <c r="C122" s="111">
        <f>VLOOKUP(B122,'Dados StatusInvest'!$A:$Z,26,0)</f>
        <v>0</v>
      </c>
      <c r="D122" s="112">
        <f>VLOOKUP(B122,'Dados StatusInvest'!$A:$Z,20,0)/100</f>
        <v>-0.3125</v>
      </c>
      <c r="E122" s="87" t="str">
        <f t="shared" si="1"/>
        <v>#N/A</v>
      </c>
      <c r="F122" s="113">
        <f>IF(ISERROR(1/VLOOKUP(B122,Capa!A:AH,13,0)),0,1/VLOOKUP(B122,Capa!A:AH,13,0))</f>
        <v>0</v>
      </c>
      <c r="G122" s="114">
        <f t="shared" si="2"/>
        <v>246.000246</v>
      </c>
      <c r="H122" s="115" t="str">
        <f t="shared" si="3"/>
        <v>#N/A</v>
      </c>
      <c r="M122" s="110" t="s">
        <v>163</v>
      </c>
      <c r="N122" s="111">
        <f>VLOOKUP(M122,'Dados StatusInvest'!$A:$Z,26,0)</f>
        <v>0</v>
      </c>
      <c r="O122" s="118">
        <f>VLOOKUP(M122,'Dados StatusInvest'!$A:$Z,18,0)/100</f>
        <v>-0.0955</v>
      </c>
      <c r="P122" s="119" t="str">
        <f t="shared" si="5"/>
        <v>#N/A</v>
      </c>
      <c r="Q122" s="120">
        <f>IF(ISERROR(1/VLOOKUP(M122,Capa!A:AH,6,0)),0,1/VLOOKUP(M122,Capa!A:AH,6,0))</f>
        <v>0</v>
      </c>
      <c r="R122" s="121">
        <f t="shared" si="6"/>
        <v>306.000306</v>
      </c>
      <c r="S122" s="122" t="str">
        <f t="shared" si="7"/>
        <v>#N/A</v>
      </c>
    </row>
    <row r="123">
      <c r="A123" s="123"/>
      <c r="B123" s="110" t="s">
        <v>313</v>
      </c>
      <c r="C123" s="111">
        <f>VLOOKUP(B123,'Dados StatusInvest'!$A:$Z,26,0)</f>
        <v>4954211</v>
      </c>
      <c r="D123" s="112">
        <f>VLOOKUP(B123,'Dados StatusInvest'!$A:$Z,20,0)/100</f>
        <v>0.0321</v>
      </c>
      <c r="E123" s="87" t="str">
        <f t="shared" si="1"/>
        <v>#N/A</v>
      </c>
      <c r="F123" s="113">
        <f>IF(ISERROR(1/VLOOKUP(B123,Capa!A:AH,13,0)),0,1/VLOOKUP(B123,Capa!A:AH,13,0))</f>
        <v>10.74501316</v>
      </c>
      <c r="G123" s="114">
        <f t="shared" si="2"/>
        <v>76.000076</v>
      </c>
      <c r="H123" s="115" t="str">
        <f t="shared" si="3"/>
        <v>#N/A</v>
      </c>
      <c r="M123" s="110" t="s">
        <v>313</v>
      </c>
      <c r="N123" s="111">
        <f>VLOOKUP(M123,'Dados StatusInvest'!$A:$Z,26,0)</f>
        <v>4954211</v>
      </c>
      <c r="O123" s="118">
        <f>VLOOKUP(M123,'Dados StatusInvest'!$A:$Z,18,0)/100</f>
        <v>0.0903</v>
      </c>
      <c r="P123" s="119" t="str">
        <f t="shared" si="5"/>
        <v>#N/A</v>
      </c>
      <c r="Q123" s="120">
        <f>IF(ISERROR(1/VLOOKUP(M123,Capa!A:AH,6,0)),0,1/VLOOKUP(M123,Capa!A:AH,6,0))</f>
        <v>0.119047619</v>
      </c>
      <c r="R123" s="121">
        <f t="shared" si="6"/>
        <v>103.000103</v>
      </c>
      <c r="S123" s="122" t="str">
        <f t="shared" si="7"/>
        <v>#N/A</v>
      </c>
    </row>
    <row r="124">
      <c r="A124" s="123"/>
      <c r="B124" s="110" t="s">
        <v>480</v>
      </c>
      <c r="C124" s="111">
        <f>VLOOKUP(B124,'Dados StatusInvest'!$A:$Z,26,0)</f>
        <v>21422268</v>
      </c>
      <c r="D124" s="112">
        <f>VLOOKUP(B124,'Dados StatusInvest'!$A:$Z,20,0)/100</f>
        <v>0.2496</v>
      </c>
      <c r="E124" s="87" t="str">
        <f t="shared" si="1"/>
        <v>#N/A</v>
      </c>
      <c r="F124" s="113">
        <f>IF(ISERROR(1/VLOOKUP(B124,Capa!A:AH,13,0)),0,1/VLOOKUP(B124,Capa!A:AH,13,0))</f>
        <v>3.084356265</v>
      </c>
      <c r="G124" s="114">
        <f t="shared" si="2"/>
        <v>202.000202</v>
      </c>
      <c r="H124" s="115" t="str">
        <f t="shared" si="3"/>
        <v>#N/A</v>
      </c>
      <c r="M124" s="110" t="s">
        <v>480</v>
      </c>
      <c r="N124" s="111">
        <f>VLOOKUP(M124,'Dados StatusInvest'!$A:$Z,26,0)</f>
        <v>21422268</v>
      </c>
      <c r="O124" s="118">
        <f>VLOOKUP(M124,'Dados StatusInvest'!$A:$Z,18,0)/100</f>
        <v>0.4452</v>
      </c>
      <c r="P124" s="119" t="str">
        <f t="shared" si="5"/>
        <v>#N/A</v>
      </c>
      <c r="Q124" s="120">
        <f>IF(ISERROR(1/VLOOKUP(M124,Capa!A:AH,6,0)),0,1/VLOOKUP(M124,Capa!A:AH,6,0))</f>
        <v>0.08136696501</v>
      </c>
      <c r="R124" s="121">
        <f t="shared" si="6"/>
        <v>136.000136</v>
      </c>
      <c r="S124" s="122" t="str">
        <f t="shared" si="7"/>
        <v>#N/A</v>
      </c>
    </row>
    <row r="125">
      <c r="A125" s="123"/>
      <c r="B125" s="110" t="s">
        <v>356</v>
      </c>
      <c r="C125" s="111">
        <f>VLOOKUP(B125,'Dados StatusInvest'!$A:$Z,26,0)</f>
        <v>2913298</v>
      </c>
      <c r="D125" s="112">
        <f>VLOOKUP(B125,'Dados StatusInvest'!$A:$Z,20,0)/100</f>
        <v>0.0326</v>
      </c>
      <c r="E125" s="87" t="str">
        <f t="shared" si="1"/>
        <v>#N/A</v>
      </c>
      <c r="F125" s="113">
        <f>IF(ISERROR(1/VLOOKUP(B125,Capa!A:AH,13,0)),0,1/VLOOKUP(B125,Capa!A:AH,13,0))</f>
        <v>6.154631789</v>
      </c>
      <c r="G125" s="114">
        <f t="shared" si="2"/>
        <v>125.000125</v>
      </c>
      <c r="H125" s="115" t="str">
        <f t="shared" si="3"/>
        <v>#N/A</v>
      </c>
      <c r="M125" s="110" t="s">
        <v>356</v>
      </c>
      <c r="N125" s="111">
        <f>VLOOKUP(M125,'Dados StatusInvest'!$A:$Z,26,0)</f>
        <v>2913298</v>
      </c>
      <c r="O125" s="118">
        <f>VLOOKUP(M125,'Dados StatusInvest'!$A:$Z,18,0)/100</f>
        <v>0.0284</v>
      </c>
      <c r="P125" s="119" t="str">
        <f t="shared" si="5"/>
        <v>#N/A</v>
      </c>
      <c r="Q125" s="120">
        <f>IF(ISERROR(1/VLOOKUP(M125,Capa!A:AH,6,0)),0,1/VLOOKUP(M125,Capa!A:AH,6,0))</f>
        <v>0.3095975232</v>
      </c>
      <c r="R125" s="121">
        <f t="shared" si="6"/>
        <v>41.000041</v>
      </c>
      <c r="S125" s="122" t="str">
        <f t="shared" si="7"/>
        <v>#N/A</v>
      </c>
    </row>
    <row r="126">
      <c r="A126" s="123"/>
      <c r="B126" s="110" t="s">
        <v>75</v>
      </c>
      <c r="C126" s="111">
        <f>VLOOKUP(B126,'Dados StatusInvest'!$A:$Z,26,0)</f>
        <v>45686853</v>
      </c>
      <c r="D126" s="112">
        <f>VLOOKUP(B126,'Dados StatusInvest'!$A:$Z,20,0)/100</f>
        <v>0.1161</v>
      </c>
      <c r="E126" s="87" t="str">
        <f t="shared" si="1"/>
        <v>#N/A</v>
      </c>
      <c r="F126" s="113">
        <f>IF(ISERROR(1/VLOOKUP(B126,Capa!A:AH,13,0)),0,1/VLOOKUP(B126,Capa!A:AH,13,0))</f>
        <v>3.919517103</v>
      </c>
      <c r="G126" s="114">
        <f t="shared" si="2"/>
        <v>193.000193</v>
      </c>
      <c r="H126" s="115" t="str">
        <f t="shared" si="3"/>
        <v>#N/A</v>
      </c>
      <c r="M126" s="110" t="s">
        <v>75</v>
      </c>
      <c r="N126" s="111">
        <f>VLOOKUP(M126,'Dados StatusInvest'!$A:$Z,26,0)</f>
        <v>45686853</v>
      </c>
      <c r="O126" s="118">
        <f>VLOOKUP(M126,'Dados StatusInvest'!$A:$Z,18,0)/100</f>
        <v>0.067</v>
      </c>
      <c r="P126" s="119" t="str">
        <f t="shared" si="5"/>
        <v>#N/A</v>
      </c>
      <c r="Q126" s="120">
        <f>IF(ISERROR(1/VLOOKUP(M126,Capa!A:AH,6,0)),0,1/VLOOKUP(M126,Capa!A:AH,6,0))</f>
        <v>0.205338809</v>
      </c>
      <c r="R126" s="121">
        <f t="shared" si="6"/>
        <v>66.000066</v>
      </c>
      <c r="S126" s="122" t="str">
        <f t="shared" si="7"/>
        <v>#N/A</v>
      </c>
    </row>
    <row r="127">
      <c r="A127" s="123"/>
      <c r="B127" s="110" t="s">
        <v>414</v>
      </c>
      <c r="C127" s="111">
        <f>VLOOKUP(B127,'Dados StatusInvest'!$A:$Z,26,0)</f>
        <v>1222356</v>
      </c>
      <c r="D127" s="112">
        <f>VLOOKUP(B127,'Dados StatusInvest'!$A:$Z,20,0)/100</f>
        <v>0.1001</v>
      </c>
      <c r="E127" s="87" t="str">
        <f t="shared" si="1"/>
        <v>#N/A</v>
      </c>
      <c r="F127" s="113">
        <f>IF(ISERROR(1/VLOOKUP(B127,Capa!A:AH,13,0)),0,1/VLOOKUP(B127,Capa!A:AH,13,0))</f>
        <v>7.524454477</v>
      </c>
      <c r="G127" s="114">
        <f t="shared" si="2"/>
        <v>110.00011</v>
      </c>
      <c r="H127" s="115" t="str">
        <f t="shared" si="3"/>
        <v>#N/A</v>
      </c>
      <c r="M127" s="110" t="s">
        <v>414</v>
      </c>
      <c r="N127" s="111">
        <f>VLOOKUP(M127,'Dados StatusInvest'!$A:$Z,26,0)</f>
        <v>1222356</v>
      </c>
      <c r="O127" s="118">
        <f>VLOOKUP(M127,'Dados StatusInvest'!$A:$Z,18,0)/100</f>
        <v>0.1142</v>
      </c>
      <c r="P127" s="119" t="str">
        <f t="shared" si="5"/>
        <v>#N/A</v>
      </c>
      <c r="Q127" s="120">
        <f>IF(ISERROR(1/VLOOKUP(M127,Capa!A:AH,6,0)),0,1/VLOOKUP(M127,Capa!A:AH,6,0))</f>
        <v>0.03099814011</v>
      </c>
      <c r="R127" s="121">
        <f t="shared" si="6"/>
        <v>218.000218</v>
      </c>
      <c r="S127" s="122" t="str">
        <f t="shared" si="7"/>
        <v>#N/A</v>
      </c>
    </row>
    <row r="128">
      <c r="A128" s="123"/>
      <c r="B128" s="110" t="s">
        <v>629</v>
      </c>
      <c r="C128" s="111">
        <f>VLOOKUP(B128,'Dados StatusInvest'!$A:$Z,26,0)</f>
        <v>2808423</v>
      </c>
      <c r="D128" s="112">
        <f>VLOOKUP(B128,'Dados StatusInvest'!$A:$Z,20,0)/100</f>
        <v>0.0672</v>
      </c>
      <c r="E128" s="87" t="str">
        <f t="shared" si="1"/>
        <v>#N/A</v>
      </c>
      <c r="F128" s="113">
        <f>IF(ISERROR(1/VLOOKUP(B128,Capa!A:AH,13,0)),0,1/VLOOKUP(B128,Capa!A:AH,13,0))</f>
        <v>6.116518837</v>
      </c>
      <c r="G128" s="114">
        <f t="shared" si="2"/>
        <v>127.000127</v>
      </c>
      <c r="H128" s="115" t="str">
        <f t="shared" si="3"/>
        <v>#N/A</v>
      </c>
      <c r="M128" s="110" t="s">
        <v>629</v>
      </c>
      <c r="N128" s="111">
        <f>VLOOKUP(M128,'Dados StatusInvest'!$A:$Z,26,0)</f>
        <v>2808423</v>
      </c>
      <c r="O128" s="118">
        <f>VLOOKUP(M128,'Dados StatusInvest'!$A:$Z,18,0)/100</f>
        <v>0.1344</v>
      </c>
      <c r="P128" s="119" t="str">
        <f t="shared" si="5"/>
        <v>#N/A</v>
      </c>
      <c r="Q128" s="120">
        <f>IF(ISERROR(1/VLOOKUP(M128,Capa!A:AH,6,0)),0,1/VLOOKUP(M128,Capa!A:AH,6,0))</f>
        <v>0.1385041551</v>
      </c>
      <c r="R128" s="121">
        <f t="shared" si="6"/>
        <v>95.000095</v>
      </c>
      <c r="S128" s="122" t="str">
        <f t="shared" si="7"/>
        <v>#N/A</v>
      </c>
    </row>
    <row r="129">
      <c r="A129" s="123"/>
      <c r="B129" s="110" t="s">
        <v>456</v>
      </c>
      <c r="C129" s="111">
        <f>VLOOKUP(B129,'Dados StatusInvest'!$A:$Z,26,0)</f>
        <v>2909826</v>
      </c>
      <c r="D129" s="112">
        <f>VLOOKUP(B129,'Dados StatusInvest'!$A:$Z,20,0)/100</f>
        <v>0.0377</v>
      </c>
      <c r="E129" s="87" t="str">
        <f t="shared" si="1"/>
        <v>#N/A</v>
      </c>
      <c r="F129" s="113">
        <f>IF(ISERROR(1/VLOOKUP(B129,Capa!A:AH,13,0)),0,1/VLOOKUP(B129,Capa!A:AH,13,0))</f>
        <v>12.28387336</v>
      </c>
      <c r="G129" s="114">
        <f t="shared" si="2"/>
        <v>66.000066</v>
      </c>
      <c r="H129" s="115" t="str">
        <f t="shared" si="3"/>
        <v>#N/A</v>
      </c>
      <c r="M129" s="110" t="s">
        <v>456</v>
      </c>
      <c r="N129" s="111">
        <f>VLOOKUP(M129,'Dados StatusInvest'!$A:$Z,26,0)</f>
        <v>2909826</v>
      </c>
      <c r="O129" s="118">
        <f>VLOOKUP(M129,'Dados StatusInvest'!$A:$Z,18,0)/100</f>
        <v>0.0495</v>
      </c>
      <c r="P129" s="119" t="str">
        <f t="shared" si="5"/>
        <v>#N/A</v>
      </c>
      <c r="Q129" s="120">
        <f>IF(ISERROR(1/VLOOKUP(M129,Capa!A:AH,6,0)),0,1/VLOOKUP(M129,Capa!A:AH,6,0))</f>
        <v>0.2358490566</v>
      </c>
      <c r="R129" s="121">
        <f t="shared" si="6"/>
        <v>56.000056</v>
      </c>
      <c r="S129" s="122" t="str">
        <f t="shared" si="7"/>
        <v>#N/A</v>
      </c>
    </row>
    <row r="130">
      <c r="A130" s="123"/>
      <c r="B130" s="110" t="s">
        <v>1709</v>
      </c>
      <c r="C130" s="111" t="str">
        <f>VLOOKUP(B130,'Dados StatusInvest'!$A:$Z,26,0)</f>
        <v>#N/A</v>
      </c>
      <c r="D130" s="112" t="str">
        <f>VLOOKUP(B130,'Dados StatusInvest'!$A:$Z,20,0)/100</f>
        <v>#N/A</v>
      </c>
      <c r="E130" s="87" t="str">
        <f t="shared" si="1"/>
        <v>#N/A</v>
      </c>
      <c r="F130" s="113">
        <f>IF(ISERROR(1/VLOOKUP(B130,Capa!A:AH,13,0)),0,1/VLOOKUP(B130,Capa!A:AH,13,0))</f>
        <v>0</v>
      </c>
      <c r="G130" s="114">
        <f t="shared" si="2"/>
        <v>246.000246</v>
      </c>
      <c r="H130" s="115" t="str">
        <f t="shared" si="3"/>
        <v>#N/A</v>
      </c>
      <c r="M130" s="110" t="s">
        <v>1709</v>
      </c>
      <c r="N130" s="111" t="str">
        <f>VLOOKUP(M130,'Dados StatusInvest'!$A:$Z,26,0)</f>
        <v>#N/A</v>
      </c>
      <c r="O130" s="118" t="str">
        <f>VLOOKUP(M130,'Dados StatusInvest'!$A:$Z,18,0)/100</f>
        <v>#N/A</v>
      </c>
      <c r="P130" s="119" t="str">
        <f t="shared" si="5"/>
        <v>#N/A</v>
      </c>
      <c r="Q130" s="120">
        <f>IF(ISERROR(1/VLOOKUP(M130,Capa!A:AH,6,0)),0,1/VLOOKUP(M130,Capa!A:AH,6,0))</f>
        <v>0</v>
      </c>
      <c r="R130" s="121">
        <f t="shared" si="6"/>
        <v>306.000306</v>
      </c>
      <c r="S130" s="122" t="str">
        <f t="shared" si="7"/>
        <v>#N/A</v>
      </c>
    </row>
    <row r="131">
      <c r="A131" s="123"/>
      <c r="B131" s="110" t="s">
        <v>575</v>
      </c>
      <c r="C131" s="111">
        <f>VLOOKUP(B131,'Dados StatusInvest'!$A:$Z,26,0)</f>
        <v>33396585</v>
      </c>
      <c r="D131" s="112">
        <f>VLOOKUP(B131,'Dados StatusInvest'!$A:$Z,20,0)/100</f>
        <v>0.1165</v>
      </c>
      <c r="E131" s="87" t="str">
        <f t="shared" si="1"/>
        <v>#N/A</v>
      </c>
      <c r="F131" s="113">
        <f>IF(ISERROR(1/VLOOKUP(B131,Capa!A:AH,13,0)),0,1/VLOOKUP(B131,Capa!A:AH,13,0))</f>
        <v>5.044942847</v>
      </c>
      <c r="G131" s="114">
        <f t="shared" si="2"/>
        <v>162.000162</v>
      </c>
      <c r="H131" s="115" t="str">
        <f t="shared" si="3"/>
        <v>#N/A</v>
      </c>
      <c r="M131" s="110" t="s">
        <v>575</v>
      </c>
      <c r="N131" s="111">
        <f>VLOOKUP(M131,'Dados StatusInvest'!$A:$Z,26,0)</f>
        <v>33396585</v>
      </c>
      <c r="O131" s="118">
        <f>VLOOKUP(M131,'Dados StatusInvest'!$A:$Z,18,0)/100</f>
        <v>0.1249</v>
      </c>
      <c r="P131" s="119" t="str">
        <f t="shared" si="5"/>
        <v>#N/A</v>
      </c>
      <c r="Q131" s="120">
        <f>IF(ISERROR(1/VLOOKUP(M131,Capa!A:AH,6,0)),0,1/VLOOKUP(M131,Capa!A:AH,6,0))</f>
        <v>0.0624609619</v>
      </c>
      <c r="R131" s="121">
        <f t="shared" si="6"/>
        <v>165.000165</v>
      </c>
      <c r="S131" s="122" t="str">
        <f t="shared" si="7"/>
        <v>#N/A</v>
      </c>
    </row>
    <row r="132">
      <c r="A132" s="123"/>
      <c r="B132" s="110" t="s">
        <v>212</v>
      </c>
      <c r="C132" s="111">
        <f>VLOOKUP(B132,'Dados StatusInvest'!$A:$Z,26,0)</f>
        <v>2097796</v>
      </c>
      <c r="D132" s="112">
        <f>VLOOKUP(B132,'Dados StatusInvest'!$A:$Z,20,0)/100</f>
        <v>0.1205</v>
      </c>
      <c r="E132" s="87" t="str">
        <f t="shared" si="1"/>
        <v>#N/A</v>
      </c>
      <c r="F132" s="113">
        <f>IF(ISERROR(1/VLOOKUP(B132,Capa!A:AH,13,0)),0,1/VLOOKUP(B132,Capa!A:AH,13,0))</f>
        <v>7.279962883</v>
      </c>
      <c r="G132" s="114">
        <f t="shared" si="2"/>
        <v>113.000113</v>
      </c>
      <c r="H132" s="115" t="str">
        <f t="shared" si="3"/>
        <v>#N/A</v>
      </c>
      <c r="M132" s="110" t="s">
        <v>212</v>
      </c>
      <c r="N132" s="111">
        <f>VLOOKUP(M132,'Dados StatusInvest'!$A:$Z,26,0)</f>
        <v>2097796</v>
      </c>
      <c r="O132" s="118">
        <f>VLOOKUP(M132,'Dados StatusInvest'!$A:$Z,18,0)/100</f>
        <v>0.1399</v>
      </c>
      <c r="P132" s="119" t="str">
        <f t="shared" si="5"/>
        <v>#N/A</v>
      </c>
      <c r="Q132" s="120">
        <f>IF(ISERROR(1/VLOOKUP(M132,Capa!A:AH,6,0)),0,1/VLOOKUP(M132,Capa!A:AH,6,0))</f>
        <v>0.06570302234</v>
      </c>
      <c r="R132" s="121">
        <f t="shared" si="6"/>
        <v>158.000158</v>
      </c>
      <c r="S132" s="122" t="str">
        <f t="shared" si="7"/>
        <v>#N/A</v>
      </c>
    </row>
    <row r="133">
      <c r="A133" s="123"/>
      <c r="B133" s="110" t="s">
        <v>120</v>
      </c>
      <c r="C133" s="111">
        <f>VLOOKUP(B133,'Dados StatusInvest'!$A:$Z,26,0)</f>
        <v>0</v>
      </c>
      <c r="D133" s="112">
        <f>VLOOKUP(B133,'Dados StatusInvest'!$A:$Z,20,0)/100</f>
        <v>0</v>
      </c>
      <c r="E133" s="87" t="str">
        <f t="shared" si="1"/>
        <v>#N/A</v>
      </c>
      <c r="F133" s="113">
        <f>IF(ISERROR(1/VLOOKUP(B133,Capa!A:AH,13,0)),0,1/VLOOKUP(B133,Capa!A:AH,13,0))</f>
        <v>0</v>
      </c>
      <c r="G133" s="114">
        <f t="shared" si="2"/>
        <v>246.000246</v>
      </c>
      <c r="H133" s="115" t="str">
        <f t="shared" si="3"/>
        <v>#N/A</v>
      </c>
      <c r="M133" s="110" t="s">
        <v>120</v>
      </c>
      <c r="N133" s="111">
        <f>VLOOKUP(M133,'Dados StatusInvest'!$A:$Z,26,0)</f>
        <v>0</v>
      </c>
      <c r="O133" s="118">
        <f>VLOOKUP(M133,'Dados StatusInvest'!$A:$Z,18,0)/100</f>
        <v>-0.0045</v>
      </c>
      <c r="P133" s="119" t="str">
        <f t="shared" si="5"/>
        <v>#N/A</v>
      </c>
      <c r="Q133" s="120">
        <f>IF(ISERROR(1/VLOOKUP(M133,Capa!A:AH,6,0)),0,1/VLOOKUP(M133,Capa!A:AH,6,0))</f>
        <v>0</v>
      </c>
      <c r="R133" s="121">
        <f t="shared" si="6"/>
        <v>306.000306</v>
      </c>
      <c r="S133" s="122" t="str">
        <f t="shared" si="7"/>
        <v>#N/A</v>
      </c>
    </row>
    <row r="134">
      <c r="A134" s="123"/>
      <c r="B134" s="110" t="s">
        <v>186</v>
      </c>
      <c r="C134" s="111">
        <f>VLOOKUP(B134,'Dados StatusInvest'!$A:$Z,26,0)</f>
        <v>142000000</v>
      </c>
      <c r="D134" s="112">
        <f>VLOOKUP(B134,'Dados StatusInvest'!$A:$Z,20,0)/100</f>
        <v>0.1661</v>
      </c>
      <c r="E134" s="87" t="str">
        <f t="shared" si="1"/>
        <v>#N/A</v>
      </c>
      <c r="F134" s="113">
        <f>IF(ISERROR(1/VLOOKUP(B134,Capa!A:AH,13,0)),0,1/VLOOKUP(B134,Capa!A:AH,13,0))</f>
        <v>7.813393529</v>
      </c>
      <c r="G134" s="114">
        <f t="shared" si="2"/>
        <v>106.000106</v>
      </c>
      <c r="H134" s="115" t="str">
        <f t="shared" si="3"/>
        <v>#N/A</v>
      </c>
      <c r="M134" s="110" t="s">
        <v>186</v>
      </c>
      <c r="N134" s="111">
        <f>VLOOKUP(M134,'Dados StatusInvest'!$A:$Z,26,0)</f>
        <v>142000000</v>
      </c>
      <c r="O134" s="118">
        <f>VLOOKUP(M134,'Dados StatusInvest'!$A:$Z,18,0)/100</f>
        <v>0.1495</v>
      </c>
      <c r="P134" s="119" t="str">
        <f t="shared" si="5"/>
        <v>#N/A</v>
      </c>
      <c r="Q134" s="120">
        <f>IF(ISERROR(1/VLOOKUP(M134,Capa!A:AH,6,0)),0,1/VLOOKUP(M134,Capa!A:AH,6,0))</f>
        <v>0.07704160247</v>
      </c>
      <c r="R134" s="121">
        <f t="shared" si="6"/>
        <v>142.000142</v>
      </c>
      <c r="S134" s="122" t="str">
        <f t="shared" si="7"/>
        <v>#N/A</v>
      </c>
    </row>
    <row r="135">
      <c r="A135" s="123"/>
      <c r="B135" s="110" t="s">
        <v>1710</v>
      </c>
      <c r="C135" s="111" t="str">
        <f>VLOOKUP(B135,'Dados StatusInvest'!$A:$Z,26,0)</f>
        <v>#N/A</v>
      </c>
      <c r="D135" s="112" t="str">
        <f>VLOOKUP(B135,'Dados StatusInvest'!$A:$Z,20,0)/100</f>
        <v>#N/A</v>
      </c>
      <c r="E135" s="87" t="str">
        <f t="shared" si="1"/>
        <v>#N/A</v>
      </c>
      <c r="F135" s="113">
        <f>IF(ISERROR(1/VLOOKUP(B135,Capa!A:AH,13,0)),0,1/VLOOKUP(B135,Capa!A:AH,13,0))</f>
        <v>0</v>
      </c>
      <c r="G135" s="114">
        <f t="shared" si="2"/>
        <v>246.000246</v>
      </c>
      <c r="H135" s="115" t="str">
        <f t="shared" si="3"/>
        <v>#N/A</v>
      </c>
      <c r="M135" s="110" t="s">
        <v>1710</v>
      </c>
      <c r="N135" s="111" t="str">
        <f>VLOOKUP(M135,'Dados StatusInvest'!$A:$Z,26,0)</f>
        <v>#N/A</v>
      </c>
      <c r="O135" s="118" t="str">
        <f>VLOOKUP(M135,'Dados StatusInvest'!$A:$Z,18,0)/100</f>
        <v>#N/A</v>
      </c>
      <c r="P135" s="119" t="str">
        <f t="shared" si="5"/>
        <v>#N/A</v>
      </c>
      <c r="Q135" s="120">
        <f>IF(ISERROR(1/VLOOKUP(M135,Capa!A:AH,6,0)),0,1/VLOOKUP(M135,Capa!A:AH,6,0))</f>
        <v>0</v>
      </c>
      <c r="R135" s="121">
        <f t="shared" si="6"/>
        <v>306.000306</v>
      </c>
      <c r="S135" s="122" t="str">
        <f t="shared" si="7"/>
        <v>#N/A</v>
      </c>
    </row>
    <row r="136">
      <c r="A136" s="123"/>
      <c r="B136" s="110" t="s">
        <v>568</v>
      </c>
      <c r="C136" s="111">
        <f>VLOOKUP(B136,'Dados StatusInvest'!$A:$Z,26,0)</f>
        <v>17613954</v>
      </c>
      <c r="D136" s="112">
        <f>VLOOKUP(B136,'Dados StatusInvest'!$A:$Z,20,0)/100</f>
        <v>0.1493</v>
      </c>
      <c r="E136" s="87" t="str">
        <f t="shared" si="1"/>
        <v>#N/A</v>
      </c>
      <c r="F136" s="113">
        <f>IF(ISERROR(1/VLOOKUP(B136,Capa!A:AH,13,0)),0,1/VLOOKUP(B136,Capa!A:AH,13,0))</f>
        <v>6.102369778</v>
      </c>
      <c r="G136" s="114">
        <f t="shared" si="2"/>
        <v>128.000128</v>
      </c>
      <c r="H136" s="115" t="str">
        <f t="shared" si="3"/>
        <v>#N/A</v>
      </c>
      <c r="M136" s="110" t="s">
        <v>568</v>
      </c>
      <c r="N136" s="111">
        <f>VLOOKUP(M136,'Dados StatusInvest'!$A:$Z,26,0)</f>
        <v>17613954</v>
      </c>
      <c r="O136" s="118">
        <f>VLOOKUP(M136,'Dados StatusInvest'!$A:$Z,18,0)/100</f>
        <v>0.0825</v>
      </c>
      <c r="P136" s="119" t="str">
        <f t="shared" si="5"/>
        <v>#N/A</v>
      </c>
      <c r="Q136" s="120">
        <f>IF(ISERROR(1/VLOOKUP(M136,Capa!A:AH,6,0)),0,1/VLOOKUP(M136,Capa!A:AH,6,0))</f>
        <v>0.07880220646</v>
      </c>
      <c r="R136" s="121">
        <f t="shared" si="6"/>
        <v>140.00014</v>
      </c>
      <c r="S136" s="122" t="str">
        <f t="shared" si="7"/>
        <v>#N/A</v>
      </c>
    </row>
    <row r="137">
      <c r="A137" s="123"/>
      <c r="B137" s="110" t="s">
        <v>592</v>
      </c>
      <c r="C137" s="111">
        <f>VLOOKUP(B137,'Dados StatusInvest'!$A:$Z,26,0)</f>
        <v>3082209</v>
      </c>
      <c r="D137" s="112">
        <f>VLOOKUP(B137,'Dados StatusInvest'!$A:$Z,20,0)/100</f>
        <v>0.2476</v>
      </c>
      <c r="E137" s="87" t="str">
        <f t="shared" si="1"/>
        <v>#N/A</v>
      </c>
      <c r="F137" s="113">
        <f>IF(ISERROR(1/VLOOKUP(B137,Capa!A:AH,13,0)),0,1/VLOOKUP(B137,Capa!A:AH,13,0))</f>
        <v>0</v>
      </c>
      <c r="G137" s="114">
        <f t="shared" si="2"/>
        <v>246.000246</v>
      </c>
      <c r="H137" s="115" t="str">
        <f t="shared" si="3"/>
        <v>#N/A</v>
      </c>
      <c r="M137" s="110" t="s">
        <v>592</v>
      </c>
      <c r="N137" s="111">
        <f>VLOOKUP(M137,'Dados StatusInvest'!$A:$Z,26,0)</f>
        <v>3082209</v>
      </c>
      <c r="O137" s="118">
        <f>VLOOKUP(M137,'Dados StatusInvest'!$A:$Z,18,0)/100</f>
        <v>0.8031</v>
      </c>
      <c r="P137" s="119" t="str">
        <f t="shared" si="5"/>
        <v>#N/A</v>
      </c>
      <c r="Q137" s="120">
        <f>IF(ISERROR(1/VLOOKUP(M137,Capa!A:AH,6,0)),0,1/VLOOKUP(M137,Capa!A:AH,6,0))</f>
        <v>0</v>
      </c>
      <c r="R137" s="121">
        <f t="shared" si="6"/>
        <v>306.000306</v>
      </c>
      <c r="S137" s="122" t="str">
        <f t="shared" si="7"/>
        <v>#N/A</v>
      </c>
    </row>
    <row r="138">
      <c r="A138" s="123"/>
      <c r="B138" s="110" t="s">
        <v>590</v>
      </c>
      <c r="C138" s="111">
        <f>VLOOKUP(B138,'Dados StatusInvest'!$A:$Z,26,0)</f>
        <v>0</v>
      </c>
      <c r="D138" s="112">
        <f>VLOOKUP(B138,'Dados StatusInvest'!$A:$Z,20,0)/100</f>
        <v>0.0268</v>
      </c>
      <c r="E138" s="87" t="str">
        <f t="shared" si="1"/>
        <v>#N/A</v>
      </c>
      <c r="F138" s="113">
        <f>IF(ISERROR(1/VLOOKUP(B138,Capa!A:AH,13,0)),0,1/VLOOKUP(B138,Capa!A:AH,13,0))</f>
        <v>0</v>
      </c>
      <c r="G138" s="114">
        <f t="shared" si="2"/>
        <v>246.000246</v>
      </c>
      <c r="H138" s="115" t="str">
        <f t="shared" si="3"/>
        <v>#N/A</v>
      </c>
      <c r="M138" s="110" t="s">
        <v>590</v>
      </c>
      <c r="N138" s="111">
        <f>VLOOKUP(M138,'Dados StatusInvest'!$A:$Z,26,0)</f>
        <v>0</v>
      </c>
      <c r="O138" s="118">
        <f>VLOOKUP(M138,'Dados StatusInvest'!$A:$Z,18,0)/100</f>
        <v>-0.0335</v>
      </c>
      <c r="P138" s="119" t="str">
        <f t="shared" si="5"/>
        <v>#N/A</v>
      </c>
      <c r="Q138" s="120">
        <f>IF(ISERROR(1/VLOOKUP(M138,Capa!A:AH,6,0)),0,1/VLOOKUP(M138,Capa!A:AH,6,0))</f>
        <v>0</v>
      </c>
      <c r="R138" s="121">
        <f t="shared" si="6"/>
        <v>306.000306</v>
      </c>
      <c r="S138" s="122" t="str">
        <f t="shared" si="7"/>
        <v>#N/A</v>
      </c>
    </row>
    <row r="139">
      <c r="A139" s="123"/>
      <c r="B139" s="110" t="s">
        <v>68</v>
      </c>
      <c r="C139" s="111">
        <f>VLOOKUP(B139,'Dados StatusInvest'!$A:$Z,26,0)</f>
        <v>32185667</v>
      </c>
      <c r="D139" s="112">
        <f>VLOOKUP(B139,'Dados StatusInvest'!$A:$Z,20,0)/100</f>
        <v>0.1081</v>
      </c>
      <c r="E139" s="87" t="str">
        <f t="shared" si="1"/>
        <v>#N/A</v>
      </c>
      <c r="F139" s="113">
        <f>IF(ISERROR(1/VLOOKUP(B139,Capa!A:AH,13,0)),0,1/VLOOKUP(B139,Capa!A:AH,13,0))</f>
        <v>1.390846218</v>
      </c>
      <c r="G139" s="114">
        <f t="shared" si="2"/>
        <v>235.000235</v>
      </c>
      <c r="H139" s="115" t="str">
        <f t="shared" si="3"/>
        <v>#N/A</v>
      </c>
      <c r="M139" s="110" t="s">
        <v>68</v>
      </c>
      <c r="N139" s="111">
        <f>VLOOKUP(M139,'Dados StatusInvest'!$A:$Z,26,0)</f>
        <v>32185667</v>
      </c>
      <c r="O139" s="118">
        <f>VLOOKUP(M139,'Dados StatusInvest'!$A:$Z,18,0)/100</f>
        <v>0.1293</v>
      </c>
      <c r="P139" s="119" t="str">
        <f t="shared" si="5"/>
        <v>#N/A</v>
      </c>
      <c r="Q139" s="120">
        <f>IF(ISERROR(1/VLOOKUP(M139,Capa!A:AH,6,0)),0,1/VLOOKUP(M139,Capa!A:AH,6,0))</f>
        <v>0.02783964365</v>
      </c>
      <c r="R139" s="121">
        <f t="shared" si="6"/>
        <v>231.000231</v>
      </c>
      <c r="S139" s="122" t="str">
        <f t="shared" si="7"/>
        <v>#N/A</v>
      </c>
    </row>
    <row r="140">
      <c r="A140" s="123"/>
      <c r="B140" s="110" t="s">
        <v>514</v>
      </c>
      <c r="C140" s="111">
        <f>VLOOKUP(B140,'Dados StatusInvest'!$A:$Z,26,0)</f>
        <v>6662684</v>
      </c>
      <c r="D140" s="112">
        <f>VLOOKUP(B140,'Dados StatusInvest'!$A:$Z,20,0)/100</f>
        <v>0.069</v>
      </c>
      <c r="E140" s="87" t="str">
        <f t="shared" si="1"/>
        <v>#N/A</v>
      </c>
      <c r="F140" s="113">
        <f>IF(ISERROR(1/VLOOKUP(B140,Capa!A:AH,13,0)),0,1/VLOOKUP(B140,Capa!A:AH,13,0))</f>
        <v>15.46550004</v>
      </c>
      <c r="G140" s="114">
        <f t="shared" si="2"/>
        <v>40.00004</v>
      </c>
      <c r="H140" s="115" t="str">
        <f t="shared" si="3"/>
        <v>#N/A</v>
      </c>
      <c r="M140" s="110" t="s">
        <v>514</v>
      </c>
      <c r="N140" s="111">
        <f>VLOOKUP(M140,'Dados StatusInvest'!$A:$Z,26,0)</f>
        <v>6662684</v>
      </c>
      <c r="O140" s="118">
        <f>VLOOKUP(M140,'Dados StatusInvest'!$A:$Z,18,0)/100</f>
        <v>-0.0002</v>
      </c>
      <c r="P140" s="119" t="str">
        <f t="shared" si="5"/>
        <v>#N/A</v>
      </c>
      <c r="Q140" s="120">
        <f>IF(ISERROR(1/VLOOKUP(M140,Capa!A:AH,6,0)),0,1/VLOOKUP(M140,Capa!A:AH,6,0))</f>
        <v>0.2481389578</v>
      </c>
      <c r="R140" s="121">
        <f t="shared" si="6"/>
        <v>49.000049</v>
      </c>
      <c r="S140" s="122" t="str">
        <f t="shared" si="7"/>
        <v>#N/A</v>
      </c>
    </row>
    <row r="141">
      <c r="A141" s="123"/>
      <c r="B141" s="110" t="s">
        <v>485</v>
      </c>
      <c r="C141" s="111">
        <f>VLOOKUP(B141,'Dados StatusInvest'!$A:$Z,26,0)</f>
        <v>0</v>
      </c>
      <c r="D141" s="112">
        <f>VLOOKUP(B141,'Dados StatusInvest'!$A:$Z,20,0)/100</f>
        <v>102.2116</v>
      </c>
      <c r="E141" s="87" t="str">
        <f t="shared" si="1"/>
        <v>#N/A</v>
      </c>
      <c r="F141" s="113">
        <f>IF(ISERROR(1/VLOOKUP(B141,Capa!A:AH,13,0)),0,1/VLOOKUP(B141,Capa!A:AH,13,0))</f>
        <v>0</v>
      </c>
      <c r="G141" s="114">
        <f t="shared" si="2"/>
        <v>246.000246</v>
      </c>
      <c r="H141" s="115" t="str">
        <f t="shared" si="3"/>
        <v>#N/A</v>
      </c>
      <c r="M141" s="110" t="s">
        <v>485</v>
      </c>
      <c r="N141" s="111">
        <f>VLOOKUP(M141,'Dados StatusInvest'!$A:$Z,26,0)</f>
        <v>0</v>
      </c>
      <c r="O141" s="118">
        <f>VLOOKUP(M141,'Dados StatusInvest'!$A:$Z,18,0)/100</f>
        <v>132.6877</v>
      </c>
      <c r="P141" s="119" t="str">
        <f t="shared" si="5"/>
        <v>#N/A</v>
      </c>
      <c r="Q141" s="120">
        <f>IF(ISERROR(1/VLOOKUP(M141,Capa!A:AH,6,0)),0,1/VLOOKUP(M141,Capa!A:AH,6,0))</f>
        <v>0</v>
      </c>
      <c r="R141" s="121">
        <f t="shared" si="6"/>
        <v>306.000306</v>
      </c>
      <c r="S141" s="122" t="str">
        <f t="shared" si="7"/>
        <v>#N/A</v>
      </c>
    </row>
    <row r="142">
      <c r="A142" s="123"/>
      <c r="B142" s="110" t="s">
        <v>290</v>
      </c>
      <c r="C142" s="111">
        <f>VLOOKUP(B142,'Dados StatusInvest'!$A:$Z,26,0)</f>
        <v>202000000</v>
      </c>
      <c r="D142" s="112">
        <f>VLOOKUP(B142,'Dados StatusInvest'!$A:$Z,20,0)/100</f>
        <v>0.086</v>
      </c>
      <c r="E142" s="87" t="str">
        <f t="shared" si="1"/>
        <v>#N/A</v>
      </c>
      <c r="F142" s="113">
        <f>IF(ISERROR(1/VLOOKUP(B142,Capa!A:AH,13,0)),0,1/VLOOKUP(B142,Capa!A:AH,13,0))</f>
        <v>0</v>
      </c>
      <c r="G142" s="114">
        <f t="shared" si="2"/>
        <v>246.000246</v>
      </c>
      <c r="H142" s="115" t="str">
        <f t="shared" si="3"/>
        <v>#N/A</v>
      </c>
      <c r="M142" s="110" t="s">
        <v>290</v>
      </c>
      <c r="N142" s="111">
        <f>VLOOKUP(M142,'Dados StatusInvest'!$A:$Z,26,0)</f>
        <v>202000000</v>
      </c>
      <c r="O142" s="118">
        <f>VLOOKUP(M142,'Dados StatusInvest'!$A:$Z,18,0)/100</f>
        <v>0.1253</v>
      </c>
      <c r="P142" s="119" t="str">
        <f t="shared" si="5"/>
        <v>#N/A</v>
      </c>
      <c r="Q142" s="120">
        <f>IF(ISERROR(1/VLOOKUP(M142,Capa!A:AH,6,0)),0,1/VLOOKUP(M142,Capa!A:AH,6,0))</f>
        <v>0</v>
      </c>
      <c r="R142" s="121">
        <f t="shared" si="6"/>
        <v>306.000306</v>
      </c>
      <c r="S142" s="122" t="str">
        <f t="shared" si="7"/>
        <v>#N/A</v>
      </c>
    </row>
    <row r="143">
      <c r="A143" s="123"/>
      <c r="B143" s="110" t="s">
        <v>127</v>
      </c>
      <c r="C143" s="111">
        <f>VLOOKUP(B143,'Dados StatusInvest'!$A:$Z,26,0)</f>
        <v>6577541</v>
      </c>
      <c r="D143" s="112">
        <f>VLOOKUP(B143,'Dados StatusInvest'!$A:$Z,20,0)/100</f>
        <v>0</v>
      </c>
      <c r="E143" s="87" t="str">
        <f t="shared" si="1"/>
        <v>#N/A</v>
      </c>
      <c r="F143" s="113">
        <f>IF(ISERROR(1/VLOOKUP(B143,Capa!A:AH,13,0)),0,1/VLOOKUP(B143,Capa!A:AH,13,0))</f>
        <v>35.03767098</v>
      </c>
      <c r="G143" s="114">
        <f t="shared" si="2"/>
        <v>22.000022</v>
      </c>
      <c r="H143" s="115" t="str">
        <f t="shared" si="3"/>
        <v>#N/A</v>
      </c>
      <c r="M143" s="110" t="s">
        <v>127</v>
      </c>
      <c r="N143" s="111">
        <f>VLOOKUP(M143,'Dados StatusInvest'!$A:$Z,26,0)</f>
        <v>6577541</v>
      </c>
      <c r="O143" s="118">
        <f>VLOOKUP(M143,'Dados StatusInvest'!$A:$Z,18,0)/100</f>
        <v>0.0862</v>
      </c>
      <c r="P143" s="119" t="str">
        <f t="shared" si="5"/>
        <v>#N/A</v>
      </c>
      <c r="Q143" s="120">
        <f>IF(ISERROR(1/VLOOKUP(M143,Capa!A:AH,6,0)),0,1/VLOOKUP(M143,Capa!A:AH,6,0))</f>
        <v>0.2087682672</v>
      </c>
      <c r="R143" s="121">
        <f t="shared" si="6"/>
        <v>63.000063</v>
      </c>
      <c r="S143" s="122" t="str">
        <f t="shared" si="7"/>
        <v>#N/A</v>
      </c>
    </row>
    <row r="144">
      <c r="A144" s="123"/>
      <c r="B144" s="110" t="s">
        <v>264</v>
      </c>
      <c r="C144" s="111">
        <f>VLOOKUP(B144,'Dados StatusInvest'!$A:$Z,26,0)</f>
        <v>117000000</v>
      </c>
      <c r="D144" s="112">
        <f>VLOOKUP(B144,'Dados StatusInvest'!$A:$Z,20,0)/100</f>
        <v>0.1567</v>
      </c>
      <c r="E144" s="87" t="str">
        <f t="shared" si="1"/>
        <v>#N/A</v>
      </c>
      <c r="F144" s="113">
        <f>IF(ISERROR(1/VLOOKUP(B144,Capa!A:AH,13,0)),0,1/VLOOKUP(B144,Capa!A:AH,13,0))</f>
        <v>4.274063819</v>
      </c>
      <c r="G144" s="114">
        <f t="shared" si="2"/>
        <v>178.000178</v>
      </c>
      <c r="H144" s="115" t="str">
        <f t="shared" si="3"/>
        <v>#N/A</v>
      </c>
      <c r="M144" s="110" t="s">
        <v>264</v>
      </c>
      <c r="N144" s="111">
        <f>VLOOKUP(M144,'Dados StatusInvest'!$A:$Z,26,0)</f>
        <v>117000000</v>
      </c>
      <c r="O144" s="118">
        <f>VLOOKUP(M144,'Dados StatusInvest'!$A:$Z,18,0)/100</f>
        <v>0.3105</v>
      </c>
      <c r="P144" s="119" t="str">
        <f t="shared" si="5"/>
        <v>#N/A</v>
      </c>
      <c r="Q144" s="120">
        <f>IF(ISERROR(1/VLOOKUP(M144,Capa!A:AH,6,0)),0,1/VLOOKUP(M144,Capa!A:AH,6,0))</f>
        <v>0.06042296073</v>
      </c>
      <c r="R144" s="121">
        <f t="shared" si="6"/>
        <v>167.000167</v>
      </c>
      <c r="S144" s="122" t="str">
        <f t="shared" si="7"/>
        <v>#N/A</v>
      </c>
    </row>
    <row r="145">
      <c r="A145" s="123"/>
      <c r="B145" s="110" t="s">
        <v>351</v>
      </c>
      <c r="C145" s="111">
        <f>VLOOKUP(B145,'Dados StatusInvest'!$A:$Z,26,0)</f>
        <v>19559389</v>
      </c>
      <c r="D145" s="112">
        <f>VLOOKUP(B145,'Dados StatusInvest'!$A:$Z,20,0)/100</f>
        <v>0.091</v>
      </c>
      <c r="E145" s="87" t="str">
        <f t="shared" si="1"/>
        <v>#N/A</v>
      </c>
      <c r="F145" s="113">
        <f>IF(ISERROR(1/VLOOKUP(B145,Capa!A:AH,13,0)),0,1/VLOOKUP(B145,Capa!A:AH,13,0))</f>
        <v>5.837442958</v>
      </c>
      <c r="G145" s="114">
        <f t="shared" si="2"/>
        <v>137.000137</v>
      </c>
      <c r="H145" s="115" t="str">
        <f t="shared" si="3"/>
        <v>#N/A</v>
      </c>
      <c r="M145" s="110" t="s">
        <v>351</v>
      </c>
      <c r="N145" s="111">
        <f>VLOOKUP(M145,'Dados StatusInvest'!$A:$Z,26,0)</f>
        <v>19559389</v>
      </c>
      <c r="O145" s="118">
        <f>VLOOKUP(M145,'Dados StatusInvest'!$A:$Z,18,0)/100</f>
        <v>0.1792</v>
      </c>
      <c r="P145" s="119" t="str">
        <f t="shared" si="5"/>
        <v>#N/A</v>
      </c>
      <c r="Q145" s="120">
        <f>IF(ISERROR(1/VLOOKUP(M145,Capa!A:AH,6,0)),0,1/VLOOKUP(M145,Capa!A:AH,6,0))</f>
        <v>0.2074688797</v>
      </c>
      <c r="R145" s="121">
        <f t="shared" si="6"/>
        <v>65.000065</v>
      </c>
      <c r="S145" s="122" t="str">
        <f t="shared" si="7"/>
        <v>#N/A</v>
      </c>
    </row>
    <row r="146">
      <c r="A146" s="123"/>
      <c r="B146" s="110" t="s">
        <v>546</v>
      </c>
      <c r="C146" s="111">
        <f>VLOOKUP(B146,'Dados StatusInvest'!$A:$Z,26,0)</f>
        <v>0</v>
      </c>
      <c r="D146" s="112">
        <f>VLOOKUP(B146,'Dados StatusInvest'!$A:$Z,20,0)/100</f>
        <v>0.0546</v>
      </c>
      <c r="E146" s="87" t="str">
        <f t="shared" si="1"/>
        <v>#N/A</v>
      </c>
      <c r="F146" s="113">
        <f>IF(ISERROR(1/VLOOKUP(B146,Capa!A:AH,13,0)),0,1/VLOOKUP(B146,Capa!A:AH,13,0))</f>
        <v>0</v>
      </c>
      <c r="G146" s="114">
        <f t="shared" si="2"/>
        <v>246.000246</v>
      </c>
      <c r="H146" s="115" t="str">
        <f t="shared" si="3"/>
        <v>#N/A</v>
      </c>
      <c r="M146" s="110" t="s">
        <v>546</v>
      </c>
      <c r="N146" s="111">
        <f>VLOOKUP(M146,'Dados StatusInvest'!$A:$Z,26,0)</f>
        <v>0</v>
      </c>
      <c r="O146" s="118">
        <f>VLOOKUP(M146,'Dados StatusInvest'!$A:$Z,18,0)/100</f>
        <v>0.0515</v>
      </c>
      <c r="P146" s="119" t="str">
        <f t="shared" si="5"/>
        <v>#N/A</v>
      </c>
      <c r="Q146" s="120">
        <f>IF(ISERROR(1/VLOOKUP(M146,Capa!A:AH,6,0)),0,1/VLOOKUP(M146,Capa!A:AH,6,0))</f>
        <v>0</v>
      </c>
      <c r="R146" s="121">
        <f t="shared" si="6"/>
        <v>306.000306</v>
      </c>
      <c r="S146" s="122" t="str">
        <f t="shared" si="7"/>
        <v>#N/A</v>
      </c>
    </row>
    <row r="147">
      <c r="A147" s="123"/>
      <c r="B147" s="110" t="s">
        <v>631</v>
      </c>
      <c r="C147" s="111">
        <f>VLOOKUP(B147,'Dados StatusInvest'!$A:$Z,26,0)</f>
        <v>16508021</v>
      </c>
      <c r="D147" s="112">
        <f>VLOOKUP(B147,'Dados StatusInvest'!$A:$Z,20,0)/100</f>
        <v>0.0135</v>
      </c>
      <c r="E147" s="87" t="str">
        <f t="shared" si="1"/>
        <v>#N/A</v>
      </c>
      <c r="F147" s="113">
        <f>IF(ISERROR(1/VLOOKUP(B147,Capa!A:AH,13,0)),0,1/VLOOKUP(B147,Capa!A:AH,13,0))</f>
        <v>80.25240888</v>
      </c>
      <c r="G147" s="114">
        <f t="shared" si="2"/>
        <v>16.000016</v>
      </c>
      <c r="H147" s="115" t="str">
        <f t="shared" si="3"/>
        <v>#N/A</v>
      </c>
      <c r="M147" s="110" t="s">
        <v>631</v>
      </c>
      <c r="N147" s="111">
        <f>VLOOKUP(M147,'Dados StatusInvest'!$A:$Z,26,0)</f>
        <v>16508021</v>
      </c>
      <c r="O147" s="118">
        <f>VLOOKUP(M147,'Dados StatusInvest'!$A:$Z,18,0)/100</f>
        <v>-0.0413</v>
      </c>
      <c r="P147" s="119" t="str">
        <f t="shared" si="5"/>
        <v>#N/A</v>
      </c>
      <c r="Q147" s="120">
        <f>IF(ISERROR(1/VLOOKUP(M147,Capa!A:AH,6,0)),0,1/VLOOKUP(M147,Capa!A:AH,6,0))</f>
        <v>0.08156606852</v>
      </c>
      <c r="R147" s="121">
        <f t="shared" si="6"/>
        <v>135.000135</v>
      </c>
      <c r="S147" s="122" t="str">
        <f t="shared" si="7"/>
        <v>#N/A</v>
      </c>
    </row>
    <row r="148">
      <c r="A148" s="123"/>
      <c r="B148" s="110" t="s">
        <v>52</v>
      </c>
      <c r="C148" s="111">
        <f>VLOOKUP(B148,'Dados StatusInvest'!$A:$Z,26,0)</f>
        <v>20208097</v>
      </c>
      <c r="D148" s="112">
        <f>VLOOKUP(B148,'Dados StatusInvest'!$A:$Z,20,0)/100</f>
        <v>0</v>
      </c>
      <c r="E148" s="87" t="str">
        <f t="shared" si="1"/>
        <v>#N/A</v>
      </c>
      <c r="F148" s="113">
        <f>IF(ISERROR(1/VLOOKUP(B148,Capa!A:AH,13,0)),0,1/VLOOKUP(B148,Capa!A:AH,13,0))</f>
        <v>0</v>
      </c>
      <c r="G148" s="114">
        <f t="shared" si="2"/>
        <v>246.000246</v>
      </c>
      <c r="H148" s="115" t="str">
        <f t="shared" si="3"/>
        <v>#N/A</v>
      </c>
      <c r="M148" s="110" t="s">
        <v>52</v>
      </c>
      <c r="N148" s="111">
        <f>VLOOKUP(M148,'Dados StatusInvest'!$A:$Z,26,0)</f>
        <v>20208097</v>
      </c>
      <c r="O148" s="118">
        <f>VLOOKUP(M148,'Dados StatusInvest'!$A:$Z,18,0)/100</f>
        <v>0.1482</v>
      </c>
      <c r="P148" s="119" t="str">
        <f t="shared" si="5"/>
        <v>#N/A</v>
      </c>
      <c r="Q148" s="120">
        <f>IF(ISERROR(1/VLOOKUP(M148,Capa!A:AH,6,0)),0,1/VLOOKUP(M148,Capa!A:AH,6,0))</f>
        <v>0</v>
      </c>
      <c r="R148" s="121">
        <f t="shared" si="6"/>
        <v>306.000306</v>
      </c>
      <c r="S148" s="122" t="str">
        <f t="shared" si="7"/>
        <v>#N/A</v>
      </c>
    </row>
    <row r="149">
      <c r="A149" s="123"/>
      <c r="B149" s="110" t="s">
        <v>563</v>
      </c>
      <c r="C149" s="111">
        <f>VLOOKUP(B149,'Dados StatusInvest'!$A:$Z,26,0)</f>
        <v>10479448</v>
      </c>
      <c r="D149" s="112">
        <f>VLOOKUP(B149,'Dados StatusInvest'!$A:$Z,20,0)/100</f>
        <v>0.1211</v>
      </c>
      <c r="E149" s="87" t="str">
        <f t="shared" si="1"/>
        <v>#N/A</v>
      </c>
      <c r="F149" s="113">
        <f>IF(ISERROR(1/VLOOKUP(B149,Capa!A:AH,13,0)),0,1/VLOOKUP(B149,Capa!A:AH,13,0))</f>
        <v>2.957327661</v>
      </c>
      <c r="G149" s="114">
        <f t="shared" si="2"/>
        <v>203.000203</v>
      </c>
      <c r="H149" s="115" t="str">
        <f t="shared" si="3"/>
        <v>#N/A</v>
      </c>
      <c r="M149" s="110" t="s">
        <v>563</v>
      </c>
      <c r="N149" s="111">
        <f>VLOOKUP(M149,'Dados StatusInvest'!$A:$Z,26,0)</f>
        <v>10479448</v>
      </c>
      <c r="O149" s="118">
        <f>VLOOKUP(M149,'Dados StatusInvest'!$A:$Z,18,0)/100</f>
        <v>0.1771</v>
      </c>
      <c r="P149" s="119" t="str">
        <f t="shared" si="5"/>
        <v>#N/A</v>
      </c>
      <c r="Q149" s="120">
        <f>IF(ISERROR(1/VLOOKUP(M149,Capa!A:AH,6,0)),0,1/VLOOKUP(M149,Capa!A:AH,6,0))</f>
        <v>0.1146788991</v>
      </c>
      <c r="R149" s="121">
        <f t="shared" si="6"/>
        <v>109.000109</v>
      </c>
      <c r="S149" s="122" t="str">
        <f t="shared" si="7"/>
        <v>#N/A</v>
      </c>
    </row>
    <row r="150">
      <c r="A150" s="123"/>
      <c r="B150" s="110" t="s">
        <v>177</v>
      </c>
      <c r="C150" s="111">
        <f>VLOOKUP(B150,'Dados StatusInvest'!$A:$Z,26,0)</f>
        <v>9848453</v>
      </c>
      <c r="D150" s="112">
        <f>VLOOKUP(B150,'Dados StatusInvest'!$A:$Z,20,0)/100</f>
        <v>0.0438</v>
      </c>
      <c r="E150" s="87" t="str">
        <f t="shared" si="1"/>
        <v>#N/A</v>
      </c>
      <c r="F150" s="113">
        <f>IF(ISERROR(1/VLOOKUP(B150,Capa!A:AH,13,0)),0,1/VLOOKUP(B150,Capa!A:AH,13,0))</f>
        <v>16.87062691</v>
      </c>
      <c r="G150" s="114">
        <f t="shared" si="2"/>
        <v>36.000036</v>
      </c>
      <c r="H150" s="115" t="str">
        <f t="shared" si="3"/>
        <v>#N/A</v>
      </c>
      <c r="M150" s="110" t="s">
        <v>177</v>
      </c>
      <c r="N150" s="111">
        <f>VLOOKUP(M150,'Dados StatusInvest'!$A:$Z,26,0)</f>
        <v>9848453</v>
      </c>
      <c r="O150" s="118">
        <f>VLOOKUP(M150,'Dados StatusInvest'!$A:$Z,18,0)/100</f>
        <v>0.0675</v>
      </c>
      <c r="P150" s="119" t="str">
        <f t="shared" si="5"/>
        <v>#N/A</v>
      </c>
      <c r="Q150" s="120">
        <f>IF(ISERROR(1/VLOOKUP(M150,Capa!A:AH,6,0)),0,1/VLOOKUP(M150,Capa!A:AH,6,0))</f>
        <v>0.1519756839</v>
      </c>
      <c r="R150" s="121">
        <f t="shared" si="6"/>
        <v>89.000089</v>
      </c>
      <c r="S150" s="122" t="str">
        <f t="shared" si="7"/>
        <v>#N/A</v>
      </c>
    </row>
    <row r="151">
      <c r="A151" s="123"/>
      <c r="B151" s="110" t="s">
        <v>225</v>
      </c>
      <c r="C151" s="111">
        <f>VLOOKUP(B151,'Dados StatusInvest'!$A:$Z,26,0)</f>
        <v>278000000</v>
      </c>
      <c r="D151" s="112">
        <f>VLOOKUP(B151,'Dados StatusInvest'!$A:$Z,20,0)/100</f>
        <v>0.0815</v>
      </c>
      <c r="E151" s="87" t="str">
        <f t="shared" si="1"/>
        <v>#N/A</v>
      </c>
      <c r="F151" s="113">
        <f>IF(ISERROR(1/VLOOKUP(B151,Capa!A:AH,13,0)),0,1/VLOOKUP(B151,Capa!A:AH,13,0))</f>
        <v>5.460402202</v>
      </c>
      <c r="G151" s="114">
        <f t="shared" si="2"/>
        <v>145.000145</v>
      </c>
      <c r="H151" s="115" t="str">
        <f t="shared" si="3"/>
        <v>#N/A</v>
      </c>
      <c r="M151" s="110" t="s">
        <v>225</v>
      </c>
      <c r="N151" s="111">
        <f>VLOOKUP(M151,'Dados StatusInvest'!$A:$Z,26,0)</f>
        <v>278000000</v>
      </c>
      <c r="O151" s="118">
        <f>VLOOKUP(M151,'Dados StatusInvest'!$A:$Z,18,0)/100</f>
        <v>0.085</v>
      </c>
      <c r="P151" s="119" t="str">
        <f t="shared" si="5"/>
        <v>#N/A</v>
      </c>
      <c r="Q151" s="120">
        <f>IF(ISERROR(1/VLOOKUP(M151,Capa!A:AH,6,0)),0,1/VLOOKUP(M151,Capa!A:AH,6,0))</f>
        <v>0.07097232079</v>
      </c>
      <c r="R151" s="121">
        <f t="shared" si="6"/>
        <v>148.000148</v>
      </c>
      <c r="S151" s="122" t="str">
        <f t="shared" si="7"/>
        <v>#N/A</v>
      </c>
    </row>
    <row r="152">
      <c r="A152" s="123"/>
      <c r="B152" s="110" t="s">
        <v>413</v>
      </c>
      <c r="C152" s="111">
        <f>VLOOKUP(B152,'Dados StatusInvest'!$A:$Z,26,0)</f>
        <v>11479625</v>
      </c>
      <c r="D152" s="112">
        <f>VLOOKUP(B152,'Dados StatusInvest'!$A:$Z,20,0)/100</f>
        <v>0.0832</v>
      </c>
      <c r="E152" s="87" t="str">
        <f t="shared" si="1"/>
        <v>#N/A</v>
      </c>
      <c r="F152" s="113">
        <f>IF(ISERROR(1/VLOOKUP(B152,Capa!A:AH,13,0)),0,1/VLOOKUP(B152,Capa!A:AH,13,0))</f>
        <v>0.4037535196</v>
      </c>
      <c r="G152" s="114">
        <f t="shared" si="2"/>
        <v>244.000244</v>
      </c>
      <c r="H152" s="115" t="str">
        <f t="shared" si="3"/>
        <v>#N/A</v>
      </c>
      <c r="M152" s="110" t="s">
        <v>413</v>
      </c>
      <c r="N152" s="111">
        <f>VLOOKUP(M152,'Dados StatusInvest'!$A:$Z,26,0)</f>
        <v>11479625</v>
      </c>
      <c r="O152" s="118">
        <f>VLOOKUP(M152,'Dados StatusInvest'!$A:$Z,18,0)/100</f>
        <v>0.1002</v>
      </c>
      <c r="P152" s="119" t="str">
        <f t="shared" si="5"/>
        <v>#N/A</v>
      </c>
      <c r="Q152" s="120">
        <f>IF(ISERROR(1/VLOOKUP(M152,Capa!A:AH,6,0)),0,1/VLOOKUP(M152,Capa!A:AH,6,0))</f>
        <v>0.03696857671</v>
      </c>
      <c r="R152" s="121">
        <f t="shared" si="6"/>
        <v>209.000209</v>
      </c>
      <c r="S152" s="122" t="str">
        <f t="shared" si="7"/>
        <v>#N/A</v>
      </c>
    </row>
    <row r="153">
      <c r="A153" s="123"/>
      <c r="B153" s="110" t="s">
        <v>428</v>
      </c>
      <c r="C153" s="111">
        <f>VLOOKUP(B153,'Dados StatusInvest'!$A:$Z,26,0)</f>
        <v>235340.3</v>
      </c>
      <c r="D153" s="112">
        <f>VLOOKUP(B153,'Dados StatusInvest'!$A:$Z,20,0)/100</f>
        <v>-0.0055</v>
      </c>
      <c r="E153" s="87" t="str">
        <f t="shared" si="1"/>
        <v>#N/A</v>
      </c>
      <c r="F153" s="113">
        <f>IF(ISERROR(1/VLOOKUP(B153,Capa!A:AH,13,0)),0,1/VLOOKUP(B153,Capa!A:AH,13,0))</f>
        <v>71.80582755</v>
      </c>
      <c r="G153" s="114">
        <f t="shared" si="2"/>
        <v>17.000017</v>
      </c>
      <c r="H153" s="115" t="str">
        <f t="shared" si="3"/>
        <v>#N/A</v>
      </c>
      <c r="M153" s="110" t="s">
        <v>428</v>
      </c>
      <c r="N153" s="111">
        <f>VLOOKUP(M153,'Dados StatusInvest'!$A:$Z,26,0)</f>
        <v>235340.3</v>
      </c>
      <c r="O153" s="118">
        <f>VLOOKUP(M153,'Dados StatusInvest'!$A:$Z,18,0)/100</f>
        <v>-0.1618</v>
      </c>
      <c r="P153" s="119" t="str">
        <f t="shared" si="5"/>
        <v>#N/A</v>
      </c>
      <c r="Q153" s="120">
        <f>IF(ISERROR(1/VLOOKUP(M153,Capa!A:AH,6,0)),0,1/VLOOKUP(M153,Capa!A:AH,6,0))</f>
        <v>0.826446281</v>
      </c>
      <c r="R153" s="121">
        <f t="shared" si="6"/>
        <v>13.000013</v>
      </c>
      <c r="S153" s="122" t="str">
        <f t="shared" si="7"/>
        <v>#N/A</v>
      </c>
    </row>
    <row r="154">
      <c r="A154" s="123"/>
      <c r="B154" s="110" t="s">
        <v>1711</v>
      </c>
      <c r="C154" s="111" t="str">
        <f>VLOOKUP(B154,'Dados StatusInvest'!$A:$Z,26,0)</f>
        <v>#N/A</v>
      </c>
      <c r="D154" s="112" t="str">
        <f>VLOOKUP(B154,'Dados StatusInvest'!$A:$Z,20,0)/100</f>
        <v>#N/A</v>
      </c>
      <c r="E154" s="87" t="str">
        <f t="shared" si="1"/>
        <v>#N/A</v>
      </c>
      <c r="F154" s="113">
        <f>IF(ISERROR(1/VLOOKUP(B154,Capa!A:AH,13,0)),0,1/VLOOKUP(B154,Capa!A:AH,13,0))</f>
        <v>0</v>
      </c>
      <c r="G154" s="114">
        <f t="shared" si="2"/>
        <v>246.000246</v>
      </c>
      <c r="H154" s="115" t="str">
        <f t="shared" si="3"/>
        <v>#N/A</v>
      </c>
      <c r="M154" s="110" t="s">
        <v>1711</v>
      </c>
      <c r="N154" s="111" t="str">
        <f>VLOOKUP(M154,'Dados StatusInvest'!$A:$Z,26,0)</f>
        <v>#N/A</v>
      </c>
      <c r="O154" s="118" t="str">
        <f>VLOOKUP(M154,'Dados StatusInvest'!$A:$Z,18,0)/100</f>
        <v>#N/A</v>
      </c>
      <c r="P154" s="119" t="str">
        <f t="shared" si="5"/>
        <v>#N/A</v>
      </c>
      <c r="Q154" s="120">
        <f>IF(ISERROR(1/VLOOKUP(M154,Capa!A:AH,6,0)),0,1/VLOOKUP(M154,Capa!A:AH,6,0))</f>
        <v>0</v>
      </c>
      <c r="R154" s="121">
        <f t="shared" si="6"/>
        <v>306.000306</v>
      </c>
      <c r="S154" s="122" t="str">
        <f t="shared" si="7"/>
        <v>#N/A</v>
      </c>
    </row>
    <row r="155">
      <c r="A155" s="123"/>
      <c r="B155" s="110" t="s">
        <v>490</v>
      </c>
      <c r="C155" s="111">
        <f>VLOOKUP(B155,'Dados StatusInvest'!$A:$Z,26,0)</f>
        <v>0</v>
      </c>
      <c r="D155" s="112">
        <f>VLOOKUP(B155,'Dados StatusInvest'!$A:$Z,20,0)/100</f>
        <v>0.131</v>
      </c>
      <c r="E155" s="87" t="str">
        <f t="shared" si="1"/>
        <v>#N/A</v>
      </c>
      <c r="F155" s="113">
        <f>IF(ISERROR(1/VLOOKUP(B155,Capa!A:AH,13,0)),0,1/VLOOKUP(B155,Capa!A:AH,13,0))</f>
        <v>0</v>
      </c>
      <c r="G155" s="114">
        <f t="shared" si="2"/>
        <v>246.000246</v>
      </c>
      <c r="H155" s="115" t="str">
        <f t="shared" si="3"/>
        <v>#N/A</v>
      </c>
      <c r="M155" s="110" t="s">
        <v>490</v>
      </c>
      <c r="N155" s="111">
        <f>VLOOKUP(M155,'Dados StatusInvest'!$A:$Z,26,0)</f>
        <v>0</v>
      </c>
      <c r="O155" s="118">
        <f>VLOOKUP(M155,'Dados StatusInvest'!$A:$Z,18,0)/100</f>
        <v>0.1442</v>
      </c>
      <c r="P155" s="119" t="str">
        <f t="shared" si="5"/>
        <v>#N/A</v>
      </c>
      <c r="Q155" s="120">
        <f>IF(ISERROR(1/VLOOKUP(M155,Capa!A:AH,6,0)),0,1/VLOOKUP(M155,Capa!A:AH,6,0))</f>
        <v>0</v>
      </c>
      <c r="R155" s="121">
        <f t="shared" si="6"/>
        <v>306.000306</v>
      </c>
      <c r="S155" s="122" t="str">
        <f t="shared" si="7"/>
        <v>#N/A</v>
      </c>
    </row>
    <row r="156">
      <c r="A156" s="123"/>
      <c r="B156" s="110" t="s">
        <v>616</v>
      </c>
      <c r="C156" s="111">
        <f>VLOOKUP(B156,'Dados StatusInvest'!$A:$Z,26,0)</f>
        <v>7915289</v>
      </c>
      <c r="D156" s="112">
        <f>VLOOKUP(B156,'Dados StatusInvest'!$A:$Z,20,0)/100</f>
        <v>0.1728</v>
      </c>
      <c r="E156" s="87" t="str">
        <f t="shared" si="1"/>
        <v>#N/A</v>
      </c>
      <c r="F156" s="113">
        <f>IF(ISERROR(1/VLOOKUP(B156,Capa!A:AH,13,0)),0,1/VLOOKUP(B156,Capa!A:AH,13,0))</f>
        <v>5.908083346</v>
      </c>
      <c r="G156" s="114">
        <f t="shared" si="2"/>
        <v>136.000136</v>
      </c>
      <c r="H156" s="115" t="str">
        <f t="shared" si="3"/>
        <v>#N/A</v>
      </c>
      <c r="M156" s="110" t="s">
        <v>616</v>
      </c>
      <c r="N156" s="111">
        <f>VLOOKUP(M156,'Dados StatusInvest'!$A:$Z,26,0)</f>
        <v>7915289</v>
      </c>
      <c r="O156" s="118">
        <f>VLOOKUP(M156,'Dados StatusInvest'!$A:$Z,18,0)/100</f>
        <v>0.2802</v>
      </c>
      <c r="P156" s="119" t="str">
        <f t="shared" si="5"/>
        <v>#N/A</v>
      </c>
      <c r="Q156" s="120">
        <f>IF(ISERROR(1/VLOOKUP(M156,Capa!A:AH,6,0)),0,1/VLOOKUP(M156,Capa!A:AH,6,0))</f>
        <v>0.02501250625</v>
      </c>
      <c r="R156" s="121">
        <f t="shared" si="6"/>
        <v>239.000239</v>
      </c>
      <c r="S156" s="122" t="str">
        <f t="shared" si="7"/>
        <v>#N/A</v>
      </c>
    </row>
    <row r="157">
      <c r="A157" s="123"/>
      <c r="B157" s="110" t="s">
        <v>435</v>
      </c>
      <c r="C157" s="111">
        <f>VLOOKUP(B157,'Dados StatusInvest'!$A:$Z,26,0)</f>
        <v>11019049</v>
      </c>
      <c r="D157" s="112">
        <f>VLOOKUP(B157,'Dados StatusInvest'!$A:$Z,20,0)/100</f>
        <v>0.1062</v>
      </c>
      <c r="E157" s="87" t="str">
        <f t="shared" si="1"/>
        <v>#N/A</v>
      </c>
      <c r="F157" s="113">
        <f>IF(ISERROR(1/VLOOKUP(B157,Capa!A:AH,13,0)),0,1/VLOOKUP(B157,Capa!A:AH,13,0))</f>
        <v>2.915063576</v>
      </c>
      <c r="G157" s="114">
        <f t="shared" si="2"/>
        <v>208.000208</v>
      </c>
      <c r="H157" s="115" t="str">
        <f t="shared" si="3"/>
        <v>#N/A</v>
      </c>
      <c r="M157" s="110" t="s">
        <v>435</v>
      </c>
      <c r="N157" s="111">
        <f>VLOOKUP(M157,'Dados StatusInvest'!$A:$Z,26,0)</f>
        <v>11019049</v>
      </c>
      <c r="O157" s="118">
        <f>VLOOKUP(M157,'Dados StatusInvest'!$A:$Z,18,0)/100</f>
        <v>0.1775</v>
      </c>
      <c r="P157" s="119" t="str">
        <f t="shared" si="5"/>
        <v>#N/A</v>
      </c>
      <c r="Q157" s="120">
        <f>IF(ISERROR(1/VLOOKUP(M157,Capa!A:AH,6,0)),0,1/VLOOKUP(M157,Capa!A:AH,6,0))</f>
        <v>0.0668002672</v>
      </c>
      <c r="R157" s="121">
        <f t="shared" si="6"/>
        <v>155.000155</v>
      </c>
      <c r="S157" s="122" t="str">
        <f t="shared" si="7"/>
        <v>#N/A</v>
      </c>
    </row>
    <row r="158">
      <c r="A158" s="123"/>
      <c r="B158" s="110" t="s">
        <v>650</v>
      </c>
      <c r="C158" s="111">
        <f>VLOOKUP(B158,'Dados StatusInvest'!$A:$Z,26,0)</f>
        <v>5950022</v>
      </c>
      <c r="D158" s="112">
        <f>VLOOKUP(B158,'Dados StatusInvest'!$A:$Z,20,0)/100</f>
        <v>0.1177</v>
      </c>
      <c r="E158" s="87" t="str">
        <f t="shared" si="1"/>
        <v>#N/A</v>
      </c>
      <c r="F158" s="113">
        <f>IF(ISERROR(1/VLOOKUP(B158,Capa!A:AH,13,0)),0,1/VLOOKUP(B158,Capa!A:AH,13,0))</f>
        <v>7.175265751</v>
      </c>
      <c r="G158" s="114">
        <f t="shared" si="2"/>
        <v>116.000116</v>
      </c>
      <c r="H158" s="115" t="str">
        <f t="shared" si="3"/>
        <v>#N/A</v>
      </c>
      <c r="M158" s="110" t="s">
        <v>650</v>
      </c>
      <c r="N158" s="111">
        <f>VLOOKUP(M158,'Dados StatusInvest'!$A:$Z,26,0)</f>
        <v>5950022</v>
      </c>
      <c r="O158" s="118">
        <f>VLOOKUP(M158,'Dados StatusInvest'!$A:$Z,18,0)/100</f>
        <v>0.1391</v>
      </c>
      <c r="P158" s="119" t="str">
        <f t="shared" si="5"/>
        <v>#N/A</v>
      </c>
      <c r="Q158" s="120">
        <f>IF(ISERROR(1/VLOOKUP(M158,Capa!A:AH,6,0)),0,1/VLOOKUP(M158,Capa!A:AH,6,0))</f>
        <v>0.04516711834</v>
      </c>
      <c r="R158" s="121">
        <f t="shared" si="6"/>
        <v>194.000194</v>
      </c>
      <c r="S158" s="122" t="str">
        <f t="shared" si="7"/>
        <v>#N/A</v>
      </c>
    </row>
    <row r="159">
      <c r="A159" s="123"/>
      <c r="B159" s="110" t="s">
        <v>406</v>
      </c>
      <c r="C159" s="111">
        <f>VLOOKUP(B159,'Dados StatusInvest'!$A:$Z,26,0)</f>
        <v>11818236</v>
      </c>
      <c r="D159" s="112">
        <f>VLOOKUP(B159,'Dados StatusInvest'!$A:$Z,20,0)/100</f>
        <v>0.2293</v>
      </c>
      <c r="E159" s="87" t="str">
        <f t="shared" si="1"/>
        <v>#N/A</v>
      </c>
      <c r="F159" s="113">
        <f>IF(ISERROR(1/VLOOKUP(B159,Capa!A:AH,13,0)),0,1/VLOOKUP(B159,Capa!A:AH,13,0))</f>
        <v>6.044240473</v>
      </c>
      <c r="G159" s="114">
        <f t="shared" si="2"/>
        <v>132.000132</v>
      </c>
      <c r="H159" s="115" t="str">
        <f t="shared" si="3"/>
        <v>#N/A</v>
      </c>
      <c r="M159" s="110" t="s">
        <v>406</v>
      </c>
      <c r="N159" s="111">
        <f>VLOOKUP(M159,'Dados StatusInvest'!$A:$Z,26,0)</f>
        <v>11818236</v>
      </c>
      <c r="O159" s="118">
        <f>VLOOKUP(M159,'Dados StatusInvest'!$A:$Z,18,0)/100</f>
        <v>0.6651</v>
      </c>
      <c r="P159" s="119" t="str">
        <f t="shared" si="5"/>
        <v>#N/A</v>
      </c>
      <c r="Q159" s="120">
        <f>IF(ISERROR(1/VLOOKUP(M159,Capa!A:AH,6,0)),0,1/VLOOKUP(M159,Capa!A:AH,6,0))</f>
        <v>0.02842524161</v>
      </c>
      <c r="R159" s="121">
        <f t="shared" si="6"/>
        <v>228.000228</v>
      </c>
      <c r="S159" s="122" t="str">
        <f t="shared" si="7"/>
        <v>#N/A</v>
      </c>
    </row>
    <row r="160">
      <c r="A160" s="123"/>
      <c r="B160" s="110" t="s">
        <v>265</v>
      </c>
      <c r="C160" s="111">
        <f>VLOOKUP(B160,'Dados StatusInvest'!$A:$Z,26,0)</f>
        <v>0</v>
      </c>
      <c r="D160" s="112">
        <f>VLOOKUP(B160,'Dados StatusInvest'!$A:$Z,20,0)/100</f>
        <v>0</v>
      </c>
      <c r="E160" s="87" t="str">
        <f t="shared" si="1"/>
        <v>#N/A</v>
      </c>
      <c r="F160" s="113">
        <f>IF(ISERROR(1/VLOOKUP(B160,Capa!A:AH,13,0)),0,1/VLOOKUP(B160,Capa!A:AH,13,0))</f>
        <v>0</v>
      </c>
      <c r="G160" s="114">
        <f t="shared" si="2"/>
        <v>246.000246</v>
      </c>
      <c r="H160" s="115" t="str">
        <f t="shared" si="3"/>
        <v>#N/A</v>
      </c>
      <c r="M160" s="110" t="s">
        <v>265</v>
      </c>
      <c r="N160" s="111">
        <f>VLOOKUP(M160,'Dados StatusInvest'!$A:$Z,26,0)</f>
        <v>0</v>
      </c>
      <c r="O160" s="118">
        <f>VLOOKUP(M160,'Dados StatusInvest'!$A:$Z,18,0)/100</f>
        <v>0.1329</v>
      </c>
      <c r="P160" s="119" t="str">
        <f t="shared" si="5"/>
        <v>#N/A</v>
      </c>
      <c r="Q160" s="120">
        <f>IF(ISERROR(1/VLOOKUP(M160,Capa!A:AH,6,0)),0,1/VLOOKUP(M160,Capa!A:AH,6,0))</f>
        <v>0</v>
      </c>
      <c r="R160" s="121">
        <f t="shared" si="6"/>
        <v>306.000306</v>
      </c>
      <c r="S160" s="122" t="str">
        <f t="shared" si="7"/>
        <v>#N/A</v>
      </c>
    </row>
    <row r="161">
      <c r="A161" s="123"/>
      <c r="B161" s="110" t="s">
        <v>1712</v>
      </c>
      <c r="C161" s="111" t="str">
        <f>VLOOKUP(B161,'Dados StatusInvest'!$A:$Z,26,0)</f>
        <v>#N/A</v>
      </c>
      <c r="D161" s="112" t="str">
        <f>VLOOKUP(B161,'Dados StatusInvest'!$A:$Z,20,0)/100</f>
        <v>#N/A</v>
      </c>
      <c r="E161" s="87" t="str">
        <f t="shared" si="1"/>
        <v>#N/A</v>
      </c>
      <c r="F161" s="113">
        <f>IF(ISERROR(1/VLOOKUP(B161,Capa!A:AH,13,0)),0,1/VLOOKUP(B161,Capa!A:AH,13,0))</f>
        <v>0</v>
      </c>
      <c r="G161" s="114">
        <f t="shared" si="2"/>
        <v>246.000246</v>
      </c>
      <c r="H161" s="115" t="str">
        <f t="shared" si="3"/>
        <v>#N/A</v>
      </c>
      <c r="M161" s="110" t="s">
        <v>1712</v>
      </c>
      <c r="N161" s="111" t="str">
        <f>VLOOKUP(M161,'Dados StatusInvest'!$A:$Z,26,0)</f>
        <v>#N/A</v>
      </c>
      <c r="O161" s="118" t="str">
        <f>VLOOKUP(M161,'Dados StatusInvest'!$A:$Z,18,0)/100</f>
        <v>#N/A</v>
      </c>
      <c r="P161" s="119" t="str">
        <f t="shared" si="5"/>
        <v>#N/A</v>
      </c>
      <c r="Q161" s="120">
        <f>IF(ISERROR(1/VLOOKUP(M161,Capa!A:AH,6,0)),0,1/VLOOKUP(M161,Capa!A:AH,6,0))</f>
        <v>0</v>
      </c>
      <c r="R161" s="121">
        <f t="shared" si="6"/>
        <v>306.000306</v>
      </c>
      <c r="S161" s="122" t="str">
        <f t="shared" si="7"/>
        <v>#N/A</v>
      </c>
    </row>
    <row r="162">
      <c r="A162" s="123"/>
      <c r="B162" s="110" t="s">
        <v>1713</v>
      </c>
      <c r="C162" s="111" t="str">
        <f>VLOOKUP(B162,'Dados StatusInvest'!$A:$Z,26,0)</f>
        <v>#N/A</v>
      </c>
      <c r="D162" s="112" t="str">
        <f>VLOOKUP(B162,'Dados StatusInvest'!$A:$Z,20,0)/100</f>
        <v>#N/A</v>
      </c>
      <c r="E162" s="87" t="str">
        <f t="shared" si="1"/>
        <v>#N/A</v>
      </c>
      <c r="F162" s="113">
        <f>IF(ISERROR(1/VLOOKUP(B162,Capa!A:AH,13,0)),0,1/VLOOKUP(B162,Capa!A:AH,13,0))</f>
        <v>0</v>
      </c>
      <c r="G162" s="114">
        <f t="shared" si="2"/>
        <v>246.000246</v>
      </c>
      <c r="H162" s="115" t="str">
        <f t="shared" si="3"/>
        <v>#N/A</v>
      </c>
      <c r="M162" s="110" t="s">
        <v>1713</v>
      </c>
      <c r="N162" s="111" t="str">
        <f>VLOOKUP(M162,'Dados StatusInvest'!$A:$Z,26,0)</f>
        <v>#N/A</v>
      </c>
      <c r="O162" s="118" t="str">
        <f>VLOOKUP(M162,'Dados StatusInvest'!$A:$Z,18,0)/100</f>
        <v>#N/A</v>
      </c>
      <c r="P162" s="119" t="str">
        <f t="shared" si="5"/>
        <v>#N/A</v>
      </c>
      <c r="Q162" s="120">
        <f>IF(ISERROR(1/VLOOKUP(M162,Capa!A:AH,6,0)),0,1/VLOOKUP(M162,Capa!A:AH,6,0))</f>
        <v>0</v>
      </c>
      <c r="R162" s="121">
        <f t="shared" si="6"/>
        <v>306.000306</v>
      </c>
      <c r="S162" s="122" t="str">
        <f t="shared" si="7"/>
        <v>#N/A</v>
      </c>
    </row>
    <row r="163">
      <c r="A163" s="123"/>
      <c r="B163" s="110" t="s">
        <v>638</v>
      </c>
      <c r="C163" s="111">
        <f>VLOOKUP(B163,'Dados StatusInvest'!$A:$Z,26,0)</f>
        <v>16216568</v>
      </c>
      <c r="D163" s="112">
        <f>VLOOKUP(B163,'Dados StatusInvest'!$A:$Z,20,0)/100</f>
        <v>0.1212</v>
      </c>
      <c r="E163" s="87" t="str">
        <f t="shared" si="1"/>
        <v>#N/A</v>
      </c>
      <c r="F163" s="113">
        <f>IF(ISERROR(1/VLOOKUP(B163,Capa!A:AH,13,0)),0,1/VLOOKUP(B163,Capa!A:AH,13,0))</f>
        <v>5.028131648</v>
      </c>
      <c r="G163" s="114">
        <f t="shared" si="2"/>
        <v>163.000163</v>
      </c>
      <c r="H163" s="115" t="str">
        <f t="shared" si="3"/>
        <v>#N/A</v>
      </c>
      <c r="M163" s="110" t="s">
        <v>638</v>
      </c>
      <c r="N163" s="111">
        <f>VLOOKUP(M163,'Dados StatusInvest'!$A:$Z,26,0)</f>
        <v>16216568</v>
      </c>
      <c r="O163" s="118">
        <f>VLOOKUP(M163,'Dados StatusInvest'!$A:$Z,18,0)/100</f>
        <v>0.3182</v>
      </c>
      <c r="P163" s="119" t="str">
        <f t="shared" si="5"/>
        <v>#N/A</v>
      </c>
      <c r="Q163" s="120">
        <f>IF(ISERROR(1/VLOOKUP(M163,Capa!A:AH,6,0)),0,1/VLOOKUP(M163,Capa!A:AH,6,0))</f>
        <v>0.01438228103</v>
      </c>
      <c r="R163" s="121">
        <f t="shared" si="6"/>
        <v>275.000275</v>
      </c>
      <c r="S163" s="122" t="str">
        <f t="shared" si="7"/>
        <v>#N/A</v>
      </c>
    </row>
    <row r="164">
      <c r="A164" s="123"/>
      <c r="B164" s="110" t="s">
        <v>520</v>
      </c>
      <c r="C164" s="111">
        <f>VLOOKUP(B164,'Dados StatusInvest'!$A:$Z,26,0)</f>
        <v>9836445</v>
      </c>
      <c r="D164" s="112">
        <f>VLOOKUP(B164,'Dados StatusInvest'!$A:$Z,20,0)/100</f>
        <v>0.0824</v>
      </c>
      <c r="E164" s="87" t="str">
        <f t="shared" si="1"/>
        <v>#N/A</v>
      </c>
      <c r="F164" s="113">
        <f>IF(ISERROR(1/VLOOKUP(B164,Capa!A:AH,13,0)),0,1/VLOOKUP(B164,Capa!A:AH,13,0))</f>
        <v>13.36898396</v>
      </c>
      <c r="G164" s="114">
        <f t="shared" si="2"/>
        <v>49.000049</v>
      </c>
      <c r="H164" s="115" t="str">
        <f t="shared" si="3"/>
        <v>#N/A</v>
      </c>
      <c r="M164" s="110" t="s">
        <v>520</v>
      </c>
      <c r="N164" s="111">
        <f>VLOOKUP(M164,'Dados StatusInvest'!$A:$Z,26,0)</f>
        <v>9836445</v>
      </c>
      <c r="O164" s="118">
        <f>VLOOKUP(M164,'Dados StatusInvest'!$A:$Z,18,0)/100</f>
        <v>0.0117</v>
      </c>
      <c r="P164" s="119" t="str">
        <f t="shared" si="5"/>
        <v>#N/A</v>
      </c>
      <c r="Q164" s="120">
        <f>IF(ISERROR(1/VLOOKUP(M164,Capa!A:AH,6,0)),0,1/VLOOKUP(M164,Capa!A:AH,6,0))</f>
        <v>0.04651162791</v>
      </c>
      <c r="R164" s="121">
        <f t="shared" si="6"/>
        <v>190.00019</v>
      </c>
      <c r="S164" s="122" t="str">
        <f t="shared" si="7"/>
        <v>#N/A</v>
      </c>
    </row>
    <row r="165">
      <c r="A165" s="123"/>
      <c r="B165" s="110" t="s">
        <v>51</v>
      </c>
      <c r="C165" s="111">
        <f>VLOOKUP(B165,'Dados StatusInvest'!$A:$Z,26,0)</f>
        <v>233843</v>
      </c>
      <c r="D165" s="112">
        <f>VLOOKUP(B165,'Dados StatusInvest'!$A:$Z,20,0)/100</f>
        <v>0.0563</v>
      </c>
      <c r="E165" s="87" t="str">
        <f t="shared" si="1"/>
        <v>#N/A</v>
      </c>
      <c r="F165" s="113">
        <f>IF(ISERROR(1/VLOOKUP(B165,Capa!A:AH,13,0)),0,1/VLOOKUP(B165,Capa!A:AH,13,0))</f>
        <v>0</v>
      </c>
      <c r="G165" s="114">
        <f t="shared" si="2"/>
        <v>246.000246</v>
      </c>
      <c r="H165" s="115" t="str">
        <f t="shared" si="3"/>
        <v>#N/A</v>
      </c>
      <c r="M165" s="110" t="s">
        <v>51</v>
      </c>
      <c r="N165" s="111">
        <f>VLOOKUP(M165,'Dados StatusInvest'!$A:$Z,26,0)</f>
        <v>233843</v>
      </c>
      <c r="O165" s="118">
        <f>VLOOKUP(M165,'Dados StatusInvest'!$A:$Z,18,0)/100</f>
        <v>-0.0754</v>
      </c>
      <c r="P165" s="119" t="str">
        <f t="shared" si="5"/>
        <v>#N/A</v>
      </c>
      <c r="Q165" s="120">
        <f>IF(ISERROR(1/VLOOKUP(M165,Capa!A:AH,6,0)),0,1/VLOOKUP(M165,Capa!A:AH,6,0))</f>
        <v>0</v>
      </c>
      <c r="R165" s="121">
        <f t="shared" si="6"/>
        <v>306.000306</v>
      </c>
      <c r="S165" s="122" t="str">
        <f t="shared" si="7"/>
        <v>#N/A</v>
      </c>
    </row>
    <row r="166">
      <c r="A166" s="123"/>
      <c r="B166" s="110" t="s">
        <v>399</v>
      </c>
      <c r="C166" s="111">
        <f>VLOOKUP(B166,'Dados StatusInvest'!$A:$Z,26,0)</f>
        <v>13400157</v>
      </c>
      <c r="D166" s="112">
        <f>VLOOKUP(B166,'Dados StatusInvest'!$A:$Z,20,0)/100</f>
        <v>0.0793</v>
      </c>
      <c r="E166" s="87" t="str">
        <f t="shared" si="1"/>
        <v>#N/A</v>
      </c>
      <c r="F166" s="113">
        <f>IF(ISERROR(1/VLOOKUP(B166,Capa!A:AH,13,0)),0,1/VLOOKUP(B166,Capa!A:AH,13,0))</f>
        <v>4.226133258</v>
      </c>
      <c r="G166" s="114">
        <f t="shared" si="2"/>
        <v>183.000183</v>
      </c>
      <c r="H166" s="115" t="str">
        <f t="shared" si="3"/>
        <v>#N/A</v>
      </c>
      <c r="M166" s="110" t="s">
        <v>399</v>
      </c>
      <c r="N166" s="111">
        <f>VLOOKUP(M166,'Dados StatusInvest'!$A:$Z,26,0)</f>
        <v>13400157</v>
      </c>
      <c r="O166" s="118">
        <f>VLOOKUP(M166,'Dados StatusInvest'!$A:$Z,18,0)/100</f>
        <v>0.1806</v>
      </c>
      <c r="P166" s="119" t="str">
        <f t="shared" si="5"/>
        <v>#N/A</v>
      </c>
      <c r="Q166" s="120">
        <f>IF(ISERROR(1/VLOOKUP(M166,Capa!A:AH,6,0)),0,1/VLOOKUP(M166,Capa!A:AH,6,0))</f>
        <v>0.2518891688</v>
      </c>
      <c r="R166" s="121">
        <f t="shared" si="6"/>
        <v>47.000047</v>
      </c>
      <c r="S166" s="122" t="str">
        <f t="shared" si="7"/>
        <v>#N/A</v>
      </c>
    </row>
    <row r="167">
      <c r="A167" s="123"/>
      <c r="B167" s="110" t="s">
        <v>415</v>
      </c>
      <c r="C167" s="111">
        <f>VLOOKUP(B167,'Dados StatusInvest'!$A:$Z,26,0)</f>
        <v>430064.2</v>
      </c>
      <c r="D167" s="112">
        <f>VLOOKUP(B167,'Dados StatusInvest'!$A:$Z,20,0)/100</f>
        <v>0.1121</v>
      </c>
      <c r="E167" s="87" t="str">
        <f t="shared" si="1"/>
        <v>#N/A</v>
      </c>
      <c r="F167" s="113">
        <f>IF(ISERROR(1/VLOOKUP(B167,Capa!A:AH,13,0)),0,1/VLOOKUP(B167,Capa!A:AH,13,0))</f>
        <v>4.229360033</v>
      </c>
      <c r="G167" s="114">
        <f t="shared" si="2"/>
        <v>182.000182</v>
      </c>
      <c r="H167" s="115" t="str">
        <f t="shared" si="3"/>
        <v>#N/A</v>
      </c>
      <c r="M167" s="110" t="s">
        <v>415</v>
      </c>
      <c r="N167" s="111">
        <f>VLOOKUP(M167,'Dados StatusInvest'!$A:$Z,26,0)</f>
        <v>430064.2</v>
      </c>
      <c r="O167" s="118">
        <f>VLOOKUP(M167,'Dados StatusInvest'!$A:$Z,18,0)/100</f>
        <v>0.1555</v>
      </c>
      <c r="P167" s="119" t="str">
        <f t="shared" si="5"/>
        <v>#N/A</v>
      </c>
      <c r="Q167" s="120">
        <f>IF(ISERROR(1/VLOOKUP(M167,Capa!A:AH,6,0)),0,1/VLOOKUP(M167,Capa!A:AH,6,0))</f>
        <v>0.5434782609</v>
      </c>
      <c r="R167" s="121">
        <f t="shared" si="6"/>
        <v>25.000025</v>
      </c>
      <c r="S167" s="122" t="str">
        <f t="shared" si="7"/>
        <v>#N/A</v>
      </c>
    </row>
    <row r="168">
      <c r="A168" s="123"/>
      <c r="B168" s="110" t="s">
        <v>522</v>
      </c>
      <c r="C168" s="111">
        <f>VLOOKUP(B168,'Dados StatusInvest'!$A:$Z,26,0)</f>
        <v>887835.4</v>
      </c>
      <c r="D168" s="112">
        <f>VLOOKUP(B168,'Dados StatusInvest'!$A:$Z,20,0)/100</f>
        <v>0.0587</v>
      </c>
      <c r="E168" s="87" t="str">
        <f t="shared" si="1"/>
        <v>#N/A</v>
      </c>
      <c r="F168" s="113">
        <f>IF(ISERROR(1/VLOOKUP(B168,Capa!A:AH,13,0)),0,1/VLOOKUP(B168,Capa!A:AH,13,0))</f>
        <v>24.52510814</v>
      </c>
      <c r="G168" s="114">
        <f t="shared" si="2"/>
        <v>26.000026</v>
      </c>
      <c r="H168" s="115" t="str">
        <f t="shared" si="3"/>
        <v>#N/A</v>
      </c>
      <c r="M168" s="110" t="s">
        <v>522</v>
      </c>
      <c r="N168" s="111">
        <f>VLOOKUP(M168,'Dados StatusInvest'!$A:$Z,26,0)</f>
        <v>887835.4</v>
      </c>
      <c r="O168" s="118">
        <f>VLOOKUP(M168,'Dados StatusInvest'!$A:$Z,18,0)/100</f>
        <v>-0.9787</v>
      </c>
      <c r="P168" s="119" t="str">
        <f t="shared" si="5"/>
        <v>#N/A</v>
      </c>
      <c r="Q168" s="120">
        <f>IF(ISERROR(1/VLOOKUP(M168,Capa!A:AH,6,0)),0,1/VLOOKUP(M168,Capa!A:AH,6,0))</f>
        <v>0.3067484663</v>
      </c>
      <c r="R168" s="121">
        <f t="shared" si="6"/>
        <v>42.000042</v>
      </c>
      <c r="S168" s="122" t="str">
        <f t="shared" si="7"/>
        <v>#N/A</v>
      </c>
    </row>
    <row r="169">
      <c r="A169" s="123"/>
      <c r="B169" s="110" t="s">
        <v>573</v>
      </c>
      <c r="C169" s="111">
        <f>VLOOKUP(B169,'Dados StatusInvest'!$A:$Z,26,0)</f>
        <v>2399025</v>
      </c>
      <c r="D169" s="112">
        <f>VLOOKUP(B169,'Dados StatusInvest'!$A:$Z,20,0)/100</f>
        <v>0.0982</v>
      </c>
      <c r="E169" s="87" t="str">
        <f t="shared" si="1"/>
        <v>#N/A</v>
      </c>
      <c r="F169" s="113">
        <f>IF(ISERROR(1/VLOOKUP(B169,Capa!A:AH,13,0)),0,1/VLOOKUP(B169,Capa!A:AH,13,0))</f>
        <v>7.75819353</v>
      </c>
      <c r="G169" s="114">
        <f t="shared" si="2"/>
        <v>107.000107</v>
      </c>
      <c r="H169" s="115" t="str">
        <f t="shared" si="3"/>
        <v>#N/A</v>
      </c>
      <c r="M169" s="110" t="s">
        <v>573</v>
      </c>
      <c r="N169" s="111">
        <f>VLOOKUP(M169,'Dados StatusInvest'!$A:$Z,26,0)</f>
        <v>2399025</v>
      </c>
      <c r="O169" s="118">
        <f>VLOOKUP(M169,'Dados StatusInvest'!$A:$Z,18,0)/100</f>
        <v>0.168</v>
      </c>
      <c r="P169" s="119" t="str">
        <f t="shared" si="5"/>
        <v>#N/A</v>
      </c>
      <c r="Q169" s="120">
        <f>IF(ISERROR(1/VLOOKUP(M169,Capa!A:AH,6,0)),0,1/VLOOKUP(M169,Capa!A:AH,6,0))</f>
        <v>0.1824817518</v>
      </c>
      <c r="R169" s="121">
        <f t="shared" si="6"/>
        <v>73.000073</v>
      </c>
      <c r="S169" s="122" t="str">
        <f t="shared" si="7"/>
        <v>#N/A</v>
      </c>
    </row>
    <row r="170">
      <c r="A170" s="123"/>
      <c r="B170" s="110" t="s">
        <v>318</v>
      </c>
      <c r="C170" s="111">
        <f>VLOOKUP(B170,'Dados StatusInvest'!$A:$Z,26,0)</f>
        <v>7903421</v>
      </c>
      <c r="D170" s="112">
        <f>VLOOKUP(B170,'Dados StatusInvest'!$A:$Z,20,0)/100</f>
        <v>0.0046</v>
      </c>
      <c r="E170" s="87" t="str">
        <f t="shared" si="1"/>
        <v>#N/A</v>
      </c>
      <c r="F170" s="113">
        <f>IF(ISERROR(1/VLOOKUP(B170,Capa!A:AH,13,0)),0,1/VLOOKUP(B170,Capa!A:AH,13,0))</f>
        <v>34.41533389</v>
      </c>
      <c r="G170" s="114">
        <f t="shared" si="2"/>
        <v>24.000024</v>
      </c>
      <c r="H170" s="115" t="str">
        <f t="shared" si="3"/>
        <v>#N/A</v>
      </c>
      <c r="M170" s="110" t="s">
        <v>318</v>
      </c>
      <c r="N170" s="111">
        <f>VLOOKUP(M170,'Dados StatusInvest'!$A:$Z,26,0)</f>
        <v>7903421</v>
      </c>
      <c r="O170" s="118">
        <f>VLOOKUP(M170,'Dados StatusInvest'!$A:$Z,18,0)/100</f>
        <v>0.0634</v>
      </c>
      <c r="P170" s="119" t="str">
        <f t="shared" si="5"/>
        <v>#N/A</v>
      </c>
      <c r="Q170" s="120">
        <f>IF(ISERROR(1/VLOOKUP(M170,Capa!A:AH,6,0)),0,1/VLOOKUP(M170,Capa!A:AH,6,0))</f>
        <v>0.127388535</v>
      </c>
      <c r="R170" s="121">
        <f t="shared" si="6"/>
        <v>97.000097</v>
      </c>
      <c r="S170" s="122" t="str">
        <f t="shared" si="7"/>
        <v>#N/A</v>
      </c>
    </row>
    <row r="171">
      <c r="A171" s="123"/>
      <c r="B171" s="110" t="s">
        <v>655</v>
      </c>
      <c r="C171" s="111">
        <f>VLOOKUP(B171,'Dados StatusInvest'!$A:$Z,26,0)</f>
        <v>33789978</v>
      </c>
      <c r="D171" s="112">
        <f>VLOOKUP(B171,'Dados StatusInvest'!$A:$Z,20,0)/100</f>
        <v>0.1149</v>
      </c>
      <c r="E171" s="87" t="str">
        <f t="shared" si="1"/>
        <v>#N/A</v>
      </c>
      <c r="F171" s="113">
        <f>IF(ISERROR(1/VLOOKUP(B171,Capa!A:AH,13,0)),0,1/VLOOKUP(B171,Capa!A:AH,13,0))</f>
        <v>4.728973094</v>
      </c>
      <c r="G171" s="114">
        <f t="shared" si="2"/>
        <v>168.000168</v>
      </c>
      <c r="H171" s="115" t="str">
        <f t="shared" si="3"/>
        <v>#N/A</v>
      </c>
      <c r="M171" s="110" t="s">
        <v>655</v>
      </c>
      <c r="N171" s="111">
        <f>VLOOKUP(M171,'Dados StatusInvest'!$A:$Z,26,0)</f>
        <v>33789978</v>
      </c>
      <c r="O171" s="118">
        <f>VLOOKUP(M171,'Dados StatusInvest'!$A:$Z,18,0)/100</f>
        <v>0.4697</v>
      </c>
      <c r="P171" s="119" t="str">
        <f t="shared" si="5"/>
        <v>#N/A</v>
      </c>
      <c r="Q171" s="120">
        <f>IF(ISERROR(1/VLOOKUP(M171,Capa!A:AH,6,0)),0,1/VLOOKUP(M171,Capa!A:AH,6,0))</f>
        <v>0.05333333333</v>
      </c>
      <c r="R171" s="121">
        <f t="shared" si="6"/>
        <v>178.000178</v>
      </c>
      <c r="S171" s="122" t="str">
        <f t="shared" si="7"/>
        <v>#N/A</v>
      </c>
    </row>
    <row r="172">
      <c r="A172" s="123"/>
      <c r="B172" s="110" t="s">
        <v>648</v>
      </c>
      <c r="C172" s="111">
        <f>VLOOKUP(B172,'Dados StatusInvest'!$A:$Z,26,0)</f>
        <v>222000000</v>
      </c>
      <c r="D172" s="112">
        <f>VLOOKUP(B172,'Dados StatusInvest'!$A:$Z,20,0)/100</f>
        <v>0.0876</v>
      </c>
      <c r="E172" s="87" t="str">
        <f t="shared" si="1"/>
        <v>#N/A</v>
      </c>
      <c r="F172" s="113">
        <f>IF(ISERROR(1/VLOOKUP(B172,Capa!A:AH,13,0)),0,1/VLOOKUP(B172,Capa!A:AH,13,0))</f>
        <v>1734.694963</v>
      </c>
      <c r="G172" s="114">
        <f t="shared" si="2"/>
        <v>8.000008</v>
      </c>
      <c r="H172" s="115" t="str">
        <f t="shared" si="3"/>
        <v>#N/A</v>
      </c>
      <c r="M172" s="110" t="s">
        <v>648</v>
      </c>
      <c r="N172" s="111">
        <f>VLOOKUP(M172,'Dados StatusInvest'!$A:$Z,26,0)</f>
        <v>222000000</v>
      </c>
      <c r="O172" s="118">
        <f>VLOOKUP(M172,'Dados StatusInvest'!$A:$Z,18,0)/100</f>
        <v>0.0885</v>
      </c>
      <c r="P172" s="119" t="str">
        <f t="shared" si="5"/>
        <v>#N/A</v>
      </c>
      <c r="Q172" s="120">
        <f>IF(ISERROR(1/VLOOKUP(M172,Capa!A:AH,6,0)),0,1/VLOOKUP(M172,Capa!A:AH,6,0))</f>
        <v>0.00008756567426</v>
      </c>
      <c r="R172" s="121">
        <f t="shared" si="6"/>
        <v>300.0003</v>
      </c>
      <c r="S172" s="122" t="str">
        <f t="shared" si="7"/>
        <v>#N/A</v>
      </c>
    </row>
    <row r="173">
      <c r="A173" s="123"/>
      <c r="B173" s="110" t="s">
        <v>119</v>
      </c>
      <c r="C173" s="111">
        <f>VLOOKUP(B173,'Dados StatusInvest'!$A:$Z,26,0)</f>
        <v>0</v>
      </c>
      <c r="D173" s="112">
        <f>VLOOKUP(B173,'Dados StatusInvest'!$A:$Z,20,0)/100</f>
        <v>0</v>
      </c>
      <c r="E173" s="87" t="str">
        <f t="shared" si="1"/>
        <v>#N/A</v>
      </c>
      <c r="F173" s="113">
        <f>IF(ISERROR(1/VLOOKUP(B173,Capa!A:AH,13,0)),0,1/VLOOKUP(B173,Capa!A:AH,13,0))</f>
        <v>0</v>
      </c>
      <c r="G173" s="114">
        <f t="shared" si="2"/>
        <v>246.000246</v>
      </c>
      <c r="H173" s="115" t="str">
        <f t="shared" si="3"/>
        <v>#N/A</v>
      </c>
      <c r="M173" s="110" t="s">
        <v>119</v>
      </c>
      <c r="N173" s="111">
        <f>VLOOKUP(M173,'Dados StatusInvest'!$A:$Z,26,0)</f>
        <v>0</v>
      </c>
      <c r="O173" s="118">
        <f>VLOOKUP(M173,'Dados StatusInvest'!$A:$Z,18,0)/100</f>
        <v>-0.0045</v>
      </c>
      <c r="P173" s="119" t="str">
        <f t="shared" si="5"/>
        <v>#N/A</v>
      </c>
      <c r="Q173" s="120">
        <f>IF(ISERROR(1/VLOOKUP(M173,Capa!A:AH,6,0)),0,1/VLOOKUP(M173,Capa!A:AH,6,0))</f>
        <v>0</v>
      </c>
      <c r="R173" s="121">
        <f t="shared" si="6"/>
        <v>306.000306</v>
      </c>
      <c r="S173" s="122" t="str">
        <f t="shared" si="7"/>
        <v>#N/A</v>
      </c>
    </row>
    <row r="174">
      <c r="A174" s="123"/>
      <c r="B174" s="110" t="s">
        <v>396</v>
      </c>
      <c r="C174" s="111">
        <f>VLOOKUP(B174,'Dados StatusInvest'!$A:$Z,26,0)</f>
        <v>30740276</v>
      </c>
      <c r="D174" s="112">
        <f>VLOOKUP(B174,'Dados StatusInvest'!$A:$Z,20,0)/100</f>
        <v>0.131</v>
      </c>
      <c r="E174" s="87" t="str">
        <f t="shared" si="1"/>
        <v>#N/A</v>
      </c>
      <c r="F174" s="113">
        <f>IF(ISERROR(1/VLOOKUP(B174,Capa!A:AH,13,0)),0,1/VLOOKUP(B174,Capa!A:AH,13,0))</f>
        <v>7.394829097</v>
      </c>
      <c r="G174" s="114">
        <f t="shared" si="2"/>
        <v>112.000112</v>
      </c>
      <c r="H174" s="115" t="str">
        <f t="shared" si="3"/>
        <v>#N/A</v>
      </c>
      <c r="M174" s="110" t="s">
        <v>396</v>
      </c>
      <c r="N174" s="111">
        <f>VLOOKUP(M174,'Dados StatusInvest'!$A:$Z,26,0)</f>
        <v>30740276</v>
      </c>
      <c r="O174" s="118">
        <f>VLOOKUP(M174,'Dados StatusInvest'!$A:$Z,18,0)/100</f>
        <v>0.1877</v>
      </c>
      <c r="P174" s="119" t="str">
        <f t="shared" si="5"/>
        <v>#N/A</v>
      </c>
      <c r="Q174" s="120">
        <f>IF(ISERROR(1/VLOOKUP(M174,Capa!A:AH,6,0)),0,1/VLOOKUP(M174,Capa!A:AH,6,0))</f>
        <v>0.1028806584</v>
      </c>
      <c r="R174" s="121">
        <f t="shared" si="6"/>
        <v>118.000118</v>
      </c>
      <c r="S174" s="122" t="str">
        <f t="shared" si="7"/>
        <v>#N/A</v>
      </c>
    </row>
    <row r="175">
      <c r="A175" s="123"/>
      <c r="B175" s="110" t="s">
        <v>1714</v>
      </c>
      <c r="C175" s="111" t="str">
        <f>VLOOKUP(B175,'Dados StatusInvest'!$A:$Z,26,0)</f>
        <v>#N/A</v>
      </c>
      <c r="D175" s="112" t="str">
        <f>VLOOKUP(B175,'Dados StatusInvest'!$A:$Z,20,0)/100</f>
        <v>#N/A</v>
      </c>
      <c r="E175" s="87" t="str">
        <f t="shared" si="1"/>
        <v>#N/A</v>
      </c>
      <c r="F175" s="113">
        <f>IF(ISERROR(1/VLOOKUP(B175,Capa!A:AH,13,0)),0,1/VLOOKUP(B175,Capa!A:AH,13,0))</f>
        <v>0</v>
      </c>
      <c r="G175" s="114">
        <f t="shared" si="2"/>
        <v>246.000246</v>
      </c>
      <c r="H175" s="115" t="str">
        <f t="shared" si="3"/>
        <v>#N/A</v>
      </c>
      <c r="M175" s="110" t="s">
        <v>1714</v>
      </c>
      <c r="N175" s="111" t="str">
        <f>VLOOKUP(M175,'Dados StatusInvest'!$A:$Z,26,0)</f>
        <v>#N/A</v>
      </c>
      <c r="O175" s="118" t="str">
        <f>VLOOKUP(M175,'Dados StatusInvest'!$A:$Z,18,0)/100</f>
        <v>#N/A</v>
      </c>
      <c r="P175" s="119" t="str">
        <f t="shared" si="5"/>
        <v>#N/A</v>
      </c>
      <c r="Q175" s="120">
        <f>IF(ISERROR(1/VLOOKUP(M175,Capa!A:AH,6,0)),0,1/VLOOKUP(M175,Capa!A:AH,6,0))</f>
        <v>0</v>
      </c>
      <c r="R175" s="121">
        <f t="shared" si="6"/>
        <v>306.000306</v>
      </c>
      <c r="S175" s="122" t="str">
        <f t="shared" si="7"/>
        <v>#N/A</v>
      </c>
    </row>
    <row r="176">
      <c r="A176" s="123"/>
      <c r="B176" s="110" t="s">
        <v>604</v>
      </c>
      <c r="C176" s="111">
        <f>VLOOKUP(B176,'Dados StatusInvest'!$A:$Z,26,0)</f>
        <v>2096716</v>
      </c>
      <c r="D176" s="112">
        <f>VLOOKUP(B176,'Dados StatusInvest'!$A:$Z,20,0)/100</f>
        <v>0.0583</v>
      </c>
      <c r="E176" s="87" t="str">
        <f t="shared" si="1"/>
        <v>#N/A</v>
      </c>
      <c r="F176" s="113">
        <f>IF(ISERROR(1/VLOOKUP(B176,Capa!A:AH,13,0)),0,1/VLOOKUP(B176,Capa!A:AH,13,0))</f>
        <v>10.13737417</v>
      </c>
      <c r="G176" s="114">
        <f t="shared" si="2"/>
        <v>81.000081</v>
      </c>
      <c r="H176" s="115" t="str">
        <f t="shared" si="3"/>
        <v>#N/A</v>
      </c>
      <c r="M176" s="110" t="s">
        <v>604</v>
      </c>
      <c r="N176" s="111">
        <f>VLOOKUP(M176,'Dados StatusInvest'!$A:$Z,26,0)</f>
        <v>2096716</v>
      </c>
      <c r="O176" s="118">
        <f>VLOOKUP(M176,'Dados StatusInvest'!$A:$Z,18,0)/100</f>
        <v>0.0956</v>
      </c>
      <c r="P176" s="119" t="str">
        <f t="shared" si="5"/>
        <v>#N/A</v>
      </c>
      <c r="Q176" s="120">
        <f>IF(ISERROR(1/VLOOKUP(M176,Capa!A:AH,6,0)),0,1/VLOOKUP(M176,Capa!A:AH,6,0))</f>
        <v>0.1934235977</v>
      </c>
      <c r="R176" s="121">
        <f t="shared" si="6"/>
        <v>69.000069</v>
      </c>
      <c r="S176" s="122" t="str">
        <f t="shared" si="7"/>
        <v>#N/A</v>
      </c>
    </row>
    <row r="177">
      <c r="A177" s="123"/>
      <c r="B177" s="110" t="s">
        <v>385</v>
      </c>
      <c r="C177" s="111">
        <f>VLOOKUP(B177,'Dados StatusInvest'!$A:$Z,26,0)</f>
        <v>2495359</v>
      </c>
      <c r="D177" s="112">
        <f>VLOOKUP(B177,'Dados StatusInvest'!$A:$Z,20,0)/100</f>
        <v>0.163</v>
      </c>
      <c r="E177" s="87" t="str">
        <f t="shared" si="1"/>
        <v>#N/A</v>
      </c>
      <c r="F177" s="113">
        <f>IF(ISERROR(1/VLOOKUP(B177,Capa!A:AH,13,0)),0,1/VLOOKUP(B177,Capa!A:AH,13,0))</f>
        <v>0.4677560986</v>
      </c>
      <c r="G177" s="114">
        <f t="shared" si="2"/>
        <v>242.000242</v>
      </c>
      <c r="H177" s="115" t="str">
        <f t="shared" si="3"/>
        <v>#N/A</v>
      </c>
      <c r="M177" s="110" t="s">
        <v>385</v>
      </c>
      <c r="N177" s="111">
        <f>VLOOKUP(M177,'Dados StatusInvest'!$A:$Z,26,0)</f>
        <v>2495359</v>
      </c>
      <c r="O177" s="118">
        <f>VLOOKUP(M177,'Dados StatusInvest'!$A:$Z,18,0)/100</f>
        <v>0.1722</v>
      </c>
      <c r="P177" s="119" t="str">
        <f t="shared" si="5"/>
        <v>#N/A</v>
      </c>
      <c r="Q177" s="120">
        <f>IF(ISERROR(1/VLOOKUP(M177,Capa!A:AH,6,0)),0,1/VLOOKUP(M177,Capa!A:AH,6,0))</f>
        <v>0.06863417982</v>
      </c>
      <c r="R177" s="121">
        <f t="shared" si="6"/>
        <v>151.000151</v>
      </c>
      <c r="S177" s="122" t="str">
        <f t="shared" si="7"/>
        <v>#N/A</v>
      </c>
    </row>
    <row r="178">
      <c r="A178" s="123"/>
      <c r="B178" s="110" t="s">
        <v>508</v>
      </c>
      <c r="C178" s="111">
        <f>VLOOKUP(B178,'Dados StatusInvest'!$A:$Z,26,0)</f>
        <v>3162417</v>
      </c>
      <c r="D178" s="112">
        <f>VLOOKUP(B178,'Dados StatusInvest'!$A:$Z,20,0)/100</f>
        <v>0.2961</v>
      </c>
      <c r="E178" s="87" t="str">
        <f t="shared" si="1"/>
        <v>#N/A</v>
      </c>
      <c r="F178" s="113">
        <f>IF(ISERROR(1/VLOOKUP(B178,Capa!A:AH,13,0)),0,1/VLOOKUP(B178,Capa!A:AH,13,0))</f>
        <v>-1.31692189</v>
      </c>
      <c r="G178" s="114">
        <f t="shared" si="2"/>
        <v>407.000407</v>
      </c>
      <c r="H178" s="115" t="str">
        <f t="shared" si="3"/>
        <v>#N/A</v>
      </c>
      <c r="M178" s="110" t="s">
        <v>508</v>
      </c>
      <c r="N178" s="111">
        <f>VLOOKUP(M178,'Dados StatusInvest'!$A:$Z,26,0)</f>
        <v>3162417</v>
      </c>
      <c r="O178" s="118">
        <f>VLOOKUP(M178,'Dados StatusInvest'!$A:$Z,18,0)/100</f>
        <v>-0.2304</v>
      </c>
      <c r="P178" s="119" t="str">
        <f t="shared" si="5"/>
        <v>#N/A</v>
      </c>
      <c r="Q178" s="120">
        <f>IF(ISERROR(1/VLOOKUP(M178,Capa!A:AH,6,0)),0,1/VLOOKUP(M178,Capa!A:AH,6,0))</f>
        <v>1.408450704</v>
      </c>
      <c r="R178" s="121">
        <f t="shared" si="6"/>
        <v>6.000006</v>
      </c>
      <c r="S178" s="122" t="str">
        <f t="shared" si="7"/>
        <v>#N/A</v>
      </c>
    </row>
    <row r="179">
      <c r="A179" s="123"/>
      <c r="B179" s="110" t="s">
        <v>550</v>
      </c>
      <c r="C179" s="111">
        <f>VLOOKUP(B179,'Dados StatusInvest'!$A:$Z,26,0)</f>
        <v>2316491</v>
      </c>
      <c r="D179" s="112">
        <f>VLOOKUP(B179,'Dados StatusInvest'!$A:$Z,20,0)/100</f>
        <v>0.0247</v>
      </c>
      <c r="E179" s="87" t="str">
        <f t="shared" si="1"/>
        <v>#N/A</v>
      </c>
      <c r="F179" s="113">
        <f>IF(ISERROR(1/VLOOKUP(B179,Capa!A:AH,13,0)),0,1/VLOOKUP(B179,Capa!A:AH,13,0))</f>
        <v>14.13559135</v>
      </c>
      <c r="G179" s="114">
        <f t="shared" si="2"/>
        <v>45.000045</v>
      </c>
      <c r="H179" s="115" t="str">
        <f t="shared" si="3"/>
        <v>#N/A</v>
      </c>
      <c r="M179" s="110" t="s">
        <v>550</v>
      </c>
      <c r="N179" s="111">
        <f>VLOOKUP(M179,'Dados StatusInvest'!$A:$Z,26,0)</f>
        <v>2316491</v>
      </c>
      <c r="O179" s="118">
        <f>VLOOKUP(M179,'Dados StatusInvest'!$A:$Z,18,0)/100</f>
        <v>0.0682</v>
      </c>
      <c r="P179" s="119" t="str">
        <f t="shared" si="5"/>
        <v>#N/A</v>
      </c>
      <c r="Q179" s="120">
        <f>IF(ISERROR(1/VLOOKUP(M179,Capa!A:AH,6,0)),0,1/VLOOKUP(M179,Capa!A:AH,6,0))</f>
        <v>0.1219512195</v>
      </c>
      <c r="R179" s="121">
        <f t="shared" si="6"/>
        <v>101.000101</v>
      </c>
      <c r="S179" s="122" t="str">
        <f t="shared" si="7"/>
        <v>#N/A</v>
      </c>
    </row>
    <row r="180">
      <c r="A180" s="123"/>
      <c r="B180" s="110" t="s">
        <v>484</v>
      </c>
      <c r="C180" s="111">
        <f>VLOOKUP(B180,'Dados StatusInvest'!$A:$Z,26,0)</f>
        <v>4220.81</v>
      </c>
      <c r="D180" s="112">
        <f>VLOOKUP(B180,'Dados StatusInvest'!$A:$Z,20,0)/100</f>
        <v>0.2185</v>
      </c>
      <c r="E180" s="87" t="str">
        <f t="shared" si="1"/>
        <v>#N/A</v>
      </c>
      <c r="F180" s="113">
        <f>IF(ISERROR(1/VLOOKUP(B180,Capa!A:AH,13,0)),0,1/VLOOKUP(B180,Capa!A:AH,13,0))</f>
        <v>-0.2486943546</v>
      </c>
      <c r="G180" s="114">
        <f t="shared" si="2"/>
        <v>394.000394</v>
      </c>
      <c r="H180" s="115" t="str">
        <f t="shared" si="3"/>
        <v>#N/A</v>
      </c>
      <c r="M180" s="110" t="s">
        <v>484</v>
      </c>
      <c r="N180" s="111">
        <f>VLOOKUP(M180,'Dados StatusInvest'!$A:$Z,26,0)</f>
        <v>4220.81</v>
      </c>
      <c r="O180" s="118">
        <f>VLOOKUP(M180,'Dados StatusInvest'!$A:$Z,18,0)/100</f>
        <v>-0.1189</v>
      </c>
      <c r="P180" s="119" t="str">
        <f t="shared" si="5"/>
        <v>#N/A</v>
      </c>
      <c r="Q180" s="120">
        <f>IF(ISERROR(1/VLOOKUP(M180,Capa!A:AH,6,0)),0,1/VLOOKUP(M180,Capa!A:AH,6,0))</f>
        <v>0.826446281</v>
      </c>
      <c r="R180" s="121">
        <f t="shared" si="6"/>
        <v>13.000013</v>
      </c>
      <c r="S180" s="122" t="str">
        <f t="shared" si="7"/>
        <v>#N/A</v>
      </c>
    </row>
    <row r="181">
      <c r="A181" s="123"/>
      <c r="B181" s="110" t="s">
        <v>502</v>
      </c>
      <c r="C181" s="111">
        <f>VLOOKUP(B181,'Dados StatusInvest'!$A:$Z,26,0)</f>
        <v>2113426</v>
      </c>
      <c r="D181" s="112">
        <f>VLOOKUP(B181,'Dados StatusInvest'!$A:$Z,20,0)/100</f>
        <v>0.1163</v>
      </c>
      <c r="E181" s="87" t="str">
        <f t="shared" si="1"/>
        <v>#N/A</v>
      </c>
      <c r="F181" s="113">
        <f>IF(ISERROR(1/VLOOKUP(B181,Capa!A:AH,13,0)),0,1/VLOOKUP(B181,Capa!A:AH,13,0))</f>
        <v>35.38587849</v>
      </c>
      <c r="G181" s="114">
        <f t="shared" si="2"/>
        <v>21.000021</v>
      </c>
      <c r="H181" s="115" t="str">
        <f t="shared" si="3"/>
        <v>#N/A</v>
      </c>
      <c r="M181" s="110" t="s">
        <v>502</v>
      </c>
      <c r="N181" s="111">
        <f>VLOOKUP(M181,'Dados StatusInvest'!$A:$Z,26,0)</f>
        <v>2113426</v>
      </c>
      <c r="O181" s="118">
        <f>VLOOKUP(M181,'Dados StatusInvest'!$A:$Z,18,0)/100</f>
        <v>0.0835</v>
      </c>
      <c r="P181" s="119" t="str">
        <f t="shared" si="5"/>
        <v>#N/A</v>
      </c>
      <c r="Q181" s="120">
        <f>IF(ISERROR(1/VLOOKUP(M181,Capa!A:AH,6,0)),0,1/VLOOKUP(M181,Capa!A:AH,6,0))</f>
        <v>0.1160092807</v>
      </c>
      <c r="R181" s="121">
        <f t="shared" si="6"/>
        <v>108.000108</v>
      </c>
      <c r="S181" s="122" t="str">
        <f t="shared" si="7"/>
        <v>#N/A</v>
      </c>
    </row>
    <row r="182">
      <c r="A182" s="123"/>
      <c r="B182" s="110" t="s">
        <v>538</v>
      </c>
      <c r="C182" s="111">
        <f>VLOOKUP(B182,'Dados StatusInvest'!$A:$Z,26,0)</f>
        <v>36834759</v>
      </c>
      <c r="D182" s="112">
        <f>VLOOKUP(B182,'Dados StatusInvest'!$A:$Z,20,0)/100</f>
        <v>0.552</v>
      </c>
      <c r="E182" s="87" t="str">
        <f t="shared" si="1"/>
        <v>#N/A</v>
      </c>
      <c r="F182" s="113">
        <f>IF(ISERROR(1/VLOOKUP(B182,Capa!A:AH,13,0)),0,1/VLOOKUP(B182,Capa!A:AH,13,0))</f>
        <v>-0.2225078526</v>
      </c>
      <c r="G182" s="114">
        <f t="shared" si="2"/>
        <v>393.000393</v>
      </c>
      <c r="H182" s="115" t="str">
        <f t="shared" si="3"/>
        <v>#N/A</v>
      </c>
      <c r="M182" s="110" t="s">
        <v>538</v>
      </c>
      <c r="N182" s="111">
        <f>VLOOKUP(M182,'Dados StatusInvest'!$A:$Z,26,0)</f>
        <v>36834759</v>
      </c>
      <c r="O182" s="118">
        <f>VLOOKUP(M182,'Dados StatusInvest'!$A:$Z,18,0)/100</f>
        <v>-0.7538</v>
      </c>
      <c r="P182" s="119" t="str">
        <f t="shared" si="5"/>
        <v>#N/A</v>
      </c>
      <c r="Q182" s="120">
        <f>IF(ISERROR(1/VLOOKUP(M182,Capa!A:AH,6,0)),0,1/VLOOKUP(M182,Capa!A:AH,6,0))</f>
        <v>0.1445086705</v>
      </c>
      <c r="R182" s="121">
        <f t="shared" si="6"/>
        <v>91.000091</v>
      </c>
      <c r="S182" s="122" t="str">
        <f t="shared" si="7"/>
        <v>#N/A</v>
      </c>
    </row>
    <row r="183">
      <c r="A183" s="123"/>
      <c r="B183" s="110" t="s">
        <v>1715</v>
      </c>
      <c r="C183" s="111" t="str">
        <f>VLOOKUP(B183,'Dados StatusInvest'!$A:$Z,26,0)</f>
        <v>#N/A</v>
      </c>
      <c r="D183" s="112" t="str">
        <f>VLOOKUP(B183,'Dados StatusInvest'!$A:$Z,20,0)/100</f>
        <v>#N/A</v>
      </c>
      <c r="E183" s="87" t="str">
        <f t="shared" si="1"/>
        <v>#N/A</v>
      </c>
      <c r="F183" s="113">
        <f>IF(ISERROR(1/VLOOKUP(B183,Capa!A:AH,13,0)),0,1/VLOOKUP(B183,Capa!A:AH,13,0))</f>
        <v>0</v>
      </c>
      <c r="G183" s="114">
        <f t="shared" si="2"/>
        <v>246.000246</v>
      </c>
      <c r="H183" s="115" t="str">
        <f t="shared" si="3"/>
        <v>#N/A</v>
      </c>
      <c r="M183" s="110" t="s">
        <v>1715</v>
      </c>
      <c r="N183" s="111" t="str">
        <f>VLOOKUP(M183,'Dados StatusInvest'!$A:$Z,26,0)</f>
        <v>#N/A</v>
      </c>
      <c r="O183" s="118" t="str">
        <f>VLOOKUP(M183,'Dados StatusInvest'!$A:$Z,18,0)/100</f>
        <v>#N/A</v>
      </c>
      <c r="P183" s="119" t="str">
        <f t="shared" si="5"/>
        <v>#N/A</v>
      </c>
      <c r="Q183" s="120">
        <f>IF(ISERROR(1/VLOOKUP(M183,Capa!A:AH,6,0)),0,1/VLOOKUP(M183,Capa!A:AH,6,0))</f>
        <v>0</v>
      </c>
      <c r="R183" s="121">
        <f t="shared" si="6"/>
        <v>306.000306</v>
      </c>
      <c r="S183" s="122" t="str">
        <f t="shared" si="7"/>
        <v>#N/A</v>
      </c>
    </row>
    <row r="184">
      <c r="A184" s="123"/>
      <c r="B184" s="110" t="s">
        <v>310</v>
      </c>
      <c r="C184" s="111">
        <f>VLOOKUP(B184,'Dados StatusInvest'!$A:$Z,26,0)</f>
        <v>610840.6</v>
      </c>
      <c r="D184" s="112">
        <f>VLOOKUP(B184,'Dados StatusInvest'!$A:$Z,20,0)/100</f>
        <v>-0.0028</v>
      </c>
      <c r="E184" s="87" t="str">
        <f t="shared" si="1"/>
        <v>#N/A</v>
      </c>
      <c r="F184" s="113">
        <f>IF(ISERROR(1/VLOOKUP(B184,Capa!A:AH,13,0)),0,1/VLOOKUP(B184,Capa!A:AH,13,0))</f>
        <v>41.86602871</v>
      </c>
      <c r="G184" s="114">
        <f t="shared" si="2"/>
        <v>20.00002</v>
      </c>
      <c r="H184" s="115" t="str">
        <f t="shared" si="3"/>
        <v>#N/A</v>
      </c>
      <c r="M184" s="110" t="s">
        <v>310</v>
      </c>
      <c r="N184" s="111">
        <f>VLOOKUP(M184,'Dados StatusInvest'!$A:$Z,26,0)</f>
        <v>610840.6</v>
      </c>
      <c r="O184" s="118">
        <f>VLOOKUP(M184,'Dados StatusInvest'!$A:$Z,18,0)/100</f>
        <v>0.0557</v>
      </c>
      <c r="P184" s="119" t="str">
        <f t="shared" si="5"/>
        <v>#N/A</v>
      </c>
      <c r="Q184" s="120">
        <f>IF(ISERROR(1/VLOOKUP(M184,Capa!A:AH,6,0)),0,1/VLOOKUP(M184,Capa!A:AH,6,0))</f>
        <v>0.2421307506</v>
      </c>
      <c r="R184" s="121">
        <f t="shared" si="6"/>
        <v>52.000052</v>
      </c>
      <c r="S184" s="122" t="str">
        <f t="shared" si="7"/>
        <v>#N/A</v>
      </c>
    </row>
    <row r="185">
      <c r="A185" s="123"/>
      <c r="B185" s="110" t="s">
        <v>619</v>
      </c>
      <c r="C185" s="111">
        <f>VLOOKUP(B185,'Dados StatusInvest'!$A:$Z,26,0)</f>
        <v>0</v>
      </c>
      <c r="D185" s="112">
        <f>VLOOKUP(B185,'Dados StatusInvest'!$A:$Z,20,0)/100</f>
        <v>0.0463</v>
      </c>
      <c r="E185" s="87" t="str">
        <f t="shared" si="1"/>
        <v>#N/A</v>
      </c>
      <c r="F185" s="113">
        <f>IF(ISERROR(1/VLOOKUP(B185,Capa!A:AH,13,0)),0,1/VLOOKUP(B185,Capa!A:AH,13,0))</f>
        <v>0</v>
      </c>
      <c r="G185" s="114">
        <f t="shared" si="2"/>
        <v>246.000246</v>
      </c>
      <c r="H185" s="115" t="str">
        <f t="shared" si="3"/>
        <v>#N/A</v>
      </c>
      <c r="M185" s="110" t="s">
        <v>619</v>
      </c>
      <c r="N185" s="111">
        <f>VLOOKUP(M185,'Dados StatusInvest'!$A:$Z,26,0)</f>
        <v>0</v>
      </c>
      <c r="O185" s="118">
        <f>VLOOKUP(M185,'Dados StatusInvest'!$A:$Z,18,0)/100</f>
        <v>-0.0557</v>
      </c>
      <c r="P185" s="119" t="str">
        <f t="shared" si="5"/>
        <v>#N/A</v>
      </c>
      <c r="Q185" s="120">
        <f>IF(ISERROR(1/VLOOKUP(M185,Capa!A:AH,6,0)),0,1/VLOOKUP(M185,Capa!A:AH,6,0))</f>
        <v>0</v>
      </c>
      <c r="R185" s="121">
        <f t="shared" si="6"/>
        <v>306.000306</v>
      </c>
      <c r="S185" s="122" t="str">
        <f t="shared" si="7"/>
        <v>#N/A</v>
      </c>
    </row>
    <row r="186">
      <c r="A186" s="123"/>
      <c r="B186" s="110" t="s">
        <v>219</v>
      </c>
      <c r="C186" s="111">
        <f>VLOOKUP(B186,'Dados StatusInvest'!$A:$Z,26,0)</f>
        <v>832583.2</v>
      </c>
      <c r="D186" s="112">
        <f>VLOOKUP(B186,'Dados StatusInvest'!$A:$Z,20,0)/100</f>
        <v>0.0992</v>
      </c>
      <c r="E186" s="87" t="str">
        <f t="shared" si="1"/>
        <v>#N/A</v>
      </c>
      <c r="F186" s="113">
        <f>IF(ISERROR(1/VLOOKUP(B186,Capa!A:AH,13,0)),0,1/VLOOKUP(B186,Capa!A:AH,13,0))</f>
        <v>7.642131183</v>
      </c>
      <c r="G186" s="114">
        <f t="shared" si="2"/>
        <v>109.000109</v>
      </c>
      <c r="H186" s="115" t="str">
        <f t="shared" si="3"/>
        <v>#N/A</v>
      </c>
      <c r="M186" s="110" t="s">
        <v>219</v>
      </c>
      <c r="N186" s="111">
        <f>VLOOKUP(M186,'Dados StatusInvest'!$A:$Z,26,0)</f>
        <v>832583.2</v>
      </c>
      <c r="O186" s="118">
        <f>VLOOKUP(M186,'Dados StatusInvest'!$A:$Z,18,0)/100</f>
        <v>0.0564</v>
      </c>
      <c r="P186" s="119" t="str">
        <f t="shared" si="5"/>
        <v>#N/A</v>
      </c>
      <c r="Q186" s="120">
        <f>IF(ISERROR(1/VLOOKUP(M186,Capa!A:AH,6,0)),0,1/VLOOKUP(M186,Capa!A:AH,6,0))</f>
        <v>0.03227888961</v>
      </c>
      <c r="R186" s="121">
        <f t="shared" si="6"/>
        <v>215.000215</v>
      </c>
      <c r="S186" s="122" t="str">
        <f t="shared" si="7"/>
        <v>#N/A</v>
      </c>
    </row>
    <row r="187">
      <c r="A187" s="123"/>
      <c r="B187" s="110" t="s">
        <v>349</v>
      </c>
      <c r="C187" s="111">
        <f>VLOOKUP(B187,'Dados StatusInvest'!$A:$Z,26,0)</f>
        <v>308564</v>
      </c>
      <c r="D187" s="112">
        <f>VLOOKUP(B187,'Dados StatusInvest'!$A:$Z,20,0)/100</f>
        <v>-0.132</v>
      </c>
      <c r="E187" s="87" t="str">
        <f t="shared" si="1"/>
        <v>#N/A</v>
      </c>
      <c r="F187" s="113">
        <f>IF(ISERROR(1/VLOOKUP(B187,Capa!A:AH,13,0)),0,1/VLOOKUP(B187,Capa!A:AH,13,0))</f>
        <v>0</v>
      </c>
      <c r="G187" s="114">
        <f t="shared" si="2"/>
        <v>246.000246</v>
      </c>
      <c r="H187" s="115" t="str">
        <f t="shared" si="3"/>
        <v>#N/A</v>
      </c>
      <c r="M187" s="110" t="s">
        <v>349</v>
      </c>
      <c r="N187" s="111">
        <f>VLOOKUP(M187,'Dados StatusInvest'!$A:$Z,26,0)</f>
        <v>308564</v>
      </c>
      <c r="O187" s="118">
        <f>VLOOKUP(M187,'Dados StatusInvest'!$A:$Z,18,0)/100</f>
        <v>-0.0985</v>
      </c>
      <c r="P187" s="119" t="str">
        <f t="shared" si="5"/>
        <v>#N/A</v>
      </c>
      <c r="Q187" s="120">
        <f>IF(ISERROR(1/VLOOKUP(M187,Capa!A:AH,6,0)),0,1/VLOOKUP(M187,Capa!A:AH,6,0))</f>
        <v>0</v>
      </c>
      <c r="R187" s="121">
        <f t="shared" si="6"/>
        <v>306.000306</v>
      </c>
      <c r="S187" s="122" t="str">
        <f t="shared" si="7"/>
        <v>#N/A</v>
      </c>
    </row>
    <row r="188">
      <c r="A188" s="123"/>
      <c r="B188" s="110" t="s">
        <v>58</v>
      </c>
      <c r="C188" s="111">
        <f>VLOOKUP(B188,'Dados StatusInvest'!$A:$Z,26,0)</f>
        <v>4102180</v>
      </c>
      <c r="D188" s="112">
        <f>VLOOKUP(B188,'Dados StatusInvest'!$A:$Z,20,0)/100</f>
        <v>-0.0103</v>
      </c>
      <c r="E188" s="87" t="str">
        <f t="shared" si="1"/>
        <v>#N/A</v>
      </c>
      <c r="F188" s="113">
        <f>IF(ISERROR(1/VLOOKUP(B188,Capa!A:AH,13,0)),0,1/VLOOKUP(B188,Capa!A:AH,13,0))</f>
        <v>50.97004251</v>
      </c>
      <c r="G188" s="114">
        <f t="shared" si="2"/>
        <v>19.000019</v>
      </c>
      <c r="H188" s="115" t="str">
        <f t="shared" si="3"/>
        <v>#N/A</v>
      </c>
      <c r="M188" s="110" t="s">
        <v>58</v>
      </c>
      <c r="N188" s="111">
        <f>VLOOKUP(M188,'Dados StatusInvest'!$A:$Z,26,0)</f>
        <v>4102180</v>
      </c>
      <c r="O188" s="118">
        <f>VLOOKUP(M188,'Dados StatusInvest'!$A:$Z,18,0)/100</f>
        <v>-0.0008</v>
      </c>
      <c r="P188" s="119" t="str">
        <f t="shared" si="5"/>
        <v>#N/A</v>
      </c>
      <c r="Q188" s="120">
        <f>IF(ISERROR(1/VLOOKUP(M188,Capa!A:AH,6,0)),0,1/VLOOKUP(M188,Capa!A:AH,6,0))</f>
        <v>0.04940711462</v>
      </c>
      <c r="R188" s="121">
        <f t="shared" si="6"/>
        <v>186.000186</v>
      </c>
      <c r="S188" s="122" t="str">
        <f t="shared" si="7"/>
        <v>#N/A</v>
      </c>
    </row>
    <row r="189">
      <c r="A189" s="123"/>
      <c r="B189" s="110" t="s">
        <v>555</v>
      </c>
      <c r="C189" s="111">
        <f>VLOOKUP(B189,'Dados StatusInvest'!$A:$Z,26,0)</f>
        <v>6829.53</v>
      </c>
      <c r="D189" s="112">
        <f>VLOOKUP(B189,'Dados StatusInvest'!$A:$Z,20,0)/100</f>
        <v>1.0117</v>
      </c>
      <c r="E189" s="87" t="str">
        <f t="shared" si="1"/>
        <v>#N/A</v>
      </c>
      <c r="F189" s="113">
        <f>IF(ISERROR(1/VLOOKUP(B189,Capa!A:AH,13,0)),0,1/VLOOKUP(B189,Capa!A:AH,13,0))</f>
        <v>-0.3206053028</v>
      </c>
      <c r="G189" s="114">
        <f t="shared" si="2"/>
        <v>397.000397</v>
      </c>
      <c r="H189" s="115" t="str">
        <f t="shared" si="3"/>
        <v>#N/A</v>
      </c>
      <c r="M189" s="110" t="s">
        <v>555</v>
      </c>
      <c r="N189" s="111">
        <f>VLOOKUP(M189,'Dados StatusInvest'!$A:$Z,26,0)</f>
        <v>6829.53</v>
      </c>
      <c r="O189" s="118">
        <f>VLOOKUP(M189,'Dados StatusInvest'!$A:$Z,18,0)/100</f>
        <v>-0.2842</v>
      </c>
      <c r="P189" s="119" t="str">
        <f t="shared" si="5"/>
        <v>#N/A</v>
      </c>
      <c r="Q189" s="120">
        <f>IF(ISERROR(1/VLOOKUP(M189,Capa!A:AH,6,0)),0,1/VLOOKUP(M189,Capa!A:AH,6,0))</f>
        <v>0.6060606061</v>
      </c>
      <c r="R189" s="121">
        <f t="shared" si="6"/>
        <v>23.000023</v>
      </c>
      <c r="S189" s="122" t="str">
        <f t="shared" si="7"/>
        <v>#N/A</v>
      </c>
    </row>
    <row r="190">
      <c r="A190" s="123"/>
      <c r="B190" s="110" t="s">
        <v>614</v>
      </c>
      <c r="C190" s="111">
        <f>VLOOKUP(B190,'Dados StatusInvest'!$A:$Z,26,0)</f>
        <v>0</v>
      </c>
      <c r="D190" s="112">
        <f>VLOOKUP(B190,'Dados StatusInvest'!$A:$Z,20,0)/100</f>
        <v>0.0259</v>
      </c>
      <c r="E190" s="87" t="str">
        <f t="shared" si="1"/>
        <v>#N/A</v>
      </c>
      <c r="F190" s="113">
        <f>IF(ISERROR(1/VLOOKUP(B190,Capa!A:AH,13,0)),0,1/VLOOKUP(B190,Capa!A:AH,13,0))</f>
        <v>0</v>
      </c>
      <c r="G190" s="114">
        <f t="shared" si="2"/>
        <v>246.000246</v>
      </c>
      <c r="H190" s="115" t="str">
        <f t="shared" si="3"/>
        <v>#N/A</v>
      </c>
      <c r="M190" s="110" t="s">
        <v>614</v>
      </c>
      <c r="N190" s="111">
        <f>VLOOKUP(M190,'Dados StatusInvest'!$A:$Z,26,0)</f>
        <v>0</v>
      </c>
      <c r="O190" s="118">
        <f>VLOOKUP(M190,'Dados StatusInvest'!$A:$Z,18,0)/100</f>
        <v>-0.1218</v>
      </c>
      <c r="P190" s="119" t="str">
        <f t="shared" si="5"/>
        <v>#N/A</v>
      </c>
      <c r="Q190" s="120">
        <f>IF(ISERROR(1/VLOOKUP(M190,Capa!A:AH,6,0)),0,1/VLOOKUP(M190,Capa!A:AH,6,0))</f>
        <v>0</v>
      </c>
      <c r="R190" s="121">
        <f t="shared" si="6"/>
        <v>306.000306</v>
      </c>
      <c r="S190" s="122" t="str">
        <f t="shared" si="7"/>
        <v>#N/A</v>
      </c>
    </row>
    <row r="191">
      <c r="A191" s="123"/>
      <c r="B191" s="110" t="s">
        <v>333</v>
      </c>
      <c r="C191" s="111">
        <f>VLOOKUP(B191,'Dados StatusInvest'!$A:$Z,26,0)</f>
        <v>0</v>
      </c>
      <c r="D191" s="112">
        <f>VLOOKUP(B191,'Dados StatusInvest'!$A:$Z,20,0)/100</f>
        <v>-0.001</v>
      </c>
      <c r="E191" s="87" t="str">
        <f t="shared" si="1"/>
        <v>#N/A</v>
      </c>
      <c r="F191" s="113">
        <f>IF(ISERROR(1/VLOOKUP(B191,Capa!A:AH,13,0)),0,1/VLOOKUP(B191,Capa!A:AH,13,0))</f>
        <v>0</v>
      </c>
      <c r="G191" s="114">
        <f t="shared" si="2"/>
        <v>246.000246</v>
      </c>
      <c r="H191" s="115" t="str">
        <f t="shared" si="3"/>
        <v>#N/A</v>
      </c>
      <c r="M191" s="110" t="s">
        <v>333</v>
      </c>
      <c r="N191" s="111">
        <f>VLOOKUP(M191,'Dados StatusInvest'!$A:$Z,26,0)</f>
        <v>0</v>
      </c>
      <c r="O191" s="118">
        <f>VLOOKUP(M191,'Dados StatusInvest'!$A:$Z,18,0)/100</f>
        <v>-0.0883</v>
      </c>
      <c r="P191" s="119" t="str">
        <f t="shared" si="5"/>
        <v>#N/A</v>
      </c>
      <c r="Q191" s="120">
        <f>IF(ISERROR(1/VLOOKUP(M191,Capa!A:AH,6,0)),0,1/VLOOKUP(M191,Capa!A:AH,6,0))</f>
        <v>0</v>
      </c>
      <c r="R191" s="121">
        <f t="shared" si="6"/>
        <v>306.000306</v>
      </c>
      <c r="S191" s="122" t="str">
        <f t="shared" si="7"/>
        <v>#N/A</v>
      </c>
    </row>
    <row r="192">
      <c r="A192" s="123"/>
      <c r="B192" s="110" t="s">
        <v>1716</v>
      </c>
      <c r="C192" s="111" t="str">
        <f>VLOOKUP(B192,'Dados StatusInvest'!$A:$Z,26,0)</f>
        <v>#N/A</v>
      </c>
      <c r="D192" s="112" t="str">
        <f>VLOOKUP(B192,'Dados StatusInvest'!$A:$Z,20,0)/100</f>
        <v>#N/A</v>
      </c>
      <c r="E192" s="87" t="str">
        <f t="shared" si="1"/>
        <v>#N/A</v>
      </c>
      <c r="F192" s="113">
        <f>IF(ISERROR(1/VLOOKUP(B192,Capa!A:AH,13,0)),0,1/VLOOKUP(B192,Capa!A:AH,13,0))</f>
        <v>0</v>
      </c>
      <c r="G192" s="114">
        <f t="shared" si="2"/>
        <v>246.000246</v>
      </c>
      <c r="H192" s="115" t="str">
        <f t="shared" si="3"/>
        <v>#N/A</v>
      </c>
      <c r="M192" s="110" t="s">
        <v>1716</v>
      </c>
      <c r="N192" s="111" t="str">
        <f>VLOOKUP(M192,'Dados StatusInvest'!$A:$Z,26,0)</f>
        <v>#N/A</v>
      </c>
      <c r="O192" s="118" t="str">
        <f>VLOOKUP(M192,'Dados StatusInvest'!$A:$Z,18,0)/100</f>
        <v>#N/A</v>
      </c>
      <c r="P192" s="119" t="str">
        <f t="shared" si="5"/>
        <v>#N/A</v>
      </c>
      <c r="Q192" s="120">
        <f>IF(ISERROR(1/VLOOKUP(M192,Capa!A:AH,6,0)),0,1/VLOOKUP(M192,Capa!A:AH,6,0))</f>
        <v>0</v>
      </c>
      <c r="R192" s="121">
        <f t="shared" si="6"/>
        <v>306.000306</v>
      </c>
      <c r="S192" s="122" t="str">
        <f t="shared" si="7"/>
        <v>#N/A</v>
      </c>
    </row>
    <row r="193">
      <c r="A193" s="123"/>
      <c r="B193" s="110" t="s">
        <v>509</v>
      </c>
      <c r="C193" s="111">
        <f>VLOOKUP(B193,'Dados StatusInvest'!$A:$Z,26,0)</f>
        <v>12591551</v>
      </c>
      <c r="D193" s="112">
        <f>VLOOKUP(B193,'Dados StatusInvest'!$A:$Z,20,0)/100</f>
        <v>0.0743</v>
      </c>
      <c r="E193" s="87" t="str">
        <f t="shared" si="1"/>
        <v>#N/A</v>
      </c>
      <c r="F193" s="113">
        <f>IF(ISERROR(1/VLOOKUP(B193,Capa!A:AH,13,0)),0,1/VLOOKUP(B193,Capa!A:AH,13,0))</f>
        <v>22.37136465</v>
      </c>
      <c r="G193" s="114">
        <f t="shared" si="2"/>
        <v>32.000032</v>
      </c>
      <c r="H193" s="115" t="str">
        <f t="shared" si="3"/>
        <v>#N/A</v>
      </c>
      <c r="M193" s="110" t="s">
        <v>509</v>
      </c>
      <c r="N193" s="111">
        <f>VLOOKUP(M193,'Dados StatusInvest'!$A:$Z,26,0)</f>
        <v>12591551</v>
      </c>
      <c r="O193" s="118">
        <f>VLOOKUP(M193,'Dados StatusInvest'!$A:$Z,18,0)/100</f>
        <v>0.0893</v>
      </c>
      <c r="P193" s="119" t="str">
        <f t="shared" si="5"/>
        <v>#N/A</v>
      </c>
      <c r="Q193" s="120">
        <f>IF(ISERROR(1/VLOOKUP(M193,Capa!A:AH,6,0)),0,1/VLOOKUP(M193,Capa!A:AH,6,0))</f>
        <v>0.06285355123</v>
      </c>
      <c r="R193" s="121">
        <f t="shared" si="6"/>
        <v>163.000163</v>
      </c>
      <c r="S193" s="122" t="str">
        <f t="shared" si="7"/>
        <v>#N/A</v>
      </c>
    </row>
    <row r="194">
      <c r="A194" s="123"/>
      <c r="B194" s="110" t="s">
        <v>398</v>
      </c>
      <c r="C194" s="111">
        <f>VLOOKUP(B194,'Dados StatusInvest'!$A:$Z,26,0)</f>
        <v>3168023</v>
      </c>
      <c r="D194" s="112">
        <f>VLOOKUP(B194,'Dados StatusInvest'!$A:$Z,20,0)/100</f>
        <v>0.0793</v>
      </c>
      <c r="E194" s="87" t="str">
        <f t="shared" si="1"/>
        <v>#N/A</v>
      </c>
      <c r="F194" s="113">
        <f>IF(ISERROR(1/VLOOKUP(B194,Capa!A:AH,13,0)),0,1/VLOOKUP(B194,Capa!A:AH,13,0))</f>
        <v>4.247423602</v>
      </c>
      <c r="G194" s="114">
        <f t="shared" si="2"/>
        <v>179.000179</v>
      </c>
      <c r="H194" s="115" t="str">
        <f t="shared" si="3"/>
        <v>#N/A</v>
      </c>
      <c r="M194" s="110" t="s">
        <v>398</v>
      </c>
      <c r="N194" s="111">
        <f>VLOOKUP(M194,'Dados StatusInvest'!$A:$Z,26,0)</f>
        <v>3168023</v>
      </c>
      <c r="O194" s="118">
        <f>VLOOKUP(M194,'Dados StatusInvest'!$A:$Z,18,0)/100</f>
        <v>0.1806</v>
      </c>
      <c r="P194" s="119" t="str">
        <f t="shared" si="5"/>
        <v>#N/A</v>
      </c>
      <c r="Q194" s="120">
        <f>IF(ISERROR(1/VLOOKUP(M194,Capa!A:AH,6,0)),0,1/VLOOKUP(M194,Capa!A:AH,6,0))</f>
        <v>0.2506265664</v>
      </c>
      <c r="R194" s="121">
        <f t="shared" si="6"/>
        <v>48.000048</v>
      </c>
      <c r="S194" s="122" t="str">
        <f t="shared" si="7"/>
        <v>#N/A</v>
      </c>
    </row>
    <row r="195">
      <c r="A195" s="123"/>
      <c r="B195" s="110" t="s">
        <v>634</v>
      </c>
      <c r="C195" s="111">
        <f>VLOOKUP(B195,'Dados StatusInvest'!$A:$Z,26,0)</f>
        <v>88711.1</v>
      </c>
      <c r="D195" s="112">
        <f>VLOOKUP(B195,'Dados StatusInvest'!$A:$Z,20,0)/100</f>
        <v>-0.0597</v>
      </c>
      <c r="E195" s="87" t="str">
        <f t="shared" si="1"/>
        <v>#N/A</v>
      </c>
      <c r="F195" s="113">
        <f>IF(ISERROR(1/VLOOKUP(B195,Capa!A:AH,13,0)),0,1/VLOOKUP(B195,Capa!A:AH,13,0))</f>
        <v>-27.43965339</v>
      </c>
      <c r="G195" s="114">
        <f t="shared" si="2"/>
        <v>433.000433</v>
      </c>
      <c r="H195" s="115" t="str">
        <f t="shared" si="3"/>
        <v>#N/A</v>
      </c>
      <c r="M195" s="110" t="s">
        <v>634</v>
      </c>
      <c r="N195" s="111">
        <f>VLOOKUP(M195,'Dados StatusInvest'!$A:$Z,26,0)</f>
        <v>88711.1</v>
      </c>
      <c r="O195" s="118">
        <f>VLOOKUP(M195,'Dados StatusInvest'!$A:$Z,18,0)/100</f>
        <v>-0.0128</v>
      </c>
      <c r="P195" s="119" t="str">
        <f t="shared" si="5"/>
        <v>#N/A</v>
      </c>
      <c r="Q195" s="120">
        <f>IF(ISERROR(1/VLOOKUP(M195,Capa!A:AH,6,0)),0,1/VLOOKUP(M195,Capa!A:AH,6,0))</f>
        <v>0.7518796992</v>
      </c>
      <c r="R195" s="121">
        <f t="shared" si="6"/>
        <v>17.000017</v>
      </c>
      <c r="S195" s="122" t="str">
        <f t="shared" si="7"/>
        <v>#N/A</v>
      </c>
    </row>
    <row r="196">
      <c r="A196" s="123"/>
      <c r="B196" s="110" t="s">
        <v>201</v>
      </c>
      <c r="C196" s="111">
        <f>VLOOKUP(B196,'Dados StatusInvest'!$A:$Z,26,0)</f>
        <v>0</v>
      </c>
      <c r="D196" s="112">
        <f>VLOOKUP(B196,'Dados StatusInvest'!$A:$Z,20,0)/100</f>
        <v>0.1231</v>
      </c>
      <c r="E196" s="87" t="str">
        <f t="shared" si="1"/>
        <v>#N/A</v>
      </c>
      <c r="F196" s="113">
        <f>IF(ISERROR(1/VLOOKUP(B196,Capa!A:AH,13,0)),0,1/VLOOKUP(B196,Capa!A:AH,13,0))</f>
        <v>0</v>
      </c>
      <c r="G196" s="114">
        <f t="shared" si="2"/>
        <v>246.000246</v>
      </c>
      <c r="H196" s="115" t="str">
        <f t="shared" si="3"/>
        <v>#N/A</v>
      </c>
      <c r="M196" s="110" t="s">
        <v>201</v>
      </c>
      <c r="N196" s="111">
        <f>VLOOKUP(M196,'Dados StatusInvest'!$A:$Z,26,0)</f>
        <v>0</v>
      </c>
      <c r="O196" s="118">
        <f>VLOOKUP(M196,'Dados StatusInvest'!$A:$Z,18,0)/100</f>
        <v>0.2071</v>
      </c>
      <c r="P196" s="119" t="str">
        <f t="shared" si="5"/>
        <v>#N/A</v>
      </c>
      <c r="Q196" s="120">
        <f>IF(ISERROR(1/VLOOKUP(M196,Capa!A:AH,6,0)),0,1/VLOOKUP(M196,Capa!A:AH,6,0))</f>
        <v>0</v>
      </c>
      <c r="R196" s="121">
        <f t="shared" si="6"/>
        <v>306.000306</v>
      </c>
      <c r="S196" s="122" t="str">
        <f t="shared" si="7"/>
        <v>#N/A</v>
      </c>
    </row>
    <row r="197">
      <c r="A197" s="123"/>
      <c r="B197" s="110" t="s">
        <v>647</v>
      </c>
      <c r="C197" s="111">
        <f>VLOOKUP(B197,'Dados StatusInvest'!$A:$Z,26,0)</f>
        <v>99431</v>
      </c>
      <c r="D197" s="112">
        <f>VLOOKUP(B197,'Dados StatusInvest'!$A:$Z,20,0)/100</f>
        <v>-0.1661</v>
      </c>
      <c r="E197" s="87" t="str">
        <f t="shared" si="1"/>
        <v>#N/A</v>
      </c>
      <c r="F197" s="113">
        <f>IF(ISERROR(1/VLOOKUP(B197,Capa!A:AH,13,0)),0,1/VLOOKUP(B197,Capa!A:AH,13,0))</f>
        <v>-2.249364555</v>
      </c>
      <c r="G197" s="114">
        <f t="shared" si="2"/>
        <v>409.000409</v>
      </c>
      <c r="H197" s="115" t="str">
        <f t="shared" si="3"/>
        <v>#N/A</v>
      </c>
      <c r="M197" s="110" t="s">
        <v>647</v>
      </c>
      <c r="N197" s="111">
        <f>VLOOKUP(M197,'Dados StatusInvest'!$A:$Z,26,0)</f>
        <v>99431</v>
      </c>
      <c r="O197" s="118">
        <f>VLOOKUP(M197,'Dados StatusInvest'!$A:$Z,18,0)/100</f>
        <v>-0.2288</v>
      </c>
      <c r="P197" s="119" t="str">
        <f t="shared" si="5"/>
        <v>#N/A</v>
      </c>
      <c r="Q197" s="120">
        <f>IF(ISERROR(1/VLOOKUP(M197,Capa!A:AH,6,0)),0,1/VLOOKUP(M197,Capa!A:AH,6,0))</f>
        <v>1.666666667</v>
      </c>
      <c r="R197" s="121">
        <f t="shared" si="6"/>
        <v>5.000005</v>
      </c>
      <c r="S197" s="122" t="str">
        <f t="shared" si="7"/>
        <v>#N/A</v>
      </c>
    </row>
    <row r="198">
      <c r="A198" s="123"/>
      <c r="B198" s="110" t="s">
        <v>76</v>
      </c>
      <c r="C198" s="111">
        <f>VLOOKUP(B198,'Dados StatusInvest'!$A:$Z,26,0)</f>
        <v>51166</v>
      </c>
      <c r="D198" s="112">
        <f>VLOOKUP(B198,'Dados StatusInvest'!$A:$Z,20,0)/100</f>
        <v>0.0291</v>
      </c>
      <c r="E198" s="87" t="str">
        <f t="shared" si="1"/>
        <v>#N/A</v>
      </c>
      <c r="F198" s="113">
        <f>IF(ISERROR(1/VLOOKUP(B198,Capa!A:AH,13,0)),0,1/VLOOKUP(B198,Capa!A:AH,13,0))</f>
        <v>0</v>
      </c>
      <c r="G198" s="114">
        <f t="shared" si="2"/>
        <v>246.000246</v>
      </c>
      <c r="H198" s="115" t="str">
        <f t="shared" si="3"/>
        <v>#N/A</v>
      </c>
      <c r="M198" s="110" t="s">
        <v>76</v>
      </c>
      <c r="N198" s="111">
        <f>VLOOKUP(M198,'Dados StatusInvest'!$A:$Z,26,0)</f>
        <v>51166</v>
      </c>
      <c r="O198" s="118">
        <f>VLOOKUP(M198,'Dados StatusInvest'!$A:$Z,18,0)/100</f>
        <v>-0.0615</v>
      </c>
      <c r="P198" s="119" t="str">
        <f t="shared" si="5"/>
        <v>#N/A</v>
      </c>
      <c r="Q198" s="120">
        <f>IF(ISERROR(1/VLOOKUP(M198,Capa!A:AH,6,0)),0,1/VLOOKUP(M198,Capa!A:AH,6,0))</f>
        <v>0</v>
      </c>
      <c r="R198" s="121">
        <f t="shared" si="6"/>
        <v>306.000306</v>
      </c>
      <c r="S198" s="122" t="str">
        <f t="shared" si="7"/>
        <v>#N/A</v>
      </c>
    </row>
    <row r="199">
      <c r="A199" s="123"/>
      <c r="B199" s="110" t="s">
        <v>391</v>
      </c>
      <c r="C199" s="111">
        <f>VLOOKUP(B199,'Dados StatusInvest'!$A:$Z,26,0)</f>
        <v>54805.43</v>
      </c>
      <c r="D199" s="112">
        <f>VLOOKUP(B199,'Dados StatusInvest'!$A:$Z,20,0)/100</f>
        <v>-2.3566</v>
      </c>
      <c r="E199" s="87" t="str">
        <f t="shared" si="1"/>
        <v>#N/A</v>
      </c>
      <c r="F199" s="113">
        <f>IF(ISERROR(1/VLOOKUP(B199,Capa!A:AH,13,0)),0,1/VLOOKUP(B199,Capa!A:AH,13,0))</f>
        <v>-0.991110347</v>
      </c>
      <c r="G199" s="114">
        <f t="shared" si="2"/>
        <v>405.000405</v>
      </c>
      <c r="H199" s="115" t="str">
        <f t="shared" si="3"/>
        <v>#N/A</v>
      </c>
      <c r="M199" s="110" t="s">
        <v>391</v>
      </c>
      <c r="N199" s="111">
        <f>VLOOKUP(M199,'Dados StatusInvest'!$A:$Z,26,0)</f>
        <v>54805.43</v>
      </c>
      <c r="O199" s="118">
        <f>VLOOKUP(M199,'Dados StatusInvest'!$A:$Z,18,0)/100</f>
        <v>-2.8839</v>
      </c>
      <c r="P199" s="119" t="str">
        <f t="shared" si="5"/>
        <v>#N/A</v>
      </c>
      <c r="Q199" s="120">
        <f>IF(ISERROR(1/VLOOKUP(M199,Capa!A:AH,6,0)),0,1/VLOOKUP(M199,Capa!A:AH,6,0))</f>
        <v>1.020408163</v>
      </c>
      <c r="R199" s="121">
        <f t="shared" si="6"/>
        <v>9.000009</v>
      </c>
      <c r="S199" s="122" t="str">
        <f t="shared" si="7"/>
        <v>#N/A</v>
      </c>
    </row>
    <row r="200">
      <c r="A200" s="123"/>
      <c r="B200" s="110" t="s">
        <v>571</v>
      </c>
      <c r="C200" s="111">
        <f>VLOOKUP(B200,'Dados StatusInvest'!$A:$Z,26,0)</f>
        <v>288937.9</v>
      </c>
      <c r="D200" s="112">
        <f>VLOOKUP(B200,'Dados StatusInvest'!$A:$Z,20,0)/100</f>
        <v>-0.2639</v>
      </c>
      <c r="E200" s="87" t="str">
        <f t="shared" si="1"/>
        <v>#N/A</v>
      </c>
      <c r="F200" s="113">
        <f>IF(ISERROR(1/VLOOKUP(B200,Capa!A:AH,13,0)),0,1/VLOOKUP(B200,Capa!A:AH,13,0))</f>
        <v>-3.528050896</v>
      </c>
      <c r="G200" s="114">
        <f t="shared" si="2"/>
        <v>412.000412</v>
      </c>
      <c r="H200" s="115" t="str">
        <f t="shared" si="3"/>
        <v>#N/A</v>
      </c>
      <c r="M200" s="110" t="s">
        <v>571</v>
      </c>
      <c r="N200" s="111">
        <f>VLOOKUP(M200,'Dados StatusInvest'!$A:$Z,26,0)</f>
        <v>288937.9</v>
      </c>
      <c r="O200" s="118">
        <f>VLOOKUP(M200,'Dados StatusInvest'!$A:$Z,18,0)/100</f>
        <v>-0.5945</v>
      </c>
      <c r="P200" s="119" t="str">
        <f t="shared" si="5"/>
        <v>#N/A</v>
      </c>
      <c r="Q200" s="120">
        <f>IF(ISERROR(1/VLOOKUP(M200,Capa!A:AH,6,0)),0,1/VLOOKUP(M200,Capa!A:AH,6,0))</f>
        <v>0.2049180328</v>
      </c>
      <c r="R200" s="121">
        <f t="shared" si="6"/>
        <v>67.000067</v>
      </c>
      <c r="S200" s="122" t="str">
        <f t="shared" si="7"/>
        <v>#N/A</v>
      </c>
    </row>
    <row r="201">
      <c r="A201" s="123"/>
      <c r="B201" s="110" t="s">
        <v>570</v>
      </c>
      <c r="C201" s="111">
        <f>VLOOKUP(B201,'Dados StatusInvest'!$A:$Z,26,0)</f>
        <v>0</v>
      </c>
      <c r="D201" s="112">
        <f>VLOOKUP(B201,'Dados StatusInvest'!$A:$Z,20,0)/100</f>
        <v>-3.0318</v>
      </c>
      <c r="E201" s="87" t="str">
        <f t="shared" si="1"/>
        <v>#N/A</v>
      </c>
      <c r="F201" s="113">
        <f>IF(ISERROR(1/VLOOKUP(B201,Capa!A:AH,13,0)),0,1/VLOOKUP(B201,Capa!A:AH,13,0))</f>
        <v>-1.15446779</v>
      </c>
      <c r="G201" s="114">
        <f t="shared" si="2"/>
        <v>406.000406</v>
      </c>
      <c r="H201" s="115" t="str">
        <f t="shared" si="3"/>
        <v>#N/A</v>
      </c>
      <c r="M201" s="110" t="s">
        <v>570</v>
      </c>
      <c r="N201" s="111">
        <f>VLOOKUP(M201,'Dados StatusInvest'!$A:$Z,26,0)</f>
        <v>0</v>
      </c>
      <c r="O201" s="118">
        <f>VLOOKUP(M201,'Dados StatusInvest'!$A:$Z,18,0)/100</f>
        <v>-0.6446</v>
      </c>
      <c r="P201" s="119" t="str">
        <f t="shared" si="5"/>
        <v>#N/A</v>
      </c>
      <c r="Q201" s="120">
        <f>IF(ISERROR(1/VLOOKUP(M201,Capa!A:AH,6,0)),0,1/VLOOKUP(M201,Capa!A:AH,6,0))</f>
        <v>0.6097560976</v>
      </c>
      <c r="R201" s="121">
        <f t="shared" si="6"/>
        <v>22.000022</v>
      </c>
      <c r="S201" s="122" t="str">
        <f t="shared" si="7"/>
        <v>#N/A</v>
      </c>
    </row>
    <row r="202">
      <c r="A202" s="123"/>
      <c r="B202" s="110" t="s">
        <v>143</v>
      </c>
      <c r="C202" s="111">
        <f>VLOOKUP(B202,'Dados StatusInvest'!$A:$Z,26,0)</f>
        <v>2234925</v>
      </c>
      <c r="D202" s="112">
        <f>VLOOKUP(B202,'Dados StatusInvest'!$A:$Z,20,0)/100</f>
        <v>0.1141</v>
      </c>
      <c r="E202" s="87" t="str">
        <f t="shared" si="1"/>
        <v>#N/A</v>
      </c>
      <c r="F202" s="113">
        <f>IF(ISERROR(1/VLOOKUP(B202,Capa!A:AH,13,0)),0,1/VLOOKUP(B202,Capa!A:AH,13,0))</f>
        <v>0</v>
      </c>
      <c r="G202" s="114">
        <f t="shared" si="2"/>
        <v>246.000246</v>
      </c>
      <c r="H202" s="115" t="str">
        <f t="shared" si="3"/>
        <v>#N/A</v>
      </c>
      <c r="M202" s="110" t="s">
        <v>143</v>
      </c>
      <c r="N202" s="111">
        <f>VLOOKUP(M202,'Dados StatusInvest'!$A:$Z,26,0)</f>
        <v>2234925</v>
      </c>
      <c r="O202" s="118">
        <f>VLOOKUP(M202,'Dados StatusInvest'!$A:$Z,18,0)/100</f>
        <v>0.1238</v>
      </c>
      <c r="P202" s="119" t="str">
        <f t="shared" si="5"/>
        <v>#N/A</v>
      </c>
      <c r="Q202" s="120">
        <f>IF(ISERROR(1/VLOOKUP(M202,Capa!A:AH,6,0)),0,1/VLOOKUP(M202,Capa!A:AH,6,0))</f>
        <v>0.05027652086</v>
      </c>
      <c r="R202" s="121">
        <f t="shared" si="6"/>
        <v>184.000184</v>
      </c>
      <c r="S202" s="122" t="str">
        <f t="shared" si="7"/>
        <v>#N/A</v>
      </c>
    </row>
    <row r="203">
      <c r="A203" s="123"/>
      <c r="B203" s="110" t="s">
        <v>328</v>
      </c>
      <c r="C203" s="111">
        <f>VLOOKUP(B203,'Dados StatusInvest'!$A:$Z,26,0)</f>
        <v>6865960</v>
      </c>
      <c r="D203" s="112">
        <f>VLOOKUP(B203,'Dados StatusInvest'!$A:$Z,20,0)/100</f>
        <v>0.1414</v>
      </c>
      <c r="E203" s="87" t="str">
        <f t="shared" si="1"/>
        <v>#N/A</v>
      </c>
      <c r="F203" s="113">
        <f>IF(ISERROR(1/VLOOKUP(B203,Capa!A:AH,13,0)),0,1/VLOOKUP(B203,Capa!A:AH,13,0))</f>
        <v>6.675817408</v>
      </c>
      <c r="G203" s="114">
        <f t="shared" si="2"/>
        <v>120.00012</v>
      </c>
      <c r="H203" s="115" t="str">
        <f t="shared" si="3"/>
        <v>#N/A</v>
      </c>
      <c r="M203" s="110" t="s">
        <v>328</v>
      </c>
      <c r="N203" s="111">
        <f>VLOOKUP(M203,'Dados StatusInvest'!$A:$Z,26,0)</f>
        <v>6865960</v>
      </c>
      <c r="O203" s="118">
        <f>VLOOKUP(M203,'Dados StatusInvest'!$A:$Z,18,0)/100</f>
        <v>0.1478</v>
      </c>
      <c r="P203" s="119" t="str">
        <f t="shared" si="5"/>
        <v>#N/A</v>
      </c>
      <c r="Q203" s="120">
        <f>IF(ISERROR(1/VLOOKUP(M203,Capa!A:AH,6,0)),0,1/VLOOKUP(M203,Capa!A:AH,6,0))</f>
        <v>0.04217629692</v>
      </c>
      <c r="R203" s="121">
        <f t="shared" si="6"/>
        <v>201.000201</v>
      </c>
      <c r="S203" s="122" t="str">
        <f t="shared" si="7"/>
        <v>#N/A</v>
      </c>
    </row>
    <row r="204">
      <c r="A204" s="123"/>
      <c r="B204" s="110" t="s">
        <v>560</v>
      </c>
      <c r="C204" s="111">
        <f>VLOOKUP(B204,'Dados StatusInvest'!$A:$Z,26,0)</f>
        <v>1824570</v>
      </c>
      <c r="D204" s="112">
        <f>VLOOKUP(B204,'Dados StatusInvest'!$A:$Z,20,0)/100</f>
        <v>0</v>
      </c>
      <c r="E204" s="87" t="str">
        <f t="shared" si="1"/>
        <v>#N/A</v>
      </c>
      <c r="F204" s="113">
        <f>IF(ISERROR(1/VLOOKUP(B204,Capa!A:AH,13,0)),0,1/VLOOKUP(B204,Capa!A:AH,13,0))</f>
        <v>9.812686954</v>
      </c>
      <c r="G204" s="114">
        <f t="shared" si="2"/>
        <v>85.000085</v>
      </c>
      <c r="H204" s="115" t="str">
        <f t="shared" si="3"/>
        <v>#N/A</v>
      </c>
      <c r="M204" s="110" t="s">
        <v>560</v>
      </c>
      <c r="N204" s="111">
        <f>VLOOKUP(M204,'Dados StatusInvest'!$A:$Z,26,0)</f>
        <v>1824570</v>
      </c>
      <c r="O204" s="118">
        <f>VLOOKUP(M204,'Dados StatusInvest'!$A:$Z,18,0)/100</f>
        <v>0</v>
      </c>
      <c r="P204" s="119" t="str">
        <f t="shared" si="5"/>
        <v>#N/A</v>
      </c>
      <c r="Q204" s="120">
        <f>IF(ISERROR(1/VLOOKUP(M204,Capa!A:AH,6,0)),0,1/VLOOKUP(M204,Capa!A:AH,6,0))</f>
        <v>0.05624296963</v>
      </c>
      <c r="R204" s="121">
        <f t="shared" si="6"/>
        <v>171.000171</v>
      </c>
      <c r="S204" s="122" t="str">
        <f t="shared" si="7"/>
        <v>#N/A</v>
      </c>
    </row>
    <row r="205">
      <c r="A205" s="123"/>
      <c r="B205" s="110" t="s">
        <v>340</v>
      </c>
      <c r="C205" s="111">
        <f>VLOOKUP(B205,'Dados StatusInvest'!$A:$Z,26,0)</f>
        <v>1010966</v>
      </c>
      <c r="D205" s="112">
        <f>VLOOKUP(B205,'Dados StatusInvest'!$A:$Z,20,0)/100</f>
        <v>0.0581</v>
      </c>
      <c r="E205" s="87" t="str">
        <f t="shared" si="1"/>
        <v>#N/A</v>
      </c>
      <c r="F205" s="113">
        <f>IF(ISERROR(1/VLOOKUP(B205,Capa!A:AH,13,0)),0,1/VLOOKUP(B205,Capa!A:AH,13,0))</f>
        <v>12.60577653</v>
      </c>
      <c r="G205" s="114">
        <f t="shared" si="2"/>
        <v>59.000059</v>
      </c>
      <c r="H205" s="115" t="str">
        <f t="shared" si="3"/>
        <v>#N/A</v>
      </c>
      <c r="M205" s="110" t="s">
        <v>340</v>
      </c>
      <c r="N205" s="111">
        <f>VLOOKUP(M205,'Dados StatusInvest'!$A:$Z,26,0)</f>
        <v>1010966</v>
      </c>
      <c r="O205" s="118">
        <f>VLOOKUP(M205,'Dados StatusInvest'!$A:$Z,18,0)/100</f>
        <v>0.055</v>
      </c>
      <c r="P205" s="119" t="str">
        <f t="shared" si="5"/>
        <v>#N/A</v>
      </c>
      <c r="Q205" s="120">
        <f>IF(ISERROR(1/VLOOKUP(M205,Capa!A:AH,6,0)),0,1/VLOOKUP(M205,Capa!A:AH,6,0))</f>
        <v>0.05417118093</v>
      </c>
      <c r="R205" s="121">
        <f t="shared" si="6"/>
        <v>174.000174</v>
      </c>
      <c r="S205" s="122" t="str">
        <f t="shared" si="7"/>
        <v>#N/A</v>
      </c>
    </row>
    <row r="206">
      <c r="A206" s="123"/>
      <c r="B206" s="110" t="s">
        <v>205</v>
      </c>
      <c r="C206" s="111">
        <f>VLOOKUP(B206,'Dados StatusInvest'!$A:$Z,26,0)</f>
        <v>67643.05</v>
      </c>
      <c r="D206" s="112">
        <f>VLOOKUP(B206,'Dados StatusInvest'!$A:$Z,20,0)/100</f>
        <v>0.2209</v>
      </c>
      <c r="E206" s="87" t="str">
        <f t="shared" si="1"/>
        <v>#N/A</v>
      </c>
      <c r="F206" s="113">
        <f>IF(ISERROR(1/VLOOKUP(B206,Capa!A:AH,13,0)),0,1/VLOOKUP(B206,Capa!A:AH,13,0))</f>
        <v>4.356488695</v>
      </c>
      <c r="G206" s="114">
        <f t="shared" si="2"/>
        <v>174.000174</v>
      </c>
      <c r="H206" s="115" t="str">
        <f t="shared" si="3"/>
        <v>#N/A</v>
      </c>
      <c r="M206" s="110" t="s">
        <v>205</v>
      </c>
      <c r="N206" s="111">
        <f>VLOOKUP(M206,'Dados StatusInvest'!$A:$Z,26,0)</f>
        <v>67643.05</v>
      </c>
      <c r="O206" s="118">
        <f>VLOOKUP(M206,'Dados StatusInvest'!$A:$Z,18,0)/100</f>
        <v>0.798</v>
      </c>
      <c r="P206" s="119" t="str">
        <f t="shared" si="5"/>
        <v>#N/A</v>
      </c>
      <c r="Q206" s="120">
        <f>IF(ISERROR(1/VLOOKUP(M206,Capa!A:AH,6,0)),0,1/VLOOKUP(M206,Capa!A:AH,6,0))</f>
        <v>0.007610929294</v>
      </c>
      <c r="R206" s="121">
        <f t="shared" si="6"/>
        <v>285.000285</v>
      </c>
      <c r="S206" s="122" t="str">
        <f t="shared" si="7"/>
        <v>#N/A</v>
      </c>
    </row>
    <row r="207">
      <c r="A207" s="123"/>
      <c r="B207" s="110" t="s">
        <v>169</v>
      </c>
      <c r="C207" s="111">
        <f>VLOOKUP(B207,'Dados StatusInvest'!$A:$Z,26,0)</f>
        <v>0</v>
      </c>
      <c r="D207" s="112">
        <f>VLOOKUP(B207,'Dados StatusInvest'!$A:$Z,20,0)/100</f>
        <v>0.309</v>
      </c>
      <c r="E207" s="87" t="str">
        <f t="shared" si="1"/>
        <v>#N/A</v>
      </c>
      <c r="F207" s="113">
        <f>IF(ISERROR(1/VLOOKUP(B207,Capa!A:AH,13,0)),0,1/VLOOKUP(B207,Capa!A:AH,13,0))</f>
        <v>0</v>
      </c>
      <c r="G207" s="114">
        <f t="shared" si="2"/>
        <v>246.000246</v>
      </c>
      <c r="H207" s="115" t="str">
        <f t="shared" si="3"/>
        <v>#N/A</v>
      </c>
      <c r="M207" s="110" t="s">
        <v>169</v>
      </c>
      <c r="N207" s="111">
        <f>VLOOKUP(M207,'Dados StatusInvest'!$A:$Z,26,0)</f>
        <v>0</v>
      </c>
      <c r="O207" s="118">
        <f>VLOOKUP(M207,'Dados StatusInvest'!$A:$Z,18,0)/100</f>
        <v>-1.0605</v>
      </c>
      <c r="P207" s="119" t="str">
        <f t="shared" si="5"/>
        <v>#N/A</v>
      </c>
      <c r="Q207" s="120">
        <f>IF(ISERROR(1/VLOOKUP(M207,Capa!A:AH,6,0)),0,1/VLOOKUP(M207,Capa!A:AH,6,0))</f>
        <v>0</v>
      </c>
      <c r="R207" s="121">
        <f t="shared" si="6"/>
        <v>306.000306</v>
      </c>
      <c r="S207" s="122" t="str">
        <f t="shared" si="7"/>
        <v>#N/A</v>
      </c>
    </row>
    <row r="208">
      <c r="A208" s="123"/>
      <c r="B208" s="110" t="s">
        <v>562</v>
      </c>
      <c r="C208" s="111">
        <f>VLOOKUP(B208,'Dados StatusInvest'!$A:$Z,26,0)</f>
        <v>2301775</v>
      </c>
      <c r="D208" s="112">
        <f>VLOOKUP(B208,'Dados StatusInvest'!$A:$Z,20,0)/100</f>
        <v>0.1211</v>
      </c>
      <c r="E208" s="87" t="str">
        <f t="shared" si="1"/>
        <v>#N/A</v>
      </c>
      <c r="F208" s="113">
        <f>IF(ISERROR(1/VLOOKUP(B208,Capa!A:AH,13,0)),0,1/VLOOKUP(B208,Capa!A:AH,13,0))</f>
        <v>2.935670524</v>
      </c>
      <c r="G208" s="114">
        <f t="shared" si="2"/>
        <v>207.000207</v>
      </c>
      <c r="H208" s="115" t="str">
        <f t="shared" si="3"/>
        <v>#N/A</v>
      </c>
      <c r="M208" s="110" t="s">
        <v>562</v>
      </c>
      <c r="N208" s="111">
        <f>VLOOKUP(M208,'Dados StatusInvest'!$A:$Z,26,0)</f>
        <v>2301775</v>
      </c>
      <c r="O208" s="118">
        <f>VLOOKUP(M208,'Dados StatusInvest'!$A:$Z,18,0)/100</f>
        <v>0.1771</v>
      </c>
      <c r="P208" s="119" t="str">
        <f t="shared" si="5"/>
        <v>#N/A</v>
      </c>
      <c r="Q208" s="120">
        <f>IF(ISERROR(1/VLOOKUP(M208,Capa!A:AH,6,0)),0,1/VLOOKUP(M208,Capa!A:AH,6,0))</f>
        <v>0.09057971014</v>
      </c>
      <c r="R208" s="121">
        <f t="shared" si="6"/>
        <v>130.00013</v>
      </c>
      <c r="S208" s="122" t="str">
        <f t="shared" si="7"/>
        <v>#N/A</v>
      </c>
    </row>
    <row r="209">
      <c r="A209" s="123"/>
      <c r="B209" s="110" t="s">
        <v>618</v>
      </c>
      <c r="C209" s="111">
        <f>VLOOKUP(B209,'Dados StatusInvest'!$A:$Z,26,0)</f>
        <v>0</v>
      </c>
      <c r="D209" s="112">
        <f>VLOOKUP(B209,'Dados StatusInvest'!$A:$Z,20,0)/100</f>
        <v>0.0463</v>
      </c>
      <c r="E209" s="87" t="str">
        <f t="shared" si="1"/>
        <v>#N/A</v>
      </c>
      <c r="F209" s="113">
        <f>IF(ISERROR(1/VLOOKUP(B209,Capa!A:AH,13,0)),0,1/VLOOKUP(B209,Capa!A:AH,13,0))</f>
        <v>0</v>
      </c>
      <c r="G209" s="114">
        <f t="shared" si="2"/>
        <v>246.000246</v>
      </c>
      <c r="H209" s="115" t="str">
        <f t="shared" si="3"/>
        <v>#N/A</v>
      </c>
      <c r="M209" s="110" t="s">
        <v>618</v>
      </c>
      <c r="N209" s="111">
        <f>VLOOKUP(M209,'Dados StatusInvest'!$A:$Z,26,0)</f>
        <v>0</v>
      </c>
      <c r="O209" s="118">
        <f>VLOOKUP(M209,'Dados StatusInvest'!$A:$Z,18,0)/100</f>
        <v>-0.0557</v>
      </c>
      <c r="P209" s="119" t="str">
        <f t="shared" si="5"/>
        <v>#N/A</v>
      </c>
      <c r="Q209" s="120">
        <f>IF(ISERROR(1/VLOOKUP(M209,Capa!A:AH,6,0)),0,1/VLOOKUP(M209,Capa!A:AH,6,0))</f>
        <v>0</v>
      </c>
      <c r="R209" s="121">
        <f t="shared" si="6"/>
        <v>306.000306</v>
      </c>
      <c r="S209" s="122" t="str">
        <f t="shared" si="7"/>
        <v>#N/A</v>
      </c>
    </row>
    <row r="210">
      <c r="A210" s="123"/>
      <c r="B210" s="110" t="s">
        <v>211</v>
      </c>
      <c r="C210" s="111">
        <f>VLOOKUP(B210,'Dados StatusInvest'!$A:$Z,26,0)</f>
        <v>522097.6</v>
      </c>
      <c r="D210" s="112">
        <f>VLOOKUP(B210,'Dados StatusInvest'!$A:$Z,20,0)/100</f>
        <v>0.1354</v>
      </c>
      <c r="E210" s="87" t="str">
        <f t="shared" si="1"/>
        <v>#N/A</v>
      </c>
      <c r="F210" s="113">
        <f>IF(ISERROR(1/VLOOKUP(B210,Capa!A:AH,13,0)),0,1/VLOOKUP(B210,Capa!A:AH,13,0))</f>
        <v>8.52514919</v>
      </c>
      <c r="G210" s="114">
        <f t="shared" si="2"/>
        <v>95.000095</v>
      </c>
      <c r="H210" s="115" t="str">
        <f t="shared" si="3"/>
        <v>#N/A</v>
      </c>
      <c r="M210" s="110" t="s">
        <v>211</v>
      </c>
      <c r="N210" s="111">
        <f>VLOOKUP(M210,'Dados StatusInvest'!$A:$Z,26,0)</f>
        <v>522097.6</v>
      </c>
      <c r="O210" s="118">
        <f>VLOOKUP(M210,'Dados StatusInvest'!$A:$Z,18,0)/100</f>
        <v>0.1775</v>
      </c>
      <c r="P210" s="119" t="str">
        <f t="shared" si="5"/>
        <v>#N/A</v>
      </c>
      <c r="Q210" s="120">
        <f>IF(ISERROR(1/VLOOKUP(M210,Capa!A:AH,6,0)),0,1/VLOOKUP(M210,Capa!A:AH,6,0))</f>
        <v>0.006742633673</v>
      </c>
      <c r="R210" s="121">
        <f t="shared" si="6"/>
        <v>286.000286</v>
      </c>
      <c r="S210" s="122" t="str">
        <f t="shared" si="7"/>
        <v>#N/A</v>
      </c>
    </row>
    <row r="211">
      <c r="A211" s="123"/>
      <c r="B211" s="110" t="s">
        <v>1717</v>
      </c>
      <c r="C211" s="111" t="str">
        <f>VLOOKUP(B211,'Dados StatusInvest'!$A:$Z,26,0)</f>
        <v>#N/A</v>
      </c>
      <c r="D211" s="112" t="str">
        <f>VLOOKUP(B211,'Dados StatusInvest'!$A:$Z,20,0)/100</f>
        <v>#N/A</v>
      </c>
      <c r="E211" s="87" t="str">
        <f t="shared" si="1"/>
        <v>#N/A</v>
      </c>
      <c r="F211" s="113">
        <f>IF(ISERROR(1/VLOOKUP(B211,Capa!A:AH,13,0)),0,1/VLOOKUP(B211,Capa!A:AH,13,0))</f>
        <v>0</v>
      </c>
      <c r="G211" s="114">
        <f t="shared" si="2"/>
        <v>246.000246</v>
      </c>
      <c r="H211" s="115" t="str">
        <f t="shared" si="3"/>
        <v>#N/A</v>
      </c>
      <c r="M211" s="110" t="s">
        <v>1717</v>
      </c>
      <c r="N211" s="111" t="str">
        <f>VLOOKUP(M211,'Dados StatusInvest'!$A:$Z,26,0)</f>
        <v>#N/A</v>
      </c>
      <c r="O211" s="118" t="str">
        <f>VLOOKUP(M211,'Dados StatusInvest'!$A:$Z,18,0)/100</f>
        <v>#N/A</v>
      </c>
      <c r="P211" s="119" t="str">
        <f t="shared" si="5"/>
        <v>#N/A</v>
      </c>
      <c r="Q211" s="120">
        <f>IF(ISERROR(1/VLOOKUP(M211,Capa!A:AH,6,0)),0,1/VLOOKUP(M211,Capa!A:AH,6,0))</f>
        <v>0</v>
      </c>
      <c r="R211" s="121">
        <f t="shared" si="6"/>
        <v>306.000306</v>
      </c>
      <c r="S211" s="122" t="str">
        <f t="shared" si="7"/>
        <v>#N/A</v>
      </c>
    </row>
    <row r="212">
      <c r="A212" s="123"/>
      <c r="B212" s="110" t="s">
        <v>639</v>
      </c>
      <c r="C212" s="111">
        <f>VLOOKUP(B212,'Dados StatusInvest'!$A:$Z,26,0)</f>
        <v>3423355</v>
      </c>
      <c r="D212" s="112">
        <f>VLOOKUP(B212,'Dados StatusInvest'!$A:$Z,20,0)/100</f>
        <v>-0.1392</v>
      </c>
      <c r="E212" s="87" t="str">
        <f t="shared" si="1"/>
        <v>#N/A</v>
      </c>
      <c r="F212" s="113">
        <f>IF(ISERROR(1/VLOOKUP(B212,Capa!A:AH,13,0)),0,1/VLOOKUP(B212,Capa!A:AH,13,0))</f>
        <v>-20.81710495</v>
      </c>
      <c r="G212" s="114">
        <f t="shared" si="2"/>
        <v>429.000429</v>
      </c>
      <c r="H212" s="115" t="str">
        <f t="shared" si="3"/>
        <v>#N/A</v>
      </c>
      <c r="M212" s="110" t="s">
        <v>639</v>
      </c>
      <c r="N212" s="111">
        <f>VLOOKUP(M212,'Dados StatusInvest'!$A:$Z,26,0)</f>
        <v>3423355</v>
      </c>
      <c r="O212" s="118">
        <f>VLOOKUP(M212,'Dados StatusInvest'!$A:$Z,18,0)/100</f>
        <v>-0.1603</v>
      </c>
      <c r="P212" s="119" t="str">
        <f t="shared" si="5"/>
        <v>#N/A</v>
      </c>
      <c r="Q212" s="120">
        <f>IF(ISERROR(1/VLOOKUP(M212,Capa!A:AH,6,0)),0,1/VLOOKUP(M212,Capa!A:AH,6,0))</f>
        <v>0.1612903226</v>
      </c>
      <c r="R212" s="121">
        <f t="shared" si="6"/>
        <v>77.000077</v>
      </c>
      <c r="S212" s="122" t="str">
        <f t="shared" si="7"/>
        <v>#N/A</v>
      </c>
    </row>
    <row r="213">
      <c r="A213" s="123"/>
      <c r="B213" s="110" t="s">
        <v>533</v>
      </c>
      <c r="C213" s="111">
        <f>VLOOKUP(B213,'Dados StatusInvest'!$A:$Z,26,0)</f>
        <v>6159140</v>
      </c>
      <c r="D213" s="112">
        <f>VLOOKUP(B213,'Dados StatusInvest'!$A:$Z,20,0)/100</f>
        <v>0.1202</v>
      </c>
      <c r="E213" s="87" t="str">
        <f t="shared" si="1"/>
        <v>#N/A</v>
      </c>
      <c r="F213" s="113">
        <f>IF(ISERROR(1/VLOOKUP(B213,Capa!A:AH,13,0)),0,1/VLOOKUP(B213,Capa!A:AH,13,0))</f>
        <v>3.889257845</v>
      </c>
      <c r="G213" s="114">
        <f t="shared" si="2"/>
        <v>194.000194</v>
      </c>
      <c r="H213" s="115" t="str">
        <f t="shared" si="3"/>
        <v>#N/A</v>
      </c>
      <c r="M213" s="110" t="s">
        <v>533</v>
      </c>
      <c r="N213" s="111">
        <f>VLOOKUP(M213,'Dados StatusInvest'!$A:$Z,26,0)</f>
        <v>6159140</v>
      </c>
      <c r="O213" s="118">
        <f>VLOOKUP(M213,'Dados StatusInvest'!$A:$Z,18,0)/100</f>
        <v>0.2722</v>
      </c>
      <c r="P213" s="119" t="str">
        <f t="shared" si="5"/>
        <v>#N/A</v>
      </c>
      <c r="Q213" s="120">
        <f>IF(ISERROR(1/VLOOKUP(M213,Capa!A:AH,6,0)),0,1/VLOOKUP(M213,Capa!A:AH,6,0))</f>
        <v>0.1067235859</v>
      </c>
      <c r="R213" s="121">
        <f t="shared" si="6"/>
        <v>113.000113</v>
      </c>
      <c r="S213" s="122" t="str">
        <f t="shared" si="7"/>
        <v>#N/A</v>
      </c>
    </row>
    <row r="214">
      <c r="A214" s="123"/>
      <c r="B214" s="110" t="s">
        <v>418</v>
      </c>
      <c r="C214" s="111">
        <f>VLOOKUP(B214,'Dados StatusInvest'!$A:$Z,26,0)</f>
        <v>261793.6</v>
      </c>
      <c r="D214" s="112">
        <f>VLOOKUP(B214,'Dados StatusInvest'!$A:$Z,20,0)/100</f>
        <v>0.0048</v>
      </c>
      <c r="E214" s="87" t="str">
        <f t="shared" si="1"/>
        <v>#N/A</v>
      </c>
      <c r="F214" s="113">
        <f>IF(ISERROR(1/VLOOKUP(B214,Capa!A:AH,13,0)),0,1/VLOOKUP(B214,Capa!A:AH,13,0))</f>
        <v>12.64222503</v>
      </c>
      <c r="G214" s="114">
        <f t="shared" si="2"/>
        <v>58.000058</v>
      </c>
      <c r="H214" s="115" t="str">
        <f t="shared" si="3"/>
        <v>#N/A</v>
      </c>
      <c r="M214" s="110" t="s">
        <v>418</v>
      </c>
      <c r="N214" s="111">
        <f>VLOOKUP(M214,'Dados StatusInvest'!$A:$Z,26,0)</f>
        <v>261793.6</v>
      </c>
      <c r="O214" s="118">
        <f>VLOOKUP(M214,'Dados StatusInvest'!$A:$Z,18,0)/100</f>
        <v>-0.09</v>
      </c>
      <c r="P214" s="119" t="str">
        <f t="shared" si="5"/>
        <v>#N/A</v>
      </c>
      <c r="Q214" s="120">
        <f>IF(ISERROR(1/VLOOKUP(M214,Capa!A:AH,6,0)),0,1/VLOOKUP(M214,Capa!A:AH,6,0))</f>
        <v>0.8474576271</v>
      </c>
      <c r="R214" s="121">
        <f t="shared" si="6"/>
        <v>12.000012</v>
      </c>
      <c r="S214" s="122" t="str">
        <f t="shared" si="7"/>
        <v>#N/A</v>
      </c>
    </row>
    <row r="215">
      <c r="A215" s="123"/>
      <c r="B215" s="110" t="s">
        <v>505</v>
      </c>
      <c r="C215" s="111">
        <f>VLOOKUP(B215,'Dados StatusInvest'!$A:$Z,26,0)</f>
        <v>6497650</v>
      </c>
      <c r="D215" s="112">
        <f>VLOOKUP(B215,'Dados StatusInvest'!$A:$Z,20,0)/100</f>
        <v>0</v>
      </c>
      <c r="E215" s="87" t="str">
        <f t="shared" si="1"/>
        <v>#N/A</v>
      </c>
      <c r="F215" s="113">
        <f>IF(ISERROR(1/VLOOKUP(B215,Capa!A:AH,13,0)),0,1/VLOOKUP(B215,Capa!A:AH,13,0))</f>
        <v>17.56382382</v>
      </c>
      <c r="G215" s="114">
        <f t="shared" si="2"/>
        <v>35.000035</v>
      </c>
      <c r="H215" s="115" t="str">
        <f t="shared" si="3"/>
        <v>#N/A</v>
      </c>
      <c r="M215" s="110" t="s">
        <v>505</v>
      </c>
      <c r="N215" s="111">
        <f>VLOOKUP(M215,'Dados StatusInvest'!$A:$Z,26,0)</f>
        <v>6497650</v>
      </c>
      <c r="O215" s="118">
        <f>VLOOKUP(M215,'Dados StatusInvest'!$A:$Z,18,0)/100</f>
        <v>0.2367</v>
      </c>
      <c r="P215" s="119" t="str">
        <f t="shared" si="5"/>
        <v>#N/A</v>
      </c>
      <c r="Q215" s="120">
        <f>IF(ISERROR(1/VLOOKUP(M215,Capa!A:AH,6,0)),0,1/VLOOKUP(M215,Capa!A:AH,6,0))</f>
        <v>0.07930214116</v>
      </c>
      <c r="R215" s="121">
        <f t="shared" si="6"/>
        <v>139.000139</v>
      </c>
      <c r="S215" s="122" t="str">
        <f t="shared" si="7"/>
        <v>#N/A</v>
      </c>
    </row>
    <row r="216">
      <c r="A216" s="123"/>
      <c r="B216" s="110" t="s">
        <v>345</v>
      </c>
      <c r="C216" s="111">
        <f>VLOOKUP(B216,'Dados StatusInvest'!$A:$Z,26,0)</f>
        <v>718490.7</v>
      </c>
      <c r="D216" s="112">
        <f>VLOOKUP(B216,'Dados StatusInvest'!$A:$Z,20,0)/100</f>
        <v>0.0615</v>
      </c>
      <c r="E216" s="87" t="str">
        <f t="shared" si="1"/>
        <v>#N/A</v>
      </c>
      <c r="F216" s="113">
        <f>IF(ISERROR(1/VLOOKUP(B216,Capa!A:AH,13,0)),0,1/VLOOKUP(B216,Capa!A:AH,13,0))</f>
        <v>12.5741096</v>
      </c>
      <c r="G216" s="114">
        <f t="shared" si="2"/>
        <v>60.00006</v>
      </c>
      <c r="H216" s="115" t="str">
        <f t="shared" si="3"/>
        <v>#N/A</v>
      </c>
      <c r="M216" s="110" t="s">
        <v>345</v>
      </c>
      <c r="N216" s="111">
        <f>VLOOKUP(M216,'Dados StatusInvest'!$A:$Z,26,0)</f>
        <v>718490.7</v>
      </c>
      <c r="O216" s="118">
        <f>VLOOKUP(M216,'Dados StatusInvest'!$A:$Z,18,0)/100</f>
        <v>0.0542</v>
      </c>
      <c r="P216" s="119" t="str">
        <f t="shared" si="5"/>
        <v>#N/A</v>
      </c>
      <c r="Q216" s="120">
        <f>IF(ISERROR(1/VLOOKUP(M216,Capa!A:AH,6,0)),0,1/VLOOKUP(M216,Capa!A:AH,6,0))</f>
        <v>0.1083423619</v>
      </c>
      <c r="R216" s="121">
        <f t="shared" si="6"/>
        <v>111.000111</v>
      </c>
      <c r="S216" s="122" t="str">
        <f t="shared" si="7"/>
        <v>#N/A</v>
      </c>
    </row>
    <row r="217">
      <c r="A217" s="123"/>
      <c r="B217" s="110" t="s">
        <v>319</v>
      </c>
      <c r="C217" s="111">
        <f>VLOOKUP(B217,'Dados StatusInvest'!$A:$Z,26,0)</f>
        <v>47300.05</v>
      </c>
      <c r="D217" s="112">
        <f>VLOOKUP(B217,'Dados StatusInvest'!$A:$Z,20,0)/100</f>
        <v>0.4885</v>
      </c>
      <c r="E217" s="87" t="str">
        <f t="shared" si="1"/>
        <v>#N/A</v>
      </c>
      <c r="F217" s="113">
        <f>IF(ISERROR(1/VLOOKUP(B217,Capa!A:AH,13,0)),0,1/VLOOKUP(B217,Capa!A:AH,13,0))</f>
        <v>-18.62197393</v>
      </c>
      <c r="G217" s="114">
        <f t="shared" si="2"/>
        <v>426.000426</v>
      </c>
      <c r="H217" s="115" t="str">
        <f t="shared" si="3"/>
        <v>#N/A</v>
      </c>
      <c r="M217" s="110" t="s">
        <v>319</v>
      </c>
      <c r="N217" s="111">
        <f>VLOOKUP(M217,'Dados StatusInvest'!$A:$Z,26,0)</f>
        <v>47300.05</v>
      </c>
      <c r="O217" s="118">
        <f>VLOOKUP(M217,'Dados StatusInvest'!$A:$Z,18,0)/100</f>
        <v>-0.5673</v>
      </c>
      <c r="P217" s="119" t="str">
        <f t="shared" si="5"/>
        <v>#N/A</v>
      </c>
      <c r="Q217" s="120">
        <f>IF(ISERROR(1/VLOOKUP(M217,Capa!A:AH,6,0)),0,1/VLOOKUP(M217,Capa!A:AH,6,0))</f>
        <v>0.2433090024</v>
      </c>
      <c r="R217" s="121">
        <f t="shared" si="6"/>
        <v>51.000051</v>
      </c>
      <c r="S217" s="122" t="str">
        <f t="shared" si="7"/>
        <v>#N/A</v>
      </c>
    </row>
    <row r="218">
      <c r="A218" s="123"/>
      <c r="B218" s="110" t="s">
        <v>481</v>
      </c>
      <c r="C218" s="111">
        <f>VLOOKUP(B218,'Dados StatusInvest'!$A:$Z,26,0)</f>
        <v>159459.9</v>
      </c>
      <c r="D218" s="112">
        <f>VLOOKUP(B218,'Dados StatusInvest'!$A:$Z,20,0)/100</f>
        <v>0.6905</v>
      </c>
      <c r="E218" s="87" t="str">
        <f t="shared" si="1"/>
        <v>#N/A</v>
      </c>
      <c r="F218" s="113">
        <f>IF(ISERROR(1/VLOOKUP(B218,Capa!A:AH,13,0)),0,1/VLOOKUP(B218,Capa!A:AH,13,0))</f>
        <v>1.301662155</v>
      </c>
      <c r="G218" s="114">
        <f t="shared" si="2"/>
        <v>236.000236</v>
      </c>
      <c r="H218" s="115" t="str">
        <f t="shared" si="3"/>
        <v>#N/A</v>
      </c>
      <c r="M218" s="110" t="s">
        <v>481</v>
      </c>
      <c r="N218" s="111">
        <f>VLOOKUP(M218,'Dados StatusInvest'!$A:$Z,26,0)</f>
        <v>159459.9</v>
      </c>
      <c r="O218" s="118">
        <f>VLOOKUP(M218,'Dados StatusInvest'!$A:$Z,18,0)/100</f>
        <v>0.2021</v>
      </c>
      <c r="P218" s="119" t="str">
        <f t="shared" si="5"/>
        <v>#N/A</v>
      </c>
      <c r="Q218" s="120">
        <f>IF(ISERROR(1/VLOOKUP(M218,Capa!A:AH,6,0)),0,1/VLOOKUP(M218,Capa!A:AH,6,0))</f>
        <v>0.04280821918</v>
      </c>
      <c r="R218" s="121">
        <f t="shared" si="6"/>
        <v>199.000199</v>
      </c>
      <c r="S218" s="122" t="str">
        <f t="shared" si="7"/>
        <v>#N/A</v>
      </c>
    </row>
    <row r="219">
      <c r="A219" s="123"/>
      <c r="B219" s="110" t="s">
        <v>511</v>
      </c>
      <c r="C219" s="111">
        <f>VLOOKUP(B219,'Dados StatusInvest'!$A:$Z,26,0)</f>
        <v>4419178</v>
      </c>
      <c r="D219" s="112">
        <f>VLOOKUP(B219,'Dados StatusInvest'!$A:$Z,20,0)/100</f>
        <v>0.1281</v>
      </c>
      <c r="E219" s="87" t="str">
        <f t="shared" si="1"/>
        <v>#N/A</v>
      </c>
      <c r="F219" s="113">
        <f>IF(ISERROR(1/VLOOKUP(B219,Capa!A:AH,13,0)),0,1/VLOOKUP(B219,Capa!A:AH,13,0))</f>
        <v>6.518224957</v>
      </c>
      <c r="G219" s="114">
        <f t="shared" si="2"/>
        <v>123.000123</v>
      </c>
      <c r="H219" s="115" t="str">
        <f t="shared" si="3"/>
        <v>#N/A</v>
      </c>
      <c r="M219" s="110" t="s">
        <v>511</v>
      </c>
      <c r="N219" s="111">
        <f>VLOOKUP(M219,'Dados StatusInvest'!$A:$Z,26,0)</f>
        <v>4419178</v>
      </c>
      <c r="O219" s="118">
        <f>VLOOKUP(M219,'Dados StatusInvest'!$A:$Z,18,0)/100</f>
        <v>0.2778</v>
      </c>
      <c r="P219" s="119" t="str">
        <f t="shared" si="5"/>
        <v>#N/A</v>
      </c>
      <c r="Q219" s="120">
        <f>IF(ISERROR(1/VLOOKUP(M219,Capa!A:AH,6,0)),0,1/VLOOKUP(M219,Capa!A:AH,6,0))</f>
        <v>0.16</v>
      </c>
      <c r="R219" s="121">
        <f t="shared" si="6"/>
        <v>79.000079</v>
      </c>
      <c r="S219" s="122" t="str">
        <f t="shared" si="7"/>
        <v>#N/A</v>
      </c>
    </row>
    <row r="220">
      <c r="A220" s="123"/>
      <c r="B220" s="110" t="s">
        <v>602</v>
      </c>
      <c r="C220" s="111">
        <f>VLOOKUP(B220,'Dados StatusInvest'!$A:$Z,26,0)</f>
        <v>1873095</v>
      </c>
      <c r="D220" s="112">
        <f>VLOOKUP(B220,'Dados StatusInvest'!$A:$Z,20,0)/100</f>
        <v>0.1575</v>
      </c>
      <c r="E220" s="87" t="str">
        <f t="shared" si="1"/>
        <v>#N/A</v>
      </c>
      <c r="F220" s="113">
        <f>IF(ISERROR(1/VLOOKUP(B220,Capa!A:AH,13,0)),0,1/VLOOKUP(B220,Capa!A:AH,13,0))</f>
        <v>1.55653355</v>
      </c>
      <c r="G220" s="114">
        <f t="shared" si="2"/>
        <v>229.000229</v>
      </c>
      <c r="H220" s="115" t="str">
        <f t="shared" si="3"/>
        <v>#N/A</v>
      </c>
      <c r="M220" s="110" t="s">
        <v>602</v>
      </c>
      <c r="N220" s="111">
        <f>VLOOKUP(M220,'Dados StatusInvest'!$A:$Z,26,0)</f>
        <v>1873095</v>
      </c>
      <c r="O220" s="118">
        <f>VLOOKUP(M220,'Dados StatusInvest'!$A:$Z,18,0)/100</f>
        <v>0.2254</v>
      </c>
      <c r="P220" s="119" t="str">
        <f t="shared" si="5"/>
        <v>#N/A</v>
      </c>
      <c r="Q220" s="120">
        <f>IF(ISERROR(1/VLOOKUP(M220,Capa!A:AH,6,0)),0,1/VLOOKUP(M220,Capa!A:AH,6,0))</f>
        <v>0.06720430108</v>
      </c>
      <c r="R220" s="121">
        <f t="shared" si="6"/>
        <v>154.000154</v>
      </c>
      <c r="S220" s="122" t="str">
        <f t="shared" si="7"/>
        <v>#N/A</v>
      </c>
    </row>
    <row r="221">
      <c r="A221" s="123"/>
      <c r="B221" s="110" t="s">
        <v>559</v>
      </c>
      <c r="C221" s="111">
        <f>VLOOKUP(B221,'Dados StatusInvest'!$A:$Z,26,0)</f>
        <v>1459605</v>
      </c>
      <c r="D221" s="112">
        <f>VLOOKUP(B221,'Dados StatusInvest'!$A:$Z,20,0)/100</f>
        <v>0</v>
      </c>
      <c r="E221" s="87" t="str">
        <f t="shared" si="1"/>
        <v>#N/A</v>
      </c>
      <c r="F221" s="113">
        <f>IF(ISERROR(1/VLOOKUP(B221,Capa!A:AH,13,0)),0,1/VLOOKUP(B221,Capa!A:AH,13,0))</f>
        <v>9.861767161</v>
      </c>
      <c r="G221" s="114">
        <f t="shared" si="2"/>
        <v>83.000083</v>
      </c>
      <c r="H221" s="115" t="str">
        <f t="shared" si="3"/>
        <v>#N/A</v>
      </c>
      <c r="M221" s="110" t="s">
        <v>559</v>
      </c>
      <c r="N221" s="111">
        <f>VLOOKUP(M221,'Dados StatusInvest'!$A:$Z,26,0)</f>
        <v>1459605</v>
      </c>
      <c r="O221" s="118">
        <f>VLOOKUP(M221,'Dados StatusInvest'!$A:$Z,18,0)/100</f>
        <v>0</v>
      </c>
      <c r="P221" s="119" t="str">
        <f t="shared" si="5"/>
        <v>#N/A</v>
      </c>
      <c r="Q221" s="120">
        <f>IF(ISERROR(1/VLOOKUP(M221,Capa!A:AH,6,0)),0,1/VLOOKUP(M221,Capa!A:AH,6,0))</f>
        <v>0.05681818182</v>
      </c>
      <c r="R221" s="121">
        <f t="shared" si="6"/>
        <v>170.00017</v>
      </c>
      <c r="S221" s="122" t="str">
        <f t="shared" si="7"/>
        <v>#N/A</v>
      </c>
    </row>
    <row r="222">
      <c r="A222" s="123"/>
      <c r="B222" s="110" t="s">
        <v>539</v>
      </c>
      <c r="C222" s="111">
        <f>VLOOKUP(B222,'Dados StatusInvest'!$A:$Z,26,0)</f>
        <v>3199</v>
      </c>
      <c r="D222" s="112">
        <f>VLOOKUP(B222,'Dados StatusInvest'!$A:$Z,20,0)/100</f>
        <v>-0.1548</v>
      </c>
      <c r="E222" s="87" t="str">
        <f t="shared" si="1"/>
        <v>#N/A</v>
      </c>
      <c r="F222" s="113">
        <f>IF(ISERROR(1/VLOOKUP(B222,Capa!A:AH,13,0)),0,1/VLOOKUP(B222,Capa!A:AH,13,0))</f>
        <v>0</v>
      </c>
      <c r="G222" s="114">
        <f t="shared" si="2"/>
        <v>246.000246</v>
      </c>
      <c r="H222" s="115" t="str">
        <f t="shared" si="3"/>
        <v>#N/A</v>
      </c>
      <c r="M222" s="110" t="s">
        <v>539</v>
      </c>
      <c r="N222" s="111">
        <f>VLOOKUP(M222,'Dados StatusInvest'!$A:$Z,26,0)</f>
        <v>3199</v>
      </c>
      <c r="O222" s="118">
        <f>VLOOKUP(M222,'Dados StatusInvest'!$A:$Z,18,0)/100</f>
        <v>-0.9452</v>
      </c>
      <c r="P222" s="119" t="str">
        <f t="shared" si="5"/>
        <v>#N/A</v>
      </c>
      <c r="Q222" s="120">
        <f>IF(ISERROR(1/VLOOKUP(M222,Capa!A:AH,6,0)),0,1/VLOOKUP(M222,Capa!A:AH,6,0))</f>
        <v>0</v>
      </c>
      <c r="R222" s="121">
        <f t="shared" si="6"/>
        <v>306.000306</v>
      </c>
      <c r="S222" s="122" t="str">
        <f t="shared" si="7"/>
        <v>#N/A</v>
      </c>
    </row>
    <row r="223">
      <c r="A223" s="123"/>
      <c r="B223" s="110" t="s">
        <v>608</v>
      </c>
      <c r="C223" s="111">
        <f>VLOOKUP(B223,'Dados StatusInvest'!$A:$Z,26,0)</f>
        <v>466551.2</v>
      </c>
      <c r="D223" s="112">
        <f>VLOOKUP(B223,'Dados StatusInvest'!$A:$Z,20,0)/100</f>
        <v>0.1197</v>
      </c>
      <c r="E223" s="87" t="str">
        <f t="shared" si="1"/>
        <v>#N/A</v>
      </c>
      <c r="F223" s="113">
        <f>IF(ISERROR(1/VLOOKUP(B223,Capa!A:AH,13,0)),0,1/VLOOKUP(B223,Capa!A:AH,13,0))</f>
        <v>6.234413965</v>
      </c>
      <c r="G223" s="114">
        <f t="shared" si="2"/>
        <v>124.000124</v>
      </c>
      <c r="H223" s="115" t="str">
        <f t="shared" si="3"/>
        <v>#N/A</v>
      </c>
      <c r="M223" s="110" t="s">
        <v>608</v>
      </c>
      <c r="N223" s="111">
        <f>VLOOKUP(M223,'Dados StatusInvest'!$A:$Z,26,0)</f>
        <v>466551.2</v>
      </c>
      <c r="O223" s="118">
        <f>VLOOKUP(M223,'Dados StatusInvest'!$A:$Z,18,0)/100</f>
        <v>0.1564</v>
      </c>
      <c r="P223" s="119" t="str">
        <f t="shared" si="5"/>
        <v>#N/A</v>
      </c>
      <c r="Q223" s="120">
        <f>IF(ISERROR(1/VLOOKUP(M223,Capa!A:AH,6,0)),0,1/VLOOKUP(M223,Capa!A:AH,6,0))</f>
        <v>0.1117318436</v>
      </c>
      <c r="R223" s="121">
        <f t="shared" si="6"/>
        <v>110.00011</v>
      </c>
      <c r="S223" s="122" t="str">
        <f t="shared" si="7"/>
        <v>#N/A</v>
      </c>
    </row>
    <row r="224">
      <c r="A224" s="123"/>
      <c r="B224" s="110" t="s">
        <v>251</v>
      </c>
      <c r="C224" s="111">
        <f>VLOOKUP(B224,'Dados StatusInvest'!$A:$Z,26,0)</f>
        <v>0</v>
      </c>
      <c r="D224" s="112">
        <f>VLOOKUP(B224,'Dados StatusInvest'!$A:$Z,20,0)/100</f>
        <v>-1.2086</v>
      </c>
      <c r="E224" s="87" t="str">
        <f t="shared" si="1"/>
        <v>#N/A</v>
      </c>
      <c r="F224" s="113">
        <f>IF(ISERROR(1/VLOOKUP(B224,Capa!A:AH,13,0)),0,1/VLOOKUP(B224,Capa!A:AH,13,0))</f>
        <v>-0.9154994049</v>
      </c>
      <c r="G224" s="114">
        <f t="shared" si="2"/>
        <v>404.000404</v>
      </c>
      <c r="H224" s="115" t="str">
        <f t="shared" si="3"/>
        <v>#N/A</v>
      </c>
      <c r="M224" s="110" t="s">
        <v>251</v>
      </c>
      <c r="N224" s="111">
        <f>VLOOKUP(M224,'Dados StatusInvest'!$A:$Z,26,0)</f>
        <v>0</v>
      </c>
      <c r="O224" s="118">
        <f>VLOOKUP(M224,'Dados StatusInvest'!$A:$Z,18,0)/100</f>
        <v>-0.4726</v>
      </c>
      <c r="P224" s="119" t="str">
        <f t="shared" si="5"/>
        <v>#N/A</v>
      </c>
      <c r="Q224" s="120">
        <f>IF(ISERROR(1/VLOOKUP(M224,Capa!A:AH,6,0)),0,1/VLOOKUP(M224,Capa!A:AH,6,0))</f>
        <v>1.162790698</v>
      </c>
      <c r="R224" s="121">
        <f t="shared" si="6"/>
        <v>7.000007</v>
      </c>
      <c r="S224" s="122" t="str">
        <f t="shared" si="7"/>
        <v>#N/A</v>
      </c>
    </row>
    <row r="225">
      <c r="A225" s="123"/>
      <c r="B225" s="110" t="s">
        <v>566</v>
      </c>
      <c r="C225" s="111">
        <f>VLOOKUP(B225,'Dados StatusInvest'!$A:$Z,26,0)</f>
        <v>755916</v>
      </c>
      <c r="D225" s="112">
        <f>VLOOKUP(B225,'Dados StatusInvest'!$A:$Z,20,0)/100</f>
        <v>0.0175</v>
      </c>
      <c r="E225" s="87" t="str">
        <f t="shared" si="1"/>
        <v>#N/A</v>
      </c>
      <c r="F225" s="113">
        <f>IF(ISERROR(1/VLOOKUP(B225,Capa!A:AH,13,0)),0,1/VLOOKUP(B225,Capa!A:AH,13,0))</f>
        <v>5.552238371</v>
      </c>
      <c r="G225" s="114">
        <f t="shared" si="2"/>
        <v>142.000142</v>
      </c>
      <c r="H225" s="115" t="str">
        <f t="shared" si="3"/>
        <v>#N/A</v>
      </c>
      <c r="M225" s="110" t="s">
        <v>566</v>
      </c>
      <c r="N225" s="111">
        <f>VLOOKUP(M225,'Dados StatusInvest'!$A:$Z,26,0)</f>
        <v>755916</v>
      </c>
      <c r="O225" s="118">
        <f>VLOOKUP(M225,'Dados StatusInvest'!$A:$Z,18,0)/100</f>
        <v>-0.0406</v>
      </c>
      <c r="P225" s="119" t="str">
        <f t="shared" si="5"/>
        <v>#N/A</v>
      </c>
      <c r="Q225" s="120">
        <f>IF(ISERROR(1/VLOOKUP(M225,Capa!A:AH,6,0)),0,1/VLOOKUP(M225,Capa!A:AH,6,0))</f>
        <v>0.06557377049</v>
      </c>
      <c r="R225" s="121">
        <f t="shared" si="6"/>
        <v>159.000159</v>
      </c>
      <c r="S225" s="122" t="str">
        <f t="shared" si="7"/>
        <v>#N/A</v>
      </c>
    </row>
    <row r="226">
      <c r="A226" s="123"/>
      <c r="B226" s="110" t="s">
        <v>159</v>
      </c>
      <c r="C226" s="111">
        <f>VLOOKUP(B226,'Dados StatusInvest'!$A:$Z,26,0)</f>
        <v>453130.5</v>
      </c>
      <c r="D226" s="112">
        <f>VLOOKUP(B226,'Dados StatusInvest'!$A:$Z,20,0)/100</f>
        <v>-0.2187</v>
      </c>
      <c r="E226" s="87" t="str">
        <f t="shared" si="1"/>
        <v>#N/A</v>
      </c>
      <c r="F226" s="113">
        <f>IF(ISERROR(1/VLOOKUP(B226,Capa!A:AH,13,0)),0,1/VLOOKUP(B226,Capa!A:AH,13,0))</f>
        <v>-18.56328104</v>
      </c>
      <c r="G226" s="114">
        <f t="shared" si="2"/>
        <v>425.000425</v>
      </c>
      <c r="H226" s="115" t="str">
        <f t="shared" si="3"/>
        <v>#N/A</v>
      </c>
      <c r="M226" s="110" t="s">
        <v>159</v>
      </c>
      <c r="N226" s="111">
        <f>VLOOKUP(M226,'Dados StatusInvest'!$A:$Z,26,0)</f>
        <v>453130.5</v>
      </c>
      <c r="O226" s="118">
        <f>VLOOKUP(M226,'Dados StatusInvest'!$A:$Z,18,0)/100</f>
        <v>-1.3456</v>
      </c>
      <c r="P226" s="119" t="str">
        <f t="shared" si="5"/>
        <v>#N/A</v>
      </c>
      <c r="Q226" s="120">
        <f>IF(ISERROR(1/VLOOKUP(M226,Capa!A:AH,6,0)),0,1/VLOOKUP(M226,Capa!A:AH,6,0))</f>
        <v>0.1063829787</v>
      </c>
      <c r="R226" s="121">
        <f t="shared" si="6"/>
        <v>114.000114</v>
      </c>
      <c r="S226" s="122" t="str">
        <f t="shared" si="7"/>
        <v>#N/A</v>
      </c>
    </row>
    <row r="227">
      <c r="A227" s="123"/>
      <c r="B227" s="110" t="s">
        <v>518</v>
      </c>
      <c r="C227" s="111">
        <f>VLOOKUP(B227,'Dados StatusInvest'!$A:$Z,26,0)</f>
        <v>1872.24</v>
      </c>
      <c r="D227" s="112">
        <f>VLOOKUP(B227,'Dados StatusInvest'!$A:$Z,20,0)/100</f>
        <v>599.6</v>
      </c>
      <c r="E227" s="87" t="str">
        <f t="shared" si="1"/>
        <v>#N/A</v>
      </c>
      <c r="F227" s="113">
        <f>IF(ISERROR(1/VLOOKUP(B227,Capa!A:AH,13,0)),0,1/VLOOKUP(B227,Capa!A:AH,13,0))</f>
        <v>0</v>
      </c>
      <c r="G227" s="114">
        <f t="shared" si="2"/>
        <v>246.000246</v>
      </c>
      <c r="H227" s="115" t="str">
        <f t="shared" si="3"/>
        <v>#N/A</v>
      </c>
      <c r="M227" s="110" t="s">
        <v>518</v>
      </c>
      <c r="N227" s="111">
        <f>VLOOKUP(M227,'Dados StatusInvest'!$A:$Z,26,0)</f>
        <v>1872.24</v>
      </c>
      <c r="O227" s="118">
        <f>VLOOKUP(M227,'Dados StatusInvest'!$A:$Z,18,0)/100</f>
        <v>599.6</v>
      </c>
      <c r="P227" s="119" t="str">
        <f t="shared" si="5"/>
        <v>#N/A</v>
      </c>
      <c r="Q227" s="120">
        <f>IF(ISERROR(1/VLOOKUP(M227,Capa!A:AH,6,0)),0,1/VLOOKUP(M227,Capa!A:AH,6,0))</f>
        <v>2.127659574</v>
      </c>
      <c r="R227" s="121">
        <f t="shared" si="6"/>
        <v>4.000004</v>
      </c>
      <c r="S227" s="122" t="str">
        <f t="shared" si="7"/>
        <v>#N/A</v>
      </c>
    </row>
    <row r="228">
      <c r="A228" s="123"/>
      <c r="B228" s="110" t="s">
        <v>495</v>
      </c>
      <c r="C228" s="111">
        <f>VLOOKUP(B228,'Dados StatusInvest'!$A:$Z,26,0)</f>
        <v>862953.7</v>
      </c>
      <c r="D228" s="112">
        <f>VLOOKUP(B228,'Dados StatusInvest'!$A:$Z,20,0)/100</f>
        <v>0.0152</v>
      </c>
      <c r="E228" s="87" t="str">
        <f t="shared" si="1"/>
        <v>#N/A</v>
      </c>
      <c r="F228" s="113">
        <f>IF(ISERROR(1/VLOOKUP(B228,Capa!A:AH,13,0)),0,1/VLOOKUP(B228,Capa!A:AH,13,0))</f>
        <v>-2.249883234</v>
      </c>
      <c r="G228" s="114">
        <f t="shared" si="2"/>
        <v>410.00041</v>
      </c>
      <c r="H228" s="115" t="str">
        <f t="shared" si="3"/>
        <v>#N/A</v>
      </c>
      <c r="M228" s="110" t="s">
        <v>495</v>
      </c>
      <c r="N228" s="111">
        <f>VLOOKUP(M228,'Dados StatusInvest'!$A:$Z,26,0)</f>
        <v>862953.7</v>
      </c>
      <c r="O228" s="118">
        <f>VLOOKUP(M228,'Dados StatusInvest'!$A:$Z,18,0)/100</f>
        <v>-0.0525</v>
      </c>
      <c r="P228" s="119" t="str">
        <f t="shared" si="5"/>
        <v>#N/A</v>
      </c>
      <c r="Q228" s="120">
        <f>IF(ISERROR(1/VLOOKUP(M228,Capa!A:AH,6,0)),0,1/VLOOKUP(M228,Capa!A:AH,6,0))</f>
        <v>0.4219409283</v>
      </c>
      <c r="R228" s="121">
        <f t="shared" si="6"/>
        <v>30.00003</v>
      </c>
      <c r="S228" s="122" t="str">
        <f t="shared" si="7"/>
        <v>#N/A</v>
      </c>
    </row>
    <row r="229">
      <c r="A229" s="123"/>
      <c r="B229" s="110" t="s">
        <v>603</v>
      </c>
      <c r="C229" s="111">
        <f>VLOOKUP(B229,'Dados StatusInvest'!$A:$Z,26,0)</f>
        <v>228196.4</v>
      </c>
      <c r="D229" s="112">
        <f>VLOOKUP(B229,'Dados StatusInvest'!$A:$Z,20,0)/100</f>
        <v>0.0583</v>
      </c>
      <c r="E229" s="87" t="str">
        <f t="shared" si="1"/>
        <v>#N/A</v>
      </c>
      <c r="F229" s="113">
        <f>IF(ISERROR(1/VLOOKUP(B229,Capa!A:AH,13,0)),0,1/VLOOKUP(B229,Capa!A:AH,13,0))</f>
        <v>10.13848826</v>
      </c>
      <c r="G229" s="114">
        <f t="shared" si="2"/>
        <v>80.00008</v>
      </c>
      <c r="H229" s="115" t="str">
        <f t="shared" si="3"/>
        <v>#N/A</v>
      </c>
      <c r="M229" s="110" t="s">
        <v>603</v>
      </c>
      <c r="N229" s="111">
        <f>VLOOKUP(M229,'Dados StatusInvest'!$A:$Z,26,0)</f>
        <v>228196.4</v>
      </c>
      <c r="O229" s="118">
        <f>VLOOKUP(M229,'Dados StatusInvest'!$A:$Z,18,0)/100</f>
        <v>0.0956</v>
      </c>
      <c r="P229" s="119" t="str">
        <f t="shared" si="5"/>
        <v>#N/A</v>
      </c>
      <c r="Q229" s="120">
        <f>IF(ISERROR(1/VLOOKUP(M229,Capa!A:AH,6,0)),0,1/VLOOKUP(M229,Capa!A:AH,6,0))</f>
        <v>0.1912045889</v>
      </c>
      <c r="R229" s="121">
        <f t="shared" si="6"/>
        <v>70.00007</v>
      </c>
      <c r="S229" s="122" t="str">
        <f t="shared" si="7"/>
        <v>#N/A</v>
      </c>
    </row>
    <row r="230">
      <c r="A230" s="123"/>
      <c r="B230" s="110" t="s">
        <v>69</v>
      </c>
      <c r="C230" s="111">
        <f>VLOOKUP(B230,'Dados StatusInvest'!$A:$Z,26,0)</f>
        <v>120061.5</v>
      </c>
      <c r="D230" s="112">
        <f>VLOOKUP(B230,'Dados StatusInvest'!$A:$Z,20,0)/100</f>
        <v>0.1081</v>
      </c>
      <c r="E230" s="87" t="str">
        <f t="shared" si="1"/>
        <v>#N/A</v>
      </c>
      <c r="F230" s="113">
        <f>IF(ISERROR(1/VLOOKUP(B230,Capa!A:AH,13,0)),0,1/VLOOKUP(B230,Capa!A:AH,13,0))</f>
        <v>1.419881679</v>
      </c>
      <c r="G230" s="114">
        <f t="shared" si="2"/>
        <v>233.000233</v>
      </c>
      <c r="H230" s="115" t="str">
        <f t="shared" si="3"/>
        <v>#N/A</v>
      </c>
      <c r="M230" s="110" t="s">
        <v>69</v>
      </c>
      <c r="N230" s="111">
        <f>VLOOKUP(M230,'Dados StatusInvest'!$A:$Z,26,0)</f>
        <v>120061.5</v>
      </c>
      <c r="O230" s="118">
        <f>VLOOKUP(M230,'Dados StatusInvest'!$A:$Z,18,0)/100</f>
        <v>0.1293</v>
      </c>
      <c r="P230" s="119" t="str">
        <f t="shared" si="5"/>
        <v>#N/A</v>
      </c>
      <c r="Q230" s="120">
        <f>IF(ISERROR(1/VLOOKUP(M230,Capa!A:AH,6,0)),0,1/VLOOKUP(M230,Capa!A:AH,6,0))</f>
        <v>0.07530120482</v>
      </c>
      <c r="R230" s="121">
        <f t="shared" si="6"/>
        <v>144.000144</v>
      </c>
      <c r="S230" s="122" t="str">
        <f t="shared" si="7"/>
        <v>#N/A</v>
      </c>
    </row>
    <row r="231">
      <c r="A231" s="123"/>
      <c r="B231" s="110" t="s">
        <v>312</v>
      </c>
      <c r="C231" s="111">
        <f>VLOOKUP(B231,'Dados StatusInvest'!$A:$Z,26,0)</f>
        <v>991438.6</v>
      </c>
      <c r="D231" s="112">
        <f>VLOOKUP(B231,'Dados StatusInvest'!$A:$Z,20,0)/100</f>
        <v>0.1109</v>
      </c>
      <c r="E231" s="87" t="str">
        <f t="shared" si="1"/>
        <v>#N/A</v>
      </c>
      <c r="F231" s="113">
        <f>IF(ISERROR(1/VLOOKUP(B231,Capa!A:AH,13,0)),0,1/VLOOKUP(B231,Capa!A:AH,13,0))</f>
        <v>6.119869175</v>
      </c>
      <c r="G231" s="114">
        <f t="shared" si="2"/>
        <v>126.000126</v>
      </c>
      <c r="H231" s="115" t="str">
        <f t="shared" si="3"/>
        <v>#N/A</v>
      </c>
      <c r="M231" s="110" t="s">
        <v>312</v>
      </c>
      <c r="N231" s="111">
        <f>VLOOKUP(M231,'Dados StatusInvest'!$A:$Z,26,0)</f>
        <v>991438.6</v>
      </c>
      <c r="O231" s="118">
        <f>VLOOKUP(M231,'Dados StatusInvest'!$A:$Z,18,0)/100</f>
        <v>0.1054</v>
      </c>
      <c r="P231" s="119" t="str">
        <f t="shared" si="5"/>
        <v>#N/A</v>
      </c>
      <c r="Q231" s="120">
        <f>IF(ISERROR(1/VLOOKUP(M231,Capa!A:AH,6,0)),0,1/VLOOKUP(M231,Capa!A:AH,6,0))</f>
        <v>0.04553734062</v>
      </c>
      <c r="R231" s="121">
        <f t="shared" si="6"/>
        <v>192.000192</v>
      </c>
      <c r="S231" s="122" t="str">
        <f t="shared" si="7"/>
        <v>#N/A</v>
      </c>
    </row>
    <row r="232">
      <c r="A232" s="123"/>
      <c r="B232" s="110" t="s">
        <v>121</v>
      </c>
      <c r="C232" s="111">
        <f>VLOOKUP(B232,'Dados StatusInvest'!$A:$Z,26,0)</f>
        <v>624041.3</v>
      </c>
      <c r="D232" s="112">
        <f>VLOOKUP(B232,'Dados StatusInvest'!$A:$Z,20,0)/100</f>
        <v>-0.1151</v>
      </c>
      <c r="E232" s="87" t="str">
        <f t="shared" si="1"/>
        <v>#N/A</v>
      </c>
      <c r="F232" s="113">
        <f>IF(ISERROR(1/VLOOKUP(B232,Capa!A:AH,13,0)),0,1/VLOOKUP(B232,Capa!A:AH,13,0))</f>
        <v>-3.322559381</v>
      </c>
      <c r="G232" s="114">
        <f t="shared" si="2"/>
        <v>411.000411</v>
      </c>
      <c r="H232" s="115" t="str">
        <f t="shared" si="3"/>
        <v>#N/A</v>
      </c>
      <c r="M232" s="110" t="s">
        <v>121</v>
      </c>
      <c r="N232" s="111">
        <f>VLOOKUP(M232,'Dados StatusInvest'!$A:$Z,26,0)</f>
        <v>624041.3</v>
      </c>
      <c r="O232" s="118">
        <f>VLOOKUP(M232,'Dados StatusInvest'!$A:$Z,18,0)/100</f>
        <v>-0.2171</v>
      </c>
      <c r="P232" s="119" t="str">
        <f t="shared" si="5"/>
        <v>#N/A</v>
      </c>
      <c r="Q232" s="120">
        <f>IF(ISERROR(1/VLOOKUP(M232,Capa!A:AH,6,0)),0,1/VLOOKUP(M232,Capa!A:AH,6,0))</f>
        <v>0.16</v>
      </c>
      <c r="R232" s="121">
        <f t="shared" si="6"/>
        <v>79.000079</v>
      </c>
      <c r="S232" s="122" t="str">
        <f t="shared" si="7"/>
        <v>#N/A</v>
      </c>
    </row>
    <row r="233">
      <c r="A233" s="123"/>
      <c r="B233" s="110" t="s">
        <v>636</v>
      </c>
      <c r="C233" s="111">
        <f>VLOOKUP(B233,'Dados StatusInvest'!$A:$Z,26,0)</f>
        <v>749838.8</v>
      </c>
      <c r="D233" s="112">
        <f>VLOOKUP(B233,'Dados StatusInvest'!$A:$Z,20,0)/100</f>
        <v>0.1212</v>
      </c>
      <c r="E233" s="87" t="str">
        <f t="shared" si="1"/>
        <v>#N/A</v>
      </c>
      <c r="F233" s="113">
        <f>IF(ISERROR(1/VLOOKUP(B233,Capa!A:AH,13,0)),0,1/VLOOKUP(B233,Capa!A:AH,13,0))</f>
        <v>5.055611729</v>
      </c>
      <c r="G233" s="114">
        <f t="shared" si="2"/>
        <v>159.000159</v>
      </c>
      <c r="H233" s="115" t="str">
        <f t="shared" si="3"/>
        <v>#N/A</v>
      </c>
      <c r="M233" s="110" t="s">
        <v>636</v>
      </c>
      <c r="N233" s="111">
        <f>VLOOKUP(M233,'Dados StatusInvest'!$A:$Z,26,0)</f>
        <v>749838.8</v>
      </c>
      <c r="O233" s="118">
        <f>VLOOKUP(M233,'Dados StatusInvest'!$A:$Z,18,0)/100</f>
        <v>0.3182</v>
      </c>
      <c r="P233" s="119" t="str">
        <f t="shared" si="5"/>
        <v>#N/A</v>
      </c>
      <c r="Q233" s="120">
        <f>IF(ISERROR(1/VLOOKUP(M233,Capa!A:AH,6,0)),0,1/VLOOKUP(M233,Capa!A:AH,6,0))</f>
        <v>0.0156470036</v>
      </c>
      <c r="R233" s="121">
        <f t="shared" si="6"/>
        <v>271.000271</v>
      </c>
      <c r="S233" s="122" t="str">
        <f t="shared" si="7"/>
        <v>#N/A</v>
      </c>
    </row>
    <row r="234">
      <c r="A234" s="123"/>
      <c r="B234" s="110" t="s">
        <v>207</v>
      </c>
      <c r="C234" s="111">
        <f>VLOOKUP(B234,'Dados StatusInvest'!$A:$Z,26,0)</f>
        <v>251871.4</v>
      </c>
      <c r="D234" s="112">
        <f>VLOOKUP(B234,'Dados StatusInvest'!$A:$Z,20,0)/100</f>
        <v>0.0637</v>
      </c>
      <c r="E234" s="87" t="str">
        <f t="shared" si="1"/>
        <v>#N/A</v>
      </c>
      <c r="F234" s="113">
        <f>IF(ISERROR(1/VLOOKUP(B234,Capa!A:AH,13,0)),0,1/VLOOKUP(B234,Capa!A:AH,13,0))</f>
        <v>11.34512353</v>
      </c>
      <c r="G234" s="114">
        <f t="shared" si="2"/>
        <v>70.00007</v>
      </c>
      <c r="H234" s="115" t="str">
        <f t="shared" si="3"/>
        <v>#N/A</v>
      </c>
      <c r="M234" s="110" t="s">
        <v>207</v>
      </c>
      <c r="N234" s="111">
        <f>VLOOKUP(M234,'Dados StatusInvest'!$A:$Z,26,0)</f>
        <v>251871.4</v>
      </c>
      <c r="O234" s="118">
        <f>VLOOKUP(M234,'Dados StatusInvest'!$A:$Z,18,0)/100</f>
        <v>0.1065</v>
      </c>
      <c r="P234" s="119" t="str">
        <f t="shared" si="5"/>
        <v>#N/A</v>
      </c>
      <c r="Q234" s="120">
        <f>IF(ISERROR(1/VLOOKUP(M234,Capa!A:AH,6,0)),0,1/VLOOKUP(M234,Capa!A:AH,6,0))</f>
        <v>0.0370096225</v>
      </c>
      <c r="R234" s="121">
        <f t="shared" si="6"/>
        <v>208.000208</v>
      </c>
      <c r="S234" s="122" t="str">
        <f t="shared" si="7"/>
        <v>#N/A</v>
      </c>
    </row>
    <row r="235">
      <c r="A235" s="123"/>
      <c r="B235" s="110" t="s">
        <v>601</v>
      </c>
      <c r="C235" s="111">
        <f>VLOOKUP(B235,'Dados StatusInvest'!$A:$Z,26,0)</f>
        <v>996539.2</v>
      </c>
      <c r="D235" s="112">
        <f>VLOOKUP(B235,'Dados StatusInvest'!$A:$Z,20,0)/100</f>
        <v>0.1575</v>
      </c>
      <c r="E235" s="87" t="str">
        <f t="shared" si="1"/>
        <v>#N/A</v>
      </c>
      <c r="F235" s="113">
        <f>IF(ISERROR(1/VLOOKUP(B235,Capa!A:AH,13,0)),0,1/VLOOKUP(B235,Capa!A:AH,13,0))</f>
        <v>1.535541142</v>
      </c>
      <c r="G235" s="114">
        <f t="shared" si="2"/>
        <v>231.000231</v>
      </c>
      <c r="H235" s="115" t="str">
        <f t="shared" si="3"/>
        <v>#N/A</v>
      </c>
      <c r="M235" s="110" t="s">
        <v>601</v>
      </c>
      <c r="N235" s="111">
        <f>VLOOKUP(M235,'Dados StatusInvest'!$A:$Z,26,0)</f>
        <v>996539.2</v>
      </c>
      <c r="O235" s="118">
        <f>VLOOKUP(M235,'Dados StatusInvest'!$A:$Z,18,0)/100</f>
        <v>0.2254</v>
      </c>
      <c r="P235" s="119" t="str">
        <f t="shared" si="5"/>
        <v>#N/A</v>
      </c>
      <c r="Q235" s="120">
        <f>IF(ISERROR(1/VLOOKUP(M235,Capa!A:AH,6,0)),0,1/VLOOKUP(M235,Capa!A:AH,6,0))</f>
        <v>0.06858710562</v>
      </c>
      <c r="R235" s="121">
        <f t="shared" si="6"/>
        <v>152.000152</v>
      </c>
      <c r="S235" s="122" t="str">
        <f t="shared" si="7"/>
        <v>#N/A</v>
      </c>
    </row>
    <row r="236">
      <c r="A236" s="123"/>
      <c r="B236" s="110" t="s">
        <v>1718</v>
      </c>
      <c r="C236" s="111" t="str">
        <f>VLOOKUP(B236,'Dados StatusInvest'!$A:$Z,26,0)</f>
        <v>#N/A</v>
      </c>
      <c r="D236" s="112" t="str">
        <f>VLOOKUP(B236,'Dados StatusInvest'!$A:$Z,20,0)/100</f>
        <v>#N/A</v>
      </c>
      <c r="E236" s="87" t="str">
        <f t="shared" si="1"/>
        <v>#N/A</v>
      </c>
      <c r="F236" s="113">
        <f>IF(ISERROR(1/VLOOKUP(B236,Capa!A:AH,13,0)),0,1/VLOOKUP(B236,Capa!A:AH,13,0))</f>
        <v>0</v>
      </c>
      <c r="G236" s="114">
        <f t="shared" si="2"/>
        <v>246.000246</v>
      </c>
      <c r="H236" s="115" t="str">
        <f t="shared" si="3"/>
        <v>#N/A</v>
      </c>
      <c r="M236" s="110" t="s">
        <v>1718</v>
      </c>
      <c r="N236" s="111" t="str">
        <f>VLOOKUP(M236,'Dados StatusInvest'!$A:$Z,26,0)</f>
        <v>#N/A</v>
      </c>
      <c r="O236" s="118" t="str">
        <f>VLOOKUP(M236,'Dados StatusInvest'!$A:$Z,18,0)/100</f>
        <v>#N/A</v>
      </c>
      <c r="P236" s="119" t="str">
        <f t="shared" si="5"/>
        <v>#N/A</v>
      </c>
      <c r="Q236" s="120">
        <f>IF(ISERROR(1/VLOOKUP(M236,Capa!A:AH,6,0)),0,1/VLOOKUP(M236,Capa!A:AH,6,0))</f>
        <v>0</v>
      </c>
      <c r="R236" s="121">
        <f t="shared" si="6"/>
        <v>306.000306</v>
      </c>
      <c r="S236" s="122" t="str">
        <f t="shared" si="7"/>
        <v>#N/A</v>
      </c>
    </row>
    <row r="237">
      <c r="A237" s="123"/>
      <c r="B237" s="110" t="s">
        <v>510</v>
      </c>
      <c r="C237" s="111">
        <f>VLOOKUP(B237,'Dados StatusInvest'!$A:$Z,26,0)</f>
        <v>0</v>
      </c>
      <c r="D237" s="112">
        <f>VLOOKUP(B237,'Dados StatusInvest'!$A:$Z,20,0)/100</f>
        <v>0.0743</v>
      </c>
      <c r="E237" s="87" t="str">
        <f t="shared" si="1"/>
        <v>#N/A</v>
      </c>
      <c r="F237" s="113">
        <f>IF(ISERROR(1/VLOOKUP(B237,Capa!A:AH,13,0)),0,1/VLOOKUP(B237,Capa!A:AH,13,0))</f>
        <v>0</v>
      </c>
      <c r="G237" s="114">
        <f t="shared" si="2"/>
        <v>246.000246</v>
      </c>
      <c r="H237" s="115" t="str">
        <f t="shared" si="3"/>
        <v>#N/A</v>
      </c>
      <c r="M237" s="110" t="s">
        <v>510</v>
      </c>
      <c r="N237" s="111">
        <f>VLOOKUP(M237,'Dados StatusInvest'!$A:$Z,26,0)</f>
        <v>0</v>
      </c>
      <c r="O237" s="118">
        <f>VLOOKUP(M237,'Dados StatusInvest'!$A:$Z,18,0)/100</f>
        <v>0.0893</v>
      </c>
      <c r="P237" s="119" t="str">
        <f t="shared" si="5"/>
        <v>#N/A</v>
      </c>
      <c r="Q237" s="120">
        <f>IF(ISERROR(1/VLOOKUP(M237,Capa!A:AH,6,0)),0,1/VLOOKUP(M237,Capa!A:AH,6,0))</f>
        <v>0</v>
      </c>
      <c r="R237" s="121">
        <f t="shared" si="6"/>
        <v>306.000306</v>
      </c>
      <c r="S237" s="122" t="str">
        <f t="shared" si="7"/>
        <v>#N/A</v>
      </c>
    </row>
    <row r="238">
      <c r="A238" s="123"/>
      <c r="B238" s="110" t="s">
        <v>534</v>
      </c>
      <c r="C238" s="111">
        <f>VLOOKUP(B238,'Dados StatusInvest'!$A:$Z,26,0)</f>
        <v>0</v>
      </c>
      <c r="D238" s="112">
        <f>VLOOKUP(B238,'Dados StatusInvest'!$A:$Z,20,0)/100</f>
        <v>0.1202</v>
      </c>
      <c r="E238" s="87" t="str">
        <f t="shared" si="1"/>
        <v>#N/A</v>
      </c>
      <c r="F238" s="113">
        <f>IF(ISERROR(1/VLOOKUP(B238,Capa!A:AH,13,0)),0,1/VLOOKUP(B238,Capa!A:AH,13,0))</f>
        <v>0</v>
      </c>
      <c r="G238" s="114">
        <f t="shared" si="2"/>
        <v>246.000246</v>
      </c>
      <c r="H238" s="115" t="str">
        <f t="shared" si="3"/>
        <v>#N/A</v>
      </c>
      <c r="M238" s="110" t="s">
        <v>534</v>
      </c>
      <c r="N238" s="111">
        <f>VLOOKUP(M238,'Dados StatusInvest'!$A:$Z,26,0)</f>
        <v>0</v>
      </c>
      <c r="O238" s="118">
        <f>VLOOKUP(M238,'Dados StatusInvest'!$A:$Z,18,0)/100</f>
        <v>0.2722</v>
      </c>
      <c r="P238" s="119" t="str">
        <f t="shared" si="5"/>
        <v>#N/A</v>
      </c>
      <c r="Q238" s="120">
        <f>IF(ISERROR(1/VLOOKUP(M238,Capa!A:AH,6,0)),0,1/VLOOKUP(M238,Capa!A:AH,6,0))</f>
        <v>0</v>
      </c>
      <c r="R238" s="121">
        <f t="shared" si="6"/>
        <v>306.000306</v>
      </c>
      <c r="S238" s="122" t="str">
        <f t="shared" si="7"/>
        <v>#N/A</v>
      </c>
    </row>
    <row r="239">
      <c r="A239" s="123"/>
      <c r="B239" s="110" t="s">
        <v>234</v>
      </c>
      <c r="C239" s="111">
        <f>VLOOKUP(B239,'Dados StatusInvest'!$A:$Z,26,0)</f>
        <v>40301.24</v>
      </c>
      <c r="D239" s="112">
        <f>VLOOKUP(B239,'Dados StatusInvest'!$A:$Z,20,0)/100</f>
        <v>-0.0682</v>
      </c>
      <c r="E239" s="87" t="str">
        <f t="shared" si="1"/>
        <v>#N/A</v>
      </c>
      <c r="F239" s="113">
        <f>IF(ISERROR(1/VLOOKUP(B239,Capa!A:AH,13,0)),0,1/VLOOKUP(B239,Capa!A:AH,13,0))</f>
        <v>-20.66115702</v>
      </c>
      <c r="G239" s="114">
        <f t="shared" si="2"/>
        <v>427.000427</v>
      </c>
      <c r="H239" s="115" t="str">
        <f t="shared" si="3"/>
        <v>#N/A</v>
      </c>
      <c r="M239" s="110" t="s">
        <v>234</v>
      </c>
      <c r="N239" s="111">
        <f>VLOOKUP(M239,'Dados StatusInvest'!$A:$Z,26,0)</f>
        <v>40301.24</v>
      </c>
      <c r="O239" s="118">
        <f>VLOOKUP(M239,'Dados StatusInvest'!$A:$Z,18,0)/100</f>
        <v>-0.0429</v>
      </c>
      <c r="P239" s="119" t="str">
        <f t="shared" si="5"/>
        <v>#N/A</v>
      </c>
      <c r="Q239" s="120">
        <f>IF(ISERROR(1/VLOOKUP(M239,Capa!A:AH,6,0)),0,1/VLOOKUP(M239,Capa!A:AH,6,0))</f>
        <v>0.04926108374</v>
      </c>
      <c r="R239" s="121">
        <f t="shared" si="6"/>
        <v>187.000187</v>
      </c>
      <c r="S239" s="122" t="str">
        <f t="shared" si="7"/>
        <v>#N/A</v>
      </c>
    </row>
    <row r="240">
      <c r="A240" s="123"/>
      <c r="B240" s="110" t="s">
        <v>526</v>
      </c>
      <c r="C240" s="111">
        <f>VLOOKUP(B240,'Dados StatusInvest'!$A:$Z,26,0)</f>
        <v>254005.9</v>
      </c>
      <c r="D240" s="112">
        <f>VLOOKUP(B240,'Dados StatusInvest'!$A:$Z,20,0)/100</f>
        <v>-0.0007</v>
      </c>
      <c r="E240" s="87" t="str">
        <f t="shared" si="1"/>
        <v>#N/A</v>
      </c>
      <c r="F240" s="113">
        <f>IF(ISERROR(1/VLOOKUP(B240,Capa!A:AH,13,0)),0,1/VLOOKUP(B240,Capa!A:AH,13,0))</f>
        <v>20.91377091</v>
      </c>
      <c r="G240" s="114">
        <f t="shared" si="2"/>
        <v>33.000033</v>
      </c>
      <c r="H240" s="115" t="str">
        <f t="shared" si="3"/>
        <v>#N/A</v>
      </c>
      <c r="M240" s="110" t="s">
        <v>526</v>
      </c>
      <c r="N240" s="111">
        <f>VLOOKUP(M240,'Dados StatusInvest'!$A:$Z,26,0)</f>
        <v>254005.9</v>
      </c>
      <c r="O240" s="118">
        <f>VLOOKUP(M240,'Dados StatusInvest'!$A:$Z,18,0)/100</f>
        <v>0.0813</v>
      </c>
      <c r="P240" s="119" t="str">
        <f t="shared" si="5"/>
        <v>#N/A</v>
      </c>
      <c r="Q240" s="120">
        <f>IF(ISERROR(1/VLOOKUP(M240,Capa!A:AH,6,0)),0,1/VLOOKUP(M240,Capa!A:AH,6,0))</f>
        <v>0.1183431953</v>
      </c>
      <c r="R240" s="121">
        <f t="shared" si="6"/>
        <v>107.000107</v>
      </c>
      <c r="S240" s="122" t="str">
        <f t="shared" si="7"/>
        <v>#N/A</v>
      </c>
    </row>
    <row r="241">
      <c r="A241" s="123"/>
      <c r="B241" s="110" t="s">
        <v>111</v>
      </c>
      <c r="C241" s="111">
        <f>VLOOKUP(B241,'Dados StatusInvest'!$A:$Z,26,0)</f>
        <v>147559.3</v>
      </c>
      <c r="D241" s="112">
        <f>VLOOKUP(B241,'Dados StatusInvest'!$A:$Z,20,0)/100</f>
        <v>0</v>
      </c>
      <c r="E241" s="87" t="str">
        <f t="shared" si="1"/>
        <v>#N/A</v>
      </c>
      <c r="F241" s="113">
        <f>IF(ISERROR(1/VLOOKUP(B241,Capa!A:AH,13,0)),0,1/VLOOKUP(B241,Capa!A:AH,13,0))</f>
        <v>11.73738618</v>
      </c>
      <c r="G241" s="114">
        <f t="shared" si="2"/>
        <v>67.000067</v>
      </c>
      <c r="H241" s="115" t="str">
        <f t="shared" si="3"/>
        <v>#N/A</v>
      </c>
      <c r="M241" s="110" t="s">
        <v>111</v>
      </c>
      <c r="N241" s="111">
        <f>VLOOKUP(M241,'Dados StatusInvest'!$A:$Z,26,0)</f>
        <v>147559.3</v>
      </c>
      <c r="O241" s="118">
        <f>VLOOKUP(M241,'Dados StatusInvest'!$A:$Z,18,0)/100</f>
        <v>0.1396</v>
      </c>
      <c r="P241" s="119" t="str">
        <f t="shared" si="5"/>
        <v>#N/A</v>
      </c>
      <c r="Q241" s="120">
        <f>IF(ISERROR(1/VLOOKUP(M241,Capa!A:AH,6,0)),0,1/VLOOKUP(M241,Capa!A:AH,6,0))</f>
        <v>0.119760479</v>
      </c>
      <c r="R241" s="121">
        <f t="shared" si="6"/>
        <v>102.000102</v>
      </c>
      <c r="S241" s="122" t="str">
        <f t="shared" si="7"/>
        <v>#N/A</v>
      </c>
    </row>
    <row r="242">
      <c r="A242" s="123"/>
      <c r="B242" s="110" t="s">
        <v>288</v>
      </c>
      <c r="C242" s="111">
        <f>VLOOKUP(B242,'Dados StatusInvest'!$A:$Z,26,0)</f>
        <v>202643.9</v>
      </c>
      <c r="D242" s="112">
        <f>VLOOKUP(B242,'Dados StatusInvest'!$A:$Z,20,0)/100</f>
        <v>0.1306</v>
      </c>
      <c r="E242" s="87" t="str">
        <f t="shared" si="1"/>
        <v>#N/A</v>
      </c>
      <c r="F242" s="113">
        <f>IF(ISERROR(1/VLOOKUP(B242,Capa!A:AH,13,0)),0,1/VLOOKUP(B242,Capa!A:AH,13,0))</f>
        <v>2.259487504</v>
      </c>
      <c r="G242" s="114">
        <f t="shared" si="2"/>
        <v>213.000213</v>
      </c>
      <c r="H242" s="115" t="str">
        <f t="shared" si="3"/>
        <v>#N/A</v>
      </c>
      <c r="M242" s="110" t="s">
        <v>288</v>
      </c>
      <c r="N242" s="111">
        <f>VLOOKUP(M242,'Dados StatusInvest'!$A:$Z,26,0)</f>
        <v>202643.9</v>
      </c>
      <c r="O242" s="118">
        <f>VLOOKUP(M242,'Dados StatusInvest'!$A:$Z,18,0)/100</f>
        <v>0.2041</v>
      </c>
      <c r="P242" s="119" t="str">
        <f t="shared" si="5"/>
        <v>#N/A</v>
      </c>
      <c r="Q242" s="120">
        <f>IF(ISERROR(1/VLOOKUP(M242,Capa!A:AH,6,0)),0,1/VLOOKUP(M242,Capa!A:AH,6,0))</f>
        <v>0.02116850127</v>
      </c>
      <c r="R242" s="121">
        <f t="shared" si="6"/>
        <v>251.000251</v>
      </c>
      <c r="S242" s="122" t="str">
        <f t="shared" si="7"/>
        <v>#N/A</v>
      </c>
    </row>
    <row r="243">
      <c r="A243" s="123"/>
      <c r="B243" s="110" t="s">
        <v>126</v>
      </c>
      <c r="C243" s="111">
        <f>VLOOKUP(B243,'Dados StatusInvest'!$A:$Z,26,0)</f>
        <v>2506846</v>
      </c>
      <c r="D243" s="112">
        <f>VLOOKUP(B243,'Dados StatusInvest'!$A:$Z,20,0)/100</f>
        <v>0</v>
      </c>
      <c r="E243" s="87" t="str">
        <f t="shared" si="1"/>
        <v>#N/A</v>
      </c>
      <c r="F243" s="113">
        <f>IF(ISERROR(1/VLOOKUP(B243,Capa!A:AH,13,0)),0,1/VLOOKUP(B243,Capa!A:AH,13,0))</f>
        <v>12.43602133</v>
      </c>
      <c r="G243" s="114">
        <f t="shared" si="2"/>
        <v>65.000065</v>
      </c>
      <c r="H243" s="115" t="str">
        <f t="shared" si="3"/>
        <v>#N/A</v>
      </c>
      <c r="M243" s="110" t="s">
        <v>126</v>
      </c>
      <c r="N243" s="111">
        <f>VLOOKUP(M243,'Dados StatusInvest'!$A:$Z,26,0)</f>
        <v>2506846</v>
      </c>
      <c r="O243" s="118">
        <f>VLOOKUP(M243,'Dados StatusInvest'!$A:$Z,18,0)/100</f>
        <v>0.2754</v>
      </c>
      <c r="P243" s="119" t="str">
        <f t="shared" si="5"/>
        <v>#N/A</v>
      </c>
      <c r="Q243" s="120">
        <f>IF(ISERROR(1/VLOOKUP(M243,Capa!A:AH,6,0)),0,1/VLOOKUP(M243,Capa!A:AH,6,0))</f>
        <v>0.01439055979</v>
      </c>
      <c r="R243" s="121">
        <f t="shared" si="6"/>
        <v>274.000274</v>
      </c>
      <c r="S243" s="122" t="str">
        <f t="shared" si="7"/>
        <v>#N/A</v>
      </c>
    </row>
    <row r="244">
      <c r="A244" s="123"/>
      <c r="B244" s="110" t="s">
        <v>135</v>
      </c>
      <c r="C244" s="111">
        <f>VLOOKUP(B244,'Dados StatusInvest'!$A:$Z,26,0)</f>
        <v>20796.38</v>
      </c>
      <c r="D244" s="112">
        <f>VLOOKUP(B244,'Dados StatusInvest'!$A:$Z,20,0)/100</f>
        <v>-0.1591</v>
      </c>
      <c r="E244" s="87" t="str">
        <f t="shared" si="1"/>
        <v>#N/A</v>
      </c>
      <c r="F244" s="113">
        <f>IF(ISERROR(1/VLOOKUP(B244,Capa!A:AH,13,0)),0,1/VLOOKUP(B244,Capa!A:AH,13,0))</f>
        <v>5.931198102</v>
      </c>
      <c r="G244" s="114">
        <f t="shared" si="2"/>
        <v>135.000135</v>
      </c>
      <c r="H244" s="115" t="str">
        <f t="shared" si="3"/>
        <v>#N/A</v>
      </c>
      <c r="M244" s="110" t="s">
        <v>135</v>
      </c>
      <c r="N244" s="111">
        <f>VLOOKUP(M244,'Dados StatusInvest'!$A:$Z,26,0)</f>
        <v>20796.38</v>
      </c>
      <c r="O244" s="118">
        <f>VLOOKUP(M244,'Dados StatusInvest'!$A:$Z,18,0)/100</f>
        <v>-0.9655</v>
      </c>
      <c r="P244" s="119" t="str">
        <f t="shared" si="5"/>
        <v>#N/A</v>
      </c>
      <c r="Q244" s="120">
        <f>IF(ISERROR(1/VLOOKUP(M244,Capa!A:AH,6,0)),0,1/VLOOKUP(M244,Capa!A:AH,6,0))</f>
        <v>0.8196721311</v>
      </c>
      <c r="R244" s="121">
        <f t="shared" si="6"/>
        <v>15.000015</v>
      </c>
      <c r="S244" s="122" t="str">
        <f t="shared" si="7"/>
        <v>#N/A</v>
      </c>
    </row>
    <row r="245">
      <c r="A245" s="123"/>
      <c r="B245" s="110" t="s">
        <v>311</v>
      </c>
      <c r="C245" s="111">
        <f>VLOOKUP(B245,'Dados StatusInvest'!$A:$Z,26,0)</f>
        <v>13201.39</v>
      </c>
      <c r="D245" s="112">
        <f>VLOOKUP(B245,'Dados StatusInvest'!$A:$Z,20,0)/100</f>
        <v>0.1109</v>
      </c>
      <c r="E245" s="87" t="str">
        <f t="shared" si="1"/>
        <v>#N/A</v>
      </c>
      <c r="F245" s="113">
        <f>IF(ISERROR(1/VLOOKUP(B245,Capa!A:AH,13,0)),0,1/VLOOKUP(B245,Capa!A:AH,13,0))</f>
        <v>6.086427267</v>
      </c>
      <c r="G245" s="114">
        <f t="shared" si="2"/>
        <v>129.000129</v>
      </c>
      <c r="H245" s="115" t="str">
        <f t="shared" si="3"/>
        <v>#N/A</v>
      </c>
      <c r="M245" s="110" t="s">
        <v>311</v>
      </c>
      <c r="N245" s="111">
        <f>VLOOKUP(M245,'Dados StatusInvest'!$A:$Z,26,0)</f>
        <v>13201.39</v>
      </c>
      <c r="O245" s="118">
        <f>VLOOKUP(M245,'Dados StatusInvest'!$A:$Z,18,0)/100</f>
        <v>0.1054</v>
      </c>
      <c r="P245" s="119" t="str">
        <f t="shared" si="5"/>
        <v>#N/A</v>
      </c>
      <c r="Q245" s="120">
        <f>IF(ISERROR(1/VLOOKUP(M245,Capa!A:AH,6,0)),0,1/VLOOKUP(M245,Capa!A:AH,6,0))</f>
        <v>0.0442282176</v>
      </c>
      <c r="R245" s="121">
        <f t="shared" si="6"/>
        <v>196.000196</v>
      </c>
      <c r="S245" s="122" t="str">
        <f t="shared" si="7"/>
        <v>#N/A</v>
      </c>
    </row>
    <row r="246">
      <c r="A246" s="123"/>
      <c r="B246" s="110" t="s">
        <v>661</v>
      </c>
      <c r="C246" s="111">
        <f>VLOOKUP(B246,'Dados StatusInvest'!$A:$Z,26,0)</f>
        <v>26775.05</v>
      </c>
      <c r="D246" s="112">
        <f>VLOOKUP(B246,'Dados StatusInvest'!$A:$Z,20,0)/100</f>
        <v>0.2521</v>
      </c>
      <c r="E246" s="87" t="str">
        <f t="shared" si="1"/>
        <v>#N/A</v>
      </c>
      <c r="F246" s="113">
        <f>IF(ISERROR(1/VLOOKUP(B246,Capa!A:AH,13,0)),0,1/VLOOKUP(B246,Capa!A:AH,13,0))</f>
        <v>10.15228426</v>
      </c>
      <c r="G246" s="114">
        <f t="shared" si="2"/>
        <v>78.000078</v>
      </c>
      <c r="H246" s="115" t="str">
        <f t="shared" si="3"/>
        <v>#N/A</v>
      </c>
      <c r="M246" s="110" t="s">
        <v>661</v>
      </c>
      <c r="N246" s="111">
        <f>VLOOKUP(M246,'Dados StatusInvest'!$A:$Z,26,0)</f>
        <v>26775.05</v>
      </c>
      <c r="O246" s="118">
        <f>VLOOKUP(M246,'Dados StatusInvest'!$A:$Z,18,0)/100</f>
        <v>0.3274</v>
      </c>
      <c r="P246" s="119" t="str">
        <f t="shared" si="5"/>
        <v>#N/A</v>
      </c>
      <c r="Q246" s="120">
        <f>IF(ISERROR(1/VLOOKUP(M246,Capa!A:AH,6,0)),0,1/VLOOKUP(M246,Capa!A:AH,6,0))</f>
        <v>0.2109704641</v>
      </c>
      <c r="R246" s="121">
        <f t="shared" si="6"/>
        <v>61.000061</v>
      </c>
      <c r="S246" s="122" t="str">
        <f t="shared" si="7"/>
        <v>#N/A</v>
      </c>
    </row>
    <row r="247">
      <c r="A247" s="123"/>
      <c r="B247" s="110" t="s">
        <v>302</v>
      </c>
      <c r="C247" s="111">
        <f>VLOOKUP(B247,'Dados StatusInvest'!$A:$Z,26,0)</f>
        <v>35633.86</v>
      </c>
      <c r="D247" s="112">
        <f>VLOOKUP(B247,'Dados StatusInvest'!$A:$Z,20,0)/100</f>
        <v>0.1489</v>
      </c>
      <c r="E247" s="87" t="str">
        <f t="shared" si="1"/>
        <v>#N/A</v>
      </c>
      <c r="F247" s="113">
        <f>IF(ISERROR(1/VLOOKUP(B247,Capa!A:AH,13,0)),0,1/VLOOKUP(B247,Capa!A:AH,13,0))</f>
        <v>5.121651416</v>
      </c>
      <c r="G247" s="114">
        <f t="shared" si="2"/>
        <v>158.000158</v>
      </c>
      <c r="H247" s="115" t="str">
        <f t="shared" si="3"/>
        <v>#N/A</v>
      </c>
      <c r="M247" s="110" t="s">
        <v>302</v>
      </c>
      <c r="N247" s="111">
        <f>VLOOKUP(M247,'Dados StatusInvest'!$A:$Z,26,0)</f>
        <v>35633.86</v>
      </c>
      <c r="O247" s="118">
        <f>VLOOKUP(M247,'Dados StatusInvest'!$A:$Z,18,0)/100</f>
        <v>0.3249</v>
      </c>
      <c r="P247" s="119" t="str">
        <f t="shared" si="5"/>
        <v>#N/A</v>
      </c>
      <c r="Q247" s="120">
        <f>IF(ISERROR(1/VLOOKUP(M247,Capa!A:AH,6,0)),0,1/VLOOKUP(M247,Capa!A:AH,6,0))</f>
        <v>0.1587301587</v>
      </c>
      <c r="R247" s="121">
        <f t="shared" si="6"/>
        <v>82.000082</v>
      </c>
      <c r="S247" s="122" t="str">
        <f t="shared" si="7"/>
        <v>#N/A</v>
      </c>
    </row>
    <row r="248">
      <c r="A248" s="123"/>
      <c r="B248" s="110" t="s">
        <v>537</v>
      </c>
      <c r="C248" s="111">
        <f>VLOOKUP(B248,'Dados StatusInvest'!$A:$Z,26,0)</f>
        <v>1245132</v>
      </c>
      <c r="D248" s="112">
        <f>VLOOKUP(B248,'Dados StatusInvest'!$A:$Z,20,0)/100</f>
        <v>0.552</v>
      </c>
      <c r="E248" s="87" t="str">
        <f t="shared" si="1"/>
        <v>#N/A</v>
      </c>
      <c r="F248" s="113">
        <f>IF(ISERROR(1/VLOOKUP(B248,Capa!A:AH,13,0)),0,1/VLOOKUP(B248,Capa!A:AH,13,0))</f>
        <v>-0.2191359368</v>
      </c>
      <c r="G248" s="114">
        <f t="shared" si="2"/>
        <v>392.000392</v>
      </c>
      <c r="H248" s="115" t="str">
        <f t="shared" si="3"/>
        <v>#N/A</v>
      </c>
      <c r="M248" s="110" t="s">
        <v>537</v>
      </c>
      <c r="N248" s="111">
        <f>VLOOKUP(M248,'Dados StatusInvest'!$A:$Z,26,0)</f>
        <v>1245132</v>
      </c>
      <c r="O248" s="118">
        <f>VLOOKUP(M248,'Dados StatusInvest'!$A:$Z,18,0)/100</f>
        <v>-0.7538</v>
      </c>
      <c r="P248" s="119" t="str">
        <f t="shared" si="5"/>
        <v>#N/A</v>
      </c>
      <c r="Q248" s="120">
        <f>IF(ISERROR(1/VLOOKUP(M248,Capa!A:AH,6,0)),0,1/VLOOKUP(M248,Capa!A:AH,6,0))</f>
        <v>0.3311258278</v>
      </c>
      <c r="R248" s="121">
        <f t="shared" si="6"/>
        <v>38.000038</v>
      </c>
      <c r="S248" s="122" t="str">
        <f t="shared" si="7"/>
        <v>#N/A</v>
      </c>
    </row>
    <row r="249">
      <c r="A249" s="123"/>
      <c r="B249" s="110" t="s">
        <v>612</v>
      </c>
      <c r="C249" s="111">
        <f>VLOOKUP(B249,'Dados StatusInvest'!$A:$Z,26,0)</f>
        <v>23637.9</v>
      </c>
      <c r="D249" s="112">
        <f>VLOOKUP(B249,'Dados StatusInvest'!$A:$Z,20,0)/100</f>
        <v>0.0792</v>
      </c>
      <c r="E249" s="87" t="str">
        <f t="shared" si="1"/>
        <v>#N/A</v>
      </c>
      <c r="F249" s="113">
        <f>IF(ISERROR(1/VLOOKUP(B249,Capa!A:AH,13,0)),0,1/VLOOKUP(B249,Capa!A:AH,13,0))</f>
        <v>3.800836184</v>
      </c>
      <c r="G249" s="114">
        <f t="shared" si="2"/>
        <v>195.000195</v>
      </c>
      <c r="H249" s="115" t="str">
        <f t="shared" si="3"/>
        <v>#N/A</v>
      </c>
      <c r="M249" s="110" t="s">
        <v>612</v>
      </c>
      <c r="N249" s="111">
        <f>VLOOKUP(M249,'Dados StatusInvest'!$A:$Z,26,0)</f>
        <v>23637.9</v>
      </c>
      <c r="O249" s="118">
        <f>VLOOKUP(M249,'Dados StatusInvest'!$A:$Z,18,0)/100</f>
        <v>0.0368</v>
      </c>
      <c r="P249" s="119" t="str">
        <f t="shared" si="5"/>
        <v>#N/A</v>
      </c>
      <c r="Q249" s="120">
        <f>IF(ISERROR(1/VLOOKUP(M249,Capa!A:AH,6,0)),0,1/VLOOKUP(M249,Capa!A:AH,6,0))</f>
        <v>0.1245330012</v>
      </c>
      <c r="R249" s="121">
        <f t="shared" si="6"/>
        <v>99.000099</v>
      </c>
      <c r="S249" s="122" t="str">
        <f t="shared" si="7"/>
        <v>#N/A</v>
      </c>
    </row>
    <row r="250">
      <c r="A250" s="123"/>
      <c r="B250" s="110" t="s">
        <v>433</v>
      </c>
      <c r="C250" s="111">
        <f>VLOOKUP(B250,'Dados StatusInvest'!$A:$Z,26,0)</f>
        <v>57750.38</v>
      </c>
      <c r="D250" s="112">
        <f>VLOOKUP(B250,'Dados StatusInvest'!$A:$Z,20,0)/100</f>
        <v>0.0804</v>
      </c>
      <c r="E250" s="87" t="str">
        <f t="shared" si="1"/>
        <v>#N/A</v>
      </c>
      <c r="F250" s="113">
        <f>IF(ISERROR(1/VLOOKUP(B250,Capa!A:AH,13,0)),0,1/VLOOKUP(B250,Capa!A:AH,13,0))</f>
        <v>15.70109578</v>
      </c>
      <c r="G250" s="114">
        <f t="shared" si="2"/>
        <v>38.000038</v>
      </c>
      <c r="H250" s="115" t="str">
        <f t="shared" si="3"/>
        <v>#N/A</v>
      </c>
      <c r="M250" s="110" t="s">
        <v>433</v>
      </c>
      <c r="N250" s="111">
        <f>VLOOKUP(M250,'Dados StatusInvest'!$A:$Z,26,0)</f>
        <v>57750.38</v>
      </c>
      <c r="O250" s="118">
        <f>VLOOKUP(M250,'Dados StatusInvest'!$A:$Z,18,0)/100</f>
        <v>0.2847</v>
      </c>
      <c r="P250" s="119" t="str">
        <f t="shared" si="5"/>
        <v>#N/A</v>
      </c>
      <c r="Q250" s="120">
        <f>IF(ISERROR(1/VLOOKUP(M250,Capa!A:AH,6,0)),0,1/VLOOKUP(M250,Capa!A:AH,6,0))</f>
        <v>0.1615508885</v>
      </c>
      <c r="R250" s="121">
        <f t="shared" si="6"/>
        <v>76.000076</v>
      </c>
      <c r="S250" s="122" t="str">
        <f t="shared" si="7"/>
        <v>#N/A</v>
      </c>
    </row>
    <row r="251">
      <c r="A251" s="123"/>
      <c r="B251" s="110" t="s">
        <v>274</v>
      </c>
      <c r="C251" s="111">
        <f>VLOOKUP(B251,'Dados StatusInvest'!$A:$Z,26,0)</f>
        <v>257406.3</v>
      </c>
      <c r="D251" s="112">
        <f>VLOOKUP(B251,'Dados StatusInvest'!$A:$Z,20,0)/100</f>
        <v>0.1199</v>
      </c>
      <c r="E251" s="87" t="str">
        <f t="shared" si="1"/>
        <v>#N/A</v>
      </c>
      <c r="F251" s="113">
        <f>IF(ISERROR(1/VLOOKUP(B251,Capa!A:AH,13,0)),0,1/VLOOKUP(B251,Capa!A:AH,13,0))</f>
        <v>7.082152975</v>
      </c>
      <c r="G251" s="114">
        <f t="shared" si="2"/>
        <v>118.000118</v>
      </c>
      <c r="H251" s="115" t="str">
        <f t="shared" si="3"/>
        <v>#N/A</v>
      </c>
      <c r="M251" s="110" t="s">
        <v>274</v>
      </c>
      <c r="N251" s="111">
        <f>VLOOKUP(M251,'Dados StatusInvest'!$A:$Z,26,0)</f>
        <v>257406.3</v>
      </c>
      <c r="O251" s="118">
        <f>VLOOKUP(M251,'Dados StatusInvest'!$A:$Z,18,0)/100</f>
        <v>0.2971</v>
      </c>
      <c r="P251" s="119" t="str">
        <f t="shared" si="5"/>
        <v>#N/A</v>
      </c>
      <c r="Q251" s="120">
        <f>IF(ISERROR(1/VLOOKUP(M251,Capa!A:AH,6,0)),0,1/VLOOKUP(M251,Capa!A:AH,6,0))</f>
        <v>0.07032348805</v>
      </c>
      <c r="R251" s="121">
        <f t="shared" si="6"/>
        <v>149.000149</v>
      </c>
      <c r="S251" s="122" t="str">
        <f t="shared" si="7"/>
        <v>#N/A</v>
      </c>
    </row>
    <row r="252">
      <c r="A252" s="123"/>
      <c r="B252" s="110" t="s">
        <v>330</v>
      </c>
      <c r="C252" s="111">
        <f>VLOOKUP(B252,'Dados StatusInvest'!$A:$Z,26,0)</f>
        <v>0</v>
      </c>
      <c r="D252" s="112">
        <f>VLOOKUP(B252,'Dados StatusInvest'!$A:$Z,20,0)/100</f>
        <v>0.1757</v>
      </c>
      <c r="E252" s="87" t="str">
        <f t="shared" si="1"/>
        <v>#N/A</v>
      </c>
      <c r="F252" s="113">
        <f>IF(ISERROR(1/VLOOKUP(B252,Capa!A:AH,13,0)),0,1/VLOOKUP(B252,Capa!A:AH,13,0))</f>
        <v>0</v>
      </c>
      <c r="G252" s="114">
        <f t="shared" si="2"/>
        <v>246.000246</v>
      </c>
      <c r="H252" s="115" t="str">
        <f t="shared" si="3"/>
        <v>#N/A</v>
      </c>
      <c r="M252" s="110" t="s">
        <v>330</v>
      </c>
      <c r="N252" s="111">
        <f>VLOOKUP(M252,'Dados StatusInvest'!$A:$Z,26,0)</f>
        <v>0</v>
      </c>
      <c r="O252" s="118">
        <f>VLOOKUP(M252,'Dados StatusInvest'!$A:$Z,18,0)/100</f>
        <v>-0.0717</v>
      </c>
      <c r="P252" s="119" t="str">
        <f t="shared" si="5"/>
        <v>#N/A</v>
      </c>
      <c r="Q252" s="120">
        <f>IF(ISERROR(1/VLOOKUP(M252,Capa!A:AH,6,0)),0,1/VLOOKUP(M252,Capa!A:AH,6,0))</f>
        <v>0</v>
      </c>
      <c r="R252" s="121">
        <f t="shared" si="6"/>
        <v>306.000306</v>
      </c>
      <c r="S252" s="122" t="str">
        <f t="shared" si="7"/>
        <v>#N/A</v>
      </c>
    </row>
    <row r="253">
      <c r="A253" s="123"/>
      <c r="B253" s="110" t="s">
        <v>352</v>
      </c>
      <c r="C253" s="111">
        <f>VLOOKUP(B253,'Dados StatusInvest'!$A:$Z,26,0)</f>
        <v>775.75</v>
      </c>
      <c r="D253" s="112">
        <f>VLOOKUP(B253,'Dados StatusInvest'!$A:$Z,20,0)/100</f>
        <v>-0.1627</v>
      </c>
      <c r="E253" s="87" t="str">
        <f t="shared" si="1"/>
        <v>#N/A</v>
      </c>
      <c r="F253" s="113">
        <f>IF(ISERROR(1/VLOOKUP(B253,Capa!A:AH,13,0)),0,1/VLOOKUP(B253,Capa!A:AH,13,0))</f>
        <v>-2.040399918</v>
      </c>
      <c r="G253" s="114">
        <f t="shared" si="2"/>
        <v>408.000408</v>
      </c>
      <c r="H253" s="115" t="str">
        <f t="shared" si="3"/>
        <v>#N/A</v>
      </c>
      <c r="M253" s="110" t="s">
        <v>352</v>
      </c>
      <c r="N253" s="111">
        <f>VLOOKUP(M253,'Dados StatusInvest'!$A:$Z,26,0)</f>
        <v>775.75</v>
      </c>
      <c r="O253" s="118">
        <f>VLOOKUP(M253,'Dados StatusInvest'!$A:$Z,18,0)/100</f>
        <v>-0.1949</v>
      </c>
      <c r="P253" s="119" t="str">
        <f t="shared" si="5"/>
        <v>#N/A</v>
      </c>
      <c r="Q253" s="120">
        <f>IF(ISERROR(1/VLOOKUP(M253,Capa!A:AH,6,0)),0,1/VLOOKUP(M253,Capa!A:AH,6,0))</f>
        <v>0.3267973856</v>
      </c>
      <c r="R253" s="121">
        <f t="shared" si="6"/>
        <v>40.00004</v>
      </c>
      <c r="S253" s="122" t="str">
        <f t="shared" si="7"/>
        <v>#N/A</v>
      </c>
    </row>
    <row r="254">
      <c r="A254" s="123"/>
      <c r="B254" s="110" t="s">
        <v>1719</v>
      </c>
      <c r="C254" s="111" t="str">
        <f>VLOOKUP(B254,'Dados StatusInvest'!$A:$Z,26,0)</f>
        <v>#N/A</v>
      </c>
      <c r="D254" s="112" t="str">
        <f>VLOOKUP(B254,'Dados StatusInvest'!$A:$Z,20,0)/100</f>
        <v>#N/A</v>
      </c>
      <c r="E254" s="87" t="str">
        <f t="shared" si="1"/>
        <v>#N/A</v>
      </c>
      <c r="F254" s="113">
        <f>IF(ISERROR(1/VLOOKUP(B254,Capa!A:AH,13,0)),0,1/VLOOKUP(B254,Capa!A:AH,13,0))</f>
        <v>0</v>
      </c>
      <c r="G254" s="114">
        <f t="shared" si="2"/>
        <v>246.000246</v>
      </c>
      <c r="H254" s="115" t="str">
        <f t="shared" si="3"/>
        <v>#N/A</v>
      </c>
      <c r="M254" s="110" t="s">
        <v>1719</v>
      </c>
      <c r="N254" s="111" t="str">
        <f>VLOOKUP(M254,'Dados StatusInvest'!$A:$Z,26,0)</f>
        <v>#N/A</v>
      </c>
      <c r="O254" s="118" t="str">
        <f>VLOOKUP(M254,'Dados StatusInvest'!$A:$Z,18,0)/100</f>
        <v>#N/A</v>
      </c>
      <c r="P254" s="119" t="str">
        <f t="shared" si="5"/>
        <v>#N/A</v>
      </c>
      <c r="Q254" s="120">
        <f>IF(ISERROR(1/VLOOKUP(M254,Capa!A:AH,6,0)),0,1/VLOOKUP(M254,Capa!A:AH,6,0))</f>
        <v>0</v>
      </c>
      <c r="R254" s="121">
        <f t="shared" si="6"/>
        <v>306.000306</v>
      </c>
      <c r="S254" s="122" t="str">
        <f t="shared" si="7"/>
        <v>#N/A</v>
      </c>
    </row>
    <row r="255">
      <c r="A255" s="123"/>
      <c r="B255" s="110" t="s">
        <v>187</v>
      </c>
      <c r="C255" s="111">
        <f>VLOOKUP(B255,'Dados StatusInvest'!$A:$Z,26,0)</f>
        <v>99352.19</v>
      </c>
      <c r="D255" s="112">
        <f>VLOOKUP(B255,'Dados StatusInvest'!$A:$Z,20,0)/100</f>
        <v>0.1402</v>
      </c>
      <c r="E255" s="87" t="str">
        <f t="shared" si="1"/>
        <v>#N/A</v>
      </c>
      <c r="F255" s="113">
        <f>IF(ISERROR(1/VLOOKUP(B255,Capa!A:AH,13,0)),0,1/VLOOKUP(B255,Capa!A:AH,13,0))</f>
        <v>2.006420546</v>
      </c>
      <c r="G255" s="114">
        <f t="shared" si="2"/>
        <v>220.00022</v>
      </c>
      <c r="H255" s="115" t="str">
        <f t="shared" si="3"/>
        <v>#N/A</v>
      </c>
      <c r="M255" s="110" t="s">
        <v>187</v>
      </c>
      <c r="N255" s="111">
        <f>VLOOKUP(M255,'Dados StatusInvest'!$A:$Z,26,0)</f>
        <v>99352.19</v>
      </c>
      <c r="O255" s="118">
        <f>VLOOKUP(M255,'Dados StatusInvest'!$A:$Z,18,0)/100</f>
        <v>0.1936</v>
      </c>
      <c r="P255" s="119" t="str">
        <f t="shared" si="5"/>
        <v>#N/A</v>
      </c>
      <c r="Q255" s="120">
        <f>IF(ISERROR(1/VLOOKUP(M255,Capa!A:AH,6,0)),0,1/VLOOKUP(M255,Capa!A:AH,6,0))</f>
        <v>0.03282994091</v>
      </c>
      <c r="R255" s="121">
        <f t="shared" si="6"/>
        <v>213.000213</v>
      </c>
      <c r="S255" s="122" t="str">
        <f t="shared" si="7"/>
        <v>#N/A</v>
      </c>
    </row>
    <row r="256">
      <c r="A256" s="123"/>
      <c r="B256" s="110" t="s">
        <v>91</v>
      </c>
      <c r="C256" s="111">
        <f>VLOOKUP(B256,'Dados StatusInvest'!$A:$Z,26,0)</f>
        <v>927072.3</v>
      </c>
      <c r="D256" s="112">
        <f>VLOOKUP(B256,'Dados StatusInvest'!$A:$Z,20,0)/100</f>
        <v>-2.5088</v>
      </c>
      <c r="E256" s="87" t="str">
        <f t="shared" si="1"/>
        <v>#N/A</v>
      </c>
      <c r="F256" s="113">
        <f>IF(ISERROR(1/VLOOKUP(B256,Capa!A:AH,13,0)),0,1/VLOOKUP(B256,Capa!A:AH,13,0))</f>
        <v>-0.5495713344</v>
      </c>
      <c r="G256" s="114">
        <f t="shared" si="2"/>
        <v>400.0004</v>
      </c>
      <c r="H256" s="115" t="str">
        <f t="shared" si="3"/>
        <v>#N/A</v>
      </c>
      <c r="M256" s="110" t="s">
        <v>91</v>
      </c>
      <c r="N256" s="111">
        <f>VLOOKUP(M256,'Dados StatusInvest'!$A:$Z,26,0)</f>
        <v>927072.3</v>
      </c>
      <c r="O256" s="118">
        <f>VLOOKUP(M256,'Dados StatusInvest'!$A:$Z,18,0)/100</f>
        <v>-4.5329</v>
      </c>
      <c r="P256" s="119" t="str">
        <f t="shared" si="5"/>
        <v>#N/A</v>
      </c>
      <c r="Q256" s="120">
        <f>IF(ISERROR(1/VLOOKUP(M256,Capa!A:AH,6,0)),0,1/VLOOKUP(M256,Capa!A:AH,6,0))</f>
        <v>5.263157895</v>
      </c>
      <c r="R256" s="121">
        <f t="shared" si="6"/>
        <v>2.000002</v>
      </c>
      <c r="S256" s="122" t="str">
        <f t="shared" si="7"/>
        <v>#N/A</v>
      </c>
    </row>
    <row r="257">
      <c r="A257" s="123"/>
      <c r="B257" s="110" t="s">
        <v>431</v>
      </c>
      <c r="C257" s="111">
        <f>VLOOKUP(B257,'Dados StatusInvest'!$A:$Z,26,0)</f>
        <v>14288.75</v>
      </c>
      <c r="D257" s="112">
        <f>VLOOKUP(B257,'Dados StatusInvest'!$A:$Z,20,0)/100</f>
        <v>0</v>
      </c>
      <c r="E257" s="87" t="str">
        <f t="shared" si="1"/>
        <v>#N/A</v>
      </c>
      <c r="F257" s="113">
        <f>IF(ISERROR(1/VLOOKUP(B257,Capa!A:AH,13,0)),0,1/VLOOKUP(B257,Capa!A:AH,13,0))</f>
        <v>1.841959845</v>
      </c>
      <c r="G257" s="114">
        <f t="shared" si="2"/>
        <v>225.000225</v>
      </c>
      <c r="H257" s="115" t="str">
        <f t="shared" si="3"/>
        <v>#N/A</v>
      </c>
      <c r="M257" s="110" t="s">
        <v>431</v>
      </c>
      <c r="N257" s="111">
        <f>VLOOKUP(M257,'Dados StatusInvest'!$A:$Z,26,0)</f>
        <v>14288.75</v>
      </c>
      <c r="O257" s="118">
        <f>VLOOKUP(M257,'Dados StatusInvest'!$A:$Z,18,0)/100</f>
        <v>0.0609</v>
      </c>
      <c r="P257" s="119" t="str">
        <f t="shared" si="5"/>
        <v>#N/A</v>
      </c>
      <c r="Q257" s="120">
        <f>IF(ISERROR(1/VLOOKUP(M257,Capa!A:AH,6,0)),0,1/VLOOKUP(M257,Capa!A:AH,6,0))</f>
        <v>0.06666666667</v>
      </c>
      <c r="R257" s="121">
        <f t="shared" si="6"/>
        <v>156.000156</v>
      </c>
      <c r="S257" s="122" t="str">
        <f t="shared" si="7"/>
        <v>#N/A</v>
      </c>
    </row>
    <row r="258">
      <c r="A258" s="123"/>
      <c r="B258" s="110" t="s">
        <v>54</v>
      </c>
      <c r="C258" s="111">
        <f>VLOOKUP(B258,'Dados StatusInvest'!$A:$Z,26,0)</f>
        <v>0</v>
      </c>
      <c r="D258" s="112">
        <f>VLOOKUP(B258,'Dados StatusInvest'!$A:$Z,20,0)/100</f>
        <v>0.2261</v>
      </c>
      <c r="E258" s="87" t="str">
        <f t="shared" si="1"/>
        <v>#N/A</v>
      </c>
      <c r="F258" s="113">
        <f>IF(ISERROR(1/VLOOKUP(B258,Capa!A:AH,13,0)),0,1/VLOOKUP(B258,Capa!A:AH,13,0))</f>
        <v>0</v>
      </c>
      <c r="G258" s="114">
        <f t="shared" si="2"/>
        <v>246.000246</v>
      </c>
      <c r="H258" s="115" t="str">
        <f t="shared" si="3"/>
        <v>#N/A</v>
      </c>
      <c r="M258" s="110" t="s">
        <v>54</v>
      </c>
      <c r="N258" s="111">
        <f>VLOOKUP(M258,'Dados StatusInvest'!$A:$Z,26,0)</f>
        <v>0</v>
      </c>
      <c r="O258" s="118">
        <f>VLOOKUP(M258,'Dados StatusInvest'!$A:$Z,18,0)/100</f>
        <v>-0.3147</v>
      </c>
      <c r="P258" s="119" t="str">
        <f t="shared" si="5"/>
        <v>#N/A</v>
      </c>
      <c r="Q258" s="120">
        <f>IF(ISERROR(1/VLOOKUP(M258,Capa!A:AH,6,0)),0,1/VLOOKUP(M258,Capa!A:AH,6,0))</f>
        <v>0</v>
      </c>
      <c r="R258" s="121">
        <f t="shared" si="6"/>
        <v>306.000306</v>
      </c>
      <c r="S258" s="122" t="str">
        <f t="shared" si="7"/>
        <v>#N/A</v>
      </c>
    </row>
    <row r="259">
      <c r="A259" s="123"/>
      <c r="B259" s="110" t="s">
        <v>458</v>
      </c>
      <c r="C259" s="111">
        <f>VLOOKUP(B259,'Dados StatusInvest'!$A:$Z,26,0)</f>
        <v>69164.81</v>
      </c>
      <c r="D259" s="112">
        <f>VLOOKUP(B259,'Dados StatusInvest'!$A:$Z,20,0)/100</f>
        <v>0.017</v>
      </c>
      <c r="E259" s="87" t="str">
        <f t="shared" si="1"/>
        <v>#N/A</v>
      </c>
      <c r="F259" s="113">
        <f>IF(ISERROR(1/VLOOKUP(B259,Capa!A:AH,13,0)),0,1/VLOOKUP(B259,Capa!A:AH,13,0))</f>
        <v>13.75515818</v>
      </c>
      <c r="G259" s="114">
        <f t="shared" si="2"/>
        <v>48.000048</v>
      </c>
      <c r="H259" s="115" t="str">
        <f t="shared" si="3"/>
        <v>#N/A</v>
      </c>
      <c r="M259" s="110" t="s">
        <v>458</v>
      </c>
      <c r="N259" s="111">
        <f>VLOOKUP(M259,'Dados StatusInvest'!$A:$Z,26,0)</f>
        <v>69164.81</v>
      </c>
      <c r="O259" s="118">
        <f>VLOOKUP(M259,'Dados StatusInvest'!$A:$Z,18,0)/100</f>
        <v>0.0871</v>
      </c>
      <c r="P259" s="119" t="str">
        <f t="shared" si="5"/>
        <v>#N/A</v>
      </c>
      <c r="Q259" s="120">
        <f>IF(ISERROR(1/VLOOKUP(M259,Capa!A:AH,6,0)),0,1/VLOOKUP(M259,Capa!A:AH,6,0))</f>
        <v>0.01739432945</v>
      </c>
      <c r="R259" s="121">
        <f t="shared" si="6"/>
        <v>265.000265</v>
      </c>
      <c r="S259" s="122" t="str">
        <f t="shared" si="7"/>
        <v>#N/A</v>
      </c>
    </row>
    <row r="260">
      <c r="A260" s="123"/>
      <c r="B260" s="110" t="s">
        <v>577</v>
      </c>
      <c r="C260" s="111">
        <f>VLOOKUP(B260,'Dados StatusInvest'!$A:$Z,26,0)</f>
        <v>0</v>
      </c>
      <c r="D260" s="112">
        <f>VLOOKUP(B260,'Dados StatusInvest'!$A:$Z,20,0)/100</f>
        <v>-0.1591</v>
      </c>
      <c r="E260" s="87" t="str">
        <f t="shared" si="1"/>
        <v>#N/A</v>
      </c>
      <c r="F260" s="113">
        <f>IF(ISERROR(1/VLOOKUP(B260,Capa!A:AH,13,0)),0,1/VLOOKUP(B260,Capa!A:AH,13,0))</f>
        <v>0</v>
      </c>
      <c r="G260" s="114">
        <f t="shared" si="2"/>
        <v>246.000246</v>
      </c>
      <c r="H260" s="115" t="str">
        <f t="shared" si="3"/>
        <v>#N/A</v>
      </c>
      <c r="M260" s="110" t="s">
        <v>577</v>
      </c>
      <c r="N260" s="111">
        <f>VLOOKUP(M260,'Dados StatusInvest'!$A:$Z,26,0)</f>
        <v>0</v>
      </c>
      <c r="O260" s="118">
        <f>VLOOKUP(M260,'Dados StatusInvest'!$A:$Z,18,0)/100</f>
        <v>-0.1807</v>
      </c>
      <c r="P260" s="119" t="str">
        <f t="shared" si="5"/>
        <v>#N/A</v>
      </c>
      <c r="Q260" s="120">
        <f>IF(ISERROR(1/VLOOKUP(M260,Capa!A:AH,6,0)),0,1/VLOOKUP(M260,Capa!A:AH,6,0))</f>
        <v>0</v>
      </c>
      <c r="R260" s="121">
        <f t="shared" si="6"/>
        <v>306.000306</v>
      </c>
      <c r="S260" s="122" t="str">
        <f t="shared" si="7"/>
        <v>#N/A</v>
      </c>
    </row>
    <row r="261">
      <c r="A261" s="123"/>
      <c r="B261" s="110" t="s">
        <v>535</v>
      </c>
      <c r="C261" s="111">
        <f>VLOOKUP(B261,'Dados StatusInvest'!$A:$Z,26,0)</f>
        <v>105623.1</v>
      </c>
      <c r="D261" s="112">
        <f>VLOOKUP(B261,'Dados StatusInvest'!$A:$Z,20,0)/100</f>
        <v>0.0818</v>
      </c>
      <c r="E261" s="87" t="str">
        <f t="shared" si="1"/>
        <v>#N/A</v>
      </c>
      <c r="F261" s="113">
        <f>IF(ISERROR(1/VLOOKUP(B261,Capa!A:AH,13,0)),0,1/VLOOKUP(B261,Capa!A:AH,13,0))</f>
        <v>11.29973475</v>
      </c>
      <c r="G261" s="114">
        <f t="shared" si="2"/>
        <v>72.000072</v>
      </c>
      <c r="H261" s="115" t="str">
        <f t="shared" si="3"/>
        <v>#N/A</v>
      </c>
      <c r="M261" s="110" t="s">
        <v>535</v>
      </c>
      <c r="N261" s="111">
        <f>VLOOKUP(M261,'Dados StatusInvest'!$A:$Z,26,0)</f>
        <v>105623.1</v>
      </c>
      <c r="O261" s="118">
        <f>VLOOKUP(M261,'Dados StatusInvest'!$A:$Z,18,0)/100</f>
        <v>0.0299</v>
      </c>
      <c r="P261" s="119" t="str">
        <f t="shared" si="5"/>
        <v>#N/A</v>
      </c>
      <c r="Q261" s="120">
        <f>IF(ISERROR(1/VLOOKUP(M261,Capa!A:AH,6,0)),0,1/VLOOKUP(M261,Capa!A:AH,6,0))</f>
        <v>0.1564945227</v>
      </c>
      <c r="R261" s="121">
        <f t="shared" si="6"/>
        <v>85.000085</v>
      </c>
      <c r="S261" s="122" t="str">
        <f t="shared" si="7"/>
        <v>#N/A</v>
      </c>
    </row>
    <row r="262">
      <c r="A262" s="123"/>
      <c r="B262" s="110" t="s">
        <v>70</v>
      </c>
      <c r="C262" s="111">
        <f>VLOOKUP(B262,'Dados StatusInvest'!$A:$Z,26,0)</f>
        <v>164248.6</v>
      </c>
      <c r="D262" s="112">
        <f>VLOOKUP(B262,'Dados StatusInvest'!$A:$Z,20,0)/100</f>
        <v>0.1081</v>
      </c>
      <c r="E262" s="87" t="str">
        <f t="shared" si="1"/>
        <v>#N/A</v>
      </c>
      <c r="F262" s="113">
        <f>IF(ISERROR(1/VLOOKUP(B262,Capa!A:AH,13,0)),0,1/VLOOKUP(B262,Capa!A:AH,13,0))</f>
        <v>1.414818955</v>
      </c>
      <c r="G262" s="114">
        <f t="shared" si="2"/>
        <v>234.000234</v>
      </c>
      <c r="H262" s="115" t="str">
        <f t="shared" si="3"/>
        <v>#N/A</v>
      </c>
      <c r="M262" s="110" t="s">
        <v>70</v>
      </c>
      <c r="N262" s="111">
        <f>VLOOKUP(M262,'Dados StatusInvest'!$A:$Z,26,0)</f>
        <v>164248.6</v>
      </c>
      <c r="O262" s="118">
        <f>VLOOKUP(M262,'Dados StatusInvest'!$A:$Z,18,0)/100</f>
        <v>0.1293</v>
      </c>
      <c r="P262" s="119" t="str">
        <f t="shared" si="5"/>
        <v>#N/A</v>
      </c>
      <c r="Q262" s="120">
        <f>IF(ISERROR(1/VLOOKUP(M262,Capa!A:AH,6,0)),0,1/VLOOKUP(M262,Capa!A:AH,6,0))</f>
        <v>0.08779631255</v>
      </c>
      <c r="R262" s="121">
        <f t="shared" si="6"/>
        <v>131.000131</v>
      </c>
      <c r="S262" s="122" t="str">
        <f t="shared" si="7"/>
        <v>#N/A</v>
      </c>
    </row>
    <row r="263">
      <c r="A263" s="123"/>
      <c r="B263" s="110" t="s">
        <v>132</v>
      </c>
      <c r="C263" s="111">
        <f>VLOOKUP(B263,'Dados StatusInvest'!$A:$Z,26,0)</f>
        <v>46197.88</v>
      </c>
      <c r="D263" s="112">
        <f>VLOOKUP(B263,'Dados StatusInvest'!$A:$Z,20,0)/100</f>
        <v>0</v>
      </c>
      <c r="E263" s="87" t="str">
        <f t="shared" si="1"/>
        <v>#N/A</v>
      </c>
      <c r="F263" s="113">
        <f>IF(ISERROR(1/VLOOKUP(B263,Capa!A:AH,13,0)),0,1/VLOOKUP(B263,Capa!A:AH,13,0))</f>
        <v>1.987281399</v>
      </c>
      <c r="G263" s="114">
        <f t="shared" si="2"/>
        <v>222.000222</v>
      </c>
      <c r="H263" s="115" t="str">
        <f t="shared" si="3"/>
        <v>#N/A</v>
      </c>
      <c r="M263" s="110" t="s">
        <v>132</v>
      </c>
      <c r="N263" s="111">
        <f>VLOOKUP(M263,'Dados StatusInvest'!$A:$Z,26,0)</f>
        <v>46197.88</v>
      </c>
      <c r="O263" s="118">
        <f>VLOOKUP(M263,'Dados StatusInvest'!$A:$Z,18,0)/100</f>
        <v>0.1819</v>
      </c>
      <c r="P263" s="119" t="str">
        <f t="shared" si="5"/>
        <v>#N/A</v>
      </c>
      <c r="Q263" s="120">
        <f>IF(ISERROR(1/VLOOKUP(M263,Capa!A:AH,6,0)),0,1/VLOOKUP(M263,Capa!A:AH,6,0))</f>
        <v>0.008230452675</v>
      </c>
      <c r="R263" s="121">
        <f t="shared" si="6"/>
        <v>282.000282</v>
      </c>
      <c r="S263" s="122" t="str">
        <f t="shared" si="7"/>
        <v>#N/A</v>
      </c>
    </row>
    <row r="264">
      <c r="A264" s="123"/>
      <c r="B264" s="110" t="s">
        <v>189</v>
      </c>
      <c r="C264" s="111">
        <f>VLOOKUP(B264,'Dados StatusInvest'!$A:$Z,26,0)</f>
        <v>138506.8</v>
      </c>
      <c r="D264" s="112">
        <f>VLOOKUP(B264,'Dados StatusInvest'!$A:$Z,20,0)/100</f>
        <v>0.1402</v>
      </c>
      <c r="E264" s="87" t="str">
        <f t="shared" si="1"/>
        <v>#N/A</v>
      </c>
      <c r="F264" s="113">
        <f>IF(ISERROR(1/VLOOKUP(B264,Capa!A:AH,13,0)),0,1/VLOOKUP(B264,Capa!A:AH,13,0))</f>
        <v>2.006420546</v>
      </c>
      <c r="G264" s="114">
        <f t="shared" si="2"/>
        <v>220.00022</v>
      </c>
      <c r="H264" s="115" t="str">
        <f t="shared" si="3"/>
        <v>#N/A</v>
      </c>
      <c r="M264" s="110" t="s">
        <v>189</v>
      </c>
      <c r="N264" s="111">
        <f>VLOOKUP(M264,'Dados StatusInvest'!$A:$Z,26,0)</f>
        <v>138506.8</v>
      </c>
      <c r="O264" s="118">
        <f>VLOOKUP(M264,'Dados StatusInvest'!$A:$Z,18,0)/100</f>
        <v>0.1936</v>
      </c>
      <c r="P264" s="119" t="str">
        <f t="shared" si="5"/>
        <v>#N/A</v>
      </c>
      <c r="Q264" s="120">
        <f>IF(ISERROR(1/VLOOKUP(M264,Capa!A:AH,6,0)),0,1/VLOOKUP(M264,Capa!A:AH,6,0))</f>
        <v>0.03172588832</v>
      </c>
      <c r="R264" s="121">
        <f t="shared" si="6"/>
        <v>217.000217</v>
      </c>
      <c r="S264" s="122" t="str">
        <f t="shared" si="7"/>
        <v>#N/A</v>
      </c>
    </row>
    <row r="265">
      <c r="A265" s="123"/>
      <c r="B265" s="110" t="s">
        <v>101</v>
      </c>
      <c r="C265" s="111">
        <f>VLOOKUP(B265,'Dados StatusInvest'!$A:$Z,26,0)</f>
        <v>57895.75</v>
      </c>
      <c r="D265" s="112">
        <f>VLOOKUP(B265,'Dados StatusInvest'!$A:$Z,20,0)/100</f>
        <v>0.1347</v>
      </c>
      <c r="E265" s="87" t="str">
        <f t="shared" si="1"/>
        <v>#N/A</v>
      </c>
      <c r="F265" s="113">
        <f>IF(ISERROR(1/VLOOKUP(B265,Capa!A:AH,13,0)),0,1/VLOOKUP(B265,Capa!A:AH,13,0))</f>
        <v>12.54705144</v>
      </c>
      <c r="G265" s="114">
        <f t="shared" si="2"/>
        <v>61.000061</v>
      </c>
      <c r="H265" s="115" t="str">
        <f t="shared" si="3"/>
        <v>#N/A</v>
      </c>
      <c r="M265" s="110" t="s">
        <v>101</v>
      </c>
      <c r="N265" s="111">
        <f>VLOOKUP(M265,'Dados StatusInvest'!$A:$Z,26,0)</f>
        <v>57895.75</v>
      </c>
      <c r="O265" s="118">
        <f>VLOOKUP(M265,'Dados StatusInvest'!$A:$Z,18,0)/100</f>
        <v>0.1975</v>
      </c>
      <c r="P265" s="119" t="str">
        <f t="shared" si="5"/>
        <v>#N/A</v>
      </c>
      <c r="Q265" s="120">
        <f>IF(ISERROR(1/VLOOKUP(M265,Capa!A:AH,6,0)),0,1/VLOOKUP(M265,Capa!A:AH,6,0))</f>
        <v>0.0107538445</v>
      </c>
      <c r="R265" s="121">
        <f t="shared" si="6"/>
        <v>280.00028</v>
      </c>
      <c r="S265" s="122" t="str">
        <f t="shared" si="7"/>
        <v>#N/A</v>
      </c>
    </row>
    <row r="266">
      <c r="A266" s="123"/>
      <c r="B266" s="110" t="s">
        <v>606</v>
      </c>
      <c r="C266" s="111">
        <f>VLOOKUP(B266,'Dados StatusInvest'!$A:$Z,26,0)</f>
        <v>0</v>
      </c>
      <c r="D266" s="112">
        <f>VLOOKUP(B266,'Dados StatusInvest'!$A:$Z,20,0)/100</f>
        <v>-0.0355</v>
      </c>
      <c r="E266" s="87" t="str">
        <f t="shared" si="1"/>
        <v>#N/A</v>
      </c>
      <c r="F266" s="113">
        <f>IF(ISERROR(1/VLOOKUP(B266,Capa!A:AH,13,0)),0,1/VLOOKUP(B266,Capa!A:AH,13,0))</f>
        <v>0</v>
      </c>
      <c r="G266" s="114">
        <f t="shared" si="2"/>
        <v>246.000246</v>
      </c>
      <c r="H266" s="115" t="str">
        <f t="shared" si="3"/>
        <v>#N/A</v>
      </c>
      <c r="M266" s="110" t="s">
        <v>606</v>
      </c>
      <c r="N266" s="111">
        <f>VLOOKUP(M266,'Dados StatusInvest'!$A:$Z,26,0)</f>
        <v>0</v>
      </c>
      <c r="O266" s="118">
        <f>VLOOKUP(M266,'Dados StatusInvest'!$A:$Z,18,0)/100</f>
        <v>-1.1163</v>
      </c>
      <c r="P266" s="119" t="str">
        <f t="shared" si="5"/>
        <v>#N/A</v>
      </c>
      <c r="Q266" s="120">
        <f>IF(ISERROR(1/VLOOKUP(M266,Capa!A:AH,6,0)),0,1/VLOOKUP(M266,Capa!A:AH,6,0))</f>
        <v>0</v>
      </c>
      <c r="R266" s="121">
        <f t="shared" si="6"/>
        <v>306.000306</v>
      </c>
      <c r="S266" s="122" t="str">
        <f t="shared" si="7"/>
        <v>#N/A</v>
      </c>
    </row>
    <row r="267">
      <c r="A267" s="123"/>
      <c r="B267" s="110" t="s">
        <v>65</v>
      </c>
      <c r="C267" s="111">
        <f>VLOOKUP(B267,'Dados StatusInvest'!$A:$Z,26,0)</f>
        <v>270396</v>
      </c>
      <c r="D267" s="112">
        <f>VLOOKUP(B267,'Dados StatusInvest'!$A:$Z,20,0)/100</f>
        <v>0.0782</v>
      </c>
      <c r="E267" s="87" t="str">
        <f t="shared" si="1"/>
        <v>#N/A</v>
      </c>
      <c r="F267" s="113">
        <f>IF(ISERROR(1/VLOOKUP(B267,Capa!A:AH,13,0)),0,1/VLOOKUP(B267,Capa!A:AH,13,0))</f>
        <v>11.38952164</v>
      </c>
      <c r="G267" s="114">
        <f t="shared" si="2"/>
        <v>69.000069</v>
      </c>
      <c r="H267" s="115" t="str">
        <f t="shared" si="3"/>
        <v>#N/A</v>
      </c>
      <c r="M267" s="110" t="s">
        <v>65</v>
      </c>
      <c r="N267" s="111">
        <f>VLOOKUP(M267,'Dados StatusInvest'!$A:$Z,26,0)</f>
        <v>270396</v>
      </c>
      <c r="O267" s="118">
        <f>VLOOKUP(M267,'Dados StatusInvest'!$A:$Z,18,0)/100</f>
        <v>0.0869</v>
      </c>
      <c r="P267" s="119" t="str">
        <f t="shared" si="5"/>
        <v>#N/A</v>
      </c>
      <c r="Q267" s="120">
        <f>IF(ISERROR(1/VLOOKUP(M267,Capa!A:AH,6,0)),0,1/VLOOKUP(M267,Capa!A:AH,6,0))</f>
        <v>0.08097165992</v>
      </c>
      <c r="R267" s="121">
        <f t="shared" si="6"/>
        <v>137.000137</v>
      </c>
      <c r="S267" s="122" t="str">
        <f t="shared" si="7"/>
        <v>#N/A</v>
      </c>
    </row>
    <row r="268">
      <c r="A268" s="123"/>
      <c r="B268" s="110" t="s">
        <v>335</v>
      </c>
      <c r="C268" s="111">
        <f>VLOOKUP(B268,'Dados StatusInvest'!$A:$Z,26,0)</f>
        <v>24048.1</v>
      </c>
      <c r="D268" s="112">
        <f>VLOOKUP(B268,'Dados StatusInvest'!$A:$Z,20,0)/100</f>
        <v>0.1011</v>
      </c>
      <c r="E268" s="87" t="str">
        <f t="shared" si="1"/>
        <v>#N/A</v>
      </c>
      <c r="F268" s="113">
        <f>IF(ISERROR(1/VLOOKUP(B268,Capa!A:AH,13,0)),0,1/VLOOKUP(B268,Capa!A:AH,13,0))</f>
        <v>2.944640754</v>
      </c>
      <c r="G268" s="114">
        <f t="shared" si="2"/>
        <v>205.000205</v>
      </c>
      <c r="H268" s="115" t="str">
        <f t="shared" si="3"/>
        <v>#N/A</v>
      </c>
      <c r="M268" s="110" t="s">
        <v>335</v>
      </c>
      <c r="N268" s="111">
        <f>VLOOKUP(M268,'Dados StatusInvest'!$A:$Z,26,0)</f>
        <v>24048.1</v>
      </c>
      <c r="O268" s="118">
        <f>VLOOKUP(M268,'Dados StatusInvest'!$A:$Z,18,0)/100</f>
        <v>0.1412</v>
      </c>
      <c r="P268" s="119" t="str">
        <f t="shared" si="5"/>
        <v>#N/A</v>
      </c>
      <c r="Q268" s="120">
        <f>IF(ISERROR(1/VLOOKUP(M268,Capa!A:AH,6,0)),0,1/VLOOKUP(M268,Capa!A:AH,6,0))</f>
        <v>0.02844950213</v>
      </c>
      <c r="R268" s="121">
        <f t="shared" si="6"/>
        <v>227.000227</v>
      </c>
      <c r="S268" s="122" t="str">
        <f t="shared" si="7"/>
        <v>#N/A</v>
      </c>
    </row>
    <row r="269">
      <c r="A269" s="123"/>
      <c r="B269" s="110" t="s">
        <v>368</v>
      </c>
      <c r="C269" s="111">
        <f>VLOOKUP(B269,'Dados StatusInvest'!$A:$Z,26,0)</f>
        <v>0</v>
      </c>
      <c r="D269" s="112">
        <f>VLOOKUP(B269,'Dados StatusInvest'!$A:$Z,20,0)/100</f>
        <v>0</v>
      </c>
      <c r="E269" s="87" t="str">
        <f t="shared" si="1"/>
        <v>#N/A</v>
      </c>
      <c r="F269" s="113">
        <f>IF(ISERROR(1/VLOOKUP(B269,Capa!A:AH,13,0)),0,1/VLOOKUP(B269,Capa!A:AH,13,0))</f>
        <v>0</v>
      </c>
      <c r="G269" s="114">
        <f t="shared" si="2"/>
        <v>246.000246</v>
      </c>
      <c r="H269" s="115" t="str">
        <f t="shared" si="3"/>
        <v>#N/A</v>
      </c>
      <c r="M269" s="110" t="s">
        <v>368</v>
      </c>
      <c r="N269" s="111">
        <f>VLOOKUP(M269,'Dados StatusInvest'!$A:$Z,26,0)</f>
        <v>0</v>
      </c>
      <c r="O269" s="118">
        <f>VLOOKUP(M269,'Dados StatusInvest'!$A:$Z,18,0)/100</f>
        <v>-0.9438</v>
      </c>
      <c r="P269" s="119" t="str">
        <f t="shared" si="5"/>
        <v>#N/A</v>
      </c>
      <c r="Q269" s="120">
        <f>IF(ISERROR(1/VLOOKUP(M269,Capa!A:AH,6,0)),0,1/VLOOKUP(M269,Capa!A:AH,6,0))</f>
        <v>0</v>
      </c>
      <c r="R269" s="121">
        <f t="shared" si="6"/>
        <v>306.000306</v>
      </c>
      <c r="S269" s="122" t="str">
        <f t="shared" si="7"/>
        <v>#N/A</v>
      </c>
    </row>
    <row r="270">
      <c r="A270" s="123"/>
      <c r="B270" s="110" t="s">
        <v>378</v>
      </c>
      <c r="C270" s="111">
        <f>VLOOKUP(B270,'Dados StatusInvest'!$A:$Z,26,0)</f>
        <v>62412.29</v>
      </c>
      <c r="D270" s="112">
        <f>VLOOKUP(B270,'Dados StatusInvest'!$A:$Z,20,0)/100</f>
        <v>0.3153</v>
      </c>
      <c r="E270" s="87" t="str">
        <f t="shared" si="1"/>
        <v>#N/A</v>
      </c>
      <c r="F270" s="113">
        <f>IF(ISERROR(1/VLOOKUP(B270,Capa!A:AH,13,0)),0,1/VLOOKUP(B270,Capa!A:AH,13,0))</f>
        <v>-0.01503535564</v>
      </c>
      <c r="G270" s="114">
        <f t="shared" si="2"/>
        <v>389.000389</v>
      </c>
      <c r="H270" s="115" t="str">
        <f t="shared" si="3"/>
        <v>#N/A</v>
      </c>
      <c r="M270" s="110" t="s">
        <v>378</v>
      </c>
      <c r="N270" s="111">
        <f>VLOOKUP(M270,'Dados StatusInvest'!$A:$Z,26,0)</f>
        <v>62412.29</v>
      </c>
      <c r="O270" s="118">
        <f>VLOOKUP(M270,'Dados StatusInvest'!$A:$Z,18,0)/100</f>
        <v>-0.2384</v>
      </c>
      <c r="P270" s="119" t="str">
        <f t="shared" si="5"/>
        <v>#N/A</v>
      </c>
      <c r="Q270" s="120">
        <f>IF(ISERROR(1/VLOOKUP(M270,Capa!A:AH,6,0)),0,1/VLOOKUP(M270,Capa!A:AH,6,0))</f>
        <v>0.8695652174</v>
      </c>
      <c r="R270" s="121">
        <f t="shared" si="6"/>
        <v>11.000011</v>
      </c>
      <c r="S270" s="122" t="str">
        <f t="shared" si="7"/>
        <v>#N/A</v>
      </c>
    </row>
    <row r="271">
      <c r="A271" s="123"/>
      <c r="B271" s="110" t="s">
        <v>102</v>
      </c>
      <c r="C271" s="111">
        <f>VLOOKUP(B271,'Dados StatusInvest'!$A:$Z,26,0)</f>
        <v>413630.1</v>
      </c>
      <c r="D271" s="112">
        <f>VLOOKUP(B271,'Dados StatusInvest'!$A:$Z,20,0)/100</f>
        <v>0</v>
      </c>
      <c r="E271" s="87" t="str">
        <f t="shared" si="1"/>
        <v>#N/A</v>
      </c>
      <c r="F271" s="113">
        <f>IF(ISERROR(1/VLOOKUP(B271,Capa!A:AH,13,0)),0,1/VLOOKUP(B271,Capa!A:AH,13,0))</f>
        <v>5.358260477</v>
      </c>
      <c r="G271" s="114">
        <f t="shared" si="2"/>
        <v>148.000148</v>
      </c>
      <c r="H271" s="115" t="str">
        <f t="shared" si="3"/>
        <v>#N/A</v>
      </c>
      <c r="M271" s="110" t="s">
        <v>102</v>
      </c>
      <c r="N271" s="111">
        <f>VLOOKUP(M271,'Dados StatusInvest'!$A:$Z,26,0)</f>
        <v>413630.1</v>
      </c>
      <c r="O271" s="118">
        <f>VLOOKUP(M271,'Dados StatusInvest'!$A:$Z,18,0)/100</f>
        <v>0.1474</v>
      </c>
      <c r="P271" s="119" t="str">
        <f t="shared" si="5"/>
        <v>#N/A</v>
      </c>
      <c r="Q271" s="120">
        <f>IF(ISERROR(1/VLOOKUP(M271,Capa!A:AH,6,0)),0,1/VLOOKUP(M271,Capa!A:AH,6,0))</f>
        <v>0.01130071194</v>
      </c>
      <c r="R271" s="121">
        <f t="shared" si="6"/>
        <v>279.000279</v>
      </c>
      <c r="S271" s="122" t="str">
        <f t="shared" si="7"/>
        <v>#N/A</v>
      </c>
    </row>
    <row r="272">
      <c r="A272" s="123"/>
      <c r="B272" s="110" t="s">
        <v>278</v>
      </c>
      <c r="C272" s="111">
        <f>VLOOKUP(B272,'Dados StatusInvest'!$A:$Z,26,0)</f>
        <v>0</v>
      </c>
      <c r="D272" s="112">
        <f>VLOOKUP(B272,'Dados StatusInvest'!$A:$Z,20,0)/100</f>
        <v>0.1174</v>
      </c>
      <c r="E272" s="87" t="str">
        <f t="shared" si="1"/>
        <v>#N/A</v>
      </c>
      <c r="F272" s="113">
        <f>IF(ISERROR(1/VLOOKUP(B272,Capa!A:AH,13,0)),0,1/VLOOKUP(B272,Capa!A:AH,13,0))</f>
        <v>0</v>
      </c>
      <c r="G272" s="114">
        <f t="shared" si="2"/>
        <v>246.000246</v>
      </c>
      <c r="H272" s="115" t="str">
        <f t="shared" si="3"/>
        <v>#N/A</v>
      </c>
      <c r="M272" s="110" t="s">
        <v>278</v>
      </c>
      <c r="N272" s="111">
        <f>VLOOKUP(M272,'Dados StatusInvest'!$A:$Z,26,0)</f>
        <v>0</v>
      </c>
      <c r="O272" s="118">
        <f>VLOOKUP(M272,'Dados StatusInvest'!$A:$Z,18,0)/100</f>
        <v>0.1746</v>
      </c>
      <c r="P272" s="119" t="str">
        <f t="shared" si="5"/>
        <v>#N/A</v>
      </c>
      <c r="Q272" s="120">
        <f>IF(ISERROR(1/VLOOKUP(M272,Capa!A:AH,6,0)),0,1/VLOOKUP(M272,Capa!A:AH,6,0))</f>
        <v>0</v>
      </c>
      <c r="R272" s="121">
        <f t="shared" si="6"/>
        <v>306.000306</v>
      </c>
      <c r="S272" s="122" t="str">
        <f t="shared" si="7"/>
        <v>#N/A</v>
      </c>
    </row>
    <row r="273">
      <c r="A273" s="123"/>
      <c r="B273" s="110" t="s">
        <v>1720</v>
      </c>
      <c r="C273" s="111" t="str">
        <f>VLOOKUP(B273,'Dados StatusInvest'!$A:$Z,26,0)</f>
        <v>#N/A</v>
      </c>
      <c r="D273" s="112" t="str">
        <f>VLOOKUP(B273,'Dados StatusInvest'!$A:$Z,20,0)/100</f>
        <v>#N/A</v>
      </c>
      <c r="E273" s="87" t="str">
        <f t="shared" si="1"/>
        <v>#N/A</v>
      </c>
      <c r="F273" s="113">
        <f>IF(ISERROR(1/VLOOKUP(B273,Capa!A:AH,13,0)),0,1/VLOOKUP(B273,Capa!A:AH,13,0))</f>
        <v>0</v>
      </c>
      <c r="G273" s="114">
        <f t="shared" si="2"/>
        <v>246.000246</v>
      </c>
      <c r="H273" s="115" t="str">
        <f t="shared" si="3"/>
        <v>#N/A</v>
      </c>
      <c r="M273" s="110" t="s">
        <v>1720</v>
      </c>
      <c r="N273" s="111" t="str">
        <f>VLOOKUP(M273,'Dados StatusInvest'!$A:$Z,26,0)</f>
        <v>#N/A</v>
      </c>
      <c r="O273" s="118" t="str">
        <f>VLOOKUP(M273,'Dados StatusInvest'!$A:$Z,18,0)/100</f>
        <v>#N/A</v>
      </c>
      <c r="P273" s="119" t="str">
        <f t="shared" si="5"/>
        <v>#N/A</v>
      </c>
      <c r="Q273" s="120">
        <f>IF(ISERROR(1/VLOOKUP(M273,Capa!A:AH,6,0)),0,1/VLOOKUP(M273,Capa!A:AH,6,0))</f>
        <v>0</v>
      </c>
      <c r="R273" s="121">
        <f t="shared" si="6"/>
        <v>306.000306</v>
      </c>
      <c r="S273" s="122" t="str">
        <f t="shared" si="7"/>
        <v>#N/A</v>
      </c>
    </row>
    <row r="274">
      <c r="A274" s="123"/>
      <c r="B274" s="110" t="s">
        <v>97</v>
      </c>
      <c r="C274" s="111">
        <f>VLOOKUP(B274,'Dados StatusInvest'!$A:$Z,26,0)</f>
        <v>16499</v>
      </c>
      <c r="D274" s="112">
        <f>VLOOKUP(B274,'Dados StatusInvest'!$A:$Z,20,0)/100</f>
        <v>-0.0974</v>
      </c>
      <c r="E274" s="87" t="str">
        <f t="shared" si="1"/>
        <v>#N/A</v>
      </c>
      <c r="F274" s="113">
        <f>IF(ISERROR(1/VLOOKUP(B274,Capa!A:AH,13,0)),0,1/VLOOKUP(B274,Capa!A:AH,13,0))</f>
        <v>0</v>
      </c>
      <c r="G274" s="114">
        <f t="shared" si="2"/>
        <v>246.000246</v>
      </c>
      <c r="H274" s="115" t="str">
        <f t="shared" si="3"/>
        <v>#N/A</v>
      </c>
      <c r="M274" s="110" t="s">
        <v>97</v>
      </c>
      <c r="N274" s="111">
        <f>VLOOKUP(M274,'Dados StatusInvest'!$A:$Z,26,0)</f>
        <v>16499</v>
      </c>
      <c r="O274" s="118">
        <f>VLOOKUP(M274,'Dados StatusInvest'!$A:$Z,18,0)/100</f>
        <v>-0.8207</v>
      </c>
      <c r="P274" s="119" t="str">
        <f t="shared" si="5"/>
        <v>#N/A</v>
      </c>
      <c r="Q274" s="120">
        <f>IF(ISERROR(1/VLOOKUP(M274,Capa!A:AH,6,0)),0,1/VLOOKUP(M274,Capa!A:AH,6,0))</f>
        <v>0</v>
      </c>
      <c r="R274" s="121">
        <f t="shared" si="6"/>
        <v>306.000306</v>
      </c>
      <c r="S274" s="122" t="str">
        <f t="shared" si="7"/>
        <v>#N/A</v>
      </c>
    </row>
    <row r="275">
      <c r="A275" s="123"/>
      <c r="B275" s="110" t="s">
        <v>554</v>
      </c>
      <c r="C275" s="111">
        <f>VLOOKUP(B275,'Dados StatusInvest'!$A:$Z,26,0)</f>
        <v>9988.85</v>
      </c>
      <c r="D275" s="112">
        <f>VLOOKUP(B275,'Dados StatusInvest'!$A:$Z,20,0)/100</f>
        <v>0.2436</v>
      </c>
      <c r="E275" s="87" t="str">
        <f t="shared" si="1"/>
        <v>#N/A</v>
      </c>
      <c r="F275" s="113">
        <f>IF(ISERROR(1/VLOOKUP(B275,Capa!A:AH,13,0)),0,1/VLOOKUP(B275,Capa!A:AH,13,0))</f>
        <v>-4.770992366</v>
      </c>
      <c r="G275" s="114">
        <f t="shared" si="2"/>
        <v>414.000414</v>
      </c>
      <c r="H275" s="115" t="str">
        <f t="shared" si="3"/>
        <v>#N/A</v>
      </c>
      <c r="M275" s="110" t="s">
        <v>554</v>
      </c>
      <c r="N275" s="111">
        <f>VLOOKUP(M275,'Dados StatusInvest'!$A:$Z,26,0)</f>
        <v>9988.85</v>
      </c>
      <c r="O275" s="118">
        <f>VLOOKUP(M275,'Dados StatusInvest'!$A:$Z,18,0)/100</f>
        <v>-0.2232</v>
      </c>
      <c r="P275" s="119" t="str">
        <f t="shared" si="5"/>
        <v>#N/A</v>
      </c>
      <c r="Q275" s="120">
        <f>IF(ISERROR(1/VLOOKUP(M275,Capa!A:AH,6,0)),0,1/VLOOKUP(M275,Capa!A:AH,6,0))</f>
        <v>0.4385964912</v>
      </c>
      <c r="R275" s="121">
        <f t="shared" si="6"/>
        <v>28.000028</v>
      </c>
      <c r="S275" s="122" t="str">
        <f t="shared" si="7"/>
        <v>#N/A</v>
      </c>
    </row>
    <row r="276">
      <c r="A276" s="123"/>
      <c r="B276" s="110" t="s">
        <v>637</v>
      </c>
      <c r="C276" s="111">
        <f>VLOOKUP(B276,'Dados StatusInvest'!$A:$Z,26,0)</f>
        <v>18847.13</v>
      </c>
      <c r="D276" s="112">
        <f>VLOOKUP(B276,'Dados StatusInvest'!$A:$Z,20,0)/100</f>
        <v>0.1212</v>
      </c>
      <c r="E276" s="87" t="str">
        <f t="shared" si="1"/>
        <v>#N/A</v>
      </c>
      <c r="F276" s="113">
        <f>IF(ISERROR(1/VLOOKUP(B276,Capa!A:AH,13,0)),0,1/VLOOKUP(B276,Capa!A:AH,13,0))</f>
        <v>5.055611729</v>
      </c>
      <c r="G276" s="114">
        <f t="shared" si="2"/>
        <v>159.000159</v>
      </c>
      <c r="H276" s="115" t="str">
        <f t="shared" si="3"/>
        <v>#N/A</v>
      </c>
      <c r="M276" s="110" t="s">
        <v>637</v>
      </c>
      <c r="N276" s="111">
        <f>VLOOKUP(M276,'Dados StatusInvest'!$A:$Z,26,0)</f>
        <v>18847.13</v>
      </c>
      <c r="O276" s="118">
        <f>VLOOKUP(M276,'Dados StatusInvest'!$A:$Z,18,0)/100</f>
        <v>0.3182</v>
      </c>
      <c r="P276" s="119" t="str">
        <f t="shared" si="5"/>
        <v>#N/A</v>
      </c>
      <c r="Q276" s="120">
        <f>IF(ISERROR(1/VLOOKUP(M276,Capa!A:AH,6,0)),0,1/VLOOKUP(M276,Capa!A:AH,6,0))</f>
        <v>0.01449275362</v>
      </c>
      <c r="R276" s="121">
        <f t="shared" si="6"/>
        <v>273.000273</v>
      </c>
      <c r="S276" s="122" t="str">
        <f t="shared" si="7"/>
        <v>#N/A</v>
      </c>
    </row>
    <row r="277">
      <c r="A277" s="123"/>
      <c r="B277" s="110" t="s">
        <v>294</v>
      </c>
      <c r="C277" s="111">
        <f>VLOOKUP(B277,'Dados StatusInvest'!$A:$Z,26,0)</f>
        <v>78476.24</v>
      </c>
      <c r="D277" s="112">
        <f>VLOOKUP(B277,'Dados StatusInvest'!$A:$Z,20,0)/100</f>
        <v>0.0976</v>
      </c>
      <c r="E277" s="87" t="str">
        <f t="shared" si="1"/>
        <v>#N/A</v>
      </c>
      <c r="F277" s="113">
        <f>IF(ISERROR(1/VLOOKUP(B277,Capa!A:AH,13,0)),0,1/VLOOKUP(B277,Capa!A:AH,13,0))</f>
        <v>5.440473058</v>
      </c>
      <c r="G277" s="114">
        <f t="shared" si="2"/>
        <v>146.000146</v>
      </c>
      <c r="H277" s="115" t="str">
        <f t="shared" si="3"/>
        <v>#N/A</v>
      </c>
      <c r="M277" s="110" t="s">
        <v>294</v>
      </c>
      <c r="N277" s="111">
        <f>VLOOKUP(M277,'Dados StatusInvest'!$A:$Z,26,0)</f>
        <v>78476.24</v>
      </c>
      <c r="O277" s="118">
        <f>VLOOKUP(M277,'Dados StatusInvest'!$A:$Z,18,0)/100</f>
        <v>0.1786</v>
      </c>
      <c r="P277" s="119" t="str">
        <f t="shared" si="5"/>
        <v>#N/A</v>
      </c>
      <c r="Q277" s="120">
        <f>IF(ISERROR(1/VLOOKUP(M277,Capa!A:AH,6,0)),0,1/VLOOKUP(M277,Capa!A:AH,6,0))</f>
        <v>0.07942811755</v>
      </c>
      <c r="R277" s="121">
        <f t="shared" si="6"/>
        <v>138.000138</v>
      </c>
      <c r="S277" s="122" t="str">
        <f t="shared" si="7"/>
        <v>#N/A</v>
      </c>
    </row>
    <row r="278">
      <c r="A278" s="123"/>
      <c r="B278" s="110" t="s">
        <v>491</v>
      </c>
      <c r="C278" s="111">
        <f>VLOOKUP(B278,'Dados StatusInvest'!$A:$Z,26,0)</f>
        <v>5901.08</v>
      </c>
      <c r="D278" s="112">
        <f>VLOOKUP(B278,'Dados StatusInvest'!$A:$Z,20,0)/100</f>
        <v>0.0509</v>
      </c>
      <c r="E278" s="87" t="str">
        <f t="shared" si="1"/>
        <v>#N/A</v>
      </c>
      <c r="F278" s="113">
        <f>IF(ISERROR(1/VLOOKUP(B278,Capa!A:AH,13,0)),0,1/VLOOKUP(B278,Capa!A:AH,13,0))</f>
        <v>23.31002331</v>
      </c>
      <c r="G278" s="114">
        <f t="shared" si="2"/>
        <v>28.000028</v>
      </c>
      <c r="H278" s="115" t="str">
        <f t="shared" si="3"/>
        <v>#N/A</v>
      </c>
      <c r="M278" s="110" t="s">
        <v>491</v>
      </c>
      <c r="N278" s="111">
        <f>VLOOKUP(M278,'Dados StatusInvest'!$A:$Z,26,0)</f>
        <v>5901.08</v>
      </c>
      <c r="O278" s="118">
        <f>VLOOKUP(M278,'Dados StatusInvest'!$A:$Z,18,0)/100</f>
        <v>0.0569</v>
      </c>
      <c r="P278" s="119" t="str">
        <f t="shared" si="5"/>
        <v>#N/A</v>
      </c>
      <c r="Q278" s="120">
        <f>IF(ISERROR(1/VLOOKUP(M278,Capa!A:AH,6,0)),0,1/VLOOKUP(M278,Capa!A:AH,6,0))</f>
        <v>0.02803476311</v>
      </c>
      <c r="R278" s="121">
        <f t="shared" si="6"/>
        <v>230.00023</v>
      </c>
      <c r="S278" s="122" t="str">
        <f t="shared" si="7"/>
        <v>#N/A</v>
      </c>
    </row>
    <row r="279">
      <c r="A279" s="123"/>
      <c r="B279" s="110" t="s">
        <v>295</v>
      </c>
      <c r="C279" s="111">
        <f>VLOOKUP(B279,'Dados StatusInvest'!$A:$Z,26,0)</f>
        <v>109797.6</v>
      </c>
      <c r="D279" s="112">
        <f>VLOOKUP(B279,'Dados StatusInvest'!$A:$Z,20,0)/100</f>
        <v>0.0976</v>
      </c>
      <c r="E279" s="87" t="str">
        <f t="shared" si="1"/>
        <v>#N/A</v>
      </c>
      <c r="F279" s="113">
        <f>IF(ISERROR(1/VLOOKUP(B279,Capa!A:AH,13,0)),0,1/VLOOKUP(B279,Capa!A:AH,13,0))</f>
        <v>5.349196188</v>
      </c>
      <c r="G279" s="114">
        <f t="shared" si="2"/>
        <v>149.000149</v>
      </c>
      <c r="H279" s="115" t="str">
        <f t="shared" si="3"/>
        <v>#N/A</v>
      </c>
      <c r="M279" s="110" t="s">
        <v>295</v>
      </c>
      <c r="N279" s="111">
        <f>VLOOKUP(M279,'Dados StatusInvest'!$A:$Z,26,0)</f>
        <v>109797.6</v>
      </c>
      <c r="O279" s="118">
        <f>VLOOKUP(M279,'Dados StatusInvest'!$A:$Z,18,0)/100</f>
        <v>0.1786</v>
      </c>
      <c r="P279" s="119" t="str">
        <f t="shared" si="5"/>
        <v>#N/A</v>
      </c>
      <c r="Q279" s="120">
        <f>IF(ISERROR(1/VLOOKUP(M279,Capa!A:AH,6,0)),0,1/VLOOKUP(M279,Capa!A:AH,6,0))</f>
        <v>0.1029866117</v>
      </c>
      <c r="R279" s="121">
        <f t="shared" si="6"/>
        <v>117.000117</v>
      </c>
      <c r="S279" s="122" t="str">
        <f t="shared" si="7"/>
        <v>#N/A</v>
      </c>
    </row>
    <row r="280">
      <c r="A280" s="123"/>
      <c r="B280" s="110" t="s">
        <v>371</v>
      </c>
      <c r="C280" s="111">
        <f>VLOOKUP(B280,'Dados StatusInvest'!$A:$Z,26,0)</f>
        <v>0</v>
      </c>
      <c r="D280" s="112">
        <f>VLOOKUP(B280,'Dados StatusInvest'!$A:$Z,20,0)/100</f>
        <v>-1.4675</v>
      </c>
      <c r="E280" s="87" t="str">
        <f t="shared" si="1"/>
        <v>#N/A</v>
      </c>
      <c r="F280" s="113">
        <f>IF(ISERROR(1/VLOOKUP(B280,Capa!A:AH,13,0)),0,1/VLOOKUP(B280,Capa!A:AH,13,0))</f>
        <v>0</v>
      </c>
      <c r="G280" s="114">
        <f t="shared" si="2"/>
        <v>246.000246</v>
      </c>
      <c r="H280" s="115" t="str">
        <f t="shared" si="3"/>
        <v>#N/A</v>
      </c>
      <c r="M280" s="110" t="s">
        <v>371</v>
      </c>
      <c r="N280" s="111">
        <f>VLOOKUP(M280,'Dados StatusInvest'!$A:$Z,26,0)</f>
        <v>0</v>
      </c>
      <c r="O280" s="118">
        <f>VLOOKUP(M280,'Dados StatusInvest'!$A:$Z,18,0)/100</f>
        <v>-0.601</v>
      </c>
      <c r="P280" s="119" t="str">
        <f t="shared" si="5"/>
        <v>#N/A</v>
      </c>
      <c r="Q280" s="120">
        <f>IF(ISERROR(1/VLOOKUP(M280,Capa!A:AH,6,0)),0,1/VLOOKUP(M280,Capa!A:AH,6,0))</f>
        <v>0</v>
      </c>
      <c r="R280" s="121">
        <f t="shared" si="6"/>
        <v>306.000306</v>
      </c>
      <c r="S280" s="122" t="str">
        <f t="shared" si="7"/>
        <v>#N/A</v>
      </c>
    </row>
    <row r="281">
      <c r="A281" s="123"/>
      <c r="B281" s="110" t="s">
        <v>329</v>
      </c>
      <c r="C281" s="111">
        <f>VLOOKUP(B281,'Dados StatusInvest'!$A:$Z,26,0)</f>
        <v>9108.25</v>
      </c>
      <c r="D281" s="112">
        <f>VLOOKUP(B281,'Dados StatusInvest'!$A:$Z,20,0)/100</f>
        <v>0.1309</v>
      </c>
      <c r="E281" s="87" t="str">
        <f t="shared" si="1"/>
        <v>#N/A</v>
      </c>
      <c r="F281" s="113">
        <f>IF(ISERROR(1/VLOOKUP(B281,Capa!A:AH,13,0)),0,1/VLOOKUP(B281,Capa!A:AH,13,0))</f>
        <v>12.83697047</v>
      </c>
      <c r="G281" s="114">
        <f t="shared" si="2"/>
        <v>53.000053</v>
      </c>
      <c r="H281" s="115" t="str">
        <f t="shared" si="3"/>
        <v>#N/A</v>
      </c>
      <c r="M281" s="110" t="s">
        <v>329</v>
      </c>
      <c r="N281" s="111">
        <f>VLOOKUP(M281,'Dados StatusInvest'!$A:$Z,26,0)</f>
        <v>9108.25</v>
      </c>
      <c r="O281" s="118">
        <f>VLOOKUP(M281,'Dados StatusInvest'!$A:$Z,18,0)/100</f>
        <v>0.0663</v>
      </c>
      <c r="P281" s="119" t="str">
        <f t="shared" si="5"/>
        <v>#N/A</v>
      </c>
      <c r="Q281" s="120">
        <f>IF(ISERROR(1/VLOOKUP(M281,Capa!A:AH,6,0)),0,1/VLOOKUP(M281,Capa!A:AH,6,0))</f>
        <v>0.005876131155</v>
      </c>
      <c r="R281" s="121">
        <f t="shared" si="6"/>
        <v>288.000288</v>
      </c>
      <c r="S281" s="122" t="str">
        <f t="shared" si="7"/>
        <v>#N/A</v>
      </c>
    </row>
    <row r="282">
      <c r="A282" s="123"/>
      <c r="B282" s="110" t="s">
        <v>489</v>
      </c>
      <c r="C282" s="111">
        <f>VLOOKUP(B282,'Dados StatusInvest'!$A:$Z,26,0)</f>
        <v>10446.11</v>
      </c>
      <c r="D282" s="112">
        <f>VLOOKUP(B282,'Dados StatusInvest'!$A:$Z,20,0)/100</f>
        <v>0.9128</v>
      </c>
      <c r="E282" s="87" t="str">
        <f t="shared" si="1"/>
        <v>#N/A</v>
      </c>
      <c r="F282" s="113">
        <f>IF(ISERROR(1/VLOOKUP(B282,Capa!A:AH,13,0)),0,1/VLOOKUP(B282,Capa!A:AH,13,0))</f>
        <v>-0.08187527121</v>
      </c>
      <c r="G282" s="114">
        <f t="shared" si="2"/>
        <v>391.000391</v>
      </c>
      <c r="H282" s="115" t="str">
        <f t="shared" si="3"/>
        <v>#N/A</v>
      </c>
      <c r="M282" s="110" t="s">
        <v>489</v>
      </c>
      <c r="N282" s="111">
        <f>VLOOKUP(M282,'Dados StatusInvest'!$A:$Z,26,0)</f>
        <v>10446.11</v>
      </c>
      <c r="O282" s="118">
        <f>VLOOKUP(M282,'Dados StatusInvest'!$A:$Z,18,0)/100</f>
        <v>-0.1592</v>
      </c>
      <c r="P282" s="119" t="str">
        <f t="shared" si="5"/>
        <v>#N/A</v>
      </c>
      <c r="Q282" s="120">
        <f>IF(ISERROR(1/VLOOKUP(M282,Capa!A:AH,6,0)),0,1/VLOOKUP(M282,Capa!A:AH,6,0))</f>
        <v>0.5434782609</v>
      </c>
      <c r="R282" s="121">
        <f t="shared" si="6"/>
        <v>25.000025</v>
      </c>
      <c r="S282" s="122" t="str">
        <f t="shared" si="7"/>
        <v>#N/A</v>
      </c>
    </row>
    <row r="283">
      <c r="A283" s="123"/>
      <c r="B283" s="110" t="s">
        <v>440</v>
      </c>
      <c r="C283" s="111">
        <f>VLOOKUP(B283,'Dados StatusInvest'!$A:$Z,26,0)</f>
        <v>66141.7</v>
      </c>
      <c r="D283" s="112">
        <f>VLOOKUP(B283,'Dados StatusInvest'!$A:$Z,20,0)/100</f>
        <v>-0.0919</v>
      </c>
      <c r="E283" s="87" t="str">
        <f t="shared" si="1"/>
        <v>#N/A</v>
      </c>
      <c r="F283" s="113">
        <f>IF(ISERROR(1/VLOOKUP(B283,Capa!A:AH,13,0)),0,1/VLOOKUP(B283,Capa!A:AH,13,0))</f>
        <v>0</v>
      </c>
      <c r="G283" s="114">
        <f t="shared" si="2"/>
        <v>246.000246</v>
      </c>
      <c r="H283" s="115" t="str">
        <f t="shared" si="3"/>
        <v>#N/A</v>
      </c>
      <c r="M283" s="110" t="s">
        <v>440</v>
      </c>
      <c r="N283" s="111">
        <f>VLOOKUP(M283,'Dados StatusInvest'!$A:$Z,26,0)</f>
        <v>66141.7</v>
      </c>
      <c r="O283" s="118">
        <f>VLOOKUP(M283,'Dados StatusInvest'!$A:$Z,18,0)/100</f>
        <v>0.0345</v>
      </c>
      <c r="P283" s="119" t="str">
        <f t="shared" si="5"/>
        <v>#N/A</v>
      </c>
      <c r="Q283" s="120">
        <f>IF(ISERROR(1/VLOOKUP(M283,Capa!A:AH,6,0)),0,1/VLOOKUP(M283,Capa!A:AH,6,0))</f>
        <v>0.0163371998</v>
      </c>
      <c r="R283" s="121">
        <f t="shared" si="6"/>
        <v>269.000269</v>
      </c>
      <c r="S283" s="122" t="str">
        <f t="shared" si="7"/>
        <v>#N/A</v>
      </c>
    </row>
    <row r="284">
      <c r="A284" s="123"/>
      <c r="B284" s="110" t="s">
        <v>165</v>
      </c>
      <c r="C284" s="111">
        <f>VLOOKUP(B284,'Dados StatusInvest'!$A:$Z,26,0)</f>
        <v>200454</v>
      </c>
      <c r="D284" s="112">
        <f>VLOOKUP(B284,'Dados StatusInvest'!$A:$Z,20,0)/100</f>
        <v>0</v>
      </c>
      <c r="E284" s="87" t="str">
        <f t="shared" si="1"/>
        <v>#N/A</v>
      </c>
      <c r="F284" s="113">
        <f>IF(ISERROR(1/VLOOKUP(B284,Capa!A:AH,13,0)),0,1/VLOOKUP(B284,Capa!A:AH,13,0))</f>
        <v>12.70381952</v>
      </c>
      <c r="G284" s="114">
        <f t="shared" si="2"/>
        <v>57.000057</v>
      </c>
      <c r="H284" s="115" t="str">
        <f t="shared" si="3"/>
        <v>#N/A</v>
      </c>
      <c r="M284" s="110" t="s">
        <v>165</v>
      </c>
      <c r="N284" s="111">
        <f>VLOOKUP(M284,'Dados StatusInvest'!$A:$Z,26,0)</f>
        <v>200454</v>
      </c>
      <c r="O284" s="118">
        <f>VLOOKUP(M284,'Dados StatusInvest'!$A:$Z,18,0)/100</f>
        <v>0.1145</v>
      </c>
      <c r="P284" s="119" t="str">
        <f t="shared" si="5"/>
        <v>#N/A</v>
      </c>
      <c r="Q284" s="120">
        <f>IF(ISERROR(1/VLOOKUP(M284,Capa!A:AH,6,0)),0,1/VLOOKUP(M284,Capa!A:AH,6,0))</f>
        <v>0.05232862376</v>
      </c>
      <c r="R284" s="121">
        <f t="shared" si="6"/>
        <v>180.00018</v>
      </c>
      <c r="S284" s="122" t="str">
        <f t="shared" si="7"/>
        <v>#N/A</v>
      </c>
    </row>
    <row r="285">
      <c r="A285" s="123"/>
      <c r="B285" s="110" t="s">
        <v>354</v>
      </c>
      <c r="C285" s="111">
        <f>VLOOKUP(B285,'Dados StatusInvest'!$A:$Z,26,0)</f>
        <v>8440.52</v>
      </c>
      <c r="D285" s="112">
        <f>VLOOKUP(B285,'Dados StatusInvest'!$A:$Z,20,0)/100</f>
        <v>0.0729</v>
      </c>
      <c r="E285" s="87" t="str">
        <f t="shared" si="1"/>
        <v>#N/A</v>
      </c>
      <c r="F285" s="113">
        <f>IF(ISERROR(1/VLOOKUP(B285,Capa!A:AH,13,0)),0,1/VLOOKUP(B285,Capa!A:AH,13,0))</f>
        <v>-14.83679525</v>
      </c>
      <c r="G285" s="114">
        <f t="shared" si="2"/>
        <v>419.000419</v>
      </c>
      <c r="H285" s="115" t="str">
        <f t="shared" si="3"/>
        <v>#N/A</v>
      </c>
      <c r="M285" s="110" t="s">
        <v>354</v>
      </c>
      <c r="N285" s="111">
        <f>VLOOKUP(M285,'Dados StatusInvest'!$A:$Z,26,0)</f>
        <v>8440.52</v>
      </c>
      <c r="O285" s="118">
        <f>VLOOKUP(M285,'Dados StatusInvest'!$A:$Z,18,0)/100</f>
        <v>-0.0203</v>
      </c>
      <c r="P285" s="119" t="str">
        <f t="shared" si="5"/>
        <v>#N/A</v>
      </c>
      <c r="Q285" s="120">
        <f>IF(ISERROR(1/VLOOKUP(M285,Capa!A:AH,6,0)),0,1/VLOOKUP(M285,Capa!A:AH,6,0))</f>
        <v>0.7042253521</v>
      </c>
      <c r="R285" s="121">
        <f t="shared" si="6"/>
        <v>19.000019</v>
      </c>
      <c r="S285" s="122" t="str">
        <f t="shared" si="7"/>
        <v>#N/A</v>
      </c>
    </row>
    <row r="286">
      <c r="A286" s="123"/>
      <c r="B286" s="110" t="s">
        <v>1721</v>
      </c>
      <c r="C286" s="111" t="str">
        <f>VLOOKUP(B286,'Dados StatusInvest'!$A:$Z,26,0)</f>
        <v>#N/A</v>
      </c>
      <c r="D286" s="112" t="str">
        <f>VLOOKUP(B286,'Dados StatusInvest'!$A:$Z,20,0)/100</f>
        <v>#N/A</v>
      </c>
      <c r="E286" s="87" t="str">
        <f t="shared" si="1"/>
        <v>#N/A</v>
      </c>
      <c r="F286" s="113">
        <f>IF(ISERROR(1/VLOOKUP(B286,Capa!A:AH,13,0)),0,1/VLOOKUP(B286,Capa!A:AH,13,0))</f>
        <v>0</v>
      </c>
      <c r="G286" s="114">
        <f t="shared" si="2"/>
        <v>246.000246</v>
      </c>
      <c r="H286" s="115" t="str">
        <f t="shared" si="3"/>
        <v>#N/A</v>
      </c>
      <c r="M286" s="110" t="s">
        <v>1721</v>
      </c>
      <c r="N286" s="111" t="str">
        <f>VLOOKUP(M286,'Dados StatusInvest'!$A:$Z,26,0)</f>
        <v>#N/A</v>
      </c>
      <c r="O286" s="118" t="str">
        <f>VLOOKUP(M286,'Dados StatusInvest'!$A:$Z,18,0)/100</f>
        <v>#N/A</v>
      </c>
      <c r="P286" s="119" t="str">
        <f t="shared" si="5"/>
        <v>#N/A</v>
      </c>
      <c r="Q286" s="120">
        <f>IF(ISERROR(1/VLOOKUP(M286,Capa!A:AH,6,0)),0,1/VLOOKUP(M286,Capa!A:AH,6,0))</f>
        <v>0</v>
      </c>
      <c r="R286" s="121">
        <f t="shared" si="6"/>
        <v>306.000306</v>
      </c>
      <c r="S286" s="122" t="str">
        <f t="shared" si="7"/>
        <v>#N/A</v>
      </c>
    </row>
    <row r="287">
      <c r="A287" s="123"/>
      <c r="B287" s="110" t="s">
        <v>206</v>
      </c>
      <c r="C287" s="111">
        <f>VLOOKUP(B287,'Dados StatusInvest'!$A:$Z,26,0)</f>
        <v>50002.95</v>
      </c>
      <c r="D287" s="112">
        <f>VLOOKUP(B287,'Dados StatusInvest'!$A:$Z,20,0)/100</f>
        <v>0.0637</v>
      </c>
      <c r="E287" s="87" t="str">
        <f t="shared" si="1"/>
        <v>#N/A</v>
      </c>
      <c r="F287" s="113">
        <f>IF(ISERROR(1/VLOOKUP(B287,Capa!A:AH,13,0)),0,1/VLOOKUP(B287,Capa!A:AH,13,0))</f>
        <v>11.21076233</v>
      </c>
      <c r="G287" s="114">
        <f t="shared" si="2"/>
        <v>73.000073</v>
      </c>
      <c r="H287" s="115" t="str">
        <f t="shared" si="3"/>
        <v>#N/A</v>
      </c>
      <c r="M287" s="110" t="s">
        <v>206</v>
      </c>
      <c r="N287" s="111">
        <f>VLOOKUP(M287,'Dados StatusInvest'!$A:$Z,26,0)</f>
        <v>50002.95</v>
      </c>
      <c r="O287" s="118">
        <f>VLOOKUP(M287,'Dados StatusInvest'!$A:$Z,18,0)/100</f>
        <v>0.1065</v>
      </c>
      <c r="P287" s="119" t="str">
        <f t="shared" si="5"/>
        <v>#N/A</v>
      </c>
      <c r="Q287" s="120">
        <f>IF(ISERROR(1/VLOOKUP(M287,Capa!A:AH,6,0)),0,1/VLOOKUP(M287,Capa!A:AH,6,0))</f>
        <v>0.03636363636</v>
      </c>
      <c r="R287" s="121">
        <f t="shared" si="6"/>
        <v>211.000211</v>
      </c>
      <c r="S287" s="122" t="str">
        <f t="shared" si="7"/>
        <v>#N/A</v>
      </c>
    </row>
    <row r="288">
      <c r="A288" s="123"/>
      <c r="B288" s="110" t="s">
        <v>605</v>
      </c>
      <c r="C288" s="111">
        <f>VLOOKUP(B288,'Dados StatusInvest'!$A:$Z,26,0)</f>
        <v>0</v>
      </c>
      <c r="D288" s="112">
        <f>VLOOKUP(B288,'Dados StatusInvest'!$A:$Z,20,0)/100</f>
        <v>-0.0355</v>
      </c>
      <c r="E288" s="87" t="str">
        <f t="shared" si="1"/>
        <v>#N/A</v>
      </c>
      <c r="F288" s="113">
        <f>IF(ISERROR(1/VLOOKUP(B288,Capa!A:AH,13,0)),0,1/VLOOKUP(B288,Capa!A:AH,13,0))</f>
        <v>0</v>
      </c>
      <c r="G288" s="114">
        <f t="shared" si="2"/>
        <v>246.000246</v>
      </c>
      <c r="H288" s="115" t="str">
        <f t="shared" si="3"/>
        <v>#N/A</v>
      </c>
      <c r="M288" s="110" t="s">
        <v>605</v>
      </c>
      <c r="N288" s="111">
        <f>VLOOKUP(M288,'Dados StatusInvest'!$A:$Z,26,0)</f>
        <v>0</v>
      </c>
      <c r="O288" s="118">
        <f>VLOOKUP(M288,'Dados StatusInvest'!$A:$Z,18,0)/100</f>
        <v>-1.1163</v>
      </c>
      <c r="P288" s="119" t="str">
        <f t="shared" si="5"/>
        <v>#N/A</v>
      </c>
      <c r="Q288" s="120">
        <f>IF(ISERROR(1/VLOOKUP(M288,Capa!A:AH,6,0)),0,1/VLOOKUP(M288,Capa!A:AH,6,0))</f>
        <v>0</v>
      </c>
      <c r="R288" s="121">
        <f t="shared" si="6"/>
        <v>306.000306</v>
      </c>
      <c r="S288" s="122" t="str">
        <f t="shared" si="7"/>
        <v>#N/A</v>
      </c>
    </row>
    <row r="289">
      <c r="A289" s="123"/>
      <c r="B289" s="110" t="s">
        <v>542</v>
      </c>
      <c r="C289" s="111">
        <f>VLOOKUP(B289,'Dados StatusInvest'!$A:$Z,26,0)</f>
        <v>12953.14</v>
      </c>
      <c r="D289" s="112">
        <f>VLOOKUP(B289,'Dados StatusInvest'!$A:$Z,20,0)/100</f>
        <v>0.1382</v>
      </c>
      <c r="E289" s="87" t="str">
        <f t="shared" si="1"/>
        <v>#N/A</v>
      </c>
      <c r="F289" s="113">
        <f>IF(ISERROR(1/VLOOKUP(B289,Capa!A:AH,13,0)),0,1/VLOOKUP(B289,Capa!A:AH,13,0))</f>
        <v>5.467468562</v>
      </c>
      <c r="G289" s="114">
        <f t="shared" si="2"/>
        <v>143.000143</v>
      </c>
      <c r="H289" s="115" t="str">
        <f t="shared" si="3"/>
        <v>#N/A</v>
      </c>
      <c r="M289" s="110" t="s">
        <v>542</v>
      </c>
      <c r="N289" s="111">
        <f>VLOOKUP(M289,'Dados StatusInvest'!$A:$Z,26,0)</f>
        <v>12953.14</v>
      </c>
      <c r="O289" s="118">
        <f>VLOOKUP(M289,'Dados StatusInvest'!$A:$Z,18,0)/100</f>
        <v>0.3403</v>
      </c>
      <c r="P289" s="119" t="str">
        <f t="shared" si="5"/>
        <v>#N/A</v>
      </c>
      <c r="Q289" s="120">
        <f>IF(ISERROR(1/VLOOKUP(M289,Capa!A:AH,6,0)),0,1/VLOOKUP(M289,Capa!A:AH,6,0))</f>
        <v>0.1594896332</v>
      </c>
      <c r="R289" s="121">
        <f t="shared" si="6"/>
        <v>81.000081</v>
      </c>
      <c r="S289" s="122" t="str">
        <f t="shared" si="7"/>
        <v>#N/A</v>
      </c>
    </row>
    <row r="290">
      <c r="A290" s="123"/>
      <c r="B290" s="110" t="s">
        <v>576</v>
      </c>
      <c r="C290" s="111">
        <f>VLOOKUP(B290,'Dados StatusInvest'!$A:$Z,26,0)</f>
        <v>0</v>
      </c>
      <c r="D290" s="112">
        <f>VLOOKUP(B290,'Dados StatusInvest'!$A:$Z,20,0)/100</f>
        <v>-0.1591</v>
      </c>
      <c r="E290" s="87" t="str">
        <f t="shared" si="1"/>
        <v>#N/A</v>
      </c>
      <c r="F290" s="113">
        <f>IF(ISERROR(1/VLOOKUP(B290,Capa!A:AH,13,0)),0,1/VLOOKUP(B290,Capa!A:AH,13,0))</f>
        <v>0</v>
      </c>
      <c r="G290" s="114">
        <f t="shared" si="2"/>
        <v>246.000246</v>
      </c>
      <c r="H290" s="115" t="str">
        <f t="shared" si="3"/>
        <v>#N/A</v>
      </c>
      <c r="M290" s="110" t="s">
        <v>576</v>
      </c>
      <c r="N290" s="111">
        <f>VLOOKUP(M290,'Dados StatusInvest'!$A:$Z,26,0)</f>
        <v>0</v>
      </c>
      <c r="O290" s="118">
        <f>VLOOKUP(M290,'Dados StatusInvest'!$A:$Z,18,0)/100</f>
        <v>-0.1807</v>
      </c>
      <c r="P290" s="119" t="str">
        <f t="shared" si="5"/>
        <v>#N/A</v>
      </c>
      <c r="Q290" s="120">
        <f>IF(ISERROR(1/VLOOKUP(M290,Capa!A:AH,6,0)),0,1/VLOOKUP(M290,Capa!A:AH,6,0))</f>
        <v>0</v>
      </c>
      <c r="R290" s="121">
        <f t="shared" si="6"/>
        <v>306.000306</v>
      </c>
      <c r="S290" s="122" t="str">
        <f t="shared" si="7"/>
        <v>#N/A</v>
      </c>
    </row>
    <row r="291">
      <c r="A291" s="123"/>
      <c r="B291" s="110" t="s">
        <v>128</v>
      </c>
      <c r="C291" s="111">
        <f>VLOOKUP(B291,'Dados StatusInvest'!$A:$Z,26,0)</f>
        <v>2299</v>
      </c>
      <c r="D291" s="112">
        <f>VLOOKUP(B291,'Dados StatusInvest'!$A:$Z,20,0)/100</f>
        <v>0</v>
      </c>
      <c r="E291" s="87" t="str">
        <f t="shared" si="1"/>
        <v>#N/A</v>
      </c>
      <c r="F291" s="113">
        <f>IF(ISERROR(1/VLOOKUP(B291,Capa!A:AH,13,0)),0,1/VLOOKUP(B291,Capa!A:AH,13,0))</f>
        <v>4</v>
      </c>
      <c r="G291" s="114">
        <f t="shared" si="2"/>
        <v>188.000188</v>
      </c>
      <c r="H291" s="115" t="str">
        <f t="shared" si="3"/>
        <v>#N/A</v>
      </c>
      <c r="M291" s="110" t="s">
        <v>128</v>
      </c>
      <c r="N291" s="111">
        <f>VLOOKUP(M291,'Dados StatusInvest'!$A:$Z,26,0)</f>
        <v>2299</v>
      </c>
      <c r="O291" s="118">
        <f>VLOOKUP(M291,'Dados StatusInvest'!$A:$Z,18,0)/100</f>
        <v>0.0557</v>
      </c>
      <c r="P291" s="119" t="str">
        <f t="shared" si="5"/>
        <v>#N/A</v>
      </c>
      <c r="Q291" s="120">
        <f>IF(ISERROR(1/VLOOKUP(M291,Capa!A:AH,6,0)),0,1/VLOOKUP(M291,Capa!A:AH,6,0))</f>
        <v>0.04349717268</v>
      </c>
      <c r="R291" s="121">
        <f t="shared" si="6"/>
        <v>197.000197</v>
      </c>
      <c r="S291" s="122" t="str">
        <f t="shared" si="7"/>
        <v>#N/A</v>
      </c>
    </row>
    <row r="292">
      <c r="A292" s="123"/>
      <c r="B292" s="110" t="s">
        <v>369</v>
      </c>
      <c r="C292" s="111">
        <f>VLOOKUP(B292,'Dados StatusInvest'!$A:$Z,26,0)</f>
        <v>0</v>
      </c>
      <c r="D292" s="112">
        <f>VLOOKUP(B292,'Dados StatusInvest'!$A:$Z,20,0)/100</f>
        <v>0</v>
      </c>
      <c r="E292" s="87" t="str">
        <f t="shared" si="1"/>
        <v>#N/A</v>
      </c>
      <c r="F292" s="113">
        <f>IF(ISERROR(1/VLOOKUP(B292,Capa!A:AH,13,0)),0,1/VLOOKUP(B292,Capa!A:AH,13,0))</f>
        <v>0</v>
      </c>
      <c r="G292" s="114">
        <f t="shared" si="2"/>
        <v>246.000246</v>
      </c>
      <c r="H292" s="115" t="str">
        <f t="shared" si="3"/>
        <v>#N/A</v>
      </c>
      <c r="M292" s="110" t="s">
        <v>369</v>
      </c>
      <c r="N292" s="111">
        <f>VLOOKUP(M292,'Dados StatusInvest'!$A:$Z,26,0)</f>
        <v>0</v>
      </c>
      <c r="O292" s="118">
        <f>VLOOKUP(M292,'Dados StatusInvest'!$A:$Z,18,0)/100</f>
        <v>-0.9438</v>
      </c>
      <c r="P292" s="119" t="str">
        <f t="shared" si="5"/>
        <v>#N/A</v>
      </c>
      <c r="Q292" s="120">
        <f>IF(ISERROR(1/VLOOKUP(M292,Capa!A:AH,6,0)),0,1/VLOOKUP(M292,Capa!A:AH,6,0))</f>
        <v>0</v>
      </c>
      <c r="R292" s="121">
        <f t="shared" si="6"/>
        <v>306.000306</v>
      </c>
      <c r="S292" s="122" t="str">
        <f t="shared" si="7"/>
        <v>#N/A</v>
      </c>
    </row>
    <row r="293">
      <c r="A293" s="123"/>
      <c r="B293" s="110" t="s">
        <v>279</v>
      </c>
      <c r="C293" s="111">
        <f>VLOOKUP(B293,'Dados StatusInvest'!$A:$Z,26,0)</f>
        <v>0</v>
      </c>
      <c r="D293" s="112">
        <f>VLOOKUP(B293,'Dados StatusInvest'!$A:$Z,20,0)/100</f>
        <v>0.1174</v>
      </c>
      <c r="E293" s="87" t="str">
        <f t="shared" si="1"/>
        <v>#N/A</v>
      </c>
      <c r="F293" s="113">
        <f>IF(ISERROR(1/VLOOKUP(B293,Capa!A:AH,13,0)),0,1/VLOOKUP(B293,Capa!A:AH,13,0))</f>
        <v>0</v>
      </c>
      <c r="G293" s="114">
        <f t="shared" si="2"/>
        <v>246.000246</v>
      </c>
      <c r="H293" s="115" t="str">
        <f t="shared" si="3"/>
        <v>#N/A</v>
      </c>
      <c r="M293" s="110" t="s">
        <v>279</v>
      </c>
      <c r="N293" s="111">
        <f>VLOOKUP(M293,'Dados StatusInvest'!$A:$Z,26,0)</f>
        <v>0</v>
      </c>
      <c r="O293" s="118">
        <f>VLOOKUP(M293,'Dados StatusInvest'!$A:$Z,18,0)/100</f>
        <v>0.1746</v>
      </c>
      <c r="P293" s="119" t="str">
        <f t="shared" si="5"/>
        <v>#N/A</v>
      </c>
      <c r="Q293" s="120">
        <f>IF(ISERROR(1/VLOOKUP(M293,Capa!A:AH,6,0)),0,1/VLOOKUP(M293,Capa!A:AH,6,0))</f>
        <v>0</v>
      </c>
      <c r="R293" s="121">
        <f t="shared" si="6"/>
        <v>306.000306</v>
      </c>
      <c r="S293" s="122" t="str">
        <f t="shared" si="7"/>
        <v>#N/A</v>
      </c>
    </row>
    <row r="294">
      <c r="A294" s="123"/>
      <c r="B294" s="110" t="s">
        <v>377</v>
      </c>
      <c r="C294" s="111">
        <f>VLOOKUP(B294,'Dados StatusInvest'!$A:$Z,26,0)</f>
        <v>180392.2</v>
      </c>
      <c r="D294" s="112">
        <f>VLOOKUP(B294,'Dados StatusInvest'!$A:$Z,20,0)/100</f>
        <v>0.3153</v>
      </c>
      <c r="E294" s="87" t="str">
        <f t="shared" si="1"/>
        <v>#N/A</v>
      </c>
      <c r="F294" s="113">
        <f>IF(ISERROR(1/VLOOKUP(B294,Capa!A:AH,13,0)),0,1/VLOOKUP(B294,Capa!A:AH,13,0))</f>
        <v>-0.01526316406</v>
      </c>
      <c r="G294" s="114">
        <f t="shared" si="2"/>
        <v>390.00039</v>
      </c>
      <c r="H294" s="115" t="str">
        <f t="shared" si="3"/>
        <v>#N/A</v>
      </c>
      <c r="M294" s="110" t="s">
        <v>377</v>
      </c>
      <c r="N294" s="111">
        <f>VLOOKUP(M294,'Dados StatusInvest'!$A:$Z,26,0)</f>
        <v>180392.2</v>
      </c>
      <c r="O294" s="118">
        <f>VLOOKUP(M294,'Dados StatusInvest'!$A:$Z,18,0)/100</f>
        <v>-0.2384</v>
      </c>
      <c r="P294" s="119" t="str">
        <f t="shared" si="5"/>
        <v>#N/A</v>
      </c>
      <c r="Q294" s="120">
        <f>IF(ISERROR(1/VLOOKUP(M294,Capa!A:AH,6,0)),0,1/VLOOKUP(M294,Capa!A:AH,6,0))</f>
        <v>0.7462686567</v>
      </c>
      <c r="R294" s="121">
        <f t="shared" si="6"/>
        <v>18.000018</v>
      </c>
      <c r="S294" s="122" t="str">
        <f t="shared" si="7"/>
        <v>#N/A</v>
      </c>
    </row>
    <row r="295">
      <c r="A295" s="123"/>
      <c r="B295" s="110" t="s">
        <v>125</v>
      </c>
      <c r="C295" s="111">
        <f>VLOOKUP(B295,'Dados StatusInvest'!$A:$Z,26,0)</f>
        <v>169413.8</v>
      </c>
      <c r="D295" s="112">
        <f>VLOOKUP(B295,'Dados StatusInvest'!$A:$Z,20,0)/100</f>
        <v>0</v>
      </c>
      <c r="E295" s="87" t="str">
        <f t="shared" si="1"/>
        <v>#N/A</v>
      </c>
      <c r="F295" s="113">
        <f>IF(ISERROR(1/VLOOKUP(B295,Capa!A:AH,13,0)),0,1/VLOOKUP(B295,Capa!A:AH,13,0))</f>
        <v>12.7709666</v>
      </c>
      <c r="G295" s="114">
        <f t="shared" si="2"/>
        <v>54.000054</v>
      </c>
      <c r="H295" s="115" t="str">
        <f t="shared" si="3"/>
        <v>#N/A</v>
      </c>
      <c r="M295" s="110" t="s">
        <v>125</v>
      </c>
      <c r="N295" s="111">
        <f>VLOOKUP(M295,'Dados StatusInvest'!$A:$Z,26,0)</f>
        <v>169413.8</v>
      </c>
      <c r="O295" s="118">
        <f>VLOOKUP(M295,'Dados StatusInvest'!$A:$Z,18,0)/100</f>
        <v>0.2754</v>
      </c>
      <c r="P295" s="119" t="str">
        <f t="shared" si="5"/>
        <v>#N/A</v>
      </c>
      <c r="Q295" s="120">
        <f>IF(ISERROR(1/VLOOKUP(M295,Capa!A:AH,6,0)),0,1/VLOOKUP(M295,Capa!A:AH,6,0))</f>
        <v>0.01739130435</v>
      </c>
      <c r="R295" s="121">
        <f t="shared" si="6"/>
        <v>266.000266</v>
      </c>
      <c r="S295" s="122" t="str">
        <f t="shared" si="7"/>
        <v>#N/A</v>
      </c>
    </row>
    <row r="296">
      <c r="A296" s="123"/>
      <c r="B296" s="110" t="s">
        <v>597</v>
      </c>
      <c r="C296" s="111">
        <f>VLOOKUP(B296,'Dados StatusInvest'!$A:$Z,26,0)</f>
        <v>0</v>
      </c>
      <c r="D296" s="112">
        <f>VLOOKUP(B296,'Dados StatusInvest'!$A:$Z,20,0)/100</f>
        <v>-0.0949</v>
      </c>
      <c r="E296" s="87" t="str">
        <f t="shared" si="1"/>
        <v>#N/A</v>
      </c>
      <c r="F296" s="113">
        <f>IF(ISERROR(1/VLOOKUP(B296,Capa!A:AH,13,0)),0,1/VLOOKUP(B296,Capa!A:AH,13,0))</f>
        <v>0</v>
      </c>
      <c r="G296" s="114">
        <f t="shared" si="2"/>
        <v>246.000246</v>
      </c>
      <c r="H296" s="115" t="str">
        <f t="shared" si="3"/>
        <v>#N/A</v>
      </c>
      <c r="M296" s="110" t="s">
        <v>597</v>
      </c>
      <c r="N296" s="111">
        <f>VLOOKUP(M296,'Dados StatusInvest'!$A:$Z,26,0)</f>
        <v>0</v>
      </c>
      <c r="O296" s="118">
        <f>VLOOKUP(M296,'Dados StatusInvest'!$A:$Z,18,0)/100</f>
        <v>0.0217</v>
      </c>
      <c r="P296" s="119" t="str">
        <f t="shared" si="5"/>
        <v>#N/A</v>
      </c>
      <c r="Q296" s="120">
        <f>IF(ISERROR(1/VLOOKUP(M296,Capa!A:AH,6,0)),0,1/VLOOKUP(M296,Capa!A:AH,6,0))</f>
        <v>0</v>
      </c>
      <c r="R296" s="121">
        <f t="shared" si="6"/>
        <v>306.000306</v>
      </c>
      <c r="S296" s="122" t="str">
        <f t="shared" si="7"/>
        <v>#N/A</v>
      </c>
    </row>
    <row r="297">
      <c r="A297" s="123"/>
      <c r="B297" s="110" t="s">
        <v>116</v>
      </c>
      <c r="C297" s="111">
        <f>VLOOKUP(B297,'Dados StatusInvest'!$A:$Z,26,0)</f>
        <v>90723.38</v>
      </c>
      <c r="D297" s="112">
        <f>VLOOKUP(B297,'Dados StatusInvest'!$A:$Z,20,0)/100</f>
        <v>0</v>
      </c>
      <c r="E297" s="87" t="str">
        <f t="shared" si="1"/>
        <v>#N/A</v>
      </c>
      <c r="F297" s="113">
        <f>IF(ISERROR(1/VLOOKUP(B297,Capa!A:AH,13,0)),0,1/VLOOKUP(B297,Capa!A:AH,13,0))</f>
        <v>8.498528351</v>
      </c>
      <c r="G297" s="114">
        <f t="shared" si="2"/>
        <v>98.000098</v>
      </c>
      <c r="H297" s="115" t="str">
        <f t="shared" si="3"/>
        <v>#N/A</v>
      </c>
      <c r="M297" s="110" t="s">
        <v>116</v>
      </c>
      <c r="N297" s="111">
        <f>VLOOKUP(M297,'Dados StatusInvest'!$A:$Z,26,0)</f>
        <v>90723.38</v>
      </c>
      <c r="O297" s="118">
        <f>VLOOKUP(M297,'Dados StatusInvest'!$A:$Z,18,0)/100</f>
        <v>0.1525</v>
      </c>
      <c r="P297" s="119" t="str">
        <f t="shared" si="5"/>
        <v>#N/A</v>
      </c>
      <c r="Q297" s="120">
        <f>IF(ISERROR(1/VLOOKUP(M297,Capa!A:AH,6,0)),0,1/VLOOKUP(M297,Capa!A:AH,6,0))</f>
        <v>0.02866972477</v>
      </c>
      <c r="R297" s="121">
        <f t="shared" si="6"/>
        <v>226.000226</v>
      </c>
      <c r="S297" s="122" t="str">
        <f t="shared" si="7"/>
        <v>#N/A</v>
      </c>
    </row>
    <row r="298">
      <c r="A298" s="123"/>
      <c r="B298" s="110" t="s">
        <v>202</v>
      </c>
      <c r="C298" s="111">
        <f>VLOOKUP(B298,'Dados StatusInvest'!$A:$Z,26,0)</f>
        <v>0</v>
      </c>
      <c r="D298" s="112">
        <f>VLOOKUP(B298,'Dados StatusInvest'!$A:$Z,20,0)/100</f>
        <v>0.1231</v>
      </c>
      <c r="E298" s="87" t="str">
        <f t="shared" si="1"/>
        <v>#N/A</v>
      </c>
      <c r="F298" s="113">
        <f>IF(ISERROR(1/VLOOKUP(B298,Capa!A:AH,13,0)),0,1/VLOOKUP(B298,Capa!A:AH,13,0))</f>
        <v>0</v>
      </c>
      <c r="G298" s="114">
        <f t="shared" si="2"/>
        <v>246.000246</v>
      </c>
      <c r="H298" s="115" t="str">
        <f t="shared" si="3"/>
        <v>#N/A</v>
      </c>
      <c r="M298" s="110" t="s">
        <v>202</v>
      </c>
      <c r="N298" s="111">
        <f>VLOOKUP(M298,'Dados StatusInvest'!$A:$Z,26,0)</f>
        <v>0</v>
      </c>
      <c r="O298" s="118">
        <f>VLOOKUP(M298,'Dados StatusInvest'!$A:$Z,18,0)/100</f>
        <v>0.2071</v>
      </c>
      <c r="P298" s="119" t="str">
        <f t="shared" si="5"/>
        <v>#N/A</v>
      </c>
      <c r="Q298" s="120">
        <f>IF(ISERROR(1/VLOOKUP(M298,Capa!A:AH,6,0)),0,1/VLOOKUP(M298,Capa!A:AH,6,0))</f>
        <v>0</v>
      </c>
      <c r="R298" s="121">
        <f t="shared" si="6"/>
        <v>306.000306</v>
      </c>
      <c r="S298" s="122" t="str">
        <f t="shared" si="7"/>
        <v>#N/A</v>
      </c>
    </row>
    <row r="299">
      <c r="A299" s="123"/>
      <c r="B299" s="110" t="s">
        <v>112</v>
      </c>
      <c r="C299" s="111">
        <f>VLOOKUP(B299,'Dados StatusInvest'!$A:$Z,26,0)</f>
        <v>45167.33</v>
      </c>
      <c r="D299" s="112">
        <f>VLOOKUP(B299,'Dados StatusInvest'!$A:$Z,20,0)/100</f>
        <v>0</v>
      </c>
      <c r="E299" s="87" t="str">
        <f t="shared" si="1"/>
        <v>#N/A</v>
      </c>
      <c r="F299" s="113">
        <f>IF(ISERROR(1/VLOOKUP(B299,Capa!A:AH,13,0)),0,1/VLOOKUP(B299,Capa!A:AH,13,0))</f>
        <v>11.73725262</v>
      </c>
      <c r="G299" s="114">
        <f t="shared" si="2"/>
        <v>68.000068</v>
      </c>
      <c r="H299" s="115" t="str">
        <f t="shared" si="3"/>
        <v>#N/A</v>
      </c>
      <c r="M299" s="110" t="s">
        <v>112</v>
      </c>
      <c r="N299" s="111">
        <f>VLOOKUP(M299,'Dados StatusInvest'!$A:$Z,26,0)</f>
        <v>45167.33</v>
      </c>
      <c r="O299" s="118">
        <f>VLOOKUP(M299,'Dados StatusInvest'!$A:$Z,18,0)/100</f>
        <v>0.1396</v>
      </c>
      <c r="P299" s="119" t="str">
        <f t="shared" si="5"/>
        <v>#N/A</v>
      </c>
      <c r="Q299" s="120">
        <f>IF(ISERROR(1/VLOOKUP(M299,Capa!A:AH,6,0)),0,1/VLOOKUP(M299,Capa!A:AH,6,0))</f>
        <v>0.118623962</v>
      </c>
      <c r="R299" s="121">
        <f t="shared" si="6"/>
        <v>105.000105</v>
      </c>
      <c r="S299" s="122" t="str">
        <f t="shared" si="7"/>
        <v>#N/A</v>
      </c>
    </row>
    <row r="300">
      <c r="A300" s="123"/>
      <c r="B300" s="110" t="s">
        <v>582</v>
      </c>
      <c r="C300" s="111">
        <f>VLOOKUP(B300,'Dados StatusInvest'!$A:$Z,26,0)</f>
        <v>12134.31</v>
      </c>
      <c r="D300" s="112">
        <f>VLOOKUP(B300,'Dados StatusInvest'!$A:$Z,20,0)/100</f>
        <v>-0.0482</v>
      </c>
      <c r="E300" s="87" t="str">
        <f t="shared" si="1"/>
        <v>#N/A</v>
      </c>
      <c r="F300" s="113">
        <f>IF(ISERROR(1/VLOOKUP(B300,Capa!A:AH,13,0)),0,1/VLOOKUP(B300,Capa!A:AH,13,0))</f>
        <v>10.51524711</v>
      </c>
      <c r="G300" s="114">
        <f t="shared" si="2"/>
        <v>77.000077</v>
      </c>
      <c r="H300" s="115" t="str">
        <f t="shared" si="3"/>
        <v>#N/A</v>
      </c>
      <c r="M300" s="110" t="s">
        <v>582</v>
      </c>
      <c r="N300" s="111">
        <f>VLOOKUP(M300,'Dados StatusInvest'!$A:$Z,26,0)</f>
        <v>12134.31</v>
      </c>
      <c r="O300" s="118">
        <f>VLOOKUP(M300,'Dados StatusInvest'!$A:$Z,18,0)/100</f>
        <v>-0.0963</v>
      </c>
      <c r="P300" s="119" t="str">
        <f t="shared" si="5"/>
        <v>#N/A</v>
      </c>
      <c r="Q300" s="120">
        <f>IF(ISERROR(1/VLOOKUP(M300,Capa!A:AH,6,0)),0,1/VLOOKUP(M300,Capa!A:AH,6,0))</f>
        <v>0.3968253968</v>
      </c>
      <c r="R300" s="121">
        <f t="shared" si="6"/>
        <v>33.000033</v>
      </c>
      <c r="S300" s="122" t="str">
        <f t="shared" si="7"/>
        <v>#N/A</v>
      </c>
    </row>
    <row r="301">
      <c r="A301" s="123"/>
      <c r="B301" s="110" t="s">
        <v>633</v>
      </c>
      <c r="C301" s="111">
        <f>VLOOKUP(B301,'Dados StatusInvest'!$A:$Z,26,0)</f>
        <v>1041.71</v>
      </c>
      <c r="D301" s="112">
        <f>VLOOKUP(B301,'Dados StatusInvest'!$A:$Z,20,0)/100</f>
        <v>0.2319</v>
      </c>
      <c r="E301" s="87" t="str">
        <f t="shared" si="1"/>
        <v>#N/A</v>
      </c>
      <c r="F301" s="113">
        <f>IF(ISERROR(1/VLOOKUP(B301,Capa!A:AH,13,0)),0,1/VLOOKUP(B301,Capa!A:AH,13,0))</f>
        <v>-11.31221719</v>
      </c>
      <c r="G301" s="114">
        <f t="shared" si="2"/>
        <v>416.000416</v>
      </c>
      <c r="H301" s="115" t="str">
        <f t="shared" si="3"/>
        <v>#N/A</v>
      </c>
      <c r="M301" s="110" t="s">
        <v>633</v>
      </c>
      <c r="N301" s="111">
        <f>VLOOKUP(M301,'Dados StatusInvest'!$A:$Z,26,0)</f>
        <v>1041.71</v>
      </c>
      <c r="O301" s="118">
        <f>VLOOKUP(M301,'Dados StatusInvest'!$A:$Z,18,0)/100</f>
        <v>-0.1503</v>
      </c>
      <c r="P301" s="119" t="str">
        <f t="shared" si="5"/>
        <v>#N/A</v>
      </c>
      <c r="Q301" s="120">
        <f>IF(ISERROR(1/VLOOKUP(M301,Capa!A:AH,6,0)),0,1/VLOOKUP(M301,Capa!A:AH,6,0))</f>
        <v>0.6369426752</v>
      </c>
      <c r="R301" s="121">
        <f t="shared" si="6"/>
        <v>21.000021</v>
      </c>
      <c r="S301" s="122" t="str">
        <f t="shared" si="7"/>
        <v>#N/A</v>
      </c>
    </row>
    <row r="302">
      <c r="A302" s="123"/>
      <c r="B302" s="110" t="s">
        <v>1722</v>
      </c>
      <c r="C302" s="111" t="str">
        <f>VLOOKUP(B302,'Dados StatusInvest'!$A:$Z,26,0)</f>
        <v>#N/A</v>
      </c>
      <c r="D302" s="112" t="str">
        <f>VLOOKUP(B302,'Dados StatusInvest'!$A:$Z,20,0)/100</f>
        <v>#N/A</v>
      </c>
      <c r="E302" s="87" t="str">
        <f t="shared" si="1"/>
        <v>#N/A</v>
      </c>
      <c r="F302" s="113">
        <f>IF(ISERROR(1/VLOOKUP(B302,Capa!A:AH,13,0)),0,1/VLOOKUP(B302,Capa!A:AH,13,0))</f>
        <v>0</v>
      </c>
      <c r="G302" s="114">
        <f t="shared" si="2"/>
        <v>246.000246</v>
      </c>
      <c r="H302" s="115" t="str">
        <f t="shared" si="3"/>
        <v>#N/A</v>
      </c>
      <c r="M302" s="110" t="s">
        <v>1722</v>
      </c>
      <c r="N302" s="111" t="str">
        <f>VLOOKUP(M302,'Dados StatusInvest'!$A:$Z,26,0)</f>
        <v>#N/A</v>
      </c>
      <c r="O302" s="118" t="str">
        <f>VLOOKUP(M302,'Dados StatusInvest'!$A:$Z,18,0)/100</f>
        <v>#N/A</v>
      </c>
      <c r="P302" s="119" t="str">
        <f t="shared" si="5"/>
        <v>#N/A</v>
      </c>
      <c r="Q302" s="120">
        <f>IF(ISERROR(1/VLOOKUP(M302,Capa!A:AH,6,0)),0,1/VLOOKUP(M302,Capa!A:AH,6,0))</f>
        <v>0</v>
      </c>
      <c r="R302" s="121">
        <f t="shared" si="6"/>
        <v>306.000306</v>
      </c>
      <c r="S302" s="122" t="str">
        <f t="shared" si="7"/>
        <v>#N/A</v>
      </c>
    </row>
    <row r="303">
      <c r="A303" s="123"/>
      <c r="B303" s="110" t="s">
        <v>547</v>
      </c>
      <c r="C303" s="111">
        <f>VLOOKUP(B303,'Dados StatusInvest'!$A:$Z,26,0)</f>
        <v>1615</v>
      </c>
      <c r="D303" s="112">
        <f>VLOOKUP(B303,'Dados StatusInvest'!$A:$Z,20,0)/100</f>
        <v>-0.0263</v>
      </c>
      <c r="E303" s="87" t="str">
        <f t="shared" si="1"/>
        <v>#N/A</v>
      </c>
      <c r="F303" s="113">
        <f>IF(ISERROR(1/VLOOKUP(B303,Capa!A:AH,13,0)),0,1/VLOOKUP(B303,Capa!A:AH,13,0))</f>
        <v>0</v>
      </c>
      <c r="G303" s="114">
        <f t="shared" si="2"/>
        <v>246.000246</v>
      </c>
      <c r="H303" s="115" t="str">
        <f t="shared" si="3"/>
        <v>#N/A</v>
      </c>
      <c r="M303" s="110" t="s">
        <v>547</v>
      </c>
      <c r="N303" s="111">
        <f>VLOOKUP(M303,'Dados StatusInvest'!$A:$Z,26,0)</f>
        <v>1615</v>
      </c>
      <c r="O303" s="118">
        <f>VLOOKUP(M303,'Dados StatusInvest'!$A:$Z,18,0)/100</f>
        <v>-0.136</v>
      </c>
      <c r="P303" s="119" t="str">
        <f t="shared" si="5"/>
        <v>#N/A</v>
      </c>
      <c r="Q303" s="120">
        <f>IF(ISERROR(1/VLOOKUP(M303,Capa!A:AH,6,0)),0,1/VLOOKUP(M303,Capa!A:AH,6,0))</f>
        <v>0</v>
      </c>
      <c r="R303" s="121">
        <f t="shared" si="6"/>
        <v>306.000306</v>
      </c>
      <c r="S303" s="122" t="str">
        <f t="shared" si="7"/>
        <v>#N/A</v>
      </c>
    </row>
    <row r="304">
      <c r="A304" s="123"/>
      <c r="B304" s="110" t="s">
        <v>411</v>
      </c>
      <c r="C304" s="111">
        <f>VLOOKUP(B304,'Dados StatusInvest'!$A:$Z,26,0)</f>
        <v>3601</v>
      </c>
      <c r="D304" s="112">
        <f>VLOOKUP(B304,'Dados StatusInvest'!$A:$Z,20,0)/100</f>
        <v>0.079</v>
      </c>
      <c r="E304" s="87" t="str">
        <f t="shared" si="1"/>
        <v>#N/A</v>
      </c>
      <c r="F304" s="113">
        <f>IF(ISERROR(1/VLOOKUP(B304,Capa!A:AH,13,0)),0,1/VLOOKUP(B304,Capa!A:AH,13,0))</f>
        <v>0</v>
      </c>
      <c r="G304" s="114">
        <f t="shared" si="2"/>
        <v>246.000246</v>
      </c>
      <c r="H304" s="115" t="str">
        <f t="shared" si="3"/>
        <v>#N/A</v>
      </c>
      <c r="M304" s="110" t="s">
        <v>411</v>
      </c>
      <c r="N304" s="111">
        <f>VLOOKUP(M304,'Dados StatusInvest'!$A:$Z,26,0)</f>
        <v>3601</v>
      </c>
      <c r="O304" s="118">
        <f>VLOOKUP(M304,'Dados StatusInvest'!$A:$Z,18,0)/100</f>
        <v>0.1096</v>
      </c>
      <c r="P304" s="119" t="str">
        <f t="shared" si="5"/>
        <v>#N/A</v>
      </c>
      <c r="Q304" s="120">
        <f>IF(ISERROR(1/VLOOKUP(M304,Capa!A:AH,6,0)),0,1/VLOOKUP(M304,Capa!A:AH,6,0))</f>
        <v>0</v>
      </c>
      <c r="R304" s="121">
        <f t="shared" si="6"/>
        <v>306.000306</v>
      </c>
      <c r="S304" s="122" t="str">
        <f t="shared" si="7"/>
        <v>#N/A</v>
      </c>
    </row>
    <row r="305">
      <c r="A305" s="123"/>
      <c r="B305" s="110" t="s">
        <v>596</v>
      </c>
      <c r="C305" s="111">
        <f>VLOOKUP(B305,'Dados StatusInvest'!$A:$Z,26,0)</f>
        <v>0</v>
      </c>
      <c r="D305" s="112">
        <f>VLOOKUP(B305,'Dados StatusInvest'!$A:$Z,20,0)/100</f>
        <v>-0.0949</v>
      </c>
      <c r="E305" s="87" t="str">
        <f t="shared" si="1"/>
        <v>#N/A</v>
      </c>
      <c r="F305" s="113">
        <f>IF(ISERROR(1/VLOOKUP(B305,Capa!A:AH,13,0)),0,1/VLOOKUP(B305,Capa!A:AH,13,0))</f>
        <v>0</v>
      </c>
      <c r="G305" s="114">
        <f t="shared" si="2"/>
        <v>246.000246</v>
      </c>
      <c r="H305" s="115" t="str">
        <f t="shared" si="3"/>
        <v>#N/A</v>
      </c>
      <c r="M305" s="110" t="s">
        <v>596</v>
      </c>
      <c r="N305" s="111">
        <f>VLOOKUP(M305,'Dados StatusInvest'!$A:$Z,26,0)</f>
        <v>0</v>
      </c>
      <c r="O305" s="118">
        <f>VLOOKUP(M305,'Dados StatusInvest'!$A:$Z,18,0)/100</f>
        <v>0.0217</v>
      </c>
      <c r="P305" s="119" t="str">
        <f t="shared" si="5"/>
        <v>#N/A</v>
      </c>
      <c r="Q305" s="120">
        <f>IF(ISERROR(1/VLOOKUP(M305,Capa!A:AH,6,0)),0,1/VLOOKUP(M305,Capa!A:AH,6,0))</f>
        <v>0</v>
      </c>
      <c r="R305" s="121">
        <f t="shared" si="6"/>
        <v>306.000306</v>
      </c>
      <c r="S305" s="122" t="str">
        <f t="shared" si="7"/>
        <v>#N/A</v>
      </c>
    </row>
    <row r="306">
      <c r="A306" s="123"/>
      <c r="B306" s="110" t="s">
        <v>282</v>
      </c>
      <c r="C306" s="111">
        <f>VLOOKUP(B306,'Dados StatusInvest'!$A:$Z,26,0)</f>
        <v>48749.26</v>
      </c>
      <c r="D306" s="112">
        <f>VLOOKUP(B306,'Dados StatusInvest'!$A:$Z,20,0)/100</f>
        <v>0.1994</v>
      </c>
      <c r="E306" s="87" t="str">
        <f t="shared" si="1"/>
        <v>#N/A</v>
      </c>
      <c r="F306" s="113">
        <f>IF(ISERROR(1/VLOOKUP(B306,Capa!A:AH,13,0)),0,1/VLOOKUP(B306,Capa!A:AH,13,0))</f>
        <v>4.482294935</v>
      </c>
      <c r="G306" s="114">
        <f t="shared" si="2"/>
        <v>171.000171</v>
      </c>
      <c r="H306" s="115" t="str">
        <f t="shared" si="3"/>
        <v>#N/A</v>
      </c>
      <c r="M306" s="110" t="s">
        <v>282</v>
      </c>
      <c r="N306" s="111">
        <f>VLOOKUP(M306,'Dados StatusInvest'!$A:$Z,26,0)</f>
        <v>48749.26</v>
      </c>
      <c r="O306" s="118">
        <f>VLOOKUP(M306,'Dados StatusInvest'!$A:$Z,18,0)/100</f>
        <v>0.4611</v>
      </c>
      <c r="P306" s="119" t="str">
        <f t="shared" si="5"/>
        <v>#N/A</v>
      </c>
      <c r="Q306" s="120">
        <f>IF(ISERROR(1/VLOOKUP(M306,Capa!A:AH,6,0)),0,1/VLOOKUP(M306,Capa!A:AH,6,0))</f>
        <v>0.0256344527</v>
      </c>
      <c r="R306" s="121">
        <f t="shared" si="6"/>
        <v>238.000238</v>
      </c>
      <c r="S306" s="122" t="str">
        <f t="shared" si="7"/>
        <v>#N/A</v>
      </c>
    </row>
    <row r="307">
      <c r="A307" s="123"/>
      <c r="B307" s="110" t="s">
        <v>204</v>
      </c>
      <c r="C307" s="111">
        <f>VLOOKUP(B307,'Dados StatusInvest'!$A:$Z,26,0)</f>
        <v>21969.2</v>
      </c>
      <c r="D307" s="112">
        <f>VLOOKUP(B307,'Dados StatusInvest'!$A:$Z,20,0)/100</f>
        <v>0.2209</v>
      </c>
      <c r="E307" s="87" t="str">
        <f t="shared" si="1"/>
        <v>#N/A</v>
      </c>
      <c r="F307" s="113">
        <f>IF(ISERROR(1/VLOOKUP(B307,Capa!A:AH,13,0)),0,1/VLOOKUP(B307,Capa!A:AH,13,0))</f>
        <v>4.353504571</v>
      </c>
      <c r="G307" s="114">
        <f t="shared" si="2"/>
        <v>175.000175</v>
      </c>
      <c r="H307" s="115" t="str">
        <f t="shared" si="3"/>
        <v>#N/A</v>
      </c>
      <c r="M307" s="110" t="s">
        <v>204</v>
      </c>
      <c r="N307" s="111">
        <f>VLOOKUP(M307,'Dados StatusInvest'!$A:$Z,26,0)</f>
        <v>21969.2</v>
      </c>
      <c r="O307" s="118">
        <f>VLOOKUP(M307,'Dados StatusInvest'!$A:$Z,18,0)/100</f>
        <v>0.798</v>
      </c>
      <c r="P307" s="119" t="str">
        <f t="shared" si="5"/>
        <v>#N/A</v>
      </c>
      <c r="Q307" s="120">
        <f>IF(ISERROR(1/VLOOKUP(M307,Capa!A:AH,6,0)),0,1/VLOOKUP(M307,Capa!A:AH,6,0))</f>
        <v>0.007873395796</v>
      </c>
      <c r="R307" s="121">
        <f t="shared" si="6"/>
        <v>283.000283</v>
      </c>
      <c r="S307" s="122" t="str">
        <f t="shared" si="7"/>
        <v>#N/A</v>
      </c>
    </row>
    <row r="308">
      <c r="A308" s="123"/>
      <c r="B308" s="110" t="s">
        <v>260</v>
      </c>
      <c r="C308" s="111">
        <f>VLOOKUP(B308,'Dados StatusInvest'!$A:$Z,26,0)</f>
        <v>6882380</v>
      </c>
      <c r="D308" s="112">
        <f>VLOOKUP(B308,'Dados StatusInvest'!$A:$Z,20,0)/100</f>
        <v>0.0458</v>
      </c>
      <c r="E308" s="87" t="str">
        <f t="shared" si="1"/>
        <v>#N/A</v>
      </c>
      <c r="F308" s="113">
        <f>IF(ISERROR(1/VLOOKUP(B308,Capa!A:AH,13,0)),0,1/VLOOKUP(B308,Capa!A:AH,13,0))</f>
        <v>9.916577092</v>
      </c>
      <c r="G308" s="114">
        <f t="shared" si="2"/>
        <v>82.000082</v>
      </c>
      <c r="H308" s="115" t="str">
        <f t="shared" si="3"/>
        <v>#N/A</v>
      </c>
      <c r="M308" s="110" t="s">
        <v>260</v>
      </c>
      <c r="N308" s="111">
        <f>VLOOKUP(M308,'Dados StatusInvest'!$A:$Z,26,0)</f>
        <v>6882380</v>
      </c>
      <c r="O308" s="118">
        <f>VLOOKUP(M308,'Dados StatusInvest'!$A:$Z,18,0)/100</f>
        <v>-0.1314</v>
      </c>
      <c r="P308" s="119" t="str">
        <f t="shared" si="5"/>
        <v>#N/A</v>
      </c>
      <c r="Q308" s="120">
        <f>IF(ISERROR(1/VLOOKUP(M308,Capa!A:AH,6,0)),0,1/VLOOKUP(M308,Capa!A:AH,6,0))</f>
        <v>0.2398081535</v>
      </c>
      <c r="R308" s="121">
        <f t="shared" si="6"/>
        <v>53.000053</v>
      </c>
      <c r="S308" s="122" t="str">
        <f t="shared" si="7"/>
        <v>#N/A</v>
      </c>
    </row>
    <row r="309">
      <c r="A309" s="123"/>
      <c r="B309" s="110" t="s">
        <v>664</v>
      </c>
      <c r="C309" s="111">
        <f>VLOOKUP(B309,'Dados StatusInvest'!$A:$Z,26,0)</f>
        <v>46932.81</v>
      </c>
      <c r="D309" s="112">
        <f>VLOOKUP(B309,'Dados StatusInvest'!$A:$Z,20,0)/100</f>
        <v>0.0983</v>
      </c>
      <c r="E309" s="87" t="str">
        <f t="shared" si="1"/>
        <v>#N/A</v>
      </c>
      <c r="F309" s="113">
        <f>IF(ISERROR(1/VLOOKUP(B309,Capa!A:AH,13,0)),0,1/VLOOKUP(B309,Capa!A:AH,13,0))</f>
        <v>15.24564294</v>
      </c>
      <c r="G309" s="114">
        <f t="shared" si="2"/>
        <v>41.000041</v>
      </c>
      <c r="H309" s="115" t="str">
        <f t="shared" si="3"/>
        <v>#N/A</v>
      </c>
      <c r="M309" s="110" t="s">
        <v>664</v>
      </c>
      <c r="N309" s="111">
        <f>VLOOKUP(M309,'Dados StatusInvest'!$A:$Z,26,0)</f>
        <v>46932.81</v>
      </c>
      <c r="O309" s="118">
        <f>VLOOKUP(M309,'Dados StatusInvest'!$A:$Z,18,0)/100</f>
        <v>0.1425</v>
      </c>
      <c r="P309" s="119" t="str">
        <f t="shared" si="5"/>
        <v>#N/A</v>
      </c>
      <c r="Q309" s="120">
        <f>IF(ISERROR(1/VLOOKUP(M309,Capa!A:AH,6,0)),0,1/VLOOKUP(M309,Capa!A:AH,6,0))</f>
        <v>0.03941663382</v>
      </c>
      <c r="R309" s="121">
        <f t="shared" si="6"/>
        <v>205.000205</v>
      </c>
      <c r="S309" s="122" t="str">
        <f t="shared" si="7"/>
        <v>#N/A</v>
      </c>
    </row>
    <row r="310">
      <c r="A310" s="123"/>
      <c r="B310" s="110" t="s">
        <v>184</v>
      </c>
      <c r="C310" s="111">
        <f>VLOOKUP(B310,'Dados StatusInvest'!$A:$Z,26,0)</f>
        <v>1251.93</v>
      </c>
      <c r="D310" s="112">
        <f>VLOOKUP(B310,'Dados StatusInvest'!$A:$Z,20,0)/100</f>
        <v>0.0025</v>
      </c>
      <c r="E310" s="87" t="str">
        <f t="shared" si="1"/>
        <v>#N/A</v>
      </c>
      <c r="F310" s="113">
        <f>IF(ISERROR(1/VLOOKUP(B310,Capa!A:AH,13,0)),0,1/VLOOKUP(B310,Capa!A:AH,13,0))</f>
        <v>12.45330012</v>
      </c>
      <c r="G310" s="114">
        <f t="shared" si="2"/>
        <v>64.000064</v>
      </c>
      <c r="H310" s="115" t="str">
        <f t="shared" si="3"/>
        <v>#N/A</v>
      </c>
      <c r="M310" s="110" t="s">
        <v>184</v>
      </c>
      <c r="N310" s="111">
        <f>VLOOKUP(M310,'Dados StatusInvest'!$A:$Z,26,0)</f>
        <v>1251.93</v>
      </c>
      <c r="O310" s="118">
        <f>VLOOKUP(M310,'Dados StatusInvest'!$A:$Z,18,0)/100</f>
        <v>0.0699</v>
      </c>
      <c r="P310" s="119" t="str">
        <f t="shared" si="5"/>
        <v>#N/A</v>
      </c>
      <c r="Q310" s="120">
        <f>IF(ISERROR(1/VLOOKUP(M310,Capa!A:AH,6,0)),0,1/VLOOKUP(M310,Capa!A:AH,6,0))</f>
        <v>0.1</v>
      </c>
      <c r="R310" s="121">
        <f t="shared" si="6"/>
        <v>124.000124</v>
      </c>
      <c r="S310" s="122" t="str">
        <f t="shared" si="7"/>
        <v>#N/A</v>
      </c>
    </row>
    <row r="311">
      <c r="A311" s="123"/>
      <c r="B311" s="110" t="s">
        <v>109</v>
      </c>
      <c r="C311" s="111">
        <f>VLOOKUP(B311,'Dados StatusInvest'!$A:$Z,26,0)</f>
        <v>2010.87</v>
      </c>
      <c r="D311" s="112">
        <f>VLOOKUP(B311,'Dados StatusInvest'!$A:$Z,20,0)/100</f>
        <v>0.233</v>
      </c>
      <c r="E311" s="87" t="str">
        <f t="shared" si="1"/>
        <v>#N/A</v>
      </c>
      <c r="F311" s="113">
        <f>IF(ISERROR(1/VLOOKUP(B311,Capa!A:AH,13,0)),0,1/VLOOKUP(B311,Capa!A:AH,13,0))</f>
        <v>5.219206681</v>
      </c>
      <c r="G311" s="114">
        <f t="shared" si="2"/>
        <v>152.000152</v>
      </c>
      <c r="H311" s="115" t="str">
        <f t="shared" si="3"/>
        <v>#N/A</v>
      </c>
      <c r="M311" s="110" t="s">
        <v>109</v>
      </c>
      <c r="N311" s="111">
        <f>VLOOKUP(M311,'Dados StatusInvest'!$A:$Z,26,0)</f>
        <v>2010.87</v>
      </c>
      <c r="O311" s="118">
        <f>VLOOKUP(M311,'Dados StatusInvest'!$A:$Z,18,0)/100</f>
        <v>-0.0683</v>
      </c>
      <c r="P311" s="119" t="str">
        <f t="shared" si="5"/>
        <v>#N/A</v>
      </c>
      <c r="Q311" s="120">
        <f>IF(ISERROR(1/VLOOKUP(M311,Capa!A:AH,6,0)),0,1/VLOOKUP(M311,Capa!A:AH,6,0))</f>
        <v>0.1572327044</v>
      </c>
      <c r="R311" s="121">
        <f t="shared" si="6"/>
        <v>84.000084</v>
      </c>
      <c r="S311" s="122" t="str">
        <f t="shared" si="7"/>
        <v>#N/A</v>
      </c>
    </row>
    <row r="312">
      <c r="A312" s="123"/>
      <c r="B312" s="110" t="s">
        <v>610</v>
      </c>
      <c r="C312" s="111">
        <f>VLOOKUP(B312,'Dados StatusInvest'!$A:$Z,26,0)</f>
        <v>0</v>
      </c>
      <c r="D312" s="112">
        <f>VLOOKUP(B312,'Dados StatusInvest'!$A:$Z,20,0)/100</f>
        <v>0.3007</v>
      </c>
      <c r="E312" s="87" t="str">
        <f t="shared" si="1"/>
        <v>#N/A</v>
      </c>
      <c r="F312" s="113">
        <f>IF(ISERROR(1/VLOOKUP(B312,Capa!A:AH,13,0)),0,1/VLOOKUP(B312,Capa!A:AH,13,0))</f>
        <v>0</v>
      </c>
      <c r="G312" s="114">
        <f t="shared" si="2"/>
        <v>246.000246</v>
      </c>
      <c r="H312" s="115" t="str">
        <f t="shared" si="3"/>
        <v>#N/A</v>
      </c>
      <c r="M312" s="110" t="s">
        <v>610</v>
      </c>
      <c r="N312" s="111">
        <f>VLOOKUP(M312,'Dados StatusInvest'!$A:$Z,26,0)</f>
        <v>0</v>
      </c>
      <c r="O312" s="118">
        <f>VLOOKUP(M312,'Dados StatusInvest'!$A:$Z,18,0)/100</f>
        <v>-0.0636</v>
      </c>
      <c r="P312" s="119" t="str">
        <f t="shared" si="5"/>
        <v>#N/A</v>
      </c>
      <c r="Q312" s="120">
        <f>IF(ISERROR(1/VLOOKUP(M312,Capa!A:AH,6,0)),0,1/VLOOKUP(M312,Capa!A:AH,6,0))</f>
        <v>0</v>
      </c>
      <c r="R312" s="121">
        <f t="shared" si="6"/>
        <v>306.000306</v>
      </c>
      <c r="S312" s="122" t="str">
        <f t="shared" si="7"/>
        <v>#N/A</v>
      </c>
    </row>
    <row r="313">
      <c r="A313" s="123"/>
      <c r="B313" s="110" t="s">
        <v>498</v>
      </c>
      <c r="C313" s="111">
        <f>VLOOKUP(B313,'Dados StatusInvest'!$A:$Z,26,0)</f>
        <v>16690.18</v>
      </c>
      <c r="D313" s="112">
        <f>VLOOKUP(B313,'Dados StatusInvest'!$A:$Z,20,0)/100</f>
        <v>0.0249</v>
      </c>
      <c r="E313" s="87" t="str">
        <f t="shared" si="1"/>
        <v>#N/A</v>
      </c>
      <c r="F313" s="113">
        <f>IF(ISERROR(1/VLOOKUP(B313,Capa!A:AH,13,0)),0,1/VLOOKUP(B313,Capa!A:AH,13,0))</f>
        <v>3.972983711</v>
      </c>
      <c r="G313" s="114">
        <f t="shared" si="2"/>
        <v>191.000191</v>
      </c>
      <c r="H313" s="115" t="str">
        <f t="shared" si="3"/>
        <v>#N/A</v>
      </c>
      <c r="M313" s="110" t="s">
        <v>498</v>
      </c>
      <c r="N313" s="111">
        <f>VLOOKUP(M313,'Dados StatusInvest'!$A:$Z,26,0)</f>
        <v>16690.18</v>
      </c>
      <c r="O313" s="118">
        <f>VLOOKUP(M313,'Dados StatusInvest'!$A:$Z,18,0)/100</f>
        <v>0.0361</v>
      </c>
      <c r="P313" s="119" t="str">
        <f t="shared" si="5"/>
        <v>#N/A</v>
      </c>
      <c r="Q313" s="120">
        <f>IF(ISERROR(1/VLOOKUP(M313,Capa!A:AH,6,0)),0,1/VLOOKUP(M313,Capa!A:AH,6,0))</f>
        <v>0.02450980392</v>
      </c>
      <c r="R313" s="121">
        <f t="shared" si="6"/>
        <v>241.000241</v>
      </c>
      <c r="S313" s="122" t="str">
        <f t="shared" si="7"/>
        <v>#N/A</v>
      </c>
    </row>
    <row r="314">
      <c r="A314" s="123"/>
      <c r="B314" s="110" t="s">
        <v>437</v>
      </c>
      <c r="C314" s="111">
        <f>VLOOKUP(B314,'Dados StatusInvest'!$A:$Z,26,0)</f>
        <v>0</v>
      </c>
      <c r="D314" s="112">
        <f>VLOOKUP(B314,'Dados StatusInvest'!$A:$Z,20,0)/100</f>
        <v>0.0028</v>
      </c>
      <c r="E314" s="87" t="str">
        <f t="shared" si="1"/>
        <v>#N/A</v>
      </c>
      <c r="F314" s="113">
        <f>IF(ISERROR(1/VLOOKUP(B314,Capa!A:AH,13,0)),0,1/VLOOKUP(B314,Capa!A:AH,13,0))</f>
        <v>0</v>
      </c>
      <c r="G314" s="114">
        <f t="shared" si="2"/>
        <v>246.000246</v>
      </c>
      <c r="H314" s="115" t="str">
        <f t="shared" si="3"/>
        <v>#N/A</v>
      </c>
      <c r="M314" s="110" t="s">
        <v>437</v>
      </c>
      <c r="N314" s="111">
        <f>VLOOKUP(M314,'Dados StatusInvest'!$A:$Z,26,0)</f>
        <v>0</v>
      </c>
      <c r="O314" s="118">
        <f>VLOOKUP(M314,'Dados StatusInvest'!$A:$Z,18,0)/100</f>
        <v>-0.0497</v>
      </c>
      <c r="P314" s="119" t="str">
        <f t="shared" si="5"/>
        <v>#N/A</v>
      </c>
      <c r="Q314" s="120">
        <f>IF(ISERROR(1/VLOOKUP(M314,Capa!A:AH,6,0)),0,1/VLOOKUP(M314,Capa!A:AH,6,0))</f>
        <v>0</v>
      </c>
      <c r="R314" s="121">
        <f t="shared" si="6"/>
        <v>306.000306</v>
      </c>
      <c r="S314" s="122" t="str">
        <f t="shared" si="7"/>
        <v>#N/A</v>
      </c>
    </row>
    <row r="315">
      <c r="A315" s="123"/>
      <c r="B315" s="110" t="s">
        <v>98</v>
      </c>
      <c r="C315" s="111">
        <f>VLOOKUP(B315,'Dados StatusInvest'!$A:$Z,26,0)</f>
        <v>7411.71</v>
      </c>
      <c r="D315" s="112">
        <f>VLOOKUP(B315,'Dados StatusInvest'!$A:$Z,20,0)/100</f>
        <v>0.1928</v>
      </c>
      <c r="E315" s="87" t="str">
        <f t="shared" si="1"/>
        <v>#N/A</v>
      </c>
      <c r="F315" s="113">
        <f>IF(ISERROR(1/VLOOKUP(B315,Capa!A:AH,13,0)),0,1/VLOOKUP(B315,Capa!A:AH,13,0))</f>
        <v>4.812319538</v>
      </c>
      <c r="G315" s="114">
        <f t="shared" si="2"/>
        <v>166.000166</v>
      </c>
      <c r="H315" s="115" t="str">
        <f t="shared" si="3"/>
        <v>#N/A</v>
      </c>
      <c r="M315" s="110" t="s">
        <v>98</v>
      </c>
      <c r="N315" s="111">
        <f>VLOOKUP(M315,'Dados StatusInvest'!$A:$Z,26,0)</f>
        <v>7411.71</v>
      </c>
      <c r="O315" s="118">
        <f>VLOOKUP(M315,'Dados StatusInvest'!$A:$Z,18,0)/100</f>
        <v>0.1352</v>
      </c>
      <c r="P315" s="119" t="str">
        <f t="shared" si="5"/>
        <v>#N/A</v>
      </c>
      <c r="Q315" s="120">
        <f>IF(ISERROR(1/VLOOKUP(M315,Capa!A:AH,6,0)),0,1/VLOOKUP(M315,Capa!A:AH,6,0))</f>
        <v>0.03846153846</v>
      </c>
      <c r="R315" s="121">
        <f t="shared" si="6"/>
        <v>207.000207</v>
      </c>
      <c r="S315" s="122" t="str">
        <f t="shared" si="7"/>
        <v>#N/A</v>
      </c>
    </row>
    <row r="316">
      <c r="A316" s="123"/>
      <c r="B316" s="110" t="s">
        <v>137</v>
      </c>
      <c r="C316" s="111">
        <f>VLOOKUP(B316,'Dados StatusInvest'!$A:$Z,26,0)</f>
        <v>366670.2</v>
      </c>
      <c r="D316" s="112">
        <f>VLOOKUP(B316,'Dados StatusInvest'!$A:$Z,20,0)/100</f>
        <v>0</v>
      </c>
      <c r="E316" s="87" t="str">
        <f t="shared" si="1"/>
        <v>#N/A</v>
      </c>
      <c r="F316" s="113">
        <f>IF(ISERROR(1/VLOOKUP(B316,Capa!A:AH,13,0)),0,1/VLOOKUP(B316,Capa!A:AH,13,0))</f>
        <v>2.175142773</v>
      </c>
      <c r="G316" s="114">
        <f t="shared" si="2"/>
        <v>218.000218</v>
      </c>
      <c r="H316" s="115" t="str">
        <f t="shared" si="3"/>
        <v>#N/A</v>
      </c>
      <c r="M316" s="110" t="s">
        <v>137</v>
      </c>
      <c r="N316" s="111">
        <f>VLOOKUP(M316,'Dados StatusInvest'!$A:$Z,26,0)</f>
        <v>366670.2</v>
      </c>
      <c r="O316" s="118">
        <f>VLOOKUP(M316,'Dados StatusInvest'!$A:$Z,18,0)/100</f>
        <v>0.206</v>
      </c>
      <c r="P316" s="119" t="str">
        <f t="shared" si="5"/>
        <v>#N/A</v>
      </c>
      <c r="Q316" s="120">
        <f>IF(ISERROR(1/VLOOKUP(M316,Capa!A:AH,6,0)),0,1/VLOOKUP(M316,Capa!A:AH,6,0))</f>
        <v>0.02271694684</v>
      </c>
      <c r="R316" s="121">
        <f t="shared" si="6"/>
        <v>245.000245</v>
      </c>
      <c r="S316" s="122" t="str">
        <f t="shared" si="7"/>
        <v>#N/A</v>
      </c>
    </row>
    <row r="317">
      <c r="A317" s="123"/>
      <c r="B317" s="110" t="s">
        <v>210</v>
      </c>
      <c r="C317" s="111">
        <f>VLOOKUP(B317,'Dados StatusInvest'!$A:$Z,26,0)</f>
        <v>32683.86</v>
      </c>
      <c r="D317" s="112">
        <f>VLOOKUP(B317,'Dados StatusInvest'!$A:$Z,20,0)/100</f>
        <v>0.1354</v>
      </c>
      <c r="E317" s="87" t="str">
        <f t="shared" si="1"/>
        <v>#N/A</v>
      </c>
      <c r="F317" s="113">
        <f>IF(ISERROR(1/VLOOKUP(B317,Capa!A:AH,13,0)),0,1/VLOOKUP(B317,Capa!A:AH,13,0))</f>
        <v>8.52514919</v>
      </c>
      <c r="G317" s="114">
        <f t="shared" si="2"/>
        <v>95.000095</v>
      </c>
      <c r="H317" s="115" t="str">
        <f t="shared" si="3"/>
        <v>#N/A</v>
      </c>
      <c r="M317" s="110" t="s">
        <v>210</v>
      </c>
      <c r="N317" s="111">
        <f>VLOOKUP(M317,'Dados StatusInvest'!$A:$Z,26,0)</f>
        <v>32683.86</v>
      </c>
      <c r="O317" s="118">
        <f>VLOOKUP(M317,'Dados StatusInvest'!$A:$Z,18,0)/100</f>
        <v>0.1775</v>
      </c>
      <c r="P317" s="119" t="str">
        <f t="shared" si="5"/>
        <v>#N/A</v>
      </c>
      <c r="Q317" s="120">
        <f>IF(ISERROR(1/VLOOKUP(M317,Capa!A:AH,6,0)),0,1/VLOOKUP(M317,Capa!A:AH,6,0))</f>
        <v>0.007633587786</v>
      </c>
      <c r="R317" s="121">
        <f t="shared" si="6"/>
        <v>284.000284</v>
      </c>
      <c r="S317" s="122" t="str">
        <f t="shared" si="7"/>
        <v>#N/A</v>
      </c>
    </row>
    <row r="318">
      <c r="A318" s="123"/>
      <c r="B318" s="110" t="s">
        <v>309</v>
      </c>
      <c r="C318" s="111">
        <f>VLOOKUP(B318,'Dados StatusInvest'!$A:$Z,26,0)</f>
        <v>1444.38</v>
      </c>
      <c r="D318" s="112">
        <f>VLOOKUP(B318,'Dados StatusInvest'!$A:$Z,20,0)/100</f>
        <v>-4.3268</v>
      </c>
      <c r="E318" s="87" t="str">
        <f t="shared" si="1"/>
        <v>#N/A</v>
      </c>
      <c r="F318" s="113">
        <f>IF(ISERROR(1/VLOOKUP(B318,Capa!A:AH,13,0)),0,1/VLOOKUP(B318,Capa!A:AH,13,0))</f>
        <v>0.6192717364</v>
      </c>
      <c r="G318" s="114">
        <f t="shared" si="2"/>
        <v>240.00024</v>
      </c>
      <c r="H318" s="115" t="str">
        <f t="shared" si="3"/>
        <v>#N/A</v>
      </c>
      <c r="M318" s="110" t="s">
        <v>309</v>
      </c>
      <c r="N318" s="111">
        <f>VLOOKUP(M318,'Dados StatusInvest'!$A:$Z,26,0)</f>
        <v>1444.38</v>
      </c>
      <c r="O318" s="118">
        <f>VLOOKUP(M318,'Dados StatusInvest'!$A:$Z,18,0)/100</f>
        <v>-0.9695</v>
      </c>
      <c r="P318" s="119" t="str">
        <f t="shared" si="5"/>
        <v>#N/A</v>
      </c>
      <c r="Q318" s="120">
        <f>IF(ISERROR(1/VLOOKUP(M318,Capa!A:AH,6,0)),0,1/VLOOKUP(M318,Capa!A:AH,6,0))</f>
        <v>0.2272727273</v>
      </c>
      <c r="R318" s="121">
        <f t="shared" si="6"/>
        <v>57.000057</v>
      </c>
      <c r="S318" s="122" t="str">
        <f t="shared" si="7"/>
        <v>#N/A</v>
      </c>
    </row>
    <row r="319">
      <c r="A319" s="123"/>
      <c r="B319" s="110" t="s">
        <v>57</v>
      </c>
      <c r="C319" s="111">
        <f>VLOOKUP(B319,'Dados StatusInvest'!$A:$Z,26,0)</f>
        <v>2146.31</v>
      </c>
      <c r="D319" s="112">
        <f>VLOOKUP(B319,'Dados StatusInvest'!$A:$Z,20,0)/100</f>
        <v>0.1392</v>
      </c>
      <c r="E319" s="87" t="str">
        <f t="shared" si="1"/>
        <v>#N/A</v>
      </c>
      <c r="F319" s="113">
        <f>IF(ISERROR(1/VLOOKUP(B319,Capa!A:AH,13,0)),0,1/VLOOKUP(B319,Capa!A:AH,13,0))</f>
        <v>1.626809826</v>
      </c>
      <c r="G319" s="114">
        <f t="shared" si="2"/>
        <v>228.000228</v>
      </c>
      <c r="H319" s="115" t="str">
        <f t="shared" si="3"/>
        <v>#N/A</v>
      </c>
      <c r="M319" s="110" t="s">
        <v>57</v>
      </c>
      <c r="N319" s="111">
        <f>VLOOKUP(M319,'Dados StatusInvest'!$A:$Z,26,0)</f>
        <v>2146.31</v>
      </c>
      <c r="O319" s="118">
        <f>VLOOKUP(M319,'Dados StatusInvest'!$A:$Z,18,0)/100</f>
        <v>0.1365</v>
      </c>
      <c r="P319" s="119" t="str">
        <f t="shared" si="5"/>
        <v>#N/A</v>
      </c>
      <c r="Q319" s="120">
        <f>IF(ISERROR(1/VLOOKUP(M319,Capa!A:AH,6,0)),0,1/VLOOKUP(M319,Capa!A:AH,6,0))</f>
        <v>0.1353179973</v>
      </c>
      <c r="R319" s="121">
        <f t="shared" si="6"/>
        <v>96.000096</v>
      </c>
      <c r="S319" s="122" t="str">
        <f t="shared" si="7"/>
        <v>#N/A</v>
      </c>
    </row>
    <row r="320">
      <c r="A320" s="123"/>
      <c r="B320" s="110" t="s">
        <v>438</v>
      </c>
      <c r="C320" s="111">
        <f>VLOOKUP(B320,'Dados StatusInvest'!$A:$Z,26,0)</f>
        <v>131410</v>
      </c>
      <c r="D320" s="112">
        <f>VLOOKUP(B320,'Dados StatusInvest'!$A:$Z,20,0)/100</f>
        <v>0.1621</v>
      </c>
      <c r="E320" s="87" t="str">
        <f t="shared" si="1"/>
        <v>#N/A</v>
      </c>
      <c r="F320" s="113">
        <f>IF(ISERROR(1/VLOOKUP(B320,Capa!A:AH,13,0)),0,1/VLOOKUP(B320,Capa!A:AH,13,0))</f>
        <v>8.163265306</v>
      </c>
      <c r="G320" s="114">
        <f t="shared" si="2"/>
        <v>103.000103</v>
      </c>
      <c r="H320" s="115" t="str">
        <f t="shared" si="3"/>
        <v>#N/A</v>
      </c>
      <c r="M320" s="110" t="s">
        <v>438</v>
      </c>
      <c r="N320" s="111">
        <f>VLOOKUP(M320,'Dados StatusInvest'!$A:$Z,26,0)</f>
        <v>131410</v>
      </c>
      <c r="O320" s="118">
        <f>VLOOKUP(M320,'Dados StatusInvest'!$A:$Z,18,0)/100</f>
        <v>-0.1771</v>
      </c>
      <c r="P320" s="119" t="str">
        <f t="shared" si="5"/>
        <v>#N/A</v>
      </c>
      <c r="Q320" s="120">
        <f>IF(ISERROR(1/VLOOKUP(M320,Capa!A:AH,6,0)),0,1/VLOOKUP(M320,Capa!A:AH,6,0))</f>
        <v>0.05602240896</v>
      </c>
      <c r="R320" s="121">
        <f t="shared" si="6"/>
        <v>173.000173</v>
      </c>
      <c r="S320" s="122" t="str">
        <f t="shared" si="7"/>
        <v>#N/A</v>
      </c>
    </row>
    <row r="321">
      <c r="A321" s="123"/>
      <c r="B321" s="110" t="s">
        <v>99</v>
      </c>
      <c r="C321" s="111">
        <f>VLOOKUP(B321,'Dados StatusInvest'!$A:$Z,26,0)</f>
        <v>20127.4</v>
      </c>
      <c r="D321" s="112">
        <f>VLOOKUP(B321,'Dados StatusInvest'!$A:$Z,20,0)/100</f>
        <v>0.1928</v>
      </c>
      <c r="E321" s="87" t="str">
        <f t="shared" si="1"/>
        <v>#N/A</v>
      </c>
      <c r="F321" s="113">
        <f>IF(ISERROR(1/VLOOKUP(B321,Capa!A:AH,13,0)),0,1/VLOOKUP(B321,Capa!A:AH,13,0))</f>
        <v>4.74818948</v>
      </c>
      <c r="G321" s="114">
        <f t="shared" si="2"/>
        <v>167.000167</v>
      </c>
      <c r="H321" s="115" t="str">
        <f t="shared" si="3"/>
        <v>#N/A</v>
      </c>
      <c r="M321" s="110" t="s">
        <v>99</v>
      </c>
      <c r="N321" s="111">
        <f>VLOOKUP(M321,'Dados StatusInvest'!$A:$Z,26,0)</f>
        <v>20127.4</v>
      </c>
      <c r="O321" s="118">
        <f>VLOOKUP(M321,'Dados StatusInvest'!$A:$Z,18,0)/100</f>
        <v>0.1352</v>
      </c>
      <c r="P321" s="119" t="str">
        <f t="shared" si="5"/>
        <v>#N/A</v>
      </c>
      <c r="Q321" s="120">
        <f>IF(ISERROR(1/VLOOKUP(M321,Capa!A:AH,6,0)),0,1/VLOOKUP(M321,Capa!A:AH,6,0))</f>
        <v>0.05402485143</v>
      </c>
      <c r="R321" s="121">
        <f t="shared" si="6"/>
        <v>175.000175</v>
      </c>
      <c r="S321" s="122" t="str">
        <f t="shared" si="7"/>
        <v>#N/A</v>
      </c>
    </row>
    <row r="322">
      <c r="A322" s="123"/>
      <c r="B322" s="110" t="s">
        <v>235</v>
      </c>
      <c r="C322" s="111">
        <f>VLOOKUP(B322,'Dados StatusInvest'!$A:$Z,26,0)</f>
        <v>12718.36</v>
      </c>
      <c r="D322" s="112">
        <f>VLOOKUP(B322,'Dados StatusInvest'!$A:$Z,20,0)/100</f>
        <v>-0.0682</v>
      </c>
      <c r="E322" s="87" t="str">
        <f t="shared" si="1"/>
        <v>#N/A</v>
      </c>
      <c r="F322" s="113">
        <f>IF(ISERROR(1/VLOOKUP(B322,Capa!A:AH,13,0)),0,1/VLOOKUP(B322,Capa!A:AH,13,0))</f>
        <v>-21.02140284</v>
      </c>
      <c r="G322" s="114">
        <f t="shared" si="2"/>
        <v>431.000431</v>
      </c>
      <c r="H322" s="115" t="str">
        <f t="shared" si="3"/>
        <v>#N/A</v>
      </c>
      <c r="M322" s="110" t="s">
        <v>235</v>
      </c>
      <c r="N322" s="111">
        <f>VLOOKUP(M322,'Dados StatusInvest'!$A:$Z,26,0)</f>
        <v>12718.36</v>
      </c>
      <c r="O322" s="118">
        <f>VLOOKUP(M322,'Dados StatusInvest'!$A:$Z,18,0)/100</f>
        <v>-0.0429</v>
      </c>
      <c r="P322" s="119" t="str">
        <f t="shared" si="5"/>
        <v>#N/A</v>
      </c>
      <c r="Q322" s="120">
        <f>IF(ISERROR(1/VLOOKUP(M322,Capa!A:AH,6,0)),0,1/VLOOKUP(M322,Capa!A:AH,6,0))</f>
        <v>0.05040322581</v>
      </c>
      <c r="R322" s="121">
        <f t="shared" si="6"/>
        <v>183.000183</v>
      </c>
      <c r="S322" s="122" t="str">
        <f t="shared" si="7"/>
        <v>#N/A</v>
      </c>
    </row>
    <row r="323">
      <c r="A323" s="123"/>
      <c r="B323" s="110" t="s">
        <v>153</v>
      </c>
      <c r="C323" s="111">
        <f>VLOOKUP(B323,'Dados StatusInvest'!$A:$Z,26,0)</f>
        <v>0</v>
      </c>
      <c r="D323" s="112">
        <f>VLOOKUP(B323,'Dados StatusInvest'!$A:$Z,20,0)/100</f>
        <v>-0.0291</v>
      </c>
      <c r="E323" s="87" t="str">
        <f t="shared" si="1"/>
        <v>#N/A</v>
      </c>
      <c r="F323" s="113">
        <f>IF(ISERROR(1/VLOOKUP(B323,Capa!A:AH,13,0)),0,1/VLOOKUP(B323,Capa!A:AH,13,0))</f>
        <v>0</v>
      </c>
      <c r="G323" s="114">
        <f t="shared" si="2"/>
        <v>246.000246</v>
      </c>
      <c r="H323" s="115" t="str">
        <f t="shared" si="3"/>
        <v>#N/A</v>
      </c>
      <c r="M323" s="110" t="s">
        <v>153</v>
      </c>
      <c r="N323" s="111">
        <f>VLOOKUP(M323,'Dados StatusInvest'!$A:$Z,26,0)</f>
        <v>0</v>
      </c>
      <c r="O323" s="118">
        <f>VLOOKUP(M323,'Dados StatusInvest'!$A:$Z,18,0)/100</f>
        <v>0.0156</v>
      </c>
      <c r="P323" s="119" t="str">
        <f t="shared" si="5"/>
        <v>#N/A</v>
      </c>
      <c r="Q323" s="120">
        <f>IF(ISERROR(1/VLOOKUP(M323,Capa!A:AH,6,0)),0,1/VLOOKUP(M323,Capa!A:AH,6,0))</f>
        <v>0</v>
      </c>
      <c r="R323" s="121">
        <f t="shared" si="6"/>
        <v>306.000306</v>
      </c>
      <c r="S323" s="122" t="str">
        <f t="shared" si="7"/>
        <v>#N/A</v>
      </c>
    </row>
    <row r="324">
      <c r="A324" s="123"/>
      <c r="B324" s="110" t="s">
        <v>232</v>
      </c>
      <c r="C324" s="111">
        <f>VLOOKUP(B324,'Dados StatusInvest'!$A:$Z,26,0)</f>
        <v>0</v>
      </c>
      <c r="D324" s="112">
        <f>VLOOKUP(B324,'Dados StatusInvest'!$A:$Z,20,0)/100</f>
        <v>0</v>
      </c>
      <c r="E324" s="87" t="str">
        <f t="shared" si="1"/>
        <v>#N/A</v>
      </c>
      <c r="F324" s="113">
        <f>IF(ISERROR(1/VLOOKUP(B324,Capa!A:AH,13,0)),0,1/VLOOKUP(B324,Capa!A:AH,13,0))</f>
        <v>0</v>
      </c>
      <c r="G324" s="114">
        <f t="shared" si="2"/>
        <v>246.000246</v>
      </c>
      <c r="H324" s="115" t="str">
        <f t="shared" si="3"/>
        <v>#N/A</v>
      </c>
      <c r="M324" s="110" t="s">
        <v>232</v>
      </c>
      <c r="N324" s="111">
        <f>VLOOKUP(M324,'Dados StatusInvest'!$A:$Z,26,0)</f>
        <v>0</v>
      </c>
      <c r="O324" s="118">
        <f>VLOOKUP(M324,'Dados StatusInvest'!$A:$Z,18,0)/100</f>
        <v>0.0189</v>
      </c>
      <c r="P324" s="119" t="str">
        <f t="shared" si="5"/>
        <v>#N/A</v>
      </c>
      <c r="Q324" s="120">
        <f>IF(ISERROR(1/VLOOKUP(M324,Capa!A:AH,6,0)),0,1/VLOOKUP(M324,Capa!A:AH,6,0))</f>
        <v>0</v>
      </c>
      <c r="R324" s="121">
        <f t="shared" si="6"/>
        <v>306.000306</v>
      </c>
      <c r="S324" s="122" t="str">
        <f t="shared" si="7"/>
        <v>#N/A</v>
      </c>
    </row>
    <row r="325">
      <c r="A325" s="123"/>
      <c r="B325" s="110" t="s">
        <v>138</v>
      </c>
      <c r="C325" s="111">
        <f>VLOOKUP(B325,'Dados StatusInvest'!$A:$Z,26,0)</f>
        <v>152157.7</v>
      </c>
      <c r="D325" s="112">
        <f>VLOOKUP(B325,'Dados StatusInvest'!$A:$Z,20,0)/100</f>
        <v>0</v>
      </c>
      <c r="E325" s="87" t="str">
        <f t="shared" si="1"/>
        <v>#N/A</v>
      </c>
      <c r="F325" s="113">
        <f>IF(ISERROR(1/VLOOKUP(B325,Capa!A:AH,13,0)),0,1/VLOOKUP(B325,Capa!A:AH,13,0))</f>
        <v>2.204492564</v>
      </c>
      <c r="G325" s="114">
        <f t="shared" si="2"/>
        <v>215.000215</v>
      </c>
      <c r="H325" s="115" t="str">
        <f t="shared" si="3"/>
        <v>#N/A</v>
      </c>
      <c r="M325" s="110" t="s">
        <v>138</v>
      </c>
      <c r="N325" s="111">
        <f>VLOOKUP(M325,'Dados StatusInvest'!$A:$Z,26,0)</f>
        <v>152157.7</v>
      </c>
      <c r="O325" s="118">
        <f>VLOOKUP(M325,'Dados StatusInvest'!$A:$Z,18,0)/100</f>
        <v>0.206</v>
      </c>
      <c r="P325" s="119" t="str">
        <f t="shared" si="5"/>
        <v>#N/A</v>
      </c>
      <c r="Q325" s="120">
        <f>IF(ISERROR(1/VLOOKUP(M325,Capa!A:AH,6,0)),0,1/VLOOKUP(M325,Capa!A:AH,6,0))</f>
        <v>0.08695652174</v>
      </c>
      <c r="R325" s="121">
        <f t="shared" si="6"/>
        <v>132.000132</v>
      </c>
      <c r="S325" s="122" t="str">
        <f t="shared" si="7"/>
        <v>#N/A</v>
      </c>
    </row>
    <row r="326">
      <c r="A326" s="123"/>
      <c r="B326" s="110" t="s">
        <v>549</v>
      </c>
      <c r="C326" s="111">
        <f>VLOOKUP(B326,'Dados StatusInvest'!$A:$Z,26,0)</f>
        <v>81851.05</v>
      </c>
      <c r="D326" s="112">
        <f>VLOOKUP(B326,'Dados StatusInvest'!$A:$Z,20,0)/100</f>
        <v>-0.0263</v>
      </c>
      <c r="E326" s="87" t="str">
        <f t="shared" si="1"/>
        <v>#N/A</v>
      </c>
      <c r="F326" s="113">
        <f>IF(ISERROR(1/VLOOKUP(B326,Capa!A:AH,13,0)),0,1/VLOOKUP(B326,Capa!A:AH,13,0))</f>
        <v>-15.31393568</v>
      </c>
      <c r="G326" s="114">
        <f t="shared" si="2"/>
        <v>420.00042</v>
      </c>
      <c r="H326" s="115" t="str">
        <f t="shared" si="3"/>
        <v>#N/A</v>
      </c>
      <c r="M326" s="110" t="s">
        <v>549</v>
      </c>
      <c r="N326" s="111">
        <f>VLOOKUP(M326,'Dados StatusInvest'!$A:$Z,26,0)</f>
        <v>81851.05</v>
      </c>
      <c r="O326" s="118">
        <f>VLOOKUP(M326,'Dados StatusInvest'!$A:$Z,18,0)/100</f>
        <v>-0.136</v>
      </c>
      <c r="P326" s="119" t="str">
        <f t="shared" si="5"/>
        <v>#N/A</v>
      </c>
      <c r="Q326" s="120">
        <f>IF(ISERROR(1/VLOOKUP(M326,Capa!A:AH,6,0)),0,1/VLOOKUP(M326,Capa!A:AH,6,0))</f>
        <v>1</v>
      </c>
      <c r="R326" s="121">
        <f t="shared" si="6"/>
        <v>10.00001</v>
      </c>
      <c r="S326" s="122" t="str">
        <f t="shared" si="7"/>
        <v>#N/A</v>
      </c>
    </row>
    <row r="327">
      <c r="A327" s="123"/>
      <c r="B327" s="110" t="s">
        <v>506</v>
      </c>
      <c r="C327" s="111">
        <f>VLOOKUP(B327,'Dados StatusInvest'!$A:$Z,26,0)</f>
        <v>2066.24</v>
      </c>
      <c r="D327" s="112">
        <f>VLOOKUP(B327,'Dados StatusInvest'!$A:$Z,20,0)/100</f>
        <v>0.1267</v>
      </c>
      <c r="E327" s="87" t="str">
        <f t="shared" si="1"/>
        <v>#N/A</v>
      </c>
      <c r="F327" s="113">
        <f>IF(ISERROR(1/VLOOKUP(B327,Capa!A:AH,13,0)),0,1/VLOOKUP(B327,Capa!A:AH,13,0))</f>
        <v>-48.54166232</v>
      </c>
      <c r="G327" s="114">
        <f t="shared" si="2"/>
        <v>434.000434</v>
      </c>
      <c r="H327" s="115" t="str">
        <f t="shared" si="3"/>
        <v>#N/A</v>
      </c>
      <c r="M327" s="110" t="s">
        <v>506</v>
      </c>
      <c r="N327" s="111">
        <f>VLOOKUP(M327,'Dados StatusInvest'!$A:$Z,26,0)</f>
        <v>2066.24</v>
      </c>
      <c r="O327" s="118">
        <f>VLOOKUP(M327,'Dados StatusInvest'!$A:$Z,18,0)/100</f>
        <v>-0.2614</v>
      </c>
      <c r="P327" s="119" t="str">
        <f t="shared" si="5"/>
        <v>#N/A</v>
      </c>
      <c r="Q327" s="120">
        <f>IF(ISERROR(1/VLOOKUP(M327,Capa!A:AH,6,0)),0,1/VLOOKUP(M327,Capa!A:AH,6,0))</f>
        <v>0.2150537634</v>
      </c>
      <c r="R327" s="121">
        <f t="shared" si="6"/>
        <v>60.00006</v>
      </c>
      <c r="S327" s="122" t="str">
        <f t="shared" si="7"/>
        <v>#N/A</v>
      </c>
    </row>
    <row r="328">
      <c r="A328" s="123"/>
      <c r="B328" s="110" t="s">
        <v>611</v>
      </c>
      <c r="C328" s="111">
        <f>VLOOKUP(B328,'Dados StatusInvest'!$A:$Z,26,0)</f>
        <v>16653.12</v>
      </c>
      <c r="D328" s="112">
        <f>VLOOKUP(B328,'Dados StatusInvest'!$A:$Z,20,0)/100</f>
        <v>0.0792</v>
      </c>
      <c r="E328" s="87" t="str">
        <f t="shared" si="1"/>
        <v>#N/A</v>
      </c>
      <c r="F328" s="113">
        <f>IF(ISERROR(1/VLOOKUP(B328,Capa!A:AH,13,0)),0,1/VLOOKUP(B328,Capa!A:AH,13,0))</f>
        <v>3.800836184</v>
      </c>
      <c r="G328" s="114">
        <f t="shared" si="2"/>
        <v>195.000195</v>
      </c>
      <c r="H328" s="115" t="str">
        <f t="shared" si="3"/>
        <v>#N/A</v>
      </c>
      <c r="M328" s="110" t="s">
        <v>611</v>
      </c>
      <c r="N328" s="111">
        <f>VLOOKUP(M328,'Dados StatusInvest'!$A:$Z,26,0)</f>
        <v>16653.12</v>
      </c>
      <c r="O328" s="118">
        <f>VLOOKUP(M328,'Dados StatusInvest'!$A:$Z,18,0)/100</f>
        <v>0.0368</v>
      </c>
      <c r="P328" s="119" t="str">
        <f t="shared" si="5"/>
        <v>#N/A</v>
      </c>
      <c r="Q328" s="120">
        <f>IF(ISERROR(1/VLOOKUP(M328,Capa!A:AH,6,0)),0,1/VLOOKUP(M328,Capa!A:AH,6,0))</f>
        <v>0.078125</v>
      </c>
      <c r="R328" s="121">
        <f t="shared" si="6"/>
        <v>141.000141</v>
      </c>
      <c r="S328" s="122" t="str">
        <f t="shared" si="7"/>
        <v>#N/A</v>
      </c>
    </row>
    <row r="329">
      <c r="A329" s="123"/>
      <c r="B329" s="110" t="s">
        <v>464</v>
      </c>
      <c r="C329" s="111">
        <f>VLOOKUP(B329,'Dados StatusInvest'!$A:$Z,26,0)</f>
        <v>0</v>
      </c>
      <c r="D329" s="112">
        <f>VLOOKUP(B329,'Dados StatusInvest'!$A:$Z,20,0)/100</f>
        <v>0.1589</v>
      </c>
      <c r="E329" s="87" t="str">
        <f t="shared" si="1"/>
        <v>#N/A</v>
      </c>
      <c r="F329" s="113">
        <f>IF(ISERROR(1/VLOOKUP(B329,Capa!A:AH,13,0)),0,1/VLOOKUP(B329,Capa!A:AH,13,0))</f>
        <v>0</v>
      </c>
      <c r="G329" s="114">
        <f t="shared" si="2"/>
        <v>246.000246</v>
      </c>
      <c r="H329" s="115" t="str">
        <f t="shared" si="3"/>
        <v>#N/A</v>
      </c>
      <c r="M329" s="110" t="s">
        <v>464</v>
      </c>
      <c r="N329" s="111">
        <f>VLOOKUP(M329,'Dados StatusInvest'!$A:$Z,26,0)</f>
        <v>0</v>
      </c>
      <c r="O329" s="118">
        <f>VLOOKUP(M329,'Dados StatusInvest'!$A:$Z,18,0)/100</f>
        <v>0.2342</v>
      </c>
      <c r="P329" s="119" t="str">
        <f t="shared" si="5"/>
        <v>#N/A</v>
      </c>
      <c r="Q329" s="120">
        <f>IF(ISERROR(1/VLOOKUP(M329,Capa!A:AH,6,0)),0,1/VLOOKUP(M329,Capa!A:AH,6,0))</f>
        <v>0</v>
      </c>
      <c r="R329" s="121">
        <f t="shared" si="6"/>
        <v>306.000306</v>
      </c>
      <c r="S329" s="122" t="str">
        <f t="shared" si="7"/>
        <v>#N/A</v>
      </c>
    </row>
    <row r="330">
      <c r="A330" s="123"/>
      <c r="B330" s="110" t="s">
        <v>588</v>
      </c>
      <c r="C330" s="111">
        <f>VLOOKUP(B330,'Dados StatusInvest'!$A:$Z,26,0)</f>
        <v>6449.8</v>
      </c>
      <c r="D330" s="112">
        <f>VLOOKUP(B330,'Dados StatusInvest'!$A:$Z,20,0)/100</f>
        <v>0.2076</v>
      </c>
      <c r="E330" s="87" t="str">
        <f t="shared" si="1"/>
        <v>#N/A</v>
      </c>
      <c r="F330" s="113">
        <f>IF(ISERROR(1/VLOOKUP(B330,Capa!A:AH,13,0)),0,1/VLOOKUP(B330,Capa!A:AH,13,0))</f>
        <v>5.767012687</v>
      </c>
      <c r="G330" s="114">
        <f t="shared" si="2"/>
        <v>138.000138</v>
      </c>
      <c r="H330" s="115" t="str">
        <f t="shared" si="3"/>
        <v>#N/A</v>
      </c>
      <c r="M330" s="110" t="s">
        <v>588</v>
      </c>
      <c r="N330" s="111">
        <f>VLOOKUP(M330,'Dados StatusInvest'!$A:$Z,26,0)</f>
        <v>6449.8</v>
      </c>
      <c r="O330" s="118">
        <f>VLOOKUP(M330,'Dados StatusInvest'!$A:$Z,18,0)/100</f>
        <v>0.3839</v>
      </c>
      <c r="P330" s="119" t="str">
        <f t="shared" si="5"/>
        <v>#N/A</v>
      </c>
      <c r="Q330" s="120">
        <f>IF(ISERROR(1/VLOOKUP(M330,Capa!A:AH,6,0)),0,1/VLOOKUP(M330,Capa!A:AH,6,0))</f>
        <v>0.01470588235</v>
      </c>
      <c r="R330" s="121">
        <f t="shared" si="6"/>
        <v>272.000272</v>
      </c>
      <c r="S330" s="122" t="str">
        <f t="shared" si="7"/>
        <v>#N/A</v>
      </c>
    </row>
    <row r="331">
      <c r="A331" s="123"/>
      <c r="B331" s="110" t="s">
        <v>174</v>
      </c>
      <c r="C331" s="111">
        <f>VLOOKUP(B331,'Dados StatusInvest'!$A:$Z,26,0)</f>
        <v>0</v>
      </c>
      <c r="D331" s="112">
        <f>VLOOKUP(B331,'Dados StatusInvest'!$A:$Z,20,0)/100</f>
        <v>0.0558</v>
      </c>
      <c r="E331" s="87" t="str">
        <f t="shared" si="1"/>
        <v>#N/A</v>
      </c>
      <c r="F331" s="113">
        <f>IF(ISERROR(1/VLOOKUP(B331,Capa!A:AH,13,0)),0,1/VLOOKUP(B331,Capa!A:AH,13,0))</f>
        <v>0</v>
      </c>
      <c r="G331" s="114">
        <f t="shared" si="2"/>
        <v>246.000246</v>
      </c>
      <c r="H331" s="115" t="str">
        <f t="shared" si="3"/>
        <v>#N/A</v>
      </c>
      <c r="M331" s="110" t="s">
        <v>174</v>
      </c>
      <c r="N331" s="111">
        <f>VLOOKUP(M331,'Dados StatusInvest'!$A:$Z,26,0)</f>
        <v>0</v>
      </c>
      <c r="O331" s="118">
        <f>VLOOKUP(M331,'Dados StatusInvest'!$A:$Z,18,0)/100</f>
        <v>0.1184</v>
      </c>
      <c r="P331" s="119" t="str">
        <f t="shared" si="5"/>
        <v>#N/A</v>
      </c>
      <c r="Q331" s="120">
        <f>IF(ISERROR(1/VLOOKUP(M331,Capa!A:AH,6,0)),0,1/VLOOKUP(M331,Capa!A:AH,6,0))</f>
        <v>0</v>
      </c>
      <c r="R331" s="121">
        <f t="shared" si="6"/>
        <v>306.000306</v>
      </c>
      <c r="S331" s="122" t="str">
        <f t="shared" si="7"/>
        <v>#N/A</v>
      </c>
    </row>
    <row r="332">
      <c r="A332" s="123"/>
      <c r="B332" s="110" t="s">
        <v>249</v>
      </c>
      <c r="C332" s="111">
        <f>VLOOKUP(B332,'Dados StatusInvest'!$A:$Z,26,0)</f>
        <v>55933.88</v>
      </c>
      <c r="D332" s="112">
        <f>VLOOKUP(B332,'Dados StatusInvest'!$A:$Z,20,0)/100</f>
        <v>0.1407</v>
      </c>
      <c r="E332" s="87" t="str">
        <f t="shared" si="1"/>
        <v>#N/A</v>
      </c>
      <c r="F332" s="113">
        <f>IF(ISERROR(1/VLOOKUP(B332,Capa!A:AH,13,0)),0,1/VLOOKUP(B332,Capa!A:AH,13,0))</f>
        <v>8.370435227</v>
      </c>
      <c r="G332" s="114">
        <f t="shared" si="2"/>
        <v>101.000101</v>
      </c>
      <c r="H332" s="115" t="str">
        <f t="shared" si="3"/>
        <v>#N/A</v>
      </c>
      <c r="M332" s="110" t="s">
        <v>249</v>
      </c>
      <c r="N332" s="111">
        <f>VLOOKUP(M332,'Dados StatusInvest'!$A:$Z,26,0)</f>
        <v>55933.88</v>
      </c>
      <c r="O332" s="118">
        <f>VLOOKUP(M332,'Dados StatusInvest'!$A:$Z,18,0)/100</f>
        <v>2.0493</v>
      </c>
      <c r="P332" s="119" t="str">
        <f t="shared" si="5"/>
        <v>#N/A</v>
      </c>
      <c r="Q332" s="120">
        <f>IF(ISERROR(1/VLOOKUP(M332,Capa!A:AH,6,0)),0,1/VLOOKUP(M332,Capa!A:AH,6,0))</f>
        <v>0.0200120072</v>
      </c>
      <c r="R332" s="121">
        <f t="shared" si="6"/>
        <v>257.000257</v>
      </c>
      <c r="S332" s="122" t="str">
        <f t="shared" si="7"/>
        <v>#N/A</v>
      </c>
    </row>
    <row r="333">
      <c r="A333" s="123"/>
      <c r="B333" s="110" t="s">
        <v>557</v>
      </c>
      <c r="C333" s="111">
        <f>VLOOKUP(B333,'Dados StatusInvest'!$A:$Z,26,0)</f>
        <v>205151.1</v>
      </c>
      <c r="D333" s="112">
        <f>VLOOKUP(B333,'Dados StatusInvest'!$A:$Z,20,0)/100</f>
        <v>0.1341</v>
      </c>
      <c r="E333" s="87" t="str">
        <f t="shared" si="1"/>
        <v>#N/A</v>
      </c>
      <c r="F333" s="113">
        <f>IF(ISERROR(1/VLOOKUP(B333,Capa!A:AH,13,0)),0,1/VLOOKUP(B333,Capa!A:AH,13,0))</f>
        <v>4.486316734</v>
      </c>
      <c r="G333" s="114">
        <f t="shared" si="2"/>
        <v>170.00017</v>
      </c>
      <c r="H333" s="115" t="str">
        <f t="shared" si="3"/>
        <v>#N/A</v>
      </c>
      <c r="M333" s="110" t="s">
        <v>557</v>
      </c>
      <c r="N333" s="111">
        <f>VLOOKUP(M333,'Dados StatusInvest'!$A:$Z,26,0)</f>
        <v>205151.1</v>
      </c>
      <c r="O333" s="118">
        <f>VLOOKUP(M333,'Dados StatusInvest'!$A:$Z,18,0)/100</f>
        <v>0.2391</v>
      </c>
      <c r="P333" s="119" t="str">
        <f t="shared" si="5"/>
        <v>#N/A</v>
      </c>
      <c r="Q333" s="120">
        <f>IF(ISERROR(1/VLOOKUP(M333,Capa!A:AH,6,0)),0,1/VLOOKUP(M333,Capa!A:AH,6,0))</f>
        <v>0.01423284942</v>
      </c>
      <c r="R333" s="121">
        <f t="shared" si="6"/>
        <v>277.000277</v>
      </c>
      <c r="S333" s="122" t="str">
        <f t="shared" si="7"/>
        <v>#N/A</v>
      </c>
    </row>
    <row r="334">
      <c r="A334" s="123"/>
      <c r="B334" s="110" t="s">
        <v>252</v>
      </c>
      <c r="C334" s="111">
        <f>VLOOKUP(B334,'Dados StatusInvest'!$A:$Z,26,0)</f>
        <v>1979.23</v>
      </c>
      <c r="D334" s="112">
        <f>VLOOKUP(B334,'Dados StatusInvest'!$A:$Z,20,0)/100</f>
        <v>-0.3434</v>
      </c>
      <c r="E334" s="87" t="str">
        <f t="shared" si="1"/>
        <v>#N/A</v>
      </c>
      <c r="F334" s="113">
        <f>IF(ISERROR(1/VLOOKUP(B334,Capa!A:AH,13,0)),0,1/VLOOKUP(B334,Capa!A:AH,13,0))</f>
        <v>-0.3287743293</v>
      </c>
      <c r="G334" s="114">
        <f t="shared" si="2"/>
        <v>398.000398</v>
      </c>
      <c r="H334" s="115" t="str">
        <f t="shared" si="3"/>
        <v>#N/A</v>
      </c>
      <c r="M334" s="110" t="s">
        <v>252</v>
      </c>
      <c r="N334" s="111">
        <f>VLOOKUP(M334,'Dados StatusInvest'!$A:$Z,26,0)</f>
        <v>1979.23</v>
      </c>
      <c r="O334" s="118">
        <f>VLOOKUP(M334,'Dados StatusInvest'!$A:$Z,18,0)/100</f>
        <v>-1.6282</v>
      </c>
      <c r="P334" s="119" t="str">
        <f t="shared" si="5"/>
        <v>#N/A</v>
      </c>
      <c r="Q334" s="120">
        <f>IF(ISERROR(1/VLOOKUP(M334,Capa!A:AH,6,0)),0,1/VLOOKUP(M334,Capa!A:AH,6,0))</f>
        <v>0.390625</v>
      </c>
      <c r="R334" s="121">
        <f t="shared" si="6"/>
        <v>34.000034</v>
      </c>
      <c r="S334" s="122" t="str">
        <f t="shared" si="7"/>
        <v>#N/A</v>
      </c>
    </row>
    <row r="335">
      <c r="A335" s="123"/>
      <c r="B335" s="110" t="s">
        <v>129</v>
      </c>
      <c r="C335" s="111">
        <f>VLOOKUP(B335,'Dados StatusInvest'!$A:$Z,26,0)</f>
        <v>3498.5</v>
      </c>
      <c r="D335" s="112">
        <f>VLOOKUP(B335,'Dados StatusInvest'!$A:$Z,20,0)/100</f>
        <v>0</v>
      </c>
      <c r="E335" s="87" t="str">
        <f t="shared" si="1"/>
        <v>#N/A</v>
      </c>
      <c r="F335" s="113">
        <f>IF(ISERROR(1/VLOOKUP(B335,Capa!A:AH,13,0)),0,1/VLOOKUP(B335,Capa!A:AH,13,0))</f>
        <v>4</v>
      </c>
      <c r="G335" s="114">
        <f t="shared" si="2"/>
        <v>188.000188</v>
      </c>
      <c r="H335" s="115" t="str">
        <f t="shared" si="3"/>
        <v>#N/A</v>
      </c>
      <c r="M335" s="110" t="s">
        <v>129</v>
      </c>
      <c r="N335" s="111">
        <f>VLOOKUP(M335,'Dados StatusInvest'!$A:$Z,26,0)</f>
        <v>3498.5</v>
      </c>
      <c r="O335" s="118">
        <f>VLOOKUP(M335,'Dados StatusInvest'!$A:$Z,18,0)/100</f>
        <v>0.0557</v>
      </c>
      <c r="P335" s="119" t="str">
        <f t="shared" si="5"/>
        <v>#N/A</v>
      </c>
      <c r="Q335" s="120">
        <f>IF(ISERROR(1/VLOOKUP(M335,Capa!A:AH,6,0)),0,1/VLOOKUP(M335,Capa!A:AH,6,0))</f>
        <v>0.05249343832</v>
      </c>
      <c r="R335" s="121">
        <f t="shared" si="6"/>
        <v>179.000179</v>
      </c>
      <c r="S335" s="122" t="str">
        <f t="shared" si="7"/>
        <v>#N/A</v>
      </c>
    </row>
    <row r="336">
      <c r="A336" s="123"/>
      <c r="B336" s="110" t="s">
        <v>457</v>
      </c>
      <c r="C336" s="111">
        <f>VLOOKUP(B336,'Dados StatusInvest'!$A:$Z,26,0)</f>
        <v>7600</v>
      </c>
      <c r="D336" s="112">
        <f>VLOOKUP(B336,'Dados StatusInvest'!$A:$Z,20,0)/100</f>
        <v>0.017</v>
      </c>
      <c r="E336" s="87" t="str">
        <f t="shared" si="1"/>
        <v>#N/A</v>
      </c>
      <c r="F336" s="113">
        <f>IF(ISERROR(1/VLOOKUP(B336,Capa!A:AH,13,0)),0,1/VLOOKUP(B336,Capa!A:AH,13,0))</f>
        <v>13.84808613</v>
      </c>
      <c r="G336" s="114">
        <f t="shared" si="2"/>
        <v>47.000047</v>
      </c>
      <c r="H336" s="115" t="str">
        <f t="shared" si="3"/>
        <v>#N/A</v>
      </c>
      <c r="M336" s="110" t="s">
        <v>457</v>
      </c>
      <c r="N336" s="111">
        <f>VLOOKUP(M336,'Dados StatusInvest'!$A:$Z,26,0)</f>
        <v>7600</v>
      </c>
      <c r="O336" s="118">
        <f>VLOOKUP(M336,'Dados StatusInvest'!$A:$Z,18,0)/100</f>
        <v>0.0871</v>
      </c>
      <c r="P336" s="119" t="str">
        <f t="shared" si="5"/>
        <v>#N/A</v>
      </c>
      <c r="Q336" s="120">
        <f>IF(ISERROR(1/VLOOKUP(M336,Capa!A:AH,6,0)),0,1/VLOOKUP(M336,Capa!A:AH,6,0))</f>
        <v>0.01315789474</v>
      </c>
      <c r="R336" s="121">
        <f t="shared" si="6"/>
        <v>278.000278</v>
      </c>
      <c r="S336" s="122" t="str">
        <f t="shared" si="7"/>
        <v>#N/A</v>
      </c>
    </row>
    <row r="337">
      <c r="A337" s="123"/>
      <c r="B337" s="110" t="s">
        <v>451</v>
      </c>
      <c r="C337" s="111">
        <f>VLOOKUP(B337,'Dados StatusInvest'!$A:$Z,26,0)</f>
        <v>0</v>
      </c>
      <c r="D337" s="112">
        <f>VLOOKUP(B337,'Dados StatusInvest'!$A:$Z,20,0)/100</f>
        <v>0.0081</v>
      </c>
      <c r="E337" s="87" t="str">
        <f t="shared" si="1"/>
        <v>#N/A</v>
      </c>
      <c r="F337" s="113">
        <f>IF(ISERROR(1/VLOOKUP(B337,Capa!A:AH,13,0)),0,1/VLOOKUP(B337,Capa!A:AH,13,0))</f>
        <v>9.157509158</v>
      </c>
      <c r="G337" s="114">
        <f t="shared" si="2"/>
        <v>88.000088</v>
      </c>
      <c r="H337" s="115" t="str">
        <f t="shared" si="3"/>
        <v>#N/A</v>
      </c>
      <c r="M337" s="110" t="s">
        <v>451</v>
      </c>
      <c r="N337" s="111">
        <f>VLOOKUP(M337,'Dados StatusInvest'!$A:$Z,26,0)</f>
        <v>0</v>
      </c>
      <c r="O337" s="118">
        <f>VLOOKUP(M337,'Dados StatusInvest'!$A:$Z,18,0)/100</f>
        <v>-0.0163</v>
      </c>
      <c r="P337" s="119" t="str">
        <f t="shared" si="5"/>
        <v>#N/A</v>
      </c>
      <c r="Q337" s="120">
        <f>IF(ISERROR(1/VLOOKUP(M337,Capa!A:AH,6,0)),0,1/VLOOKUP(M337,Capa!A:AH,6,0))</f>
        <v>0.02127659574</v>
      </c>
      <c r="R337" s="121">
        <f t="shared" si="6"/>
        <v>250.00025</v>
      </c>
      <c r="S337" s="122" t="str">
        <f t="shared" si="7"/>
        <v>#N/A</v>
      </c>
    </row>
    <row r="338">
      <c r="A338" s="123"/>
      <c r="B338" s="110" t="s">
        <v>299</v>
      </c>
      <c r="C338" s="111">
        <f>VLOOKUP(B338,'Dados StatusInvest'!$A:$Z,26,0)</f>
        <v>19281.38</v>
      </c>
      <c r="D338" s="112">
        <f>VLOOKUP(B338,'Dados StatusInvest'!$A:$Z,20,0)/100</f>
        <v>0.1407</v>
      </c>
      <c r="E338" s="87" t="str">
        <f t="shared" si="1"/>
        <v>#N/A</v>
      </c>
      <c r="F338" s="113">
        <f>IF(ISERROR(1/VLOOKUP(B338,Capa!A:AH,13,0)),0,1/VLOOKUP(B338,Capa!A:AH,13,0))</f>
        <v>5.25101771</v>
      </c>
      <c r="G338" s="114">
        <f t="shared" si="2"/>
        <v>151.000151</v>
      </c>
      <c r="H338" s="115" t="str">
        <f t="shared" si="3"/>
        <v>#N/A</v>
      </c>
      <c r="M338" s="110" t="s">
        <v>299</v>
      </c>
      <c r="N338" s="111">
        <f>VLOOKUP(M338,'Dados StatusInvest'!$A:$Z,26,0)</f>
        <v>19281.38</v>
      </c>
      <c r="O338" s="118">
        <f>VLOOKUP(M338,'Dados StatusInvest'!$A:$Z,18,0)/100</f>
        <v>0.2522</v>
      </c>
      <c r="P338" s="119" t="str">
        <f t="shared" si="5"/>
        <v>#N/A</v>
      </c>
      <c r="Q338" s="120">
        <f>IF(ISERROR(1/VLOOKUP(M338,Capa!A:AH,6,0)),0,1/VLOOKUP(M338,Capa!A:AH,6,0))</f>
        <v>0.02062706271</v>
      </c>
      <c r="R338" s="121">
        <f t="shared" si="6"/>
        <v>253.000253</v>
      </c>
      <c r="S338" s="122" t="str">
        <f t="shared" si="7"/>
        <v>#N/A</v>
      </c>
    </row>
    <row r="339">
      <c r="A339" s="123"/>
      <c r="B339" s="110" t="s">
        <v>284</v>
      </c>
      <c r="C339" s="111">
        <f>VLOOKUP(B339,'Dados StatusInvest'!$A:$Z,26,0)</f>
        <v>0</v>
      </c>
      <c r="D339" s="112">
        <f>VLOOKUP(B339,'Dados StatusInvest'!$A:$Z,20,0)/100</f>
        <v>0.0438</v>
      </c>
      <c r="E339" s="87" t="str">
        <f t="shared" si="1"/>
        <v>#N/A</v>
      </c>
      <c r="F339" s="113">
        <f>IF(ISERROR(1/VLOOKUP(B339,Capa!A:AH,13,0)),0,1/VLOOKUP(B339,Capa!A:AH,13,0))</f>
        <v>0</v>
      </c>
      <c r="G339" s="114">
        <f t="shared" si="2"/>
        <v>246.000246</v>
      </c>
      <c r="H339" s="115" t="str">
        <f t="shared" si="3"/>
        <v>#N/A</v>
      </c>
      <c r="M339" s="110" t="s">
        <v>284</v>
      </c>
      <c r="N339" s="111">
        <f>VLOOKUP(M339,'Dados StatusInvest'!$A:$Z,26,0)</f>
        <v>0</v>
      </c>
      <c r="O339" s="118">
        <f>VLOOKUP(M339,'Dados StatusInvest'!$A:$Z,18,0)/100</f>
        <v>0.1087</v>
      </c>
      <c r="P339" s="119" t="str">
        <f t="shared" si="5"/>
        <v>#N/A</v>
      </c>
      <c r="Q339" s="120">
        <f>IF(ISERROR(1/VLOOKUP(M339,Capa!A:AH,6,0)),0,1/VLOOKUP(M339,Capa!A:AH,6,0))</f>
        <v>0</v>
      </c>
      <c r="R339" s="121">
        <f t="shared" si="6"/>
        <v>306.000306</v>
      </c>
      <c r="S339" s="122" t="str">
        <f t="shared" si="7"/>
        <v>#N/A</v>
      </c>
    </row>
    <row r="340">
      <c r="A340" s="123"/>
      <c r="B340" s="110" t="s">
        <v>60</v>
      </c>
      <c r="C340" s="111">
        <f>VLOOKUP(B340,'Dados StatusInvest'!$A:$Z,26,0)</f>
        <v>2100</v>
      </c>
      <c r="D340" s="112">
        <f>VLOOKUP(B340,'Dados StatusInvest'!$A:$Z,20,0)/100</f>
        <v>0.2708</v>
      </c>
      <c r="E340" s="87" t="str">
        <f t="shared" si="1"/>
        <v>#N/A</v>
      </c>
      <c r="F340" s="113">
        <f>IF(ISERROR(1/VLOOKUP(B340,Capa!A:AH,13,0)),0,1/VLOOKUP(B340,Capa!A:AH,13,0))</f>
        <v>9.057971014</v>
      </c>
      <c r="G340" s="114">
        <f t="shared" si="2"/>
        <v>91.000091</v>
      </c>
      <c r="H340" s="115" t="str">
        <f t="shared" si="3"/>
        <v>#N/A</v>
      </c>
      <c r="M340" s="110" t="s">
        <v>60</v>
      </c>
      <c r="N340" s="111">
        <f>VLOOKUP(M340,'Dados StatusInvest'!$A:$Z,26,0)</f>
        <v>2100</v>
      </c>
      <c r="O340" s="118">
        <f>VLOOKUP(M340,'Dados StatusInvest'!$A:$Z,18,0)/100</f>
        <v>0.3219</v>
      </c>
      <c r="P340" s="119" t="str">
        <f t="shared" si="5"/>
        <v>#N/A</v>
      </c>
      <c r="Q340" s="120">
        <f>IF(ISERROR(1/VLOOKUP(M340,Capa!A:AH,6,0)),0,1/VLOOKUP(M340,Capa!A:AH,6,0))</f>
        <v>0.04</v>
      </c>
      <c r="R340" s="121">
        <f t="shared" si="6"/>
        <v>203.000203</v>
      </c>
      <c r="S340" s="122" t="str">
        <f t="shared" si="7"/>
        <v>#N/A</v>
      </c>
    </row>
    <row r="341">
      <c r="A341" s="123"/>
      <c r="B341" s="110" t="s">
        <v>548</v>
      </c>
      <c r="C341" s="111">
        <f>VLOOKUP(B341,'Dados StatusInvest'!$A:$Z,26,0)</f>
        <v>95957.14</v>
      </c>
      <c r="D341" s="112">
        <f>VLOOKUP(B341,'Dados StatusInvest'!$A:$Z,20,0)/100</f>
        <v>-0.0263</v>
      </c>
      <c r="E341" s="87" t="str">
        <f t="shared" si="1"/>
        <v>#N/A</v>
      </c>
      <c r="F341" s="113">
        <f>IF(ISERROR(1/VLOOKUP(B341,Capa!A:AH,13,0)),0,1/VLOOKUP(B341,Capa!A:AH,13,0))</f>
        <v>-15.96837738</v>
      </c>
      <c r="G341" s="114">
        <f t="shared" si="2"/>
        <v>422.000422</v>
      </c>
      <c r="H341" s="115" t="str">
        <f t="shared" si="3"/>
        <v>#N/A</v>
      </c>
      <c r="M341" s="110" t="s">
        <v>548</v>
      </c>
      <c r="N341" s="111">
        <f>VLOOKUP(M341,'Dados StatusInvest'!$A:$Z,26,0)</f>
        <v>95957.14</v>
      </c>
      <c r="O341" s="118">
        <f>VLOOKUP(M341,'Dados StatusInvest'!$A:$Z,18,0)/100</f>
        <v>-0.136</v>
      </c>
      <c r="P341" s="119" t="str">
        <f t="shared" si="5"/>
        <v>#N/A</v>
      </c>
      <c r="Q341" s="120">
        <f>IF(ISERROR(1/VLOOKUP(M341,Capa!A:AH,6,0)),0,1/VLOOKUP(M341,Capa!A:AH,6,0))</f>
        <v>0.8196721311</v>
      </c>
      <c r="R341" s="121">
        <f t="shared" si="6"/>
        <v>15.000015</v>
      </c>
      <c r="S341" s="122" t="str">
        <f t="shared" si="7"/>
        <v>#N/A</v>
      </c>
    </row>
    <row r="342">
      <c r="A342" s="123"/>
      <c r="B342" s="110" t="s">
        <v>188</v>
      </c>
      <c r="C342" s="111">
        <f>VLOOKUP(B342,'Dados StatusInvest'!$A:$Z,26,0)</f>
        <v>43538.62</v>
      </c>
      <c r="D342" s="112">
        <f>VLOOKUP(B342,'Dados StatusInvest'!$A:$Z,20,0)/100</f>
        <v>0.1402</v>
      </c>
      <c r="E342" s="87" t="str">
        <f t="shared" si="1"/>
        <v>#N/A</v>
      </c>
      <c r="F342" s="113">
        <f>IF(ISERROR(1/VLOOKUP(B342,Capa!A:AH,13,0)),0,1/VLOOKUP(B342,Capa!A:AH,13,0))</f>
        <v>2.054868093</v>
      </c>
      <c r="G342" s="114">
        <f t="shared" si="2"/>
        <v>219.000219</v>
      </c>
      <c r="H342" s="115" t="str">
        <f t="shared" si="3"/>
        <v>#N/A</v>
      </c>
      <c r="M342" s="110" t="s">
        <v>188</v>
      </c>
      <c r="N342" s="111">
        <f>VLOOKUP(M342,'Dados StatusInvest'!$A:$Z,26,0)</f>
        <v>43538.62</v>
      </c>
      <c r="O342" s="118">
        <f>VLOOKUP(M342,'Dados StatusInvest'!$A:$Z,18,0)/100</f>
        <v>0.1936</v>
      </c>
      <c r="P342" s="119" t="str">
        <f t="shared" si="5"/>
        <v>#N/A</v>
      </c>
      <c r="Q342" s="120">
        <f>IF(ISERROR(1/VLOOKUP(M342,Capa!A:AH,6,0)),0,1/VLOOKUP(M342,Capa!A:AH,6,0))</f>
        <v>0.0336813742</v>
      </c>
      <c r="R342" s="121">
        <f t="shared" si="6"/>
        <v>212.000212</v>
      </c>
      <c r="S342" s="122" t="str">
        <f t="shared" si="7"/>
        <v>#N/A</v>
      </c>
    </row>
    <row r="343">
      <c r="A343" s="123"/>
      <c r="B343" s="110" t="s">
        <v>660</v>
      </c>
      <c r="C343" s="111">
        <f>VLOOKUP(B343,'Dados StatusInvest'!$A:$Z,26,0)</f>
        <v>14478.62</v>
      </c>
      <c r="D343" s="112">
        <f>VLOOKUP(B343,'Dados StatusInvest'!$A:$Z,20,0)/100</f>
        <v>0.2521</v>
      </c>
      <c r="E343" s="87" t="str">
        <f t="shared" si="1"/>
        <v>#N/A</v>
      </c>
      <c r="F343" s="113">
        <f>IF(ISERROR(1/VLOOKUP(B343,Capa!A:AH,13,0)),0,1/VLOOKUP(B343,Capa!A:AH,13,0))</f>
        <v>10.15228426</v>
      </c>
      <c r="G343" s="114">
        <f t="shared" si="2"/>
        <v>78.000078</v>
      </c>
      <c r="H343" s="115" t="str">
        <f t="shared" si="3"/>
        <v>#N/A</v>
      </c>
      <c r="M343" s="110" t="s">
        <v>660</v>
      </c>
      <c r="N343" s="111">
        <f>VLOOKUP(M343,'Dados StatusInvest'!$A:$Z,26,0)</f>
        <v>14478.62</v>
      </c>
      <c r="O343" s="118">
        <f>VLOOKUP(M343,'Dados StatusInvest'!$A:$Z,18,0)/100</f>
        <v>0.3274</v>
      </c>
      <c r="P343" s="119" t="str">
        <f t="shared" si="5"/>
        <v>#N/A</v>
      </c>
      <c r="Q343" s="120">
        <f>IF(ISERROR(1/VLOOKUP(M343,Capa!A:AH,6,0)),0,1/VLOOKUP(M343,Capa!A:AH,6,0))</f>
        <v>0.2252252252</v>
      </c>
      <c r="R343" s="121">
        <f t="shared" si="6"/>
        <v>58.000058</v>
      </c>
      <c r="S343" s="122" t="str">
        <f t="shared" si="7"/>
        <v>#N/A</v>
      </c>
    </row>
    <row r="344">
      <c r="A344" s="123"/>
      <c r="B344" s="110" t="s">
        <v>90</v>
      </c>
      <c r="C344" s="111">
        <f>VLOOKUP(B344,'Dados StatusInvest'!$A:$Z,26,0)</f>
        <v>483773.5</v>
      </c>
      <c r="D344" s="112">
        <f>VLOOKUP(B344,'Dados StatusInvest'!$A:$Z,20,0)/100</f>
        <v>-2.5088</v>
      </c>
      <c r="E344" s="87" t="str">
        <f t="shared" si="1"/>
        <v>#N/A</v>
      </c>
      <c r="F344" s="113">
        <f>IF(ISERROR(1/VLOOKUP(B344,Capa!A:AH,13,0)),0,1/VLOOKUP(B344,Capa!A:AH,13,0))</f>
        <v>-0.5495713344</v>
      </c>
      <c r="G344" s="114">
        <f t="shared" si="2"/>
        <v>400.0004</v>
      </c>
      <c r="H344" s="115" t="str">
        <f t="shared" si="3"/>
        <v>#N/A</v>
      </c>
      <c r="M344" s="110" t="s">
        <v>90</v>
      </c>
      <c r="N344" s="111">
        <f>VLOOKUP(M344,'Dados StatusInvest'!$A:$Z,26,0)</f>
        <v>483773.5</v>
      </c>
      <c r="O344" s="118">
        <f>VLOOKUP(M344,'Dados StatusInvest'!$A:$Z,18,0)/100</f>
        <v>-4.5329</v>
      </c>
      <c r="P344" s="119" t="str">
        <f t="shared" si="5"/>
        <v>#N/A</v>
      </c>
      <c r="Q344" s="120">
        <f>IF(ISERROR(1/VLOOKUP(M344,Capa!A:AH,6,0)),0,1/VLOOKUP(M344,Capa!A:AH,6,0))</f>
        <v>4</v>
      </c>
      <c r="R344" s="121">
        <f t="shared" si="6"/>
        <v>3.000003</v>
      </c>
      <c r="S344" s="122" t="str">
        <f t="shared" si="7"/>
        <v>#N/A</v>
      </c>
    </row>
    <row r="345">
      <c r="A345" s="123"/>
      <c r="B345" s="110" t="s">
        <v>1723</v>
      </c>
      <c r="C345" s="111" t="str">
        <f>VLOOKUP(B345,'Dados StatusInvest'!$A:$Z,26,0)</f>
        <v>#N/A</v>
      </c>
      <c r="D345" s="112" t="str">
        <f>VLOOKUP(B345,'Dados StatusInvest'!$A:$Z,20,0)/100</f>
        <v>#N/A</v>
      </c>
      <c r="E345" s="87" t="str">
        <f t="shared" si="1"/>
        <v>#N/A</v>
      </c>
      <c r="F345" s="113">
        <f>IF(ISERROR(1/VLOOKUP(B345,Capa!A:AH,13,0)),0,1/VLOOKUP(B345,Capa!A:AH,13,0))</f>
        <v>0</v>
      </c>
      <c r="G345" s="114">
        <f t="shared" si="2"/>
        <v>246.000246</v>
      </c>
      <c r="H345" s="115" t="str">
        <f t="shared" si="3"/>
        <v>#N/A</v>
      </c>
      <c r="M345" s="110" t="s">
        <v>1723</v>
      </c>
      <c r="N345" s="111" t="str">
        <f>VLOOKUP(M345,'Dados StatusInvest'!$A:$Z,26,0)</f>
        <v>#N/A</v>
      </c>
      <c r="O345" s="118" t="str">
        <f>VLOOKUP(M345,'Dados StatusInvest'!$A:$Z,18,0)/100</f>
        <v>#N/A</v>
      </c>
      <c r="P345" s="119" t="str">
        <f t="shared" si="5"/>
        <v>#N/A</v>
      </c>
      <c r="Q345" s="120">
        <f>IF(ISERROR(1/VLOOKUP(M345,Capa!A:AH,6,0)),0,1/VLOOKUP(M345,Capa!A:AH,6,0))</f>
        <v>0</v>
      </c>
      <c r="R345" s="121">
        <f t="shared" si="6"/>
        <v>306.000306</v>
      </c>
      <c r="S345" s="122" t="str">
        <f t="shared" si="7"/>
        <v>#N/A</v>
      </c>
    </row>
    <row r="346">
      <c r="A346" s="123"/>
      <c r="B346" s="110" t="s">
        <v>366</v>
      </c>
      <c r="C346" s="111">
        <f>VLOOKUP(B346,'Dados StatusInvest'!$A:$Z,26,0)</f>
        <v>22505.45</v>
      </c>
      <c r="D346" s="112">
        <f>VLOOKUP(B346,'Dados StatusInvest'!$A:$Z,20,0)/100</f>
        <v>-1.3433</v>
      </c>
      <c r="E346" s="87" t="str">
        <f t="shared" si="1"/>
        <v>#N/A</v>
      </c>
      <c r="F346" s="113">
        <f>IF(ISERROR(1/VLOOKUP(B346,Capa!A:AH,13,0)),0,1/VLOOKUP(B346,Capa!A:AH,13,0))</f>
        <v>1.860465116</v>
      </c>
      <c r="G346" s="114">
        <f t="shared" si="2"/>
        <v>224.000224</v>
      </c>
      <c r="H346" s="115" t="str">
        <f t="shared" si="3"/>
        <v>#N/A</v>
      </c>
      <c r="M346" s="110" t="s">
        <v>366</v>
      </c>
      <c r="N346" s="111">
        <f>VLOOKUP(M346,'Dados StatusInvest'!$A:$Z,26,0)</f>
        <v>22505.45</v>
      </c>
      <c r="O346" s="118">
        <f>VLOOKUP(M346,'Dados StatusInvest'!$A:$Z,18,0)/100</f>
        <v>-2.1614</v>
      </c>
      <c r="P346" s="119" t="str">
        <f t="shared" si="5"/>
        <v>#N/A</v>
      </c>
      <c r="Q346" s="120">
        <f>IF(ISERROR(1/VLOOKUP(M346,Capa!A:AH,6,0)),0,1/VLOOKUP(M346,Capa!A:AH,6,0))</f>
        <v>0.1422475107</v>
      </c>
      <c r="R346" s="121">
        <f t="shared" si="6"/>
        <v>92.000092</v>
      </c>
      <c r="S346" s="122" t="str">
        <f t="shared" si="7"/>
        <v>#N/A</v>
      </c>
    </row>
    <row r="347">
      <c r="A347" s="123"/>
      <c r="B347" s="110" t="s">
        <v>158</v>
      </c>
      <c r="C347" s="111">
        <f>VLOOKUP(B347,'Dados StatusInvest'!$A:$Z,26,0)</f>
        <v>0</v>
      </c>
      <c r="D347" s="112">
        <f>VLOOKUP(B347,'Dados StatusInvest'!$A:$Z,20,0)/100</f>
        <v>0</v>
      </c>
      <c r="E347" s="87" t="str">
        <f t="shared" si="1"/>
        <v>#N/A</v>
      </c>
      <c r="F347" s="113">
        <f>IF(ISERROR(1/VLOOKUP(B347,Capa!A:AH,13,0)),0,1/VLOOKUP(B347,Capa!A:AH,13,0))</f>
        <v>0</v>
      </c>
      <c r="G347" s="114">
        <f t="shared" si="2"/>
        <v>246.000246</v>
      </c>
      <c r="H347" s="115" t="str">
        <f t="shared" si="3"/>
        <v>#N/A</v>
      </c>
      <c r="M347" s="110" t="s">
        <v>158</v>
      </c>
      <c r="N347" s="111">
        <f>VLOOKUP(M347,'Dados StatusInvest'!$A:$Z,26,0)</f>
        <v>0</v>
      </c>
      <c r="O347" s="118">
        <f>VLOOKUP(M347,'Dados StatusInvest'!$A:$Z,18,0)/100</f>
        <v>0.0017</v>
      </c>
      <c r="P347" s="119" t="str">
        <f t="shared" si="5"/>
        <v>#N/A</v>
      </c>
      <c r="Q347" s="120">
        <f>IF(ISERROR(1/VLOOKUP(M347,Capa!A:AH,6,0)),0,1/VLOOKUP(M347,Capa!A:AH,6,0))</f>
        <v>0</v>
      </c>
      <c r="R347" s="121">
        <f t="shared" si="6"/>
        <v>306.000306</v>
      </c>
      <c r="S347" s="122" t="str">
        <f t="shared" si="7"/>
        <v>#N/A</v>
      </c>
    </row>
    <row r="348">
      <c r="A348" s="123"/>
      <c r="B348" s="110" t="s">
        <v>461</v>
      </c>
      <c r="C348" s="111">
        <f>VLOOKUP(B348,'Dados StatusInvest'!$A:$Z,26,0)</f>
        <v>854734.8</v>
      </c>
      <c r="D348" s="112">
        <f>VLOOKUP(B348,'Dados StatusInvest'!$A:$Z,20,0)/100</f>
        <v>0.3241</v>
      </c>
      <c r="E348" s="87" t="str">
        <f t="shared" si="1"/>
        <v>#N/A</v>
      </c>
      <c r="F348" s="113">
        <f>IF(ISERROR(1/VLOOKUP(B348,Capa!A:AH,13,0)),0,1/VLOOKUP(B348,Capa!A:AH,13,0))</f>
        <v>4.347826087</v>
      </c>
      <c r="G348" s="114">
        <f t="shared" si="2"/>
        <v>176.000176</v>
      </c>
      <c r="H348" s="115" t="str">
        <f t="shared" si="3"/>
        <v>#N/A</v>
      </c>
      <c r="M348" s="110" t="s">
        <v>461</v>
      </c>
      <c r="N348" s="111">
        <f>VLOOKUP(M348,'Dados StatusInvest'!$A:$Z,26,0)</f>
        <v>854734.8</v>
      </c>
      <c r="O348" s="118">
        <f>VLOOKUP(M348,'Dados StatusInvest'!$A:$Z,18,0)/100</f>
        <v>0.9135</v>
      </c>
      <c r="P348" s="119" t="str">
        <f t="shared" si="5"/>
        <v>#N/A</v>
      </c>
      <c r="Q348" s="120">
        <f>IF(ISERROR(1/VLOOKUP(M348,Capa!A:AH,6,0)),0,1/VLOOKUP(M348,Capa!A:AH,6,0))</f>
        <v>0.09345794393</v>
      </c>
      <c r="R348" s="121">
        <f t="shared" si="6"/>
        <v>128.000128</v>
      </c>
      <c r="S348" s="122" t="str">
        <f t="shared" si="7"/>
        <v>#N/A</v>
      </c>
    </row>
    <row r="349">
      <c r="A349" s="123"/>
      <c r="B349" s="110" t="s">
        <v>303</v>
      </c>
      <c r="C349" s="111">
        <f>VLOOKUP(B349,'Dados StatusInvest'!$A:$Z,26,0)</f>
        <v>466</v>
      </c>
      <c r="D349" s="112">
        <f>VLOOKUP(B349,'Dados StatusInvest'!$A:$Z,20,0)/100</f>
        <v>0.1489</v>
      </c>
      <c r="E349" s="87" t="str">
        <f t="shared" si="1"/>
        <v>#N/A</v>
      </c>
      <c r="F349" s="113">
        <f>IF(ISERROR(1/VLOOKUP(B349,Capa!A:AH,13,0)),0,1/VLOOKUP(B349,Capa!A:AH,13,0))</f>
        <v>5.219206681</v>
      </c>
      <c r="G349" s="114">
        <f t="shared" si="2"/>
        <v>152.000152</v>
      </c>
      <c r="H349" s="115" t="str">
        <f t="shared" si="3"/>
        <v>#N/A</v>
      </c>
      <c r="M349" s="110" t="s">
        <v>303</v>
      </c>
      <c r="N349" s="111">
        <f>VLOOKUP(M349,'Dados StatusInvest'!$A:$Z,26,0)</f>
        <v>466</v>
      </c>
      <c r="O349" s="118">
        <f>VLOOKUP(M349,'Dados StatusInvest'!$A:$Z,18,0)/100</f>
        <v>0.3249</v>
      </c>
      <c r="P349" s="119" t="str">
        <f t="shared" si="5"/>
        <v>#N/A</v>
      </c>
      <c r="Q349" s="120">
        <f>IF(ISERROR(1/VLOOKUP(M349,Capa!A:AH,6,0)),0,1/VLOOKUP(M349,Capa!A:AH,6,0))</f>
        <v>0.09090909091</v>
      </c>
      <c r="R349" s="121">
        <f t="shared" si="6"/>
        <v>129.000129</v>
      </c>
      <c r="S349" s="122" t="str">
        <f t="shared" si="7"/>
        <v>#N/A</v>
      </c>
    </row>
    <row r="350">
      <c r="A350" s="123"/>
      <c r="B350" s="110" t="s">
        <v>305</v>
      </c>
      <c r="C350" s="111">
        <f>VLOOKUP(B350,'Dados StatusInvest'!$A:$Z,26,0)</f>
        <v>3456</v>
      </c>
      <c r="D350" s="112">
        <f>VLOOKUP(B350,'Dados StatusInvest'!$A:$Z,20,0)/100</f>
        <v>0.1489</v>
      </c>
      <c r="E350" s="87" t="str">
        <f t="shared" si="1"/>
        <v>#N/A</v>
      </c>
      <c r="F350" s="113">
        <f>IF(ISERROR(1/VLOOKUP(B350,Capa!A:AH,13,0)),0,1/VLOOKUP(B350,Capa!A:AH,13,0))</f>
        <v>5.219206681</v>
      </c>
      <c r="G350" s="114">
        <f t="shared" si="2"/>
        <v>152.000152</v>
      </c>
      <c r="H350" s="115" t="str">
        <f t="shared" si="3"/>
        <v>#N/A</v>
      </c>
      <c r="M350" s="110" t="s">
        <v>305</v>
      </c>
      <c r="N350" s="111">
        <f>VLOOKUP(M350,'Dados StatusInvest'!$A:$Z,26,0)</f>
        <v>3456</v>
      </c>
      <c r="O350" s="118">
        <f>VLOOKUP(M350,'Dados StatusInvest'!$A:$Z,18,0)/100</f>
        <v>0.3249</v>
      </c>
      <c r="P350" s="119" t="str">
        <f t="shared" si="5"/>
        <v>#N/A</v>
      </c>
      <c r="Q350" s="120">
        <f>IF(ISERROR(1/VLOOKUP(M350,Capa!A:AH,6,0)),0,1/VLOOKUP(M350,Capa!A:AH,6,0))</f>
        <v>0.1</v>
      </c>
      <c r="R350" s="121">
        <f t="shared" si="6"/>
        <v>124.000124</v>
      </c>
      <c r="S350" s="122" t="str">
        <f t="shared" si="7"/>
        <v>#N/A</v>
      </c>
    </row>
    <row r="351">
      <c r="A351" s="123"/>
      <c r="B351" s="110" t="s">
        <v>423</v>
      </c>
      <c r="C351" s="111">
        <f>VLOOKUP(B351,'Dados StatusInvest'!$A:$Z,26,0)</f>
        <v>365.83</v>
      </c>
      <c r="D351" s="112">
        <f>VLOOKUP(B351,'Dados StatusInvest'!$A:$Z,20,0)/100</f>
        <v>0.0163</v>
      </c>
      <c r="E351" s="87" t="str">
        <f t="shared" si="1"/>
        <v>#N/A</v>
      </c>
      <c r="F351" s="113">
        <f>IF(ISERROR(1/VLOOKUP(B351,Capa!A:AH,13,0)),0,1/VLOOKUP(B351,Capa!A:AH,13,0))</f>
        <v>0</v>
      </c>
      <c r="G351" s="114">
        <f t="shared" si="2"/>
        <v>246.000246</v>
      </c>
      <c r="H351" s="115" t="str">
        <f t="shared" si="3"/>
        <v>#N/A</v>
      </c>
      <c r="M351" s="110" t="s">
        <v>423</v>
      </c>
      <c r="N351" s="111">
        <f>VLOOKUP(M351,'Dados StatusInvest'!$A:$Z,26,0)</f>
        <v>365.83</v>
      </c>
      <c r="O351" s="118">
        <f>VLOOKUP(M351,'Dados StatusInvest'!$A:$Z,18,0)/100</f>
        <v>-0.0163</v>
      </c>
      <c r="P351" s="119" t="str">
        <f t="shared" si="5"/>
        <v>#N/A</v>
      </c>
      <c r="Q351" s="120">
        <f>IF(ISERROR(1/VLOOKUP(M351,Capa!A:AH,6,0)),0,1/VLOOKUP(M351,Capa!A:AH,6,0))</f>
        <v>0.2583979328</v>
      </c>
      <c r="R351" s="121">
        <f t="shared" si="6"/>
        <v>46.000046</v>
      </c>
      <c r="S351" s="122" t="str">
        <f t="shared" si="7"/>
        <v>#N/A</v>
      </c>
    </row>
    <row r="352">
      <c r="A352" s="123"/>
      <c r="B352" s="110" t="s">
        <v>334</v>
      </c>
      <c r="C352" s="111">
        <f>VLOOKUP(B352,'Dados StatusInvest'!$A:$Z,26,0)</f>
        <v>8229.73</v>
      </c>
      <c r="D352" s="112">
        <f>VLOOKUP(B352,'Dados StatusInvest'!$A:$Z,20,0)/100</f>
        <v>0.1011</v>
      </c>
      <c r="E352" s="87" t="str">
        <f t="shared" si="1"/>
        <v>#N/A</v>
      </c>
      <c r="F352" s="113">
        <f>IF(ISERROR(1/VLOOKUP(B352,Capa!A:AH,13,0)),0,1/VLOOKUP(B352,Capa!A:AH,13,0))</f>
        <v>2.944640754</v>
      </c>
      <c r="G352" s="114">
        <f t="shared" si="2"/>
        <v>205.000205</v>
      </c>
      <c r="H352" s="115" t="str">
        <f t="shared" si="3"/>
        <v>#N/A</v>
      </c>
      <c r="M352" s="110" t="s">
        <v>334</v>
      </c>
      <c r="N352" s="111">
        <f>VLOOKUP(M352,'Dados StatusInvest'!$A:$Z,26,0)</f>
        <v>8229.73</v>
      </c>
      <c r="O352" s="118">
        <f>VLOOKUP(M352,'Dados StatusInvest'!$A:$Z,18,0)/100</f>
        <v>0.1412</v>
      </c>
      <c r="P352" s="119" t="str">
        <f t="shared" si="5"/>
        <v>#N/A</v>
      </c>
      <c r="Q352" s="120">
        <f>IF(ISERROR(1/VLOOKUP(M352,Capa!A:AH,6,0)),0,1/VLOOKUP(M352,Capa!A:AH,6,0))</f>
        <v>0.0303030303</v>
      </c>
      <c r="R352" s="121">
        <f t="shared" si="6"/>
        <v>221.000221</v>
      </c>
      <c r="S352" s="122" t="str">
        <f t="shared" si="7"/>
        <v>#N/A</v>
      </c>
    </row>
    <row r="353">
      <c r="A353" s="123"/>
      <c r="B353" s="110" t="s">
        <v>497</v>
      </c>
      <c r="C353" s="111">
        <f>VLOOKUP(B353,'Dados StatusInvest'!$A:$Z,26,0)</f>
        <v>5620.2</v>
      </c>
      <c r="D353" s="112">
        <f>VLOOKUP(B353,'Dados StatusInvest'!$A:$Z,20,0)/100</f>
        <v>0.0249</v>
      </c>
      <c r="E353" s="87" t="str">
        <f t="shared" si="1"/>
        <v>#N/A</v>
      </c>
      <c r="F353" s="113">
        <f>IF(ISERROR(1/VLOOKUP(B353,Capa!A:AH,13,0)),0,1/VLOOKUP(B353,Capa!A:AH,13,0))</f>
        <v>3.972983711</v>
      </c>
      <c r="G353" s="114">
        <f t="shared" si="2"/>
        <v>192.000192</v>
      </c>
      <c r="H353" s="115" t="str">
        <f t="shared" si="3"/>
        <v>#N/A</v>
      </c>
      <c r="M353" s="110" t="s">
        <v>497</v>
      </c>
      <c r="N353" s="111">
        <f>VLOOKUP(M353,'Dados StatusInvest'!$A:$Z,26,0)</f>
        <v>5620.2</v>
      </c>
      <c r="O353" s="118">
        <f>VLOOKUP(M353,'Dados StatusInvest'!$A:$Z,18,0)/100</f>
        <v>0.0361</v>
      </c>
      <c r="P353" s="119" t="str">
        <f t="shared" si="5"/>
        <v>#N/A</v>
      </c>
      <c r="Q353" s="120">
        <f>IF(ISERROR(1/VLOOKUP(M353,Capa!A:AH,6,0)),0,1/VLOOKUP(M353,Capa!A:AH,6,0))</f>
        <v>0.0243902439</v>
      </c>
      <c r="R353" s="121">
        <f t="shared" si="6"/>
        <v>242.000242</v>
      </c>
      <c r="S353" s="122" t="str">
        <f t="shared" si="7"/>
        <v>#N/A</v>
      </c>
    </row>
    <row r="354">
      <c r="A354" s="123"/>
      <c r="B354" s="110" t="s">
        <v>248</v>
      </c>
      <c r="C354" s="111">
        <f>VLOOKUP(B354,'Dados StatusInvest'!$A:$Z,26,0)</f>
        <v>1666.67</v>
      </c>
      <c r="D354" s="112">
        <f>VLOOKUP(B354,'Dados StatusInvest'!$A:$Z,20,0)/100</f>
        <v>0.1407</v>
      </c>
      <c r="E354" s="87" t="str">
        <f t="shared" si="1"/>
        <v>#N/A</v>
      </c>
      <c r="F354" s="113">
        <f>IF(ISERROR(1/VLOOKUP(B354,Capa!A:AH,13,0)),0,1/VLOOKUP(B354,Capa!A:AH,13,0))</f>
        <v>8.34028357</v>
      </c>
      <c r="G354" s="114">
        <f t="shared" si="2"/>
        <v>102.000102</v>
      </c>
      <c r="H354" s="115" t="str">
        <f t="shared" si="3"/>
        <v>#N/A</v>
      </c>
      <c r="M354" s="110" t="s">
        <v>248</v>
      </c>
      <c r="N354" s="111">
        <f>VLOOKUP(M354,'Dados StatusInvest'!$A:$Z,26,0)</f>
        <v>1666.67</v>
      </c>
      <c r="O354" s="118">
        <f>VLOOKUP(M354,'Dados StatusInvest'!$A:$Z,18,0)/100</f>
        <v>2.0493</v>
      </c>
      <c r="P354" s="119" t="str">
        <f t="shared" si="5"/>
        <v>#N/A</v>
      </c>
      <c r="Q354" s="120">
        <f>IF(ISERROR(1/VLOOKUP(M354,Capa!A:AH,6,0)),0,1/VLOOKUP(M354,Capa!A:AH,6,0))</f>
        <v>0.02</v>
      </c>
      <c r="R354" s="121">
        <f t="shared" si="6"/>
        <v>258.000258</v>
      </c>
      <c r="S354" s="122" t="str">
        <f t="shared" si="7"/>
        <v>#N/A</v>
      </c>
    </row>
    <row r="355">
      <c r="A355" s="123"/>
      <c r="B355" s="110" t="s">
        <v>166</v>
      </c>
      <c r="C355" s="111">
        <f>VLOOKUP(B355,'Dados StatusInvest'!$A:$Z,26,0)</f>
        <v>4641.75</v>
      </c>
      <c r="D355" s="112">
        <f>VLOOKUP(B355,'Dados StatusInvest'!$A:$Z,20,0)/100</f>
        <v>0</v>
      </c>
      <c r="E355" s="87" t="str">
        <f t="shared" si="1"/>
        <v>#N/A</v>
      </c>
      <c r="F355" s="113">
        <f>IF(ISERROR(1/VLOOKUP(B355,Capa!A:AH,13,0)),0,1/VLOOKUP(B355,Capa!A:AH,13,0))</f>
        <v>12.87001287</v>
      </c>
      <c r="G355" s="114">
        <f t="shared" si="2"/>
        <v>52.000052</v>
      </c>
      <c r="H355" s="115" t="str">
        <f t="shared" si="3"/>
        <v>#N/A</v>
      </c>
      <c r="M355" s="110" t="s">
        <v>166</v>
      </c>
      <c r="N355" s="111">
        <f>VLOOKUP(M355,'Dados StatusInvest'!$A:$Z,26,0)</f>
        <v>4641.75</v>
      </c>
      <c r="O355" s="118">
        <f>VLOOKUP(M355,'Dados StatusInvest'!$A:$Z,18,0)/100</f>
        <v>0.1145</v>
      </c>
      <c r="P355" s="119" t="str">
        <f t="shared" si="5"/>
        <v>#N/A</v>
      </c>
      <c r="Q355" s="120">
        <f>IF(ISERROR(1/VLOOKUP(M355,Capa!A:AH,6,0)),0,1/VLOOKUP(M355,Capa!A:AH,6,0))</f>
        <v>0.05339028297</v>
      </c>
      <c r="R355" s="121">
        <f t="shared" si="6"/>
        <v>176.000176</v>
      </c>
      <c r="S355" s="122" t="str">
        <f t="shared" si="7"/>
        <v>#N/A</v>
      </c>
    </row>
    <row r="356">
      <c r="A356" s="123"/>
      <c r="B356" s="110" t="s">
        <v>231</v>
      </c>
      <c r="C356" s="111">
        <f>VLOOKUP(B356,'Dados StatusInvest'!$A:$Z,26,0)</f>
        <v>0</v>
      </c>
      <c r="D356" s="112">
        <f>VLOOKUP(B356,'Dados StatusInvest'!$A:$Z,20,0)/100</f>
        <v>0</v>
      </c>
      <c r="E356" s="87" t="str">
        <f t="shared" si="1"/>
        <v>#N/A</v>
      </c>
      <c r="F356" s="113">
        <f>IF(ISERROR(1/VLOOKUP(B356,Capa!A:AH,13,0)),0,1/VLOOKUP(B356,Capa!A:AH,13,0))</f>
        <v>0</v>
      </c>
      <c r="G356" s="114">
        <f t="shared" si="2"/>
        <v>246.000246</v>
      </c>
      <c r="H356" s="115" t="str">
        <f t="shared" si="3"/>
        <v>#N/A</v>
      </c>
      <c r="M356" s="110" t="s">
        <v>231</v>
      </c>
      <c r="N356" s="111">
        <f>VLOOKUP(M356,'Dados StatusInvest'!$A:$Z,26,0)</f>
        <v>0</v>
      </c>
      <c r="O356" s="118">
        <f>VLOOKUP(M356,'Dados StatusInvest'!$A:$Z,18,0)/100</f>
        <v>0.0189</v>
      </c>
      <c r="P356" s="119" t="str">
        <f t="shared" si="5"/>
        <v>#N/A</v>
      </c>
      <c r="Q356" s="120">
        <f>IF(ISERROR(1/VLOOKUP(M356,Capa!A:AH,6,0)),0,1/VLOOKUP(M356,Capa!A:AH,6,0))</f>
        <v>0</v>
      </c>
      <c r="R356" s="121">
        <f t="shared" si="6"/>
        <v>306.000306</v>
      </c>
      <c r="S356" s="122" t="str">
        <f t="shared" si="7"/>
        <v>#N/A</v>
      </c>
    </row>
    <row r="357">
      <c r="A357" s="123"/>
      <c r="B357" s="110" t="s">
        <v>199</v>
      </c>
      <c r="C357" s="111">
        <f>VLOOKUP(B357,'Dados StatusInvest'!$A:$Z,26,0)</f>
        <v>0</v>
      </c>
      <c r="D357" s="112">
        <f>VLOOKUP(B357,'Dados StatusInvest'!$A:$Z,20,0)/100</f>
        <v>0.0814</v>
      </c>
      <c r="E357" s="87" t="str">
        <f t="shared" si="1"/>
        <v>#N/A</v>
      </c>
      <c r="F357" s="113">
        <f>IF(ISERROR(1/VLOOKUP(B357,Capa!A:AH,13,0)),0,1/VLOOKUP(B357,Capa!A:AH,13,0))</f>
        <v>0</v>
      </c>
      <c r="G357" s="114">
        <f t="shared" si="2"/>
        <v>246.000246</v>
      </c>
      <c r="H357" s="115" t="str">
        <f t="shared" si="3"/>
        <v>#N/A</v>
      </c>
      <c r="M357" s="110" t="s">
        <v>199</v>
      </c>
      <c r="N357" s="111">
        <f>VLOOKUP(M357,'Dados StatusInvest'!$A:$Z,26,0)</f>
        <v>0</v>
      </c>
      <c r="O357" s="118">
        <f>VLOOKUP(M357,'Dados StatusInvest'!$A:$Z,18,0)/100</f>
        <v>0.2829</v>
      </c>
      <c r="P357" s="119" t="str">
        <f t="shared" si="5"/>
        <v>#N/A</v>
      </c>
      <c r="Q357" s="120">
        <f>IF(ISERROR(1/VLOOKUP(M357,Capa!A:AH,6,0)),0,1/VLOOKUP(M357,Capa!A:AH,6,0))</f>
        <v>0</v>
      </c>
      <c r="R357" s="121">
        <f t="shared" si="6"/>
        <v>306.000306</v>
      </c>
      <c r="S357" s="122" t="str">
        <f t="shared" si="7"/>
        <v>#N/A</v>
      </c>
    </row>
    <row r="358">
      <c r="A358" s="123"/>
      <c r="B358" s="110" t="s">
        <v>360</v>
      </c>
      <c r="C358" s="111">
        <f>VLOOKUP(B358,'Dados StatusInvest'!$A:$Z,26,0)</f>
        <v>4284.21</v>
      </c>
      <c r="D358" s="112">
        <f>VLOOKUP(B358,'Dados StatusInvest'!$A:$Z,20,0)/100</f>
        <v>0.0017</v>
      </c>
      <c r="E358" s="87" t="str">
        <f t="shared" si="1"/>
        <v>#N/A</v>
      </c>
      <c r="F358" s="113">
        <f>IF(ISERROR(1/VLOOKUP(B358,Capa!A:AH,13,0)),0,1/VLOOKUP(B358,Capa!A:AH,13,0))</f>
        <v>4.189359028</v>
      </c>
      <c r="G358" s="114">
        <f t="shared" si="2"/>
        <v>185.000185</v>
      </c>
      <c r="H358" s="115" t="str">
        <f t="shared" si="3"/>
        <v>#N/A</v>
      </c>
      <c r="M358" s="110" t="s">
        <v>360</v>
      </c>
      <c r="N358" s="111">
        <f>VLOOKUP(M358,'Dados StatusInvest'!$A:$Z,26,0)</f>
        <v>4284.21</v>
      </c>
      <c r="O358" s="118">
        <f>VLOOKUP(M358,'Dados StatusInvest'!$A:$Z,18,0)/100</f>
        <v>0.0616</v>
      </c>
      <c r="P358" s="119" t="str">
        <f t="shared" si="5"/>
        <v>#N/A</v>
      </c>
      <c r="Q358" s="120">
        <f>IF(ISERROR(1/VLOOKUP(M358,Capa!A:AH,6,0)),0,1/VLOOKUP(M358,Capa!A:AH,6,0))</f>
        <v>0.02704895862</v>
      </c>
      <c r="R358" s="121">
        <f t="shared" si="6"/>
        <v>232.000232</v>
      </c>
      <c r="S358" s="122" t="str">
        <f t="shared" si="7"/>
        <v>#N/A</v>
      </c>
    </row>
    <row r="359">
      <c r="A359" s="123"/>
      <c r="B359" s="110" t="s">
        <v>587</v>
      </c>
      <c r="C359" s="111">
        <f>VLOOKUP(B359,'Dados StatusInvest'!$A:$Z,26,0)</f>
        <v>8219.92</v>
      </c>
      <c r="D359" s="112">
        <f>VLOOKUP(B359,'Dados StatusInvest'!$A:$Z,20,0)/100</f>
        <v>0.2076</v>
      </c>
      <c r="E359" s="87" t="str">
        <f t="shared" si="1"/>
        <v>#N/A</v>
      </c>
      <c r="F359" s="113">
        <f>IF(ISERROR(1/VLOOKUP(B359,Capa!A:AH,13,0)),0,1/VLOOKUP(B359,Capa!A:AH,13,0))</f>
        <v>5.767012687</v>
      </c>
      <c r="G359" s="114">
        <f t="shared" si="2"/>
        <v>138.000138</v>
      </c>
      <c r="H359" s="115" t="str">
        <f t="shared" si="3"/>
        <v>#N/A</v>
      </c>
      <c r="M359" s="110" t="s">
        <v>587</v>
      </c>
      <c r="N359" s="111">
        <f>VLOOKUP(M359,'Dados StatusInvest'!$A:$Z,26,0)</f>
        <v>8219.92</v>
      </c>
      <c r="O359" s="118">
        <f>VLOOKUP(M359,'Dados StatusInvest'!$A:$Z,18,0)/100</f>
        <v>0.3839</v>
      </c>
      <c r="P359" s="119" t="str">
        <f t="shared" si="5"/>
        <v>#N/A</v>
      </c>
      <c r="Q359" s="120">
        <f>IF(ISERROR(1/VLOOKUP(M359,Capa!A:AH,6,0)),0,1/VLOOKUP(M359,Capa!A:AH,6,0))</f>
        <v>0.01428571429</v>
      </c>
      <c r="R359" s="121">
        <f t="shared" si="6"/>
        <v>276.000276</v>
      </c>
      <c r="S359" s="122" t="str">
        <f t="shared" si="7"/>
        <v>#N/A</v>
      </c>
    </row>
    <row r="360">
      <c r="A360" s="123"/>
      <c r="B360" s="110" t="s">
        <v>157</v>
      </c>
      <c r="C360" s="111">
        <f>VLOOKUP(B360,'Dados StatusInvest'!$A:$Z,26,0)</f>
        <v>0</v>
      </c>
      <c r="D360" s="112">
        <f>VLOOKUP(B360,'Dados StatusInvest'!$A:$Z,20,0)/100</f>
        <v>0</v>
      </c>
      <c r="E360" s="87" t="str">
        <f t="shared" si="1"/>
        <v>#N/A</v>
      </c>
      <c r="F360" s="113">
        <f>IF(ISERROR(1/VLOOKUP(B360,Capa!A:AH,13,0)),0,1/VLOOKUP(B360,Capa!A:AH,13,0))</f>
        <v>0</v>
      </c>
      <c r="G360" s="114">
        <f t="shared" si="2"/>
        <v>246.000246</v>
      </c>
      <c r="H360" s="115" t="str">
        <f t="shared" si="3"/>
        <v>#N/A</v>
      </c>
      <c r="M360" s="110" t="s">
        <v>157</v>
      </c>
      <c r="N360" s="111">
        <f>VLOOKUP(M360,'Dados StatusInvest'!$A:$Z,26,0)</f>
        <v>0</v>
      </c>
      <c r="O360" s="118">
        <f>VLOOKUP(M360,'Dados StatusInvest'!$A:$Z,18,0)/100</f>
        <v>0.0017</v>
      </c>
      <c r="P360" s="119" t="str">
        <f t="shared" si="5"/>
        <v>#N/A</v>
      </c>
      <c r="Q360" s="120">
        <f>IF(ISERROR(1/VLOOKUP(M360,Capa!A:AH,6,0)),0,1/VLOOKUP(M360,Capa!A:AH,6,0))</f>
        <v>0</v>
      </c>
      <c r="R360" s="121">
        <f t="shared" si="6"/>
        <v>306.000306</v>
      </c>
      <c r="S360" s="122" t="str">
        <f t="shared" si="7"/>
        <v>#N/A</v>
      </c>
    </row>
    <row r="361">
      <c r="A361" s="123"/>
      <c r="B361" s="110" t="s">
        <v>300</v>
      </c>
      <c r="C361" s="111">
        <f>VLOOKUP(B361,'Dados StatusInvest'!$A:$Z,26,0)</f>
        <v>6732.17</v>
      </c>
      <c r="D361" s="112">
        <f>VLOOKUP(B361,'Dados StatusInvest'!$A:$Z,20,0)/100</f>
        <v>0.1407</v>
      </c>
      <c r="E361" s="87" t="str">
        <f t="shared" si="1"/>
        <v>#N/A</v>
      </c>
      <c r="F361" s="113">
        <f>IF(ISERROR(1/VLOOKUP(B361,Capa!A:AH,13,0)),0,1/VLOOKUP(B361,Capa!A:AH,13,0))</f>
        <v>5.25210084</v>
      </c>
      <c r="G361" s="114">
        <f t="shared" si="2"/>
        <v>150.00015</v>
      </c>
      <c r="H361" s="115" t="str">
        <f t="shared" si="3"/>
        <v>#N/A</v>
      </c>
      <c r="M361" s="110" t="s">
        <v>300</v>
      </c>
      <c r="N361" s="111">
        <f>VLOOKUP(M361,'Dados StatusInvest'!$A:$Z,26,0)</f>
        <v>6732.17</v>
      </c>
      <c r="O361" s="118">
        <f>VLOOKUP(M361,'Dados StatusInvest'!$A:$Z,18,0)/100</f>
        <v>0.2522</v>
      </c>
      <c r="P361" s="119" t="str">
        <f t="shared" si="5"/>
        <v>#N/A</v>
      </c>
      <c r="Q361" s="120">
        <f>IF(ISERROR(1/VLOOKUP(M361,Capa!A:AH,6,0)),0,1/VLOOKUP(M361,Capa!A:AH,6,0))</f>
        <v>0.01923446817</v>
      </c>
      <c r="R361" s="121">
        <f t="shared" si="6"/>
        <v>261.000261</v>
      </c>
      <c r="S361" s="122" t="str">
        <f t="shared" si="7"/>
        <v>#N/A</v>
      </c>
    </row>
    <row r="362">
      <c r="A362" s="123"/>
      <c r="B362" s="110" t="s">
        <v>130</v>
      </c>
      <c r="C362" s="111">
        <f>VLOOKUP(B362,'Dados StatusInvest'!$A:$Z,26,0)</f>
        <v>43088.95</v>
      </c>
      <c r="D362" s="112">
        <f>VLOOKUP(B362,'Dados StatusInvest'!$A:$Z,20,0)/100</f>
        <v>-0.231</v>
      </c>
      <c r="E362" s="87" t="str">
        <f t="shared" si="1"/>
        <v>#N/A</v>
      </c>
      <c r="F362" s="113">
        <f>IF(ISERROR(1/VLOOKUP(B362,Capa!A:AH,13,0)),0,1/VLOOKUP(B362,Capa!A:AH,13,0))</f>
        <v>-0.6615680411</v>
      </c>
      <c r="G362" s="114">
        <f t="shared" si="2"/>
        <v>402.000402</v>
      </c>
      <c r="H362" s="115" t="str">
        <f t="shared" si="3"/>
        <v>#N/A</v>
      </c>
      <c r="M362" s="110" t="s">
        <v>130</v>
      </c>
      <c r="N362" s="111">
        <f>VLOOKUP(M362,'Dados StatusInvest'!$A:$Z,26,0)</f>
        <v>43088.95</v>
      </c>
      <c r="O362" s="118">
        <f>VLOOKUP(M362,'Dados StatusInvest'!$A:$Z,18,0)/100</f>
        <v>0.2432</v>
      </c>
      <c r="P362" s="119" t="str">
        <f t="shared" si="5"/>
        <v>#N/A</v>
      </c>
      <c r="Q362" s="120">
        <f>IF(ISERROR(1/VLOOKUP(M362,Capa!A:AH,6,0)),0,1/VLOOKUP(M362,Capa!A:AH,6,0))</f>
        <v>0.002672939164</v>
      </c>
      <c r="R362" s="121">
        <f t="shared" si="6"/>
        <v>290.00029</v>
      </c>
      <c r="S362" s="122" t="str">
        <f t="shared" si="7"/>
        <v>#N/A</v>
      </c>
    </row>
    <row r="363">
      <c r="A363" s="123"/>
      <c r="B363" s="110" t="s">
        <v>193</v>
      </c>
      <c r="C363" s="111">
        <f>VLOOKUP(B363,'Dados StatusInvest'!$A:$Z,26,0)</f>
        <v>7400</v>
      </c>
      <c r="D363" s="112">
        <f>VLOOKUP(B363,'Dados StatusInvest'!$A:$Z,20,0)/100</f>
        <v>0.1682</v>
      </c>
      <c r="E363" s="87" t="str">
        <f t="shared" si="1"/>
        <v>#N/A</v>
      </c>
      <c r="F363" s="113">
        <f>IF(ISERROR(1/VLOOKUP(B363,Capa!A:AH,13,0)),0,1/VLOOKUP(B363,Capa!A:AH,13,0))</f>
        <v>4.240882103</v>
      </c>
      <c r="G363" s="114">
        <f t="shared" si="2"/>
        <v>180.00018</v>
      </c>
      <c r="H363" s="115" t="str">
        <f t="shared" si="3"/>
        <v>#N/A</v>
      </c>
      <c r="M363" s="110" t="s">
        <v>193</v>
      </c>
      <c r="N363" s="111">
        <f>VLOOKUP(M363,'Dados StatusInvest'!$A:$Z,26,0)</f>
        <v>7400</v>
      </c>
      <c r="O363" s="118">
        <f>VLOOKUP(M363,'Dados StatusInvest'!$A:$Z,18,0)/100</f>
        <v>0.2433</v>
      </c>
      <c r="P363" s="119" t="str">
        <f t="shared" si="5"/>
        <v>#N/A</v>
      </c>
      <c r="Q363" s="120">
        <f>IF(ISERROR(1/VLOOKUP(M363,Capa!A:AH,6,0)),0,1/VLOOKUP(M363,Capa!A:AH,6,0))</f>
        <v>0.02702702703</v>
      </c>
      <c r="R363" s="121">
        <f t="shared" si="6"/>
        <v>233.000233</v>
      </c>
      <c r="S363" s="122" t="str">
        <f t="shared" si="7"/>
        <v>#N/A</v>
      </c>
    </row>
    <row r="364">
      <c r="A364" s="123"/>
      <c r="B364" s="110" t="s">
        <v>363</v>
      </c>
      <c r="C364" s="111">
        <f>VLOOKUP(B364,'Dados StatusInvest'!$A:$Z,26,0)</f>
        <v>1011.6</v>
      </c>
      <c r="D364" s="112">
        <f>VLOOKUP(B364,'Dados StatusInvest'!$A:$Z,20,0)/100</f>
        <v>-0.1457</v>
      </c>
      <c r="E364" s="87" t="str">
        <f t="shared" si="1"/>
        <v>#N/A</v>
      </c>
      <c r="F364" s="113">
        <f>IF(ISERROR(1/VLOOKUP(B364,Capa!A:AH,13,0)),0,1/VLOOKUP(B364,Capa!A:AH,13,0))</f>
        <v>1.14298777</v>
      </c>
      <c r="G364" s="114">
        <f t="shared" si="2"/>
        <v>237.000237</v>
      </c>
      <c r="H364" s="115" t="str">
        <f t="shared" si="3"/>
        <v>#N/A</v>
      </c>
      <c r="M364" s="110" t="s">
        <v>363</v>
      </c>
      <c r="N364" s="111">
        <f>VLOOKUP(M364,'Dados StatusInvest'!$A:$Z,26,0)</f>
        <v>1011.6</v>
      </c>
      <c r="O364" s="118">
        <f>VLOOKUP(M364,'Dados StatusInvest'!$A:$Z,18,0)/100</f>
        <v>-0.0032</v>
      </c>
      <c r="P364" s="119" t="str">
        <f t="shared" si="5"/>
        <v>#N/A</v>
      </c>
      <c r="Q364" s="120">
        <f>IF(ISERROR(1/VLOOKUP(M364,Capa!A:AH,6,0)),0,1/VLOOKUP(M364,Capa!A:AH,6,0))</f>
        <v>0.2</v>
      </c>
      <c r="R364" s="121">
        <f t="shared" si="6"/>
        <v>68.000068</v>
      </c>
      <c r="S364" s="122" t="str">
        <f t="shared" si="7"/>
        <v>#N/A</v>
      </c>
    </row>
    <row r="365">
      <c r="A365" s="123"/>
      <c r="B365" s="110" t="s">
        <v>393</v>
      </c>
      <c r="C365" s="111">
        <f>VLOOKUP(B365,'Dados StatusInvest'!$A:$Z,26,0)</f>
        <v>1662.4</v>
      </c>
      <c r="D365" s="112">
        <f>VLOOKUP(B365,'Dados StatusInvest'!$A:$Z,20,0)/100</f>
        <v>0.0373</v>
      </c>
      <c r="E365" s="87" t="str">
        <f t="shared" si="1"/>
        <v>#N/A</v>
      </c>
      <c r="F365" s="113">
        <f>IF(ISERROR(1/VLOOKUP(B365,Capa!A:AH,13,0)),0,1/VLOOKUP(B365,Capa!A:AH,13,0))</f>
        <v>22.67573696</v>
      </c>
      <c r="G365" s="114">
        <f t="shared" si="2"/>
        <v>30.00003</v>
      </c>
      <c r="H365" s="115" t="str">
        <f t="shared" si="3"/>
        <v>#N/A</v>
      </c>
      <c r="M365" s="110" t="s">
        <v>393</v>
      </c>
      <c r="N365" s="111">
        <f>VLOOKUP(M365,'Dados StatusInvest'!$A:$Z,26,0)</f>
        <v>1662.4</v>
      </c>
      <c r="O365" s="118">
        <f>VLOOKUP(M365,'Dados StatusInvest'!$A:$Z,18,0)/100</f>
        <v>0.0139</v>
      </c>
      <c r="P365" s="119" t="str">
        <f t="shared" si="5"/>
        <v>#N/A</v>
      </c>
      <c r="Q365" s="120">
        <f>IF(ISERROR(1/VLOOKUP(M365,Capa!A:AH,6,0)),0,1/VLOOKUP(M365,Capa!A:AH,6,0))</f>
        <v>0.04545454545</v>
      </c>
      <c r="R365" s="121">
        <f t="shared" si="6"/>
        <v>193.000193</v>
      </c>
      <c r="S365" s="122" t="str">
        <f t="shared" si="7"/>
        <v>#N/A</v>
      </c>
    </row>
    <row r="366">
      <c r="A366" s="123"/>
      <c r="B366" s="110" t="s">
        <v>277</v>
      </c>
      <c r="C366" s="111">
        <f>VLOOKUP(B366,'Dados StatusInvest'!$A:$Z,26,0)</f>
        <v>0</v>
      </c>
      <c r="D366" s="112">
        <f>VLOOKUP(B366,'Dados StatusInvest'!$A:$Z,20,0)/100</f>
        <v>-0.0736</v>
      </c>
      <c r="E366" s="87" t="str">
        <f t="shared" si="1"/>
        <v>#N/A</v>
      </c>
      <c r="F366" s="113">
        <f>IF(ISERROR(1/VLOOKUP(B366,Capa!A:AH,13,0)),0,1/VLOOKUP(B366,Capa!A:AH,13,0))</f>
        <v>0</v>
      </c>
      <c r="G366" s="114">
        <f t="shared" si="2"/>
        <v>246.000246</v>
      </c>
      <c r="H366" s="115" t="str">
        <f t="shared" si="3"/>
        <v>#N/A</v>
      </c>
      <c r="M366" s="110" t="s">
        <v>277</v>
      </c>
      <c r="N366" s="111">
        <f>VLOOKUP(M366,'Dados StatusInvest'!$A:$Z,26,0)</f>
        <v>0</v>
      </c>
      <c r="O366" s="118">
        <f>VLOOKUP(M366,'Dados StatusInvest'!$A:$Z,18,0)/100</f>
        <v>-0.1228</v>
      </c>
      <c r="P366" s="119" t="str">
        <f t="shared" si="5"/>
        <v>#N/A</v>
      </c>
      <c r="Q366" s="120">
        <f>IF(ISERROR(1/VLOOKUP(M366,Capa!A:AH,6,0)),0,1/VLOOKUP(M366,Capa!A:AH,6,0))</f>
        <v>0</v>
      </c>
      <c r="R366" s="121">
        <f t="shared" si="6"/>
        <v>306.000306</v>
      </c>
      <c r="S366" s="122" t="str">
        <f t="shared" si="7"/>
        <v>#N/A</v>
      </c>
    </row>
    <row r="367">
      <c r="A367" s="123"/>
      <c r="B367" s="110" t="s">
        <v>439</v>
      </c>
      <c r="C367" s="111">
        <f>VLOOKUP(B367,'Dados StatusInvest'!$A:$Z,26,0)</f>
        <v>92822.95</v>
      </c>
      <c r="D367" s="112">
        <f>VLOOKUP(B367,'Dados StatusInvest'!$A:$Z,20,0)/100</f>
        <v>0.091</v>
      </c>
      <c r="E367" s="87" t="str">
        <f t="shared" si="1"/>
        <v>#N/A</v>
      </c>
      <c r="F367" s="113">
        <f>IF(ISERROR(1/VLOOKUP(B367,Capa!A:AH,13,0)),0,1/VLOOKUP(B367,Capa!A:AH,13,0))</f>
        <v>2.183216377</v>
      </c>
      <c r="G367" s="114">
        <f t="shared" si="2"/>
        <v>216.000216</v>
      </c>
      <c r="H367" s="115" t="str">
        <f t="shared" si="3"/>
        <v>#N/A</v>
      </c>
      <c r="M367" s="110" t="s">
        <v>439</v>
      </c>
      <c r="N367" s="111">
        <f>VLOOKUP(M367,'Dados StatusInvest'!$A:$Z,26,0)</f>
        <v>92822.95</v>
      </c>
      <c r="O367" s="118">
        <f>VLOOKUP(M367,'Dados StatusInvest'!$A:$Z,18,0)/100</f>
        <v>2.5834</v>
      </c>
      <c r="P367" s="119" t="str">
        <f t="shared" si="5"/>
        <v>#N/A</v>
      </c>
      <c r="Q367" s="120">
        <f>IF(ISERROR(1/VLOOKUP(M367,Capa!A:AH,6,0)),0,1/VLOOKUP(M367,Capa!A:AH,6,0))</f>
        <v>0.2457002457</v>
      </c>
      <c r="R367" s="121">
        <f t="shared" si="6"/>
        <v>50.00005</v>
      </c>
      <c r="S367" s="122" t="str">
        <f t="shared" si="7"/>
        <v>#N/A</v>
      </c>
    </row>
    <row r="368">
      <c r="A368" s="123"/>
      <c r="B368" s="110" t="s">
        <v>1724</v>
      </c>
      <c r="C368" s="111" t="str">
        <f>VLOOKUP(B368,'Dados StatusInvest'!$A:$Z,26,0)</f>
        <v>#N/A</v>
      </c>
      <c r="D368" s="112" t="str">
        <f>VLOOKUP(B368,'Dados StatusInvest'!$A:$Z,20,0)/100</f>
        <v>#N/A</v>
      </c>
      <c r="E368" s="87" t="str">
        <f t="shared" si="1"/>
        <v>#N/A</v>
      </c>
      <c r="F368" s="113">
        <f>IF(ISERROR(1/VLOOKUP(B368,Capa!A:AH,13,0)),0,1/VLOOKUP(B368,Capa!A:AH,13,0))</f>
        <v>0</v>
      </c>
      <c r="G368" s="114">
        <f t="shared" si="2"/>
        <v>246.000246</v>
      </c>
      <c r="H368" s="115" t="str">
        <f t="shared" si="3"/>
        <v>#N/A</v>
      </c>
      <c r="M368" s="110" t="s">
        <v>1724</v>
      </c>
      <c r="N368" s="111" t="str">
        <f>VLOOKUP(M368,'Dados StatusInvest'!$A:$Z,26,0)</f>
        <v>#N/A</v>
      </c>
      <c r="O368" s="118" t="str">
        <f>VLOOKUP(M368,'Dados StatusInvest'!$A:$Z,18,0)/100</f>
        <v>#N/A</v>
      </c>
      <c r="P368" s="119" t="str">
        <f t="shared" si="5"/>
        <v>#N/A</v>
      </c>
      <c r="Q368" s="120">
        <f>IF(ISERROR(1/VLOOKUP(M368,Capa!A:AH,6,0)),0,1/VLOOKUP(M368,Capa!A:AH,6,0))</f>
        <v>0</v>
      </c>
      <c r="R368" s="121">
        <f t="shared" si="6"/>
        <v>306.000306</v>
      </c>
      <c r="S368" s="122" t="str">
        <f t="shared" si="7"/>
        <v>#N/A</v>
      </c>
    </row>
    <row r="369">
      <c r="A369" s="123"/>
      <c r="B369" s="110" t="s">
        <v>268</v>
      </c>
      <c r="C369" s="111">
        <f>VLOOKUP(B369,'Dados StatusInvest'!$A:$Z,26,0)</f>
        <v>10433.43</v>
      </c>
      <c r="D369" s="112">
        <f>VLOOKUP(B369,'Dados StatusInvest'!$A:$Z,20,0)/100</f>
        <v>-0.0103</v>
      </c>
      <c r="E369" s="87" t="str">
        <f t="shared" si="1"/>
        <v>#N/A</v>
      </c>
      <c r="F369" s="113">
        <f>IF(ISERROR(1/VLOOKUP(B369,Capa!A:AH,13,0)),0,1/VLOOKUP(B369,Capa!A:AH,13,0))</f>
        <v>-74.07407407</v>
      </c>
      <c r="G369" s="114">
        <f t="shared" si="2"/>
        <v>436.000436</v>
      </c>
      <c r="H369" s="115" t="str">
        <f t="shared" si="3"/>
        <v>#N/A</v>
      </c>
      <c r="M369" s="110" t="s">
        <v>268</v>
      </c>
      <c r="N369" s="111">
        <f>VLOOKUP(M369,'Dados StatusInvest'!$A:$Z,26,0)</f>
        <v>10433.43</v>
      </c>
      <c r="O369" s="118">
        <f>VLOOKUP(M369,'Dados StatusInvest'!$A:$Z,18,0)/100</f>
        <v>0.0079</v>
      </c>
      <c r="P369" s="119" t="str">
        <f t="shared" si="5"/>
        <v>#N/A</v>
      </c>
      <c r="Q369" s="120">
        <f>IF(ISERROR(1/VLOOKUP(M369,Capa!A:AH,6,0)),0,1/VLOOKUP(M369,Capa!A:AH,6,0))</f>
        <v>0.2652519894</v>
      </c>
      <c r="R369" s="121">
        <f t="shared" si="6"/>
        <v>45.000045</v>
      </c>
      <c r="S369" s="122" t="str">
        <f t="shared" si="7"/>
        <v>#N/A</v>
      </c>
    </row>
    <row r="370">
      <c r="A370" s="123"/>
      <c r="B370" s="110" t="s">
        <v>200</v>
      </c>
      <c r="C370" s="111">
        <f>VLOOKUP(B370,'Dados StatusInvest'!$A:$Z,26,0)</f>
        <v>0</v>
      </c>
      <c r="D370" s="112">
        <f>VLOOKUP(B370,'Dados StatusInvest'!$A:$Z,20,0)/100</f>
        <v>0.0814</v>
      </c>
      <c r="E370" s="87" t="str">
        <f t="shared" si="1"/>
        <v>#N/A</v>
      </c>
      <c r="F370" s="113">
        <f>IF(ISERROR(1/VLOOKUP(B370,Capa!A:AH,13,0)),0,1/VLOOKUP(B370,Capa!A:AH,13,0))</f>
        <v>0</v>
      </c>
      <c r="G370" s="114">
        <f t="shared" si="2"/>
        <v>246.000246</v>
      </c>
      <c r="H370" s="115" t="str">
        <f t="shared" si="3"/>
        <v>#N/A</v>
      </c>
      <c r="M370" s="110" t="s">
        <v>200</v>
      </c>
      <c r="N370" s="111">
        <f>VLOOKUP(M370,'Dados StatusInvest'!$A:$Z,26,0)</f>
        <v>0</v>
      </c>
      <c r="O370" s="118">
        <f>VLOOKUP(M370,'Dados StatusInvest'!$A:$Z,18,0)/100</f>
        <v>0.2829</v>
      </c>
      <c r="P370" s="119" t="str">
        <f t="shared" si="5"/>
        <v>#N/A</v>
      </c>
      <c r="Q370" s="120">
        <f>IF(ISERROR(1/VLOOKUP(M370,Capa!A:AH,6,0)),0,1/VLOOKUP(M370,Capa!A:AH,6,0))</f>
        <v>0</v>
      </c>
      <c r="R370" s="121">
        <f t="shared" si="6"/>
        <v>306.000306</v>
      </c>
      <c r="S370" s="122" t="str">
        <f t="shared" si="7"/>
        <v>#N/A</v>
      </c>
    </row>
    <row r="371">
      <c r="A371" s="123"/>
      <c r="B371" s="110" t="s">
        <v>196</v>
      </c>
      <c r="C371" s="111">
        <f>VLOOKUP(B371,'Dados StatusInvest'!$A:$Z,26,0)</f>
        <v>0</v>
      </c>
      <c r="D371" s="112">
        <f>VLOOKUP(B371,'Dados StatusInvest'!$A:$Z,20,0)/100</f>
        <v>0.1337</v>
      </c>
      <c r="E371" s="87" t="str">
        <f t="shared" si="1"/>
        <v>#N/A</v>
      </c>
      <c r="F371" s="113">
        <f>IF(ISERROR(1/VLOOKUP(B371,Capa!A:AH,13,0)),0,1/VLOOKUP(B371,Capa!A:AH,13,0))</f>
        <v>14.61988304</v>
      </c>
      <c r="G371" s="114">
        <f t="shared" si="2"/>
        <v>43.000043</v>
      </c>
      <c r="H371" s="115" t="str">
        <f t="shared" si="3"/>
        <v>#N/A</v>
      </c>
      <c r="M371" s="110" t="s">
        <v>196</v>
      </c>
      <c r="N371" s="111">
        <f>VLOOKUP(M371,'Dados StatusInvest'!$A:$Z,26,0)</f>
        <v>0</v>
      </c>
      <c r="O371" s="118">
        <f>VLOOKUP(M371,'Dados StatusInvest'!$A:$Z,18,0)/100</f>
        <v>-0.1549</v>
      </c>
      <c r="P371" s="119" t="str">
        <f t="shared" si="5"/>
        <v>#N/A</v>
      </c>
      <c r="Q371" s="120">
        <f>IF(ISERROR(1/VLOOKUP(M371,Capa!A:AH,6,0)),0,1/VLOOKUP(M371,Capa!A:AH,6,0))</f>
        <v>0.05</v>
      </c>
      <c r="R371" s="121">
        <f t="shared" si="6"/>
        <v>185.000185</v>
      </c>
      <c r="S371" s="122" t="str">
        <f t="shared" si="7"/>
        <v>#N/A</v>
      </c>
    </row>
    <row r="372">
      <c r="A372" s="123"/>
      <c r="B372" s="110" t="s">
        <v>190</v>
      </c>
      <c r="C372" s="111">
        <f>VLOOKUP(B372,'Dados StatusInvest'!$A:$Z,26,0)</f>
        <v>1399</v>
      </c>
      <c r="D372" s="112">
        <f>VLOOKUP(B372,'Dados StatusInvest'!$A:$Z,20,0)/100</f>
        <v>0.0845</v>
      </c>
      <c r="E372" s="87" t="str">
        <f t="shared" si="1"/>
        <v>#N/A</v>
      </c>
      <c r="F372" s="113">
        <f>IF(ISERROR(1/VLOOKUP(B372,Capa!A:AH,13,0)),0,1/VLOOKUP(B372,Capa!A:AH,13,0))</f>
        <v>9.532888465</v>
      </c>
      <c r="G372" s="114">
        <f t="shared" si="2"/>
        <v>86.000086</v>
      </c>
      <c r="H372" s="115" t="str">
        <f t="shared" si="3"/>
        <v>#N/A</v>
      </c>
      <c r="M372" s="110" t="s">
        <v>190</v>
      </c>
      <c r="N372" s="111">
        <f>VLOOKUP(M372,'Dados StatusInvest'!$A:$Z,26,0)</f>
        <v>1399</v>
      </c>
      <c r="O372" s="118">
        <f>VLOOKUP(M372,'Dados StatusInvest'!$A:$Z,18,0)/100</f>
        <v>0.1405</v>
      </c>
      <c r="P372" s="119" t="str">
        <f t="shared" si="5"/>
        <v>#N/A</v>
      </c>
      <c r="Q372" s="120">
        <f>IF(ISERROR(1/VLOOKUP(M372,Capa!A:AH,6,0)),0,1/VLOOKUP(M372,Capa!A:AH,6,0))</f>
        <v>0.07147962831</v>
      </c>
      <c r="R372" s="121">
        <f t="shared" si="6"/>
        <v>146.000146</v>
      </c>
      <c r="S372" s="122" t="str">
        <f t="shared" si="7"/>
        <v>#N/A</v>
      </c>
    </row>
    <row r="373">
      <c r="A373" s="123"/>
      <c r="B373" s="110" t="s">
        <v>223</v>
      </c>
      <c r="C373" s="111">
        <f>VLOOKUP(B373,'Dados StatusInvest'!$A:$Z,26,0)</f>
        <v>0</v>
      </c>
      <c r="D373" s="112">
        <f>VLOOKUP(B373,'Dados StatusInvest'!$A:$Z,20,0)/100</f>
        <v>1.2645</v>
      </c>
      <c r="E373" s="87" t="str">
        <f t="shared" si="1"/>
        <v>#N/A</v>
      </c>
      <c r="F373" s="113">
        <f>IF(ISERROR(1/VLOOKUP(B373,Capa!A:AH,13,0)),0,1/VLOOKUP(B373,Capa!A:AH,13,0))</f>
        <v>0</v>
      </c>
      <c r="G373" s="114">
        <f t="shared" si="2"/>
        <v>246.000246</v>
      </c>
      <c r="H373" s="115" t="str">
        <f t="shared" si="3"/>
        <v>#N/A</v>
      </c>
      <c r="M373" s="110" t="s">
        <v>223</v>
      </c>
      <c r="N373" s="111">
        <f>VLOOKUP(M373,'Dados StatusInvest'!$A:$Z,26,0)</f>
        <v>0</v>
      </c>
      <c r="O373" s="118">
        <f>VLOOKUP(M373,'Dados StatusInvest'!$A:$Z,18,0)/100</f>
        <v>1.5284</v>
      </c>
      <c r="P373" s="119" t="str">
        <f t="shared" si="5"/>
        <v>#N/A</v>
      </c>
      <c r="Q373" s="120">
        <f>IF(ISERROR(1/VLOOKUP(M373,Capa!A:AH,6,0)),0,1/VLOOKUP(M373,Capa!A:AH,6,0))</f>
        <v>0</v>
      </c>
      <c r="R373" s="121">
        <f t="shared" si="6"/>
        <v>306.000306</v>
      </c>
      <c r="S373" s="122" t="str">
        <f t="shared" si="7"/>
        <v>#N/A</v>
      </c>
    </row>
    <row r="374">
      <c r="A374" s="123"/>
      <c r="B374" s="110" t="s">
        <v>1725</v>
      </c>
      <c r="C374" s="111" t="str">
        <f>VLOOKUP(B374,'Dados StatusInvest'!$A:$Z,26,0)</f>
        <v>#N/A</v>
      </c>
      <c r="D374" s="112" t="str">
        <f>VLOOKUP(B374,'Dados StatusInvest'!$A:$Z,20,0)/100</f>
        <v>#N/A</v>
      </c>
      <c r="E374" s="87" t="str">
        <f t="shared" si="1"/>
        <v>#N/A</v>
      </c>
      <c r="F374" s="113">
        <f>IF(ISERROR(1/VLOOKUP(B374,Capa!A:AH,13,0)),0,1/VLOOKUP(B374,Capa!A:AH,13,0))</f>
        <v>0</v>
      </c>
      <c r="G374" s="114">
        <f t="shared" si="2"/>
        <v>246.000246</v>
      </c>
      <c r="H374" s="115" t="str">
        <f t="shared" si="3"/>
        <v>#N/A</v>
      </c>
      <c r="M374" s="110" t="s">
        <v>1725</v>
      </c>
      <c r="N374" s="111" t="str">
        <f>VLOOKUP(M374,'Dados StatusInvest'!$A:$Z,26,0)</f>
        <v>#N/A</v>
      </c>
      <c r="O374" s="118" t="str">
        <f>VLOOKUP(M374,'Dados StatusInvest'!$A:$Z,18,0)/100</f>
        <v>#N/A</v>
      </c>
      <c r="P374" s="119" t="str">
        <f t="shared" si="5"/>
        <v>#N/A</v>
      </c>
      <c r="Q374" s="120">
        <f>IF(ISERROR(1/VLOOKUP(M374,Capa!A:AH,6,0)),0,1/VLOOKUP(M374,Capa!A:AH,6,0))</f>
        <v>0</v>
      </c>
      <c r="R374" s="121">
        <f t="shared" si="6"/>
        <v>306.000306</v>
      </c>
      <c r="S374" s="122" t="str">
        <f t="shared" si="7"/>
        <v>#N/A</v>
      </c>
    </row>
    <row r="375">
      <c r="A375" s="123"/>
      <c r="B375" s="110" t="s">
        <v>151</v>
      </c>
      <c r="C375" s="111">
        <f>VLOOKUP(B375,'Dados StatusInvest'!$A:$Z,26,0)</f>
        <v>0</v>
      </c>
      <c r="D375" s="112">
        <f>VLOOKUP(B375,'Dados StatusInvest'!$A:$Z,20,0)/100</f>
        <v>-0.0291</v>
      </c>
      <c r="E375" s="87" t="str">
        <f t="shared" si="1"/>
        <v>#N/A</v>
      </c>
      <c r="F375" s="113">
        <f>IF(ISERROR(1/VLOOKUP(B375,Capa!A:AH,13,0)),0,1/VLOOKUP(B375,Capa!A:AH,13,0))</f>
        <v>0</v>
      </c>
      <c r="G375" s="114">
        <f t="shared" si="2"/>
        <v>246.000246</v>
      </c>
      <c r="H375" s="115" t="str">
        <f t="shared" si="3"/>
        <v>#N/A</v>
      </c>
      <c r="M375" s="110" t="s">
        <v>151</v>
      </c>
      <c r="N375" s="111">
        <f>VLOOKUP(M375,'Dados StatusInvest'!$A:$Z,26,0)</f>
        <v>0</v>
      </c>
      <c r="O375" s="118">
        <f>VLOOKUP(M375,'Dados StatusInvest'!$A:$Z,18,0)/100</f>
        <v>0.0156</v>
      </c>
      <c r="P375" s="119" t="str">
        <f t="shared" si="5"/>
        <v>#N/A</v>
      </c>
      <c r="Q375" s="120">
        <f>IF(ISERROR(1/VLOOKUP(M375,Capa!A:AH,6,0)),0,1/VLOOKUP(M375,Capa!A:AH,6,0))</f>
        <v>0</v>
      </c>
      <c r="R375" s="121">
        <f t="shared" si="6"/>
        <v>306.000306</v>
      </c>
      <c r="S375" s="122" t="str">
        <f t="shared" si="7"/>
        <v>#N/A</v>
      </c>
    </row>
    <row r="376">
      <c r="A376" s="123"/>
      <c r="B376" s="110" t="s">
        <v>455</v>
      </c>
      <c r="C376" s="111">
        <f>VLOOKUP(B376,'Dados StatusInvest'!$A:$Z,26,0)</f>
        <v>0</v>
      </c>
      <c r="D376" s="112">
        <f>VLOOKUP(B376,'Dados StatusInvest'!$A:$Z,20,0)/100</f>
        <v>-1.0433</v>
      </c>
      <c r="E376" s="87" t="str">
        <f t="shared" si="1"/>
        <v>#N/A</v>
      </c>
      <c r="F376" s="113">
        <f>IF(ISERROR(1/VLOOKUP(B376,Capa!A:AH,13,0)),0,1/VLOOKUP(B376,Capa!A:AH,13,0))</f>
        <v>0</v>
      </c>
      <c r="G376" s="114">
        <f t="shared" si="2"/>
        <v>246.000246</v>
      </c>
      <c r="H376" s="115" t="str">
        <f t="shared" si="3"/>
        <v>#N/A</v>
      </c>
      <c r="M376" s="110" t="s">
        <v>455</v>
      </c>
      <c r="N376" s="111">
        <f>VLOOKUP(M376,'Dados StatusInvest'!$A:$Z,26,0)</f>
        <v>0</v>
      </c>
      <c r="O376" s="118">
        <f>VLOOKUP(M376,'Dados StatusInvest'!$A:$Z,18,0)/100</f>
        <v>-7.2528</v>
      </c>
      <c r="P376" s="119" t="str">
        <f t="shared" si="5"/>
        <v>#N/A</v>
      </c>
      <c r="Q376" s="120">
        <f>IF(ISERROR(1/VLOOKUP(M376,Capa!A:AH,6,0)),0,1/VLOOKUP(M376,Capa!A:AH,6,0))</f>
        <v>0</v>
      </c>
      <c r="R376" s="121">
        <f t="shared" si="6"/>
        <v>306.000306</v>
      </c>
      <c r="S376" s="122" t="str">
        <f t="shared" si="7"/>
        <v>#N/A</v>
      </c>
    </row>
    <row r="377">
      <c r="A377" s="123"/>
      <c r="B377" s="110" t="s">
        <v>250</v>
      </c>
      <c r="C377" s="111">
        <f>VLOOKUP(B377,'Dados StatusInvest'!$A:$Z,26,0)</f>
        <v>0</v>
      </c>
      <c r="D377" s="112">
        <f>VLOOKUP(B377,'Dados StatusInvest'!$A:$Z,20,0)/100</f>
        <v>-1.2086</v>
      </c>
      <c r="E377" s="87" t="str">
        <f t="shared" si="1"/>
        <v>#N/A</v>
      </c>
      <c r="F377" s="113">
        <f>IF(ISERROR(1/VLOOKUP(B377,Capa!A:AH,13,0)),0,1/VLOOKUP(B377,Capa!A:AH,13,0))</f>
        <v>-0.9154994049</v>
      </c>
      <c r="G377" s="114">
        <f t="shared" si="2"/>
        <v>403.000403</v>
      </c>
      <c r="H377" s="115" t="str">
        <f t="shared" si="3"/>
        <v>#N/A</v>
      </c>
      <c r="M377" s="110" t="s">
        <v>250</v>
      </c>
      <c r="N377" s="111">
        <f>VLOOKUP(M377,'Dados StatusInvest'!$A:$Z,26,0)</f>
        <v>0</v>
      </c>
      <c r="O377" s="118">
        <f>VLOOKUP(M377,'Dados StatusInvest'!$A:$Z,18,0)/100</f>
        <v>-0.4726</v>
      </c>
      <c r="P377" s="119" t="str">
        <f t="shared" si="5"/>
        <v>#N/A</v>
      </c>
      <c r="Q377" s="120">
        <f>IF(ISERROR(1/VLOOKUP(M377,Capa!A:AH,6,0)),0,1/VLOOKUP(M377,Capa!A:AH,6,0))</f>
        <v>0.1402524544</v>
      </c>
      <c r="R377" s="121">
        <f t="shared" si="6"/>
        <v>94.000094</v>
      </c>
      <c r="S377" s="122" t="str">
        <f t="shared" si="7"/>
        <v>#N/A</v>
      </c>
    </row>
    <row r="378">
      <c r="A378" s="123"/>
      <c r="B378" s="110" t="s">
        <v>304</v>
      </c>
      <c r="C378" s="111">
        <f>VLOOKUP(B378,'Dados StatusInvest'!$A:$Z,26,0)</f>
        <v>659</v>
      </c>
      <c r="D378" s="112">
        <f>VLOOKUP(B378,'Dados StatusInvest'!$A:$Z,20,0)/100</f>
        <v>0.1489</v>
      </c>
      <c r="E378" s="87" t="str">
        <f t="shared" si="1"/>
        <v>#N/A</v>
      </c>
      <c r="F378" s="113">
        <f>IF(ISERROR(1/VLOOKUP(B378,Capa!A:AH,13,0)),0,1/VLOOKUP(B378,Capa!A:AH,13,0))</f>
        <v>5.219206681</v>
      </c>
      <c r="G378" s="114">
        <f t="shared" si="2"/>
        <v>152.000152</v>
      </c>
      <c r="H378" s="115" t="str">
        <f t="shared" si="3"/>
        <v>#N/A</v>
      </c>
      <c r="M378" s="110" t="s">
        <v>304</v>
      </c>
      <c r="N378" s="111">
        <f>VLOOKUP(M378,'Dados StatusInvest'!$A:$Z,26,0)</f>
        <v>659</v>
      </c>
      <c r="O378" s="118">
        <f>VLOOKUP(M378,'Dados StatusInvest'!$A:$Z,18,0)/100</f>
        <v>0.3249</v>
      </c>
      <c r="P378" s="119" t="str">
        <f t="shared" si="5"/>
        <v>#N/A</v>
      </c>
      <c r="Q378" s="120">
        <f>IF(ISERROR(1/VLOOKUP(M378,Capa!A:AH,6,0)),0,1/VLOOKUP(M378,Capa!A:AH,6,0))</f>
        <v>0.1517450683</v>
      </c>
      <c r="R378" s="121">
        <f t="shared" si="6"/>
        <v>90.00009</v>
      </c>
      <c r="S378" s="122" t="str">
        <f t="shared" si="7"/>
        <v>#N/A</v>
      </c>
    </row>
    <row r="379">
      <c r="A379" s="123"/>
      <c r="B379" s="110" t="s">
        <v>236</v>
      </c>
      <c r="C379" s="111">
        <f>VLOOKUP(B379,'Dados StatusInvest'!$A:$Z,26,0)</f>
        <v>0</v>
      </c>
      <c r="D379" s="112">
        <f>VLOOKUP(B379,'Dados StatusInvest'!$A:$Z,20,0)/100</f>
        <v>0</v>
      </c>
      <c r="E379" s="87" t="str">
        <f t="shared" si="1"/>
        <v>#N/A</v>
      </c>
      <c r="F379" s="113">
        <f>IF(ISERROR(1/VLOOKUP(B379,Capa!A:AH,13,0)),0,1/VLOOKUP(B379,Capa!A:AH,13,0))</f>
        <v>0</v>
      </c>
      <c r="G379" s="114">
        <f t="shared" si="2"/>
        <v>246.000246</v>
      </c>
      <c r="H379" s="115" t="str">
        <f t="shared" si="3"/>
        <v>#N/A</v>
      </c>
      <c r="M379" s="110" t="s">
        <v>236</v>
      </c>
      <c r="N379" s="111">
        <f>VLOOKUP(M379,'Dados StatusInvest'!$A:$Z,26,0)</f>
        <v>0</v>
      </c>
      <c r="O379" s="118">
        <f>VLOOKUP(M379,'Dados StatusInvest'!$A:$Z,18,0)/100</f>
        <v>0.0894</v>
      </c>
      <c r="P379" s="119" t="str">
        <f t="shared" si="5"/>
        <v>#N/A</v>
      </c>
      <c r="Q379" s="120">
        <f>IF(ISERROR(1/VLOOKUP(M379,Capa!A:AH,6,0)),0,1/VLOOKUP(M379,Capa!A:AH,6,0))</f>
        <v>0</v>
      </c>
      <c r="R379" s="121">
        <f t="shared" si="6"/>
        <v>306.000306</v>
      </c>
      <c r="S379" s="122" t="str">
        <f t="shared" si="7"/>
        <v>#N/A</v>
      </c>
    </row>
    <row r="380">
      <c r="A380" s="123"/>
      <c r="B380" s="110" t="s">
        <v>218</v>
      </c>
      <c r="C380" s="111">
        <f>VLOOKUP(B380,'Dados StatusInvest'!$A:$Z,26,0)</f>
        <v>1450.25</v>
      </c>
      <c r="D380" s="112">
        <f>VLOOKUP(B380,'Dados StatusInvest'!$A:$Z,20,0)/100</f>
        <v>0.0992</v>
      </c>
      <c r="E380" s="87" t="str">
        <f t="shared" si="1"/>
        <v>#N/A</v>
      </c>
      <c r="F380" s="113">
        <f>IF(ISERROR(1/VLOOKUP(B380,Capa!A:AH,13,0)),0,1/VLOOKUP(B380,Capa!A:AH,13,0))</f>
        <v>7.457121551</v>
      </c>
      <c r="G380" s="114">
        <f t="shared" si="2"/>
        <v>111.000111</v>
      </c>
      <c r="H380" s="115" t="str">
        <f t="shared" si="3"/>
        <v>#N/A</v>
      </c>
      <c r="M380" s="110" t="s">
        <v>218</v>
      </c>
      <c r="N380" s="111">
        <f>VLOOKUP(M380,'Dados StatusInvest'!$A:$Z,26,0)</f>
        <v>1450.25</v>
      </c>
      <c r="O380" s="118">
        <f>VLOOKUP(M380,'Dados StatusInvest'!$A:$Z,18,0)/100</f>
        <v>0.0564</v>
      </c>
      <c r="P380" s="119" t="str">
        <f t="shared" si="5"/>
        <v>#N/A</v>
      </c>
      <c r="Q380" s="120">
        <f>IF(ISERROR(1/VLOOKUP(M380,Capa!A:AH,6,0)),0,1/VLOOKUP(M380,Capa!A:AH,6,0))</f>
        <v>0.02631578947</v>
      </c>
      <c r="R380" s="121">
        <f t="shared" si="6"/>
        <v>235.000235</v>
      </c>
      <c r="S380" s="122" t="str">
        <f t="shared" si="7"/>
        <v>#N/A</v>
      </c>
    </row>
    <row r="381">
      <c r="A381" s="123"/>
      <c r="B381" s="110" t="s">
        <v>161</v>
      </c>
      <c r="C381" s="111">
        <f>VLOOKUP(B381,'Dados StatusInvest'!$A:$Z,26,0)</f>
        <v>1401.5</v>
      </c>
      <c r="D381" s="112">
        <f>VLOOKUP(B381,'Dados StatusInvest'!$A:$Z,20,0)/100</f>
        <v>-0.2187</v>
      </c>
      <c r="E381" s="87" t="str">
        <f t="shared" si="1"/>
        <v>#N/A</v>
      </c>
      <c r="F381" s="113">
        <f>IF(ISERROR(1/VLOOKUP(B381,Capa!A:AH,13,0)),0,1/VLOOKUP(B381,Capa!A:AH,13,0))</f>
        <v>-18.48428835</v>
      </c>
      <c r="G381" s="114">
        <f t="shared" si="2"/>
        <v>424.000424</v>
      </c>
      <c r="H381" s="115" t="str">
        <f t="shared" si="3"/>
        <v>#N/A</v>
      </c>
      <c r="M381" s="110" t="s">
        <v>161</v>
      </c>
      <c r="N381" s="111">
        <f>VLOOKUP(M381,'Dados StatusInvest'!$A:$Z,26,0)</f>
        <v>1401.5</v>
      </c>
      <c r="O381" s="118">
        <f>VLOOKUP(M381,'Dados StatusInvest'!$A:$Z,18,0)/100</f>
        <v>-1.3456</v>
      </c>
      <c r="P381" s="119" t="str">
        <f t="shared" si="5"/>
        <v>#N/A</v>
      </c>
      <c r="Q381" s="120">
        <f>IF(ISERROR(1/VLOOKUP(M381,Capa!A:AH,6,0)),0,1/VLOOKUP(M381,Capa!A:AH,6,0))</f>
        <v>0.119047619</v>
      </c>
      <c r="R381" s="121">
        <f t="shared" si="6"/>
        <v>103.000103</v>
      </c>
      <c r="S381" s="122" t="str">
        <f t="shared" si="7"/>
        <v>#N/A</v>
      </c>
    </row>
    <row r="382">
      <c r="A382" s="123"/>
      <c r="B382" s="110" t="s">
        <v>420</v>
      </c>
      <c r="C382" s="111">
        <f>VLOOKUP(B382,'Dados StatusInvest'!$A:$Z,26,0)</f>
        <v>24108.67</v>
      </c>
      <c r="D382" s="112">
        <f>VLOOKUP(B382,'Dados StatusInvest'!$A:$Z,20,0)/100</f>
        <v>0.0929</v>
      </c>
      <c r="E382" s="87" t="str">
        <f t="shared" si="1"/>
        <v>#N/A</v>
      </c>
      <c r="F382" s="113">
        <f>IF(ISERROR(1/VLOOKUP(B382,Capa!A:AH,13,0)),0,1/VLOOKUP(B382,Capa!A:AH,13,0))</f>
        <v>6.086427267</v>
      </c>
      <c r="G382" s="114">
        <f t="shared" si="2"/>
        <v>129.000129</v>
      </c>
      <c r="H382" s="115" t="str">
        <f t="shared" si="3"/>
        <v>#N/A</v>
      </c>
      <c r="M382" s="110" t="s">
        <v>420</v>
      </c>
      <c r="N382" s="111">
        <f>VLOOKUP(M382,'Dados StatusInvest'!$A:$Z,26,0)</f>
        <v>24108.67</v>
      </c>
      <c r="O382" s="118">
        <f>VLOOKUP(M382,'Dados StatusInvest'!$A:$Z,18,0)/100</f>
        <v>0.2485</v>
      </c>
      <c r="P382" s="119" t="str">
        <f t="shared" si="5"/>
        <v>#N/A</v>
      </c>
      <c r="Q382" s="120">
        <f>IF(ISERROR(1/VLOOKUP(M382,Capa!A:AH,6,0)),0,1/VLOOKUP(M382,Capa!A:AH,6,0))</f>
        <v>0.2380952381</v>
      </c>
      <c r="R382" s="121">
        <f t="shared" si="6"/>
        <v>54.000054</v>
      </c>
      <c r="S382" s="122" t="str">
        <f t="shared" si="7"/>
        <v>#N/A</v>
      </c>
    </row>
    <row r="383">
      <c r="A383" s="123"/>
      <c r="B383" s="110" t="s">
        <v>551</v>
      </c>
      <c r="C383" s="111">
        <f>VLOOKUP(B383,'Dados StatusInvest'!$A:$Z,26,0)</f>
        <v>531.6</v>
      </c>
      <c r="D383" s="112">
        <f>VLOOKUP(B383,'Dados StatusInvest'!$A:$Z,20,0)/100</f>
        <v>0.0003</v>
      </c>
      <c r="E383" s="87" t="str">
        <f t="shared" si="1"/>
        <v>#N/A</v>
      </c>
      <c r="F383" s="113">
        <f>IF(ISERROR(1/VLOOKUP(B383,Capa!A:AH,13,0)),0,1/VLOOKUP(B383,Capa!A:AH,13,0))</f>
        <v>0</v>
      </c>
      <c r="G383" s="114">
        <f t="shared" si="2"/>
        <v>246.000246</v>
      </c>
      <c r="H383" s="115" t="str">
        <f t="shared" si="3"/>
        <v>#N/A</v>
      </c>
      <c r="M383" s="110" t="s">
        <v>551</v>
      </c>
      <c r="N383" s="111">
        <f>VLOOKUP(M383,'Dados StatusInvest'!$A:$Z,26,0)</f>
        <v>531.6</v>
      </c>
      <c r="O383" s="118">
        <f>VLOOKUP(M383,'Dados StatusInvest'!$A:$Z,18,0)/100</f>
        <v>0.016</v>
      </c>
      <c r="P383" s="119" t="str">
        <f t="shared" si="5"/>
        <v>#N/A</v>
      </c>
      <c r="Q383" s="120">
        <f>IF(ISERROR(1/VLOOKUP(M383,Capa!A:AH,6,0)),0,1/VLOOKUP(M383,Capa!A:AH,6,0))</f>
        <v>0.1879699248</v>
      </c>
      <c r="R383" s="121">
        <f t="shared" si="6"/>
        <v>71.000071</v>
      </c>
      <c r="S383" s="122" t="str">
        <f t="shared" si="7"/>
        <v>#N/A</v>
      </c>
    </row>
    <row r="384">
      <c r="A384" s="123"/>
      <c r="B384" s="110" t="s">
        <v>191</v>
      </c>
      <c r="C384" s="111">
        <f>VLOOKUP(B384,'Dados StatusInvest'!$A:$Z,26,0)</f>
        <v>9930.56</v>
      </c>
      <c r="D384" s="112">
        <f>VLOOKUP(B384,'Dados StatusInvest'!$A:$Z,20,0)/100</f>
        <v>0.0845</v>
      </c>
      <c r="E384" s="87" t="str">
        <f t="shared" si="1"/>
        <v>#N/A</v>
      </c>
      <c r="F384" s="113">
        <f>IF(ISERROR(1/VLOOKUP(B384,Capa!A:AH,13,0)),0,1/VLOOKUP(B384,Capa!A:AH,13,0))</f>
        <v>9.532888465</v>
      </c>
      <c r="G384" s="114">
        <f t="shared" si="2"/>
        <v>86.000086</v>
      </c>
      <c r="H384" s="115" t="str">
        <f t="shared" si="3"/>
        <v>#N/A</v>
      </c>
      <c r="M384" s="110" t="s">
        <v>191</v>
      </c>
      <c r="N384" s="111">
        <f>VLOOKUP(M384,'Dados StatusInvest'!$A:$Z,26,0)</f>
        <v>9930.56</v>
      </c>
      <c r="O384" s="118">
        <f>VLOOKUP(M384,'Dados StatusInvest'!$A:$Z,18,0)/100</f>
        <v>0.1405</v>
      </c>
      <c r="P384" s="119" t="str">
        <f t="shared" si="5"/>
        <v>#N/A</v>
      </c>
      <c r="Q384" s="120">
        <f>IF(ISERROR(1/VLOOKUP(M384,Capa!A:AH,6,0)),0,1/VLOOKUP(M384,Capa!A:AH,6,0))</f>
        <v>0.103626943</v>
      </c>
      <c r="R384" s="121">
        <f t="shared" si="6"/>
        <v>116.000116</v>
      </c>
      <c r="S384" s="122" t="str">
        <f t="shared" si="7"/>
        <v>#N/A</v>
      </c>
    </row>
    <row r="385">
      <c r="A385" s="123"/>
      <c r="B385" s="110" t="s">
        <v>195</v>
      </c>
      <c r="C385" s="111">
        <f>VLOOKUP(B385,'Dados StatusInvest'!$A:$Z,26,0)</f>
        <v>583.25</v>
      </c>
      <c r="D385" s="112">
        <f>VLOOKUP(B385,'Dados StatusInvest'!$A:$Z,20,0)/100</f>
        <v>0.1337</v>
      </c>
      <c r="E385" s="87" t="str">
        <f t="shared" si="1"/>
        <v>#N/A</v>
      </c>
      <c r="F385" s="113">
        <f>IF(ISERROR(1/VLOOKUP(B385,Capa!A:AH,13,0)),0,1/VLOOKUP(B385,Capa!A:AH,13,0))</f>
        <v>14.61988304</v>
      </c>
      <c r="G385" s="114">
        <f t="shared" si="2"/>
        <v>43.000043</v>
      </c>
      <c r="H385" s="115" t="str">
        <f t="shared" si="3"/>
        <v>#N/A</v>
      </c>
      <c r="M385" s="110" t="s">
        <v>195</v>
      </c>
      <c r="N385" s="111">
        <f>VLOOKUP(M385,'Dados StatusInvest'!$A:$Z,26,0)</f>
        <v>583.25</v>
      </c>
      <c r="O385" s="118">
        <f>VLOOKUP(M385,'Dados StatusInvest'!$A:$Z,18,0)/100</f>
        <v>-0.1549</v>
      </c>
      <c r="P385" s="119" t="str">
        <f t="shared" si="5"/>
        <v>#N/A</v>
      </c>
      <c r="Q385" s="120">
        <f>IF(ISERROR(1/VLOOKUP(M385,Capa!A:AH,6,0)),0,1/VLOOKUP(M385,Capa!A:AH,6,0))</f>
        <v>0.102145046</v>
      </c>
      <c r="R385" s="121">
        <f t="shared" si="6"/>
        <v>120.00012</v>
      </c>
      <c r="S385" s="122" t="str">
        <f t="shared" si="7"/>
        <v>#N/A</v>
      </c>
    </row>
    <row r="386">
      <c r="A386" s="123"/>
      <c r="B386" s="110" t="s">
        <v>242</v>
      </c>
      <c r="C386" s="111">
        <f>VLOOKUP(B386,'Dados StatusInvest'!$A:$Z,26,0)</f>
        <v>0</v>
      </c>
      <c r="D386" s="112">
        <f>VLOOKUP(B386,'Dados StatusInvest'!$A:$Z,20,0)/100</f>
        <v>0.2105</v>
      </c>
      <c r="E386" s="87" t="str">
        <f t="shared" si="1"/>
        <v>#N/A</v>
      </c>
      <c r="F386" s="113">
        <f>IF(ISERROR(1/VLOOKUP(B386,Capa!A:AH,13,0)),0,1/VLOOKUP(B386,Capa!A:AH,13,0))</f>
        <v>0</v>
      </c>
      <c r="G386" s="114">
        <f t="shared" si="2"/>
        <v>246.000246</v>
      </c>
      <c r="H386" s="115" t="str">
        <f t="shared" si="3"/>
        <v>#N/A</v>
      </c>
      <c r="M386" s="110" t="s">
        <v>242</v>
      </c>
      <c r="N386" s="111">
        <f>VLOOKUP(M386,'Dados StatusInvest'!$A:$Z,26,0)</f>
        <v>0</v>
      </c>
      <c r="O386" s="118">
        <f>VLOOKUP(M386,'Dados StatusInvest'!$A:$Z,18,0)/100</f>
        <v>0.3454</v>
      </c>
      <c r="P386" s="119" t="str">
        <f t="shared" si="5"/>
        <v>#N/A</v>
      </c>
      <c r="Q386" s="120">
        <f>IF(ISERROR(1/VLOOKUP(M386,Capa!A:AH,6,0)),0,1/VLOOKUP(M386,Capa!A:AH,6,0))</f>
        <v>0</v>
      </c>
      <c r="R386" s="121">
        <f t="shared" si="6"/>
        <v>306.000306</v>
      </c>
      <c r="S386" s="122" t="str">
        <f t="shared" si="7"/>
        <v>#N/A</v>
      </c>
    </row>
    <row r="387">
      <c r="A387" s="123"/>
      <c r="B387" s="110" t="s">
        <v>463</v>
      </c>
      <c r="C387" s="111">
        <f>VLOOKUP(B387,'Dados StatusInvest'!$A:$Z,26,0)</f>
        <v>0</v>
      </c>
      <c r="D387" s="112">
        <f>VLOOKUP(B387,'Dados StatusInvest'!$A:$Z,20,0)/100</f>
        <v>0.1589</v>
      </c>
      <c r="E387" s="87" t="str">
        <f t="shared" si="1"/>
        <v>#N/A</v>
      </c>
      <c r="F387" s="113">
        <f>IF(ISERROR(1/VLOOKUP(B387,Capa!A:AH,13,0)),0,1/VLOOKUP(B387,Capa!A:AH,13,0))</f>
        <v>0</v>
      </c>
      <c r="G387" s="114">
        <f t="shared" si="2"/>
        <v>246.000246</v>
      </c>
      <c r="H387" s="115" t="str">
        <f t="shared" si="3"/>
        <v>#N/A</v>
      </c>
      <c r="M387" s="110" t="s">
        <v>463</v>
      </c>
      <c r="N387" s="111">
        <f>VLOOKUP(M387,'Dados StatusInvest'!$A:$Z,26,0)</f>
        <v>0</v>
      </c>
      <c r="O387" s="118">
        <f>VLOOKUP(M387,'Dados StatusInvest'!$A:$Z,18,0)/100</f>
        <v>0.2342</v>
      </c>
      <c r="P387" s="119" t="str">
        <f t="shared" si="5"/>
        <v>#N/A</v>
      </c>
      <c r="Q387" s="120">
        <f>IF(ISERROR(1/VLOOKUP(M387,Capa!A:AH,6,0)),0,1/VLOOKUP(M387,Capa!A:AH,6,0))</f>
        <v>0</v>
      </c>
      <c r="R387" s="121">
        <f t="shared" si="6"/>
        <v>306.000306</v>
      </c>
      <c r="S387" s="122" t="str">
        <f t="shared" si="7"/>
        <v>#N/A</v>
      </c>
    </row>
    <row r="388">
      <c r="A388" s="123"/>
      <c r="B388" s="110" t="s">
        <v>152</v>
      </c>
      <c r="C388" s="111">
        <f>VLOOKUP(B388,'Dados StatusInvest'!$A:$Z,26,0)</f>
        <v>0</v>
      </c>
      <c r="D388" s="112">
        <f>VLOOKUP(B388,'Dados StatusInvest'!$A:$Z,20,0)/100</f>
        <v>-0.0291</v>
      </c>
      <c r="E388" s="87" t="str">
        <f t="shared" si="1"/>
        <v>#N/A</v>
      </c>
      <c r="F388" s="113">
        <f>IF(ISERROR(1/VLOOKUP(B388,Capa!A:AH,13,0)),0,1/VLOOKUP(B388,Capa!A:AH,13,0))</f>
        <v>0</v>
      </c>
      <c r="G388" s="114">
        <f t="shared" si="2"/>
        <v>246.000246</v>
      </c>
      <c r="H388" s="115" t="str">
        <f t="shared" si="3"/>
        <v>#N/A</v>
      </c>
      <c r="M388" s="110" t="s">
        <v>152</v>
      </c>
      <c r="N388" s="111">
        <f>VLOOKUP(M388,'Dados StatusInvest'!$A:$Z,26,0)</f>
        <v>0</v>
      </c>
      <c r="O388" s="118">
        <f>VLOOKUP(M388,'Dados StatusInvest'!$A:$Z,18,0)/100</f>
        <v>0.0156</v>
      </c>
      <c r="P388" s="119" t="str">
        <f t="shared" si="5"/>
        <v>#N/A</v>
      </c>
      <c r="Q388" s="120">
        <f>IF(ISERROR(1/VLOOKUP(M388,Capa!A:AH,6,0)),0,1/VLOOKUP(M388,Capa!A:AH,6,0))</f>
        <v>0</v>
      </c>
      <c r="R388" s="121">
        <f t="shared" si="6"/>
        <v>306.000306</v>
      </c>
      <c r="S388" s="122" t="str">
        <f t="shared" si="7"/>
        <v>#N/A</v>
      </c>
    </row>
    <row r="389">
      <c r="A389" s="123"/>
      <c r="B389" s="110" t="s">
        <v>473</v>
      </c>
      <c r="C389" s="111">
        <f>VLOOKUP(B389,'Dados StatusInvest'!$A:$Z,26,0)</f>
        <v>1875.57</v>
      </c>
      <c r="D389" s="112">
        <f>VLOOKUP(B389,'Dados StatusInvest'!$A:$Z,20,0)/100</f>
        <v>-0.2552</v>
      </c>
      <c r="E389" s="87" t="str">
        <f t="shared" si="1"/>
        <v>#N/A</v>
      </c>
      <c r="F389" s="113">
        <f>IF(ISERROR(1/VLOOKUP(B389,Capa!A:AH,13,0)),0,1/VLOOKUP(B389,Capa!A:AH,13,0))</f>
        <v>0.0841170236</v>
      </c>
      <c r="G389" s="114">
        <f t="shared" si="2"/>
        <v>245.000245</v>
      </c>
      <c r="H389" s="115" t="str">
        <f t="shared" si="3"/>
        <v>#N/A</v>
      </c>
      <c r="M389" s="110" t="s">
        <v>473</v>
      </c>
      <c r="N389" s="111">
        <f>VLOOKUP(M389,'Dados StatusInvest'!$A:$Z,26,0)</f>
        <v>1875.57</v>
      </c>
      <c r="O389" s="118">
        <f>VLOOKUP(M389,'Dados StatusInvest'!$A:$Z,18,0)/100</f>
        <v>-0.3013</v>
      </c>
      <c r="P389" s="119" t="str">
        <f t="shared" si="5"/>
        <v>#N/A</v>
      </c>
      <c r="Q389" s="120">
        <f>IF(ISERROR(1/VLOOKUP(M389,Capa!A:AH,6,0)),0,1/VLOOKUP(M389,Capa!A:AH,6,0))</f>
        <v>0.2380952381</v>
      </c>
      <c r="R389" s="121">
        <f t="shared" si="6"/>
        <v>54.000054</v>
      </c>
      <c r="S389" s="122" t="str">
        <f t="shared" si="7"/>
        <v>#N/A</v>
      </c>
    </row>
    <row r="390">
      <c r="A390" s="123"/>
      <c r="B390" s="110" t="s">
        <v>192</v>
      </c>
      <c r="C390" s="111">
        <f>VLOOKUP(B390,'Dados StatusInvest'!$A:$Z,26,0)</f>
        <v>27837.9</v>
      </c>
      <c r="D390" s="112">
        <f>VLOOKUP(B390,'Dados StatusInvest'!$A:$Z,20,0)/100</f>
        <v>0.1682</v>
      </c>
      <c r="E390" s="87" t="str">
        <f t="shared" si="1"/>
        <v>#N/A</v>
      </c>
      <c r="F390" s="113">
        <f>IF(ISERROR(1/VLOOKUP(B390,Capa!A:AH,13,0)),0,1/VLOOKUP(B390,Capa!A:AH,13,0))</f>
        <v>4.240882103</v>
      </c>
      <c r="G390" s="114">
        <f t="shared" si="2"/>
        <v>180.00018</v>
      </c>
      <c r="H390" s="115" t="str">
        <f t="shared" si="3"/>
        <v>#N/A</v>
      </c>
      <c r="M390" s="110" t="s">
        <v>192</v>
      </c>
      <c r="N390" s="111">
        <f>VLOOKUP(M390,'Dados StatusInvest'!$A:$Z,26,0)</f>
        <v>27837.9</v>
      </c>
      <c r="O390" s="118">
        <f>VLOOKUP(M390,'Dados StatusInvest'!$A:$Z,18,0)/100</f>
        <v>0.2433</v>
      </c>
      <c r="P390" s="119" t="str">
        <f t="shared" si="5"/>
        <v>#N/A</v>
      </c>
      <c r="Q390" s="120">
        <f>IF(ISERROR(1/VLOOKUP(M390,Capa!A:AH,6,0)),0,1/VLOOKUP(M390,Capa!A:AH,6,0))</f>
        <v>0.02195389682</v>
      </c>
      <c r="R390" s="121">
        <f t="shared" si="6"/>
        <v>248.000248</v>
      </c>
      <c r="S390" s="122" t="str">
        <f t="shared" si="7"/>
        <v>#N/A</v>
      </c>
    </row>
    <row r="391">
      <c r="A391" s="123"/>
      <c r="B391" s="110" t="s">
        <v>283</v>
      </c>
      <c r="C391" s="111">
        <f>VLOOKUP(B391,'Dados StatusInvest'!$A:$Z,26,0)</f>
        <v>0</v>
      </c>
      <c r="D391" s="112">
        <f>VLOOKUP(B391,'Dados StatusInvest'!$A:$Z,20,0)/100</f>
        <v>0.0438</v>
      </c>
      <c r="E391" s="87" t="str">
        <f t="shared" si="1"/>
        <v>#N/A</v>
      </c>
      <c r="F391" s="113">
        <f>IF(ISERROR(1/VLOOKUP(B391,Capa!A:AH,13,0)),0,1/VLOOKUP(B391,Capa!A:AH,13,0))</f>
        <v>0</v>
      </c>
      <c r="G391" s="114">
        <f t="shared" si="2"/>
        <v>246.000246</v>
      </c>
      <c r="H391" s="115" t="str">
        <f t="shared" si="3"/>
        <v>#N/A</v>
      </c>
      <c r="M391" s="110" t="s">
        <v>283</v>
      </c>
      <c r="N391" s="111">
        <f>VLOOKUP(M391,'Dados StatusInvest'!$A:$Z,26,0)</f>
        <v>0</v>
      </c>
      <c r="O391" s="118">
        <f>VLOOKUP(M391,'Dados StatusInvest'!$A:$Z,18,0)/100</f>
        <v>0.1087</v>
      </c>
      <c r="P391" s="119" t="str">
        <f t="shared" si="5"/>
        <v>#N/A</v>
      </c>
      <c r="Q391" s="120">
        <f>IF(ISERROR(1/VLOOKUP(M391,Capa!A:AH,6,0)),0,1/VLOOKUP(M391,Capa!A:AH,6,0))</f>
        <v>0</v>
      </c>
      <c r="R391" s="121">
        <f t="shared" si="6"/>
        <v>306.000306</v>
      </c>
      <c r="S391" s="122" t="str">
        <f t="shared" si="7"/>
        <v>#N/A</v>
      </c>
    </row>
    <row r="392">
      <c r="A392" s="123"/>
      <c r="B392" s="110" t="s">
        <v>276</v>
      </c>
      <c r="C392" s="111">
        <f>VLOOKUP(B392,'Dados StatusInvest'!$A:$Z,26,0)</f>
        <v>0</v>
      </c>
      <c r="D392" s="112">
        <f>VLOOKUP(B392,'Dados StatusInvest'!$A:$Z,20,0)/100</f>
        <v>-0.0736</v>
      </c>
      <c r="E392" s="87" t="str">
        <f t="shared" si="1"/>
        <v>#N/A</v>
      </c>
      <c r="F392" s="113">
        <f>IF(ISERROR(1/VLOOKUP(B392,Capa!A:AH,13,0)),0,1/VLOOKUP(B392,Capa!A:AH,13,0))</f>
        <v>0</v>
      </c>
      <c r="G392" s="114">
        <f t="shared" si="2"/>
        <v>246.000246</v>
      </c>
      <c r="H392" s="115" t="str">
        <f t="shared" si="3"/>
        <v>#N/A</v>
      </c>
      <c r="M392" s="110" t="s">
        <v>276</v>
      </c>
      <c r="N392" s="111">
        <f>VLOOKUP(M392,'Dados StatusInvest'!$A:$Z,26,0)</f>
        <v>0</v>
      </c>
      <c r="O392" s="118">
        <f>VLOOKUP(M392,'Dados StatusInvest'!$A:$Z,18,0)/100</f>
        <v>-0.1228</v>
      </c>
      <c r="P392" s="119" t="str">
        <f t="shared" si="5"/>
        <v>#N/A</v>
      </c>
      <c r="Q392" s="120">
        <f>IF(ISERROR(1/VLOOKUP(M392,Capa!A:AH,6,0)),0,1/VLOOKUP(M392,Capa!A:AH,6,0))</f>
        <v>0</v>
      </c>
      <c r="R392" s="121">
        <f t="shared" si="6"/>
        <v>306.000306</v>
      </c>
      <c r="S392" s="122" t="str">
        <f t="shared" si="7"/>
        <v>#N/A</v>
      </c>
    </row>
    <row r="393">
      <c r="A393" s="123"/>
      <c r="B393" s="110" t="s">
        <v>317</v>
      </c>
      <c r="C393" s="111">
        <f>VLOOKUP(B393,'Dados StatusInvest'!$A:$Z,26,0)</f>
        <v>13482.62</v>
      </c>
      <c r="D393" s="112">
        <f>VLOOKUP(B393,'Dados StatusInvest'!$A:$Z,20,0)/100</f>
        <v>0.0046</v>
      </c>
      <c r="E393" s="87" t="str">
        <f t="shared" si="1"/>
        <v>#N/A</v>
      </c>
      <c r="F393" s="113">
        <f>IF(ISERROR(1/VLOOKUP(B393,Capa!A:AH,13,0)),0,1/VLOOKUP(B393,Capa!A:AH,13,0))</f>
        <v>34.72222222</v>
      </c>
      <c r="G393" s="114">
        <f t="shared" si="2"/>
        <v>23.000023</v>
      </c>
      <c r="H393" s="115" t="str">
        <f t="shared" si="3"/>
        <v>#N/A</v>
      </c>
      <c r="M393" s="110" t="s">
        <v>317</v>
      </c>
      <c r="N393" s="111">
        <f>VLOOKUP(M393,'Dados StatusInvest'!$A:$Z,26,0)</f>
        <v>13482.62</v>
      </c>
      <c r="O393" s="118">
        <f>VLOOKUP(M393,'Dados StatusInvest'!$A:$Z,18,0)/100</f>
        <v>0.0634</v>
      </c>
      <c r="P393" s="119" t="str">
        <f t="shared" si="5"/>
        <v>#N/A</v>
      </c>
      <c r="Q393" s="120">
        <f>IF(ISERROR(1/VLOOKUP(M393,Capa!A:AH,6,0)),0,1/VLOOKUP(M393,Capa!A:AH,6,0))</f>
        <v>0.08257638315</v>
      </c>
      <c r="R393" s="121">
        <f t="shared" si="6"/>
        <v>134.000134</v>
      </c>
      <c r="S393" s="122" t="str">
        <f t="shared" si="7"/>
        <v>#N/A</v>
      </c>
    </row>
    <row r="394">
      <c r="A394" s="123"/>
      <c r="B394" s="110" t="s">
        <v>492</v>
      </c>
      <c r="C394" s="111">
        <f>VLOOKUP(B394,'Dados StatusInvest'!$A:$Z,26,0)</f>
        <v>850</v>
      </c>
      <c r="D394" s="112">
        <f>VLOOKUP(B394,'Dados StatusInvest'!$A:$Z,20,0)/100</f>
        <v>0.0509</v>
      </c>
      <c r="E394" s="87" t="str">
        <f t="shared" si="1"/>
        <v>#N/A</v>
      </c>
      <c r="F394" s="113">
        <f>IF(ISERROR(1/VLOOKUP(B394,Capa!A:AH,13,0)),0,1/VLOOKUP(B394,Capa!A:AH,13,0))</f>
        <v>23.31002331</v>
      </c>
      <c r="G394" s="114">
        <f t="shared" si="2"/>
        <v>28.000028</v>
      </c>
      <c r="H394" s="115" t="str">
        <f t="shared" si="3"/>
        <v>#N/A</v>
      </c>
      <c r="M394" s="110" t="s">
        <v>492</v>
      </c>
      <c r="N394" s="111">
        <f>VLOOKUP(M394,'Dados StatusInvest'!$A:$Z,26,0)</f>
        <v>850</v>
      </c>
      <c r="O394" s="118">
        <f>VLOOKUP(M394,'Dados StatusInvest'!$A:$Z,18,0)/100</f>
        <v>0.0569</v>
      </c>
      <c r="P394" s="119" t="str">
        <f t="shared" si="5"/>
        <v>#N/A</v>
      </c>
      <c r="Q394" s="120">
        <f>IF(ISERROR(1/VLOOKUP(M394,Capa!A:AH,6,0)),0,1/VLOOKUP(M394,Capa!A:AH,6,0))</f>
        <v>0.02941176471</v>
      </c>
      <c r="R394" s="121">
        <f t="shared" si="6"/>
        <v>225.000225</v>
      </c>
      <c r="S394" s="122" t="str">
        <f t="shared" si="7"/>
        <v>#N/A</v>
      </c>
    </row>
    <row r="395">
      <c r="A395" s="123"/>
      <c r="B395" s="110" t="s">
        <v>641</v>
      </c>
      <c r="C395" s="111">
        <f>VLOOKUP(B395,'Dados StatusInvest'!$A:$Z,26,0)</f>
        <v>800</v>
      </c>
      <c r="D395" s="112">
        <f>VLOOKUP(B395,'Dados StatusInvest'!$A:$Z,20,0)/100</f>
        <v>-0.1392</v>
      </c>
      <c r="E395" s="87" t="str">
        <f t="shared" si="1"/>
        <v>#N/A</v>
      </c>
      <c r="F395" s="113">
        <f>IF(ISERROR(1/VLOOKUP(B395,Capa!A:AH,13,0)),0,1/VLOOKUP(B395,Capa!A:AH,13,0))</f>
        <v>-21.18644068</v>
      </c>
      <c r="G395" s="114">
        <f t="shared" si="2"/>
        <v>432.000432</v>
      </c>
      <c r="H395" s="115" t="str">
        <f t="shared" si="3"/>
        <v>#N/A</v>
      </c>
      <c r="M395" s="110" t="s">
        <v>641</v>
      </c>
      <c r="N395" s="111">
        <f>VLOOKUP(M395,'Dados StatusInvest'!$A:$Z,26,0)</f>
        <v>800</v>
      </c>
      <c r="O395" s="118">
        <f>VLOOKUP(M395,'Dados StatusInvest'!$A:$Z,18,0)/100</f>
        <v>-0.1603</v>
      </c>
      <c r="P395" s="119" t="str">
        <f t="shared" si="5"/>
        <v>#N/A</v>
      </c>
      <c r="Q395" s="120">
        <f>IF(ISERROR(1/VLOOKUP(M395,Capa!A:AH,6,0)),0,1/VLOOKUP(M395,Capa!A:AH,6,0))</f>
        <v>0.125</v>
      </c>
      <c r="R395" s="121">
        <f t="shared" si="6"/>
        <v>98.000098</v>
      </c>
      <c r="S395" s="122" t="str">
        <f t="shared" si="7"/>
        <v>#N/A</v>
      </c>
    </row>
    <row r="396">
      <c r="A396" s="123"/>
      <c r="B396" s="110" t="s">
        <v>197</v>
      </c>
      <c r="C396" s="111">
        <f>VLOOKUP(B396,'Dados StatusInvest'!$A:$Z,26,0)</f>
        <v>1100</v>
      </c>
      <c r="D396" s="112">
        <f>VLOOKUP(B396,'Dados StatusInvest'!$A:$Z,20,0)/100</f>
        <v>0.2585</v>
      </c>
      <c r="E396" s="87" t="str">
        <f t="shared" si="1"/>
        <v>#N/A</v>
      </c>
      <c r="F396" s="113">
        <f>IF(ISERROR(1/VLOOKUP(B396,Capa!A:AH,13,0)),0,1/VLOOKUP(B396,Capa!A:AH,13,0))</f>
        <v>4.967709886</v>
      </c>
      <c r="G396" s="114">
        <f t="shared" si="2"/>
        <v>165.000165</v>
      </c>
      <c r="H396" s="115" t="str">
        <f t="shared" si="3"/>
        <v>#N/A</v>
      </c>
      <c r="M396" s="110" t="s">
        <v>197</v>
      </c>
      <c r="N396" s="111">
        <f>VLOOKUP(M396,'Dados StatusInvest'!$A:$Z,26,0)</f>
        <v>1100</v>
      </c>
      <c r="O396" s="118">
        <f>VLOOKUP(M396,'Dados StatusInvest'!$A:$Z,18,0)/100</f>
        <v>0.2885</v>
      </c>
      <c r="P396" s="119" t="str">
        <f t="shared" si="5"/>
        <v>#N/A</v>
      </c>
      <c r="Q396" s="120">
        <f>IF(ISERROR(1/VLOOKUP(M396,Capa!A:AH,6,0)),0,1/VLOOKUP(M396,Capa!A:AH,6,0))</f>
        <v>0.01818181818</v>
      </c>
      <c r="R396" s="121">
        <f t="shared" si="6"/>
        <v>263.000263</v>
      </c>
      <c r="S396" s="122" t="str">
        <f t="shared" si="7"/>
        <v>#N/A</v>
      </c>
    </row>
    <row r="397">
      <c r="A397" s="123"/>
      <c r="B397" s="110" t="s">
        <v>348</v>
      </c>
      <c r="C397" s="111">
        <f>VLOOKUP(B397,'Dados StatusInvest'!$A:$Z,26,0)</f>
        <v>1592.73</v>
      </c>
      <c r="D397" s="112">
        <f>VLOOKUP(B397,'Dados StatusInvest'!$A:$Z,20,0)/100</f>
        <v>-0.2251</v>
      </c>
      <c r="E397" s="87" t="str">
        <f t="shared" si="1"/>
        <v>#N/A</v>
      </c>
      <c r="F397" s="113">
        <f>IF(ISERROR(1/VLOOKUP(B397,Capa!A:AH,13,0)),0,1/VLOOKUP(B397,Capa!A:AH,13,0))</f>
        <v>-0.3176216491</v>
      </c>
      <c r="G397" s="114">
        <f t="shared" si="2"/>
        <v>396.000396</v>
      </c>
      <c r="H397" s="115" t="str">
        <f t="shared" si="3"/>
        <v>#N/A</v>
      </c>
      <c r="M397" s="110" t="s">
        <v>348</v>
      </c>
      <c r="N397" s="111">
        <f>VLOOKUP(M397,'Dados StatusInvest'!$A:$Z,26,0)</f>
        <v>1592.73</v>
      </c>
      <c r="O397" s="118">
        <f>VLOOKUP(M397,'Dados StatusInvest'!$A:$Z,18,0)/100</f>
        <v>-0.04</v>
      </c>
      <c r="P397" s="119" t="str">
        <f t="shared" si="5"/>
        <v>#N/A</v>
      </c>
      <c r="Q397" s="120">
        <f>IF(ISERROR(1/VLOOKUP(M397,Capa!A:AH,6,0)),0,1/VLOOKUP(M397,Capa!A:AH,6,0))</f>
        <v>0.06622516556</v>
      </c>
      <c r="R397" s="121">
        <f t="shared" si="6"/>
        <v>157.000157</v>
      </c>
      <c r="S397" s="122" t="str">
        <f t="shared" si="7"/>
        <v>#N/A</v>
      </c>
    </row>
    <row r="398">
      <c r="A398" s="123"/>
      <c r="B398" s="110" t="s">
        <v>1726</v>
      </c>
      <c r="C398" s="111" t="str">
        <f>VLOOKUP(B398,'Dados StatusInvest'!$A:$Z,26,0)</f>
        <v>#N/A</v>
      </c>
      <c r="D398" s="112" t="str">
        <f>VLOOKUP(B398,'Dados StatusInvest'!$A:$Z,20,0)/100</f>
        <v>#N/A</v>
      </c>
      <c r="E398" s="87" t="str">
        <f t="shared" si="1"/>
        <v>#N/A</v>
      </c>
      <c r="F398" s="113">
        <f>IF(ISERROR(1/VLOOKUP(B398,Capa!A:AH,13,0)),0,1/VLOOKUP(B398,Capa!A:AH,13,0))</f>
        <v>0</v>
      </c>
      <c r="G398" s="114">
        <f t="shared" si="2"/>
        <v>246.000246</v>
      </c>
      <c r="H398" s="115" t="str">
        <f t="shared" si="3"/>
        <v>#N/A</v>
      </c>
      <c r="M398" s="110" t="s">
        <v>1726</v>
      </c>
      <c r="N398" s="111" t="str">
        <f>VLOOKUP(M398,'Dados StatusInvest'!$A:$Z,26,0)</f>
        <v>#N/A</v>
      </c>
      <c r="O398" s="118" t="str">
        <f>VLOOKUP(M398,'Dados StatusInvest'!$A:$Z,18,0)/100</f>
        <v>#N/A</v>
      </c>
      <c r="P398" s="119" t="str">
        <f t="shared" si="5"/>
        <v>#N/A</v>
      </c>
      <c r="Q398" s="120">
        <f>IF(ISERROR(1/VLOOKUP(M398,Capa!A:AH,6,0)),0,1/VLOOKUP(M398,Capa!A:AH,6,0))</f>
        <v>0</v>
      </c>
      <c r="R398" s="121">
        <f t="shared" si="6"/>
        <v>306.000306</v>
      </c>
      <c r="S398" s="122" t="str">
        <f t="shared" si="7"/>
        <v>#N/A</v>
      </c>
    </row>
    <row r="399">
      <c r="A399" s="123"/>
      <c r="B399" s="110" t="s">
        <v>61</v>
      </c>
      <c r="C399" s="111">
        <f>VLOOKUP(B399,'Dados StatusInvest'!$A:$Z,26,0)</f>
        <v>0</v>
      </c>
      <c r="D399" s="112">
        <f>VLOOKUP(B399,'Dados StatusInvest'!$A:$Z,20,0)/100</f>
        <v>0.2708</v>
      </c>
      <c r="E399" s="87" t="str">
        <f t="shared" si="1"/>
        <v>#N/A</v>
      </c>
      <c r="F399" s="113">
        <f>IF(ISERROR(1/VLOOKUP(B399,Capa!A:AH,13,0)),0,1/VLOOKUP(B399,Capa!A:AH,13,0))</f>
        <v>9.057971014</v>
      </c>
      <c r="G399" s="114">
        <f t="shared" si="2"/>
        <v>91.000091</v>
      </c>
      <c r="H399" s="115" t="str">
        <f t="shared" si="3"/>
        <v>#N/A</v>
      </c>
      <c r="M399" s="110" t="s">
        <v>61</v>
      </c>
      <c r="N399" s="111">
        <f>VLOOKUP(M399,'Dados StatusInvest'!$A:$Z,26,0)</f>
        <v>0</v>
      </c>
      <c r="O399" s="118">
        <f>VLOOKUP(M399,'Dados StatusInvest'!$A:$Z,18,0)/100</f>
        <v>0.3219</v>
      </c>
      <c r="P399" s="119" t="str">
        <f t="shared" si="5"/>
        <v>#N/A</v>
      </c>
      <c r="Q399" s="120">
        <f>IF(ISERROR(1/VLOOKUP(M399,Capa!A:AH,6,0)),0,1/VLOOKUP(M399,Capa!A:AH,6,0))</f>
        <v>0.01724137931</v>
      </c>
      <c r="R399" s="121">
        <f t="shared" si="6"/>
        <v>267.000267</v>
      </c>
      <c r="S399" s="122" t="str">
        <f t="shared" si="7"/>
        <v>#N/A</v>
      </c>
    </row>
    <row r="400">
      <c r="A400" s="123"/>
      <c r="B400" s="110" t="s">
        <v>273</v>
      </c>
      <c r="C400" s="111">
        <f>VLOOKUP(B400,'Dados StatusInvest'!$A:$Z,26,0)</f>
        <v>24258.12</v>
      </c>
      <c r="D400" s="112">
        <f>VLOOKUP(B400,'Dados StatusInvest'!$A:$Z,20,0)/100</f>
        <v>0.1199</v>
      </c>
      <c r="E400" s="87" t="str">
        <f t="shared" si="1"/>
        <v>#N/A</v>
      </c>
      <c r="F400" s="113">
        <f>IF(ISERROR(1/VLOOKUP(B400,Capa!A:AH,13,0)),0,1/VLOOKUP(B400,Capa!A:AH,13,0))</f>
        <v>7.082152975</v>
      </c>
      <c r="G400" s="114">
        <f t="shared" si="2"/>
        <v>118.000118</v>
      </c>
      <c r="H400" s="115" t="str">
        <f t="shared" si="3"/>
        <v>#N/A</v>
      </c>
      <c r="M400" s="110" t="s">
        <v>273</v>
      </c>
      <c r="N400" s="111">
        <f>VLOOKUP(M400,'Dados StatusInvest'!$A:$Z,26,0)</f>
        <v>24258.12</v>
      </c>
      <c r="O400" s="118">
        <f>VLOOKUP(M400,'Dados StatusInvest'!$A:$Z,18,0)/100</f>
        <v>0.2971</v>
      </c>
      <c r="P400" s="119" t="str">
        <f t="shared" si="5"/>
        <v>#N/A</v>
      </c>
      <c r="Q400" s="120">
        <f>IF(ISERROR(1/VLOOKUP(M400,Capa!A:AH,6,0)),0,1/VLOOKUP(M400,Capa!A:AH,6,0))</f>
        <v>0.07137758744</v>
      </c>
      <c r="R400" s="121">
        <f t="shared" si="6"/>
        <v>147.000147</v>
      </c>
      <c r="S400" s="122" t="str">
        <f t="shared" si="7"/>
        <v>#N/A</v>
      </c>
    </row>
    <row r="401">
      <c r="A401" s="123"/>
      <c r="B401" s="110" t="s">
        <v>460</v>
      </c>
      <c r="C401" s="111">
        <f>VLOOKUP(B401,'Dados StatusInvest'!$A:$Z,26,0)</f>
        <v>400</v>
      </c>
      <c r="D401" s="112">
        <f>VLOOKUP(B401,'Dados StatusInvest'!$A:$Z,20,0)/100</f>
        <v>0.3241</v>
      </c>
      <c r="E401" s="87" t="str">
        <f t="shared" si="1"/>
        <v>#N/A</v>
      </c>
      <c r="F401" s="113">
        <f>IF(ISERROR(1/VLOOKUP(B401,Capa!A:AH,13,0)),0,1/VLOOKUP(B401,Capa!A:AH,13,0))</f>
        <v>4.347826087</v>
      </c>
      <c r="G401" s="114">
        <f t="shared" si="2"/>
        <v>176.000176</v>
      </c>
      <c r="H401" s="115" t="str">
        <f t="shared" si="3"/>
        <v>#N/A</v>
      </c>
      <c r="M401" s="110" t="s">
        <v>460</v>
      </c>
      <c r="N401" s="111">
        <f>VLOOKUP(M401,'Dados StatusInvest'!$A:$Z,26,0)</f>
        <v>400</v>
      </c>
      <c r="O401" s="118">
        <f>VLOOKUP(M401,'Dados StatusInvest'!$A:$Z,18,0)/100</f>
        <v>0.9135</v>
      </c>
      <c r="P401" s="119" t="str">
        <f t="shared" si="5"/>
        <v>#N/A</v>
      </c>
      <c r="Q401" s="120">
        <f>IF(ISERROR(1/VLOOKUP(M401,Capa!A:AH,6,0)),0,1/VLOOKUP(M401,Capa!A:AH,6,0))</f>
        <v>0.0625</v>
      </c>
      <c r="R401" s="121">
        <f t="shared" si="6"/>
        <v>164.000164</v>
      </c>
      <c r="S401" s="122" t="str">
        <f t="shared" si="7"/>
        <v>#N/A</v>
      </c>
    </row>
    <row r="402">
      <c r="A402" s="123"/>
      <c r="B402" s="110" t="s">
        <v>237</v>
      </c>
      <c r="C402" s="111">
        <f>VLOOKUP(B402,'Dados StatusInvest'!$A:$Z,26,0)</f>
        <v>0</v>
      </c>
      <c r="D402" s="112">
        <f>VLOOKUP(B402,'Dados StatusInvest'!$A:$Z,20,0)/100</f>
        <v>0</v>
      </c>
      <c r="E402" s="87" t="str">
        <f t="shared" si="1"/>
        <v>#N/A</v>
      </c>
      <c r="F402" s="113">
        <f>IF(ISERROR(1/VLOOKUP(B402,Capa!A:AH,13,0)),0,1/VLOOKUP(B402,Capa!A:AH,13,0))</f>
        <v>0</v>
      </c>
      <c r="G402" s="114">
        <f t="shared" si="2"/>
        <v>246.000246</v>
      </c>
      <c r="H402" s="115" t="str">
        <f t="shared" si="3"/>
        <v>#N/A</v>
      </c>
      <c r="M402" s="110" t="s">
        <v>237</v>
      </c>
      <c r="N402" s="111">
        <f>VLOOKUP(M402,'Dados StatusInvest'!$A:$Z,26,0)</f>
        <v>0</v>
      </c>
      <c r="O402" s="118">
        <f>VLOOKUP(M402,'Dados StatusInvest'!$A:$Z,18,0)/100</f>
        <v>0.0894</v>
      </c>
      <c r="P402" s="119" t="str">
        <f t="shared" si="5"/>
        <v>#N/A</v>
      </c>
      <c r="Q402" s="120">
        <f>IF(ISERROR(1/VLOOKUP(M402,Capa!A:AH,6,0)),0,1/VLOOKUP(M402,Capa!A:AH,6,0))</f>
        <v>0</v>
      </c>
      <c r="R402" s="121">
        <f t="shared" si="6"/>
        <v>306.000306</v>
      </c>
      <c r="S402" s="122" t="str">
        <f t="shared" si="7"/>
        <v>#N/A</v>
      </c>
    </row>
    <row r="403">
      <c r="A403" s="123"/>
      <c r="B403" s="110" t="s">
        <v>115</v>
      </c>
      <c r="C403" s="111">
        <f>VLOOKUP(B403,'Dados StatusInvest'!$A:$Z,26,0)</f>
        <v>15227</v>
      </c>
      <c r="D403" s="112">
        <f>VLOOKUP(B403,'Dados StatusInvest'!$A:$Z,20,0)/100</f>
        <v>0</v>
      </c>
      <c r="E403" s="87" t="str">
        <f t="shared" si="1"/>
        <v>#N/A</v>
      </c>
      <c r="F403" s="113">
        <f>IF(ISERROR(1/VLOOKUP(B403,Capa!A:AH,13,0)),0,1/VLOOKUP(B403,Capa!A:AH,13,0))</f>
        <v>8.503401361</v>
      </c>
      <c r="G403" s="114">
        <f t="shared" si="2"/>
        <v>97.000097</v>
      </c>
      <c r="H403" s="115" t="str">
        <f t="shared" si="3"/>
        <v>#N/A</v>
      </c>
      <c r="M403" s="110" t="s">
        <v>115</v>
      </c>
      <c r="N403" s="111">
        <f>VLOOKUP(M403,'Dados StatusInvest'!$A:$Z,26,0)</f>
        <v>15227</v>
      </c>
      <c r="O403" s="118">
        <f>VLOOKUP(M403,'Dados StatusInvest'!$A:$Z,18,0)/100</f>
        <v>0.1525</v>
      </c>
      <c r="P403" s="119" t="str">
        <f t="shared" si="5"/>
        <v>#N/A</v>
      </c>
      <c r="Q403" s="120">
        <f>IF(ISERROR(1/VLOOKUP(M403,Capa!A:AH,6,0)),0,1/VLOOKUP(M403,Capa!A:AH,6,0))</f>
        <v>0.01932740626</v>
      </c>
      <c r="R403" s="121">
        <f t="shared" si="6"/>
        <v>260.00026</v>
      </c>
      <c r="S403" s="122" t="str">
        <f t="shared" si="7"/>
        <v>#N/A</v>
      </c>
    </row>
    <row r="404">
      <c r="A404" s="123"/>
      <c r="B404" s="110" t="s">
        <v>552</v>
      </c>
      <c r="C404" s="111">
        <f>VLOOKUP(B404,'Dados StatusInvest'!$A:$Z,26,0)</f>
        <v>1033.92</v>
      </c>
      <c r="D404" s="112">
        <f>VLOOKUP(B404,'Dados StatusInvest'!$A:$Z,20,0)/100</f>
        <v>0.0003</v>
      </c>
      <c r="E404" s="87" t="str">
        <f t="shared" si="1"/>
        <v>#N/A</v>
      </c>
      <c r="F404" s="113">
        <f>IF(ISERROR(1/VLOOKUP(B404,Capa!A:AH,13,0)),0,1/VLOOKUP(B404,Capa!A:AH,13,0))</f>
        <v>0</v>
      </c>
      <c r="G404" s="114">
        <f t="shared" si="2"/>
        <v>246.000246</v>
      </c>
      <c r="H404" s="115" t="str">
        <f t="shared" si="3"/>
        <v>#N/A</v>
      </c>
      <c r="M404" s="110" t="s">
        <v>552</v>
      </c>
      <c r="N404" s="111">
        <f>VLOOKUP(M404,'Dados StatusInvest'!$A:$Z,26,0)</f>
        <v>1033.92</v>
      </c>
      <c r="O404" s="118">
        <f>VLOOKUP(M404,'Dados StatusInvest'!$A:$Z,18,0)/100</f>
        <v>0.016</v>
      </c>
      <c r="P404" s="119" t="str">
        <f t="shared" si="5"/>
        <v>#N/A</v>
      </c>
      <c r="Q404" s="120">
        <f>IF(ISERROR(1/VLOOKUP(M404,Capa!A:AH,6,0)),0,1/VLOOKUP(M404,Capa!A:AH,6,0))</f>
        <v>0.1612903226</v>
      </c>
      <c r="R404" s="121">
        <f t="shared" si="6"/>
        <v>77.000077</v>
      </c>
      <c r="S404" s="122" t="str">
        <f t="shared" si="7"/>
        <v>#N/A</v>
      </c>
    </row>
    <row r="405">
      <c r="A405" s="123"/>
      <c r="B405" s="110" t="s">
        <v>170</v>
      </c>
      <c r="C405" s="111">
        <f>VLOOKUP(B405,'Dados StatusInvest'!$A:$Z,26,0)</f>
        <v>271538.4</v>
      </c>
      <c r="D405" s="112">
        <f>VLOOKUP(B405,'Dados StatusInvest'!$A:$Z,20,0)/100</f>
        <v>0</v>
      </c>
      <c r="E405" s="87" t="str">
        <f t="shared" si="1"/>
        <v>#N/A</v>
      </c>
      <c r="F405" s="113">
        <f>IF(ISERROR(1/VLOOKUP(B405,Capa!A:AH,13,0)),0,1/VLOOKUP(B405,Capa!A:AH,13,0))</f>
        <v>8.992805755</v>
      </c>
      <c r="G405" s="114">
        <f t="shared" si="2"/>
        <v>93.000093</v>
      </c>
      <c r="H405" s="115" t="str">
        <f t="shared" si="3"/>
        <v>#N/A</v>
      </c>
      <c r="M405" s="110" t="s">
        <v>170</v>
      </c>
      <c r="N405" s="111">
        <f>VLOOKUP(M405,'Dados StatusInvest'!$A:$Z,26,0)</f>
        <v>271538.4</v>
      </c>
      <c r="O405" s="118">
        <f>VLOOKUP(M405,'Dados StatusInvest'!$A:$Z,18,0)/100</f>
        <v>0.2028</v>
      </c>
      <c r="P405" s="119" t="str">
        <f t="shared" si="5"/>
        <v>#N/A</v>
      </c>
      <c r="Q405" s="120">
        <f>IF(ISERROR(1/VLOOKUP(M405,Capa!A:AH,6,0)),0,1/VLOOKUP(M405,Capa!A:AH,6,0))</f>
        <v>0.1841620626</v>
      </c>
      <c r="R405" s="121">
        <f t="shared" si="6"/>
        <v>72.000072</v>
      </c>
      <c r="S405" s="122" t="str">
        <f t="shared" si="7"/>
        <v>#N/A</v>
      </c>
    </row>
    <row r="406">
      <c r="A406" s="123"/>
      <c r="B406" s="110" t="s">
        <v>228</v>
      </c>
      <c r="C406" s="111">
        <f>VLOOKUP(B406,'Dados StatusInvest'!$A:$Z,26,0)</f>
        <v>0</v>
      </c>
      <c r="D406" s="112">
        <f>VLOOKUP(B406,'Dados StatusInvest'!$A:$Z,20,0)/100</f>
        <v>0.2091</v>
      </c>
      <c r="E406" s="87" t="str">
        <f t="shared" si="1"/>
        <v>#N/A</v>
      </c>
      <c r="F406" s="113">
        <f>IF(ISERROR(1/VLOOKUP(B406,Capa!A:AH,13,0)),0,1/VLOOKUP(B406,Capa!A:AH,13,0))</f>
        <v>0</v>
      </c>
      <c r="G406" s="114">
        <f t="shared" si="2"/>
        <v>246.000246</v>
      </c>
      <c r="H406" s="115" t="str">
        <f t="shared" si="3"/>
        <v>#N/A</v>
      </c>
      <c r="M406" s="110" t="s">
        <v>228</v>
      </c>
      <c r="N406" s="111">
        <f>VLOOKUP(M406,'Dados StatusInvest'!$A:$Z,26,0)</f>
        <v>0</v>
      </c>
      <c r="O406" s="118">
        <f>VLOOKUP(M406,'Dados StatusInvest'!$A:$Z,18,0)/100</f>
        <v>0.2218</v>
      </c>
      <c r="P406" s="119" t="str">
        <f t="shared" si="5"/>
        <v>#N/A</v>
      </c>
      <c r="Q406" s="120">
        <f>IF(ISERROR(1/VLOOKUP(M406,Capa!A:AH,6,0)),0,1/VLOOKUP(M406,Capa!A:AH,6,0))</f>
        <v>0</v>
      </c>
      <c r="R406" s="121">
        <f t="shared" si="6"/>
        <v>306.000306</v>
      </c>
      <c r="S406" s="122" t="str">
        <f t="shared" si="7"/>
        <v>#N/A</v>
      </c>
    </row>
    <row r="407">
      <c r="A407" s="123"/>
      <c r="B407" s="110" t="s">
        <v>663</v>
      </c>
      <c r="C407" s="111">
        <f>VLOOKUP(B407,'Dados StatusInvest'!$A:$Z,26,0)</f>
        <v>1654.44</v>
      </c>
      <c r="D407" s="112">
        <f>VLOOKUP(B407,'Dados StatusInvest'!$A:$Z,20,0)/100</f>
        <v>0.0983</v>
      </c>
      <c r="E407" s="87" t="str">
        <f t="shared" si="1"/>
        <v>#N/A</v>
      </c>
      <c r="F407" s="113">
        <f>IF(ISERROR(1/VLOOKUP(B407,Capa!A:AH,13,0)),0,1/VLOOKUP(B407,Capa!A:AH,13,0))</f>
        <v>15.19756839</v>
      </c>
      <c r="G407" s="114">
        <f t="shared" si="2"/>
        <v>42.000042</v>
      </c>
      <c r="H407" s="115" t="str">
        <f t="shared" si="3"/>
        <v>#N/A</v>
      </c>
      <c r="M407" s="110" t="s">
        <v>663</v>
      </c>
      <c r="N407" s="111">
        <f>VLOOKUP(M407,'Dados StatusInvest'!$A:$Z,26,0)</f>
        <v>1654.44</v>
      </c>
      <c r="O407" s="118">
        <f>VLOOKUP(M407,'Dados StatusInvest'!$A:$Z,18,0)/100</f>
        <v>0.1425</v>
      </c>
      <c r="P407" s="119" t="str">
        <f t="shared" si="5"/>
        <v>#N/A</v>
      </c>
      <c r="Q407" s="120">
        <f>IF(ISERROR(1/VLOOKUP(M407,Capa!A:AH,6,0)),0,1/VLOOKUP(M407,Capa!A:AH,6,0))</f>
        <v>0.04458314757</v>
      </c>
      <c r="R407" s="121">
        <f t="shared" si="6"/>
        <v>195.000195</v>
      </c>
      <c r="S407" s="122" t="str">
        <f t="shared" si="7"/>
        <v>#N/A</v>
      </c>
    </row>
    <row r="408">
      <c r="A408" s="123"/>
      <c r="B408" s="110" t="s">
        <v>253</v>
      </c>
      <c r="C408" s="111">
        <f>VLOOKUP(B408,'Dados StatusInvest'!$A:$Z,26,0)</f>
        <v>985.47</v>
      </c>
      <c r="D408" s="112">
        <f>VLOOKUP(B408,'Dados StatusInvest'!$A:$Z,20,0)/100</f>
        <v>-0.3434</v>
      </c>
      <c r="E408" s="87" t="str">
        <f t="shared" si="1"/>
        <v>#N/A</v>
      </c>
      <c r="F408" s="113">
        <f>IF(ISERROR(1/VLOOKUP(B408,Capa!A:AH,13,0)),0,1/VLOOKUP(B408,Capa!A:AH,13,0))</f>
        <v>-0.3287743293</v>
      </c>
      <c r="G408" s="114">
        <f t="shared" si="2"/>
        <v>398.000398</v>
      </c>
      <c r="H408" s="115" t="str">
        <f t="shared" si="3"/>
        <v>#N/A</v>
      </c>
      <c r="M408" s="110" t="s">
        <v>253</v>
      </c>
      <c r="N408" s="111">
        <f>VLOOKUP(M408,'Dados StatusInvest'!$A:$Z,26,0)</f>
        <v>985.47</v>
      </c>
      <c r="O408" s="118">
        <f>VLOOKUP(M408,'Dados StatusInvest'!$A:$Z,18,0)/100</f>
        <v>-1.6282</v>
      </c>
      <c r="P408" s="119" t="str">
        <f t="shared" si="5"/>
        <v>#N/A</v>
      </c>
      <c r="Q408" s="120">
        <f>IF(ISERROR(1/VLOOKUP(M408,Capa!A:AH,6,0)),0,1/VLOOKUP(M408,Capa!A:AH,6,0))</f>
        <v>0.5813953488</v>
      </c>
      <c r="R408" s="121">
        <f t="shared" si="6"/>
        <v>24.000024</v>
      </c>
      <c r="S408" s="122" t="str">
        <f t="shared" si="7"/>
        <v>#N/A</v>
      </c>
    </row>
    <row r="409">
      <c r="A409" s="123"/>
      <c r="B409" s="110" t="s">
        <v>281</v>
      </c>
      <c r="C409" s="111">
        <f>VLOOKUP(B409,'Dados StatusInvest'!$A:$Z,26,0)</f>
        <v>4191.43</v>
      </c>
      <c r="D409" s="112">
        <f>VLOOKUP(B409,'Dados StatusInvest'!$A:$Z,20,0)/100</f>
        <v>0.1994</v>
      </c>
      <c r="E409" s="87" t="str">
        <f t="shared" si="1"/>
        <v>#N/A</v>
      </c>
      <c r="F409" s="113">
        <f>IF(ISERROR(1/VLOOKUP(B409,Capa!A:AH,13,0)),0,1/VLOOKUP(B409,Capa!A:AH,13,0))</f>
        <v>4.482294935</v>
      </c>
      <c r="G409" s="114">
        <f t="shared" si="2"/>
        <v>171.000171</v>
      </c>
      <c r="H409" s="115" t="str">
        <f t="shared" si="3"/>
        <v>#N/A</v>
      </c>
      <c r="M409" s="110" t="s">
        <v>281</v>
      </c>
      <c r="N409" s="111">
        <f>VLOOKUP(M409,'Dados StatusInvest'!$A:$Z,26,0)</f>
        <v>4191.43</v>
      </c>
      <c r="O409" s="118">
        <f>VLOOKUP(M409,'Dados StatusInvest'!$A:$Z,18,0)/100</f>
        <v>0.4611</v>
      </c>
      <c r="P409" s="119" t="str">
        <f t="shared" si="5"/>
        <v>#N/A</v>
      </c>
      <c r="Q409" s="120">
        <f>IF(ISERROR(1/VLOOKUP(M409,Capa!A:AH,6,0)),0,1/VLOOKUP(M409,Capa!A:AH,6,0))</f>
        <v>0.02044989775</v>
      </c>
      <c r="R409" s="121">
        <f t="shared" si="6"/>
        <v>254.000254</v>
      </c>
      <c r="S409" s="122" t="str">
        <f t="shared" si="7"/>
        <v>#N/A</v>
      </c>
    </row>
    <row r="410">
      <c r="A410" s="123"/>
      <c r="B410" s="110" t="s">
        <v>171</v>
      </c>
      <c r="C410" s="111">
        <f>VLOOKUP(B410,'Dados StatusInvest'!$A:$Z,26,0)</f>
        <v>115045.1</v>
      </c>
      <c r="D410" s="112">
        <f>VLOOKUP(B410,'Dados StatusInvest'!$A:$Z,20,0)/100</f>
        <v>0</v>
      </c>
      <c r="E410" s="87" t="str">
        <f t="shared" si="1"/>
        <v>#N/A</v>
      </c>
      <c r="F410" s="113">
        <f>IF(ISERROR(1/VLOOKUP(B410,Capa!A:AH,13,0)),0,1/VLOOKUP(B410,Capa!A:AH,13,0))</f>
        <v>9.087666576</v>
      </c>
      <c r="G410" s="114">
        <f t="shared" si="2"/>
        <v>90.00009</v>
      </c>
      <c r="H410" s="115" t="str">
        <f t="shared" si="3"/>
        <v>#N/A</v>
      </c>
      <c r="M410" s="110" t="s">
        <v>171</v>
      </c>
      <c r="N410" s="111">
        <f>VLOOKUP(M410,'Dados StatusInvest'!$A:$Z,26,0)</f>
        <v>115045.1</v>
      </c>
      <c r="O410" s="118">
        <f>VLOOKUP(M410,'Dados StatusInvest'!$A:$Z,18,0)/100</f>
        <v>0.2028</v>
      </c>
      <c r="P410" s="119" t="str">
        <f t="shared" si="5"/>
        <v>#N/A</v>
      </c>
      <c r="Q410" s="120">
        <f>IF(ISERROR(1/VLOOKUP(M410,Capa!A:AH,6,0)),0,1/VLOOKUP(M410,Capa!A:AH,6,0))</f>
        <v>0.2087682672</v>
      </c>
      <c r="R410" s="121">
        <f t="shared" si="6"/>
        <v>63.000063</v>
      </c>
      <c r="S410" s="122" t="str">
        <f t="shared" si="7"/>
        <v>#N/A</v>
      </c>
    </row>
    <row r="411">
      <c r="A411" s="123"/>
      <c r="B411" s="110" t="s">
        <v>233</v>
      </c>
      <c r="C411" s="111">
        <f>VLOOKUP(B411,'Dados StatusInvest'!$A:$Z,26,0)</f>
        <v>706.6</v>
      </c>
      <c r="D411" s="112">
        <f>VLOOKUP(B411,'Dados StatusInvest'!$A:$Z,20,0)/100</f>
        <v>-0.0682</v>
      </c>
      <c r="E411" s="87" t="str">
        <f t="shared" si="1"/>
        <v>#N/A</v>
      </c>
      <c r="F411" s="113">
        <f>IF(ISERROR(1/VLOOKUP(B411,Capa!A:AH,13,0)),0,1/VLOOKUP(B411,Capa!A:AH,13,0))</f>
        <v>-20.66115702</v>
      </c>
      <c r="G411" s="114">
        <f t="shared" si="2"/>
        <v>427.000427</v>
      </c>
      <c r="H411" s="115" t="str">
        <f t="shared" si="3"/>
        <v>#N/A</v>
      </c>
      <c r="M411" s="110" t="s">
        <v>233</v>
      </c>
      <c r="N411" s="111">
        <f>VLOOKUP(M411,'Dados StatusInvest'!$A:$Z,26,0)</f>
        <v>706.6</v>
      </c>
      <c r="O411" s="118">
        <f>VLOOKUP(M411,'Dados StatusInvest'!$A:$Z,18,0)/100</f>
        <v>-0.0429</v>
      </c>
      <c r="P411" s="119" t="str">
        <f t="shared" si="5"/>
        <v>#N/A</v>
      </c>
      <c r="Q411" s="120">
        <f>IF(ISERROR(1/VLOOKUP(M411,Capa!A:AH,6,0)),0,1/VLOOKUP(M411,Capa!A:AH,6,0))</f>
        <v>0.05167958656</v>
      </c>
      <c r="R411" s="121">
        <f t="shared" si="6"/>
        <v>181.000181</v>
      </c>
      <c r="S411" s="122" t="str">
        <f t="shared" si="7"/>
        <v>#N/A</v>
      </c>
    </row>
    <row r="412">
      <c r="A412" s="123"/>
      <c r="B412" s="110" t="s">
        <v>622</v>
      </c>
      <c r="C412" s="111">
        <f>VLOOKUP(B412,'Dados StatusInvest'!$A:$Z,26,0)</f>
        <v>25459.9</v>
      </c>
      <c r="D412" s="112">
        <f>VLOOKUP(B412,'Dados StatusInvest'!$A:$Z,20,0)/100</f>
        <v>0.0613</v>
      </c>
      <c r="E412" s="87" t="str">
        <f t="shared" si="1"/>
        <v>#N/A</v>
      </c>
      <c r="F412" s="113">
        <f>IF(ISERROR(1/VLOOKUP(B412,Capa!A:AH,13,0)),0,1/VLOOKUP(B412,Capa!A:AH,13,0))</f>
        <v>8.077544426</v>
      </c>
      <c r="G412" s="114">
        <f t="shared" si="2"/>
        <v>104.000104</v>
      </c>
      <c r="H412" s="115" t="str">
        <f t="shared" si="3"/>
        <v>#N/A</v>
      </c>
      <c r="M412" s="110" t="s">
        <v>622</v>
      </c>
      <c r="N412" s="111">
        <f>VLOOKUP(M412,'Dados StatusInvest'!$A:$Z,26,0)</f>
        <v>25459.9</v>
      </c>
      <c r="O412" s="118">
        <f>VLOOKUP(M412,'Dados StatusInvest'!$A:$Z,18,0)/100</f>
        <v>0.1062</v>
      </c>
      <c r="P412" s="119" t="str">
        <f t="shared" si="5"/>
        <v>#N/A</v>
      </c>
      <c r="Q412" s="120">
        <f>IF(ISERROR(1/VLOOKUP(M412,Capa!A:AH,6,0)),0,1/VLOOKUP(M412,Capa!A:AH,6,0))</f>
        <v>0.004784688995</v>
      </c>
      <c r="R412" s="121">
        <f t="shared" si="6"/>
        <v>289.000289</v>
      </c>
      <c r="S412" s="122" t="str">
        <f t="shared" si="7"/>
        <v>#N/A</v>
      </c>
    </row>
    <row r="413">
      <c r="A413" s="123"/>
      <c r="B413" s="110" t="s">
        <v>553</v>
      </c>
      <c r="C413" s="111">
        <f>VLOOKUP(B413,'Dados StatusInvest'!$A:$Z,26,0)</f>
        <v>5340</v>
      </c>
      <c r="D413" s="112">
        <f>VLOOKUP(B413,'Dados StatusInvest'!$A:$Z,20,0)/100</f>
        <v>0.0003</v>
      </c>
      <c r="E413" s="87" t="str">
        <f t="shared" si="1"/>
        <v>#N/A</v>
      </c>
      <c r="F413" s="113">
        <f>IF(ISERROR(1/VLOOKUP(B413,Capa!A:AH,13,0)),0,1/VLOOKUP(B413,Capa!A:AH,13,0))</f>
        <v>0</v>
      </c>
      <c r="G413" s="114">
        <f t="shared" si="2"/>
        <v>246.000246</v>
      </c>
      <c r="H413" s="115" t="str">
        <f t="shared" si="3"/>
        <v>#N/A</v>
      </c>
      <c r="M413" s="110" t="s">
        <v>553</v>
      </c>
      <c r="N413" s="111">
        <f>VLOOKUP(M413,'Dados StatusInvest'!$A:$Z,26,0)</f>
        <v>5340</v>
      </c>
      <c r="O413" s="118">
        <f>VLOOKUP(M413,'Dados StatusInvest'!$A:$Z,18,0)/100</f>
        <v>0.016</v>
      </c>
      <c r="P413" s="119" t="str">
        <f t="shared" si="5"/>
        <v>#N/A</v>
      </c>
      <c r="Q413" s="120">
        <f>IF(ISERROR(1/VLOOKUP(M413,Capa!A:AH,6,0)),0,1/VLOOKUP(M413,Capa!A:AH,6,0))</f>
        <v>0.2247191011</v>
      </c>
      <c r="R413" s="121">
        <f t="shared" si="6"/>
        <v>59.000059</v>
      </c>
      <c r="S413" s="122" t="str">
        <f t="shared" si="7"/>
        <v>#N/A</v>
      </c>
    </row>
    <row r="414">
      <c r="A414" s="123"/>
      <c r="B414" s="110" t="s">
        <v>609</v>
      </c>
      <c r="C414" s="111">
        <f>VLOOKUP(B414,'Dados StatusInvest'!$A:$Z,26,0)</f>
        <v>0</v>
      </c>
      <c r="D414" s="112">
        <f>VLOOKUP(B414,'Dados StatusInvest'!$A:$Z,20,0)/100</f>
        <v>0.3007</v>
      </c>
      <c r="E414" s="87" t="str">
        <f t="shared" si="1"/>
        <v>#N/A</v>
      </c>
      <c r="F414" s="113">
        <f>IF(ISERROR(1/VLOOKUP(B414,Capa!A:AH,13,0)),0,1/VLOOKUP(B414,Capa!A:AH,13,0))</f>
        <v>0</v>
      </c>
      <c r="G414" s="114">
        <f t="shared" si="2"/>
        <v>246.000246</v>
      </c>
      <c r="H414" s="115" t="str">
        <f t="shared" si="3"/>
        <v>#N/A</v>
      </c>
      <c r="M414" s="110" t="s">
        <v>609</v>
      </c>
      <c r="N414" s="111">
        <f>VLOOKUP(M414,'Dados StatusInvest'!$A:$Z,26,0)</f>
        <v>0</v>
      </c>
      <c r="O414" s="118">
        <f>VLOOKUP(M414,'Dados StatusInvest'!$A:$Z,18,0)/100</f>
        <v>-0.0636</v>
      </c>
      <c r="P414" s="119" t="str">
        <f t="shared" si="5"/>
        <v>#N/A</v>
      </c>
      <c r="Q414" s="120">
        <f>IF(ISERROR(1/VLOOKUP(M414,Capa!A:AH,6,0)),0,1/VLOOKUP(M414,Capa!A:AH,6,0))</f>
        <v>0</v>
      </c>
      <c r="R414" s="121">
        <f t="shared" si="6"/>
        <v>306.000306</v>
      </c>
      <c r="S414" s="122" t="str">
        <f t="shared" si="7"/>
        <v>#N/A</v>
      </c>
    </row>
    <row r="415">
      <c r="A415" s="123"/>
      <c r="B415" s="110" t="s">
        <v>244</v>
      </c>
      <c r="C415" s="111">
        <f>VLOOKUP(B415,'Dados StatusInvest'!$A:$Z,26,0)</f>
        <v>0</v>
      </c>
      <c r="D415" s="112">
        <f>VLOOKUP(B415,'Dados StatusInvest'!$A:$Z,20,0)/100</f>
        <v>0.2105</v>
      </c>
      <c r="E415" s="87" t="str">
        <f t="shared" si="1"/>
        <v>#N/A</v>
      </c>
      <c r="F415" s="113">
        <f>IF(ISERROR(1/VLOOKUP(B415,Capa!A:AH,13,0)),0,1/VLOOKUP(B415,Capa!A:AH,13,0))</f>
        <v>0</v>
      </c>
      <c r="G415" s="114">
        <f t="shared" si="2"/>
        <v>246.000246</v>
      </c>
      <c r="H415" s="115" t="str">
        <f t="shared" si="3"/>
        <v>#N/A</v>
      </c>
      <c r="M415" s="110" t="s">
        <v>244</v>
      </c>
      <c r="N415" s="111">
        <f>VLOOKUP(M415,'Dados StatusInvest'!$A:$Z,26,0)</f>
        <v>0</v>
      </c>
      <c r="O415" s="118">
        <f>VLOOKUP(M415,'Dados StatusInvest'!$A:$Z,18,0)/100</f>
        <v>0.3454</v>
      </c>
      <c r="P415" s="119" t="str">
        <f t="shared" si="5"/>
        <v>#N/A</v>
      </c>
      <c r="Q415" s="120">
        <f>IF(ISERROR(1/VLOOKUP(M415,Capa!A:AH,6,0)),0,1/VLOOKUP(M415,Capa!A:AH,6,0))</f>
        <v>0</v>
      </c>
      <c r="R415" s="121">
        <f t="shared" si="6"/>
        <v>306.000306</v>
      </c>
      <c r="S415" s="122" t="str">
        <f t="shared" si="7"/>
        <v>#N/A</v>
      </c>
    </row>
    <row r="416">
      <c r="A416" s="123"/>
      <c r="B416" s="110" t="s">
        <v>270</v>
      </c>
      <c r="C416" s="111">
        <f>VLOOKUP(B416,'Dados StatusInvest'!$A:$Z,26,0)</f>
        <v>1955.13</v>
      </c>
      <c r="D416" s="112">
        <f>VLOOKUP(B416,'Dados StatusInvest'!$A:$Z,20,0)/100</f>
        <v>0.1002</v>
      </c>
      <c r="E416" s="87" t="str">
        <f t="shared" si="1"/>
        <v>#N/A</v>
      </c>
      <c r="F416" s="113">
        <f>IF(ISERROR(1/VLOOKUP(B416,Capa!A:AH,13,0)),0,1/VLOOKUP(B416,Capa!A:AH,13,0))</f>
        <v>66.66666667</v>
      </c>
      <c r="G416" s="114">
        <f t="shared" si="2"/>
        <v>18.000018</v>
      </c>
      <c r="H416" s="115" t="str">
        <f t="shared" si="3"/>
        <v>#N/A</v>
      </c>
      <c r="M416" s="110" t="s">
        <v>270</v>
      </c>
      <c r="N416" s="111">
        <f>VLOOKUP(M416,'Dados StatusInvest'!$A:$Z,26,0)</f>
        <v>1955.13</v>
      </c>
      <c r="O416" s="118">
        <f>VLOOKUP(M416,'Dados StatusInvest'!$A:$Z,18,0)/100</f>
        <v>-0.1326</v>
      </c>
      <c r="P416" s="119" t="str">
        <f t="shared" si="5"/>
        <v>#N/A</v>
      </c>
      <c r="Q416" s="120">
        <f>IF(ISERROR(1/VLOOKUP(M416,Capa!A:AH,6,0)),0,1/VLOOKUP(M416,Capa!A:AH,6,0))</f>
        <v>0.4</v>
      </c>
      <c r="R416" s="121">
        <f t="shared" si="6"/>
        <v>32.000032</v>
      </c>
      <c r="S416" s="122" t="str">
        <f t="shared" si="7"/>
        <v>#N/A</v>
      </c>
    </row>
    <row r="417">
      <c r="A417" s="123"/>
      <c r="B417" s="110" t="s">
        <v>150</v>
      </c>
      <c r="C417" s="111">
        <f>VLOOKUP(B417,'Dados StatusInvest'!$A:$Z,26,0)</f>
        <v>0</v>
      </c>
      <c r="D417" s="112">
        <f>VLOOKUP(B417,'Dados StatusInvest'!$A:$Z,20,0)/100</f>
        <v>-0.0291</v>
      </c>
      <c r="E417" s="87" t="str">
        <f t="shared" si="1"/>
        <v>#N/A</v>
      </c>
      <c r="F417" s="113">
        <f>IF(ISERROR(1/VLOOKUP(B417,Capa!A:AH,13,0)),0,1/VLOOKUP(B417,Capa!A:AH,13,0))</f>
        <v>0</v>
      </c>
      <c r="G417" s="114">
        <f t="shared" si="2"/>
        <v>246.000246</v>
      </c>
      <c r="H417" s="115" t="str">
        <f t="shared" si="3"/>
        <v>#N/A</v>
      </c>
      <c r="M417" s="110" t="s">
        <v>150</v>
      </c>
      <c r="N417" s="111">
        <f>VLOOKUP(M417,'Dados StatusInvest'!$A:$Z,26,0)</f>
        <v>0</v>
      </c>
      <c r="O417" s="118">
        <f>VLOOKUP(M417,'Dados StatusInvest'!$A:$Z,18,0)/100</f>
        <v>0.0156</v>
      </c>
      <c r="P417" s="119" t="str">
        <f t="shared" si="5"/>
        <v>#N/A</v>
      </c>
      <c r="Q417" s="120">
        <f>IF(ISERROR(1/VLOOKUP(M417,Capa!A:AH,6,0)),0,1/VLOOKUP(M417,Capa!A:AH,6,0))</f>
        <v>0</v>
      </c>
      <c r="R417" s="121">
        <f t="shared" si="6"/>
        <v>306.000306</v>
      </c>
      <c r="S417" s="122" t="str">
        <f t="shared" si="7"/>
        <v>#N/A</v>
      </c>
    </row>
    <row r="418">
      <c r="A418" s="123"/>
      <c r="B418" s="110" t="s">
        <v>394</v>
      </c>
      <c r="C418" s="111">
        <f>VLOOKUP(B418,'Dados StatusInvest'!$A:$Z,26,0)</f>
        <v>0</v>
      </c>
      <c r="D418" s="112">
        <f>VLOOKUP(B418,'Dados StatusInvest'!$A:$Z,20,0)/100</f>
        <v>0.0373</v>
      </c>
      <c r="E418" s="87" t="str">
        <f t="shared" si="1"/>
        <v>#N/A</v>
      </c>
      <c r="F418" s="113">
        <f>IF(ISERROR(1/VLOOKUP(B418,Capa!A:AH,13,0)),0,1/VLOOKUP(B418,Capa!A:AH,13,0))</f>
        <v>22.67573696</v>
      </c>
      <c r="G418" s="114">
        <f t="shared" si="2"/>
        <v>30.00003</v>
      </c>
      <c r="H418" s="115" t="str">
        <f t="shared" si="3"/>
        <v>#N/A</v>
      </c>
      <c r="M418" s="110" t="s">
        <v>394</v>
      </c>
      <c r="N418" s="111">
        <f>VLOOKUP(M418,'Dados StatusInvest'!$A:$Z,26,0)</f>
        <v>0</v>
      </c>
      <c r="O418" s="118">
        <f>VLOOKUP(M418,'Dados StatusInvest'!$A:$Z,18,0)/100</f>
        <v>0.0139</v>
      </c>
      <c r="P418" s="119" t="str">
        <f t="shared" si="5"/>
        <v>#N/A</v>
      </c>
      <c r="Q418" s="120">
        <f>IF(ISERROR(1/VLOOKUP(M418,Capa!A:AH,6,0)),0,1/VLOOKUP(M418,Capa!A:AH,6,0))</f>
        <v>0.04166666667</v>
      </c>
      <c r="R418" s="121">
        <f t="shared" si="6"/>
        <v>202.000202</v>
      </c>
      <c r="S418" s="122" t="str">
        <f t="shared" si="7"/>
        <v>#N/A</v>
      </c>
    </row>
    <row r="419">
      <c r="A419" s="123"/>
      <c r="B419" s="110" t="s">
        <v>108</v>
      </c>
      <c r="C419" s="111">
        <f>VLOOKUP(B419,'Dados StatusInvest'!$A:$Z,26,0)</f>
        <v>448.13</v>
      </c>
      <c r="D419" s="112">
        <f>VLOOKUP(B419,'Dados StatusInvest'!$A:$Z,20,0)/100</f>
        <v>0.233</v>
      </c>
      <c r="E419" s="87" t="str">
        <f t="shared" si="1"/>
        <v>#N/A</v>
      </c>
      <c r="F419" s="113">
        <f>IF(ISERROR(1/VLOOKUP(B419,Capa!A:AH,13,0)),0,1/VLOOKUP(B419,Capa!A:AH,13,0))</f>
        <v>5.219206681</v>
      </c>
      <c r="G419" s="114">
        <f t="shared" si="2"/>
        <v>152.000152</v>
      </c>
      <c r="H419" s="115" t="str">
        <f t="shared" si="3"/>
        <v>#N/A</v>
      </c>
      <c r="M419" s="110" t="s">
        <v>108</v>
      </c>
      <c r="N419" s="111">
        <f>VLOOKUP(M419,'Dados StatusInvest'!$A:$Z,26,0)</f>
        <v>448.13</v>
      </c>
      <c r="O419" s="118">
        <f>VLOOKUP(M419,'Dados StatusInvest'!$A:$Z,18,0)/100</f>
        <v>-0.0683</v>
      </c>
      <c r="P419" s="119" t="str">
        <f t="shared" si="5"/>
        <v>#N/A</v>
      </c>
      <c r="Q419" s="120">
        <f>IF(ISERROR(1/VLOOKUP(M419,Capa!A:AH,6,0)),0,1/VLOOKUP(M419,Capa!A:AH,6,0))</f>
        <v>0.1418439716</v>
      </c>
      <c r="R419" s="121">
        <f t="shared" si="6"/>
        <v>93.000093</v>
      </c>
      <c r="S419" s="122" t="str">
        <f t="shared" si="7"/>
        <v>#N/A</v>
      </c>
    </row>
    <row r="420">
      <c r="A420" s="123"/>
      <c r="B420" s="110" t="s">
        <v>154</v>
      </c>
      <c r="C420" s="124">
        <f>VLOOKUP(B420,'Dados StatusInvest'!$A:$Z,26,0)</f>
        <v>0</v>
      </c>
      <c r="D420" s="112">
        <f>VLOOKUP(B420,'Dados StatusInvest'!$A:$Z,20,0)/100</f>
        <v>-0.0291</v>
      </c>
      <c r="E420" s="87" t="str">
        <f t="shared" si="1"/>
        <v>#N/A</v>
      </c>
      <c r="F420" s="113">
        <f>IF(ISERROR(1/VLOOKUP(B420,Capa!A:AH,13,0)),0,1/VLOOKUP(B420,Capa!A:AH,13,0))</f>
        <v>0</v>
      </c>
      <c r="G420" s="114">
        <f t="shared" si="2"/>
        <v>246.000246</v>
      </c>
      <c r="H420" s="115" t="str">
        <f t="shared" si="3"/>
        <v>#N/A</v>
      </c>
      <c r="M420" s="110" t="s">
        <v>154</v>
      </c>
      <c r="N420" s="111">
        <f>VLOOKUP(M420,'Dados StatusInvest'!$A:$Z,26,0)</f>
        <v>0</v>
      </c>
      <c r="O420" s="118">
        <f>VLOOKUP(M420,'Dados StatusInvest'!$A:$Z,18,0)/100</f>
        <v>0.0156</v>
      </c>
      <c r="P420" s="119" t="str">
        <f t="shared" si="5"/>
        <v>#N/A</v>
      </c>
      <c r="Q420" s="120">
        <f>IF(ISERROR(1/VLOOKUP(M420,Capa!A:AH,6,0)),0,1/VLOOKUP(M420,Capa!A:AH,6,0))</f>
        <v>0</v>
      </c>
      <c r="R420" s="121">
        <f t="shared" si="6"/>
        <v>306.000306</v>
      </c>
      <c r="S420" s="122" t="str">
        <f t="shared" si="7"/>
        <v>#N/A</v>
      </c>
    </row>
    <row r="421">
      <c r="A421" s="123"/>
      <c r="B421" s="110" t="s">
        <v>243</v>
      </c>
      <c r="C421" s="124">
        <f>VLOOKUP(B421,'Dados StatusInvest'!$A:$Z,26,0)</f>
        <v>0</v>
      </c>
      <c r="D421" s="112">
        <f>VLOOKUP(B421,'Dados StatusInvest'!$A:$Z,20,0)/100</f>
        <v>0.2105</v>
      </c>
      <c r="E421" s="87" t="str">
        <f t="shared" si="1"/>
        <v>#N/A</v>
      </c>
      <c r="F421" s="113">
        <f>IF(ISERROR(1/VLOOKUP(B421,Capa!A:AH,13,0)),0,1/VLOOKUP(B421,Capa!A:AH,13,0))</f>
        <v>0</v>
      </c>
      <c r="G421" s="114">
        <f t="shared" si="2"/>
        <v>246.000246</v>
      </c>
      <c r="H421" s="115" t="str">
        <f t="shared" si="3"/>
        <v>#N/A</v>
      </c>
      <c r="M421" s="110" t="s">
        <v>243</v>
      </c>
      <c r="N421" s="111">
        <f>VLOOKUP(M421,'Dados StatusInvest'!$A:$Z,26,0)</f>
        <v>0</v>
      </c>
      <c r="O421" s="118">
        <f>VLOOKUP(M421,'Dados StatusInvest'!$A:$Z,18,0)/100</f>
        <v>0.3454</v>
      </c>
      <c r="P421" s="119" t="str">
        <f t="shared" si="5"/>
        <v>#N/A</v>
      </c>
      <c r="Q421" s="120">
        <f>IF(ISERROR(1/VLOOKUP(M421,Capa!A:AH,6,0)),0,1/VLOOKUP(M421,Capa!A:AH,6,0))</f>
        <v>0</v>
      </c>
      <c r="R421" s="121">
        <f t="shared" si="6"/>
        <v>306.000306</v>
      </c>
      <c r="S421" s="122" t="str">
        <f t="shared" si="7"/>
        <v>#N/A</v>
      </c>
    </row>
    <row r="422">
      <c r="A422" s="123"/>
      <c r="B422" s="110" t="s">
        <v>447</v>
      </c>
      <c r="C422" s="124">
        <f>VLOOKUP(B422,'Dados StatusInvest'!$A:$Z,26,0)</f>
        <v>9163.33</v>
      </c>
      <c r="D422" s="112">
        <f>VLOOKUP(B422,'Dados StatusInvest'!$A:$Z,20,0)/100</f>
        <v>0.0893</v>
      </c>
      <c r="E422" s="87" t="str">
        <f t="shared" si="1"/>
        <v>#N/A</v>
      </c>
      <c r="F422" s="113">
        <f>IF(ISERROR(1/VLOOKUP(B422,Capa!A:AH,13,0)),0,1/VLOOKUP(B422,Capa!A:AH,13,0))</f>
        <v>2.759381898</v>
      </c>
      <c r="G422" s="114">
        <f t="shared" si="2"/>
        <v>209.000209</v>
      </c>
      <c r="H422" s="115" t="str">
        <f t="shared" si="3"/>
        <v>#N/A</v>
      </c>
      <c r="M422" s="110" t="s">
        <v>447</v>
      </c>
      <c r="N422" s="111">
        <f>VLOOKUP(M422,'Dados StatusInvest'!$A:$Z,26,0)</f>
        <v>9163.33</v>
      </c>
      <c r="O422" s="118">
        <f>VLOOKUP(M422,'Dados StatusInvest'!$A:$Z,18,0)/100</f>
        <v>0.1739</v>
      </c>
      <c r="P422" s="119" t="str">
        <f t="shared" si="5"/>
        <v>#N/A</v>
      </c>
      <c r="Q422" s="120">
        <f>IF(ISERROR(1/VLOOKUP(M422,Capa!A:AH,6,0)),0,1/VLOOKUP(M422,Capa!A:AH,6,0))</f>
        <v>0.02044989775</v>
      </c>
      <c r="R422" s="121">
        <f t="shared" si="6"/>
        <v>254.000254</v>
      </c>
      <c r="S422" s="122" t="str">
        <f t="shared" si="7"/>
        <v>#N/A</v>
      </c>
    </row>
    <row r="423">
      <c r="A423" s="85"/>
      <c r="B423" s="110" t="s">
        <v>632</v>
      </c>
      <c r="C423" s="124">
        <f>VLOOKUP(B423,'Dados StatusInvest'!$A:$Z,26,0)</f>
        <v>1994</v>
      </c>
      <c r="D423" s="112">
        <f>VLOOKUP(B423,'Dados StatusInvest'!$A:$Z,20,0)/100</f>
        <v>0.2319</v>
      </c>
      <c r="E423" s="87" t="str">
        <f t="shared" si="1"/>
        <v>#N/A</v>
      </c>
      <c r="F423" s="113">
        <f>IF(ISERROR(1/VLOOKUP(B423,Capa!A:AH,13,0)),0,1/VLOOKUP(B423,Capa!A:AH,13,0))</f>
        <v>-11.31221719</v>
      </c>
      <c r="G423" s="114">
        <f t="shared" si="2"/>
        <v>416.000416</v>
      </c>
      <c r="H423" s="115" t="str">
        <f t="shared" si="3"/>
        <v>#N/A</v>
      </c>
      <c r="M423" s="110" t="s">
        <v>632</v>
      </c>
      <c r="N423" s="111">
        <f>VLOOKUP(M423,'Dados StatusInvest'!$A:$Z,26,0)</f>
        <v>1994</v>
      </c>
      <c r="O423" s="118">
        <f>VLOOKUP(M423,'Dados StatusInvest'!$A:$Z,18,0)/100</f>
        <v>-0.1503</v>
      </c>
      <c r="P423" s="119" t="str">
        <f t="shared" si="5"/>
        <v>#N/A</v>
      </c>
      <c r="Q423" s="120">
        <f>IF(ISERROR(1/VLOOKUP(M423,Capa!A:AH,6,0)),0,1/VLOOKUP(M423,Capa!A:AH,6,0))</f>
        <v>0.1003009027</v>
      </c>
      <c r="R423" s="121">
        <f t="shared" si="6"/>
        <v>123.000123</v>
      </c>
      <c r="S423" s="122" t="str">
        <f t="shared" si="7"/>
        <v>#N/A</v>
      </c>
    </row>
    <row r="424">
      <c r="A424" s="85"/>
      <c r="B424" s="110" t="s">
        <v>1727</v>
      </c>
      <c r="C424" s="124" t="str">
        <f>VLOOKUP(B424,'Dados StatusInvest'!$A:$Z,26,0)</f>
        <v>#N/A</v>
      </c>
      <c r="D424" s="112" t="str">
        <f>VLOOKUP(B424,'Dados StatusInvest'!$A:$Z,20,0)/100</f>
        <v>#N/A</v>
      </c>
      <c r="E424" s="87" t="str">
        <f t="shared" si="1"/>
        <v>#N/A</v>
      </c>
      <c r="F424" s="113">
        <f>IF(ISERROR(1/VLOOKUP(B424,Capa!A:AH,13,0)),0,1/VLOOKUP(B424,Capa!A:AH,13,0))</f>
        <v>0</v>
      </c>
      <c r="G424" s="114">
        <f t="shared" si="2"/>
        <v>246.000246</v>
      </c>
      <c r="H424" s="115" t="str">
        <f t="shared" si="3"/>
        <v>#N/A</v>
      </c>
      <c r="M424" s="110" t="s">
        <v>1727</v>
      </c>
      <c r="N424" s="111" t="str">
        <f>VLOOKUP(M424,'Dados StatusInvest'!$A:$Z,26,0)</f>
        <v>#N/A</v>
      </c>
      <c r="O424" s="118" t="str">
        <f>VLOOKUP(M424,'Dados StatusInvest'!$A:$Z,18,0)/100</f>
        <v>#N/A</v>
      </c>
      <c r="P424" s="119" t="str">
        <f t="shared" si="5"/>
        <v>#N/A</v>
      </c>
      <c r="Q424" s="120">
        <f>IF(ISERROR(1/VLOOKUP(M424,Capa!A:AH,6,0)),0,1/VLOOKUP(M424,Capa!A:AH,6,0))</f>
        <v>0</v>
      </c>
      <c r="R424" s="121">
        <f t="shared" si="6"/>
        <v>306.000306</v>
      </c>
      <c r="S424" s="122" t="str">
        <f t="shared" si="7"/>
        <v>#N/A</v>
      </c>
    </row>
    <row r="425">
      <c r="A425" s="85"/>
      <c r="B425" s="110" t="s">
        <v>353</v>
      </c>
      <c r="C425" s="124">
        <f>VLOOKUP(B425,'Dados StatusInvest'!$A:$Z,26,0)</f>
        <v>7786.35</v>
      </c>
      <c r="D425" s="112">
        <f>VLOOKUP(B425,'Dados StatusInvest'!$A:$Z,20,0)/100</f>
        <v>0.0729</v>
      </c>
      <c r="E425" s="87" t="str">
        <f t="shared" si="1"/>
        <v>#N/A</v>
      </c>
      <c r="F425" s="113">
        <f>IF(ISERROR(1/VLOOKUP(B425,Capa!A:AH,13,0)),0,1/VLOOKUP(B425,Capa!A:AH,13,0))</f>
        <v>-14.44289803</v>
      </c>
      <c r="G425" s="114">
        <f t="shared" si="2"/>
        <v>418.000418</v>
      </c>
      <c r="H425" s="115" t="str">
        <f t="shared" si="3"/>
        <v>#N/A</v>
      </c>
      <c r="M425" s="110" t="s">
        <v>353</v>
      </c>
      <c r="N425" s="111">
        <f>VLOOKUP(M425,'Dados StatusInvest'!$A:$Z,26,0)</f>
        <v>7786.35</v>
      </c>
      <c r="O425" s="118">
        <f>VLOOKUP(M425,'Dados StatusInvest'!$A:$Z,18,0)/100</f>
        <v>-0.0203</v>
      </c>
      <c r="P425" s="119" t="str">
        <f t="shared" si="5"/>
        <v>#N/A</v>
      </c>
      <c r="Q425" s="120">
        <f>IF(ISERROR(1/VLOOKUP(M425,Capa!A:AH,6,0)),0,1/VLOOKUP(M425,Capa!A:AH,6,0))</f>
        <v>0.4545454545</v>
      </c>
      <c r="R425" s="121">
        <f t="shared" si="6"/>
        <v>27.000027</v>
      </c>
      <c r="S425" s="122" t="str">
        <f t="shared" si="7"/>
        <v>#N/A</v>
      </c>
    </row>
    <row r="426">
      <c r="A426" s="85"/>
      <c r="B426" s="110" t="s">
        <v>525</v>
      </c>
      <c r="C426" s="124">
        <f>VLOOKUP(B426,'Dados StatusInvest'!$A:$Z,26,0)</f>
        <v>21160.16</v>
      </c>
      <c r="D426" s="112">
        <f>VLOOKUP(B426,'Dados StatusInvest'!$A:$Z,20,0)/100</f>
        <v>-0.0007</v>
      </c>
      <c r="E426" s="87" t="str">
        <f t="shared" si="1"/>
        <v>#N/A</v>
      </c>
      <c r="F426" s="113">
        <f>IF(ISERROR(1/VLOOKUP(B426,Capa!A:AH,13,0)),0,1/VLOOKUP(B426,Capa!A:AH,13,0))</f>
        <v>20.79002079</v>
      </c>
      <c r="G426" s="114">
        <f t="shared" si="2"/>
        <v>34.000034</v>
      </c>
      <c r="H426" s="115" t="str">
        <f t="shared" si="3"/>
        <v>#N/A</v>
      </c>
      <c r="M426" s="110" t="s">
        <v>525</v>
      </c>
      <c r="N426" s="111">
        <f>VLOOKUP(M426,'Dados StatusInvest'!$A:$Z,26,0)</f>
        <v>21160.16</v>
      </c>
      <c r="O426" s="118">
        <f>VLOOKUP(M426,'Dados StatusInvest'!$A:$Z,18,0)/100</f>
        <v>0.0813</v>
      </c>
      <c r="P426" s="119" t="str">
        <f t="shared" si="5"/>
        <v>#N/A</v>
      </c>
      <c r="Q426" s="120">
        <f>IF(ISERROR(1/VLOOKUP(M426,Capa!A:AH,6,0)),0,1/VLOOKUP(M426,Capa!A:AH,6,0))</f>
        <v>0.1184834123</v>
      </c>
      <c r="R426" s="121">
        <f t="shared" si="6"/>
        <v>106.000106</v>
      </c>
      <c r="S426" s="122" t="str">
        <f t="shared" si="7"/>
        <v>#N/A</v>
      </c>
    </row>
    <row r="427">
      <c r="A427" s="85"/>
      <c r="B427" s="110" t="s">
        <v>1728</v>
      </c>
      <c r="C427" s="124" t="str">
        <f>VLOOKUP(B427,'Dados StatusInvest'!$A:$Z,26,0)</f>
        <v>#N/A</v>
      </c>
      <c r="D427" s="112" t="str">
        <f>VLOOKUP(B427,'Dados StatusInvest'!$A:$Z,20,0)/100</f>
        <v>#N/A</v>
      </c>
      <c r="E427" s="87" t="str">
        <f t="shared" si="1"/>
        <v>#N/A</v>
      </c>
      <c r="F427" s="113">
        <f>IF(ISERROR(1/VLOOKUP(B427,Capa!A:AH,13,0)),0,1/VLOOKUP(B427,Capa!A:AH,13,0))</f>
        <v>0</v>
      </c>
      <c r="G427" s="114">
        <f t="shared" si="2"/>
        <v>246.000246</v>
      </c>
      <c r="H427" s="115" t="str">
        <f t="shared" si="3"/>
        <v>#N/A</v>
      </c>
      <c r="M427" s="110" t="s">
        <v>1728</v>
      </c>
      <c r="N427" s="111" t="str">
        <f>VLOOKUP(M427,'Dados StatusInvest'!$A:$Z,26,0)</f>
        <v>#N/A</v>
      </c>
      <c r="O427" s="118" t="str">
        <f>VLOOKUP(M427,'Dados StatusInvest'!$A:$Z,18,0)/100</f>
        <v>#N/A</v>
      </c>
      <c r="P427" s="119" t="str">
        <f t="shared" si="5"/>
        <v>#N/A</v>
      </c>
      <c r="Q427" s="120">
        <f>IF(ISERROR(1/VLOOKUP(M427,Capa!A:AH,6,0)),0,1/VLOOKUP(M427,Capa!A:AH,6,0))</f>
        <v>0</v>
      </c>
      <c r="R427" s="121">
        <f t="shared" si="6"/>
        <v>306.000306</v>
      </c>
      <c r="S427" s="122" t="str">
        <f t="shared" si="7"/>
        <v>#N/A</v>
      </c>
    </row>
    <row r="428">
      <c r="A428" s="85"/>
      <c r="B428" s="110" t="s">
        <v>180</v>
      </c>
      <c r="C428" s="124">
        <f>VLOOKUP(B428,'Dados StatusInvest'!$A:$Z,26,0)</f>
        <v>0</v>
      </c>
      <c r="D428" s="112">
        <f>VLOOKUP(B428,'Dados StatusInvest'!$A:$Z,20,0)/100</f>
        <v>0.1054</v>
      </c>
      <c r="E428" s="87" t="str">
        <f t="shared" si="1"/>
        <v>#N/A</v>
      </c>
      <c r="F428" s="113">
        <f>IF(ISERROR(1/VLOOKUP(B428,Capa!A:AH,13,0)),0,1/VLOOKUP(B428,Capa!A:AH,13,0))</f>
        <v>0</v>
      </c>
      <c r="G428" s="114">
        <f t="shared" si="2"/>
        <v>246.000246</v>
      </c>
      <c r="H428" s="115" t="str">
        <f t="shared" si="3"/>
        <v>#N/A</v>
      </c>
      <c r="M428" s="110" t="s">
        <v>180</v>
      </c>
      <c r="N428" s="111">
        <f>VLOOKUP(M428,'Dados StatusInvest'!$A:$Z,26,0)</f>
        <v>0</v>
      </c>
      <c r="O428" s="118">
        <f>VLOOKUP(M428,'Dados StatusInvest'!$A:$Z,18,0)/100</f>
        <v>0.1498</v>
      </c>
      <c r="P428" s="119" t="str">
        <f t="shared" si="5"/>
        <v>#N/A</v>
      </c>
      <c r="Q428" s="120">
        <f>IF(ISERROR(1/VLOOKUP(M428,Capa!A:AH,6,0)),0,1/VLOOKUP(M428,Capa!A:AH,6,0))</f>
        <v>0</v>
      </c>
      <c r="R428" s="121">
        <f t="shared" si="6"/>
        <v>306.000306</v>
      </c>
      <c r="S428" s="122" t="str">
        <f t="shared" si="7"/>
        <v>#N/A</v>
      </c>
    </row>
    <row r="429">
      <c r="A429" s="85"/>
      <c r="B429" s="110" t="s">
        <v>267</v>
      </c>
      <c r="C429" s="124">
        <f>VLOOKUP(B429,'Dados StatusInvest'!$A:$Z,26,0)</f>
        <v>1953</v>
      </c>
      <c r="D429" s="112">
        <f>VLOOKUP(B429,'Dados StatusInvest'!$A:$Z,20,0)/100</f>
        <v>-0.0103</v>
      </c>
      <c r="E429" s="87" t="str">
        <f t="shared" si="1"/>
        <v>#N/A</v>
      </c>
      <c r="F429" s="113">
        <f>IF(ISERROR(1/VLOOKUP(B429,Capa!A:AH,13,0)),0,1/VLOOKUP(B429,Capa!A:AH,13,0))</f>
        <v>-74.07407407</v>
      </c>
      <c r="G429" s="114">
        <f t="shared" si="2"/>
        <v>436.000436</v>
      </c>
      <c r="H429" s="115" t="str">
        <f t="shared" si="3"/>
        <v>#N/A</v>
      </c>
      <c r="M429" s="110" t="s">
        <v>267</v>
      </c>
      <c r="N429" s="111">
        <f>VLOOKUP(M429,'Dados StatusInvest'!$A:$Z,26,0)</f>
        <v>1953</v>
      </c>
      <c r="O429" s="118">
        <f>VLOOKUP(M429,'Dados StatusInvest'!$A:$Z,18,0)/100</f>
        <v>0.0079</v>
      </c>
      <c r="P429" s="119" t="str">
        <f t="shared" si="5"/>
        <v>#N/A</v>
      </c>
      <c r="Q429" s="120">
        <f>IF(ISERROR(1/VLOOKUP(M429,Capa!A:AH,6,0)),0,1/VLOOKUP(M429,Capa!A:AH,6,0))</f>
        <v>0.153609831</v>
      </c>
      <c r="R429" s="121">
        <f t="shared" si="6"/>
        <v>88.000088</v>
      </c>
      <c r="S429" s="122" t="str">
        <f t="shared" si="7"/>
        <v>#N/A</v>
      </c>
    </row>
    <row r="430">
      <c r="A430" s="85"/>
      <c r="B430" s="110" t="s">
        <v>156</v>
      </c>
      <c r="C430" s="124">
        <f>VLOOKUP(B430,'Dados StatusInvest'!$A:$Z,26,0)</f>
        <v>0</v>
      </c>
      <c r="D430" s="112">
        <f>VLOOKUP(B430,'Dados StatusInvest'!$A:$Z,20,0)/100</f>
        <v>-0.0291</v>
      </c>
      <c r="E430" s="87" t="str">
        <f t="shared" si="1"/>
        <v>#N/A</v>
      </c>
      <c r="F430" s="113">
        <f>IF(ISERROR(1/VLOOKUP(B430,Capa!A:AH,13,0)),0,1/VLOOKUP(B430,Capa!A:AH,13,0))</f>
        <v>0</v>
      </c>
      <c r="G430" s="114">
        <f t="shared" si="2"/>
        <v>246.000246</v>
      </c>
      <c r="H430" s="115" t="str">
        <f t="shared" si="3"/>
        <v>#N/A</v>
      </c>
      <c r="M430" s="110" t="s">
        <v>156</v>
      </c>
      <c r="N430" s="111">
        <f>VLOOKUP(M430,'Dados StatusInvest'!$A:$Z,26,0)</f>
        <v>0</v>
      </c>
      <c r="O430" s="118">
        <f>VLOOKUP(M430,'Dados StatusInvest'!$A:$Z,18,0)/100</f>
        <v>0.0156</v>
      </c>
      <c r="P430" s="119" t="str">
        <f t="shared" si="5"/>
        <v>#N/A</v>
      </c>
      <c r="Q430" s="120">
        <f>IF(ISERROR(1/VLOOKUP(M430,Capa!A:AH,6,0)),0,1/VLOOKUP(M430,Capa!A:AH,6,0))</f>
        <v>0</v>
      </c>
      <c r="R430" s="121">
        <f t="shared" si="6"/>
        <v>306.000306</v>
      </c>
      <c r="S430" s="122" t="str">
        <f t="shared" si="7"/>
        <v>#N/A</v>
      </c>
    </row>
    <row r="431">
      <c r="A431" s="85"/>
      <c r="B431" s="110" t="s">
        <v>586</v>
      </c>
      <c r="C431" s="124">
        <f>VLOOKUP(B431,'Dados StatusInvest'!$A:$Z,26,0)</f>
        <v>3866</v>
      </c>
      <c r="D431" s="112">
        <f>VLOOKUP(B431,'Dados StatusInvest'!$A:$Z,20,0)/100</f>
        <v>0.2076</v>
      </c>
      <c r="E431" s="87" t="str">
        <f t="shared" si="1"/>
        <v>#N/A</v>
      </c>
      <c r="F431" s="113">
        <f>IF(ISERROR(1/VLOOKUP(B431,Capa!A:AH,13,0)),0,1/VLOOKUP(B431,Capa!A:AH,13,0))</f>
        <v>5.767012687</v>
      </c>
      <c r="G431" s="114">
        <f t="shared" si="2"/>
        <v>138.000138</v>
      </c>
      <c r="H431" s="115" t="str">
        <f t="shared" si="3"/>
        <v>#N/A</v>
      </c>
      <c r="M431" s="110" t="s">
        <v>586</v>
      </c>
      <c r="N431" s="111">
        <f>VLOOKUP(M431,'Dados StatusInvest'!$A:$Z,26,0)</f>
        <v>3866</v>
      </c>
      <c r="O431" s="118">
        <f>VLOOKUP(M431,'Dados StatusInvest'!$A:$Z,18,0)/100</f>
        <v>0.3839</v>
      </c>
      <c r="P431" s="119" t="str">
        <f t="shared" si="5"/>
        <v>#N/A</v>
      </c>
      <c r="Q431" s="120">
        <f>IF(ISERROR(1/VLOOKUP(M431,Capa!A:AH,6,0)),0,1/VLOOKUP(M431,Capa!A:AH,6,0))</f>
        <v>0.02586652871</v>
      </c>
      <c r="R431" s="121">
        <f t="shared" si="6"/>
        <v>236.000236</v>
      </c>
      <c r="S431" s="122" t="str">
        <f t="shared" si="7"/>
        <v>#N/A</v>
      </c>
    </row>
    <row r="432">
      <c r="A432" s="85"/>
      <c r="B432" s="110" t="s">
        <v>448</v>
      </c>
      <c r="C432" s="124">
        <f>VLOOKUP(B432,'Dados StatusInvest'!$A:$Z,26,0)</f>
        <v>1934.67</v>
      </c>
      <c r="D432" s="112">
        <f>VLOOKUP(B432,'Dados StatusInvest'!$A:$Z,20,0)/100</f>
        <v>0.0893</v>
      </c>
      <c r="E432" s="87" t="str">
        <f t="shared" si="1"/>
        <v>#N/A</v>
      </c>
      <c r="F432" s="113">
        <f>IF(ISERROR(1/VLOOKUP(B432,Capa!A:AH,13,0)),0,1/VLOOKUP(B432,Capa!A:AH,13,0))</f>
        <v>2.759381898</v>
      </c>
      <c r="G432" s="114">
        <f t="shared" si="2"/>
        <v>209.000209</v>
      </c>
      <c r="H432" s="115" t="str">
        <f t="shared" si="3"/>
        <v>#N/A</v>
      </c>
      <c r="M432" s="110" t="s">
        <v>448</v>
      </c>
      <c r="N432" s="111">
        <f>VLOOKUP(M432,'Dados StatusInvest'!$A:$Z,26,0)</f>
        <v>1934.67</v>
      </c>
      <c r="O432" s="118">
        <f>VLOOKUP(M432,'Dados StatusInvest'!$A:$Z,18,0)/100</f>
        <v>0.1739</v>
      </c>
      <c r="P432" s="119" t="str">
        <f t="shared" si="5"/>
        <v>#N/A</v>
      </c>
      <c r="Q432" s="120">
        <f>IF(ISERROR(1/VLOOKUP(M432,Capa!A:AH,6,0)),0,1/VLOOKUP(M432,Capa!A:AH,6,0))</f>
        <v>0.025</v>
      </c>
      <c r="R432" s="121">
        <f t="shared" si="6"/>
        <v>240.00024</v>
      </c>
      <c r="S432" s="122" t="str">
        <f t="shared" si="7"/>
        <v>#N/A</v>
      </c>
    </row>
    <row r="433">
      <c r="A433" s="85"/>
      <c r="B433" s="110" t="s">
        <v>155</v>
      </c>
      <c r="C433" s="124">
        <f>VLOOKUP(B433,'Dados StatusInvest'!$A:$Z,26,0)</f>
        <v>0</v>
      </c>
      <c r="D433" s="112">
        <f>VLOOKUP(B433,'Dados StatusInvest'!$A:$Z,20,0)/100</f>
        <v>-0.0291</v>
      </c>
      <c r="E433" s="87" t="str">
        <f t="shared" si="1"/>
        <v>#N/A</v>
      </c>
      <c r="F433" s="113">
        <f>IF(ISERROR(1/VLOOKUP(B433,Capa!A:AH,13,0)),0,1/VLOOKUP(B433,Capa!A:AH,13,0))</f>
        <v>0</v>
      </c>
      <c r="G433" s="114">
        <f t="shared" si="2"/>
        <v>246.000246</v>
      </c>
      <c r="H433" s="115" t="str">
        <f t="shared" si="3"/>
        <v>#N/A</v>
      </c>
      <c r="M433" s="110" t="s">
        <v>155</v>
      </c>
      <c r="N433" s="111">
        <f>VLOOKUP(M433,'Dados StatusInvest'!$A:$Z,26,0)</f>
        <v>0</v>
      </c>
      <c r="O433" s="118">
        <f>VLOOKUP(M433,'Dados StatusInvest'!$A:$Z,18,0)/100</f>
        <v>0.0156</v>
      </c>
      <c r="P433" s="119" t="str">
        <f t="shared" si="5"/>
        <v>#N/A</v>
      </c>
      <c r="Q433" s="120">
        <f>IF(ISERROR(1/VLOOKUP(M433,Capa!A:AH,6,0)),0,1/VLOOKUP(M433,Capa!A:AH,6,0))</f>
        <v>0</v>
      </c>
      <c r="R433" s="121">
        <f t="shared" si="6"/>
        <v>306.000306</v>
      </c>
      <c r="S433" s="122" t="str">
        <f t="shared" si="7"/>
        <v>#N/A</v>
      </c>
    </row>
    <row r="434">
      <c r="A434" s="85"/>
      <c r="B434" s="110" t="s">
        <v>449</v>
      </c>
      <c r="C434" s="124">
        <f>VLOOKUP(B434,'Dados StatusInvest'!$A:$Z,26,0)</f>
        <v>1483.33</v>
      </c>
      <c r="D434" s="112">
        <f>VLOOKUP(B434,'Dados StatusInvest'!$A:$Z,20,0)/100</f>
        <v>0.0893</v>
      </c>
      <c r="E434" s="87" t="str">
        <f t="shared" si="1"/>
        <v>#N/A</v>
      </c>
      <c r="F434" s="113">
        <f>IF(ISERROR(1/VLOOKUP(B434,Capa!A:AH,13,0)),0,1/VLOOKUP(B434,Capa!A:AH,13,0))</f>
        <v>2.759381898</v>
      </c>
      <c r="G434" s="114">
        <f t="shared" si="2"/>
        <v>209.000209</v>
      </c>
      <c r="H434" s="115" t="str">
        <f t="shared" si="3"/>
        <v>#N/A</v>
      </c>
      <c r="M434" s="110" t="s">
        <v>449</v>
      </c>
      <c r="N434" s="111">
        <f>VLOOKUP(M434,'Dados StatusInvest'!$A:$Z,26,0)</f>
        <v>1483.33</v>
      </c>
      <c r="O434" s="118">
        <f>VLOOKUP(M434,'Dados StatusInvest'!$A:$Z,18,0)/100</f>
        <v>0.1739</v>
      </c>
      <c r="P434" s="119" t="str">
        <f t="shared" si="5"/>
        <v>#N/A</v>
      </c>
      <c r="Q434" s="120">
        <f>IF(ISERROR(1/VLOOKUP(M434,Capa!A:AH,6,0)),0,1/VLOOKUP(M434,Capa!A:AH,6,0))</f>
        <v>0.02247191011</v>
      </c>
      <c r="R434" s="121">
        <f t="shared" si="6"/>
        <v>247.000247</v>
      </c>
      <c r="S434" s="122" t="str">
        <f t="shared" si="7"/>
        <v>#N/A</v>
      </c>
    </row>
    <row r="435">
      <c r="A435" s="85"/>
      <c r="B435" s="110" t="s">
        <v>287</v>
      </c>
      <c r="C435" s="124">
        <f>VLOOKUP(B435,'Dados StatusInvest'!$A:$Z,26,0)</f>
        <v>0</v>
      </c>
      <c r="D435" s="112">
        <f>VLOOKUP(B435,'Dados StatusInvest'!$A:$Z,20,0)/100</f>
        <v>0.1306</v>
      </c>
      <c r="E435" s="87" t="str">
        <f t="shared" si="1"/>
        <v>#N/A</v>
      </c>
      <c r="F435" s="113">
        <f>IF(ISERROR(1/VLOOKUP(B435,Capa!A:AH,13,0)),0,1/VLOOKUP(B435,Capa!A:AH,13,0))</f>
        <v>2.234137623</v>
      </c>
      <c r="G435" s="114">
        <f t="shared" si="2"/>
        <v>214.000214</v>
      </c>
      <c r="H435" s="115" t="str">
        <f t="shared" si="3"/>
        <v>#N/A</v>
      </c>
      <c r="M435" s="110" t="s">
        <v>287</v>
      </c>
      <c r="N435" s="111">
        <f>VLOOKUP(M435,'Dados StatusInvest'!$A:$Z,26,0)</f>
        <v>0</v>
      </c>
      <c r="O435" s="118">
        <f>VLOOKUP(M435,'Dados StatusInvest'!$A:$Z,18,0)/100</f>
        <v>0.2041</v>
      </c>
      <c r="P435" s="119" t="str">
        <f t="shared" si="5"/>
        <v>#N/A</v>
      </c>
      <c r="Q435" s="120">
        <f>IF(ISERROR(1/VLOOKUP(M435,Capa!A:AH,6,0)),0,1/VLOOKUP(M435,Capa!A:AH,6,0))</f>
        <v>0.006666666667</v>
      </c>
      <c r="R435" s="121">
        <f t="shared" si="6"/>
        <v>287.000287</v>
      </c>
      <c r="S435" s="122" t="str">
        <f t="shared" si="7"/>
        <v>#N/A</v>
      </c>
    </row>
    <row r="436">
      <c r="A436" s="85"/>
      <c r="B436" s="110" t="s">
        <v>140</v>
      </c>
      <c r="C436" s="124">
        <f>VLOOKUP(B436,'Dados StatusInvest'!$A:$Z,26,0)</f>
        <v>0</v>
      </c>
      <c r="D436" s="112">
        <f>VLOOKUP(B436,'Dados StatusInvest'!$A:$Z,20,0)/100</f>
        <v>0</v>
      </c>
      <c r="E436" s="87" t="str">
        <f t="shared" si="1"/>
        <v>#N/A</v>
      </c>
      <c r="F436" s="113">
        <f>IF(ISERROR(1/VLOOKUP(B436,Capa!A:AH,13,0)),0,1/VLOOKUP(B436,Capa!A:AH,13,0))</f>
        <v>0</v>
      </c>
      <c r="G436" s="114">
        <f t="shared" si="2"/>
        <v>246.000246</v>
      </c>
      <c r="H436" s="115" t="str">
        <f t="shared" si="3"/>
        <v>#N/A</v>
      </c>
      <c r="M436" s="110" t="s">
        <v>140</v>
      </c>
      <c r="N436" s="111">
        <f>VLOOKUP(M436,'Dados StatusInvest'!$A:$Z,26,0)</f>
        <v>0</v>
      </c>
      <c r="O436" s="118">
        <f>VLOOKUP(M436,'Dados StatusInvest'!$A:$Z,18,0)/100</f>
        <v>0.1135</v>
      </c>
      <c r="P436" s="119" t="str">
        <f t="shared" si="5"/>
        <v>#N/A</v>
      </c>
      <c r="Q436" s="120">
        <f>IF(ISERROR(1/VLOOKUP(M436,Capa!A:AH,6,0)),0,1/VLOOKUP(M436,Capa!A:AH,6,0))</f>
        <v>0</v>
      </c>
      <c r="R436" s="121">
        <f t="shared" si="6"/>
        <v>306.000306</v>
      </c>
      <c r="S436" s="122" t="str">
        <f t="shared" si="7"/>
        <v>#N/A</v>
      </c>
    </row>
    <row r="437">
      <c r="A437" s="85"/>
      <c r="B437" s="110" t="s">
        <v>430</v>
      </c>
      <c r="C437" s="124">
        <f>VLOOKUP(B437,'Dados StatusInvest'!$A:$Z,26,0)</f>
        <v>1528</v>
      </c>
      <c r="D437" s="112">
        <f>VLOOKUP(B437,'Dados StatusInvest'!$A:$Z,20,0)/100</f>
        <v>0</v>
      </c>
      <c r="E437" s="87" t="str">
        <f t="shared" si="1"/>
        <v>#N/A</v>
      </c>
      <c r="F437" s="113">
        <f>IF(ISERROR(1/VLOOKUP(B437,Capa!A:AH,13,0)),0,1/VLOOKUP(B437,Capa!A:AH,13,0))</f>
        <v>1.841959845</v>
      </c>
      <c r="G437" s="114">
        <f t="shared" si="2"/>
        <v>225.000225</v>
      </c>
      <c r="H437" s="115" t="str">
        <f t="shared" si="3"/>
        <v>#N/A</v>
      </c>
      <c r="M437" s="110" t="s">
        <v>430</v>
      </c>
      <c r="N437" s="111">
        <f>VLOOKUP(M437,'Dados StatusInvest'!$A:$Z,26,0)</f>
        <v>1528</v>
      </c>
      <c r="O437" s="118">
        <f>VLOOKUP(M437,'Dados StatusInvest'!$A:$Z,18,0)/100</f>
        <v>0.0609</v>
      </c>
      <c r="P437" s="119" t="str">
        <f t="shared" si="5"/>
        <v>#N/A</v>
      </c>
      <c r="Q437" s="120">
        <f>IF(ISERROR(1/VLOOKUP(M437,Capa!A:AH,6,0)),0,1/VLOOKUP(M437,Capa!A:AH,6,0))</f>
        <v>0.06544502618</v>
      </c>
      <c r="R437" s="121">
        <f t="shared" si="6"/>
        <v>160.00016</v>
      </c>
      <c r="S437" s="122" t="str">
        <f t="shared" si="7"/>
        <v>#N/A</v>
      </c>
    </row>
    <row r="438">
      <c r="A438" s="85"/>
      <c r="B438" s="110" t="s">
        <v>452</v>
      </c>
      <c r="C438" s="124">
        <f>VLOOKUP(B438,'Dados StatusInvest'!$A:$Z,26,0)</f>
        <v>0</v>
      </c>
      <c r="D438" s="112">
        <f>VLOOKUP(B438,'Dados StatusInvest'!$A:$Z,20,0)/100</f>
        <v>0.0081</v>
      </c>
      <c r="E438" s="87" t="str">
        <f t="shared" si="1"/>
        <v>#N/A</v>
      </c>
      <c r="F438" s="113">
        <f>IF(ISERROR(1/VLOOKUP(B438,Capa!A:AH,13,0)),0,1/VLOOKUP(B438,Capa!A:AH,13,0))</f>
        <v>9.157509158</v>
      </c>
      <c r="G438" s="114">
        <f t="shared" si="2"/>
        <v>88.000088</v>
      </c>
      <c r="H438" s="115" t="str">
        <f t="shared" si="3"/>
        <v>#N/A</v>
      </c>
      <c r="M438" s="110" t="s">
        <v>452</v>
      </c>
      <c r="N438" s="111">
        <f>VLOOKUP(M438,'Dados StatusInvest'!$A:$Z,26,0)</f>
        <v>0</v>
      </c>
      <c r="O438" s="118">
        <f>VLOOKUP(M438,'Dados StatusInvest'!$A:$Z,18,0)/100</f>
        <v>-0.0163</v>
      </c>
      <c r="P438" s="119" t="str">
        <f t="shared" si="5"/>
        <v>#N/A</v>
      </c>
      <c r="Q438" s="120">
        <f>IF(ISERROR(1/VLOOKUP(M438,Capa!A:AH,6,0)),0,1/VLOOKUP(M438,Capa!A:AH,6,0))</f>
        <v>0.0243902439</v>
      </c>
      <c r="R438" s="121">
        <f t="shared" si="6"/>
        <v>242.000242</v>
      </c>
      <c r="S438" s="122" t="str">
        <f t="shared" si="7"/>
        <v>#N/A</v>
      </c>
    </row>
    <row r="439">
      <c r="A439" s="85"/>
      <c r="B439" s="110" t="s">
        <v>173</v>
      </c>
      <c r="C439" s="124">
        <f>VLOOKUP(B439,'Dados StatusInvest'!$A:$Z,26,0)</f>
        <v>9354.83</v>
      </c>
      <c r="D439" s="112">
        <f>VLOOKUP(B439,'Dados StatusInvest'!$A:$Z,20,0)/100</f>
        <v>0.0558</v>
      </c>
      <c r="E439" s="87" t="str">
        <f t="shared" si="1"/>
        <v>#N/A</v>
      </c>
      <c r="F439" s="113">
        <f>IF(ISERROR(1/VLOOKUP(B439,Capa!A:AH,13,0)),0,1/VLOOKUP(B439,Capa!A:AH,13,0))</f>
        <v>7.092198582</v>
      </c>
      <c r="G439" s="114">
        <f t="shared" si="2"/>
        <v>117.000117</v>
      </c>
      <c r="H439" s="115" t="str">
        <f t="shared" si="3"/>
        <v>#N/A</v>
      </c>
      <c r="M439" s="110" t="s">
        <v>173</v>
      </c>
      <c r="N439" s="111">
        <f>VLOOKUP(M439,'Dados StatusInvest'!$A:$Z,26,0)</f>
        <v>9354.83</v>
      </c>
      <c r="O439" s="118">
        <f>VLOOKUP(M439,'Dados StatusInvest'!$A:$Z,18,0)/100</f>
        <v>0.1184</v>
      </c>
      <c r="P439" s="119" t="str">
        <f t="shared" si="5"/>
        <v>#N/A</v>
      </c>
      <c r="Q439" s="120">
        <f>IF(ISERROR(1/VLOOKUP(M439,Capa!A:AH,6,0)),0,1/VLOOKUP(M439,Capa!A:AH,6,0))</f>
        <v>0.05797101449</v>
      </c>
      <c r="R439" s="121">
        <f t="shared" si="6"/>
        <v>168.000168</v>
      </c>
      <c r="S439" s="122" t="str">
        <f t="shared" si="7"/>
        <v>#N/A</v>
      </c>
    </row>
    <row r="440">
      <c r="A440" s="85"/>
      <c r="B440" s="110" t="s">
        <v>422</v>
      </c>
      <c r="C440" s="124">
        <f>VLOOKUP(B440,'Dados StatusInvest'!$A:$Z,26,0)</f>
        <v>300</v>
      </c>
      <c r="D440" s="112">
        <f>VLOOKUP(B440,'Dados StatusInvest'!$A:$Z,20,0)/100</f>
        <v>0.0163</v>
      </c>
      <c r="E440" s="87" t="str">
        <f t="shared" si="1"/>
        <v>#N/A</v>
      </c>
      <c r="F440" s="113">
        <f>IF(ISERROR(1/VLOOKUP(B440,Capa!A:AH,13,0)),0,1/VLOOKUP(B440,Capa!A:AH,13,0))</f>
        <v>0</v>
      </c>
      <c r="G440" s="114">
        <f t="shared" si="2"/>
        <v>246.000246</v>
      </c>
      <c r="H440" s="115" t="str">
        <f t="shared" si="3"/>
        <v>#N/A</v>
      </c>
      <c r="M440" s="110" t="s">
        <v>422</v>
      </c>
      <c r="N440" s="111">
        <f>VLOOKUP(M440,'Dados StatusInvest'!$A:$Z,26,0)</f>
        <v>300</v>
      </c>
      <c r="O440" s="118">
        <f>VLOOKUP(M440,'Dados StatusInvest'!$A:$Z,18,0)/100</f>
        <v>-0.0163</v>
      </c>
      <c r="P440" s="119" t="str">
        <f t="shared" si="5"/>
        <v>#N/A</v>
      </c>
      <c r="Q440" s="120">
        <f>IF(ISERROR(1/VLOOKUP(M440,Capa!A:AH,6,0)),0,1/VLOOKUP(M440,Capa!A:AH,6,0))</f>
        <v>0.3333333333</v>
      </c>
      <c r="R440" s="121">
        <f t="shared" si="6"/>
        <v>36.000036</v>
      </c>
      <c r="S440" s="122" t="str">
        <f t="shared" si="7"/>
        <v>#N/A</v>
      </c>
    </row>
    <row r="441">
      <c r="A441" s="85"/>
      <c r="B441" s="110" t="s">
        <v>308</v>
      </c>
      <c r="C441" s="124">
        <f>VLOOKUP(B441,'Dados StatusInvest'!$A:$Z,26,0)</f>
        <v>301</v>
      </c>
      <c r="D441" s="112">
        <f>VLOOKUP(B441,'Dados StatusInvest'!$A:$Z,20,0)/100</f>
        <v>-4.3268</v>
      </c>
      <c r="E441" s="87" t="str">
        <f t="shared" si="1"/>
        <v>#N/A</v>
      </c>
      <c r="F441" s="113">
        <f>IF(ISERROR(1/VLOOKUP(B441,Capa!A:AH,13,0)),0,1/VLOOKUP(B441,Capa!A:AH,13,0))</f>
        <v>0.6192717364</v>
      </c>
      <c r="G441" s="114">
        <f t="shared" si="2"/>
        <v>240.00024</v>
      </c>
      <c r="H441" s="115" t="str">
        <f t="shared" si="3"/>
        <v>#N/A</v>
      </c>
      <c r="M441" s="110" t="s">
        <v>308</v>
      </c>
      <c r="N441" s="111">
        <f>VLOOKUP(M441,'Dados StatusInvest'!$A:$Z,26,0)</f>
        <v>301</v>
      </c>
      <c r="O441" s="118">
        <f>VLOOKUP(M441,'Dados StatusInvest'!$A:$Z,18,0)/100</f>
        <v>-0.9695</v>
      </c>
      <c r="P441" s="119" t="str">
        <f t="shared" si="5"/>
        <v>#N/A</v>
      </c>
      <c r="Q441" s="120">
        <f>IF(ISERROR(1/VLOOKUP(M441,Capa!A:AH,6,0)),0,1/VLOOKUP(M441,Capa!A:AH,6,0))</f>
        <v>0.3322259136</v>
      </c>
      <c r="R441" s="121">
        <f t="shared" si="6"/>
        <v>37.000037</v>
      </c>
      <c r="S441" s="122" t="str">
        <f t="shared" si="7"/>
        <v>#N/A</v>
      </c>
    </row>
    <row r="442">
      <c r="A442" s="85"/>
      <c r="B442" s="110" t="s">
        <v>179</v>
      </c>
      <c r="C442" s="124">
        <f>VLOOKUP(B442,'Dados StatusInvest'!$A:$Z,26,0)</f>
        <v>0</v>
      </c>
      <c r="D442" s="112">
        <f>VLOOKUP(B442,'Dados StatusInvest'!$A:$Z,20,0)/100</f>
        <v>0.1054</v>
      </c>
      <c r="E442" s="87" t="str">
        <f t="shared" si="1"/>
        <v>#N/A</v>
      </c>
      <c r="F442" s="113">
        <f>IF(ISERROR(1/VLOOKUP(B442,Capa!A:AH,13,0)),0,1/VLOOKUP(B442,Capa!A:AH,13,0))</f>
        <v>3.440731004</v>
      </c>
      <c r="G442" s="114">
        <f t="shared" si="2"/>
        <v>200.0002</v>
      </c>
      <c r="H442" s="115" t="str">
        <f t="shared" si="3"/>
        <v>#N/A</v>
      </c>
      <c r="M442" s="110" t="s">
        <v>179</v>
      </c>
      <c r="N442" s="111">
        <f>VLOOKUP(M442,'Dados StatusInvest'!$A:$Z,26,0)</f>
        <v>0</v>
      </c>
      <c r="O442" s="118">
        <f>VLOOKUP(M442,'Dados StatusInvest'!$A:$Z,18,0)/100</f>
        <v>0.1498</v>
      </c>
      <c r="P442" s="119" t="str">
        <f t="shared" si="5"/>
        <v>#N/A</v>
      </c>
      <c r="Q442" s="120">
        <f>IF(ISERROR(1/VLOOKUP(M442,Capa!A:AH,6,0)),0,1/VLOOKUP(M442,Capa!A:AH,6,0))</f>
        <v>0.1075268817</v>
      </c>
      <c r="R442" s="121">
        <f t="shared" si="6"/>
        <v>112.000112</v>
      </c>
      <c r="S442" s="122" t="str">
        <f t="shared" si="7"/>
        <v>#N/A</v>
      </c>
    </row>
    <row r="443">
      <c r="A443" s="85"/>
      <c r="B443" s="110" t="s">
        <v>362</v>
      </c>
      <c r="C443" s="124">
        <f>VLOOKUP(B443,'Dados StatusInvest'!$A:$Z,26,0)</f>
        <v>0</v>
      </c>
      <c r="D443" s="112">
        <f>VLOOKUP(B443,'Dados StatusInvest'!$A:$Z,20,0)/100</f>
        <v>-0.1457</v>
      </c>
      <c r="E443" s="87" t="str">
        <f t="shared" si="1"/>
        <v>#N/A</v>
      </c>
      <c r="F443" s="113">
        <f>IF(ISERROR(1/VLOOKUP(B443,Capa!A:AH,13,0)),0,1/VLOOKUP(B443,Capa!A:AH,13,0))</f>
        <v>1.14298777</v>
      </c>
      <c r="G443" s="114">
        <f t="shared" si="2"/>
        <v>237.000237</v>
      </c>
      <c r="H443" s="115" t="str">
        <f t="shared" si="3"/>
        <v>#N/A</v>
      </c>
      <c r="M443" s="110" t="s">
        <v>362</v>
      </c>
      <c r="N443" s="111">
        <f>VLOOKUP(M443,'Dados StatusInvest'!$A:$Z,26,0)</f>
        <v>0</v>
      </c>
      <c r="O443" s="118">
        <f>VLOOKUP(M443,'Dados StatusInvest'!$A:$Z,18,0)/100</f>
        <v>-0.0032</v>
      </c>
      <c r="P443" s="119" t="str">
        <f t="shared" si="5"/>
        <v>#N/A</v>
      </c>
      <c r="Q443" s="120">
        <f>IF(ISERROR(1/VLOOKUP(M443,Capa!A:AH,6,0)),0,1/VLOOKUP(M443,Capa!A:AH,6,0))</f>
        <v>0.01041666667</v>
      </c>
      <c r="R443" s="121">
        <f t="shared" si="6"/>
        <v>281.000281</v>
      </c>
      <c r="S443" s="122" t="str">
        <f t="shared" si="7"/>
        <v>#N/A</v>
      </c>
    </row>
    <row r="444">
      <c r="A444" s="85"/>
      <c r="B444" s="85"/>
      <c r="C444" s="125"/>
      <c r="D444" s="90"/>
      <c r="E444" s="90"/>
      <c r="F444" s="126"/>
      <c r="G444" s="114"/>
      <c r="H444" s="114"/>
      <c r="M444" s="85"/>
      <c r="N444" s="90"/>
      <c r="O444" s="90"/>
      <c r="P444" s="90"/>
      <c r="Q444" s="90"/>
      <c r="R444" s="91"/>
      <c r="S444" s="91"/>
    </row>
    <row r="445">
      <c r="A445" s="85"/>
      <c r="B445" s="85"/>
      <c r="C445" s="125"/>
      <c r="D445" s="90"/>
      <c r="E445" s="90"/>
      <c r="F445" s="126"/>
      <c r="G445" s="114"/>
      <c r="H445" s="114"/>
      <c r="M445" s="85"/>
      <c r="N445" s="90"/>
      <c r="O445" s="90"/>
      <c r="P445" s="90"/>
      <c r="Q445" s="90"/>
      <c r="R445" s="91"/>
      <c r="S445" s="91"/>
    </row>
    <row r="446">
      <c r="A446" s="85"/>
      <c r="B446" s="85"/>
      <c r="C446" s="125"/>
      <c r="D446" s="90"/>
      <c r="E446" s="90"/>
      <c r="F446" s="126"/>
      <c r="G446" s="114"/>
      <c r="H446" s="114"/>
      <c r="M446" s="85"/>
      <c r="N446" s="90"/>
      <c r="O446" s="90"/>
      <c r="P446" s="90"/>
      <c r="Q446" s="90"/>
      <c r="R446" s="91"/>
      <c r="S446" s="91"/>
    </row>
    <row r="447">
      <c r="A447" s="85"/>
      <c r="B447" s="85"/>
      <c r="C447" s="125"/>
      <c r="D447" s="90"/>
      <c r="E447" s="90"/>
      <c r="F447" s="126"/>
      <c r="G447" s="114"/>
      <c r="H447" s="114"/>
      <c r="M447" s="85"/>
      <c r="N447" s="90"/>
      <c r="O447" s="90"/>
      <c r="P447" s="90"/>
      <c r="Q447" s="90"/>
      <c r="R447" s="91"/>
      <c r="S447" s="91"/>
    </row>
    <row r="448">
      <c r="A448" s="85"/>
      <c r="B448" s="85"/>
      <c r="C448" s="125"/>
      <c r="D448" s="90"/>
      <c r="E448" s="90"/>
      <c r="F448" s="126"/>
      <c r="G448" s="114"/>
      <c r="H448" s="114"/>
      <c r="M448" s="85"/>
      <c r="N448" s="90"/>
      <c r="O448" s="90"/>
      <c r="P448" s="90"/>
      <c r="Q448" s="90"/>
      <c r="R448" s="91"/>
      <c r="S448" s="91"/>
    </row>
    <row r="449">
      <c r="A449" s="85"/>
      <c r="B449" s="85"/>
      <c r="C449" s="125"/>
      <c r="D449" s="90"/>
      <c r="E449" s="90"/>
      <c r="F449" s="126"/>
      <c r="G449" s="114"/>
      <c r="H449" s="114"/>
      <c r="M449" s="85"/>
      <c r="N449" s="90"/>
      <c r="O449" s="90"/>
      <c r="P449" s="90"/>
      <c r="Q449" s="90"/>
      <c r="R449" s="91"/>
      <c r="S449" s="91"/>
    </row>
    <row r="450">
      <c r="A450" s="85"/>
      <c r="B450" s="85"/>
      <c r="C450" s="125"/>
      <c r="D450" s="90"/>
      <c r="E450" s="90"/>
      <c r="F450" s="126"/>
      <c r="G450" s="114"/>
      <c r="H450" s="114"/>
      <c r="M450" s="85"/>
      <c r="N450" s="90"/>
      <c r="O450" s="90"/>
      <c r="P450" s="90"/>
      <c r="Q450" s="90"/>
      <c r="R450" s="91"/>
      <c r="S450" s="91"/>
    </row>
    <row r="451">
      <c r="A451" s="85"/>
      <c r="B451" s="85"/>
      <c r="C451" s="125"/>
      <c r="D451" s="90"/>
      <c r="E451" s="90"/>
      <c r="F451" s="126"/>
      <c r="G451" s="114"/>
      <c r="H451" s="114"/>
      <c r="M451" s="85"/>
      <c r="N451" s="90"/>
      <c r="O451" s="90"/>
      <c r="P451" s="90"/>
      <c r="Q451" s="90"/>
      <c r="R451" s="91"/>
      <c r="S451" s="91"/>
    </row>
    <row r="452">
      <c r="A452" s="85"/>
      <c r="B452" s="85"/>
      <c r="C452" s="125"/>
      <c r="D452" s="90"/>
      <c r="E452" s="90"/>
      <c r="F452" s="126"/>
      <c r="G452" s="114"/>
      <c r="H452" s="114"/>
      <c r="M452" s="85"/>
      <c r="N452" s="90"/>
      <c r="O452" s="90"/>
      <c r="P452" s="90"/>
      <c r="Q452" s="90"/>
      <c r="R452" s="91"/>
      <c r="S452" s="91"/>
    </row>
    <row r="453">
      <c r="A453" s="85"/>
      <c r="B453" s="85"/>
      <c r="C453" s="125"/>
      <c r="D453" s="90"/>
      <c r="E453" s="90"/>
      <c r="F453" s="126"/>
      <c r="G453" s="114"/>
      <c r="H453" s="114"/>
      <c r="M453" s="85"/>
      <c r="N453" s="90"/>
      <c r="O453" s="90"/>
      <c r="P453" s="90"/>
      <c r="Q453" s="90"/>
      <c r="R453" s="91"/>
      <c r="S453" s="91"/>
    </row>
    <row r="454">
      <c r="A454" s="85"/>
      <c r="B454" s="85"/>
      <c r="C454" s="125"/>
      <c r="D454" s="90"/>
      <c r="E454" s="90"/>
      <c r="F454" s="126"/>
      <c r="G454" s="114"/>
      <c r="H454" s="114"/>
      <c r="M454" s="85"/>
      <c r="N454" s="90"/>
      <c r="O454" s="90"/>
      <c r="P454" s="90"/>
      <c r="Q454" s="90"/>
      <c r="R454" s="91"/>
      <c r="S454" s="91"/>
    </row>
    <row r="455">
      <c r="A455" s="85"/>
      <c r="B455" s="85"/>
      <c r="C455" s="125"/>
      <c r="D455" s="90"/>
      <c r="E455" s="90"/>
      <c r="F455" s="126"/>
      <c r="G455" s="114"/>
      <c r="H455" s="114"/>
      <c r="M455" s="85"/>
      <c r="N455" s="90"/>
      <c r="O455" s="90"/>
      <c r="P455" s="90"/>
      <c r="Q455" s="90"/>
      <c r="R455" s="91"/>
      <c r="S455" s="91"/>
    </row>
    <row r="456">
      <c r="A456" s="85"/>
      <c r="B456" s="85"/>
      <c r="C456" s="125"/>
      <c r="D456" s="90"/>
      <c r="E456" s="90"/>
      <c r="F456" s="126"/>
      <c r="G456" s="114"/>
      <c r="H456" s="114"/>
      <c r="M456" s="85"/>
      <c r="N456" s="90"/>
      <c r="O456" s="90"/>
      <c r="P456" s="90"/>
      <c r="Q456" s="90"/>
      <c r="R456" s="91"/>
      <c r="S456" s="91"/>
    </row>
    <row r="457">
      <c r="A457" s="85"/>
      <c r="B457" s="85"/>
      <c r="C457" s="125"/>
      <c r="D457" s="90"/>
      <c r="E457" s="90"/>
      <c r="F457" s="126"/>
      <c r="G457" s="114"/>
      <c r="H457" s="114"/>
      <c r="M457" s="85"/>
      <c r="N457" s="90"/>
      <c r="O457" s="90"/>
      <c r="P457" s="90"/>
      <c r="Q457" s="90"/>
      <c r="R457" s="91"/>
      <c r="S457" s="91"/>
    </row>
    <row r="458">
      <c r="A458" s="85"/>
      <c r="B458" s="85"/>
      <c r="C458" s="125"/>
      <c r="D458" s="90"/>
      <c r="E458" s="90"/>
      <c r="F458" s="126"/>
      <c r="G458" s="114"/>
      <c r="H458" s="114"/>
      <c r="M458" s="85"/>
      <c r="N458" s="90"/>
      <c r="O458" s="90"/>
      <c r="P458" s="90"/>
      <c r="Q458" s="90"/>
      <c r="R458" s="91"/>
      <c r="S458" s="91"/>
    </row>
    <row r="459">
      <c r="A459" s="85"/>
      <c r="B459" s="85"/>
      <c r="C459" s="125"/>
      <c r="D459" s="90"/>
      <c r="E459" s="90"/>
      <c r="F459" s="126"/>
      <c r="G459" s="114"/>
      <c r="H459" s="114"/>
      <c r="M459" s="85"/>
      <c r="N459" s="90"/>
      <c r="O459" s="90"/>
      <c r="P459" s="90"/>
      <c r="Q459" s="90"/>
      <c r="R459" s="91"/>
      <c r="S459" s="91"/>
    </row>
    <row r="460">
      <c r="A460" s="85"/>
      <c r="B460" s="85"/>
      <c r="C460" s="125"/>
      <c r="D460" s="90"/>
      <c r="E460" s="90"/>
      <c r="F460" s="126"/>
      <c r="G460" s="114"/>
      <c r="H460" s="114"/>
      <c r="M460" s="85"/>
      <c r="N460" s="90"/>
      <c r="O460" s="90"/>
      <c r="P460" s="90"/>
      <c r="Q460" s="90"/>
      <c r="R460" s="91"/>
      <c r="S460" s="91"/>
    </row>
    <row r="461">
      <c r="A461" s="85"/>
      <c r="B461" s="85"/>
      <c r="C461" s="125"/>
      <c r="D461" s="90"/>
      <c r="E461" s="90"/>
      <c r="F461" s="126"/>
      <c r="G461" s="114"/>
      <c r="H461" s="114"/>
      <c r="M461" s="85"/>
      <c r="N461" s="90"/>
      <c r="O461" s="90"/>
      <c r="P461" s="90"/>
      <c r="Q461" s="90"/>
      <c r="R461" s="91"/>
      <c r="S461" s="91"/>
    </row>
    <row r="462">
      <c r="A462" s="85"/>
      <c r="B462" s="85"/>
      <c r="C462" s="125"/>
      <c r="D462" s="90"/>
      <c r="E462" s="90"/>
      <c r="F462" s="126"/>
      <c r="G462" s="114"/>
      <c r="H462" s="114"/>
      <c r="M462" s="85"/>
      <c r="N462" s="90"/>
      <c r="O462" s="90"/>
      <c r="P462" s="90"/>
      <c r="Q462" s="90"/>
      <c r="R462" s="91"/>
      <c r="S462" s="91"/>
    </row>
    <row r="463">
      <c r="A463" s="85"/>
      <c r="B463" s="85"/>
      <c r="C463" s="125"/>
      <c r="D463" s="90"/>
      <c r="E463" s="90"/>
      <c r="F463" s="126"/>
      <c r="G463" s="114"/>
      <c r="H463" s="114"/>
      <c r="M463" s="85"/>
      <c r="N463" s="90"/>
      <c r="O463" s="90"/>
      <c r="P463" s="90"/>
      <c r="Q463" s="90"/>
      <c r="R463" s="91"/>
      <c r="S463" s="91"/>
    </row>
    <row r="464">
      <c r="A464" s="85"/>
      <c r="B464" s="85"/>
      <c r="C464" s="125"/>
      <c r="D464" s="90"/>
      <c r="E464" s="90"/>
      <c r="F464" s="126"/>
      <c r="G464" s="114"/>
      <c r="H464" s="114"/>
      <c r="M464" s="85"/>
      <c r="N464" s="90"/>
      <c r="O464" s="90"/>
      <c r="P464" s="90"/>
      <c r="Q464" s="90"/>
      <c r="R464" s="91"/>
      <c r="S464" s="91"/>
    </row>
    <row r="465">
      <c r="A465" s="85"/>
      <c r="B465" s="85"/>
      <c r="C465" s="125"/>
      <c r="D465" s="90"/>
      <c r="E465" s="90"/>
      <c r="F465" s="126"/>
      <c r="G465" s="114"/>
      <c r="H465" s="114"/>
      <c r="M465" s="85"/>
      <c r="N465" s="90"/>
      <c r="O465" s="90"/>
      <c r="P465" s="90"/>
      <c r="Q465" s="90"/>
      <c r="R465" s="91"/>
      <c r="S465" s="91"/>
    </row>
    <row r="466">
      <c r="A466" s="85"/>
      <c r="B466" s="85"/>
      <c r="C466" s="125"/>
      <c r="D466" s="90"/>
      <c r="E466" s="90"/>
      <c r="F466" s="126"/>
      <c r="G466" s="114"/>
      <c r="H466" s="114"/>
      <c r="M466" s="85"/>
      <c r="N466" s="90"/>
      <c r="O466" s="90"/>
      <c r="P466" s="90"/>
      <c r="Q466" s="90"/>
      <c r="R466" s="91"/>
      <c r="S466" s="91"/>
    </row>
    <row r="467">
      <c r="A467" s="85"/>
      <c r="B467" s="85"/>
      <c r="C467" s="125"/>
      <c r="D467" s="90"/>
      <c r="E467" s="90"/>
      <c r="F467" s="126"/>
      <c r="G467" s="114"/>
      <c r="H467" s="114"/>
      <c r="M467" s="85"/>
      <c r="N467" s="90"/>
      <c r="O467" s="90"/>
      <c r="P467" s="90"/>
      <c r="Q467" s="90"/>
      <c r="R467" s="91"/>
      <c r="S467" s="91"/>
    </row>
    <row r="468">
      <c r="A468" s="85"/>
      <c r="B468" s="85"/>
      <c r="C468" s="125"/>
      <c r="D468" s="90"/>
      <c r="E468" s="90"/>
      <c r="F468" s="126"/>
      <c r="G468" s="114"/>
      <c r="H468" s="114"/>
      <c r="M468" s="85"/>
      <c r="N468" s="90"/>
      <c r="O468" s="90"/>
      <c r="P468" s="90"/>
      <c r="Q468" s="90"/>
      <c r="R468" s="91"/>
      <c r="S468" s="91"/>
    </row>
    <row r="469">
      <c r="A469" s="85"/>
      <c r="B469" s="85"/>
      <c r="C469" s="125"/>
      <c r="D469" s="90"/>
      <c r="E469" s="90"/>
      <c r="F469" s="126"/>
      <c r="G469" s="114"/>
      <c r="H469" s="114"/>
      <c r="M469" s="85"/>
      <c r="N469" s="90"/>
      <c r="O469" s="90"/>
      <c r="P469" s="90"/>
      <c r="Q469" s="90"/>
      <c r="R469" s="91"/>
      <c r="S469" s="91"/>
    </row>
    <row r="470">
      <c r="A470" s="85"/>
      <c r="B470" s="85"/>
      <c r="C470" s="125"/>
      <c r="D470" s="90"/>
      <c r="E470" s="90"/>
      <c r="F470" s="126"/>
      <c r="G470" s="114"/>
      <c r="H470" s="114"/>
      <c r="M470" s="85"/>
      <c r="N470" s="90"/>
      <c r="O470" s="90"/>
      <c r="P470" s="90"/>
      <c r="Q470" s="90"/>
      <c r="R470" s="91"/>
      <c r="S470" s="91"/>
    </row>
    <row r="471">
      <c r="A471" s="85"/>
      <c r="B471" s="85"/>
      <c r="C471" s="125"/>
      <c r="D471" s="90"/>
      <c r="E471" s="90"/>
      <c r="F471" s="126"/>
      <c r="G471" s="114"/>
      <c r="H471" s="114"/>
      <c r="M471" s="85"/>
      <c r="N471" s="90"/>
      <c r="O471" s="90"/>
      <c r="P471" s="90"/>
      <c r="Q471" s="90"/>
      <c r="R471" s="91"/>
      <c r="S471" s="91"/>
    </row>
    <row r="472">
      <c r="A472" s="85"/>
      <c r="B472" s="85"/>
      <c r="C472" s="125"/>
      <c r="D472" s="90"/>
      <c r="E472" s="90"/>
      <c r="F472" s="126"/>
      <c r="G472" s="114"/>
      <c r="H472" s="114"/>
      <c r="M472" s="85"/>
      <c r="N472" s="90"/>
      <c r="O472" s="90"/>
      <c r="P472" s="90"/>
      <c r="Q472" s="90"/>
      <c r="R472" s="91"/>
      <c r="S472" s="91"/>
    </row>
    <row r="473">
      <c r="A473" s="85"/>
      <c r="B473" s="85"/>
      <c r="C473" s="125"/>
      <c r="D473" s="90"/>
      <c r="E473" s="90"/>
      <c r="F473" s="126"/>
      <c r="G473" s="114"/>
      <c r="H473" s="114"/>
      <c r="M473" s="85"/>
      <c r="N473" s="90"/>
      <c r="O473" s="90"/>
      <c r="P473" s="90"/>
      <c r="Q473" s="90"/>
      <c r="R473" s="91"/>
      <c r="S473" s="91"/>
    </row>
    <row r="474">
      <c r="A474" s="85"/>
      <c r="B474" s="85"/>
      <c r="C474" s="125"/>
      <c r="D474" s="90"/>
      <c r="E474" s="90"/>
      <c r="F474" s="126"/>
      <c r="G474" s="114"/>
      <c r="H474" s="114"/>
      <c r="M474" s="85"/>
      <c r="N474" s="90"/>
      <c r="O474" s="90"/>
      <c r="P474" s="90"/>
      <c r="Q474" s="90"/>
      <c r="R474" s="91"/>
      <c r="S474" s="91"/>
    </row>
    <row r="475">
      <c r="A475" s="85"/>
      <c r="B475" s="85"/>
      <c r="C475" s="125"/>
      <c r="D475" s="90"/>
      <c r="E475" s="90"/>
      <c r="F475" s="126"/>
      <c r="G475" s="114"/>
      <c r="H475" s="114"/>
      <c r="M475" s="85"/>
      <c r="N475" s="90"/>
      <c r="O475" s="90"/>
      <c r="P475" s="90"/>
      <c r="Q475" s="90"/>
      <c r="R475" s="91"/>
      <c r="S475" s="91"/>
    </row>
    <row r="476">
      <c r="A476" s="85"/>
      <c r="B476" s="85"/>
      <c r="C476" s="125"/>
      <c r="D476" s="90"/>
      <c r="E476" s="90"/>
      <c r="F476" s="126"/>
      <c r="G476" s="114"/>
      <c r="H476" s="114"/>
      <c r="M476" s="85"/>
      <c r="N476" s="90"/>
      <c r="O476" s="90"/>
      <c r="P476" s="90"/>
      <c r="Q476" s="90"/>
      <c r="R476" s="91"/>
      <c r="S476" s="91"/>
    </row>
    <row r="477">
      <c r="A477" s="85"/>
      <c r="B477" s="85"/>
      <c r="C477" s="125"/>
      <c r="D477" s="90"/>
      <c r="E477" s="90"/>
      <c r="F477" s="126"/>
      <c r="G477" s="114"/>
      <c r="H477" s="114"/>
      <c r="M477" s="85"/>
      <c r="N477" s="90"/>
      <c r="O477" s="90"/>
      <c r="P477" s="90"/>
      <c r="Q477" s="90"/>
      <c r="R477" s="91"/>
      <c r="S477" s="91"/>
    </row>
    <row r="478">
      <c r="A478" s="85"/>
      <c r="B478" s="85"/>
      <c r="C478" s="125"/>
      <c r="D478" s="90"/>
      <c r="E478" s="90"/>
      <c r="F478" s="126"/>
      <c r="G478" s="114"/>
      <c r="H478" s="114"/>
      <c r="M478" s="85"/>
      <c r="N478" s="90"/>
      <c r="O478" s="90"/>
      <c r="P478" s="90"/>
      <c r="Q478" s="90"/>
      <c r="R478" s="91"/>
      <c r="S478" s="91"/>
    </row>
    <row r="479">
      <c r="A479" s="85"/>
      <c r="B479" s="85"/>
      <c r="C479" s="125"/>
      <c r="D479" s="90"/>
      <c r="E479" s="90"/>
      <c r="F479" s="126"/>
      <c r="G479" s="114"/>
      <c r="H479" s="114"/>
      <c r="M479" s="85"/>
      <c r="N479" s="90"/>
      <c r="O479" s="90"/>
      <c r="P479" s="90"/>
      <c r="Q479" s="90"/>
      <c r="R479" s="91"/>
      <c r="S479" s="91"/>
    </row>
    <row r="480">
      <c r="A480" s="85"/>
      <c r="B480" s="85"/>
      <c r="C480" s="125"/>
      <c r="D480" s="90"/>
      <c r="E480" s="90"/>
      <c r="F480" s="126"/>
      <c r="G480" s="114"/>
      <c r="H480" s="114"/>
      <c r="M480" s="85"/>
      <c r="N480" s="90"/>
      <c r="O480" s="90"/>
      <c r="P480" s="90"/>
      <c r="Q480" s="90"/>
      <c r="R480" s="91"/>
      <c r="S480" s="91"/>
    </row>
    <row r="481">
      <c r="A481" s="85"/>
      <c r="B481" s="85"/>
      <c r="C481" s="125"/>
      <c r="D481" s="90"/>
      <c r="E481" s="90"/>
      <c r="F481" s="126"/>
      <c r="G481" s="114"/>
      <c r="H481" s="114"/>
      <c r="M481" s="85"/>
      <c r="N481" s="90"/>
      <c r="O481" s="90"/>
      <c r="P481" s="90"/>
      <c r="Q481" s="90"/>
      <c r="R481" s="91"/>
      <c r="S481" s="91"/>
    </row>
    <row r="482">
      <c r="A482" s="85"/>
      <c r="B482" s="85"/>
      <c r="C482" s="125"/>
      <c r="D482" s="90"/>
      <c r="E482" s="90"/>
      <c r="F482" s="126"/>
      <c r="G482" s="114"/>
      <c r="H482" s="114"/>
      <c r="M482" s="85"/>
      <c r="N482" s="90"/>
      <c r="O482" s="90"/>
      <c r="P482" s="90"/>
      <c r="Q482" s="90"/>
      <c r="R482" s="91"/>
      <c r="S482" s="91"/>
    </row>
    <row r="483">
      <c r="A483" s="85"/>
      <c r="B483" s="85"/>
      <c r="C483" s="125"/>
      <c r="D483" s="90"/>
      <c r="E483" s="90"/>
      <c r="F483" s="126"/>
      <c r="G483" s="114"/>
      <c r="H483" s="114"/>
      <c r="M483" s="85"/>
      <c r="N483" s="90"/>
      <c r="O483" s="90"/>
      <c r="P483" s="90"/>
      <c r="Q483" s="90"/>
      <c r="R483" s="91"/>
      <c r="S483" s="91"/>
    </row>
    <row r="484">
      <c r="A484" s="85"/>
      <c r="B484" s="85"/>
      <c r="C484" s="125"/>
      <c r="D484" s="90"/>
      <c r="E484" s="90"/>
      <c r="F484" s="126"/>
      <c r="G484" s="114"/>
      <c r="H484" s="114"/>
      <c r="M484" s="85"/>
      <c r="N484" s="90"/>
      <c r="O484" s="90"/>
      <c r="P484" s="90"/>
      <c r="Q484" s="90"/>
      <c r="R484" s="91"/>
      <c r="S484" s="91"/>
    </row>
    <row r="485">
      <c r="A485" s="85"/>
      <c r="B485" s="85"/>
      <c r="C485" s="125"/>
      <c r="D485" s="90"/>
      <c r="E485" s="90"/>
      <c r="F485" s="126"/>
      <c r="G485" s="114"/>
      <c r="H485" s="114"/>
      <c r="M485" s="85"/>
      <c r="N485" s="90"/>
      <c r="O485" s="90"/>
      <c r="P485" s="90"/>
      <c r="Q485" s="90"/>
      <c r="R485" s="91"/>
      <c r="S485" s="91"/>
    </row>
    <row r="486">
      <c r="A486" s="85"/>
      <c r="B486" s="85"/>
      <c r="C486" s="125"/>
      <c r="D486" s="90"/>
      <c r="E486" s="90"/>
      <c r="F486" s="126"/>
      <c r="G486" s="114"/>
      <c r="H486" s="114"/>
      <c r="M486" s="85"/>
      <c r="N486" s="90"/>
      <c r="O486" s="90"/>
      <c r="P486" s="90"/>
      <c r="Q486" s="90"/>
      <c r="R486" s="91"/>
      <c r="S486" s="91"/>
    </row>
    <row r="487">
      <c r="A487" s="85"/>
      <c r="B487" s="85"/>
      <c r="C487" s="125"/>
      <c r="D487" s="90"/>
      <c r="E487" s="90"/>
      <c r="F487" s="126"/>
      <c r="G487" s="114"/>
      <c r="H487" s="114"/>
      <c r="M487" s="85"/>
      <c r="N487" s="90"/>
      <c r="O487" s="90"/>
      <c r="P487" s="90"/>
      <c r="Q487" s="90"/>
      <c r="R487" s="91"/>
      <c r="S487" s="91"/>
    </row>
    <row r="488">
      <c r="A488" s="85"/>
      <c r="B488" s="85"/>
      <c r="C488" s="125"/>
      <c r="D488" s="90"/>
      <c r="E488" s="90"/>
      <c r="F488" s="126"/>
      <c r="G488" s="114"/>
      <c r="H488" s="114"/>
      <c r="M488" s="85"/>
      <c r="N488" s="90"/>
      <c r="O488" s="90"/>
      <c r="P488" s="90"/>
      <c r="Q488" s="90"/>
      <c r="R488" s="91"/>
      <c r="S488" s="91"/>
    </row>
    <row r="489">
      <c r="A489" s="85"/>
      <c r="B489" s="85"/>
      <c r="C489" s="125"/>
      <c r="D489" s="90"/>
      <c r="E489" s="90"/>
      <c r="F489" s="126"/>
      <c r="G489" s="114"/>
      <c r="H489" s="114"/>
      <c r="M489" s="85"/>
      <c r="N489" s="90"/>
      <c r="O489" s="90"/>
      <c r="P489" s="90"/>
      <c r="Q489" s="90"/>
      <c r="R489" s="91"/>
      <c r="S489" s="91"/>
    </row>
    <row r="490">
      <c r="A490" s="85"/>
      <c r="B490" s="85"/>
      <c r="C490" s="125"/>
      <c r="D490" s="90"/>
      <c r="E490" s="90"/>
      <c r="F490" s="126"/>
      <c r="G490" s="114"/>
      <c r="H490" s="114"/>
      <c r="M490" s="85"/>
      <c r="N490" s="90"/>
      <c r="O490" s="90"/>
      <c r="P490" s="90"/>
      <c r="Q490" s="90"/>
      <c r="R490" s="91"/>
      <c r="S490" s="91"/>
    </row>
    <row r="491">
      <c r="A491" s="85"/>
      <c r="B491" s="85"/>
      <c r="C491" s="125"/>
      <c r="D491" s="90"/>
      <c r="E491" s="90"/>
      <c r="F491" s="126"/>
      <c r="G491" s="114"/>
      <c r="H491" s="114"/>
      <c r="M491" s="85"/>
      <c r="N491" s="90"/>
      <c r="O491" s="90"/>
      <c r="P491" s="90"/>
      <c r="Q491" s="90"/>
      <c r="R491" s="91"/>
      <c r="S491" s="91"/>
    </row>
    <row r="492">
      <c r="A492" s="85"/>
      <c r="B492" s="85"/>
      <c r="C492" s="125"/>
      <c r="D492" s="90"/>
      <c r="E492" s="90"/>
      <c r="F492" s="126"/>
      <c r="G492" s="114"/>
      <c r="H492" s="114"/>
      <c r="M492" s="85"/>
      <c r="N492" s="90"/>
      <c r="O492" s="90"/>
      <c r="P492" s="90"/>
      <c r="Q492" s="90"/>
      <c r="R492" s="91"/>
      <c r="S492" s="91"/>
    </row>
    <row r="493">
      <c r="A493" s="85"/>
      <c r="B493" s="85"/>
      <c r="C493" s="125"/>
      <c r="D493" s="90"/>
      <c r="E493" s="90"/>
      <c r="F493" s="126"/>
      <c r="G493" s="114"/>
      <c r="H493" s="114"/>
      <c r="M493" s="85"/>
      <c r="N493" s="90"/>
      <c r="O493" s="90"/>
      <c r="P493" s="90"/>
      <c r="Q493" s="90"/>
      <c r="R493" s="91"/>
      <c r="S493" s="91"/>
    </row>
    <row r="494">
      <c r="A494" s="85"/>
      <c r="B494" s="85"/>
      <c r="C494" s="125"/>
      <c r="D494" s="90"/>
      <c r="E494" s="90"/>
      <c r="F494" s="126"/>
      <c r="G494" s="114"/>
      <c r="H494" s="114"/>
      <c r="M494" s="85"/>
      <c r="N494" s="90"/>
      <c r="O494" s="90"/>
      <c r="P494" s="90"/>
      <c r="Q494" s="90"/>
      <c r="R494" s="91"/>
      <c r="S494" s="91"/>
    </row>
    <row r="495">
      <c r="A495" s="85"/>
      <c r="B495" s="85"/>
      <c r="C495" s="125"/>
      <c r="D495" s="90"/>
      <c r="E495" s="90"/>
      <c r="F495" s="126"/>
      <c r="G495" s="114"/>
      <c r="H495" s="114"/>
      <c r="M495" s="85"/>
      <c r="N495" s="90"/>
      <c r="O495" s="90"/>
      <c r="P495" s="90"/>
      <c r="Q495" s="90"/>
      <c r="R495" s="91"/>
      <c r="S495" s="91"/>
    </row>
    <row r="496">
      <c r="A496" s="85"/>
      <c r="B496" s="85"/>
      <c r="C496" s="125"/>
      <c r="D496" s="90"/>
      <c r="E496" s="90"/>
      <c r="F496" s="126"/>
      <c r="G496" s="114"/>
      <c r="H496" s="114"/>
      <c r="M496" s="85"/>
      <c r="N496" s="90"/>
      <c r="O496" s="90"/>
      <c r="P496" s="90"/>
      <c r="Q496" s="90"/>
      <c r="R496" s="91"/>
      <c r="S496" s="91"/>
    </row>
    <row r="497">
      <c r="A497" s="85"/>
      <c r="B497" s="85"/>
      <c r="C497" s="125"/>
      <c r="D497" s="90"/>
      <c r="E497" s="90"/>
      <c r="F497" s="126"/>
      <c r="G497" s="114"/>
      <c r="H497" s="114"/>
      <c r="M497" s="85"/>
      <c r="N497" s="90"/>
      <c r="O497" s="90"/>
      <c r="P497" s="90"/>
      <c r="Q497" s="90"/>
      <c r="R497" s="91"/>
      <c r="S497" s="91"/>
    </row>
    <row r="498">
      <c r="A498" s="85"/>
      <c r="B498" s="85"/>
      <c r="C498" s="125"/>
      <c r="D498" s="90"/>
      <c r="E498" s="90"/>
      <c r="F498" s="126"/>
      <c r="G498" s="114"/>
      <c r="H498" s="114"/>
      <c r="M498" s="85"/>
      <c r="N498" s="90"/>
      <c r="O498" s="90"/>
      <c r="P498" s="90"/>
      <c r="Q498" s="90"/>
      <c r="R498" s="91"/>
      <c r="S498" s="91"/>
    </row>
    <row r="499">
      <c r="A499" s="85"/>
      <c r="B499" s="85"/>
      <c r="C499" s="125"/>
      <c r="D499" s="90"/>
      <c r="E499" s="90"/>
      <c r="F499" s="126"/>
      <c r="G499" s="114"/>
      <c r="H499" s="114"/>
      <c r="M499" s="85"/>
      <c r="N499" s="90"/>
      <c r="O499" s="90"/>
      <c r="P499" s="90"/>
      <c r="Q499" s="90"/>
      <c r="R499" s="91"/>
      <c r="S499" s="91"/>
    </row>
    <row r="500">
      <c r="A500" s="85"/>
      <c r="B500" s="85"/>
      <c r="C500" s="125"/>
      <c r="D500" s="90"/>
      <c r="E500" s="90"/>
      <c r="F500" s="126"/>
      <c r="G500" s="114"/>
      <c r="H500" s="114"/>
      <c r="M500" s="85"/>
      <c r="N500" s="90"/>
      <c r="O500" s="90"/>
      <c r="P500" s="90"/>
      <c r="Q500" s="90"/>
      <c r="R500" s="91"/>
      <c r="S500" s="91"/>
    </row>
    <row r="501">
      <c r="A501" s="85"/>
      <c r="B501" s="85"/>
      <c r="C501" s="125"/>
      <c r="D501" s="90"/>
      <c r="E501" s="90"/>
      <c r="F501" s="126"/>
      <c r="G501" s="114"/>
      <c r="H501" s="114"/>
      <c r="M501" s="85"/>
      <c r="N501" s="90"/>
      <c r="O501" s="90"/>
      <c r="P501" s="90"/>
      <c r="Q501" s="90"/>
      <c r="R501" s="91"/>
      <c r="S501" s="91"/>
    </row>
    <row r="502">
      <c r="A502" s="85"/>
      <c r="B502" s="85"/>
      <c r="C502" s="125"/>
      <c r="D502" s="90"/>
      <c r="E502" s="90"/>
      <c r="F502" s="126"/>
      <c r="G502" s="114"/>
      <c r="H502" s="114"/>
      <c r="M502" s="85"/>
      <c r="N502" s="90"/>
      <c r="O502" s="90"/>
      <c r="P502" s="90"/>
      <c r="Q502" s="90"/>
      <c r="R502" s="91"/>
      <c r="S502" s="91"/>
    </row>
    <row r="503">
      <c r="A503" s="85"/>
      <c r="B503" s="85"/>
      <c r="C503" s="125"/>
      <c r="D503" s="90"/>
      <c r="E503" s="90"/>
      <c r="F503" s="126"/>
      <c r="G503" s="114"/>
      <c r="H503" s="114"/>
      <c r="M503" s="85"/>
      <c r="N503" s="90"/>
      <c r="O503" s="90"/>
      <c r="P503" s="90"/>
      <c r="Q503" s="90"/>
      <c r="R503" s="91"/>
      <c r="S503" s="91"/>
    </row>
    <row r="504">
      <c r="A504" s="85"/>
      <c r="B504" s="85"/>
      <c r="C504" s="125"/>
      <c r="D504" s="90"/>
      <c r="E504" s="90"/>
      <c r="F504" s="126"/>
      <c r="G504" s="114"/>
      <c r="H504" s="114"/>
      <c r="M504" s="85"/>
      <c r="N504" s="90"/>
      <c r="O504" s="90"/>
      <c r="P504" s="90"/>
      <c r="Q504" s="90"/>
      <c r="R504" s="91"/>
      <c r="S504" s="91"/>
    </row>
    <row r="505">
      <c r="A505" s="85"/>
      <c r="B505" s="85"/>
      <c r="C505" s="125"/>
      <c r="D505" s="90"/>
      <c r="E505" s="90"/>
      <c r="F505" s="126"/>
      <c r="G505" s="114"/>
      <c r="H505" s="114"/>
      <c r="M505" s="85"/>
      <c r="N505" s="90"/>
      <c r="O505" s="90"/>
      <c r="P505" s="90"/>
      <c r="Q505" s="90"/>
      <c r="R505" s="91"/>
      <c r="S505" s="91"/>
    </row>
    <row r="506">
      <c r="A506" s="85"/>
      <c r="B506" s="85"/>
      <c r="C506" s="125"/>
      <c r="D506" s="90"/>
      <c r="E506" s="90"/>
      <c r="F506" s="126"/>
      <c r="G506" s="114"/>
      <c r="H506" s="114"/>
      <c r="M506" s="85"/>
      <c r="N506" s="90"/>
      <c r="O506" s="90"/>
      <c r="P506" s="90"/>
      <c r="Q506" s="90"/>
      <c r="R506" s="91"/>
      <c r="S506" s="91"/>
    </row>
    <row r="507">
      <c r="A507" s="85"/>
      <c r="B507" s="85"/>
      <c r="C507" s="125"/>
      <c r="D507" s="90"/>
      <c r="E507" s="90"/>
      <c r="F507" s="126"/>
      <c r="G507" s="114"/>
      <c r="H507" s="114"/>
      <c r="M507" s="85"/>
      <c r="N507" s="90"/>
      <c r="O507" s="90"/>
      <c r="P507" s="90"/>
      <c r="Q507" s="90"/>
      <c r="R507" s="91"/>
      <c r="S507" s="91"/>
    </row>
    <row r="508">
      <c r="A508" s="85"/>
      <c r="B508" s="85"/>
      <c r="C508" s="125"/>
      <c r="D508" s="90"/>
      <c r="E508" s="90"/>
      <c r="F508" s="126"/>
      <c r="G508" s="114"/>
      <c r="H508" s="114"/>
      <c r="M508" s="85"/>
      <c r="N508" s="90"/>
      <c r="O508" s="90"/>
      <c r="P508" s="90"/>
      <c r="Q508" s="90"/>
      <c r="R508" s="91"/>
      <c r="S508" s="91"/>
    </row>
    <row r="509">
      <c r="A509" s="85"/>
      <c r="B509" s="85"/>
      <c r="C509" s="125"/>
      <c r="D509" s="90"/>
      <c r="E509" s="90"/>
      <c r="F509" s="126"/>
      <c r="G509" s="114"/>
      <c r="H509" s="114"/>
      <c r="M509" s="85"/>
      <c r="N509" s="90"/>
      <c r="O509" s="90"/>
      <c r="P509" s="90"/>
      <c r="Q509" s="90"/>
      <c r="R509" s="91"/>
      <c r="S509" s="91"/>
    </row>
    <row r="510">
      <c r="A510" s="85"/>
      <c r="B510" s="85"/>
      <c r="C510" s="125"/>
      <c r="D510" s="90"/>
      <c r="E510" s="90"/>
      <c r="F510" s="126"/>
      <c r="G510" s="114"/>
      <c r="H510" s="114"/>
      <c r="M510" s="85"/>
      <c r="N510" s="90"/>
      <c r="O510" s="90"/>
      <c r="P510" s="90"/>
      <c r="Q510" s="90"/>
      <c r="R510" s="91"/>
      <c r="S510" s="91"/>
    </row>
    <row r="511">
      <c r="A511" s="85"/>
      <c r="B511" s="85"/>
      <c r="C511" s="125"/>
      <c r="D511" s="90"/>
      <c r="E511" s="90"/>
      <c r="F511" s="126"/>
      <c r="G511" s="114"/>
      <c r="H511" s="114"/>
      <c r="M511" s="85"/>
      <c r="N511" s="90"/>
      <c r="O511" s="90"/>
      <c r="P511" s="90"/>
      <c r="Q511" s="90"/>
      <c r="R511" s="91"/>
      <c r="S511" s="91"/>
    </row>
    <row r="512">
      <c r="A512" s="85"/>
      <c r="B512" s="85"/>
      <c r="C512" s="125"/>
      <c r="D512" s="90"/>
      <c r="E512" s="90"/>
      <c r="F512" s="126"/>
      <c r="G512" s="114"/>
      <c r="H512" s="114"/>
      <c r="M512" s="85"/>
      <c r="N512" s="90"/>
      <c r="O512" s="90"/>
      <c r="P512" s="90"/>
      <c r="Q512" s="90"/>
      <c r="R512" s="91"/>
      <c r="S512" s="91"/>
    </row>
    <row r="513">
      <c r="A513" s="85"/>
      <c r="B513" s="85"/>
      <c r="C513" s="125"/>
      <c r="D513" s="90"/>
      <c r="E513" s="90"/>
      <c r="F513" s="126"/>
      <c r="G513" s="114"/>
      <c r="H513" s="114"/>
      <c r="M513" s="85"/>
      <c r="N513" s="90"/>
      <c r="O513" s="90"/>
      <c r="P513" s="90"/>
      <c r="Q513" s="90"/>
      <c r="R513" s="91"/>
      <c r="S513" s="91"/>
    </row>
    <row r="514">
      <c r="A514" s="85"/>
      <c r="B514" s="85"/>
      <c r="C514" s="125"/>
      <c r="D514" s="90"/>
      <c r="E514" s="90"/>
      <c r="F514" s="126"/>
      <c r="G514" s="114"/>
      <c r="H514" s="114"/>
      <c r="M514" s="85"/>
      <c r="N514" s="90"/>
      <c r="O514" s="90"/>
      <c r="P514" s="90"/>
      <c r="Q514" s="90"/>
      <c r="R514" s="91"/>
      <c r="S514" s="91"/>
    </row>
    <row r="515">
      <c r="A515" s="85"/>
      <c r="B515" s="85"/>
      <c r="C515" s="125"/>
      <c r="D515" s="90"/>
      <c r="E515" s="90"/>
      <c r="F515" s="126"/>
      <c r="G515" s="114"/>
      <c r="H515" s="114"/>
      <c r="M515" s="85"/>
      <c r="N515" s="90"/>
      <c r="O515" s="90"/>
      <c r="P515" s="90"/>
      <c r="Q515" s="90"/>
      <c r="R515" s="91"/>
      <c r="S515" s="91"/>
    </row>
    <row r="516">
      <c r="A516" s="85"/>
      <c r="B516" s="85"/>
      <c r="C516" s="125"/>
      <c r="D516" s="90"/>
      <c r="E516" s="90"/>
      <c r="F516" s="126"/>
      <c r="G516" s="114"/>
      <c r="H516" s="114"/>
      <c r="M516" s="85"/>
      <c r="N516" s="90"/>
      <c r="O516" s="90"/>
      <c r="P516" s="90"/>
      <c r="Q516" s="90"/>
      <c r="R516" s="91"/>
      <c r="S516" s="91"/>
    </row>
    <row r="517">
      <c r="A517" s="85"/>
      <c r="B517" s="85"/>
      <c r="C517" s="125"/>
      <c r="D517" s="90"/>
      <c r="E517" s="90"/>
      <c r="F517" s="126"/>
      <c r="G517" s="114"/>
      <c r="H517" s="114"/>
      <c r="M517" s="85"/>
      <c r="N517" s="90"/>
      <c r="O517" s="90"/>
      <c r="P517" s="90"/>
      <c r="Q517" s="90"/>
      <c r="R517" s="91"/>
      <c r="S517" s="91"/>
    </row>
    <row r="518">
      <c r="A518" s="85"/>
      <c r="B518" s="85"/>
      <c r="C518" s="125"/>
      <c r="D518" s="90"/>
      <c r="E518" s="90"/>
      <c r="F518" s="126"/>
      <c r="G518" s="114"/>
      <c r="H518" s="114"/>
      <c r="M518" s="85"/>
      <c r="N518" s="90"/>
      <c r="O518" s="90"/>
      <c r="P518" s="90"/>
      <c r="Q518" s="90"/>
      <c r="R518" s="91"/>
      <c r="S518" s="91"/>
    </row>
    <row r="519">
      <c r="A519" s="85"/>
      <c r="B519" s="85"/>
      <c r="C519" s="125"/>
      <c r="D519" s="90"/>
      <c r="E519" s="90"/>
      <c r="F519" s="126"/>
      <c r="G519" s="114"/>
      <c r="H519" s="114"/>
      <c r="M519" s="85"/>
      <c r="N519" s="90"/>
      <c r="O519" s="90"/>
      <c r="P519" s="90"/>
      <c r="Q519" s="90"/>
      <c r="R519" s="91"/>
      <c r="S519" s="91"/>
    </row>
    <row r="520">
      <c r="A520" s="85"/>
      <c r="B520" s="85"/>
      <c r="C520" s="125"/>
      <c r="D520" s="90"/>
      <c r="E520" s="90"/>
      <c r="F520" s="126"/>
      <c r="G520" s="114"/>
      <c r="H520" s="114"/>
      <c r="M520" s="85"/>
      <c r="N520" s="90"/>
      <c r="O520" s="90"/>
      <c r="P520" s="90"/>
      <c r="Q520" s="90"/>
      <c r="R520" s="91"/>
      <c r="S520" s="91"/>
    </row>
    <row r="521">
      <c r="A521" s="85"/>
      <c r="B521" s="85"/>
      <c r="C521" s="125"/>
      <c r="D521" s="90"/>
      <c r="E521" s="90"/>
      <c r="F521" s="126"/>
      <c r="G521" s="114"/>
      <c r="H521" s="114"/>
      <c r="M521" s="85"/>
      <c r="N521" s="90"/>
      <c r="O521" s="90"/>
      <c r="P521" s="90"/>
      <c r="Q521" s="90"/>
      <c r="R521" s="91"/>
      <c r="S521" s="91"/>
    </row>
    <row r="522">
      <c r="A522" s="85"/>
      <c r="B522" s="85"/>
      <c r="C522" s="125"/>
      <c r="D522" s="90"/>
      <c r="E522" s="90"/>
      <c r="F522" s="126"/>
      <c r="G522" s="114"/>
      <c r="H522" s="114"/>
      <c r="M522" s="85"/>
      <c r="N522" s="90"/>
      <c r="O522" s="90"/>
      <c r="P522" s="90"/>
      <c r="Q522" s="90"/>
      <c r="R522" s="91"/>
      <c r="S522" s="91"/>
    </row>
    <row r="523">
      <c r="A523" s="85"/>
      <c r="B523" s="85"/>
      <c r="C523" s="125"/>
      <c r="D523" s="90"/>
      <c r="E523" s="90"/>
      <c r="F523" s="126"/>
      <c r="G523" s="114"/>
      <c r="H523" s="114"/>
      <c r="M523" s="85"/>
      <c r="N523" s="90"/>
      <c r="O523" s="90"/>
      <c r="P523" s="90"/>
      <c r="Q523" s="90"/>
      <c r="R523" s="91"/>
      <c r="S523" s="91"/>
    </row>
    <row r="524">
      <c r="A524" s="85"/>
      <c r="B524" s="85"/>
      <c r="C524" s="125"/>
      <c r="D524" s="90"/>
      <c r="E524" s="90"/>
      <c r="F524" s="126"/>
      <c r="G524" s="114"/>
      <c r="H524" s="114"/>
      <c r="M524" s="85"/>
      <c r="N524" s="90"/>
      <c r="O524" s="90"/>
      <c r="P524" s="90"/>
      <c r="Q524" s="90"/>
      <c r="R524" s="91"/>
      <c r="S524" s="91"/>
    </row>
    <row r="525">
      <c r="A525" s="85"/>
      <c r="B525" s="85"/>
      <c r="C525" s="125"/>
      <c r="D525" s="90"/>
      <c r="E525" s="90"/>
      <c r="F525" s="126"/>
      <c r="G525" s="114"/>
      <c r="H525" s="114"/>
      <c r="M525" s="85"/>
      <c r="N525" s="90"/>
      <c r="O525" s="90"/>
      <c r="P525" s="90"/>
      <c r="Q525" s="90"/>
      <c r="R525" s="91"/>
      <c r="S525" s="91"/>
    </row>
    <row r="526">
      <c r="A526" s="85"/>
      <c r="B526" s="85"/>
      <c r="C526" s="125"/>
      <c r="D526" s="90"/>
      <c r="E526" s="90"/>
      <c r="F526" s="126"/>
      <c r="G526" s="114"/>
      <c r="H526" s="114"/>
      <c r="M526" s="85"/>
      <c r="N526" s="90"/>
      <c r="O526" s="90"/>
      <c r="P526" s="90"/>
      <c r="Q526" s="90"/>
      <c r="R526" s="91"/>
      <c r="S526" s="91"/>
    </row>
    <row r="527">
      <c r="A527" s="85"/>
      <c r="B527" s="85"/>
      <c r="C527" s="125"/>
      <c r="D527" s="90"/>
      <c r="E527" s="90"/>
      <c r="F527" s="126"/>
      <c r="G527" s="114"/>
      <c r="H527" s="114"/>
      <c r="M527" s="85"/>
      <c r="N527" s="90"/>
      <c r="O527" s="90"/>
      <c r="P527" s="90"/>
      <c r="Q527" s="90"/>
      <c r="R527" s="91"/>
      <c r="S527" s="91"/>
    </row>
    <row r="528">
      <c r="A528" s="85"/>
      <c r="B528" s="85"/>
      <c r="C528" s="125"/>
      <c r="D528" s="90"/>
      <c r="E528" s="90"/>
      <c r="F528" s="126"/>
      <c r="G528" s="114"/>
      <c r="H528" s="114"/>
      <c r="M528" s="85"/>
      <c r="N528" s="90"/>
      <c r="O528" s="90"/>
      <c r="P528" s="90"/>
      <c r="Q528" s="90"/>
      <c r="R528" s="91"/>
      <c r="S528" s="91"/>
    </row>
    <row r="529">
      <c r="A529" s="85"/>
      <c r="B529" s="85"/>
      <c r="C529" s="125"/>
      <c r="D529" s="90"/>
      <c r="E529" s="90"/>
      <c r="F529" s="126"/>
      <c r="G529" s="114"/>
      <c r="H529" s="114"/>
      <c r="M529" s="85"/>
      <c r="N529" s="90"/>
      <c r="O529" s="90"/>
      <c r="P529" s="90"/>
      <c r="Q529" s="90"/>
      <c r="R529" s="91"/>
      <c r="S529" s="91"/>
    </row>
    <row r="530">
      <c r="A530" s="85"/>
      <c r="B530" s="85"/>
      <c r="C530" s="125"/>
      <c r="D530" s="90"/>
      <c r="E530" s="90"/>
      <c r="F530" s="126"/>
      <c r="G530" s="114"/>
      <c r="H530" s="114"/>
      <c r="M530" s="85"/>
      <c r="N530" s="90"/>
      <c r="O530" s="90"/>
      <c r="P530" s="90"/>
      <c r="Q530" s="90"/>
      <c r="R530" s="91"/>
      <c r="S530" s="91"/>
    </row>
    <row r="531">
      <c r="A531" s="85"/>
      <c r="B531" s="85"/>
      <c r="C531" s="125"/>
      <c r="D531" s="90"/>
      <c r="E531" s="90"/>
      <c r="F531" s="126"/>
      <c r="G531" s="114"/>
      <c r="H531" s="114"/>
      <c r="M531" s="85"/>
      <c r="N531" s="90"/>
      <c r="O531" s="90"/>
      <c r="P531" s="90"/>
      <c r="Q531" s="90"/>
      <c r="R531" s="91"/>
      <c r="S531" s="91"/>
    </row>
    <row r="532">
      <c r="A532" s="85"/>
      <c r="B532" s="85"/>
      <c r="C532" s="125"/>
      <c r="D532" s="90"/>
      <c r="E532" s="90"/>
      <c r="F532" s="126"/>
      <c r="G532" s="114"/>
      <c r="H532" s="114"/>
      <c r="M532" s="85"/>
      <c r="N532" s="90"/>
      <c r="O532" s="90"/>
      <c r="P532" s="90"/>
      <c r="Q532" s="90"/>
      <c r="R532" s="91"/>
      <c r="S532" s="91"/>
    </row>
    <row r="533">
      <c r="A533" s="85"/>
      <c r="B533" s="85"/>
      <c r="C533" s="125"/>
      <c r="D533" s="90"/>
      <c r="E533" s="90"/>
      <c r="F533" s="126"/>
      <c r="G533" s="114"/>
      <c r="H533" s="114"/>
      <c r="M533" s="85"/>
      <c r="N533" s="90"/>
      <c r="O533" s="90"/>
      <c r="P533" s="90"/>
      <c r="Q533" s="90"/>
      <c r="R533" s="91"/>
      <c r="S533" s="91"/>
    </row>
    <row r="534">
      <c r="A534" s="85"/>
      <c r="B534" s="85"/>
      <c r="C534" s="125"/>
      <c r="D534" s="90"/>
      <c r="E534" s="90"/>
      <c r="F534" s="126"/>
      <c r="G534" s="114"/>
      <c r="H534" s="114"/>
      <c r="M534" s="85"/>
      <c r="N534" s="90"/>
      <c r="O534" s="90"/>
      <c r="P534" s="90"/>
      <c r="Q534" s="90"/>
      <c r="R534" s="91"/>
      <c r="S534" s="91"/>
    </row>
    <row r="535">
      <c r="A535" s="85"/>
      <c r="B535" s="85"/>
      <c r="C535" s="125"/>
      <c r="D535" s="90"/>
      <c r="E535" s="90"/>
      <c r="F535" s="126"/>
      <c r="G535" s="114"/>
      <c r="H535" s="114"/>
      <c r="M535" s="85"/>
      <c r="N535" s="90"/>
      <c r="O535" s="90"/>
      <c r="P535" s="90"/>
      <c r="Q535" s="90"/>
      <c r="R535" s="91"/>
      <c r="S535" s="91"/>
    </row>
    <row r="536">
      <c r="A536" s="85"/>
      <c r="B536" s="85"/>
      <c r="C536" s="125"/>
      <c r="D536" s="90"/>
      <c r="E536" s="90"/>
      <c r="F536" s="126"/>
      <c r="G536" s="114"/>
      <c r="H536" s="114"/>
      <c r="M536" s="85"/>
      <c r="N536" s="90"/>
      <c r="O536" s="90"/>
      <c r="P536" s="90"/>
      <c r="Q536" s="90"/>
      <c r="R536" s="91"/>
      <c r="S536" s="91"/>
    </row>
    <row r="537">
      <c r="A537" s="85"/>
      <c r="B537" s="85"/>
      <c r="C537" s="125"/>
      <c r="D537" s="90"/>
      <c r="E537" s="90"/>
      <c r="F537" s="126"/>
      <c r="G537" s="114"/>
      <c r="H537" s="114"/>
      <c r="M537" s="85"/>
      <c r="N537" s="90"/>
      <c r="O537" s="90"/>
      <c r="P537" s="90"/>
      <c r="Q537" s="90"/>
      <c r="R537" s="91"/>
      <c r="S537" s="91"/>
    </row>
    <row r="538">
      <c r="A538" s="85"/>
      <c r="B538" s="85"/>
      <c r="C538" s="125"/>
      <c r="D538" s="90"/>
      <c r="E538" s="90"/>
      <c r="F538" s="126"/>
      <c r="G538" s="114"/>
      <c r="H538" s="114"/>
      <c r="M538" s="85"/>
      <c r="N538" s="90"/>
      <c r="O538" s="90"/>
      <c r="P538" s="90"/>
      <c r="Q538" s="90"/>
      <c r="R538" s="91"/>
      <c r="S538" s="91"/>
    </row>
    <row r="539">
      <c r="A539" s="85"/>
      <c r="B539" s="85"/>
      <c r="C539" s="125"/>
      <c r="D539" s="90"/>
      <c r="E539" s="90"/>
      <c r="F539" s="126"/>
      <c r="G539" s="114"/>
      <c r="H539" s="114"/>
      <c r="M539" s="85"/>
      <c r="N539" s="90"/>
      <c r="O539" s="90"/>
      <c r="P539" s="90"/>
      <c r="Q539" s="90"/>
      <c r="R539" s="91"/>
      <c r="S539" s="91"/>
    </row>
    <row r="540">
      <c r="A540" s="85"/>
      <c r="B540" s="85"/>
      <c r="C540" s="125"/>
      <c r="D540" s="90"/>
      <c r="E540" s="90"/>
      <c r="F540" s="126"/>
      <c r="G540" s="114"/>
      <c r="H540" s="114"/>
      <c r="M540" s="85"/>
      <c r="N540" s="90"/>
      <c r="O540" s="90"/>
      <c r="P540" s="90"/>
      <c r="Q540" s="90"/>
      <c r="R540" s="91"/>
      <c r="S540" s="91"/>
    </row>
    <row r="541">
      <c r="A541" s="85"/>
      <c r="B541" s="85"/>
      <c r="C541" s="125"/>
      <c r="D541" s="90"/>
      <c r="E541" s="90"/>
      <c r="F541" s="126"/>
      <c r="G541" s="114"/>
      <c r="H541" s="114"/>
      <c r="M541" s="85"/>
      <c r="N541" s="90"/>
      <c r="O541" s="90"/>
      <c r="P541" s="90"/>
      <c r="Q541" s="90"/>
      <c r="R541" s="91"/>
      <c r="S541" s="91"/>
    </row>
    <row r="542">
      <c r="A542" s="85"/>
      <c r="B542" s="85"/>
      <c r="C542" s="125"/>
      <c r="D542" s="90"/>
      <c r="E542" s="90"/>
      <c r="F542" s="126"/>
      <c r="G542" s="114"/>
      <c r="H542" s="114"/>
      <c r="M542" s="85"/>
      <c r="N542" s="90"/>
      <c r="O542" s="90"/>
      <c r="P542" s="90"/>
      <c r="Q542" s="90"/>
      <c r="R542" s="91"/>
      <c r="S542" s="91"/>
    </row>
    <row r="543">
      <c r="A543" s="85"/>
      <c r="B543" s="85"/>
      <c r="C543" s="125"/>
      <c r="D543" s="90"/>
      <c r="E543" s="90"/>
      <c r="F543" s="126"/>
      <c r="G543" s="114"/>
      <c r="H543" s="114"/>
      <c r="M543" s="85"/>
      <c r="N543" s="90"/>
      <c r="O543" s="90"/>
      <c r="P543" s="90"/>
      <c r="Q543" s="90"/>
      <c r="R543" s="91"/>
      <c r="S543" s="91"/>
    </row>
    <row r="544">
      <c r="A544" s="85"/>
      <c r="B544" s="85"/>
      <c r="C544" s="125"/>
      <c r="D544" s="90"/>
      <c r="E544" s="90"/>
      <c r="F544" s="126"/>
      <c r="G544" s="114"/>
      <c r="H544" s="114"/>
      <c r="M544" s="85"/>
      <c r="N544" s="90"/>
      <c r="O544" s="90"/>
      <c r="P544" s="90"/>
      <c r="Q544" s="90"/>
      <c r="R544" s="91"/>
      <c r="S544" s="91"/>
    </row>
    <row r="545">
      <c r="A545" s="85"/>
      <c r="B545" s="85"/>
      <c r="C545" s="125"/>
      <c r="D545" s="90"/>
      <c r="E545" s="90"/>
      <c r="F545" s="126"/>
      <c r="G545" s="114"/>
      <c r="H545" s="114"/>
      <c r="M545" s="85"/>
      <c r="N545" s="90"/>
      <c r="O545" s="90"/>
      <c r="P545" s="90"/>
      <c r="Q545" s="90"/>
      <c r="R545" s="91"/>
      <c r="S545" s="91"/>
    </row>
    <row r="546">
      <c r="A546" s="85"/>
      <c r="B546" s="85"/>
      <c r="C546" s="125"/>
      <c r="D546" s="90"/>
      <c r="E546" s="90"/>
      <c r="F546" s="126"/>
      <c r="G546" s="114"/>
      <c r="H546" s="114"/>
      <c r="M546" s="85"/>
      <c r="N546" s="90"/>
      <c r="O546" s="90"/>
      <c r="P546" s="90"/>
      <c r="Q546" s="90"/>
      <c r="R546" s="91"/>
      <c r="S546" s="91"/>
    </row>
    <row r="547">
      <c r="A547" s="85"/>
      <c r="B547" s="85"/>
      <c r="C547" s="125"/>
      <c r="D547" s="90"/>
      <c r="E547" s="90"/>
      <c r="F547" s="126"/>
      <c r="G547" s="114"/>
      <c r="H547" s="114"/>
      <c r="M547" s="85"/>
      <c r="N547" s="90"/>
      <c r="O547" s="90"/>
      <c r="P547" s="90"/>
      <c r="Q547" s="90"/>
      <c r="R547" s="91"/>
      <c r="S547" s="91"/>
    </row>
    <row r="548">
      <c r="A548" s="85"/>
      <c r="B548" s="85"/>
      <c r="C548" s="125"/>
      <c r="D548" s="90"/>
      <c r="E548" s="90"/>
      <c r="F548" s="126"/>
      <c r="G548" s="114"/>
      <c r="H548" s="114"/>
      <c r="M548" s="85"/>
      <c r="N548" s="90"/>
      <c r="O548" s="90"/>
      <c r="P548" s="90"/>
      <c r="Q548" s="90"/>
      <c r="R548" s="91"/>
      <c r="S548" s="91"/>
    </row>
    <row r="549">
      <c r="A549" s="85"/>
      <c r="B549" s="85"/>
      <c r="C549" s="125"/>
      <c r="D549" s="90"/>
      <c r="E549" s="90"/>
      <c r="F549" s="126"/>
      <c r="G549" s="114"/>
      <c r="H549" s="114"/>
      <c r="M549" s="85"/>
      <c r="N549" s="90"/>
      <c r="O549" s="90"/>
      <c r="P549" s="90"/>
      <c r="Q549" s="90"/>
      <c r="R549" s="91"/>
      <c r="S549" s="91"/>
    </row>
    <row r="550">
      <c r="A550" s="85"/>
      <c r="B550" s="85"/>
      <c r="C550" s="125"/>
      <c r="D550" s="90"/>
      <c r="E550" s="90"/>
      <c r="F550" s="126"/>
      <c r="G550" s="114"/>
      <c r="H550" s="114"/>
      <c r="M550" s="85"/>
      <c r="N550" s="90"/>
      <c r="O550" s="90"/>
      <c r="P550" s="90"/>
      <c r="Q550" s="90"/>
      <c r="R550" s="91"/>
      <c r="S550" s="91"/>
    </row>
    <row r="551">
      <c r="A551" s="85"/>
      <c r="B551" s="85"/>
      <c r="C551" s="125"/>
      <c r="D551" s="90"/>
      <c r="E551" s="90"/>
      <c r="F551" s="126"/>
      <c r="G551" s="114"/>
      <c r="H551" s="114"/>
      <c r="M551" s="85"/>
      <c r="N551" s="90"/>
      <c r="O551" s="90"/>
      <c r="P551" s="90"/>
      <c r="Q551" s="90"/>
      <c r="R551" s="91"/>
      <c r="S551" s="91"/>
    </row>
    <row r="552">
      <c r="A552" s="85"/>
      <c r="B552" s="85"/>
      <c r="C552" s="125"/>
      <c r="D552" s="90"/>
      <c r="E552" s="90"/>
      <c r="F552" s="126"/>
      <c r="G552" s="114"/>
      <c r="H552" s="114"/>
      <c r="M552" s="85"/>
      <c r="N552" s="90"/>
      <c r="O552" s="90"/>
      <c r="P552" s="90"/>
      <c r="Q552" s="90"/>
      <c r="R552" s="91"/>
      <c r="S552" s="91"/>
    </row>
    <row r="553">
      <c r="A553" s="85"/>
      <c r="B553" s="85"/>
      <c r="C553" s="125"/>
      <c r="D553" s="90"/>
      <c r="E553" s="90"/>
      <c r="F553" s="126"/>
      <c r="G553" s="114"/>
      <c r="H553" s="114"/>
      <c r="M553" s="85"/>
      <c r="N553" s="90"/>
      <c r="O553" s="90"/>
      <c r="P553" s="90"/>
      <c r="Q553" s="90"/>
      <c r="R553" s="91"/>
      <c r="S553" s="91"/>
    </row>
    <row r="554">
      <c r="A554" s="85"/>
      <c r="B554" s="85"/>
      <c r="C554" s="125"/>
      <c r="D554" s="90"/>
      <c r="E554" s="90"/>
      <c r="F554" s="126"/>
      <c r="G554" s="114"/>
      <c r="H554" s="114"/>
      <c r="M554" s="85"/>
      <c r="N554" s="90"/>
      <c r="O554" s="90"/>
      <c r="P554" s="90"/>
      <c r="Q554" s="90"/>
      <c r="R554" s="91"/>
      <c r="S554" s="91"/>
    </row>
    <row r="555">
      <c r="A555" s="85"/>
      <c r="B555" s="85"/>
      <c r="C555" s="125"/>
      <c r="D555" s="90"/>
      <c r="E555" s="90"/>
      <c r="F555" s="126"/>
      <c r="G555" s="114"/>
      <c r="H555" s="114"/>
      <c r="M555" s="85"/>
      <c r="N555" s="90"/>
      <c r="O555" s="90"/>
      <c r="P555" s="90"/>
      <c r="Q555" s="90"/>
      <c r="R555" s="91"/>
      <c r="S555" s="91"/>
    </row>
    <row r="556">
      <c r="A556" s="85"/>
      <c r="B556" s="85"/>
      <c r="C556" s="125"/>
      <c r="D556" s="90"/>
      <c r="E556" s="90"/>
      <c r="F556" s="126"/>
      <c r="G556" s="114"/>
      <c r="H556" s="114"/>
      <c r="M556" s="85"/>
      <c r="N556" s="90"/>
      <c r="O556" s="90"/>
      <c r="P556" s="90"/>
      <c r="Q556" s="90"/>
      <c r="R556" s="91"/>
      <c r="S556" s="91"/>
    </row>
    <row r="557">
      <c r="A557" s="85"/>
      <c r="B557" s="85"/>
      <c r="C557" s="125"/>
      <c r="D557" s="90"/>
      <c r="E557" s="90"/>
      <c r="F557" s="126"/>
      <c r="G557" s="114"/>
      <c r="H557" s="114"/>
      <c r="M557" s="85"/>
      <c r="N557" s="90"/>
      <c r="O557" s="90"/>
      <c r="P557" s="90"/>
      <c r="Q557" s="90"/>
      <c r="R557" s="91"/>
      <c r="S557" s="91"/>
    </row>
    <row r="558">
      <c r="A558" s="85"/>
      <c r="B558" s="85"/>
      <c r="C558" s="125"/>
      <c r="D558" s="90"/>
      <c r="E558" s="90"/>
      <c r="F558" s="126"/>
      <c r="G558" s="114"/>
      <c r="H558" s="114"/>
      <c r="M558" s="85"/>
      <c r="N558" s="90"/>
      <c r="O558" s="90"/>
      <c r="P558" s="90"/>
      <c r="Q558" s="90"/>
      <c r="R558" s="91"/>
      <c r="S558" s="91"/>
    </row>
    <row r="559">
      <c r="A559" s="85"/>
      <c r="B559" s="85"/>
      <c r="C559" s="125"/>
      <c r="D559" s="90"/>
      <c r="E559" s="90"/>
      <c r="F559" s="126"/>
      <c r="G559" s="114"/>
      <c r="H559" s="114"/>
      <c r="M559" s="85"/>
      <c r="N559" s="90"/>
      <c r="O559" s="90"/>
      <c r="P559" s="90"/>
      <c r="Q559" s="90"/>
      <c r="R559" s="91"/>
      <c r="S559" s="91"/>
    </row>
    <row r="560">
      <c r="A560" s="85"/>
      <c r="B560" s="85"/>
      <c r="C560" s="125"/>
      <c r="D560" s="90"/>
      <c r="E560" s="90"/>
      <c r="F560" s="126"/>
      <c r="G560" s="114"/>
      <c r="H560" s="114"/>
      <c r="M560" s="85"/>
      <c r="N560" s="90"/>
      <c r="O560" s="90"/>
      <c r="P560" s="90"/>
      <c r="Q560" s="90"/>
      <c r="R560" s="91"/>
      <c r="S560" s="91"/>
    </row>
    <row r="561">
      <c r="A561" s="85"/>
      <c r="B561" s="85"/>
      <c r="C561" s="125"/>
      <c r="D561" s="90"/>
      <c r="E561" s="90"/>
      <c r="F561" s="126"/>
      <c r="G561" s="114"/>
      <c r="H561" s="114"/>
      <c r="M561" s="85"/>
      <c r="N561" s="90"/>
      <c r="O561" s="90"/>
      <c r="P561" s="90"/>
      <c r="Q561" s="90"/>
      <c r="R561" s="91"/>
      <c r="S561" s="91"/>
    </row>
    <row r="562">
      <c r="A562" s="85"/>
      <c r="B562" s="85"/>
      <c r="C562" s="125"/>
      <c r="D562" s="90"/>
      <c r="E562" s="90"/>
      <c r="F562" s="126"/>
      <c r="G562" s="114"/>
      <c r="H562" s="114"/>
      <c r="M562" s="85"/>
      <c r="N562" s="90"/>
      <c r="O562" s="90"/>
      <c r="P562" s="90"/>
      <c r="Q562" s="90"/>
      <c r="R562" s="91"/>
      <c r="S562" s="91"/>
    </row>
    <row r="563">
      <c r="A563" s="85"/>
      <c r="B563" s="85"/>
      <c r="C563" s="125"/>
      <c r="D563" s="90"/>
      <c r="E563" s="90"/>
      <c r="F563" s="126"/>
      <c r="G563" s="114"/>
      <c r="H563" s="114"/>
      <c r="M563" s="85"/>
      <c r="N563" s="90"/>
      <c r="O563" s="90"/>
      <c r="P563" s="90"/>
      <c r="Q563" s="90"/>
      <c r="R563" s="91"/>
      <c r="S563" s="91"/>
    </row>
    <row r="564">
      <c r="A564" s="85"/>
      <c r="B564" s="85"/>
      <c r="C564" s="125"/>
      <c r="D564" s="90"/>
      <c r="E564" s="90"/>
      <c r="F564" s="126"/>
      <c r="G564" s="114"/>
      <c r="H564" s="114"/>
      <c r="M564" s="85"/>
      <c r="N564" s="90"/>
      <c r="O564" s="90"/>
      <c r="P564" s="90"/>
      <c r="Q564" s="90"/>
      <c r="R564" s="91"/>
      <c r="S564" s="91"/>
    </row>
    <row r="565">
      <c r="A565" s="85"/>
      <c r="B565" s="85"/>
      <c r="C565" s="125"/>
      <c r="D565" s="90"/>
      <c r="E565" s="90"/>
      <c r="F565" s="126"/>
      <c r="G565" s="114"/>
      <c r="H565" s="114"/>
      <c r="M565" s="85"/>
      <c r="N565" s="90"/>
      <c r="O565" s="90"/>
      <c r="P565" s="90"/>
      <c r="Q565" s="90"/>
      <c r="R565" s="91"/>
      <c r="S565" s="91"/>
    </row>
    <row r="566">
      <c r="A566" s="85"/>
      <c r="B566" s="85"/>
      <c r="C566" s="125"/>
      <c r="D566" s="90"/>
      <c r="E566" s="90"/>
      <c r="F566" s="126"/>
      <c r="G566" s="114"/>
      <c r="H566" s="114"/>
      <c r="M566" s="85"/>
      <c r="N566" s="90"/>
      <c r="O566" s="90"/>
      <c r="P566" s="90"/>
      <c r="Q566" s="90"/>
      <c r="R566" s="91"/>
      <c r="S566" s="91"/>
    </row>
    <row r="567">
      <c r="A567" s="85"/>
      <c r="B567" s="85"/>
      <c r="C567" s="125"/>
      <c r="D567" s="90"/>
      <c r="E567" s="90"/>
      <c r="F567" s="126"/>
      <c r="G567" s="114"/>
      <c r="H567" s="114"/>
      <c r="M567" s="85"/>
      <c r="N567" s="90"/>
      <c r="O567" s="90"/>
      <c r="P567" s="90"/>
      <c r="Q567" s="90"/>
      <c r="R567" s="91"/>
      <c r="S567" s="91"/>
    </row>
    <row r="568">
      <c r="A568" s="85"/>
      <c r="B568" s="85"/>
      <c r="C568" s="125"/>
      <c r="D568" s="90"/>
      <c r="E568" s="90"/>
      <c r="F568" s="126"/>
      <c r="G568" s="114"/>
      <c r="H568" s="114"/>
      <c r="M568" s="85"/>
      <c r="N568" s="90"/>
      <c r="O568" s="90"/>
      <c r="P568" s="90"/>
      <c r="Q568" s="90"/>
      <c r="R568" s="91"/>
      <c r="S568" s="91"/>
    </row>
    <row r="569">
      <c r="A569" s="85"/>
      <c r="B569" s="85"/>
      <c r="C569" s="125"/>
      <c r="D569" s="90"/>
      <c r="E569" s="90"/>
      <c r="F569" s="126"/>
      <c r="G569" s="114"/>
      <c r="H569" s="114"/>
      <c r="M569" s="85"/>
      <c r="N569" s="90"/>
      <c r="O569" s="90"/>
      <c r="P569" s="90"/>
      <c r="Q569" s="90"/>
      <c r="R569" s="91"/>
      <c r="S569" s="91"/>
    </row>
    <row r="570">
      <c r="A570" s="85"/>
      <c r="B570" s="85"/>
      <c r="C570" s="125"/>
      <c r="D570" s="90"/>
      <c r="E570" s="90"/>
      <c r="F570" s="126"/>
      <c r="G570" s="114"/>
      <c r="H570" s="114"/>
      <c r="M570" s="85"/>
      <c r="N570" s="90"/>
      <c r="O570" s="90"/>
      <c r="P570" s="90"/>
      <c r="Q570" s="90"/>
      <c r="R570" s="91"/>
      <c r="S570" s="91"/>
    </row>
    <row r="571">
      <c r="A571" s="85"/>
      <c r="B571" s="85"/>
      <c r="C571" s="125"/>
      <c r="D571" s="90"/>
      <c r="E571" s="90"/>
      <c r="F571" s="126"/>
      <c r="G571" s="114"/>
      <c r="H571" s="114"/>
      <c r="M571" s="85"/>
      <c r="N571" s="90"/>
      <c r="O571" s="90"/>
      <c r="P571" s="90"/>
      <c r="Q571" s="90"/>
      <c r="R571" s="91"/>
      <c r="S571" s="91"/>
    </row>
    <row r="572">
      <c r="A572" s="85"/>
      <c r="B572" s="85"/>
      <c r="C572" s="125"/>
      <c r="D572" s="90"/>
      <c r="E572" s="90"/>
      <c r="F572" s="126"/>
      <c r="G572" s="114"/>
      <c r="H572" s="114"/>
      <c r="M572" s="85"/>
      <c r="N572" s="90"/>
      <c r="O572" s="90"/>
      <c r="P572" s="90"/>
      <c r="Q572" s="90"/>
      <c r="R572" s="91"/>
      <c r="S572" s="91"/>
    </row>
    <row r="573">
      <c r="A573" s="85"/>
      <c r="B573" s="85"/>
      <c r="C573" s="125"/>
      <c r="D573" s="90"/>
      <c r="E573" s="90"/>
      <c r="F573" s="126"/>
      <c r="G573" s="114"/>
      <c r="H573" s="114"/>
      <c r="M573" s="85"/>
      <c r="N573" s="90"/>
      <c r="O573" s="90"/>
      <c r="P573" s="90"/>
      <c r="Q573" s="90"/>
      <c r="R573" s="91"/>
      <c r="S573" s="91"/>
    </row>
    <row r="574">
      <c r="A574" s="85"/>
      <c r="B574" s="85"/>
      <c r="C574" s="125"/>
      <c r="D574" s="90"/>
      <c r="E574" s="90"/>
      <c r="F574" s="126"/>
      <c r="G574" s="114"/>
      <c r="H574" s="114"/>
      <c r="M574" s="85"/>
      <c r="N574" s="90"/>
      <c r="O574" s="90"/>
      <c r="P574" s="90"/>
      <c r="Q574" s="90"/>
      <c r="R574" s="91"/>
      <c r="S574" s="91"/>
    </row>
    <row r="575">
      <c r="A575" s="85"/>
      <c r="B575" s="85"/>
      <c r="C575" s="125"/>
      <c r="D575" s="90"/>
      <c r="E575" s="90"/>
      <c r="F575" s="126"/>
      <c r="G575" s="114"/>
      <c r="H575" s="114"/>
      <c r="M575" s="85"/>
      <c r="N575" s="90"/>
      <c r="O575" s="90"/>
      <c r="P575" s="90"/>
      <c r="Q575" s="90"/>
      <c r="R575" s="91"/>
      <c r="S575" s="91"/>
    </row>
    <row r="576">
      <c r="A576" s="85"/>
      <c r="B576" s="85"/>
      <c r="C576" s="125"/>
      <c r="D576" s="90"/>
      <c r="E576" s="90"/>
      <c r="F576" s="126"/>
      <c r="G576" s="114"/>
      <c r="H576" s="114"/>
      <c r="M576" s="85"/>
      <c r="N576" s="90"/>
      <c r="O576" s="90"/>
      <c r="P576" s="90"/>
      <c r="Q576" s="90"/>
      <c r="R576" s="91"/>
      <c r="S576" s="91"/>
    </row>
    <row r="577">
      <c r="A577" s="85"/>
      <c r="B577" s="85"/>
      <c r="C577" s="125"/>
      <c r="D577" s="90"/>
      <c r="E577" s="90"/>
      <c r="F577" s="126"/>
      <c r="G577" s="114"/>
      <c r="H577" s="114"/>
      <c r="M577" s="85"/>
      <c r="N577" s="90"/>
      <c r="O577" s="90"/>
      <c r="P577" s="90"/>
      <c r="Q577" s="90"/>
      <c r="R577" s="91"/>
      <c r="S577" s="91"/>
    </row>
    <row r="578">
      <c r="A578" s="85"/>
      <c r="B578" s="85"/>
      <c r="C578" s="125"/>
      <c r="D578" s="90"/>
      <c r="E578" s="90"/>
      <c r="F578" s="126"/>
      <c r="G578" s="114"/>
      <c r="H578" s="114"/>
      <c r="M578" s="85"/>
      <c r="N578" s="90"/>
      <c r="O578" s="90"/>
      <c r="P578" s="90"/>
      <c r="Q578" s="90"/>
      <c r="R578" s="91"/>
      <c r="S578" s="91"/>
    </row>
    <row r="579">
      <c r="A579" s="85"/>
      <c r="B579" s="85"/>
      <c r="C579" s="125"/>
      <c r="D579" s="90"/>
      <c r="E579" s="90"/>
      <c r="F579" s="126"/>
      <c r="G579" s="114"/>
      <c r="H579" s="114"/>
      <c r="M579" s="85"/>
      <c r="N579" s="90"/>
      <c r="O579" s="90"/>
      <c r="P579" s="90"/>
      <c r="Q579" s="90"/>
      <c r="R579" s="91"/>
      <c r="S579" s="91"/>
    </row>
    <row r="580">
      <c r="A580" s="85"/>
      <c r="B580" s="85"/>
      <c r="C580" s="125"/>
      <c r="D580" s="90"/>
      <c r="E580" s="90"/>
      <c r="F580" s="126"/>
      <c r="G580" s="114"/>
      <c r="H580" s="114"/>
      <c r="M580" s="85"/>
      <c r="N580" s="90"/>
      <c r="O580" s="90"/>
      <c r="P580" s="90"/>
      <c r="Q580" s="90"/>
      <c r="R580" s="91"/>
      <c r="S580" s="91"/>
    </row>
    <row r="581">
      <c r="A581" s="85"/>
      <c r="B581" s="85"/>
      <c r="C581" s="125"/>
      <c r="D581" s="90"/>
      <c r="E581" s="90"/>
      <c r="F581" s="126"/>
      <c r="G581" s="114"/>
      <c r="H581" s="114"/>
      <c r="M581" s="85"/>
      <c r="N581" s="90"/>
      <c r="O581" s="90"/>
      <c r="P581" s="90"/>
      <c r="Q581" s="90"/>
      <c r="R581" s="91"/>
      <c r="S581" s="91"/>
    </row>
    <row r="582">
      <c r="A582" s="85"/>
      <c r="B582" s="85"/>
      <c r="C582" s="125"/>
      <c r="D582" s="90"/>
      <c r="E582" s="90"/>
      <c r="F582" s="126"/>
      <c r="G582" s="114"/>
      <c r="H582" s="114"/>
      <c r="M582" s="85"/>
      <c r="N582" s="90"/>
      <c r="O582" s="90"/>
      <c r="P582" s="90"/>
      <c r="Q582" s="90"/>
      <c r="R582" s="91"/>
      <c r="S582" s="91"/>
    </row>
    <row r="583">
      <c r="A583" s="85"/>
      <c r="B583" s="85"/>
      <c r="C583" s="125"/>
      <c r="D583" s="90"/>
      <c r="E583" s="90"/>
      <c r="F583" s="126"/>
      <c r="G583" s="114"/>
      <c r="H583" s="114"/>
      <c r="M583" s="85"/>
      <c r="N583" s="90"/>
      <c r="O583" s="90"/>
      <c r="P583" s="90"/>
      <c r="Q583" s="90"/>
      <c r="R583" s="91"/>
      <c r="S583" s="91"/>
    </row>
    <row r="584">
      <c r="A584" s="85"/>
      <c r="B584" s="85"/>
      <c r="C584" s="125"/>
      <c r="D584" s="90"/>
      <c r="E584" s="90"/>
      <c r="F584" s="126"/>
      <c r="G584" s="114"/>
      <c r="H584" s="114"/>
      <c r="M584" s="85"/>
      <c r="N584" s="90"/>
      <c r="O584" s="90"/>
      <c r="P584" s="90"/>
      <c r="Q584" s="90"/>
      <c r="R584" s="91"/>
      <c r="S584" s="91"/>
    </row>
    <row r="585">
      <c r="A585" s="85"/>
      <c r="B585" s="85"/>
      <c r="C585" s="125"/>
      <c r="D585" s="90"/>
      <c r="E585" s="90"/>
      <c r="F585" s="126"/>
      <c r="G585" s="114"/>
      <c r="H585" s="114"/>
      <c r="M585" s="85"/>
      <c r="N585" s="90"/>
      <c r="O585" s="90"/>
      <c r="P585" s="90"/>
      <c r="Q585" s="90"/>
      <c r="R585" s="91"/>
      <c r="S585" s="91"/>
    </row>
    <row r="586">
      <c r="A586" s="85"/>
      <c r="B586" s="85"/>
      <c r="C586" s="125"/>
      <c r="D586" s="90"/>
      <c r="E586" s="90"/>
      <c r="F586" s="126"/>
      <c r="G586" s="114"/>
      <c r="H586" s="114"/>
      <c r="M586" s="85"/>
      <c r="N586" s="90"/>
      <c r="O586" s="90"/>
      <c r="P586" s="90"/>
      <c r="Q586" s="90"/>
      <c r="R586" s="91"/>
      <c r="S586" s="91"/>
    </row>
    <row r="587">
      <c r="A587" s="85"/>
      <c r="B587" s="85"/>
      <c r="C587" s="125"/>
      <c r="D587" s="90"/>
      <c r="E587" s="90"/>
      <c r="F587" s="126"/>
      <c r="G587" s="114"/>
      <c r="H587" s="114"/>
      <c r="M587" s="85"/>
      <c r="N587" s="90"/>
      <c r="O587" s="90"/>
      <c r="P587" s="90"/>
      <c r="Q587" s="90"/>
      <c r="R587" s="91"/>
      <c r="S587" s="91"/>
    </row>
    <row r="588">
      <c r="A588" s="85"/>
      <c r="B588" s="85"/>
      <c r="C588" s="125"/>
      <c r="D588" s="90"/>
      <c r="E588" s="90"/>
      <c r="F588" s="126"/>
      <c r="G588" s="114"/>
      <c r="H588" s="114"/>
      <c r="M588" s="85"/>
      <c r="N588" s="90"/>
      <c r="O588" s="90"/>
      <c r="P588" s="90"/>
      <c r="Q588" s="90"/>
      <c r="R588" s="91"/>
      <c r="S588" s="91"/>
    </row>
    <row r="589">
      <c r="A589" s="85"/>
      <c r="B589" s="85"/>
      <c r="C589" s="125"/>
      <c r="D589" s="90"/>
      <c r="E589" s="90"/>
      <c r="F589" s="126"/>
      <c r="G589" s="114"/>
      <c r="H589" s="114"/>
      <c r="M589" s="85"/>
      <c r="N589" s="90"/>
      <c r="O589" s="90"/>
      <c r="P589" s="90"/>
      <c r="Q589" s="90"/>
      <c r="R589" s="91"/>
      <c r="S589" s="91"/>
    </row>
    <row r="590">
      <c r="A590" s="85"/>
      <c r="B590" s="85"/>
      <c r="C590" s="125"/>
      <c r="D590" s="90"/>
      <c r="E590" s="90"/>
      <c r="F590" s="126"/>
      <c r="G590" s="114"/>
      <c r="H590" s="114"/>
      <c r="M590" s="85"/>
      <c r="N590" s="90"/>
      <c r="O590" s="90"/>
      <c r="P590" s="90"/>
      <c r="Q590" s="90"/>
      <c r="R590" s="91"/>
      <c r="S590" s="91"/>
    </row>
    <row r="591">
      <c r="A591" s="85"/>
      <c r="B591" s="85"/>
      <c r="C591" s="125"/>
      <c r="D591" s="90"/>
      <c r="E591" s="90"/>
      <c r="F591" s="126"/>
      <c r="G591" s="114"/>
      <c r="H591" s="114"/>
      <c r="M591" s="85"/>
      <c r="N591" s="90"/>
      <c r="O591" s="90"/>
      <c r="P591" s="90"/>
      <c r="Q591" s="90"/>
      <c r="R591" s="91"/>
      <c r="S591" s="91"/>
    </row>
    <row r="592">
      <c r="A592" s="85"/>
      <c r="B592" s="85"/>
      <c r="C592" s="125"/>
      <c r="D592" s="90"/>
      <c r="E592" s="90"/>
      <c r="F592" s="126"/>
      <c r="G592" s="114"/>
      <c r="H592" s="114"/>
      <c r="M592" s="85"/>
      <c r="N592" s="90"/>
      <c r="O592" s="90"/>
      <c r="P592" s="90"/>
      <c r="Q592" s="90"/>
      <c r="R592" s="91"/>
      <c r="S592" s="91"/>
    </row>
    <row r="593">
      <c r="A593" s="85"/>
      <c r="B593" s="85"/>
      <c r="C593" s="125"/>
      <c r="D593" s="90"/>
      <c r="E593" s="90"/>
      <c r="F593" s="126"/>
      <c r="G593" s="114"/>
      <c r="H593" s="114"/>
      <c r="M593" s="85"/>
      <c r="N593" s="90"/>
      <c r="O593" s="90"/>
      <c r="P593" s="90"/>
      <c r="Q593" s="90"/>
      <c r="R593" s="91"/>
      <c r="S593" s="91"/>
    </row>
    <row r="594">
      <c r="A594" s="85"/>
      <c r="B594" s="85"/>
      <c r="C594" s="125"/>
      <c r="D594" s="90"/>
      <c r="E594" s="90"/>
      <c r="F594" s="126"/>
      <c r="G594" s="114"/>
      <c r="H594" s="114"/>
      <c r="M594" s="85"/>
      <c r="N594" s="90"/>
      <c r="O594" s="90"/>
      <c r="P594" s="90"/>
      <c r="Q594" s="90"/>
      <c r="R594" s="91"/>
      <c r="S594" s="91"/>
    </row>
    <row r="595">
      <c r="A595" s="85"/>
      <c r="B595" s="85"/>
      <c r="C595" s="125"/>
      <c r="D595" s="90"/>
      <c r="E595" s="90"/>
      <c r="F595" s="126"/>
      <c r="G595" s="114"/>
      <c r="H595" s="114"/>
      <c r="M595" s="85"/>
      <c r="N595" s="90"/>
      <c r="O595" s="90"/>
      <c r="P595" s="90"/>
      <c r="Q595" s="90"/>
      <c r="R595" s="91"/>
      <c r="S595" s="91"/>
    </row>
    <row r="596">
      <c r="A596" s="85"/>
      <c r="B596" s="85"/>
      <c r="C596" s="125"/>
      <c r="D596" s="90"/>
      <c r="E596" s="90"/>
      <c r="F596" s="126"/>
      <c r="G596" s="114"/>
      <c r="H596" s="114"/>
      <c r="M596" s="85"/>
      <c r="N596" s="90"/>
      <c r="O596" s="90"/>
      <c r="P596" s="90"/>
      <c r="Q596" s="90"/>
      <c r="R596" s="91"/>
      <c r="S596" s="91"/>
    </row>
    <row r="597">
      <c r="A597" s="85"/>
      <c r="B597" s="85"/>
      <c r="C597" s="125"/>
      <c r="D597" s="90"/>
      <c r="E597" s="90"/>
      <c r="F597" s="126"/>
      <c r="G597" s="114"/>
      <c r="H597" s="114"/>
      <c r="M597" s="85"/>
      <c r="N597" s="90"/>
      <c r="O597" s="90"/>
      <c r="P597" s="90"/>
      <c r="Q597" s="90"/>
      <c r="R597" s="91"/>
      <c r="S597" s="91"/>
    </row>
    <row r="598">
      <c r="A598" s="85"/>
      <c r="B598" s="85"/>
      <c r="C598" s="125"/>
      <c r="D598" s="90"/>
      <c r="E598" s="90"/>
      <c r="F598" s="126"/>
      <c r="G598" s="114"/>
      <c r="H598" s="114"/>
      <c r="M598" s="85"/>
      <c r="N598" s="90"/>
      <c r="O598" s="90"/>
      <c r="P598" s="90"/>
      <c r="Q598" s="90"/>
      <c r="R598" s="91"/>
      <c r="S598" s="91"/>
    </row>
    <row r="599">
      <c r="A599" s="85"/>
      <c r="B599" s="85"/>
      <c r="C599" s="125"/>
      <c r="D599" s="90"/>
      <c r="E599" s="90"/>
      <c r="F599" s="126"/>
      <c r="G599" s="114"/>
      <c r="H599" s="114"/>
      <c r="M599" s="85"/>
      <c r="N599" s="90"/>
      <c r="O599" s="90"/>
      <c r="P599" s="90"/>
      <c r="Q599" s="90"/>
      <c r="R599" s="91"/>
      <c r="S599" s="91"/>
    </row>
    <row r="600">
      <c r="A600" s="85"/>
      <c r="B600" s="85"/>
      <c r="C600" s="125"/>
      <c r="D600" s="90"/>
      <c r="E600" s="90"/>
      <c r="F600" s="126"/>
      <c r="G600" s="114"/>
      <c r="H600" s="114"/>
      <c r="M600" s="85"/>
      <c r="N600" s="90"/>
      <c r="O600" s="90"/>
      <c r="P600" s="90"/>
      <c r="Q600" s="90"/>
      <c r="R600" s="91"/>
      <c r="S600" s="91"/>
    </row>
    <row r="601">
      <c r="A601" s="85"/>
      <c r="B601" s="85"/>
      <c r="C601" s="125"/>
      <c r="D601" s="90"/>
      <c r="E601" s="90"/>
      <c r="F601" s="126"/>
      <c r="G601" s="114"/>
      <c r="H601" s="114"/>
      <c r="M601" s="85"/>
      <c r="N601" s="90"/>
      <c r="O601" s="90"/>
      <c r="P601" s="90"/>
      <c r="Q601" s="90"/>
      <c r="R601" s="91"/>
      <c r="S601" s="91"/>
    </row>
    <row r="602">
      <c r="A602" s="85"/>
      <c r="B602" s="85"/>
      <c r="C602" s="125"/>
      <c r="D602" s="90"/>
      <c r="E602" s="90"/>
      <c r="F602" s="126"/>
      <c r="G602" s="114"/>
      <c r="H602" s="114"/>
      <c r="M602" s="85"/>
      <c r="N602" s="90"/>
      <c r="O602" s="90"/>
      <c r="P602" s="90"/>
      <c r="Q602" s="90"/>
      <c r="R602" s="91"/>
      <c r="S602" s="91"/>
    </row>
    <row r="603">
      <c r="A603" s="85"/>
      <c r="B603" s="85"/>
      <c r="C603" s="125"/>
      <c r="D603" s="90"/>
      <c r="E603" s="90"/>
      <c r="F603" s="126"/>
      <c r="G603" s="114"/>
      <c r="H603" s="114"/>
      <c r="M603" s="85"/>
      <c r="N603" s="90"/>
      <c r="O603" s="90"/>
      <c r="P603" s="90"/>
      <c r="Q603" s="90"/>
      <c r="R603" s="91"/>
      <c r="S603" s="91"/>
    </row>
    <row r="604">
      <c r="A604" s="85"/>
      <c r="B604" s="85"/>
      <c r="C604" s="125"/>
      <c r="D604" s="90"/>
      <c r="E604" s="90"/>
      <c r="F604" s="126"/>
      <c r="G604" s="114"/>
      <c r="H604" s="114"/>
      <c r="M604" s="85"/>
      <c r="N604" s="90"/>
      <c r="O604" s="90"/>
      <c r="P604" s="90"/>
      <c r="Q604" s="90"/>
      <c r="R604" s="91"/>
      <c r="S604" s="91"/>
    </row>
    <row r="605">
      <c r="A605" s="85"/>
      <c r="B605" s="85"/>
      <c r="C605" s="125"/>
      <c r="D605" s="90"/>
      <c r="E605" s="90"/>
      <c r="F605" s="126"/>
      <c r="G605" s="114"/>
      <c r="H605" s="114"/>
      <c r="M605" s="85"/>
      <c r="N605" s="90"/>
      <c r="O605" s="90"/>
      <c r="P605" s="90"/>
      <c r="Q605" s="90"/>
      <c r="R605" s="91"/>
      <c r="S605" s="91"/>
    </row>
    <row r="606">
      <c r="A606" s="85"/>
      <c r="B606" s="85"/>
      <c r="C606" s="125"/>
      <c r="D606" s="90"/>
      <c r="E606" s="90"/>
      <c r="F606" s="126"/>
      <c r="G606" s="114"/>
      <c r="H606" s="114"/>
      <c r="M606" s="85"/>
      <c r="N606" s="90"/>
      <c r="O606" s="90"/>
      <c r="P606" s="90"/>
      <c r="Q606" s="90"/>
      <c r="R606" s="91"/>
      <c r="S606" s="91"/>
    </row>
    <row r="607">
      <c r="A607" s="85"/>
      <c r="B607" s="85"/>
      <c r="C607" s="125"/>
      <c r="D607" s="90"/>
      <c r="E607" s="90"/>
      <c r="F607" s="126"/>
      <c r="G607" s="114"/>
      <c r="H607" s="114"/>
      <c r="M607" s="85"/>
      <c r="N607" s="90"/>
      <c r="O607" s="90"/>
      <c r="P607" s="90"/>
      <c r="Q607" s="90"/>
      <c r="R607" s="91"/>
      <c r="S607" s="91"/>
    </row>
    <row r="608">
      <c r="A608" s="85"/>
      <c r="B608" s="85"/>
      <c r="C608" s="125"/>
      <c r="D608" s="90"/>
      <c r="E608" s="90"/>
      <c r="F608" s="126"/>
      <c r="G608" s="114"/>
      <c r="H608" s="114"/>
      <c r="M608" s="85"/>
      <c r="N608" s="90"/>
      <c r="O608" s="90"/>
      <c r="P608" s="90"/>
      <c r="Q608" s="90"/>
      <c r="R608" s="91"/>
      <c r="S608" s="91"/>
    </row>
    <row r="609">
      <c r="A609" s="85"/>
      <c r="B609" s="85"/>
      <c r="C609" s="125"/>
      <c r="D609" s="90"/>
      <c r="E609" s="90"/>
      <c r="F609" s="126"/>
      <c r="G609" s="114"/>
      <c r="H609" s="114"/>
      <c r="M609" s="85"/>
      <c r="N609" s="90"/>
      <c r="O609" s="90"/>
      <c r="P609" s="90"/>
      <c r="Q609" s="90"/>
      <c r="R609" s="91"/>
      <c r="S609" s="91"/>
    </row>
    <row r="610">
      <c r="A610" s="85"/>
      <c r="B610" s="85"/>
      <c r="C610" s="125"/>
      <c r="D610" s="90"/>
      <c r="E610" s="90"/>
      <c r="F610" s="126"/>
      <c r="G610" s="114"/>
      <c r="H610" s="114"/>
      <c r="M610" s="85"/>
      <c r="N610" s="90"/>
      <c r="O610" s="90"/>
      <c r="P610" s="90"/>
      <c r="Q610" s="90"/>
      <c r="R610" s="91"/>
      <c r="S610" s="91"/>
    </row>
    <row r="611">
      <c r="A611" s="85"/>
      <c r="B611" s="85"/>
      <c r="C611" s="125"/>
      <c r="D611" s="90"/>
      <c r="E611" s="90"/>
      <c r="F611" s="126"/>
      <c r="G611" s="114"/>
      <c r="H611" s="114"/>
      <c r="M611" s="85"/>
      <c r="N611" s="90"/>
      <c r="O611" s="90"/>
      <c r="P611" s="90"/>
      <c r="Q611" s="90"/>
      <c r="R611" s="91"/>
      <c r="S611" s="91"/>
    </row>
    <row r="612">
      <c r="A612" s="85"/>
      <c r="B612" s="85"/>
      <c r="C612" s="125"/>
      <c r="D612" s="90"/>
      <c r="E612" s="90"/>
      <c r="F612" s="126"/>
      <c r="G612" s="114"/>
      <c r="H612" s="114"/>
      <c r="M612" s="85"/>
      <c r="N612" s="90"/>
      <c r="O612" s="90"/>
      <c r="P612" s="90"/>
      <c r="Q612" s="90"/>
      <c r="R612" s="91"/>
      <c r="S612" s="91"/>
    </row>
    <row r="613">
      <c r="A613" s="85"/>
      <c r="B613" s="85"/>
      <c r="C613" s="125"/>
      <c r="D613" s="90"/>
      <c r="E613" s="90"/>
      <c r="F613" s="126"/>
      <c r="G613" s="114"/>
      <c r="H613" s="114"/>
      <c r="M613" s="85"/>
      <c r="N613" s="90"/>
      <c r="O613" s="90"/>
      <c r="P613" s="90"/>
      <c r="Q613" s="90"/>
      <c r="R613" s="91"/>
      <c r="S613" s="91"/>
    </row>
    <row r="614">
      <c r="A614" s="85"/>
      <c r="B614" s="85"/>
      <c r="C614" s="125"/>
      <c r="D614" s="90"/>
      <c r="E614" s="90"/>
      <c r="F614" s="126"/>
      <c r="G614" s="114"/>
      <c r="H614" s="114"/>
      <c r="M614" s="85"/>
      <c r="N614" s="90"/>
      <c r="O614" s="90"/>
      <c r="P614" s="90"/>
      <c r="Q614" s="90"/>
      <c r="R614" s="91"/>
      <c r="S614" s="91"/>
    </row>
    <row r="615">
      <c r="A615" s="85"/>
      <c r="B615" s="85"/>
      <c r="C615" s="125"/>
      <c r="D615" s="90"/>
      <c r="E615" s="90"/>
      <c r="F615" s="126"/>
      <c r="G615" s="114"/>
      <c r="H615" s="114"/>
      <c r="M615" s="85"/>
      <c r="N615" s="90"/>
      <c r="O615" s="90"/>
      <c r="P615" s="90"/>
      <c r="Q615" s="90"/>
      <c r="R615" s="91"/>
      <c r="S615" s="91"/>
    </row>
    <row r="616">
      <c r="A616" s="85"/>
      <c r="B616" s="85"/>
      <c r="C616" s="125"/>
      <c r="D616" s="90"/>
      <c r="E616" s="90"/>
      <c r="F616" s="126"/>
      <c r="G616" s="114"/>
      <c r="H616" s="114"/>
      <c r="M616" s="85"/>
      <c r="N616" s="90"/>
      <c r="O616" s="90"/>
      <c r="P616" s="90"/>
      <c r="Q616" s="90"/>
      <c r="R616" s="91"/>
      <c r="S616" s="91"/>
    </row>
    <row r="617">
      <c r="A617" s="85"/>
      <c r="B617" s="85"/>
      <c r="C617" s="125"/>
      <c r="D617" s="90"/>
      <c r="E617" s="90"/>
      <c r="F617" s="126"/>
      <c r="G617" s="114"/>
      <c r="H617" s="114"/>
      <c r="M617" s="85"/>
      <c r="N617" s="90"/>
      <c r="O617" s="90"/>
      <c r="P617" s="90"/>
      <c r="Q617" s="90"/>
      <c r="R617" s="91"/>
      <c r="S617" s="91"/>
    </row>
    <row r="618">
      <c r="A618" s="85"/>
      <c r="B618" s="85"/>
      <c r="C618" s="125"/>
      <c r="D618" s="90"/>
      <c r="E618" s="90"/>
      <c r="F618" s="126"/>
      <c r="G618" s="114"/>
      <c r="H618" s="114"/>
      <c r="M618" s="85"/>
      <c r="N618" s="90"/>
      <c r="O618" s="90"/>
      <c r="P618" s="90"/>
      <c r="Q618" s="90"/>
      <c r="R618" s="91"/>
      <c r="S618" s="91"/>
    </row>
    <row r="619">
      <c r="A619" s="85"/>
      <c r="B619" s="85"/>
      <c r="C619" s="125"/>
      <c r="D619" s="90"/>
      <c r="E619" s="90"/>
      <c r="F619" s="126"/>
      <c r="G619" s="114"/>
      <c r="H619" s="114"/>
      <c r="M619" s="85"/>
      <c r="N619" s="90"/>
      <c r="O619" s="90"/>
      <c r="P619" s="90"/>
      <c r="Q619" s="90"/>
      <c r="R619" s="91"/>
      <c r="S619" s="91"/>
    </row>
    <row r="620">
      <c r="A620" s="85"/>
      <c r="B620" s="85"/>
      <c r="C620" s="125"/>
      <c r="D620" s="90"/>
      <c r="E620" s="90"/>
      <c r="F620" s="126"/>
      <c r="G620" s="114"/>
      <c r="H620" s="114"/>
      <c r="M620" s="85"/>
      <c r="N620" s="90"/>
      <c r="O620" s="90"/>
      <c r="P620" s="90"/>
      <c r="Q620" s="90"/>
      <c r="R620" s="91"/>
      <c r="S620" s="91"/>
    </row>
    <row r="621">
      <c r="A621" s="85"/>
      <c r="B621" s="85"/>
      <c r="C621" s="125"/>
      <c r="D621" s="90"/>
      <c r="E621" s="90"/>
      <c r="F621" s="126"/>
      <c r="G621" s="114"/>
      <c r="H621" s="114"/>
      <c r="M621" s="85"/>
      <c r="N621" s="90"/>
      <c r="O621" s="90"/>
      <c r="P621" s="90"/>
      <c r="Q621" s="90"/>
      <c r="R621" s="91"/>
      <c r="S621" s="91"/>
    </row>
    <row r="622">
      <c r="A622" s="85"/>
      <c r="B622" s="85"/>
      <c r="C622" s="125"/>
      <c r="D622" s="90"/>
      <c r="E622" s="90"/>
      <c r="F622" s="126"/>
      <c r="G622" s="114"/>
      <c r="H622" s="114"/>
      <c r="M622" s="85"/>
      <c r="N622" s="90"/>
      <c r="O622" s="90"/>
      <c r="P622" s="90"/>
      <c r="Q622" s="90"/>
      <c r="R622" s="91"/>
      <c r="S622" s="91"/>
    </row>
    <row r="623">
      <c r="A623" s="85"/>
      <c r="B623" s="85"/>
      <c r="C623" s="125"/>
      <c r="D623" s="90"/>
      <c r="E623" s="90"/>
      <c r="F623" s="126"/>
      <c r="G623" s="114"/>
      <c r="H623" s="114"/>
      <c r="M623" s="85"/>
      <c r="N623" s="90"/>
      <c r="O623" s="90"/>
      <c r="P623" s="90"/>
      <c r="Q623" s="90"/>
      <c r="R623" s="91"/>
      <c r="S623" s="91"/>
    </row>
    <row r="624">
      <c r="A624" s="85"/>
      <c r="B624" s="85"/>
      <c r="C624" s="125"/>
      <c r="D624" s="90"/>
      <c r="E624" s="90"/>
      <c r="F624" s="126"/>
      <c r="G624" s="114"/>
      <c r="H624" s="114"/>
      <c r="M624" s="85"/>
      <c r="N624" s="90"/>
      <c r="O624" s="90"/>
      <c r="P624" s="90"/>
      <c r="Q624" s="90"/>
      <c r="R624" s="91"/>
      <c r="S624" s="91"/>
    </row>
    <row r="625">
      <c r="A625" s="85"/>
      <c r="B625" s="85"/>
      <c r="C625" s="125"/>
      <c r="D625" s="90"/>
      <c r="E625" s="90"/>
      <c r="F625" s="126"/>
      <c r="G625" s="114"/>
      <c r="H625" s="114"/>
      <c r="M625" s="85"/>
      <c r="N625" s="90"/>
      <c r="O625" s="90"/>
      <c r="P625" s="90"/>
      <c r="Q625" s="90"/>
      <c r="R625" s="91"/>
      <c r="S625" s="91"/>
    </row>
    <row r="626">
      <c r="A626" s="85"/>
      <c r="B626" s="85"/>
      <c r="C626" s="125"/>
      <c r="D626" s="90"/>
      <c r="E626" s="90"/>
      <c r="F626" s="126"/>
      <c r="G626" s="114"/>
      <c r="H626" s="114"/>
      <c r="M626" s="85"/>
      <c r="N626" s="90"/>
      <c r="O626" s="90"/>
      <c r="P626" s="90"/>
      <c r="Q626" s="90"/>
      <c r="R626" s="91"/>
      <c r="S626" s="91"/>
    </row>
    <row r="627">
      <c r="A627" s="85"/>
      <c r="B627" s="85"/>
      <c r="C627" s="125"/>
      <c r="D627" s="90"/>
      <c r="E627" s="90"/>
      <c r="F627" s="126"/>
      <c r="G627" s="114"/>
      <c r="H627" s="114"/>
      <c r="M627" s="85"/>
      <c r="N627" s="90"/>
      <c r="O627" s="90"/>
      <c r="P627" s="90"/>
      <c r="Q627" s="90"/>
      <c r="R627" s="91"/>
      <c r="S627" s="91"/>
    </row>
    <row r="628">
      <c r="A628" s="85"/>
      <c r="B628" s="85"/>
      <c r="C628" s="125"/>
      <c r="D628" s="90"/>
      <c r="E628" s="90"/>
      <c r="F628" s="126"/>
      <c r="G628" s="114"/>
      <c r="H628" s="114"/>
      <c r="M628" s="85"/>
      <c r="N628" s="90"/>
      <c r="O628" s="90"/>
      <c r="P628" s="90"/>
      <c r="Q628" s="90"/>
      <c r="R628" s="91"/>
      <c r="S628" s="91"/>
    </row>
    <row r="629">
      <c r="A629" s="85"/>
      <c r="B629" s="85"/>
      <c r="C629" s="125"/>
      <c r="D629" s="90"/>
      <c r="E629" s="90"/>
      <c r="F629" s="126"/>
      <c r="G629" s="114"/>
      <c r="H629" s="114"/>
      <c r="M629" s="85"/>
      <c r="N629" s="90"/>
      <c r="O629" s="90"/>
      <c r="P629" s="90"/>
      <c r="Q629" s="90"/>
      <c r="R629" s="91"/>
      <c r="S629" s="91"/>
    </row>
    <row r="630">
      <c r="A630" s="85"/>
      <c r="B630" s="85"/>
      <c r="C630" s="125"/>
      <c r="D630" s="90"/>
      <c r="E630" s="90"/>
      <c r="F630" s="126"/>
      <c r="G630" s="114"/>
      <c r="H630" s="114"/>
      <c r="M630" s="85"/>
      <c r="N630" s="90"/>
      <c r="O630" s="90"/>
      <c r="P630" s="90"/>
      <c r="Q630" s="90"/>
      <c r="R630" s="91"/>
      <c r="S630" s="91"/>
    </row>
    <row r="631">
      <c r="A631" s="85"/>
      <c r="B631" s="85"/>
      <c r="C631" s="125"/>
      <c r="D631" s="90"/>
      <c r="E631" s="90"/>
      <c r="F631" s="126"/>
      <c r="G631" s="114"/>
      <c r="H631" s="114"/>
      <c r="M631" s="85"/>
      <c r="N631" s="90"/>
      <c r="O631" s="90"/>
      <c r="P631" s="90"/>
      <c r="Q631" s="90"/>
      <c r="R631" s="91"/>
      <c r="S631" s="91"/>
    </row>
    <row r="632">
      <c r="A632" s="85"/>
      <c r="B632" s="85"/>
      <c r="C632" s="125"/>
      <c r="D632" s="90"/>
      <c r="E632" s="90"/>
      <c r="F632" s="126"/>
      <c r="G632" s="114"/>
      <c r="H632" s="114"/>
      <c r="M632" s="85"/>
      <c r="N632" s="90"/>
      <c r="O632" s="90"/>
      <c r="P632" s="90"/>
      <c r="Q632" s="90"/>
      <c r="R632" s="91"/>
      <c r="S632" s="91"/>
    </row>
    <row r="633">
      <c r="A633" s="85"/>
      <c r="B633" s="85"/>
      <c r="C633" s="125"/>
      <c r="D633" s="90"/>
      <c r="E633" s="90"/>
      <c r="F633" s="126"/>
      <c r="G633" s="114"/>
      <c r="H633" s="114"/>
      <c r="M633" s="85"/>
      <c r="N633" s="90"/>
      <c r="O633" s="90"/>
      <c r="P633" s="90"/>
      <c r="Q633" s="90"/>
      <c r="R633" s="91"/>
      <c r="S633" s="91"/>
    </row>
    <row r="634">
      <c r="A634" s="85"/>
      <c r="B634" s="85"/>
      <c r="C634" s="125"/>
      <c r="D634" s="90"/>
      <c r="E634" s="90"/>
      <c r="F634" s="126"/>
      <c r="G634" s="114"/>
      <c r="H634" s="114"/>
      <c r="M634" s="85"/>
      <c r="N634" s="90"/>
      <c r="O634" s="90"/>
      <c r="P634" s="90"/>
      <c r="Q634" s="90"/>
      <c r="R634" s="91"/>
      <c r="S634" s="91"/>
    </row>
    <row r="635">
      <c r="A635" s="85"/>
      <c r="B635" s="85"/>
      <c r="C635" s="125"/>
      <c r="D635" s="90"/>
      <c r="E635" s="90"/>
      <c r="F635" s="126"/>
      <c r="G635" s="114"/>
      <c r="H635" s="114"/>
      <c r="M635" s="85"/>
      <c r="N635" s="90"/>
      <c r="O635" s="90"/>
      <c r="P635" s="90"/>
      <c r="Q635" s="90"/>
      <c r="R635" s="91"/>
      <c r="S635" s="91"/>
    </row>
    <row r="636">
      <c r="A636" s="85"/>
      <c r="B636" s="85"/>
      <c r="C636" s="125"/>
      <c r="D636" s="90"/>
      <c r="E636" s="90"/>
      <c r="F636" s="126"/>
      <c r="G636" s="114"/>
      <c r="H636" s="114"/>
      <c r="M636" s="85"/>
      <c r="N636" s="90"/>
      <c r="O636" s="90"/>
      <c r="P636" s="90"/>
      <c r="Q636" s="90"/>
      <c r="R636" s="91"/>
      <c r="S636" s="91"/>
    </row>
    <row r="637">
      <c r="A637" s="85"/>
      <c r="B637" s="85"/>
      <c r="C637" s="125"/>
      <c r="D637" s="90"/>
      <c r="E637" s="90"/>
      <c r="F637" s="126"/>
      <c r="G637" s="114"/>
      <c r="H637" s="114"/>
      <c r="M637" s="85"/>
      <c r="N637" s="90"/>
      <c r="O637" s="90"/>
      <c r="P637" s="90"/>
      <c r="Q637" s="90"/>
      <c r="R637" s="91"/>
      <c r="S637" s="91"/>
    </row>
    <row r="638">
      <c r="A638" s="85"/>
      <c r="B638" s="85"/>
      <c r="C638" s="125"/>
      <c r="D638" s="90"/>
      <c r="E638" s="90"/>
      <c r="F638" s="126"/>
      <c r="G638" s="114"/>
      <c r="H638" s="114"/>
      <c r="M638" s="85"/>
      <c r="N638" s="90"/>
      <c r="O638" s="90"/>
      <c r="P638" s="90"/>
      <c r="Q638" s="90"/>
      <c r="R638" s="91"/>
      <c r="S638" s="91"/>
    </row>
    <row r="639">
      <c r="A639" s="85"/>
      <c r="B639" s="85"/>
      <c r="C639" s="125"/>
      <c r="D639" s="90"/>
      <c r="E639" s="90"/>
      <c r="F639" s="126"/>
      <c r="G639" s="114"/>
      <c r="H639" s="114"/>
      <c r="M639" s="85"/>
      <c r="N639" s="90"/>
      <c r="O639" s="90"/>
      <c r="P639" s="90"/>
      <c r="Q639" s="90"/>
      <c r="R639" s="91"/>
      <c r="S639" s="91"/>
    </row>
    <row r="640">
      <c r="A640" s="85"/>
      <c r="B640" s="85"/>
      <c r="C640" s="125"/>
      <c r="D640" s="90"/>
      <c r="E640" s="90"/>
      <c r="F640" s="126"/>
      <c r="G640" s="114"/>
      <c r="H640" s="114"/>
      <c r="M640" s="85"/>
      <c r="N640" s="90"/>
      <c r="O640" s="90"/>
      <c r="P640" s="90"/>
      <c r="Q640" s="90"/>
      <c r="R640" s="91"/>
      <c r="S640" s="91"/>
    </row>
    <row r="641">
      <c r="A641" s="85"/>
      <c r="B641" s="85"/>
      <c r="C641" s="125"/>
      <c r="D641" s="90"/>
      <c r="E641" s="90"/>
      <c r="F641" s="126"/>
      <c r="G641" s="114"/>
      <c r="H641" s="114"/>
      <c r="M641" s="85"/>
      <c r="N641" s="90"/>
      <c r="O641" s="90"/>
      <c r="P641" s="90"/>
      <c r="Q641" s="90"/>
      <c r="R641" s="91"/>
      <c r="S641" s="91"/>
    </row>
    <row r="642">
      <c r="A642" s="85"/>
      <c r="B642" s="85"/>
      <c r="C642" s="125"/>
      <c r="D642" s="90"/>
      <c r="E642" s="90"/>
      <c r="F642" s="126"/>
      <c r="G642" s="114"/>
      <c r="H642" s="114"/>
      <c r="M642" s="85"/>
      <c r="N642" s="90"/>
      <c r="O642" s="90"/>
      <c r="P642" s="90"/>
      <c r="Q642" s="90"/>
      <c r="R642" s="91"/>
      <c r="S642" s="91"/>
    </row>
    <row r="643">
      <c r="A643" s="85"/>
      <c r="B643" s="85"/>
      <c r="C643" s="125"/>
      <c r="D643" s="90"/>
      <c r="E643" s="90"/>
      <c r="F643" s="126"/>
      <c r="G643" s="114"/>
      <c r="H643" s="114"/>
      <c r="M643" s="85"/>
      <c r="N643" s="90"/>
      <c r="O643" s="90"/>
      <c r="P643" s="90"/>
      <c r="Q643" s="90"/>
      <c r="R643" s="91"/>
      <c r="S643" s="91"/>
    </row>
    <row r="644">
      <c r="A644" s="85"/>
      <c r="B644" s="85"/>
      <c r="C644" s="125"/>
      <c r="D644" s="90"/>
      <c r="E644" s="90"/>
      <c r="F644" s="126"/>
      <c r="G644" s="114"/>
      <c r="H644" s="114"/>
      <c r="M644" s="85"/>
      <c r="N644" s="90"/>
      <c r="O644" s="90"/>
      <c r="P644" s="90"/>
      <c r="Q644" s="90"/>
      <c r="R644" s="91"/>
      <c r="S644" s="91"/>
    </row>
    <row r="645">
      <c r="A645" s="85"/>
      <c r="B645" s="85"/>
      <c r="C645" s="125"/>
      <c r="D645" s="90"/>
      <c r="E645" s="90"/>
      <c r="F645" s="126"/>
      <c r="G645" s="114"/>
      <c r="H645" s="114"/>
      <c r="M645" s="85"/>
      <c r="N645" s="90"/>
      <c r="O645" s="90"/>
      <c r="P645" s="90"/>
      <c r="Q645" s="90"/>
      <c r="R645" s="91"/>
      <c r="S645" s="91"/>
    </row>
    <row r="646">
      <c r="A646" s="85"/>
      <c r="B646" s="85"/>
      <c r="C646" s="125"/>
      <c r="D646" s="90"/>
      <c r="E646" s="90"/>
      <c r="F646" s="126"/>
      <c r="G646" s="114"/>
      <c r="H646" s="114"/>
      <c r="M646" s="85"/>
      <c r="N646" s="90"/>
      <c r="O646" s="90"/>
      <c r="P646" s="90"/>
      <c r="Q646" s="90"/>
      <c r="R646" s="91"/>
      <c r="S646" s="91"/>
    </row>
    <row r="647">
      <c r="A647" s="85"/>
      <c r="B647" s="85"/>
      <c r="C647" s="125"/>
      <c r="D647" s="90"/>
      <c r="E647" s="90"/>
      <c r="F647" s="126"/>
      <c r="G647" s="114"/>
      <c r="H647" s="114"/>
      <c r="M647" s="85"/>
      <c r="N647" s="90"/>
      <c r="O647" s="90"/>
      <c r="P647" s="90"/>
      <c r="Q647" s="90"/>
      <c r="R647" s="91"/>
      <c r="S647" s="91"/>
    </row>
    <row r="648">
      <c r="A648" s="85"/>
      <c r="B648" s="85"/>
      <c r="C648" s="125"/>
      <c r="D648" s="90"/>
      <c r="E648" s="90"/>
      <c r="F648" s="126"/>
      <c r="G648" s="114"/>
      <c r="H648" s="114"/>
      <c r="M648" s="85"/>
      <c r="N648" s="90"/>
      <c r="O648" s="90"/>
      <c r="P648" s="90"/>
      <c r="Q648" s="90"/>
      <c r="R648" s="91"/>
      <c r="S648" s="91"/>
    </row>
    <row r="649">
      <c r="A649" s="85"/>
      <c r="B649" s="85"/>
      <c r="C649" s="125"/>
      <c r="D649" s="90"/>
      <c r="E649" s="90"/>
      <c r="F649" s="126"/>
      <c r="G649" s="114"/>
      <c r="H649" s="114"/>
      <c r="M649" s="85"/>
      <c r="N649" s="90"/>
      <c r="O649" s="90"/>
      <c r="P649" s="90"/>
      <c r="Q649" s="90"/>
      <c r="R649" s="91"/>
      <c r="S649" s="91"/>
    </row>
    <row r="650">
      <c r="A650" s="85"/>
      <c r="B650" s="85"/>
      <c r="C650" s="125"/>
      <c r="D650" s="90"/>
      <c r="E650" s="90"/>
      <c r="F650" s="126"/>
      <c r="G650" s="114"/>
      <c r="H650" s="114"/>
      <c r="M650" s="85"/>
      <c r="N650" s="90"/>
      <c r="O650" s="90"/>
      <c r="P650" s="90"/>
      <c r="Q650" s="90"/>
      <c r="R650" s="91"/>
      <c r="S650" s="91"/>
    </row>
    <row r="651">
      <c r="A651" s="85"/>
      <c r="B651" s="85"/>
      <c r="C651" s="125"/>
      <c r="D651" s="90"/>
      <c r="E651" s="90"/>
      <c r="F651" s="126"/>
      <c r="G651" s="114"/>
      <c r="H651" s="114"/>
      <c r="M651" s="85"/>
      <c r="N651" s="90"/>
      <c r="O651" s="90"/>
      <c r="P651" s="90"/>
      <c r="Q651" s="90"/>
      <c r="R651" s="91"/>
      <c r="S651" s="91"/>
    </row>
    <row r="652">
      <c r="A652" s="85"/>
      <c r="B652" s="85"/>
      <c r="C652" s="125"/>
      <c r="D652" s="90"/>
      <c r="E652" s="90"/>
      <c r="F652" s="126"/>
      <c r="G652" s="114"/>
      <c r="H652" s="114"/>
      <c r="M652" s="85"/>
      <c r="N652" s="90"/>
      <c r="O652" s="90"/>
      <c r="P652" s="90"/>
      <c r="Q652" s="90"/>
      <c r="R652" s="91"/>
      <c r="S652" s="91"/>
    </row>
    <row r="653">
      <c r="A653" s="85"/>
      <c r="B653" s="85"/>
      <c r="C653" s="125"/>
      <c r="D653" s="90"/>
      <c r="E653" s="90"/>
      <c r="F653" s="126"/>
      <c r="G653" s="114"/>
      <c r="H653" s="114"/>
      <c r="M653" s="85"/>
      <c r="N653" s="90"/>
      <c r="O653" s="90"/>
      <c r="P653" s="90"/>
      <c r="Q653" s="90"/>
      <c r="R653" s="91"/>
      <c r="S653" s="91"/>
    </row>
    <row r="654">
      <c r="A654" s="85"/>
      <c r="B654" s="85"/>
      <c r="C654" s="125"/>
      <c r="D654" s="90"/>
      <c r="E654" s="90"/>
      <c r="F654" s="126"/>
      <c r="G654" s="114"/>
      <c r="H654" s="114"/>
      <c r="M654" s="85"/>
      <c r="N654" s="90"/>
      <c r="O654" s="90"/>
      <c r="P654" s="90"/>
      <c r="Q654" s="90"/>
      <c r="R654" s="91"/>
      <c r="S654" s="91"/>
    </row>
    <row r="655">
      <c r="A655" s="85"/>
      <c r="B655" s="85"/>
      <c r="C655" s="125"/>
      <c r="D655" s="90"/>
      <c r="E655" s="90"/>
      <c r="F655" s="126"/>
      <c r="G655" s="114"/>
      <c r="H655" s="114"/>
      <c r="M655" s="85"/>
      <c r="N655" s="90"/>
      <c r="O655" s="90"/>
      <c r="P655" s="90"/>
      <c r="Q655" s="90"/>
      <c r="R655" s="91"/>
      <c r="S655" s="91"/>
    </row>
    <row r="656">
      <c r="A656" s="85"/>
      <c r="B656" s="85"/>
      <c r="C656" s="125"/>
      <c r="D656" s="90"/>
      <c r="E656" s="90"/>
      <c r="F656" s="126"/>
      <c r="G656" s="114"/>
      <c r="H656" s="114"/>
      <c r="M656" s="85"/>
      <c r="N656" s="90"/>
      <c r="O656" s="90"/>
      <c r="P656" s="90"/>
      <c r="Q656" s="90"/>
      <c r="R656" s="91"/>
      <c r="S656" s="91"/>
    </row>
    <row r="657">
      <c r="A657" s="85"/>
      <c r="B657" s="85"/>
      <c r="C657" s="125"/>
      <c r="D657" s="90"/>
      <c r="E657" s="90"/>
      <c r="F657" s="126"/>
      <c r="G657" s="114"/>
      <c r="H657" s="114"/>
      <c r="M657" s="85"/>
      <c r="N657" s="90"/>
      <c r="O657" s="90"/>
      <c r="P657" s="90"/>
      <c r="Q657" s="90"/>
      <c r="R657" s="91"/>
      <c r="S657" s="91"/>
    </row>
    <row r="658">
      <c r="A658" s="85"/>
      <c r="B658" s="85"/>
      <c r="C658" s="125"/>
      <c r="D658" s="90"/>
      <c r="E658" s="90"/>
      <c r="F658" s="126"/>
      <c r="G658" s="114"/>
      <c r="H658" s="114"/>
      <c r="M658" s="85"/>
      <c r="N658" s="90"/>
      <c r="O658" s="90"/>
      <c r="P658" s="90"/>
      <c r="Q658" s="90"/>
      <c r="R658" s="91"/>
      <c r="S658" s="91"/>
    </row>
    <row r="659">
      <c r="A659" s="85"/>
      <c r="B659" s="85"/>
      <c r="C659" s="125"/>
      <c r="D659" s="90"/>
      <c r="E659" s="90"/>
      <c r="F659" s="126"/>
      <c r="G659" s="114"/>
      <c r="H659" s="114"/>
      <c r="M659" s="85"/>
      <c r="N659" s="90"/>
      <c r="O659" s="90"/>
      <c r="P659" s="90"/>
      <c r="Q659" s="90"/>
      <c r="R659" s="91"/>
      <c r="S659" s="91"/>
    </row>
    <row r="660">
      <c r="A660" s="85"/>
      <c r="B660" s="85"/>
      <c r="C660" s="125"/>
      <c r="D660" s="90"/>
      <c r="E660" s="90"/>
      <c r="F660" s="126"/>
      <c r="G660" s="114"/>
      <c r="H660" s="114"/>
      <c r="M660" s="85"/>
      <c r="N660" s="90"/>
      <c r="O660" s="90"/>
      <c r="P660" s="90"/>
      <c r="Q660" s="90"/>
      <c r="R660" s="91"/>
      <c r="S660" s="91"/>
    </row>
    <row r="661">
      <c r="A661" s="85"/>
      <c r="B661" s="85"/>
      <c r="C661" s="125"/>
      <c r="D661" s="90"/>
      <c r="E661" s="90"/>
      <c r="F661" s="126"/>
      <c r="G661" s="114"/>
      <c r="H661" s="114"/>
      <c r="M661" s="85"/>
      <c r="N661" s="90"/>
      <c r="O661" s="90"/>
      <c r="P661" s="90"/>
      <c r="Q661" s="90"/>
      <c r="R661" s="91"/>
      <c r="S661" s="91"/>
    </row>
    <row r="662">
      <c r="A662" s="85"/>
      <c r="B662" s="85"/>
      <c r="C662" s="125"/>
      <c r="D662" s="90"/>
      <c r="E662" s="90"/>
      <c r="F662" s="126"/>
      <c r="G662" s="114"/>
      <c r="H662" s="114"/>
      <c r="M662" s="85"/>
      <c r="N662" s="90"/>
      <c r="O662" s="90"/>
      <c r="P662" s="90"/>
      <c r="Q662" s="90"/>
      <c r="R662" s="91"/>
      <c r="S662" s="91"/>
    </row>
    <row r="663">
      <c r="A663" s="85"/>
      <c r="B663" s="85"/>
      <c r="C663" s="125"/>
      <c r="D663" s="90"/>
      <c r="E663" s="90"/>
      <c r="F663" s="126"/>
      <c r="G663" s="114"/>
      <c r="H663" s="114"/>
      <c r="M663" s="85"/>
      <c r="N663" s="90"/>
      <c r="O663" s="90"/>
      <c r="P663" s="90"/>
      <c r="Q663" s="90"/>
      <c r="R663" s="91"/>
      <c r="S663" s="91"/>
    </row>
    <row r="664">
      <c r="A664" s="85"/>
      <c r="B664" s="85"/>
      <c r="C664" s="125"/>
      <c r="D664" s="90"/>
      <c r="E664" s="90"/>
      <c r="F664" s="126"/>
      <c r="G664" s="114"/>
      <c r="H664" s="114"/>
      <c r="M664" s="85"/>
      <c r="N664" s="90"/>
      <c r="O664" s="90"/>
      <c r="P664" s="90"/>
      <c r="Q664" s="90"/>
      <c r="R664" s="91"/>
      <c r="S664" s="91"/>
    </row>
    <row r="665">
      <c r="A665" s="85"/>
      <c r="B665" s="85"/>
      <c r="C665" s="125"/>
      <c r="D665" s="90"/>
      <c r="E665" s="90"/>
      <c r="F665" s="126"/>
      <c r="G665" s="114"/>
      <c r="H665" s="114"/>
      <c r="M665" s="85"/>
      <c r="N665" s="90"/>
      <c r="O665" s="90"/>
      <c r="P665" s="90"/>
      <c r="Q665" s="90"/>
      <c r="R665" s="91"/>
      <c r="S665" s="91"/>
    </row>
    <row r="666">
      <c r="A666" s="85"/>
      <c r="B666" s="85"/>
      <c r="C666" s="125"/>
      <c r="D666" s="90"/>
      <c r="E666" s="90"/>
      <c r="F666" s="126"/>
      <c r="G666" s="114"/>
      <c r="H666" s="114"/>
      <c r="M666" s="85"/>
      <c r="N666" s="90"/>
      <c r="O666" s="90"/>
      <c r="P666" s="90"/>
      <c r="Q666" s="90"/>
      <c r="R666" s="91"/>
      <c r="S666" s="91"/>
    </row>
    <row r="667">
      <c r="A667" s="85"/>
      <c r="B667" s="85"/>
      <c r="C667" s="125"/>
      <c r="D667" s="90"/>
      <c r="E667" s="90"/>
      <c r="F667" s="126"/>
      <c r="G667" s="114"/>
      <c r="H667" s="114"/>
      <c r="M667" s="85"/>
      <c r="N667" s="90"/>
      <c r="O667" s="90"/>
      <c r="P667" s="90"/>
      <c r="Q667" s="90"/>
      <c r="R667" s="91"/>
      <c r="S667" s="91"/>
    </row>
    <row r="668">
      <c r="A668" s="85"/>
      <c r="B668" s="85"/>
      <c r="C668" s="125"/>
      <c r="D668" s="90"/>
      <c r="E668" s="90"/>
      <c r="F668" s="126"/>
      <c r="G668" s="114"/>
      <c r="H668" s="114"/>
      <c r="M668" s="85"/>
      <c r="N668" s="90"/>
      <c r="O668" s="90"/>
      <c r="P668" s="90"/>
      <c r="Q668" s="90"/>
      <c r="R668" s="91"/>
      <c r="S668" s="91"/>
    </row>
    <row r="669">
      <c r="A669" s="85"/>
      <c r="B669" s="85"/>
      <c r="C669" s="125"/>
      <c r="D669" s="90"/>
      <c r="E669" s="90"/>
      <c r="F669" s="126"/>
      <c r="G669" s="114"/>
      <c r="H669" s="114"/>
      <c r="M669" s="85"/>
      <c r="N669" s="90"/>
      <c r="O669" s="90"/>
      <c r="P669" s="90"/>
      <c r="Q669" s="90"/>
      <c r="R669" s="91"/>
      <c r="S669" s="91"/>
    </row>
    <row r="670">
      <c r="A670" s="85"/>
      <c r="B670" s="85"/>
      <c r="C670" s="125"/>
      <c r="D670" s="90"/>
      <c r="E670" s="90"/>
      <c r="F670" s="126"/>
      <c r="G670" s="114"/>
      <c r="H670" s="114"/>
      <c r="M670" s="85"/>
      <c r="N670" s="90"/>
      <c r="O670" s="90"/>
      <c r="P670" s="90"/>
      <c r="Q670" s="90"/>
      <c r="R670" s="91"/>
      <c r="S670" s="91"/>
    </row>
    <row r="671">
      <c r="A671" s="85"/>
      <c r="B671" s="85"/>
      <c r="C671" s="125"/>
      <c r="D671" s="90"/>
      <c r="E671" s="90"/>
      <c r="F671" s="126"/>
      <c r="G671" s="114"/>
      <c r="H671" s="114"/>
      <c r="M671" s="85"/>
      <c r="N671" s="90"/>
      <c r="O671" s="90"/>
      <c r="P671" s="90"/>
      <c r="Q671" s="90"/>
      <c r="R671" s="91"/>
      <c r="S671" s="91"/>
    </row>
    <row r="672">
      <c r="A672" s="85"/>
      <c r="B672" s="85"/>
      <c r="C672" s="125"/>
      <c r="D672" s="90"/>
      <c r="E672" s="90"/>
      <c r="F672" s="126"/>
      <c r="G672" s="114"/>
      <c r="H672" s="114"/>
      <c r="M672" s="85"/>
      <c r="N672" s="90"/>
      <c r="O672" s="90"/>
      <c r="P672" s="90"/>
      <c r="Q672" s="90"/>
      <c r="R672" s="91"/>
      <c r="S672" s="91"/>
    </row>
    <row r="673">
      <c r="A673" s="85"/>
      <c r="B673" s="85"/>
      <c r="C673" s="125"/>
      <c r="D673" s="90"/>
      <c r="E673" s="90"/>
      <c r="F673" s="126"/>
      <c r="G673" s="114"/>
      <c r="H673" s="114"/>
      <c r="M673" s="85"/>
      <c r="N673" s="90"/>
      <c r="O673" s="90"/>
      <c r="P673" s="90"/>
      <c r="Q673" s="90"/>
      <c r="R673" s="91"/>
      <c r="S673" s="91"/>
    </row>
    <row r="674">
      <c r="A674" s="85"/>
      <c r="B674" s="85"/>
      <c r="C674" s="125"/>
      <c r="D674" s="90"/>
      <c r="E674" s="90"/>
      <c r="F674" s="126"/>
      <c r="G674" s="114"/>
      <c r="H674" s="114"/>
      <c r="M674" s="85"/>
      <c r="N674" s="90"/>
      <c r="O674" s="90"/>
      <c r="P674" s="90"/>
      <c r="Q674" s="90"/>
      <c r="R674" s="91"/>
      <c r="S674" s="91"/>
    </row>
    <row r="675">
      <c r="A675" s="85"/>
      <c r="B675" s="85"/>
      <c r="C675" s="125"/>
      <c r="D675" s="90"/>
      <c r="E675" s="90"/>
      <c r="F675" s="126"/>
      <c r="G675" s="114"/>
      <c r="H675" s="114"/>
      <c r="M675" s="85"/>
      <c r="N675" s="90"/>
      <c r="O675" s="90"/>
      <c r="P675" s="90"/>
      <c r="Q675" s="90"/>
      <c r="R675" s="91"/>
      <c r="S675" s="91"/>
    </row>
    <row r="676">
      <c r="A676" s="85"/>
      <c r="B676" s="85"/>
      <c r="C676" s="125"/>
      <c r="D676" s="90"/>
      <c r="E676" s="90"/>
      <c r="F676" s="126"/>
      <c r="G676" s="114"/>
      <c r="H676" s="114"/>
      <c r="M676" s="85"/>
      <c r="N676" s="90"/>
      <c r="O676" s="90"/>
      <c r="P676" s="90"/>
      <c r="Q676" s="90"/>
      <c r="R676" s="91"/>
      <c r="S676" s="91"/>
    </row>
    <row r="677">
      <c r="A677" s="85"/>
      <c r="B677" s="85"/>
      <c r="C677" s="125"/>
      <c r="D677" s="90"/>
      <c r="E677" s="90"/>
      <c r="F677" s="126"/>
      <c r="G677" s="114"/>
      <c r="H677" s="114"/>
      <c r="M677" s="85"/>
      <c r="N677" s="90"/>
      <c r="O677" s="90"/>
      <c r="P677" s="90"/>
      <c r="Q677" s="90"/>
      <c r="R677" s="91"/>
      <c r="S677" s="91"/>
    </row>
    <row r="678">
      <c r="A678" s="85"/>
      <c r="B678" s="85"/>
      <c r="C678" s="125"/>
      <c r="D678" s="90"/>
      <c r="E678" s="90"/>
      <c r="F678" s="126"/>
      <c r="G678" s="114"/>
      <c r="H678" s="114"/>
      <c r="M678" s="85"/>
      <c r="N678" s="90"/>
      <c r="O678" s="90"/>
      <c r="P678" s="90"/>
      <c r="Q678" s="90"/>
      <c r="R678" s="91"/>
      <c r="S678" s="91"/>
    </row>
    <row r="679">
      <c r="A679" s="85"/>
      <c r="B679" s="85"/>
      <c r="C679" s="125"/>
      <c r="D679" s="90"/>
      <c r="E679" s="90"/>
      <c r="F679" s="126"/>
      <c r="G679" s="114"/>
      <c r="H679" s="114"/>
      <c r="M679" s="85"/>
      <c r="N679" s="90"/>
      <c r="O679" s="90"/>
      <c r="P679" s="90"/>
      <c r="Q679" s="90"/>
      <c r="R679" s="91"/>
      <c r="S679" s="91"/>
    </row>
    <row r="680">
      <c r="A680" s="85"/>
      <c r="B680" s="85"/>
      <c r="C680" s="125"/>
      <c r="D680" s="90"/>
      <c r="E680" s="90"/>
      <c r="F680" s="126"/>
      <c r="G680" s="114"/>
      <c r="H680" s="114"/>
      <c r="M680" s="85"/>
      <c r="N680" s="90"/>
      <c r="O680" s="90"/>
      <c r="P680" s="90"/>
      <c r="Q680" s="90"/>
      <c r="R680" s="91"/>
      <c r="S680" s="91"/>
    </row>
    <row r="681">
      <c r="A681" s="85"/>
      <c r="B681" s="85"/>
      <c r="C681" s="125"/>
      <c r="D681" s="90"/>
      <c r="E681" s="90"/>
      <c r="F681" s="126"/>
      <c r="G681" s="114"/>
      <c r="H681" s="114"/>
      <c r="M681" s="85"/>
      <c r="N681" s="90"/>
      <c r="O681" s="90"/>
      <c r="P681" s="90"/>
      <c r="Q681" s="90"/>
      <c r="R681" s="91"/>
      <c r="S681" s="91"/>
    </row>
    <row r="682">
      <c r="A682" s="85"/>
      <c r="B682" s="85"/>
      <c r="C682" s="125"/>
      <c r="D682" s="90"/>
      <c r="E682" s="90"/>
      <c r="F682" s="126"/>
      <c r="G682" s="114"/>
      <c r="H682" s="114"/>
      <c r="M682" s="85"/>
      <c r="N682" s="90"/>
      <c r="O682" s="90"/>
      <c r="P682" s="90"/>
      <c r="Q682" s="90"/>
      <c r="R682" s="91"/>
      <c r="S682" s="91"/>
    </row>
    <row r="683">
      <c r="A683" s="85"/>
      <c r="B683" s="85"/>
      <c r="C683" s="125"/>
      <c r="D683" s="90"/>
      <c r="E683" s="90"/>
      <c r="F683" s="126"/>
      <c r="G683" s="114"/>
      <c r="H683" s="114"/>
      <c r="M683" s="85"/>
      <c r="N683" s="90"/>
      <c r="O683" s="90"/>
      <c r="P683" s="90"/>
      <c r="Q683" s="90"/>
      <c r="R683" s="91"/>
      <c r="S683" s="91"/>
    </row>
    <row r="684">
      <c r="A684" s="85"/>
      <c r="B684" s="85"/>
      <c r="C684" s="125"/>
      <c r="D684" s="90"/>
      <c r="E684" s="90"/>
      <c r="F684" s="126"/>
      <c r="G684" s="114"/>
      <c r="H684" s="114"/>
      <c r="M684" s="85"/>
      <c r="N684" s="90"/>
      <c r="O684" s="90"/>
      <c r="P684" s="90"/>
      <c r="Q684" s="90"/>
      <c r="R684" s="91"/>
      <c r="S684" s="91"/>
    </row>
    <row r="685">
      <c r="A685" s="85"/>
      <c r="B685" s="85"/>
      <c r="C685" s="125"/>
      <c r="D685" s="90"/>
      <c r="E685" s="90"/>
      <c r="F685" s="126"/>
      <c r="G685" s="114"/>
      <c r="H685" s="114"/>
      <c r="M685" s="85"/>
      <c r="N685" s="90"/>
      <c r="O685" s="90"/>
      <c r="P685" s="90"/>
      <c r="Q685" s="90"/>
      <c r="R685" s="91"/>
      <c r="S685" s="91"/>
    </row>
    <row r="686">
      <c r="A686" s="85"/>
      <c r="B686" s="85"/>
      <c r="C686" s="125"/>
      <c r="D686" s="90"/>
      <c r="E686" s="90"/>
      <c r="F686" s="126"/>
      <c r="G686" s="114"/>
      <c r="H686" s="114"/>
      <c r="M686" s="85"/>
      <c r="N686" s="90"/>
      <c r="O686" s="90"/>
      <c r="P686" s="90"/>
      <c r="Q686" s="90"/>
      <c r="R686" s="91"/>
      <c r="S686" s="91"/>
    </row>
    <row r="687">
      <c r="A687" s="85"/>
      <c r="B687" s="85"/>
      <c r="C687" s="125"/>
      <c r="D687" s="90"/>
      <c r="E687" s="90"/>
      <c r="F687" s="126"/>
      <c r="G687" s="114"/>
      <c r="H687" s="114"/>
      <c r="M687" s="85"/>
      <c r="N687" s="90"/>
      <c r="O687" s="90"/>
      <c r="P687" s="90"/>
      <c r="Q687" s="90"/>
      <c r="R687" s="91"/>
      <c r="S687" s="91"/>
    </row>
    <row r="688">
      <c r="A688" s="85"/>
      <c r="B688" s="85"/>
      <c r="C688" s="125"/>
      <c r="D688" s="90"/>
      <c r="E688" s="90"/>
      <c r="F688" s="126"/>
      <c r="G688" s="114"/>
      <c r="H688" s="114"/>
      <c r="M688" s="85"/>
      <c r="N688" s="90"/>
      <c r="O688" s="90"/>
      <c r="P688" s="90"/>
      <c r="Q688" s="90"/>
      <c r="R688" s="91"/>
      <c r="S688" s="91"/>
    </row>
    <row r="689">
      <c r="A689" s="85"/>
      <c r="B689" s="85"/>
      <c r="C689" s="125"/>
      <c r="D689" s="90"/>
      <c r="E689" s="90"/>
      <c r="F689" s="126"/>
      <c r="G689" s="114"/>
      <c r="H689" s="114"/>
      <c r="M689" s="85"/>
      <c r="N689" s="90"/>
      <c r="O689" s="90"/>
      <c r="P689" s="90"/>
      <c r="Q689" s="90"/>
      <c r="R689" s="91"/>
      <c r="S689" s="91"/>
    </row>
    <row r="690">
      <c r="A690" s="85"/>
      <c r="B690" s="85"/>
      <c r="C690" s="125"/>
      <c r="D690" s="90"/>
      <c r="E690" s="90"/>
      <c r="F690" s="126"/>
      <c r="G690" s="114"/>
      <c r="H690" s="114"/>
      <c r="M690" s="85"/>
      <c r="N690" s="90"/>
      <c r="O690" s="90"/>
      <c r="P690" s="90"/>
      <c r="Q690" s="90"/>
      <c r="R690" s="91"/>
      <c r="S690" s="91"/>
    </row>
    <row r="691">
      <c r="A691" s="85"/>
      <c r="B691" s="85"/>
      <c r="C691" s="125"/>
      <c r="D691" s="90"/>
      <c r="E691" s="90"/>
      <c r="F691" s="126"/>
      <c r="G691" s="114"/>
      <c r="H691" s="114"/>
      <c r="M691" s="85"/>
      <c r="N691" s="90"/>
      <c r="O691" s="90"/>
      <c r="P691" s="90"/>
      <c r="Q691" s="90"/>
      <c r="R691" s="91"/>
      <c r="S691" s="91"/>
    </row>
    <row r="692">
      <c r="A692" s="85"/>
      <c r="B692" s="85"/>
      <c r="C692" s="125"/>
      <c r="D692" s="90"/>
      <c r="E692" s="90"/>
      <c r="F692" s="126"/>
      <c r="G692" s="114"/>
      <c r="H692" s="114"/>
      <c r="M692" s="85"/>
      <c r="N692" s="90"/>
      <c r="O692" s="90"/>
      <c r="P692" s="90"/>
      <c r="Q692" s="90"/>
      <c r="R692" s="91"/>
      <c r="S692" s="91"/>
    </row>
    <row r="693">
      <c r="A693" s="85"/>
      <c r="B693" s="85"/>
      <c r="C693" s="125"/>
      <c r="D693" s="90"/>
      <c r="E693" s="90"/>
      <c r="F693" s="126"/>
      <c r="G693" s="114"/>
      <c r="H693" s="114"/>
      <c r="M693" s="85"/>
      <c r="N693" s="90"/>
      <c r="O693" s="90"/>
      <c r="P693" s="90"/>
      <c r="Q693" s="90"/>
      <c r="R693" s="91"/>
      <c r="S693" s="91"/>
    </row>
    <row r="694">
      <c r="A694" s="85"/>
      <c r="B694" s="85"/>
      <c r="C694" s="125"/>
      <c r="D694" s="90"/>
      <c r="E694" s="90"/>
      <c r="F694" s="126"/>
      <c r="G694" s="114"/>
      <c r="H694" s="114"/>
      <c r="M694" s="85"/>
      <c r="N694" s="90"/>
      <c r="O694" s="90"/>
      <c r="P694" s="90"/>
      <c r="Q694" s="90"/>
      <c r="R694" s="91"/>
      <c r="S694" s="91"/>
    </row>
    <row r="695">
      <c r="A695" s="85"/>
      <c r="B695" s="85"/>
      <c r="C695" s="125"/>
      <c r="D695" s="90"/>
      <c r="E695" s="90"/>
      <c r="F695" s="126"/>
      <c r="G695" s="114"/>
      <c r="H695" s="114"/>
      <c r="M695" s="85"/>
      <c r="N695" s="90"/>
      <c r="O695" s="90"/>
      <c r="P695" s="90"/>
      <c r="Q695" s="90"/>
      <c r="R695" s="91"/>
      <c r="S695" s="91"/>
    </row>
    <row r="696">
      <c r="A696" s="85"/>
      <c r="B696" s="85"/>
      <c r="C696" s="125"/>
      <c r="D696" s="90"/>
      <c r="E696" s="90"/>
      <c r="F696" s="126"/>
      <c r="G696" s="114"/>
      <c r="H696" s="114"/>
      <c r="M696" s="85"/>
      <c r="N696" s="90"/>
      <c r="O696" s="90"/>
      <c r="P696" s="90"/>
      <c r="Q696" s="90"/>
      <c r="R696" s="91"/>
      <c r="S696" s="91"/>
    </row>
    <row r="697">
      <c r="A697" s="85"/>
      <c r="B697" s="85"/>
      <c r="C697" s="125"/>
      <c r="D697" s="90"/>
      <c r="E697" s="90"/>
      <c r="F697" s="126"/>
      <c r="G697" s="114"/>
      <c r="H697" s="114"/>
      <c r="M697" s="85"/>
      <c r="N697" s="90"/>
      <c r="O697" s="90"/>
      <c r="P697" s="90"/>
      <c r="Q697" s="90"/>
      <c r="R697" s="91"/>
      <c r="S697" s="91"/>
    </row>
    <row r="698">
      <c r="A698" s="85"/>
      <c r="B698" s="85"/>
      <c r="C698" s="125"/>
      <c r="D698" s="90"/>
      <c r="E698" s="90"/>
      <c r="F698" s="126"/>
      <c r="G698" s="114"/>
      <c r="H698" s="114"/>
      <c r="M698" s="85"/>
      <c r="N698" s="90"/>
      <c r="O698" s="90"/>
      <c r="P698" s="90"/>
      <c r="Q698" s="90"/>
      <c r="R698" s="91"/>
      <c r="S698" s="91"/>
    </row>
    <row r="699">
      <c r="A699" s="85"/>
      <c r="B699" s="85"/>
      <c r="C699" s="125"/>
      <c r="D699" s="90"/>
      <c r="E699" s="90"/>
      <c r="F699" s="126"/>
      <c r="G699" s="114"/>
      <c r="H699" s="114"/>
      <c r="M699" s="85"/>
      <c r="N699" s="90"/>
      <c r="O699" s="90"/>
      <c r="P699" s="90"/>
      <c r="Q699" s="90"/>
      <c r="R699" s="91"/>
      <c r="S699" s="91"/>
    </row>
    <row r="700">
      <c r="A700" s="85"/>
      <c r="B700" s="85"/>
      <c r="C700" s="125"/>
      <c r="D700" s="90"/>
      <c r="E700" s="90"/>
      <c r="F700" s="126"/>
      <c r="G700" s="114"/>
      <c r="H700" s="114"/>
      <c r="M700" s="85"/>
      <c r="N700" s="90"/>
      <c r="O700" s="90"/>
      <c r="P700" s="90"/>
      <c r="Q700" s="90"/>
      <c r="R700" s="91"/>
      <c r="S700" s="91"/>
    </row>
    <row r="701">
      <c r="A701" s="85"/>
      <c r="B701" s="85"/>
      <c r="C701" s="125"/>
      <c r="D701" s="90"/>
      <c r="E701" s="90"/>
      <c r="F701" s="126"/>
      <c r="G701" s="114"/>
      <c r="H701" s="114"/>
      <c r="M701" s="85"/>
      <c r="N701" s="90"/>
      <c r="O701" s="90"/>
      <c r="P701" s="90"/>
      <c r="Q701" s="90"/>
      <c r="R701" s="91"/>
      <c r="S701" s="91"/>
    </row>
    <row r="702">
      <c r="A702" s="85"/>
      <c r="B702" s="85"/>
      <c r="C702" s="125"/>
      <c r="D702" s="90"/>
      <c r="E702" s="90"/>
      <c r="F702" s="126"/>
      <c r="G702" s="114"/>
      <c r="H702" s="114"/>
      <c r="M702" s="85"/>
      <c r="N702" s="90"/>
      <c r="O702" s="90"/>
      <c r="P702" s="90"/>
      <c r="Q702" s="90"/>
      <c r="R702" s="91"/>
      <c r="S702" s="91"/>
    </row>
    <row r="703">
      <c r="A703" s="85"/>
      <c r="B703" s="85"/>
      <c r="C703" s="125"/>
      <c r="D703" s="90"/>
      <c r="E703" s="90"/>
      <c r="F703" s="126"/>
      <c r="G703" s="114"/>
      <c r="H703" s="114"/>
      <c r="M703" s="85"/>
      <c r="N703" s="90"/>
      <c r="O703" s="90"/>
      <c r="P703" s="90"/>
      <c r="Q703" s="90"/>
      <c r="R703" s="91"/>
      <c r="S703" s="91"/>
    </row>
    <row r="704">
      <c r="A704" s="85"/>
      <c r="B704" s="85"/>
      <c r="C704" s="125"/>
      <c r="D704" s="90"/>
      <c r="E704" s="90"/>
      <c r="F704" s="126"/>
      <c r="G704" s="114"/>
      <c r="H704" s="114"/>
      <c r="M704" s="85"/>
      <c r="N704" s="90"/>
      <c r="O704" s="90"/>
      <c r="P704" s="90"/>
      <c r="Q704" s="90"/>
      <c r="R704" s="91"/>
      <c r="S704" s="91"/>
    </row>
    <row r="705">
      <c r="A705" s="85"/>
      <c r="B705" s="85"/>
      <c r="C705" s="125"/>
      <c r="D705" s="90"/>
      <c r="E705" s="90"/>
      <c r="F705" s="126"/>
      <c r="G705" s="114"/>
      <c r="H705" s="114"/>
      <c r="M705" s="85"/>
      <c r="N705" s="90"/>
      <c r="O705" s="90"/>
      <c r="P705" s="90"/>
      <c r="Q705" s="90"/>
      <c r="R705" s="91"/>
      <c r="S705" s="91"/>
    </row>
    <row r="706">
      <c r="A706" s="85"/>
      <c r="B706" s="85"/>
      <c r="C706" s="125"/>
      <c r="D706" s="90"/>
      <c r="E706" s="90"/>
      <c r="F706" s="126"/>
      <c r="G706" s="114"/>
      <c r="H706" s="114"/>
      <c r="M706" s="85"/>
      <c r="N706" s="90"/>
      <c r="O706" s="90"/>
      <c r="P706" s="90"/>
      <c r="Q706" s="90"/>
      <c r="R706" s="91"/>
      <c r="S706" s="91"/>
    </row>
    <row r="707">
      <c r="A707" s="85"/>
      <c r="B707" s="85"/>
      <c r="C707" s="125"/>
      <c r="D707" s="90"/>
      <c r="E707" s="90"/>
      <c r="F707" s="126"/>
      <c r="G707" s="114"/>
      <c r="H707" s="114"/>
      <c r="M707" s="85"/>
      <c r="N707" s="90"/>
      <c r="O707" s="90"/>
      <c r="P707" s="90"/>
      <c r="Q707" s="90"/>
      <c r="R707" s="91"/>
      <c r="S707" s="91"/>
    </row>
    <row r="708">
      <c r="A708" s="85"/>
      <c r="B708" s="85"/>
      <c r="C708" s="125"/>
      <c r="D708" s="90"/>
      <c r="E708" s="90"/>
      <c r="F708" s="126"/>
      <c r="G708" s="114"/>
      <c r="H708" s="114"/>
      <c r="M708" s="85"/>
      <c r="N708" s="90"/>
      <c r="O708" s="90"/>
      <c r="P708" s="90"/>
      <c r="Q708" s="90"/>
      <c r="R708" s="91"/>
      <c r="S708" s="91"/>
    </row>
    <row r="709">
      <c r="A709" s="85"/>
      <c r="B709" s="85"/>
      <c r="C709" s="125"/>
      <c r="D709" s="90"/>
      <c r="E709" s="90"/>
      <c r="F709" s="126"/>
      <c r="G709" s="114"/>
      <c r="H709" s="114"/>
      <c r="M709" s="85"/>
      <c r="N709" s="90"/>
      <c r="O709" s="90"/>
      <c r="P709" s="90"/>
      <c r="Q709" s="90"/>
      <c r="R709" s="91"/>
      <c r="S709" s="91"/>
    </row>
    <row r="710">
      <c r="A710" s="85"/>
      <c r="B710" s="85"/>
      <c r="C710" s="125"/>
      <c r="D710" s="90"/>
      <c r="E710" s="90"/>
      <c r="F710" s="126"/>
      <c r="G710" s="114"/>
      <c r="H710" s="114"/>
      <c r="M710" s="85"/>
      <c r="N710" s="90"/>
      <c r="O710" s="90"/>
      <c r="P710" s="90"/>
      <c r="Q710" s="90"/>
      <c r="R710" s="91"/>
      <c r="S710" s="91"/>
    </row>
    <row r="711">
      <c r="A711" s="85"/>
      <c r="B711" s="85"/>
      <c r="C711" s="125"/>
      <c r="D711" s="90"/>
      <c r="E711" s="90"/>
      <c r="F711" s="126"/>
      <c r="G711" s="114"/>
      <c r="H711" s="114"/>
      <c r="M711" s="85"/>
      <c r="N711" s="90"/>
      <c r="O711" s="90"/>
      <c r="P711" s="90"/>
      <c r="Q711" s="90"/>
      <c r="R711" s="91"/>
      <c r="S711" s="91"/>
    </row>
    <row r="712">
      <c r="A712" s="85"/>
      <c r="B712" s="85"/>
      <c r="C712" s="125"/>
      <c r="D712" s="90"/>
      <c r="E712" s="90"/>
      <c r="F712" s="126"/>
      <c r="G712" s="114"/>
      <c r="H712" s="114"/>
      <c r="M712" s="85"/>
      <c r="N712" s="90"/>
      <c r="O712" s="90"/>
      <c r="P712" s="90"/>
      <c r="Q712" s="90"/>
      <c r="R712" s="91"/>
      <c r="S712" s="91"/>
    </row>
    <row r="713">
      <c r="A713" s="85"/>
      <c r="B713" s="85"/>
      <c r="C713" s="125"/>
      <c r="D713" s="90"/>
      <c r="E713" s="90"/>
      <c r="F713" s="126"/>
      <c r="G713" s="114"/>
      <c r="H713" s="114"/>
      <c r="M713" s="85"/>
      <c r="N713" s="90"/>
      <c r="O713" s="90"/>
      <c r="P713" s="90"/>
      <c r="Q713" s="90"/>
      <c r="R713" s="91"/>
      <c r="S713" s="91"/>
    </row>
    <row r="714">
      <c r="A714" s="85"/>
      <c r="B714" s="85"/>
      <c r="C714" s="125"/>
      <c r="D714" s="90"/>
      <c r="E714" s="90"/>
      <c r="F714" s="126"/>
      <c r="G714" s="114"/>
      <c r="H714" s="114"/>
      <c r="M714" s="85"/>
      <c r="N714" s="90"/>
      <c r="O714" s="90"/>
      <c r="P714" s="90"/>
      <c r="Q714" s="90"/>
      <c r="R714" s="91"/>
      <c r="S714" s="91"/>
    </row>
    <row r="715">
      <c r="A715" s="85"/>
      <c r="B715" s="85"/>
      <c r="C715" s="125"/>
      <c r="D715" s="90"/>
      <c r="E715" s="90"/>
      <c r="F715" s="126"/>
      <c r="G715" s="114"/>
      <c r="H715" s="114"/>
      <c r="M715" s="85"/>
      <c r="N715" s="90"/>
      <c r="O715" s="90"/>
      <c r="P715" s="90"/>
      <c r="Q715" s="90"/>
      <c r="R715" s="91"/>
      <c r="S715" s="91"/>
    </row>
    <row r="716">
      <c r="A716" s="85"/>
      <c r="B716" s="85"/>
      <c r="C716" s="125"/>
      <c r="D716" s="90"/>
      <c r="E716" s="90"/>
      <c r="F716" s="126"/>
      <c r="G716" s="114"/>
      <c r="H716" s="114"/>
      <c r="M716" s="85"/>
      <c r="N716" s="90"/>
      <c r="O716" s="90"/>
      <c r="P716" s="90"/>
      <c r="Q716" s="90"/>
      <c r="R716" s="91"/>
      <c r="S716" s="91"/>
    </row>
    <row r="717">
      <c r="A717" s="85"/>
      <c r="B717" s="85"/>
      <c r="C717" s="125"/>
      <c r="D717" s="90"/>
      <c r="E717" s="90"/>
      <c r="F717" s="126"/>
      <c r="G717" s="114"/>
      <c r="H717" s="114"/>
      <c r="M717" s="85"/>
      <c r="N717" s="90"/>
      <c r="O717" s="90"/>
      <c r="P717" s="90"/>
      <c r="Q717" s="90"/>
      <c r="R717" s="91"/>
      <c r="S717" s="91"/>
    </row>
    <row r="718">
      <c r="A718" s="85"/>
      <c r="B718" s="85"/>
      <c r="C718" s="125"/>
      <c r="D718" s="90"/>
      <c r="E718" s="90"/>
      <c r="F718" s="126"/>
      <c r="G718" s="114"/>
      <c r="H718" s="114"/>
      <c r="M718" s="85"/>
      <c r="N718" s="90"/>
      <c r="O718" s="90"/>
      <c r="P718" s="90"/>
      <c r="Q718" s="90"/>
      <c r="R718" s="91"/>
      <c r="S718" s="91"/>
    </row>
    <row r="719">
      <c r="A719" s="85"/>
      <c r="B719" s="85"/>
      <c r="C719" s="125"/>
      <c r="D719" s="90"/>
      <c r="E719" s="90"/>
      <c r="F719" s="126"/>
      <c r="G719" s="114"/>
      <c r="H719" s="114"/>
      <c r="M719" s="85"/>
      <c r="N719" s="90"/>
      <c r="O719" s="90"/>
      <c r="P719" s="90"/>
      <c r="Q719" s="90"/>
      <c r="R719" s="91"/>
      <c r="S719" s="91"/>
    </row>
    <row r="720">
      <c r="A720" s="85"/>
      <c r="B720" s="85"/>
      <c r="C720" s="125"/>
      <c r="D720" s="90"/>
      <c r="E720" s="90"/>
      <c r="F720" s="126"/>
      <c r="G720" s="114"/>
      <c r="H720" s="114"/>
      <c r="M720" s="85"/>
      <c r="N720" s="90"/>
      <c r="O720" s="90"/>
      <c r="P720" s="90"/>
      <c r="Q720" s="90"/>
      <c r="R720" s="91"/>
      <c r="S720" s="91"/>
    </row>
    <row r="721">
      <c r="A721" s="85"/>
      <c r="B721" s="85"/>
      <c r="C721" s="125"/>
      <c r="D721" s="90"/>
      <c r="E721" s="90"/>
      <c r="F721" s="126"/>
      <c r="G721" s="114"/>
      <c r="H721" s="114"/>
      <c r="M721" s="85"/>
      <c r="N721" s="90"/>
      <c r="O721" s="90"/>
      <c r="P721" s="90"/>
      <c r="Q721" s="90"/>
      <c r="R721" s="91"/>
      <c r="S721" s="91"/>
    </row>
    <row r="722">
      <c r="A722" s="85"/>
      <c r="B722" s="85"/>
      <c r="C722" s="125"/>
      <c r="D722" s="90"/>
      <c r="E722" s="90"/>
      <c r="F722" s="126"/>
      <c r="G722" s="114"/>
      <c r="H722" s="114"/>
      <c r="M722" s="85"/>
      <c r="N722" s="90"/>
      <c r="O722" s="90"/>
      <c r="P722" s="90"/>
      <c r="Q722" s="90"/>
      <c r="R722" s="91"/>
      <c r="S722" s="91"/>
    </row>
    <row r="723">
      <c r="A723" s="85"/>
      <c r="B723" s="85"/>
      <c r="C723" s="125"/>
      <c r="D723" s="90"/>
      <c r="E723" s="90"/>
      <c r="F723" s="126"/>
      <c r="G723" s="114"/>
      <c r="H723" s="114"/>
      <c r="M723" s="85"/>
      <c r="N723" s="90"/>
      <c r="O723" s="90"/>
      <c r="P723" s="90"/>
      <c r="Q723" s="90"/>
      <c r="R723" s="91"/>
      <c r="S723" s="91"/>
    </row>
    <row r="724">
      <c r="A724" s="85"/>
      <c r="B724" s="85"/>
      <c r="C724" s="125"/>
      <c r="D724" s="90"/>
      <c r="E724" s="90"/>
      <c r="F724" s="126"/>
      <c r="G724" s="114"/>
      <c r="H724" s="114"/>
      <c r="M724" s="85"/>
      <c r="N724" s="90"/>
      <c r="O724" s="90"/>
      <c r="P724" s="90"/>
      <c r="Q724" s="90"/>
      <c r="R724" s="91"/>
      <c r="S724" s="91"/>
    </row>
    <row r="725">
      <c r="A725" s="85"/>
      <c r="B725" s="85"/>
      <c r="C725" s="125"/>
      <c r="D725" s="90"/>
      <c r="E725" s="90"/>
      <c r="F725" s="126"/>
      <c r="G725" s="114"/>
      <c r="H725" s="114"/>
      <c r="M725" s="85"/>
      <c r="N725" s="90"/>
      <c r="O725" s="90"/>
      <c r="P725" s="90"/>
      <c r="Q725" s="90"/>
      <c r="R725" s="91"/>
      <c r="S725" s="91"/>
    </row>
    <row r="726">
      <c r="A726" s="85"/>
      <c r="B726" s="85"/>
      <c r="C726" s="125"/>
      <c r="D726" s="90"/>
      <c r="E726" s="90"/>
      <c r="F726" s="126"/>
      <c r="G726" s="114"/>
      <c r="H726" s="114"/>
      <c r="M726" s="85"/>
      <c r="N726" s="90"/>
      <c r="O726" s="90"/>
      <c r="P726" s="90"/>
      <c r="Q726" s="90"/>
      <c r="R726" s="91"/>
      <c r="S726" s="91"/>
    </row>
    <row r="727">
      <c r="A727" s="85"/>
      <c r="B727" s="85"/>
      <c r="C727" s="125"/>
      <c r="D727" s="90"/>
      <c r="E727" s="90"/>
      <c r="F727" s="126"/>
      <c r="G727" s="114"/>
      <c r="H727" s="114"/>
      <c r="M727" s="85"/>
      <c r="N727" s="90"/>
      <c r="O727" s="90"/>
      <c r="P727" s="90"/>
      <c r="Q727" s="90"/>
      <c r="R727" s="91"/>
      <c r="S727" s="91"/>
    </row>
    <row r="728">
      <c r="A728" s="85"/>
      <c r="B728" s="85"/>
      <c r="C728" s="125"/>
      <c r="D728" s="90"/>
      <c r="E728" s="90"/>
      <c r="F728" s="126"/>
      <c r="G728" s="114"/>
      <c r="H728" s="114"/>
      <c r="M728" s="85"/>
      <c r="N728" s="90"/>
      <c r="O728" s="90"/>
      <c r="P728" s="90"/>
      <c r="Q728" s="90"/>
      <c r="R728" s="91"/>
      <c r="S728" s="91"/>
    </row>
    <row r="729">
      <c r="A729" s="85"/>
      <c r="B729" s="85"/>
      <c r="C729" s="125"/>
      <c r="D729" s="90"/>
      <c r="E729" s="90"/>
      <c r="F729" s="126"/>
      <c r="G729" s="114"/>
      <c r="H729" s="114"/>
      <c r="M729" s="85"/>
      <c r="N729" s="90"/>
      <c r="O729" s="90"/>
      <c r="P729" s="90"/>
      <c r="Q729" s="90"/>
      <c r="R729" s="91"/>
      <c r="S729" s="91"/>
    </row>
    <row r="730">
      <c r="A730" s="85"/>
      <c r="B730" s="85"/>
      <c r="C730" s="125"/>
      <c r="D730" s="90"/>
      <c r="E730" s="90"/>
      <c r="F730" s="126"/>
      <c r="G730" s="114"/>
      <c r="H730" s="114"/>
      <c r="M730" s="85"/>
      <c r="N730" s="90"/>
      <c r="O730" s="90"/>
      <c r="P730" s="90"/>
      <c r="Q730" s="90"/>
      <c r="R730" s="91"/>
      <c r="S730" s="91"/>
    </row>
    <row r="731">
      <c r="A731" s="85"/>
      <c r="B731" s="85"/>
      <c r="C731" s="125"/>
      <c r="D731" s="90"/>
      <c r="E731" s="90"/>
      <c r="F731" s="126"/>
      <c r="G731" s="114"/>
      <c r="H731" s="114"/>
      <c r="M731" s="85"/>
      <c r="N731" s="90"/>
      <c r="O731" s="90"/>
      <c r="P731" s="90"/>
      <c r="Q731" s="90"/>
      <c r="R731" s="91"/>
      <c r="S731" s="91"/>
    </row>
    <row r="732">
      <c r="A732" s="85"/>
      <c r="B732" s="85"/>
      <c r="C732" s="125"/>
      <c r="D732" s="90"/>
      <c r="E732" s="90"/>
      <c r="F732" s="126"/>
      <c r="G732" s="114"/>
      <c r="H732" s="114"/>
      <c r="M732" s="85"/>
      <c r="N732" s="90"/>
      <c r="O732" s="90"/>
      <c r="P732" s="90"/>
      <c r="Q732" s="90"/>
      <c r="R732" s="91"/>
      <c r="S732" s="91"/>
    </row>
    <row r="733">
      <c r="A733" s="85"/>
      <c r="B733" s="85"/>
      <c r="C733" s="125"/>
      <c r="D733" s="90"/>
      <c r="E733" s="90"/>
      <c r="F733" s="126"/>
      <c r="G733" s="114"/>
      <c r="H733" s="114"/>
      <c r="M733" s="85"/>
      <c r="N733" s="90"/>
      <c r="O733" s="90"/>
      <c r="P733" s="90"/>
      <c r="Q733" s="90"/>
      <c r="R733" s="91"/>
      <c r="S733" s="91"/>
    </row>
    <row r="734">
      <c r="A734" s="85"/>
      <c r="B734" s="85"/>
      <c r="C734" s="125"/>
      <c r="D734" s="90"/>
      <c r="E734" s="90"/>
      <c r="F734" s="126"/>
      <c r="G734" s="114"/>
      <c r="H734" s="114"/>
      <c r="M734" s="85"/>
      <c r="N734" s="90"/>
      <c r="O734" s="90"/>
      <c r="P734" s="90"/>
      <c r="Q734" s="90"/>
      <c r="R734" s="91"/>
      <c r="S734" s="91"/>
    </row>
    <row r="735">
      <c r="A735" s="85"/>
      <c r="B735" s="85"/>
      <c r="C735" s="125"/>
      <c r="D735" s="90"/>
      <c r="E735" s="90"/>
      <c r="F735" s="126"/>
      <c r="G735" s="114"/>
      <c r="H735" s="114"/>
      <c r="M735" s="85"/>
      <c r="N735" s="90"/>
      <c r="O735" s="90"/>
      <c r="P735" s="90"/>
      <c r="Q735" s="90"/>
      <c r="R735" s="91"/>
      <c r="S735" s="91"/>
    </row>
    <row r="736">
      <c r="A736" s="85"/>
      <c r="B736" s="85"/>
      <c r="C736" s="125"/>
      <c r="D736" s="90"/>
      <c r="E736" s="90"/>
      <c r="F736" s="126"/>
      <c r="G736" s="114"/>
      <c r="H736" s="114"/>
      <c r="M736" s="85"/>
      <c r="N736" s="90"/>
      <c r="O736" s="90"/>
      <c r="P736" s="90"/>
      <c r="Q736" s="90"/>
      <c r="R736" s="91"/>
      <c r="S736" s="91"/>
    </row>
    <row r="737">
      <c r="A737" s="85"/>
      <c r="B737" s="85"/>
      <c r="C737" s="125"/>
      <c r="D737" s="90"/>
      <c r="E737" s="90"/>
      <c r="F737" s="126"/>
      <c r="G737" s="114"/>
      <c r="H737" s="114"/>
      <c r="M737" s="85"/>
      <c r="N737" s="90"/>
      <c r="O737" s="90"/>
      <c r="P737" s="90"/>
      <c r="Q737" s="90"/>
      <c r="R737" s="91"/>
      <c r="S737" s="91"/>
    </row>
    <row r="738">
      <c r="A738" s="85"/>
      <c r="B738" s="85"/>
      <c r="C738" s="125"/>
      <c r="D738" s="90"/>
      <c r="E738" s="90"/>
      <c r="F738" s="126"/>
      <c r="G738" s="114"/>
      <c r="H738" s="114"/>
      <c r="M738" s="85"/>
      <c r="N738" s="90"/>
      <c r="O738" s="90"/>
      <c r="P738" s="90"/>
      <c r="Q738" s="90"/>
      <c r="R738" s="91"/>
      <c r="S738" s="91"/>
    </row>
    <row r="739">
      <c r="A739" s="85"/>
      <c r="B739" s="85"/>
      <c r="C739" s="125"/>
      <c r="D739" s="90"/>
      <c r="E739" s="90"/>
      <c r="F739" s="126"/>
      <c r="G739" s="114"/>
      <c r="H739" s="114"/>
      <c r="M739" s="85"/>
      <c r="N739" s="90"/>
      <c r="O739" s="90"/>
      <c r="P739" s="90"/>
      <c r="Q739" s="90"/>
      <c r="R739" s="91"/>
      <c r="S739" s="91"/>
    </row>
    <row r="740">
      <c r="A740" s="85"/>
      <c r="B740" s="85"/>
      <c r="C740" s="125"/>
      <c r="D740" s="90"/>
      <c r="E740" s="90"/>
      <c r="F740" s="126"/>
      <c r="G740" s="114"/>
      <c r="H740" s="114"/>
      <c r="M740" s="85"/>
      <c r="N740" s="90"/>
      <c r="O740" s="90"/>
      <c r="P740" s="90"/>
      <c r="Q740" s="90"/>
      <c r="R740" s="91"/>
      <c r="S740" s="91"/>
    </row>
    <row r="741">
      <c r="A741" s="85"/>
      <c r="B741" s="85"/>
      <c r="C741" s="125"/>
      <c r="D741" s="90"/>
      <c r="E741" s="90"/>
      <c r="F741" s="126"/>
      <c r="G741" s="114"/>
      <c r="H741" s="114"/>
      <c r="M741" s="85"/>
      <c r="N741" s="90"/>
      <c r="O741" s="90"/>
      <c r="P741" s="90"/>
      <c r="Q741" s="90"/>
      <c r="R741" s="91"/>
      <c r="S741" s="91"/>
    </row>
    <row r="742">
      <c r="A742" s="85"/>
      <c r="B742" s="85"/>
      <c r="C742" s="125"/>
      <c r="D742" s="90"/>
      <c r="E742" s="90"/>
      <c r="F742" s="126"/>
      <c r="G742" s="114"/>
      <c r="H742" s="114"/>
      <c r="M742" s="85"/>
      <c r="N742" s="90"/>
      <c r="O742" s="90"/>
      <c r="P742" s="90"/>
      <c r="Q742" s="90"/>
      <c r="R742" s="91"/>
      <c r="S742" s="91"/>
    </row>
    <row r="743">
      <c r="A743" s="85"/>
      <c r="B743" s="85"/>
      <c r="C743" s="125"/>
      <c r="D743" s="90"/>
      <c r="E743" s="90"/>
      <c r="F743" s="126"/>
      <c r="G743" s="114"/>
      <c r="H743" s="114"/>
      <c r="M743" s="85"/>
      <c r="N743" s="90"/>
      <c r="O743" s="90"/>
      <c r="P743" s="90"/>
      <c r="Q743" s="90"/>
      <c r="R743" s="91"/>
      <c r="S743" s="91"/>
    </row>
    <row r="744">
      <c r="A744" s="85"/>
      <c r="B744" s="85"/>
      <c r="C744" s="125"/>
      <c r="D744" s="90"/>
      <c r="E744" s="90"/>
      <c r="F744" s="126"/>
      <c r="G744" s="114"/>
      <c r="H744" s="114"/>
      <c r="M744" s="85"/>
      <c r="N744" s="90"/>
      <c r="O744" s="90"/>
      <c r="P744" s="90"/>
      <c r="Q744" s="90"/>
      <c r="R744" s="91"/>
      <c r="S744" s="91"/>
    </row>
    <row r="745">
      <c r="A745" s="85"/>
      <c r="B745" s="85"/>
      <c r="C745" s="125"/>
      <c r="D745" s="90"/>
      <c r="E745" s="90"/>
      <c r="F745" s="126"/>
      <c r="G745" s="114"/>
      <c r="H745" s="114"/>
      <c r="M745" s="85"/>
      <c r="N745" s="90"/>
      <c r="O745" s="90"/>
      <c r="P745" s="90"/>
      <c r="Q745" s="90"/>
      <c r="R745" s="91"/>
      <c r="S745" s="91"/>
    </row>
    <row r="746">
      <c r="A746" s="85"/>
      <c r="B746" s="85"/>
      <c r="C746" s="125"/>
      <c r="D746" s="90"/>
      <c r="E746" s="90"/>
      <c r="F746" s="126"/>
      <c r="G746" s="114"/>
      <c r="H746" s="114"/>
      <c r="M746" s="85"/>
      <c r="N746" s="90"/>
      <c r="O746" s="90"/>
      <c r="P746" s="90"/>
      <c r="Q746" s="90"/>
      <c r="R746" s="91"/>
      <c r="S746" s="91"/>
    </row>
    <row r="747">
      <c r="A747" s="85"/>
      <c r="B747" s="85"/>
      <c r="C747" s="125"/>
      <c r="D747" s="90"/>
      <c r="E747" s="90"/>
      <c r="F747" s="126"/>
      <c r="G747" s="114"/>
      <c r="H747" s="114"/>
      <c r="M747" s="85"/>
      <c r="N747" s="90"/>
      <c r="O747" s="90"/>
      <c r="P747" s="90"/>
      <c r="Q747" s="90"/>
      <c r="R747" s="91"/>
      <c r="S747" s="91"/>
    </row>
    <row r="748">
      <c r="A748" s="85"/>
      <c r="B748" s="85"/>
      <c r="C748" s="125"/>
      <c r="D748" s="90"/>
      <c r="E748" s="90"/>
      <c r="F748" s="126"/>
      <c r="G748" s="114"/>
      <c r="H748" s="114"/>
      <c r="M748" s="85"/>
      <c r="N748" s="90"/>
      <c r="O748" s="90"/>
      <c r="P748" s="90"/>
      <c r="Q748" s="90"/>
      <c r="R748" s="91"/>
      <c r="S748" s="91"/>
    </row>
    <row r="749">
      <c r="A749" s="85"/>
      <c r="B749" s="85"/>
      <c r="C749" s="125"/>
      <c r="D749" s="90"/>
      <c r="E749" s="90"/>
      <c r="F749" s="126"/>
      <c r="G749" s="114"/>
      <c r="H749" s="114"/>
      <c r="M749" s="85"/>
      <c r="N749" s="90"/>
      <c r="O749" s="90"/>
      <c r="P749" s="90"/>
      <c r="Q749" s="90"/>
      <c r="R749" s="91"/>
      <c r="S749" s="91"/>
    </row>
    <row r="750">
      <c r="A750" s="85"/>
      <c r="B750" s="85"/>
      <c r="C750" s="125"/>
      <c r="D750" s="90"/>
      <c r="E750" s="90"/>
      <c r="F750" s="126"/>
      <c r="G750" s="114"/>
      <c r="H750" s="114"/>
      <c r="M750" s="85"/>
      <c r="N750" s="90"/>
      <c r="O750" s="90"/>
      <c r="P750" s="90"/>
      <c r="Q750" s="90"/>
      <c r="R750" s="91"/>
      <c r="S750" s="91"/>
    </row>
    <row r="751">
      <c r="A751" s="85"/>
      <c r="B751" s="85"/>
      <c r="C751" s="125"/>
      <c r="D751" s="90"/>
      <c r="E751" s="90"/>
      <c r="F751" s="126"/>
      <c r="G751" s="114"/>
      <c r="H751" s="114"/>
      <c r="M751" s="85"/>
      <c r="N751" s="90"/>
      <c r="O751" s="90"/>
      <c r="P751" s="90"/>
      <c r="Q751" s="90"/>
      <c r="R751" s="91"/>
      <c r="S751" s="91"/>
    </row>
    <row r="752">
      <c r="A752" s="85"/>
      <c r="B752" s="85"/>
      <c r="C752" s="125"/>
      <c r="D752" s="90"/>
      <c r="E752" s="90"/>
      <c r="F752" s="126"/>
      <c r="G752" s="114"/>
      <c r="H752" s="114"/>
      <c r="M752" s="85"/>
      <c r="N752" s="90"/>
      <c r="O752" s="90"/>
      <c r="P752" s="90"/>
      <c r="Q752" s="90"/>
      <c r="R752" s="91"/>
      <c r="S752" s="91"/>
    </row>
    <row r="753">
      <c r="A753" s="85"/>
      <c r="B753" s="85"/>
      <c r="C753" s="125"/>
      <c r="D753" s="90"/>
      <c r="E753" s="90"/>
      <c r="F753" s="126"/>
      <c r="G753" s="114"/>
      <c r="H753" s="114"/>
      <c r="M753" s="85"/>
      <c r="N753" s="90"/>
      <c r="O753" s="90"/>
      <c r="P753" s="90"/>
      <c r="Q753" s="90"/>
      <c r="R753" s="91"/>
      <c r="S753" s="91"/>
    </row>
    <row r="754">
      <c r="A754" s="85"/>
      <c r="B754" s="85"/>
      <c r="C754" s="125"/>
      <c r="D754" s="90"/>
      <c r="E754" s="90"/>
      <c r="F754" s="126"/>
      <c r="G754" s="114"/>
      <c r="H754" s="114"/>
      <c r="M754" s="85"/>
      <c r="N754" s="90"/>
      <c r="O754" s="90"/>
      <c r="P754" s="90"/>
      <c r="Q754" s="90"/>
      <c r="R754" s="91"/>
      <c r="S754" s="91"/>
    </row>
    <row r="755">
      <c r="A755" s="85"/>
      <c r="B755" s="85"/>
      <c r="C755" s="125"/>
      <c r="D755" s="90"/>
      <c r="E755" s="90"/>
      <c r="F755" s="126"/>
      <c r="G755" s="114"/>
      <c r="H755" s="114"/>
      <c r="M755" s="85"/>
      <c r="N755" s="90"/>
      <c r="O755" s="90"/>
      <c r="P755" s="90"/>
      <c r="Q755" s="90"/>
      <c r="R755" s="91"/>
      <c r="S755" s="91"/>
    </row>
    <row r="756">
      <c r="A756" s="85"/>
      <c r="B756" s="85"/>
      <c r="C756" s="125"/>
      <c r="D756" s="90"/>
      <c r="E756" s="90"/>
      <c r="F756" s="126"/>
      <c r="G756" s="114"/>
      <c r="H756" s="114"/>
      <c r="M756" s="85"/>
      <c r="N756" s="90"/>
      <c r="O756" s="90"/>
      <c r="P756" s="90"/>
      <c r="Q756" s="90"/>
      <c r="R756" s="91"/>
      <c r="S756" s="91"/>
    </row>
    <row r="757">
      <c r="A757" s="85"/>
      <c r="B757" s="85"/>
      <c r="C757" s="125"/>
      <c r="D757" s="90"/>
      <c r="E757" s="90"/>
      <c r="F757" s="126"/>
      <c r="G757" s="114"/>
      <c r="H757" s="114"/>
      <c r="M757" s="85"/>
      <c r="N757" s="90"/>
      <c r="O757" s="90"/>
      <c r="P757" s="90"/>
      <c r="Q757" s="90"/>
      <c r="R757" s="91"/>
      <c r="S757" s="91"/>
    </row>
    <row r="758">
      <c r="A758" s="85"/>
      <c r="B758" s="85"/>
      <c r="C758" s="125"/>
      <c r="D758" s="90"/>
      <c r="E758" s="90"/>
      <c r="F758" s="126"/>
      <c r="G758" s="114"/>
      <c r="H758" s="114"/>
      <c r="M758" s="85"/>
      <c r="N758" s="90"/>
      <c r="O758" s="90"/>
      <c r="P758" s="90"/>
      <c r="Q758" s="90"/>
      <c r="R758" s="91"/>
      <c r="S758" s="91"/>
    </row>
    <row r="759">
      <c r="A759" s="85"/>
      <c r="B759" s="85"/>
      <c r="C759" s="125"/>
      <c r="D759" s="90"/>
      <c r="E759" s="90"/>
      <c r="F759" s="126"/>
      <c r="G759" s="114"/>
      <c r="H759" s="114"/>
      <c r="M759" s="85"/>
      <c r="N759" s="90"/>
      <c r="O759" s="90"/>
      <c r="P759" s="90"/>
      <c r="Q759" s="90"/>
      <c r="R759" s="91"/>
      <c r="S759" s="91"/>
    </row>
    <row r="760">
      <c r="A760" s="85"/>
      <c r="B760" s="85"/>
      <c r="C760" s="125"/>
      <c r="D760" s="90"/>
      <c r="E760" s="90"/>
      <c r="F760" s="126"/>
      <c r="G760" s="114"/>
      <c r="H760" s="114"/>
      <c r="M760" s="85"/>
      <c r="N760" s="90"/>
      <c r="O760" s="90"/>
      <c r="P760" s="90"/>
      <c r="Q760" s="90"/>
      <c r="R760" s="91"/>
      <c r="S760" s="91"/>
    </row>
    <row r="761">
      <c r="A761" s="85"/>
      <c r="B761" s="85"/>
      <c r="C761" s="125"/>
      <c r="D761" s="90"/>
      <c r="E761" s="90"/>
      <c r="F761" s="126"/>
      <c r="G761" s="114"/>
      <c r="H761" s="114"/>
      <c r="M761" s="85"/>
      <c r="N761" s="90"/>
      <c r="O761" s="90"/>
      <c r="P761" s="90"/>
      <c r="Q761" s="90"/>
      <c r="R761" s="91"/>
      <c r="S761" s="91"/>
    </row>
    <row r="762">
      <c r="A762" s="85"/>
      <c r="B762" s="85"/>
      <c r="C762" s="125"/>
      <c r="D762" s="90"/>
      <c r="E762" s="90"/>
      <c r="F762" s="126"/>
      <c r="G762" s="114"/>
      <c r="H762" s="114"/>
      <c r="M762" s="85"/>
      <c r="N762" s="90"/>
      <c r="O762" s="90"/>
      <c r="P762" s="90"/>
      <c r="Q762" s="90"/>
      <c r="R762" s="91"/>
      <c r="S762" s="91"/>
    </row>
    <row r="763">
      <c r="A763" s="85"/>
      <c r="B763" s="85"/>
      <c r="C763" s="125"/>
      <c r="D763" s="90"/>
      <c r="E763" s="90"/>
      <c r="F763" s="126"/>
      <c r="G763" s="114"/>
      <c r="H763" s="114"/>
      <c r="M763" s="85"/>
      <c r="N763" s="90"/>
      <c r="O763" s="90"/>
      <c r="P763" s="90"/>
      <c r="Q763" s="90"/>
      <c r="R763" s="91"/>
      <c r="S763" s="91"/>
    </row>
    <row r="764">
      <c r="A764" s="85"/>
      <c r="B764" s="85"/>
      <c r="C764" s="125"/>
      <c r="D764" s="90"/>
      <c r="E764" s="90"/>
      <c r="F764" s="126"/>
      <c r="G764" s="114"/>
      <c r="H764" s="114"/>
      <c r="M764" s="85"/>
      <c r="N764" s="90"/>
      <c r="O764" s="90"/>
      <c r="P764" s="90"/>
      <c r="Q764" s="90"/>
      <c r="R764" s="91"/>
      <c r="S764" s="91"/>
    </row>
    <row r="765">
      <c r="A765" s="85"/>
      <c r="B765" s="85"/>
      <c r="C765" s="125"/>
      <c r="D765" s="90"/>
      <c r="E765" s="90"/>
      <c r="F765" s="126"/>
      <c r="G765" s="114"/>
      <c r="H765" s="114"/>
      <c r="M765" s="85"/>
      <c r="N765" s="90"/>
      <c r="O765" s="90"/>
      <c r="P765" s="90"/>
      <c r="Q765" s="90"/>
      <c r="R765" s="91"/>
      <c r="S765" s="91"/>
    </row>
    <row r="766">
      <c r="A766" s="85"/>
      <c r="B766" s="85"/>
      <c r="C766" s="125"/>
      <c r="D766" s="90"/>
      <c r="E766" s="90"/>
      <c r="F766" s="126"/>
      <c r="G766" s="114"/>
      <c r="H766" s="114"/>
      <c r="M766" s="85"/>
      <c r="N766" s="90"/>
      <c r="O766" s="90"/>
      <c r="P766" s="90"/>
      <c r="Q766" s="90"/>
      <c r="R766" s="91"/>
      <c r="S766" s="91"/>
    </row>
    <row r="767">
      <c r="A767" s="85"/>
      <c r="B767" s="85"/>
      <c r="C767" s="125"/>
      <c r="D767" s="90"/>
      <c r="E767" s="90"/>
      <c r="F767" s="126"/>
      <c r="G767" s="114"/>
      <c r="H767" s="114"/>
      <c r="M767" s="85"/>
      <c r="N767" s="90"/>
      <c r="O767" s="90"/>
      <c r="P767" s="90"/>
      <c r="Q767" s="90"/>
      <c r="R767" s="91"/>
      <c r="S767" s="91"/>
    </row>
    <row r="768">
      <c r="A768" s="85"/>
      <c r="B768" s="85"/>
      <c r="C768" s="125"/>
      <c r="D768" s="90"/>
      <c r="E768" s="90"/>
      <c r="F768" s="126"/>
      <c r="G768" s="114"/>
      <c r="H768" s="114"/>
      <c r="M768" s="85"/>
      <c r="N768" s="90"/>
      <c r="O768" s="90"/>
      <c r="P768" s="90"/>
      <c r="Q768" s="90"/>
      <c r="R768" s="91"/>
      <c r="S768" s="91"/>
    </row>
    <row r="769">
      <c r="A769" s="85"/>
      <c r="B769" s="85"/>
      <c r="C769" s="125"/>
      <c r="D769" s="90"/>
      <c r="E769" s="90"/>
      <c r="F769" s="126"/>
      <c r="G769" s="114"/>
      <c r="H769" s="114"/>
      <c r="M769" s="85"/>
      <c r="N769" s="90"/>
      <c r="O769" s="90"/>
      <c r="P769" s="90"/>
      <c r="Q769" s="90"/>
      <c r="R769" s="91"/>
      <c r="S769" s="91"/>
    </row>
    <row r="770">
      <c r="A770" s="85"/>
      <c r="B770" s="85"/>
      <c r="C770" s="125"/>
      <c r="D770" s="90"/>
      <c r="E770" s="90"/>
      <c r="F770" s="126"/>
      <c r="G770" s="114"/>
      <c r="H770" s="114"/>
      <c r="M770" s="85"/>
      <c r="N770" s="90"/>
      <c r="O770" s="90"/>
      <c r="P770" s="90"/>
      <c r="Q770" s="90"/>
      <c r="R770" s="91"/>
      <c r="S770" s="91"/>
    </row>
    <row r="771">
      <c r="A771" s="85"/>
      <c r="B771" s="85"/>
      <c r="C771" s="125"/>
      <c r="D771" s="90"/>
      <c r="E771" s="90"/>
      <c r="F771" s="126"/>
      <c r="G771" s="114"/>
      <c r="H771" s="114"/>
      <c r="M771" s="85"/>
      <c r="N771" s="90"/>
      <c r="O771" s="90"/>
      <c r="P771" s="90"/>
      <c r="Q771" s="90"/>
      <c r="R771" s="91"/>
      <c r="S771" s="91"/>
    </row>
    <row r="772">
      <c r="A772" s="85"/>
      <c r="B772" s="85"/>
      <c r="C772" s="125"/>
      <c r="D772" s="90"/>
      <c r="E772" s="90"/>
      <c r="F772" s="126"/>
      <c r="G772" s="114"/>
      <c r="H772" s="114"/>
      <c r="M772" s="85"/>
      <c r="N772" s="90"/>
      <c r="O772" s="90"/>
      <c r="P772" s="90"/>
      <c r="Q772" s="90"/>
      <c r="R772" s="91"/>
      <c r="S772" s="91"/>
    </row>
    <row r="773">
      <c r="A773" s="85"/>
      <c r="B773" s="85"/>
      <c r="C773" s="125"/>
      <c r="D773" s="90"/>
      <c r="E773" s="90"/>
      <c r="F773" s="126"/>
      <c r="G773" s="114"/>
      <c r="H773" s="114"/>
      <c r="M773" s="85"/>
      <c r="N773" s="90"/>
      <c r="O773" s="90"/>
      <c r="P773" s="90"/>
      <c r="Q773" s="90"/>
      <c r="R773" s="91"/>
      <c r="S773" s="91"/>
    </row>
    <row r="774">
      <c r="A774" s="85"/>
      <c r="B774" s="85"/>
      <c r="C774" s="125"/>
      <c r="D774" s="90"/>
      <c r="E774" s="90"/>
      <c r="F774" s="126"/>
      <c r="G774" s="114"/>
      <c r="H774" s="114"/>
      <c r="M774" s="85"/>
      <c r="N774" s="90"/>
      <c r="O774" s="90"/>
      <c r="P774" s="90"/>
      <c r="Q774" s="90"/>
      <c r="R774" s="91"/>
      <c r="S774" s="91"/>
    </row>
    <row r="775">
      <c r="A775" s="85"/>
      <c r="B775" s="85"/>
      <c r="C775" s="125"/>
      <c r="D775" s="90"/>
      <c r="E775" s="90"/>
      <c r="F775" s="126"/>
      <c r="G775" s="114"/>
      <c r="H775" s="114"/>
      <c r="M775" s="85"/>
      <c r="N775" s="90"/>
      <c r="O775" s="90"/>
      <c r="P775" s="90"/>
      <c r="Q775" s="90"/>
      <c r="R775" s="91"/>
      <c r="S775" s="91"/>
    </row>
    <row r="776">
      <c r="A776" s="85"/>
      <c r="B776" s="85"/>
      <c r="C776" s="125"/>
      <c r="D776" s="90"/>
      <c r="E776" s="90"/>
      <c r="F776" s="126"/>
      <c r="G776" s="114"/>
      <c r="H776" s="114"/>
      <c r="M776" s="85"/>
      <c r="N776" s="90"/>
      <c r="O776" s="90"/>
      <c r="P776" s="90"/>
      <c r="Q776" s="90"/>
      <c r="R776" s="91"/>
      <c r="S776" s="91"/>
    </row>
    <row r="777">
      <c r="A777" s="85"/>
      <c r="B777" s="85"/>
      <c r="C777" s="125"/>
      <c r="D777" s="90"/>
      <c r="E777" s="90"/>
      <c r="F777" s="126"/>
      <c r="G777" s="114"/>
      <c r="H777" s="114"/>
      <c r="M777" s="85"/>
      <c r="N777" s="90"/>
      <c r="O777" s="90"/>
      <c r="P777" s="90"/>
      <c r="Q777" s="90"/>
      <c r="R777" s="91"/>
      <c r="S777" s="91"/>
    </row>
    <row r="778">
      <c r="A778" s="85"/>
      <c r="B778" s="85"/>
      <c r="C778" s="125"/>
      <c r="D778" s="90"/>
      <c r="E778" s="90"/>
      <c r="F778" s="126"/>
      <c r="G778" s="114"/>
      <c r="H778" s="114"/>
      <c r="M778" s="85"/>
      <c r="N778" s="90"/>
      <c r="O778" s="90"/>
      <c r="P778" s="90"/>
      <c r="Q778" s="90"/>
      <c r="R778" s="91"/>
      <c r="S778" s="91"/>
    </row>
    <row r="779">
      <c r="A779" s="85"/>
      <c r="B779" s="85"/>
      <c r="C779" s="125"/>
      <c r="D779" s="90"/>
      <c r="E779" s="90"/>
      <c r="F779" s="126"/>
      <c r="G779" s="114"/>
      <c r="H779" s="114"/>
      <c r="M779" s="85"/>
      <c r="N779" s="90"/>
      <c r="O779" s="90"/>
      <c r="P779" s="90"/>
      <c r="Q779" s="90"/>
      <c r="R779" s="91"/>
      <c r="S779" s="91"/>
    </row>
    <row r="780">
      <c r="A780" s="85"/>
      <c r="B780" s="85"/>
      <c r="C780" s="125"/>
      <c r="D780" s="90"/>
      <c r="E780" s="90"/>
      <c r="F780" s="126"/>
      <c r="G780" s="114"/>
      <c r="H780" s="114"/>
      <c r="M780" s="85"/>
      <c r="N780" s="90"/>
      <c r="O780" s="90"/>
      <c r="P780" s="90"/>
      <c r="Q780" s="90"/>
      <c r="R780" s="91"/>
      <c r="S780" s="91"/>
    </row>
    <row r="781">
      <c r="A781" s="85"/>
      <c r="B781" s="85"/>
      <c r="C781" s="125"/>
      <c r="D781" s="90"/>
      <c r="E781" s="90"/>
      <c r="F781" s="126"/>
      <c r="G781" s="114"/>
      <c r="H781" s="114"/>
      <c r="M781" s="85"/>
      <c r="N781" s="90"/>
      <c r="O781" s="90"/>
      <c r="P781" s="90"/>
      <c r="Q781" s="90"/>
      <c r="R781" s="91"/>
      <c r="S781" s="91"/>
    </row>
    <row r="782">
      <c r="A782" s="85"/>
      <c r="B782" s="85"/>
      <c r="C782" s="125"/>
      <c r="D782" s="90"/>
      <c r="E782" s="90"/>
      <c r="F782" s="126"/>
      <c r="G782" s="114"/>
      <c r="H782" s="114"/>
      <c r="M782" s="85"/>
      <c r="N782" s="90"/>
      <c r="O782" s="90"/>
      <c r="P782" s="90"/>
      <c r="Q782" s="90"/>
      <c r="R782" s="91"/>
      <c r="S782" s="91"/>
    </row>
    <row r="783">
      <c r="A783" s="85"/>
      <c r="B783" s="85"/>
      <c r="C783" s="125"/>
      <c r="D783" s="90"/>
      <c r="E783" s="90"/>
      <c r="F783" s="126"/>
      <c r="G783" s="114"/>
      <c r="H783" s="114"/>
      <c r="M783" s="85"/>
      <c r="N783" s="90"/>
      <c r="O783" s="90"/>
      <c r="P783" s="90"/>
      <c r="Q783" s="90"/>
      <c r="R783" s="91"/>
      <c r="S783" s="91"/>
    </row>
    <row r="784">
      <c r="A784" s="85"/>
      <c r="B784" s="85"/>
      <c r="C784" s="125"/>
      <c r="D784" s="90"/>
      <c r="E784" s="90"/>
      <c r="F784" s="126"/>
      <c r="G784" s="114"/>
      <c r="H784" s="114"/>
      <c r="M784" s="85"/>
      <c r="N784" s="90"/>
      <c r="O784" s="90"/>
      <c r="P784" s="90"/>
      <c r="Q784" s="90"/>
      <c r="R784" s="91"/>
      <c r="S784" s="91"/>
    </row>
    <row r="785">
      <c r="A785" s="85"/>
      <c r="B785" s="85"/>
      <c r="C785" s="125"/>
      <c r="D785" s="90"/>
      <c r="E785" s="90"/>
      <c r="F785" s="126"/>
      <c r="G785" s="114"/>
      <c r="H785" s="114"/>
      <c r="M785" s="85"/>
      <c r="N785" s="90"/>
      <c r="O785" s="90"/>
      <c r="P785" s="90"/>
      <c r="Q785" s="90"/>
      <c r="R785" s="91"/>
      <c r="S785" s="91"/>
    </row>
    <row r="786">
      <c r="A786" s="85"/>
      <c r="B786" s="85"/>
      <c r="C786" s="125"/>
      <c r="D786" s="90"/>
      <c r="E786" s="90"/>
      <c r="F786" s="126"/>
      <c r="G786" s="114"/>
      <c r="H786" s="114"/>
      <c r="M786" s="85"/>
      <c r="N786" s="90"/>
      <c r="O786" s="90"/>
      <c r="P786" s="90"/>
      <c r="Q786" s="90"/>
      <c r="R786" s="91"/>
      <c r="S786" s="91"/>
    </row>
    <row r="787">
      <c r="A787" s="85"/>
      <c r="B787" s="85"/>
      <c r="C787" s="125"/>
      <c r="D787" s="90"/>
      <c r="E787" s="90"/>
      <c r="F787" s="126"/>
      <c r="G787" s="114"/>
      <c r="H787" s="114"/>
      <c r="M787" s="85"/>
      <c r="N787" s="90"/>
      <c r="O787" s="90"/>
      <c r="P787" s="90"/>
      <c r="Q787" s="90"/>
      <c r="R787" s="91"/>
      <c r="S787" s="91"/>
    </row>
    <row r="788">
      <c r="A788" s="85"/>
      <c r="B788" s="85"/>
      <c r="C788" s="125"/>
      <c r="D788" s="90"/>
      <c r="E788" s="90"/>
      <c r="F788" s="126"/>
      <c r="G788" s="114"/>
      <c r="H788" s="114"/>
      <c r="M788" s="85"/>
      <c r="N788" s="90"/>
      <c r="O788" s="90"/>
      <c r="P788" s="90"/>
      <c r="Q788" s="90"/>
      <c r="R788" s="91"/>
      <c r="S788" s="91"/>
    </row>
    <row r="789">
      <c r="A789" s="85"/>
      <c r="B789" s="85"/>
      <c r="C789" s="125"/>
      <c r="D789" s="90"/>
      <c r="E789" s="90"/>
      <c r="F789" s="126"/>
      <c r="G789" s="114"/>
      <c r="H789" s="114"/>
      <c r="M789" s="85"/>
      <c r="N789" s="90"/>
      <c r="O789" s="90"/>
      <c r="P789" s="90"/>
      <c r="Q789" s="90"/>
      <c r="R789" s="91"/>
      <c r="S789" s="91"/>
    </row>
    <row r="790">
      <c r="A790" s="85"/>
      <c r="B790" s="85"/>
      <c r="C790" s="125"/>
      <c r="D790" s="90"/>
      <c r="E790" s="90"/>
      <c r="F790" s="126"/>
      <c r="G790" s="114"/>
      <c r="H790" s="114"/>
      <c r="M790" s="85"/>
      <c r="N790" s="90"/>
      <c r="O790" s="90"/>
      <c r="P790" s="90"/>
      <c r="Q790" s="90"/>
      <c r="R790" s="91"/>
      <c r="S790" s="91"/>
    </row>
    <row r="791">
      <c r="A791" s="85"/>
      <c r="B791" s="85"/>
      <c r="C791" s="125"/>
      <c r="D791" s="90"/>
      <c r="E791" s="90"/>
      <c r="F791" s="126"/>
      <c r="G791" s="114"/>
      <c r="H791" s="114"/>
      <c r="M791" s="85"/>
      <c r="N791" s="90"/>
      <c r="O791" s="90"/>
      <c r="P791" s="90"/>
      <c r="Q791" s="90"/>
      <c r="R791" s="91"/>
      <c r="S791" s="91"/>
    </row>
    <row r="792">
      <c r="A792" s="85"/>
      <c r="B792" s="85"/>
      <c r="C792" s="125"/>
      <c r="D792" s="90"/>
      <c r="E792" s="90"/>
      <c r="F792" s="126"/>
      <c r="G792" s="114"/>
      <c r="H792" s="114"/>
      <c r="M792" s="85"/>
      <c r="N792" s="90"/>
      <c r="O792" s="90"/>
      <c r="P792" s="90"/>
      <c r="Q792" s="90"/>
      <c r="R792" s="91"/>
      <c r="S792" s="91"/>
    </row>
    <row r="793">
      <c r="A793" s="85"/>
      <c r="B793" s="85"/>
      <c r="C793" s="125"/>
      <c r="D793" s="90"/>
      <c r="E793" s="90"/>
      <c r="F793" s="126"/>
      <c r="G793" s="114"/>
      <c r="H793" s="114"/>
      <c r="M793" s="85"/>
      <c r="N793" s="90"/>
      <c r="O793" s="90"/>
      <c r="P793" s="90"/>
      <c r="Q793" s="90"/>
      <c r="R793" s="91"/>
      <c r="S793" s="91"/>
    </row>
    <row r="794">
      <c r="A794" s="85"/>
      <c r="B794" s="85"/>
      <c r="C794" s="125"/>
      <c r="D794" s="90"/>
      <c r="E794" s="90"/>
      <c r="F794" s="126"/>
      <c r="G794" s="114"/>
      <c r="H794" s="114"/>
      <c r="M794" s="85"/>
      <c r="N794" s="90"/>
      <c r="O794" s="90"/>
      <c r="P794" s="90"/>
      <c r="Q794" s="90"/>
      <c r="R794" s="91"/>
      <c r="S794" s="91"/>
    </row>
    <row r="795">
      <c r="A795" s="85"/>
      <c r="B795" s="85"/>
      <c r="C795" s="125"/>
      <c r="D795" s="90"/>
      <c r="E795" s="90"/>
      <c r="F795" s="126"/>
      <c r="G795" s="114"/>
      <c r="H795" s="114"/>
      <c r="M795" s="85"/>
      <c r="N795" s="90"/>
      <c r="O795" s="90"/>
      <c r="P795" s="90"/>
      <c r="Q795" s="90"/>
      <c r="R795" s="91"/>
      <c r="S795" s="91"/>
    </row>
    <row r="796">
      <c r="A796" s="85"/>
      <c r="B796" s="85"/>
      <c r="C796" s="125"/>
      <c r="D796" s="90"/>
      <c r="E796" s="90"/>
      <c r="F796" s="126"/>
      <c r="G796" s="114"/>
      <c r="H796" s="114"/>
      <c r="M796" s="85"/>
      <c r="N796" s="90"/>
      <c r="O796" s="90"/>
      <c r="P796" s="90"/>
      <c r="Q796" s="90"/>
      <c r="R796" s="91"/>
      <c r="S796" s="91"/>
    </row>
    <row r="797">
      <c r="A797" s="85"/>
      <c r="B797" s="85"/>
      <c r="C797" s="125"/>
      <c r="D797" s="90"/>
      <c r="E797" s="90"/>
      <c r="F797" s="126"/>
      <c r="G797" s="114"/>
      <c r="H797" s="114"/>
      <c r="M797" s="85"/>
      <c r="N797" s="90"/>
      <c r="O797" s="90"/>
      <c r="P797" s="90"/>
      <c r="Q797" s="90"/>
      <c r="R797" s="91"/>
      <c r="S797" s="91"/>
    </row>
    <row r="798">
      <c r="A798" s="85"/>
      <c r="B798" s="85"/>
      <c r="C798" s="125"/>
      <c r="D798" s="90"/>
      <c r="E798" s="90"/>
      <c r="F798" s="126"/>
      <c r="G798" s="114"/>
      <c r="H798" s="114"/>
      <c r="M798" s="85"/>
      <c r="N798" s="90"/>
      <c r="O798" s="90"/>
      <c r="P798" s="90"/>
      <c r="Q798" s="90"/>
      <c r="R798" s="91"/>
      <c r="S798" s="91"/>
    </row>
    <row r="799">
      <c r="A799" s="85"/>
      <c r="B799" s="85"/>
      <c r="C799" s="125"/>
      <c r="D799" s="90"/>
      <c r="E799" s="90"/>
      <c r="F799" s="126"/>
      <c r="G799" s="114"/>
      <c r="H799" s="114"/>
      <c r="M799" s="85"/>
      <c r="N799" s="90"/>
      <c r="O799" s="90"/>
      <c r="P799" s="90"/>
      <c r="Q799" s="90"/>
      <c r="R799" s="91"/>
      <c r="S799" s="91"/>
    </row>
    <row r="800">
      <c r="A800" s="85"/>
      <c r="B800" s="85"/>
      <c r="C800" s="125"/>
      <c r="D800" s="90"/>
      <c r="E800" s="90"/>
      <c r="F800" s="126"/>
      <c r="G800" s="114"/>
      <c r="H800" s="114"/>
      <c r="M800" s="85"/>
      <c r="N800" s="90"/>
      <c r="O800" s="90"/>
      <c r="P800" s="90"/>
      <c r="Q800" s="90"/>
      <c r="R800" s="91"/>
      <c r="S800" s="91"/>
    </row>
    <row r="801">
      <c r="A801" s="85"/>
      <c r="B801" s="85"/>
      <c r="C801" s="125"/>
      <c r="D801" s="90"/>
      <c r="E801" s="90"/>
      <c r="F801" s="126"/>
      <c r="G801" s="114"/>
      <c r="H801" s="114"/>
      <c r="M801" s="85"/>
      <c r="N801" s="90"/>
      <c r="O801" s="90"/>
      <c r="P801" s="90"/>
      <c r="Q801" s="90"/>
      <c r="R801" s="91"/>
      <c r="S801" s="91"/>
    </row>
    <row r="802">
      <c r="A802" s="85"/>
      <c r="B802" s="85"/>
      <c r="C802" s="125"/>
      <c r="D802" s="90"/>
      <c r="E802" s="90"/>
      <c r="F802" s="126"/>
      <c r="G802" s="114"/>
      <c r="H802" s="114"/>
      <c r="M802" s="85"/>
      <c r="N802" s="90"/>
      <c r="O802" s="90"/>
      <c r="P802" s="90"/>
      <c r="Q802" s="90"/>
      <c r="R802" s="91"/>
      <c r="S802" s="91"/>
    </row>
    <row r="803">
      <c r="A803" s="85"/>
      <c r="B803" s="85"/>
      <c r="C803" s="125"/>
      <c r="D803" s="90"/>
      <c r="E803" s="90"/>
      <c r="F803" s="126"/>
      <c r="G803" s="114"/>
      <c r="H803" s="114"/>
      <c r="M803" s="85"/>
      <c r="N803" s="90"/>
      <c r="O803" s="90"/>
      <c r="P803" s="90"/>
      <c r="Q803" s="90"/>
      <c r="R803" s="91"/>
      <c r="S803" s="91"/>
    </row>
    <row r="804">
      <c r="A804" s="85"/>
      <c r="B804" s="85"/>
      <c r="C804" s="125"/>
      <c r="D804" s="90"/>
      <c r="E804" s="90"/>
      <c r="F804" s="126"/>
      <c r="G804" s="114"/>
      <c r="H804" s="114"/>
      <c r="M804" s="85"/>
      <c r="N804" s="90"/>
      <c r="O804" s="90"/>
      <c r="P804" s="90"/>
      <c r="Q804" s="90"/>
      <c r="R804" s="91"/>
      <c r="S804" s="91"/>
    </row>
    <row r="805">
      <c r="A805" s="85"/>
      <c r="B805" s="85"/>
      <c r="C805" s="125"/>
      <c r="D805" s="90"/>
      <c r="E805" s="90"/>
      <c r="F805" s="126"/>
      <c r="G805" s="114"/>
      <c r="H805" s="114"/>
      <c r="M805" s="85"/>
      <c r="N805" s="90"/>
      <c r="O805" s="90"/>
      <c r="P805" s="90"/>
      <c r="Q805" s="90"/>
      <c r="R805" s="91"/>
      <c r="S805" s="91"/>
    </row>
    <row r="806">
      <c r="A806" s="85"/>
      <c r="B806" s="85"/>
      <c r="C806" s="125"/>
      <c r="D806" s="90"/>
      <c r="E806" s="90"/>
      <c r="F806" s="126"/>
      <c r="G806" s="114"/>
      <c r="H806" s="114"/>
      <c r="M806" s="85"/>
      <c r="N806" s="90"/>
      <c r="O806" s="90"/>
      <c r="P806" s="90"/>
      <c r="Q806" s="90"/>
      <c r="R806" s="91"/>
      <c r="S806" s="91"/>
    </row>
    <row r="807">
      <c r="A807" s="85"/>
      <c r="B807" s="85"/>
      <c r="C807" s="125"/>
      <c r="D807" s="90"/>
      <c r="E807" s="90"/>
      <c r="F807" s="126"/>
      <c r="G807" s="114"/>
      <c r="H807" s="114"/>
      <c r="M807" s="85"/>
      <c r="N807" s="90"/>
      <c r="O807" s="90"/>
      <c r="P807" s="90"/>
      <c r="Q807" s="90"/>
      <c r="R807" s="91"/>
      <c r="S807" s="91"/>
    </row>
    <row r="808">
      <c r="A808" s="85"/>
      <c r="B808" s="85"/>
      <c r="C808" s="125"/>
      <c r="D808" s="90"/>
      <c r="E808" s="90"/>
      <c r="F808" s="126"/>
      <c r="G808" s="114"/>
      <c r="H808" s="114"/>
      <c r="M808" s="85"/>
      <c r="N808" s="90"/>
      <c r="O808" s="90"/>
      <c r="P808" s="90"/>
      <c r="Q808" s="90"/>
      <c r="R808" s="91"/>
      <c r="S808" s="91"/>
    </row>
    <row r="809">
      <c r="A809" s="85"/>
      <c r="B809" s="85"/>
      <c r="C809" s="125"/>
      <c r="D809" s="90"/>
      <c r="E809" s="90"/>
      <c r="F809" s="126"/>
      <c r="G809" s="114"/>
      <c r="H809" s="114"/>
      <c r="M809" s="85"/>
      <c r="N809" s="90"/>
      <c r="O809" s="90"/>
      <c r="P809" s="90"/>
      <c r="Q809" s="90"/>
      <c r="R809" s="91"/>
      <c r="S809" s="91"/>
    </row>
    <row r="810">
      <c r="A810" s="85"/>
      <c r="B810" s="85"/>
      <c r="C810" s="125"/>
      <c r="D810" s="90"/>
      <c r="E810" s="90"/>
      <c r="F810" s="126"/>
      <c r="G810" s="114"/>
      <c r="H810" s="114"/>
      <c r="M810" s="85"/>
      <c r="N810" s="90"/>
      <c r="O810" s="90"/>
      <c r="P810" s="90"/>
      <c r="Q810" s="90"/>
      <c r="R810" s="91"/>
      <c r="S810" s="91"/>
    </row>
    <row r="811">
      <c r="A811" s="85"/>
      <c r="B811" s="85"/>
      <c r="C811" s="125"/>
      <c r="D811" s="90"/>
      <c r="E811" s="90"/>
      <c r="F811" s="126"/>
      <c r="G811" s="114"/>
      <c r="H811" s="114"/>
      <c r="M811" s="85"/>
      <c r="N811" s="90"/>
      <c r="O811" s="90"/>
      <c r="P811" s="90"/>
      <c r="Q811" s="90"/>
      <c r="R811" s="91"/>
      <c r="S811" s="91"/>
    </row>
    <row r="812">
      <c r="A812" s="85"/>
      <c r="B812" s="85"/>
      <c r="C812" s="125"/>
      <c r="D812" s="90"/>
      <c r="E812" s="90"/>
      <c r="F812" s="126"/>
      <c r="G812" s="114"/>
      <c r="H812" s="114"/>
      <c r="M812" s="85"/>
      <c r="N812" s="90"/>
      <c r="O812" s="90"/>
      <c r="P812" s="90"/>
      <c r="Q812" s="90"/>
      <c r="R812" s="91"/>
      <c r="S812" s="91"/>
    </row>
    <row r="813">
      <c r="A813" s="85"/>
      <c r="B813" s="85"/>
      <c r="C813" s="125"/>
      <c r="D813" s="90"/>
      <c r="E813" s="90"/>
      <c r="F813" s="126"/>
      <c r="G813" s="114"/>
      <c r="H813" s="114"/>
      <c r="M813" s="85"/>
      <c r="N813" s="90"/>
      <c r="O813" s="90"/>
      <c r="P813" s="90"/>
      <c r="Q813" s="90"/>
      <c r="R813" s="91"/>
      <c r="S813" s="91"/>
    </row>
    <row r="814">
      <c r="A814" s="85"/>
      <c r="B814" s="85"/>
      <c r="C814" s="125"/>
      <c r="D814" s="90"/>
      <c r="E814" s="90"/>
      <c r="F814" s="126"/>
      <c r="G814" s="114"/>
      <c r="H814" s="114"/>
      <c r="M814" s="85"/>
      <c r="N814" s="90"/>
      <c r="O814" s="90"/>
      <c r="P814" s="90"/>
      <c r="Q814" s="90"/>
      <c r="R814" s="91"/>
      <c r="S814" s="91"/>
    </row>
    <row r="815">
      <c r="A815" s="85"/>
      <c r="B815" s="85"/>
      <c r="C815" s="125"/>
      <c r="D815" s="90"/>
      <c r="E815" s="90"/>
      <c r="F815" s="126"/>
      <c r="G815" s="114"/>
      <c r="H815" s="114"/>
      <c r="M815" s="85"/>
      <c r="N815" s="90"/>
      <c r="O815" s="90"/>
      <c r="P815" s="90"/>
      <c r="Q815" s="90"/>
      <c r="R815" s="91"/>
      <c r="S815" s="91"/>
    </row>
    <row r="816">
      <c r="A816" s="85"/>
      <c r="B816" s="85"/>
      <c r="C816" s="125"/>
      <c r="D816" s="90"/>
      <c r="E816" s="90"/>
      <c r="F816" s="126"/>
      <c r="G816" s="114"/>
      <c r="H816" s="114"/>
      <c r="M816" s="85"/>
      <c r="N816" s="90"/>
      <c r="O816" s="90"/>
      <c r="P816" s="90"/>
      <c r="Q816" s="90"/>
      <c r="R816" s="91"/>
      <c r="S816" s="91"/>
    </row>
    <row r="817">
      <c r="A817" s="85"/>
      <c r="B817" s="85"/>
      <c r="C817" s="125"/>
      <c r="D817" s="90"/>
      <c r="E817" s="90"/>
      <c r="F817" s="126"/>
      <c r="G817" s="114"/>
      <c r="H817" s="114"/>
      <c r="M817" s="85"/>
      <c r="N817" s="90"/>
      <c r="O817" s="90"/>
      <c r="P817" s="90"/>
      <c r="Q817" s="90"/>
      <c r="R817" s="91"/>
      <c r="S817" s="91"/>
    </row>
    <row r="818">
      <c r="A818" s="85"/>
      <c r="B818" s="85"/>
      <c r="C818" s="125"/>
      <c r="D818" s="90"/>
      <c r="E818" s="90"/>
      <c r="F818" s="126"/>
      <c r="G818" s="114"/>
      <c r="H818" s="114"/>
      <c r="M818" s="85"/>
      <c r="N818" s="90"/>
      <c r="O818" s="90"/>
      <c r="P818" s="90"/>
      <c r="Q818" s="90"/>
      <c r="R818" s="91"/>
      <c r="S818" s="91"/>
    </row>
    <row r="819">
      <c r="A819" s="85"/>
      <c r="B819" s="85"/>
      <c r="C819" s="125"/>
      <c r="D819" s="90"/>
      <c r="E819" s="90"/>
      <c r="F819" s="126"/>
      <c r="G819" s="114"/>
      <c r="H819" s="114"/>
      <c r="M819" s="85"/>
      <c r="N819" s="90"/>
      <c r="O819" s="90"/>
      <c r="P819" s="90"/>
      <c r="Q819" s="90"/>
      <c r="R819" s="91"/>
      <c r="S819" s="91"/>
    </row>
    <row r="820">
      <c r="A820" s="85"/>
      <c r="B820" s="85"/>
      <c r="C820" s="125"/>
      <c r="D820" s="90"/>
      <c r="E820" s="90"/>
      <c r="F820" s="126"/>
      <c r="G820" s="114"/>
      <c r="H820" s="114"/>
      <c r="M820" s="85"/>
      <c r="N820" s="90"/>
      <c r="O820" s="90"/>
      <c r="P820" s="90"/>
      <c r="Q820" s="90"/>
      <c r="R820" s="91"/>
      <c r="S820" s="91"/>
    </row>
    <row r="821">
      <c r="A821" s="85"/>
      <c r="B821" s="85"/>
      <c r="C821" s="125"/>
      <c r="D821" s="90"/>
      <c r="E821" s="90"/>
      <c r="F821" s="126"/>
      <c r="G821" s="114"/>
      <c r="H821" s="114"/>
      <c r="M821" s="85"/>
      <c r="N821" s="90"/>
      <c r="O821" s="90"/>
      <c r="P821" s="90"/>
      <c r="Q821" s="90"/>
      <c r="R821" s="91"/>
      <c r="S821" s="91"/>
    </row>
    <row r="822">
      <c r="A822" s="85"/>
      <c r="B822" s="85"/>
      <c r="C822" s="125"/>
      <c r="D822" s="90"/>
      <c r="E822" s="90"/>
      <c r="F822" s="126"/>
      <c r="G822" s="114"/>
      <c r="H822" s="114"/>
      <c r="M822" s="85"/>
      <c r="N822" s="90"/>
      <c r="O822" s="90"/>
      <c r="P822" s="90"/>
      <c r="Q822" s="90"/>
      <c r="R822" s="91"/>
      <c r="S822" s="91"/>
    </row>
    <row r="823">
      <c r="A823" s="85"/>
      <c r="B823" s="85"/>
      <c r="C823" s="125"/>
      <c r="D823" s="90"/>
      <c r="E823" s="90"/>
      <c r="F823" s="126"/>
      <c r="G823" s="114"/>
      <c r="H823" s="114"/>
      <c r="M823" s="85"/>
      <c r="N823" s="90"/>
      <c r="O823" s="90"/>
      <c r="P823" s="90"/>
      <c r="Q823" s="90"/>
      <c r="R823" s="91"/>
      <c r="S823" s="91"/>
    </row>
    <row r="824">
      <c r="A824" s="85"/>
      <c r="B824" s="85"/>
      <c r="C824" s="125"/>
      <c r="D824" s="90"/>
      <c r="E824" s="90"/>
      <c r="F824" s="126"/>
      <c r="G824" s="114"/>
      <c r="H824" s="114"/>
      <c r="M824" s="85"/>
      <c r="N824" s="90"/>
      <c r="O824" s="90"/>
      <c r="P824" s="90"/>
      <c r="Q824" s="90"/>
      <c r="R824" s="91"/>
      <c r="S824" s="91"/>
    </row>
    <row r="825">
      <c r="A825" s="85"/>
      <c r="B825" s="85"/>
      <c r="C825" s="125"/>
      <c r="D825" s="90"/>
      <c r="E825" s="90"/>
      <c r="F825" s="126"/>
      <c r="G825" s="114"/>
      <c r="H825" s="114"/>
      <c r="M825" s="85"/>
      <c r="N825" s="90"/>
      <c r="O825" s="90"/>
      <c r="P825" s="90"/>
      <c r="Q825" s="90"/>
      <c r="R825" s="91"/>
      <c r="S825" s="91"/>
    </row>
    <row r="826">
      <c r="A826" s="85"/>
      <c r="B826" s="85"/>
      <c r="C826" s="125"/>
      <c r="D826" s="90"/>
      <c r="E826" s="90"/>
      <c r="F826" s="126"/>
      <c r="G826" s="114"/>
      <c r="H826" s="114"/>
      <c r="M826" s="85"/>
      <c r="N826" s="90"/>
      <c r="O826" s="90"/>
      <c r="P826" s="90"/>
      <c r="Q826" s="90"/>
      <c r="R826" s="91"/>
      <c r="S826" s="91"/>
    </row>
    <row r="827">
      <c r="A827" s="85"/>
      <c r="B827" s="85"/>
      <c r="C827" s="125"/>
      <c r="D827" s="90"/>
      <c r="E827" s="90"/>
      <c r="F827" s="126"/>
      <c r="G827" s="114"/>
      <c r="H827" s="114"/>
      <c r="M827" s="85"/>
      <c r="N827" s="90"/>
      <c r="O827" s="90"/>
      <c r="P827" s="90"/>
      <c r="Q827" s="90"/>
      <c r="R827" s="91"/>
      <c r="S827" s="91"/>
    </row>
    <row r="828">
      <c r="A828" s="85"/>
      <c r="B828" s="85"/>
      <c r="C828" s="125"/>
      <c r="D828" s="90"/>
      <c r="E828" s="90"/>
      <c r="F828" s="126"/>
      <c r="G828" s="114"/>
      <c r="H828" s="114"/>
      <c r="M828" s="85"/>
      <c r="N828" s="90"/>
      <c r="O828" s="90"/>
      <c r="P828" s="90"/>
      <c r="Q828" s="90"/>
      <c r="R828" s="91"/>
      <c r="S828" s="91"/>
    </row>
    <row r="829">
      <c r="A829" s="85"/>
      <c r="B829" s="85"/>
      <c r="C829" s="125"/>
      <c r="D829" s="90"/>
      <c r="E829" s="90"/>
      <c r="F829" s="126"/>
      <c r="G829" s="114"/>
      <c r="H829" s="114"/>
      <c r="M829" s="85"/>
      <c r="N829" s="90"/>
      <c r="O829" s="90"/>
      <c r="P829" s="90"/>
      <c r="Q829" s="90"/>
      <c r="R829" s="91"/>
      <c r="S829" s="91"/>
    </row>
    <row r="830">
      <c r="A830" s="85"/>
      <c r="B830" s="85"/>
      <c r="C830" s="125"/>
      <c r="D830" s="90"/>
      <c r="E830" s="90"/>
      <c r="F830" s="126"/>
      <c r="G830" s="114"/>
      <c r="H830" s="114"/>
      <c r="M830" s="85"/>
      <c r="N830" s="90"/>
      <c r="O830" s="90"/>
      <c r="P830" s="90"/>
      <c r="Q830" s="90"/>
      <c r="R830" s="91"/>
      <c r="S830" s="91"/>
    </row>
    <row r="831">
      <c r="A831" s="85"/>
      <c r="B831" s="85"/>
      <c r="C831" s="125"/>
      <c r="D831" s="90"/>
      <c r="E831" s="90"/>
      <c r="F831" s="126"/>
      <c r="G831" s="114"/>
      <c r="H831" s="114"/>
      <c r="M831" s="85"/>
      <c r="N831" s="90"/>
      <c r="O831" s="90"/>
      <c r="P831" s="90"/>
      <c r="Q831" s="90"/>
      <c r="R831" s="91"/>
      <c r="S831" s="91"/>
    </row>
    <row r="832">
      <c r="A832" s="85"/>
      <c r="B832" s="85"/>
      <c r="C832" s="125"/>
      <c r="D832" s="90"/>
      <c r="E832" s="90"/>
      <c r="F832" s="126"/>
      <c r="G832" s="114"/>
      <c r="H832" s="114"/>
      <c r="M832" s="85"/>
      <c r="N832" s="90"/>
      <c r="O832" s="90"/>
      <c r="P832" s="90"/>
      <c r="Q832" s="90"/>
      <c r="R832" s="91"/>
      <c r="S832" s="91"/>
    </row>
    <row r="833">
      <c r="A833" s="85"/>
      <c r="B833" s="85"/>
      <c r="C833" s="125"/>
      <c r="D833" s="90"/>
      <c r="E833" s="90"/>
      <c r="F833" s="126"/>
      <c r="G833" s="114"/>
      <c r="H833" s="114"/>
      <c r="M833" s="85"/>
      <c r="N833" s="90"/>
      <c r="O833" s="90"/>
      <c r="P833" s="90"/>
      <c r="Q833" s="90"/>
      <c r="R833" s="91"/>
      <c r="S833" s="91"/>
    </row>
    <row r="834">
      <c r="A834" s="85"/>
      <c r="B834" s="85"/>
      <c r="C834" s="125"/>
      <c r="D834" s="90"/>
      <c r="E834" s="90"/>
      <c r="F834" s="126"/>
      <c r="G834" s="114"/>
      <c r="H834" s="114"/>
      <c r="M834" s="85"/>
      <c r="N834" s="90"/>
      <c r="O834" s="90"/>
      <c r="P834" s="90"/>
      <c r="Q834" s="90"/>
      <c r="R834" s="91"/>
      <c r="S834" s="91"/>
    </row>
    <row r="835">
      <c r="A835" s="85"/>
      <c r="B835" s="85"/>
      <c r="C835" s="125"/>
      <c r="D835" s="90"/>
      <c r="E835" s="90"/>
      <c r="F835" s="126"/>
      <c r="G835" s="114"/>
      <c r="H835" s="114"/>
      <c r="M835" s="85"/>
      <c r="N835" s="90"/>
      <c r="O835" s="90"/>
      <c r="P835" s="90"/>
      <c r="Q835" s="90"/>
      <c r="R835" s="91"/>
      <c r="S835" s="91"/>
    </row>
    <row r="836">
      <c r="A836" s="85"/>
      <c r="B836" s="85"/>
      <c r="C836" s="125"/>
      <c r="D836" s="90"/>
      <c r="E836" s="90"/>
      <c r="F836" s="126"/>
      <c r="G836" s="114"/>
      <c r="H836" s="114"/>
      <c r="M836" s="85"/>
      <c r="N836" s="90"/>
      <c r="O836" s="90"/>
      <c r="P836" s="90"/>
      <c r="Q836" s="90"/>
      <c r="R836" s="91"/>
      <c r="S836" s="91"/>
    </row>
    <row r="837">
      <c r="A837" s="85"/>
      <c r="B837" s="85"/>
      <c r="C837" s="125"/>
      <c r="D837" s="90"/>
      <c r="E837" s="90"/>
      <c r="F837" s="126"/>
      <c r="G837" s="114"/>
      <c r="H837" s="114"/>
      <c r="M837" s="85"/>
      <c r="N837" s="90"/>
      <c r="O837" s="90"/>
      <c r="P837" s="90"/>
      <c r="Q837" s="90"/>
      <c r="R837" s="91"/>
      <c r="S837" s="91"/>
    </row>
    <row r="838">
      <c r="A838" s="85"/>
      <c r="B838" s="85"/>
      <c r="C838" s="125"/>
      <c r="D838" s="90"/>
      <c r="E838" s="90"/>
      <c r="F838" s="126"/>
      <c r="G838" s="114"/>
      <c r="H838" s="114"/>
      <c r="M838" s="85"/>
      <c r="N838" s="90"/>
      <c r="O838" s="90"/>
      <c r="P838" s="90"/>
      <c r="Q838" s="90"/>
      <c r="R838" s="91"/>
      <c r="S838" s="91"/>
    </row>
    <row r="839">
      <c r="A839" s="85"/>
      <c r="B839" s="85"/>
      <c r="C839" s="125"/>
      <c r="D839" s="90"/>
      <c r="E839" s="90"/>
      <c r="F839" s="126"/>
      <c r="G839" s="114"/>
      <c r="H839" s="114"/>
      <c r="M839" s="85"/>
      <c r="N839" s="90"/>
      <c r="O839" s="90"/>
      <c r="P839" s="90"/>
      <c r="Q839" s="90"/>
      <c r="R839" s="91"/>
      <c r="S839" s="91"/>
    </row>
    <row r="840">
      <c r="A840" s="85"/>
      <c r="B840" s="85"/>
      <c r="C840" s="125"/>
      <c r="D840" s="90"/>
      <c r="E840" s="90"/>
      <c r="F840" s="126"/>
      <c r="G840" s="114"/>
      <c r="H840" s="114"/>
      <c r="M840" s="85"/>
      <c r="N840" s="90"/>
      <c r="O840" s="90"/>
      <c r="P840" s="90"/>
      <c r="Q840" s="90"/>
      <c r="R840" s="91"/>
      <c r="S840" s="91"/>
    </row>
    <row r="841">
      <c r="A841" s="85"/>
      <c r="B841" s="85"/>
      <c r="C841" s="125"/>
      <c r="D841" s="90"/>
      <c r="E841" s="90"/>
      <c r="F841" s="126"/>
      <c r="G841" s="114"/>
      <c r="H841" s="114"/>
      <c r="M841" s="85"/>
      <c r="N841" s="90"/>
      <c r="O841" s="90"/>
      <c r="P841" s="90"/>
      <c r="Q841" s="90"/>
      <c r="R841" s="91"/>
      <c r="S841" s="91"/>
    </row>
    <row r="842">
      <c r="A842" s="85"/>
      <c r="B842" s="85"/>
      <c r="C842" s="125"/>
      <c r="D842" s="90"/>
      <c r="E842" s="90"/>
      <c r="F842" s="126"/>
      <c r="G842" s="114"/>
      <c r="H842" s="114"/>
      <c r="M842" s="85"/>
      <c r="N842" s="90"/>
      <c r="O842" s="90"/>
      <c r="P842" s="90"/>
      <c r="Q842" s="90"/>
      <c r="R842" s="91"/>
      <c r="S842" s="91"/>
    </row>
    <row r="843">
      <c r="A843" s="85"/>
      <c r="B843" s="85"/>
      <c r="C843" s="125"/>
      <c r="D843" s="90"/>
      <c r="E843" s="90"/>
      <c r="F843" s="126"/>
      <c r="G843" s="114"/>
      <c r="H843" s="114"/>
      <c r="M843" s="85"/>
      <c r="N843" s="90"/>
      <c r="O843" s="90"/>
      <c r="P843" s="90"/>
      <c r="Q843" s="90"/>
      <c r="R843" s="91"/>
      <c r="S843" s="91"/>
    </row>
    <row r="844">
      <c r="A844" s="85"/>
      <c r="B844" s="85"/>
      <c r="C844" s="125"/>
      <c r="D844" s="90"/>
      <c r="E844" s="90"/>
      <c r="F844" s="126"/>
      <c r="G844" s="114"/>
      <c r="H844" s="114"/>
      <c r="M844" s="85"/>
      <c r="N844" s="90"/>
      <c r="O844" s="90"/>
      <c r="P844" s="90"/>
      <c r="Q844" s="90"/>
      <c r="R844" s="91"/>
      <c r="S844" s="91"/>
    </row>
    <row r="845">
      <c r="A845" s="85"/>
      <c r="B845" s="85"/>
      <c r="C845" s="125"/>
      <c r="D845" s="90"/>
      <c r="E845" s="90"/>
      <c r="F845" s="126"/>
      <c r="G845" s="114"/>
      <c r="H845" s="114"/>
      <c r="M845" s="85"/>
      <c r="N845" s="90"/>
      <c r="O845" s="90"/>
      <c r="P845" s="90"/>
      <c r="Q845" s="90"/>
      <c r="R845" s="91"/>
      <c r="S845" s="91"/>
    </row>
    <row r="846">
      <c r="A846" s="85"/>
      <c r="B846" s="85"/>
      <c r="C846" s="125"/>
      <c r="D846" s="90"/>
      <c r="E846" s="90"/>
      <c r="F846" s="126"/>
      <c r="G846" s="114"/>
      <c r="H846" s="114"/>
      <c r="M846" s="85"/>
      <c r="N846" s="90"/>
      <c r="O846" s="90"/>
      <c r="P846" s="90"/>
      <c r="Q846" s="90"/>
      <c r="R846" s="91"/>
      <c r="S846" s="91"/>
    </row>
    <row r="847">
      <c r="A847" s="85"/>
      <c r="B847" s="85"/>
      <c r="C847" s="125"/>
      <c r="D847" s="90"/>
      <c r="E847" s="90"/>
      <c r="F847" s="126"/>
      <c r="G847" s="114"/>
      <c r="H847" s="114"/>
      <c r="M847" s="85"/>
      <c r="N847" s="90"/>
      <c r="O847" s="90"/>
      <c r="P847" s="90"/>
      <c r="Q847" s="90"/>
      <c r="R847" s="91"/>
      <c r="S847" s="91"/>
    </row>
    <row r="848">
      <c r="A848" s="85"/>
      <c r="B848" s="85"/>
      <c r="C848" s="125"/>
      <c r="D848" s="90"/>
      <c r="E848" s="90"/>
      <c r="F848" s="126"/>
      <c r="G848" s="114"/>
      <c r="H848" s="114"/>
      <c r="M848" s="85"/>
      <c r="N848" s="90"/>
      <c r="O848" s="90"/>
      <c r="P848" s="90"/>
      <c r="Q848" s="90"/>
      <c r="R848" s="91"/>
      <c r="S848" s="91"/>
    </row>
    <row r="849">
      <c r="A849" s="85"/>
      <c r="B849" s="85"/>
      <c r="C849" s="125"/>
      <c r="D849" s="90"/>
      <c r="E849" s="90"/>
      <c r="F849" s="126"/>
      <c r="G849" s="114"/>
      <c r="H849" s="114"/>
      <c r="M849" s="85"/>
      <c r="N849" s="90"/>
      <c r="O849" s="90"/>
      <c r="P849" s="90"/>
      <c r="Q849" s="90"/>
      <c r="R849" s="91"/>
      <c r="S849" s="91"/>
    </row>
    <row r="850">
      <c r="A850" s="85"/>
      <c r="B850" s="85"/>
      <c r="C850" s="125"/>
      <c r="D850" s="90"/>
      <c r="E850" s="90"/>
      <c r="F850" s="126"/>
      <c r="G850" s="114"/>
      <c r="H850" s="114"/>
      <c r="M850" s="85"/>
      <c r="N850" s="90"/>
      <c r="O850" s="90"/>
      <c r="P850" s="90"/>
      <c r="Q850" s="90"/>
      <c r="R850" s="91"/>
      <c r="S850" s="91"/>
    </row>
    <row r="851">
      <c r="A851" s="85"/>
      <c r="B851" s="85"/>
      <c r="C851" s="125"/>
      <c r="D851" s="90"/>
      <c r="E851" s="90"/>
      <c r="F851" s="126"/>
      <c r="G851" s="114"/>
      <c r="H851" s="114"/>
      <c r="M851" s="85"/>
      <c r="N851" s="90"/>
      <c r="O851" s="90"/>
      <c r="P851" s="90"/>
      <c r="Q851" s="90"/>
      <c r="R851" s="91"/>
      <c r="S851" s="91"/>
    </row>
    <row r="852">
      <c r="A852" s="85"/>
      <c r="B852" s="85"/>
      <c r="C852" s="125"/>
      <c r="D852" s="90"/>
      <c r="E852" s="90"/>
      <c r="F852" s="126"/>
      <c r="G852" s="114"/>
      <c r="H852" s="114"/>
      <c r="M852" s="85"/>
      <c r="N852" s="90"/>
      <c r="O852" s="90"/>
      <c r="P852" s="90"/>
      <c r="Q852" s="90"/>
      <c r="R852" s="91"/>
      <c r="S852" s="91"/>
    </row>
    <row r="853">
      <c r="A853" s="85"/>
      <c r="B853" s="85"/>
      <c r="C853" s="125"/>
      <c r="D853" s="90"/>
      <c r="E853" s="90"/>
      <c r="F853" s="126"/>
      <c r="G853" s="114"/>
      <c r="H853" s="114"/>
      <c r="M853" s="85"/>
      <c r="N853" s="90"/>
      <c r="O853" s="90"/>
      <c r="P853" s="90"/>
      <c r="Q853" s="90"/>
      <c r="R853" s="91"/>
      <c r="S853" s="91"/>
    </row>
    <row r="854">
      <c r="A854" s="85"/>
      <c r="B854" s="85"/>
      <c r="C854" s="125"/>
      <c r="D854" s="90"/>
      <c r="E854" s="90"/>
      <c r="F854" s="126"/>
      <c r="G854" s="114"/>
      <c r="H854" s="114"/>
      <c r="M854" s="85"/>
      <c r="N854" s="90"/>
      <c r="O854" s="90"/>
      <c r="P854" s="90"/>
      <c r="Q854" s="90"/>
      <c r="R854" s="91"/>
      <c r="S854" s="91"/>
    </row>
    <row r="855">
      <c r="A855" s="85"/>
      <c r="B855" s="85"/>
      <c r="C855" s="125"/>
      <c r="D855" s="90"/>
      <c r="E855" s="90"/>
      <c r="F855" s="126"/>
      <c r="G855" s="114"/>
      <c r="H855" s="114"/>
      <c r="M855" s="85"/>
      <c r="N855" s="90"/>
      <c r="O855" s="90"/>
      <c r="P855" s="90"/>
      <c r="Q855" s="90"/>
      <c r="R855" s="91"/>
      <c r="S855" s="91"/>
    </row>
    <row r="856">
      <c r="A856" s="85"/>
      <c r="B856" s="85"/>
      <c r="C856" s="125"/>
      <c r="D856" s="90"/>
      <c r="E856" s="90"/>
      <c r="F856" s="126"/>
      <c r="G856" s="114"/>
      <c r="H856" s="114"/>
      <c r="M856" s="85"/>
      <c r="N856" s="90"/>
      <c r="O856" s="90"/>
      <c r="P856" s="90"/>
      <c r="Q856" s="90"/>
      <c r="R856" s="91"/>
      <c r="S856" s="91"/>
    </row>
    <row r="857">
      <c r="A857" s="85"/>
      <c r="B857" s="85"/>
      <c r="C857" s="125"/>
      <c r="D857" s="90"/>
      <c r="E857" s="90"/>
      <c r="F857" s="126"/>
      <c r="G857" s="114"/>
      <c r="H857" s="114"/>
      <c r="M857" s="85"/>
      <c r="N857" s="90"/>
      <c r="O857" s="90"/>
      <c r="P857" s="90"/>
      <c r="Q857" s="90"/>
      <c r="R857" s="91"/>
      <c r="S857" s="91"/>
    </row>
    <row r="858">
      <c r="A858" s="85"/>
      <c r="B858" s="85"/>
      <c r="C858" s="125"/>
      <c r="D858" s="90"/>
      <c r="E858" s="90"/>
      <c r="F858" s="126"/>
      <c r="G858" s="114"/>
      <c r="H858" s="114"/>
      <c r="M858" s="85"/>
      <c r="N858" s="90"/>
      <c r="O858" s="90"/>
      <c r="P858" s="90"/>
      <c r="Q858" s="90"/>
      <c r="R858" s="91"/>
      <c r="S858" s="91"/>
    </row>
    <row r="859">
      <c r="A859" s="85"/>
      <c r="B859" s="85"/>
      <c r="C859" s="125"/>
      <c r="D859" s="90"/>
      <c r="E859" s="90"/>
      <c r="F859" s="126"/>
      <c r="G859" s="114"/>
      <c r="H859" s="114"/>
      <c r="M859" s="85"/>
      <c r="N859" s="90"/>
      <c r="O859" s="90"/>
      <c r="P859" s="90"/>
      <c r="Q859" s="90"/>
      <c r="R859" s="91"/>
      <c r="S859" s="91"/>
    </row>
    <row r="860">
      <c r="A860" s="85"/>
      <c r="B860" s="85"/>
      <c r="C860" s="125"/>
      <c r="D860" s="90"/>
      <c r="E860" s="90"/>
      <c r="F860" s="126"/>
      <c r="G860" s="114"/>
      <c r="H860" s="114"/>
      <c r="M860" s="85"/>
      <c r="N860" s="90"/>
      <c r="O860" s="90"/>
      <c r="P860" s="90"/>
      <c r="Q860" s="90"/>
      <c r="R860" s="91"/>
      <c r="S860" s="91"/>
    </row>
    <row r="861">
      <c r="A861" s="85"/>
      <c r="B861" s="85"/>
      <c r="C861" s="125"/>
      <c r="D861" s="90"/>
      <c r="E861" s="90"/>
      <c r="F861" s="126"/>
      <c r="G861" s="114"/>
      <c r="H861" s="114"/>
      <c r="M861" s="85"/>
      <c r="N861" s="90"/>
      <c r="O861" s="90"/>
      <c r="P861" s="90"/>
      <c r="Q861" s="90"/>
      <c r="R861" s="91"/>
      <c r="S861" s="91"/>
    </row>
    <row r="862">
      <c r="A862" s="85"/>
      <c r="B862" s="85"/>
      <c r="C862" s="125"/>
      <c r="D862" s="90"/>
      <c r="E862" s="90"/>
      <c r="F862" s="126"/>
      <c r="G862" s="114"/>
      <c r="H862" s="114"/>
      <c r="M862" s="85"/>
      <c r="N862" s="90"/>
      <c r="O862" s="90"/>
      <c r="P862" s="90"/>
      <c r="Q862" s="90"/>
      <c r="R862" s="91"/>
      <c r="S862" s="91"/>
    </row>
    <row r="863">
      <c r="A863" s="85"/>
      <c r="B863" s="85"/>
      <c r="C863" s="125"/>
      <c r="D863" s="90"/>
      <c r="E863" s="90"/>
      <c r="F863" s="126"/>
      <c r="G863" s="114"/>
      <c r="H863" s="114"/>
      <c r="M863" s="85"/>
      <c r="N863" s="90"/>
      <c r="O863" s="90"/>
      <c r="P863" s="90"/>
      <c r="Q863" s="90"/>
      <c r="R863" s="91"/>
      <c r="S863" s="91"/>
    </row>
    <row r="864">
      <c r="A864" s="85"/>
      <c r="B864" s="85"/>
      <c r="C864" s="125"/>
      <c r="D864" s="90"/>
      <c r="E864" s="90"/>
      <c r="F864" s="126"/>
      <c r="G864" s="114"/>
      <c r="H864" s="114"/>
      <c r="M864" s="85"/>
      <c r="N864" s="90"/>
      <c r="O864" s="90"/>
      <c r="P864" s="90"/>
      <c r="Q864" s="90"/>
      <c r="R864" s="91"/>
      <c r="S864" s="91"/>
    </row>
    <row r="865">
      <c r="A865" s="85"/>
      <c r="B865" s="85"/>
      <c r="C865" s="125"/>
      <c r="D865" s="90"/>
      <c r="E865" s="90"/>
      <c r="F865" s="126"/>
      <c r="G865" s="114"/>
      <c r="H865" s="114"/>
      <c r="M865" s="85"/>
      <c r="N865" s="90"/>
      <c r="O865" s="90"/>
      <c r="P865" s="90"/>
      <c r="Q865" s="90"/>
      <c r="R865" s="91"/>
      <c r="S865" s="91"/>
    </row>
    <row r="866">
      <c r="A866" s="85"/>
      <c r="B866" s="85"/>
      <c r="C866" s="125"/>
      <c r="D866" s="90"/>
      <c r="E866" s="90"/>
      <c r="F866" s="126"/>
      <c r="G866" s="114"/>
      <c r="H866" s="114"/>
      <c r="M866" s="85"/>
      <c r="N866" s="90"/>
      <c r="O866" s="90"/>
      <c r="P866" s="90"/>
      <c r="Q866" s="90"/>
      <c r="R866" s="91"/>
      <c r="S866" s="91"/>
    </row>
    <row r="867">
      <c r="A867" s="85"/>
      <c r="B867" s="85"/>
      <c r="C867" s="125"/>
      <c r="D867" s="90"/>
      <c r="E867" s="90"/>
      <c r="F867" s="126"/>
      <c r="G867" s="114"/>
      <c r="H867" s="114"/>
      <c r="M867" s="85"/>
      <c r="N867" s="90"/>
      <c r="O867" s="90"/>
      <c r="P867" s="90"/>
      <c r="Q867" s="90"/>
      <c r="R867" s="91"/>
      <c r="S867" s="91"/>
    </row>
    <row r="868">
      <c r="A868" s="85"/>
      <c r="B868" s="85"/>
      <c r="C868" s="125"/>
      <c r="D868" s="90"/>
      <c r="E868" s="90"/>
      <c r="F868" s="126"/>
      <c r="G868" s="114"/>
      <c r="H868" s="114"/>
      <c r="M868" s="85"/>
      <c r="N868" s="90"/>
      <c r="O868" s="90"/>
      <c r="P868" s="90"/>
      <c r="Q868" s="90"/>
      <c r="R868" s="91"/>
      <c r="S868" s="91"/>
    </row>
    <row r="869">
      <c r="A869" s="85"/>
      <c r="B869" s="85"/>
      <c r="C869" s="125"/>
      <c r="D869" s="90"/>
      <c r="E869" s="90"/>
      <c r="F869" s="126"/>
      <c r="G869" s="114"/>
      <c r="H869" s="114"/>
      <c r="M869" s="85"/>
      <c r="N869" s="90"/>
      <c r="O869" s="90"/>
      <c r="P869" s="90"/>
      <c r="Q869" s="90"/>
      <c r="R869" s="91"/>
      <c r="S869" s="91"/>
    </row>
    <row r="870">
      <c r="A870" s="85"/>
      <c r="B870" s="85"/>
      <c r="C870" s="125"/>
      <c r="D870" s="90"/>
      <c r="E870" s="90"/>
      <c r="F870" s="126"/>
      <c r="G870" s="114"/>
      <c r="H870" s="114"/>
      <c r="M870" s="85"/>
      <c r="N870" s="90"/>
      <c r="O870" s="90"/>
      <c r="P870" s="90"/>
      <c r="Q870" s="90"/>
      <c r="R870" s="91"/>
      <c r="S870" s="91"/>
    </row>
    <row r="871">
      <c r="A871" s="85"/>
      <c r="B871" s="85"/>
      <c r="C871" s="125"/>
      <c r="D871" s="90"/>
      <c r="E871" s="90"/>
      <c r="F871" s="126"/>
      <c r="G871" s="114"/>
      <c r="H871" s="114"/>
      <c r="M871" s="85"/>
      <c r="N871" s="90"/>
      <c r="O871" s="90"/>
      <c r="P871" s="90"/>
      <c r="Q871" s="90"/>
      <c r="R871" s="91"/>
      <c r="S871" s="91"/>
    </row>
    <row r="872">
      <c r="A872" s="85"/>
      <c r="B872" s="85"/>
      <c r="C872" s="125"/>
      <c r="D872" s="90"/>
      <c r="E872" s="90"/>
      <c r="F872" s="126"/>
      <c r="G872" s="114"/>
      <c r="H872" s="114"/>
      <c r="M872" s="85"/>
      <c r="N872" s="90"/>
      <c r="O872" s="90"/>
      <c r="P872" s="90"/>
      <c r="Q872" s="90"/>
      <c r="R872" s="91"/>
      <c r="S872" s="91"/>
    </row>
    <row r="873">
      <c r="A873" s="85"/>
      <c r="B873" s="85"/>
      <c r="C873" s="125"/>
      <c r="D873" s="90"/>
      <c r="E873" s="90"/>
      <c r="F873" s="126"/>
      <c r="G873" s="114"/>
      <c r="H873" s="114"/>
      <c r="M873" s="85"/>
      <c r="N873" s="90"/>
      <c r="O873" s="90"/>
      <c r="P873" s="90"/>
      <c r="Q873" s="90"/>
      <c r="R873" s="91"/>
      <c r="S873" s="91"/>
    </row>
    <row r="874">
      <c r="A874" s="85"/>
      <c r="B874" s="85"/>
      <c r="C874" s="125"/>
      <c r="D874" s="90"/>
      <c r="E874" s="90"/>
      <c r="F874" s="126"/>
      <c r="G874" s="114"/>
      <c r="H874" s="114"/>
      <c r="M874" s="85"/>
      <c r="N874" s="90"/>
      <c r="O874" s="90"/>
      <c r="P874" s="90"/>
      <c r="Q874" s="90"/>
      <c r="R874" s="91"/>
      <c r="S874" s="91"/>
    </row>
    <row r="875">
      <c r="A875" s="85"/>
      <c r="B875" s="85"/>
      <c r="C875" s="125"/>
      <c r="D875" s="90"/>
      <c r="E875" s="90"/>
      <c r="F875" s="126"/>
      <c r="G875" s="114"/>
      <c r="H875" s="114"/>
      <c r="M875" s="85"/>
      <c r="N875" s="90"/>
      <c r="O875" s="90"/>
      <c r="P875" s="90"/>
      <c r="Q875" s="90"/>
      <c r="R875" s="91"/>
      <c r="S875" s="91"/>
    </row>
    <row r="876">
      <c r="A876" s="85"/>
      <c r="B876" s="85"/>
      <c r="C876" s="125"/>
      <c r="D876" s="90"/>
      <c r="E876" s="90"/>
      <c r="F876" s="126"/>
      <c r="G876" s="114"/>
      <c r="H876" s="114"/>
      <c r="M876" s="85"/>
      <c r="N876" s="90"/>
      <c r="O876" s="90"/>
      <c r="P876" s="90"/>
      <c r="Q876" s="90"/>
      <c r="R876" s="91"/>
      <c r="S876" s="91"/>
    </row>
    <row r="877">
      <c r="A877" s="85"/>
      <c r="B877" s="85"/>
      <c r="C877" s="125"/>
      <c r="D877" s="90"/>
      <c r="E877" s="90"/>
      <c r="F877" s="126"/>
      <c r="G877" s="114"/>
      <c r="H877" s="114"/>
      <c r="M877" s="85"/>
      <c r="N877" s="90"/>
      <c r="O877" s="90"/>
      <c r="P877" s="90"/>
      <c r="Q877" s="90"/>
      <c r="R877" s="91"/>
      <c r="S877" s="91"/>
    </row>
    <row r="878">
      <c r="A878" s="85"/>
      <c r="B878" s="85"/>
      <c r="C878" s="125"/>
      <c r="D878" s="90"/>
      <c r="E878" s="90"/>
      <c r="F878" s="126"/>
      <c r="G878" s="114"/>
      <c r="H878" s="114"/>
      <c r="M878" s="85"/>
      <c r="N878" s="90"/>
      <c r="O878" s="90"/>
      <c r="P878" s="90"/>
      <c r="Q878" s="90"/>
      <c r="R878" s="91"/>
      <c r="S878" s="91"/>
    </row>
    <row r="879">
      <c r="A879" s="85"/>
      <c r="B879" s="85"/>
      <c r="C879" s="125"/>
      <c r="D879" s="90"/>
      <c r="E879" s="90"/>
      <c r="F879" s="126"/>
      <c r="G879" s="114"/>
      <c r="H879" s="114"/>
      <c r="M879" s="85"/>
      <c r="N879" s="90"/>
      <c r="O879" s="90"/>
      <c r="P879" s="90"/>
      <c r="Q879" s="90"/>
      <c r="R879" s="91"/>
      <c r="S879" s="91"/>
    </row>
    <row r="880">
      <c r="A880" s="85"/>
      <c r="B880" s="85"/>
      <c r="C880" s="125"/>
      <c r="D880" s="90"/>
      <c r="E880" s="90"/>
      <c r="F880" s="126"/>
      <c r="G880" s="114"/>
      <c r="H880" s="114"/>
      <c r="M880" s="85"/>
      <c r="N880" s="90"/>
      <c r="O880" s="90"/>
      <c r="P880" s="90"/>
      <c r="Q880" s="90"/>
      <c r="R880" s="91"/>
      <c r="S880" s="91"/>
    </row>
    <row r="881">
      <c r="A881" s="85"/>
      <c r="B881" s="85"/>
      <c r="C881" s="125"/>
      <c r="D881" s="90"/>
      <c r="E881" s="90"/>
      <c r="F881" s="126"/>
      <c r="G881" s="114"/>
      <c r="H881" s="114"/>
      <c r="M881" s="85"/>
      <c r="N881" s="90"/>
      <c r="O881" s="90"/>
      <c r="P881" s="90"/>
      <c r="Q881" s="90"/>
      <c r="R881" s="91"/>
      <c r="S881" s="91"/>
    </row>
    <row r="882">
      <c r="A882" s="85"/>
      <c r="B882" s="85"/>
      <c r="C882" s="125"/>
      <c r="D882" s="90"/>
      <c r="E882" s="90"/>
      <c r="F882" s="126"/>
      <c r="G882" s="114"/>
      <c r="H882" s="114"/>
      <c r="M882" s="85"/>
      <c r="N882" s="90"/>
      <c r="O882" s="90"/>
      <c r="P882" s="90"/>
      <c r="Q882" s="90"/>
      <c r="R882" s="91"/>
      <c r="S882" s="91"/>
    </row>
    <row r="883">
      <c r="A883" s="85"/>
      <c r="B883" s="85"/>
      <c r="C883" s="125"/>
      <c r="D883" s="90"/>
      <c r="E883" s="90"/>
      <c r="F883" s="126"/>
      <c r="G883" s="114"/>
      <c r="H883" s="114"/>
      <c r="M883" s="85"/>
      <c r="N883" s="90"/>
      <c r="O883" s="90"/>
      <c r="P883" s="90"/>
      <c r="Q883" s="90"/>
      <c r="R883" s="91"/>
      <c r="S883" s="91"/>
    </row>
    <row r="884">
      <c r="A884" s="85"/>
      <c r="B884" s="85"/>
      <c r="C884" s="125"/>
      <c r="D884" s="90"/>
      <c r="E884" s="90"/>
      <c r="F884" s="126"/>
      <c r="G884" s="114"/>
      <c r="H884" s="114"/>
      <c r="M884" s="85"/>
      <c r="N884" s="90"/>
      <c r="O884" s="90"/>
      <c r="P884" s="90"/>
      <c r="Q884" s="90"/>
      <c r="R884" s="91"/>
      <c r="S884" s="91"/>
    </row>
    <row r="885">
      <c r="A885" s="85"/>
      <c r="B885" s="85"/>
      <c r="C885" s="125"/>
      <c r="D885" s="90"/>
      <c r="E885" s="90"/>
      <c r="F885" s="126"/>
      <c r="G885" s="114"/>
      <c r="H885" s="114"/>
      <c r="M885" s="85"/>
      <c r="N885" s="90"/>
      <c r="O885" s="90"/>
      <c r="P885" s="90"/>
      <c r="Q885" s="90"/>
      <c r="R885" s="91"/>
      <c r="S885" s="91"/>
    </row>
    <row r="886">
      <c r="A886" s="85"/>
      <c r="B886" s="85"/>
      <c r="C886" s="125"/>
      <c r="D886" s="90"/>
      <c r="E886" s="90"/>
      <c r="F886" s="126"/>
      <c r="G886" s="114"/>
      <c r="H886" s="114"/>
      <c r="M886" s="85"/>
      <c r="N886" s="90"/>
      <c r="O886" s="90"/>
      <c r="P886" s="90"/>
      <c r="Q886" s="90"/>
      <c r="R886" s="91"/>
      <c r="S886" s="91"/>
    </row>
    <row r="887">
      <c r="A887" s="85"/>
      <c r="B887" s="85"/>
      <c r="C887" s="125"/>
      <c r="D887" s="90"/>
      <c r="E887" s="90"/>
      <c r="F887" s="126"/>
      <c r="G887" s="114"/>
      <c r="H887" s="114"/>
      <c r="M887" s="85"/>
      <c r="N887" s="90"/>
      <c r="O887" s="90"/>
      <c r="P887" s="90"/>
      <c r="Q887" s="90"/>
      <c r="R887" s="91"/>
      <c r="S887" s="91"/>
    </row>
    <row r="888">
      <c r="A888" s="85"/>
      <c r="B888" s="85"/>
      <c r="C888" s="125"/>
      <c r="D888" s="90"/>
      <c r="E888" s="90"/>
      <c r="F888" s="126"/>
      <c r="G888" s="114"/>
      <c r="H888" s="114"/>
      <c r="M888" s="85"/>
      <c r="N888" s="90"/>
      <c r="O888" s="90"/>
      <c r="P888" s="90"/>
      <c r="Q888" s="90"/>
      <c r="R888" s="91"/>
      <c r="S888" s="91"/>
    </row>
    <row r="889">
      <c r="A889" s="85"/>
      <c r="B889" s="85"/>
      <c r="C889" s="125"/>
      <c r="D889" s="90"/>
      <c r="E889" s="90"/>
      <c r="F889" s="126"/>
      <c r="G889" s="114"/>
      <c r="H889" s="114"/>
      <c r="M889" s="85"/>
      <c r="N889" s="90"/>
      <c r="O889" s="90"/>
      <c r="P889" s="90"/>
      <c r="Q889" s="90"/>
      <c r="R889" s="91"/>
      <c r="S889" s="91"/>
    </row>
    <row r="890">
      <c r="A890" s="85"/>
      <c r="B890" s="85"/>
      <c r="C890" s="125"/>
      <c r="D890" s="90"/>
      <c r="E890" s="90"/>
      <c r="F890" s="126"/>
      <c r="G890" s="114"/>
      <c r="H890" s="114"/>
      <c r="M890" s="85"/>
      <c r="N890" s="90"/>
      <c r="O890" s="90"/>
      <c r="P890" s="90"/>
      <c r="Q890" s="90"/>
      <c r="R890" s="91"/>
      <c r="S890" s="91"/>
    </row>
    <row r="891">
      <c r="A891" s="85"/>
      <c r="B891" s="85"/>
      <c r="C891" s="125"/>
      <c r="D891" s="90"/>
      <c r="E891" s="90"/>
      <c r="F891" s="126"/>
      <c r="G891" s="114"/>
      <c r="H891" s="114"/>
      <c r="M891" s="85"/>
      <c r="N891" s="90"/>
      <c r="O891" s="90"/>
      <c r="P891" s="90"/>
      <c r="Q891" s="90"/>
      <c r="R891" s="91"/>
      <c r="S891" s="91"/>
    </row>
    <row r="892">
      <c r="A892" s="85"/>
      <c r="B892" s="85"/>
      <c r="C892" s="125"/>
      <c r="D892" s="90"/>
      <c r="E892" s="90"/>
      <c r="F892" s="126"/>
      <c r="G892" s="114"/>
      <c r="H892" s="114"/>
      <c r="M892" s="85"/>
      <c r="N892" s="90"/>
      <c r="O892" s="90"/>
      <c r="P892" s="90"/>
      <c r="Q892" s="90"/>
      <c r="R892" s="91"/>
      <c r="S892" s="91"/>
    </row>
    <row r="893">
      <c r="A893" s="85"/>
      <c r="B893" s="85"/>
      <c r="C893" s="125"/>
      <c r="D893" s="90"/>
      <c r="E893" s="90"/>
      <c r="F893" s="126"/>
      <c r="G893" s="114"/>
      <c r="H893" s="114"/>
      <c r="M893" s="85"/>
      <c r="N893" s="90"/>
      <c r="O893" s="90"/>
      <c r="P893" s="90"/>
      <c r="Q893" s="90"/>
      <c r="R893" s="91"/>
      <c r="S893" s="91"/>
    </row>
    <row r="894">
      <c r="A894" s="85"/>
      <c r="B894" s="85"/>
      <c r="C894" s="125"/>
      <c r="D894" s="90"/>
      <c r="E894" s="90"/>
      <c r="F894" s="126"/>
      <c r="G894" s="114"/>
      <c r="H894" s="114"/>
      <c r="M894" s="85"/>
      <c r="N894" s="90"/>
      <c r="O894" s="90"/>
      <c r="P894" s="90"/>
      <c r="Q894" s="90"/>
      <c r="R894" s="91"/>
      <c r="S894" s="91"/>
    </row>
    <row r="895">
      <c r="A895" s="85"/>
      <c r="B895" s="85"/>
      <c r="C895" s="125"/>
      <c r="D895" s="90"/>
      <c r="E895" s="90"/>
      <c r="F895" s="126"/>
      <c r="G895" s="114"/>
      <c r="H895" s="114"/>
      <c r="M895" s="85"/>
      <c r="N895" s="90"/>
      <c r="O895" s="90"/>
      <c r="P895" s="90"/>
      <c r="Q895" s="90"/>
      <c r="R895" s="91"/>
      <c r="S895" s="91"/>
    </row>
    <row r="896">
      <c r="A896" s="85"/>
      <c r="B896" s="85"/>
      <c r="C896" s="125"/>
      <c r="D896" s="90"/>
      <c r="E896" s="90"/>
      <c r="F896" s="126"/>
      <c r="G896" s="114"/>
      <c r="H896" s="114"/>
      <c r="M896" s="85"/>
      <c r="N896" s="90"/>
      <c r="O896" s="90"/>
      <c r="P896" s="90"/>
      <c r="Q896" s="90"/>
      <c r="R896" s="91"/>
      <c r="S896" s="91"/>
    </row>
    <row r="897">
      <c r="A897" s="85"/>
      <c r="B897" s="85"/>
      <c r="C897" s="125"/>
      <c r="D897" s="90"/>
      <c r="E897" s="90"/>
      <c r="F897" s="126"/>
      <c r="G897" s="114"/>
      <c r="H897" s="114"/>
      <c r="M897" s="85"/>
      <c r="N897" s="90"/>
      <c r="O897" s="90"/>
      <c r="P897" s="90"/>
      <c r="Q897" s="90"/>
      <c r="R897" s="91"/>
      <c r="S897" s="91"/>
    </row>
    <row r="898">
      <c r="A898" s="85"/>
      <c r="B898" s="85"/>
      <c r="C898" s="125"/>
      <c r="D898" s="90"/>
      <c r="E898" s="90"/>
      <c r="F898" s="126"/>
      <c r="G898" s="114"/>
      <c r="H898" s="114"/>
      <c r="M898" s="85"/>
      <c r="N898" s="90"/>
      <c r="O898" s="90"/>
      <c r="P898" s="90"/>
      <c r="Q898" s="90"/>
      <c r="R898" s="91"/>
      <c r="S898" s="91"/>
    </row>
    <row r="899">
      <c r="A899" s="85"/>
      <c r="B899" s="85"/>
      <c r="C899" s="125"/>
      <c r="D899" s="90"/>
      <c r="E899" s="90"/>
      <c r="F899" s="126"/>
      <c r="G899" s="114"/>
      <c r="H899" s="114"/>
      <c r="M899" s="85"/>
      <c r="N899" s="90"/>
      <c r="O899" s="90"/>
      <c r="P899" s="90"/>
      <c r="Q899" s="90"/>
      <c r="R899" s="91"/>
      <c r="S899" s="91"/>
    </row>
    <row r="900">
      <c r="A900" s="85"/>
      <c r="B900" s="85"/>
      <c r="C900" s="125"/>
      <c r="D900" s="90"/>
      <c r="E900" s="90"/>
      <c r="F900" s="126"/>
      <c r="G900" s="114"/>
      <c r="H900" s="114"/>
      <c r="M900" s="85"/>
      <c r="N900" s="90"/>
      <c r="O900" s="90"/>
      <c r="P900" s="90"/>
      <c r="Q900" s="90"/>
      <c r="R900" s="91"/>
      <c r="S900" s="91"/>
    </row>
    <row r="901">
      <c r="A901" s="85"/>
      <c r="B901" s="85"/>
      <c r="C901" s="125"/>
      <c r="D901" s="90"/>
      <c r="E901" s="90"/>
      <c r="F901" s="126"/>
      <c r="G901" s="114"/>
      <c r="H901" s="114"/>
      <c r="M901" s="85"/>
      <c r="N901" s="90"/>
      <c r="O901" s="90"/>
      <c r="P901" s="90"/>
      <c r="Q901" s="90"/>
      <c r="R901" s="91"/>
      <c r="S901" s="91"/>
    </row>
    <row r="902">
      <c r="A902" s="85"/>
      <c r="B902" s="85"/>
      <c r="C902" s="125"/>
      <c r="D902" s="90"/>
      <c r="E902" s="90"/>
      <c r="F902" s="126"/>
      <c r="G902" s="114"/>
      <c r="H902" s="114"/>
      <c r="M902" s="85"/>
      <c r="N902" s="90"/>
      <c r="O902" s="90"/>
      <c r="P902" s="90"/>
      <c r="Q902" s="90"/>
      <c r="R902" s="91"/>
      <c r="S902" s="91"/>
    </row>
    <row r="903">
      <c r="A903" s="85"/>
      <c r="B903" s="85"/>
      <c r="C903" s="125"/>
      <c r="D903" s="90"/>
      <c r="E903" s="90"/>
      <c r="F903" s="126"/>
      <c r="G903" s="114"/>
      <c r="H903" s="114"/>
      <c r="M903" s="85"/>
      <c r="N903" s="90"/>
      <c r="O903" s="90"/>
      <c r="P903" s="90"/>
      <c r="Q903" s="90"/>
      <c r="R903" s="91"/>
      <c r="S903" s="91"/>
    </row>
    <row r="904">
      <c r="A904" s="85"/>
      <c r="B904" s="85"/>
      <c r="C904" s="125"/>
      <c r="D904" s="90"/>
      <c r="E904" s="90"/>
      <c r="F904" s="126"/>
      <c r="G904" s="114"/>
      <c r="H904" s="114"/>
      <c r="M904" s="85"/>
      <c r="N904" s="90"/>
      <c r="O904" s="90"/>
      <c r="P904" s="90"/>
      <c r="Q904" s="90"/>
      <c r="R904" s="91"/>
      <c r="S904" s="91"/>
    </row>
    <row r="905">
      <c r="A905" s="85"/>
      <c r="B905" s="85"/>
      <c r="C905" s="125"/>
      <c r="D905" s="90"/>
      <c r="E905" s="90"/>
      <c r="F905" s="126"/>
      <c r="G905" s="114"/>
      <c r="H905" s="114"/>
      <c r="M905" s="85"/>
      <c r="N905" s="90"/>
      <c r="O905" s="90"/>
      <c r="P905" s="90"/>
      <c r="Q905" s="90"/>
      <c r="R905" s="91"/>
      <c r="S905" s="91"/>
    </row>
    <row r="906">
      <c r="A906" s="85"/>
      <c r="B906" s="85"/>
      <c r="C906" s="125"/>
      <c r="D906" s="90"/>
      <c r="E906" s="90"/>
      <c r="F906" s="126"/>
      <c r="G906" s="114"/>
      <c r="H906" s="114"/>
      <c r="M906" s="85"/>
      <c r="N906" s="90"/>
      <c r="O906" s="90"/>
      <c r="P906" s="90"/>
      <c r="Q906" s="90"/>
      <c r="R906" s="91"/>
      <c r="S906" s="91"/>
    </row>
    <row r="907">
      <c r="A907" s="85"/>
      <c r="B907" s="85"/>
      <c r="C907" s="125"/>
      <c r="D907" s="90"/>
      <c r="E907" s="90"/>
      <c r="F907" s="126"/>
      <c r="G907" s="114"/>
      <c r="H907" s="114"/>
      <c r="M907" s="85"/>
      <c r="N907" s="90"/>
      <c r="O907" s="90"/>
      <c r="P907" s="90"/>
      <c r="Q907" s="90"/>
      <c r="R907" s="91"/>
      <c r="S907" s="91"/>
    </row>
    <row r="908">
      <c r="A908" s="85"/>
      <c r="B908" s="85"/>
      <c r="C908" s="125"/>
      <c r="D908" s="90"/>
      <c r="E908" s="90"/>
      <c r="F908" s="126"/>
      <c r="G908" s="114"/>
      <c r="H908" s="114"/>
      <c r="M908" s="85"/>
      <c r="N908" s="90"/>
      <c r="O908" s="90"/>
      <c r="P908" s="90"/>
      <c r="Q908" s="90"/>
      <c r="R908" s="91"/>
      <c r="S908" s="91"/>
    </row>
    <row r="909">
      <c r="A909" s="85"/>
      <c r="B909" s="85"/>
      <c r="C909" s="125"/>
      <c r="D909" s="90"/>
      <c r="E909" s="90"/>
      <c r="F909" s="126"/>
      <c r="G909" s="114"/>
      <c r="H909" s="114"/>
      <c r="M909" s="85"/>
      <c r="N909" s="90"/>
      <c r="O909" s="90"/>
      <c r="P909" s="90"/>
      <c r="Q909" s="90"/>
      <c r="R909" s="91"/>
      <c r="S909" s="91"/>
    </row>
    <row r="910">
      <c r="A910" s="85"/>
      <c r="B910" s="85"/>
      <c r="C910" s="125"/>
      <c r="D910" s="90"/>
      <c r="E910" s="90"/>
      <c r="F910" s="126"/>
      <c r="G910" s="114"/>
      <c r="H910" s="114"/>
      <c r="M910" s="85"/>
      <c r="N910" s="90"/>
      <c r="O910" s="90"/>
      <c r="P910" s="90"/>
      <c r="Q910" s="90"/>
      <c r="R910" s="91"/>
      <c r="S910" s="91"/>
    </row>
    <row r="911">
      <c r="A911" s="85"/>
      <c r="B911" s="85"/>
      <c r="C911" s="125"/>
      <c r="D911" s="90"/>
      <c r="E911" s="90"/>
      <c r="F911" s="126"/>
      <c r="G911" s="114"/>
      <c r="H911" s="114"/>
      <c r="M911" s="85"/>
      <c r="N911" s="90"/>
      <c r="O911" s="90"/>
      <c r="P911" s="90"/>
      <c r="Q911" s="90"/>
      <c r="R911" s="91"/>
      <c r="S911" s="91"/>
    </row>
    <row r="912">
      <c r="A912" s="85"/>
      <c r="B912" s="85"/>
      <c r="C912" s="125"/>
      <c r="D912" s="90"/>
      <c r="E912" s="90"/>
      <c r="F912" s="126"/>
      <c r="G912" s="114"/>
      <c r="H912" s="114"/>
      <c r="M912" s="85"/>
      <c r="N912" s="90"/>
      <c r="O912" s="90"/>
      <c r="P912" s="90"/>
      <c r="Q912" s="90"/>
      <c r="R912" s="91"/>
      <c r="S912" s="91"/>
    </row>
    <row r="913">
      <c r="A913" s="85"/>
      <c r="B913" s="85"/>
      <c r="C913" s="125"/>
      <c r="D913" s="90"/>
      <c r="E913" s="90"/>
      <c r="F913" s="126"/>
      <c r="G913" s="114"/>
      <c r="H913" s="114"/>
      <c r="M913" s="85"/>
      <c r="N913" s="90"/>
      <c r="O913" s="90"/>
      <c r="P913" s="90"/>
      <c r="Q913" s="90"/>
      <c r="R913" s="91"/>
      <c r="S913" s="91"/>
    </row>
    <row r="914">
      <c r="A914" s="85"/>
      <c r="B914" s="85"/>
      <c r="C914" s="125"/>
      <c r="D914" s="90"/>
      <c r="E914" s="90"/>
      <c r="F914" s="126"/>
      <c r="G914" s="114"/>
      <c r="H914" s="114"/>
      <c r="M914" s="85"/>
      <c r="N914" s="90"/>
      <c r="O914" s="90"/>
      <c r="P914" s="90"/>
      <c r="Q914" s="90"/>
      <c r="R914" s="91"/>
      <c r="S914" s="91"/>
    </row>
    <row r="915">
      <c r="A915" s="85"/>
      <c r="B915" s="85"/>
      <c r="C915" s="125"/>
      <c r="D915" s="90"/>
      <c r="E915" s="90"/>
      <c r="F915" s="126"/>
      <c r="G915" s="114"/>
      <c r="H915" s="114"/>
      <c r="M915" s="85"/>
      <c r="N915" s="90"/>
      <c r="O915" s="90"/>
      <c r="P915" s="90"/>
      <c r="Q915" s="90"/>
      <c r="R915" s="91"/>
      <c r="S915" s="91"/>
    </row>
    <row r="916">
      <c r="A916" s="85"/>
      <c r="B916" s="85"/>
      <c r="C916" s="125"/>
      <c r="D916" s="90"/>
      <c r="E916" s="90"/>
      <c r="F916" s="126"/>
      <c r="G916" s="114"/>
      <c r="H916" s="114"/>
      <c r="M916" s="85"/>
      <c r="N916" s="90"/>
      <c r="O916" s="90"/>
      <c r="P916" s="90"/>
      <c r="Q916" s="90"/>
      <c r="R916" s="91"/>
      <c r="S916" s="91"/>
    </row>
    <row r="917">
      <c r="A917" s="85"/>
      <c r="B917" s="85"/>
      <c r="C917" s="125"/>
      <c r="D917" s="90"/>
      <c r="E917" s="90"/>
      <c r="F917" s="126"/>
      <c r="G917" s="114"/>
      <c r="H917" s="114"/>
      <c r="M917" s="85"/>
      <c r="N917" s="90"/>
      <c r="O917" s="90"/>
      <c r="P917" s="90"/>
      <c r="Q917" s="90"/>
      <c r="R917" s="91"/>
      <c r="S917" s="91"/>
    </row>
    <row r="918">
      <c r="A918" s="85"/>
      <c r="B918" s="85"/>
      <c r="C918" s="125"/>
      <c r="D918" s="90"/>
      <c r="E918" s="90"/>
      <c r="F918" s="126"/>
      <c r="G918" s="114"/>
      <c r="H918" s="114"/>
      <c r="M918" s="85"/>
      <c r="N918" s="90"/>
      <c r="O918" s="90"/>
      <c r="P918" s="90"/>
      <c r="Q918" s="90"/>
      <c r="R918" s="91"/>
      <c r="S918" s="91"/>
    </row>
    <row r="919">
      <c r="A919" s="85"/>
      <c r="B919" s="85"/>
      <c r="C919" s="125"/>
      <c r="D919" s="90"/>
      <c r="E919" s="90"/>
      <c r="F919" s="126"/>
      <c r="G919" s="114"/>
      <c r="H919" s="114"/>
      <c r="M919" s="85"/>
      <c r="N919" s="90"/>
      <c r="O919" s="90"/>
      <c r="P919" s="90"/>
      <c r="Q919" s="90"/>
      <c r="R919" s="91"/>
      <c r="S919" s="91"/>
    </row>
    <row r="920">
      <c r="A920" s="85"/>
      <c r="B920" s="85"/>
      <c r="C920" s="125"/>
      <c r="D920" s="90"/>
      <c r="E920" s="90"/>
      <c r="F920" s="126"/>
      <c r="G920" s="114"/>
      <c r="H920" s="114"/>
      <c r="M920" s="85"/>
      <c r="N920" s="90"/>
      <c r="O920" s="90"/>
      <c r="P920" s="90"/>
      <c r="Q920" s="90"/>
      <c r="R920" s="91"/>
      <c r="S920" s="91"/>
    </row>
    <row r="921">
      <c r="A921" s="85"/>
      <c r="B921" s="85"/>
      <c r="C921" s="125"/>
      <c r="D921" s="90"/>
      <c r="E921" s="90"/>
      <c r="F921" s="126"/>
      <c r="G921" s="114"/>
      <c r="H921" s="114"/>
      <c r="M921" s="85"/>
      <c r="N921" s="90"/>
      <c r="O921" s="90"/>
      <c r="P921" s="90"/>
      <c r="Q921" s="90"/>
      <c r="R921" s="91"/>
      <c r="S921" s="91"/>
    </row>
    <row r="922">
      <c r="A922" s="85"/>
      <c r="B922" s="85"/>
      <c r="C922" s="125"/>
      <c r="D922" s="90"/>
      <c r="E922" s="90"/>
      <c r="F922" s="126"/>
      <c r="G922" s="114"/>
      <c r="H922" s="114"/>
      <c r="M922" s="85"/>
      <c r="N922" s="90"/>
      <c r="O922" s="90"/>
      <c r="P922" s="90"/>
      <c r="Q922" s="90"/>
      <c r="R922" s="91"/>
      <c r="S922" s="91"/>
    </row>
    <row r="923">
      <c r="A923" s="85"/>
      <c r="B923" s="85"/>
      <c r="C923" s="125"/>
      <c r="D923" s="90"/>
      <c r="E923" s="90"/>
      <c r="F923" s="126"/>
      <c r="G923" s="114"/>
      <c r="H923" s="114"/>
      <c r="M923" s="85"/>
      <c r="N923" s="90"/>
      <c r="O923" s="90"/>
      <c r="P923" s="90"/>
      <c r="Q923" s="90"/>
      <c r="R923" s="91"/>
      <c r="S923" s="91"/>
    </row>
    <row r="924">
      <c r="A924" s="85"/>
      <c r="B924" s="85"/>
      <c r="C924" s="125"/>
      <c r="D924" s="90"/>
      <c r="E924" s="90"/>
      <c r="F924" s="126"/>
      <c r="G924" s="114"/>
      <c r="H924" s="114"/>
      <c r="M924" s="85"/>
      <c r="N924" s="90"/>
      <c r="O924" s="90"/>
      <c r="P924" s="90"/>
      <c r="Q924" s="90"/>
      <c r="R924" s="91"/>
      <c r="S924" s="91"/>
    </row>
    <row r="925">
      <c r="A925" s="85"/>
      <c r="B925" s="85"/>
      <c r="C925" s="125"/>
      <c r="D925" s="90"/>
      <c r="E925" s="90"/>
      <c r="F925" s="126"/>
      <c r="G925" s="114"/>
      <c r="H925" s="114"/>
      <c r="M925" s="85"/>
      <c r="N925" s="90"/>
      <c r="O925" s="90"/>
      <c r="P925" s="90"/>
      <c r="Q925" s="90"/>
      <c r="R925" s="91"/>
      <c r="S925" s="91"/>
    </row>
    <row r="926">
      <c r="A926" s="85"/>
      <c r="B926" s="85"/>
      <c r="C926" s="125"/>
      <c r="D926" s="90"/>
      <c r="E926" s="90"/>
      <c r="F926" s="126"/>
      <c r="G926" s="114"/>
      <c r="H926" s="114"/>
      <c r="M926" s="85"/>
      <c r="N926" s="90"/>
      <c r="O926" s="90"/>
      <c r="P926" s="90"/>
      <c r="Q926" s="90"/>
      <c r="R926" s="91"/>
      <c r="S926" s="91"/>
    </row>
    <row r="927">
      <c r="A927" s="85"/>
      <c r="B927" s="85"/>
      <c r="C927" s="125"/>
      <c r="D927" s="90"/>
      <c r="E927" s="90"/>
      <c r="F927" s="126"/>
      <c r="G927" s="114"/>
      <c r="H927" s="114"/>
      <c r="M927" s="85"/>
      <c r="N927" s="90"/>
      <c r="O927" s="90"/>
      <c r="P927" s="90"/>
      <c r="Q927" s="90"/>
      <c r="R927" s="91"/>
      <c r="S927" s="91"/>
    </row>
    <row r="928">
      <c r="A928" s="85"/>
      <c r="B928" s="85"/>
      <c r="C928" s="125"/>
      <c r="D928" s="90"/>
      <c r="E928" s="90"/>
      <c r="F928" s="126"/>
      <c r="G928" s="114"/>
      <c r="H928" s="114"/>
      <c r="M928" s="85"/>
      <c r="N928" s="90"/>
      <c r="O928" s="90"/>
      <c r="P928" s="90"/>
      <c r="Q928" s="90"/>
      <c r="R928" s="91"/>
      <c r="S928" s="91"/>
    </row>
    <row r="929">
      <c r="A929" s="85"/>
      <c r="B929" s="85"/>
      <c r="C929" s="125"/>
      <c r="D929" s="90"/>
      <c r="E929" s="90"/>
      <c r="F929" s="126"/>
      <c r="G929" s="114"/>
      <c r="H929" s="114"/>
      <c r="M929" s="85"/>
      <c r="N929" s="90"/>
      <c r="O929" s="90"/>
      <c r="P929" s="90"/>
      <c r="Q929" s="90"/>
      <c r="R929" s="91"/>
      <c r="S929" s="91"/>
    </row>
    <row r="930">
      <c r="A930" s="85"/>
      <c r="B930" s="85"/>
      <c r="C930" s="125"/>
      <c r="D930" s="90"/>
      <c r="E930" s="90"/>
      <c r="F930" s="126"/>
      <c r="G930" s="114"/>
      <c r="H930" s="114"/>
      <c r="M930" s="85"/>
      <c r="N930" s="90"/>
      <c r="O930" s="90"/>
      <c r="P930" s="90"/>
      <c r="Q930" s="90"/>
      <c r="R930" s="91"/>
      <c r="S930" s="91"/>
    </row>
    <row r="931">
      <c r="A931" s="85"/>
      <c r="B931" s="85"/>
      <c r="C931" s="125"/>
      <c r="D931" s="90"/>
      <c r="E931" s="90"/>
      <c r="F931" s="126"/>
      <c r="G931" s="114"/>
      <c r="H931" s="114"/>
      <c r="M931" s="85"/>
      <c r="N931" s="90"/>
      <c r="O931" s="90"/>
      <c r="P931" s="90"/>
      <c r="Q931" s="90"/>
      <c r="R931" s="91"/>
      <c r="S931" s="91"/>
    </row>
    <row r="932">
      <c r="A932" s="85"/>
      <c r="B932" s="85"/>
      <c r="C932" s="125"/>
      <c r="D932" s="90"/>
      <c r="E932" s="90"/>
      <c r="F932" s="126"/>
      <c r="G932" s="114"/>
      <c r="H932" s="114"/>
      <c r="M932" s="85"/>
      <c r="N932" s="90"/>
      <c r="O932" s="90"/>
      <c r="P932" s="90"/>
      <c r="Q932" s="90"/>
      <c r="R932" s="91"/>
      <c r="S932" s="91"/>
    </row>
    <row r="933">
      <c r="A933" s="85"/>
      <c r="B933" s="85"/>
      <c r="C933" s="125"/>
      <c r="D933" s="90"/>
      <c r="E933" s="90"/>
      <c r="F933" s="126"/>
      <c r="G933" s="114"/>
      <c r="H933" s="114"/>
      <c r="M933" s="85"/>
      <c r="N933" s="90"/>
      <c r="O933" s="90"/>
      <c r="P933" s="90"/>
      <c r="Q933" s="90"/>
      <c r="R933" s="91"/>
      <c r="S933" s="91"/>
    </row>
    <row r="934">
      <c r="A934" s="85"/>
      <c r="B934" s="85"/>
      <c r="C934" s="125"/>
      <c r="D934" s="90"/>
      <c r="E934" s="90"/>
      <c r="F934" s="126"/>
      <c r="G934" s="114"/>
      <c r="H934" s="114"/>
      <c r="M934" s="85"/>
      <c r="N934" s="90"/>
      <c r="O934" s="90"/>
      <c r="P934" s="90"/>
      <c r="Q934" s="90"/>
      <c r="R934" s="91"/>
      <c r="S934" s="91"/>
    </row>
    <row r="935">
      <c r="A935" s="85"/>
      <c r="B935" s="85"/>
      <c r="C935" s="125"/>
      <c r="D935" s="90"/>
      <c r="E935" s="90"/>
      <c r="F935" s="126"/>
      <c r="G935" s="114"/>
      <c r="H935" s="114"/>
      <c r="M935" s="85"/>
      <c r="N935" s="90"/>
      <c r="O935" s="90"/>
      <c r="P935" s="90"/>
      <c r="Q935" s="90"/>
      <c r="R935" s="91"/>
      <c r="S935" s="91"/>
    </row>
    <row r="936">
      <c r="A936" s="85"/>
      <c r="B936" s="85"/>
      <c r="C936" s="125"/>
      <c r="D936" s="90"/>
      <c r="E936" s="90"/>
      <c r="F936" s="126"/>
      <c r="G936" s="114"/>
      <c r="H936" s="114"/>
      <c r="M936" s="85"/>
      <c r="N936" s="90"/>
      <c r="O936" s="90"/>
      <c r="P936" s="90"/>
      <c r="Q936" s="90"/>
      <c r="R936" s="91"/>
      <c r="S936" s="91"/>
    </row>
    <row r="937">
      <c r="A937" s="85"/>
      <c r="B937" s="85"/>
      <c r="C937" s="125"/>
      <c r="D937" s="90"/>
      <c r="E937" s="90"/>
      <c r="F937" s="126"/>
      <c r="G937" s="114"/>
      <c r="H937" s="114"/>
      <c r="M937" s="85"/>
      <c r="N937" s="90"/>
      <c r="O937" s="90"/>
      <c r="P937" s="90"/>
      <c r="Q937" s="90"/>
      <c r="R937" s="91"/>
      <c r="S937" s="91"/>
    </row>
    <row r="938">
      <c r="A938" s="85"/>
      <c r="B938" s="85"/>
      <c r="C938" s="125"/>
      <c r="D938" s="90"/>
      <c r="E938" s="90"/>
      <c r="F938" s="126"/>
      <c r="G938" s="114"/>
      <c r="H938" s="114"/>
      <c r="M938" s="85"/>
      <c r="N938" s="90"/>
      <c r="O938" s="90"/>
      <c r="P938" s="90"/>
      <c r="Q938" s="90"/>
      <c r="R938" s="91"/>
      <c r="S938" s="91"/>
    </row>
    <row r="939">
      <c r="A939" s="85"/>
      <c r="B939" s="85"/>
      <c r="C939" s="125"/>
      <c r="D939" s="90"/>
      <c r="E939" s="90"/>
      <c r="F939" s="126"/>
      <c r="G939" s="114"/>
      <c r="H939" s="114"/>
      <c r="M939" s="85"/>
      <c r="N939" s="90"/>
      <c r="O939" s="90"/>
      <c r="P939" s="90"/>
      <c r="Q939" s="90"/>
      <c r="R939" s="91"/>
      <c r="S939" s="91"/>
    </row>
    <row r="940">
      <c r="A940" s="85"/>
      <c r="B940" s="85"/>
      <c r="C940" s="125"/>
      <c r="D940" s="90"/>
      <c r="E940" s="90"/>
      <c r="F940" s="126"/>
      <c r="G940" s="114"/>
      <c r="H940" s="114"/>
      <c r="M940" s="85"/>
      <c r="N940" s="90"/>
      <c r="O940" s="90"/>
      <c r="P940" s="90"/>
      <c r="Q940" s="90"/>
      <c r="R940" s="91"/>
      <c r="S940" s="91"/>
    </row>
    <row r="941">
      <c r="A941" s="85"/>
      <c r="B941" s="85"/>
      <c r="C941" s="125"/>
      <c r="D941" s="90"/>
      <c r="E941" s="90"/>
      <c r="F941" s="126"/>
      <c r="G941" s="114"/>
      <c r="H941" s="114"/>
      <c r="M941" s="85"/>
      <c r="N941" s="90"/>
      <c r="O941" s="90"/>
      <c r="P941" s="90"/>
      <c r="Q941" s="90"/>
      <c r="R941" s="91"/>
      <c r="S941" s="91"/>
    </row>
    <row r="942">
      <c r="A942" s="85"/>
      <c r="B942" s="85"/>
      <c r="C942" s="125"/>
      <c r="D942" s="90"/>
      <c r="E942" s="90"/>
      <c r="F942" s="126"/>
      <c r="G942" s="114"/>
      <c r="H942" s="114"/>
      <c r="M942" s="85"/>
      <c r="N942" s="90"/>
      <c r="O942" s="90"/>
      <c r="P942" s="90"/>
      <c r="Q942" s="90"/>
      <c r="R942" s="91"/>
      <c r="S942" s="91"/>
    </row>
    <row r="943">
      <c r="A943" s="85"/>
      <c r="B943" s="85"/>
      <c r="C943" s="125"/>
      <c r="D943" s="90"/>
      <c r="E943" s="90"/>
      <c r="F943" s="126"/>
      <c r="G943" s="114"/>
      <c r="H943" s="114"/>
      <c r="M943" s="85"/>
      <c r="N943" s="90"/>
      <c r="O943" s="90"/>
      <c r="P943" s="90"/>
      <c r="Q943" s="90"/>
      <c r="R943" s="91"/>
      <c r="S943" s="91"/>
    </row>
    <row r="944">
      <c r="A944" s="85"/>
      <c r="B944" s="85"/>
      <c r="C944" s="125"/>
      <c r="D944" s="90"/>
      <c r="E944" s="90"/>
      <c r="F944" s="126"/>
      <c r="G944" s="114"/>
      <c r="H944" s="114"/>
      <c r="M944" s="85"/>
      <c r="N944" s="90"/>
      <c r="O944" s="90"/>
      <c r="P944" s="90"/>
      <c r="Q944" s="90"/>
      <c r="R944" s="91"/>
      <c r="S944" s="91"/>
    </row>
    <row r="945">
      <c r="A945" s="85"/>
      <c r="B945" s="85"/>
      <c r="C945" s="125"/>
      <c r="D945" s="90"/>
      <c r="E945" s="90"/>
      <c r="F945" s="126"/>
      <c r="G945" s="114"/>
      <c r="H945" s="114"/>
      <c r="M945" s="85"/>
      <c r="N945" s="90"/>
      <c r="O945" s="90"/>
      <c r="P945" s="90"/>
      <c r="Q945" s="90"/>
      <c r="R945" s="91"/>
      <c r="S945" s="91"/>
    </row>
    <row r="946">
      <c r="A946" s="85"/>
      <c r="B946" s="85"/>
      <c r="C946" s="125"/>
      <c r="D946" s="90"/>
      <c r="E946" s="90"/>
      <c r="F946" s="126"/>
      <c r="G946" s="114"/>
      <c r="H946" s="114"/>
      <c r="M946" s="85"/>
      <c r="N946" s="90"/>
      <c r="O946" s="90"/>
      <c r="P946" s="90"/>
      <c r="Q946" s="90"/>
      <c r="R946" s="91"/>
      <c r="S946" s="91"/>
    </row>
    <row r="947">
      <c r="A947" s="85"/>
      <c r="B947" s="85"/>
      <c r="C947" s="125"/>
      <c r="D947" s="90"/>
      <c r="E947" s="90"/>
      <c r="F947" s="126"/>
      <c r="G947" s="114"/>
      <c r="H947" s="114"/>
      <c r="M947" s="85"/>
      <c r="N947" s="90"/>
      <c r="O947" s="90"/>
      <c r="P947" s="90"/>
      <c r="Q947" s="90"/>
      <c r="R947" s="91"/>
      <c r="S947" s="91"/>
    </row>
    <row r="948">
      <c r="A948" s="85"/>
      <c r="B948" s="85"/>
      <c r="C948" s="125"/>
      <c r="D948" s="90"/>
      <c r="E948" s="90"/>
      <c r="F948" s="126"/>
      <c r="G948" s="114"/>
      <c r="H948" s="114"/>
      <c r="M948" s="85"/>
      <c r="N948" s="90"/>
      <c r="O948" s="90"/>
      <c r="P948" s="90"/>
      <c r="Q948" s="90"/>
      <c r="R948" s="91"/>
      <c r="S948" s="91"/>
    </row>
    <row r="949">
      <c r="A949" s="85"/>
      <c r="B949" s="85"/>
      <c r="C949" s="125"/>
      <c r="D949" s="90"/>
      <c r="E949" s="90"/>
      <c r="F949" s="126"/>
      <c r="G949" s="114"/>
      <c r="H949" s="114"/>
      <c r="M949" s="85"/>
      <c r="N949" s="90"/>
      <c r="O949" s="90"/>
      <c r="P949" s="90"/>
      <c r="Q949" s="90"/>
      <c r="R949" s="91"/>
      <c r="S949" s="91"/>
    </row>
    <row r="950">
      <c r="A950" s="85"/>
      <c r="B950" s="85"/>
      <c r="C950" s="125"/>
      <c r="D950" s="90"/>
      <c r="E950" s="90"/>
      <c r="F950" s="126"/>
      <c r="G950" s="114"/>
      <c r="H950" s="114"/>
      <c r="M950" s="85"/>
      <c r="N950" s="90"/>
      <c r="O950" s="90"/>
      <c r="P950" s="90"/>
      <c r="Q950" s="90"/>
      <c r="R950" s="91"/>
      <c r="S950" s="91"/>
    </row>
    <row r="951">
      <c r="A951" s="85"/>
      <c r="B951" s="85"/>
      <c r="C951" s="125"/>
      <c r="D951" s="90"/>
      <c r="E951" s="90"/>
      <c r="F951" s="126"/>
      <c r="G951" s="114"/>
      <c r="H951" s="114"/>
      <c r="M951" s="85"/>
      <c r="N951" s="90"/>
      <c r="O951" s="90"/>
      <c r="P951" s="90"/>
      <c r="Q951" s="90"/>
      <c r="R951" s="91"/>
      <c r="S951" s="91"/>
    </row>
    <row r="952">
      <c r="A952" s="85"/>
      <c r="B952" s="85"/>
      <c r="C952" s="125"/>
      <c r="D952" s="90"/>
      <c r="E952" s="90"/>
      <c r="F952" s="126"/>
      <c r="G952" s="114"/>
      <c r="H952" s="114"/>
      <c r="M952" s="85"/>
      <c r="N952" s="90"/>
      <c r="O952" s="90"/>
      <c r="P952" s="90"/>
      <c r="Q952" s="90"/>
      <c r="R952" s="91"/>
      <c r="S952" s="91"/>
    </row>
    <row r="953">
      <c r="A953" s="85"/>
      <c r="B953" s="85"/>
      <c r="C953" s="125"/>
      <c r="D953" s="90"/>
      <c r="E953" s="90"/>
      <c r="F953" s="126"/>
      <c r="G953" s="114"/>
      <c r="H953" s="114"/>
      <c r="M953" s="85"/>
      <c r="N953" s="90"/>
      <c r="O953" s="90"/>
      <c r="P953" s="90"/>
      <c r="Q953" s="90"/>
      <c r="R953" s="91"/>
      <c r="S953" s="91"/>
    </row>
    <row r="954">
      <c r="A954" s="85"/>
      <c r="B954" s="85"/>
      <c r="C954" s="125"/>
      <c r="D954" s="90"/>
      <c r="E954" s="90"/>
      <c r="F954" s="126"/>
      <c r="G954" s="114"/>
      <c r="H954" s="114"/>
      <c r="M954" s="85"/>
      <c r="N954" s="90"/>
      <c r="O954" s="90"/>
      <c r="P954" s="90"/>
      <c r="Q954" s="90"/>
      <c r="R954" s="91"/>
      <c r="S954" s="91"/>
    </row>
    <row r="955">
      <c r="A955" s="85"/>
      <c r="B955" s="85"/>
      <c r="C955" s="125"/>
      <c r="D955" s="90"/>
      <c r="E955" s="90"/>
      <c r="F955" s="126"/>
      <c r="G955" s="114"/>
      <c r="H955" s="114"/>
      <c r="M955" s="85"/>
      <c r="N955" s="90"/>
      <c r="O955" s="90"/>
      <c r="P955" s="90"/>
      <c r="Q955" s="90"/>
      <c r="R955" s="91"/>
      <c r="S955" s="91"/>
    </row>
    <row r="956">
      <c r="A956" s="85"/>
      <c r="B956" s="85"/>
      <c r="C956" s="125"/>
      <c r="D956" s="90"/>
      <c r="E956" s="90"/>
      <c r="F956" s="126"/>
      <c r="G956" s="114"/>
      <c r="H956" s="114"/>
      <c r="M956" s="85"/>
      <c r="N956" s="90"/>
      <c r="O956" s="90"/>
      <c r="P956" s="90"/>
      <c r="Q956" s="90"/>
      <c r="R956" s="91"/>
      <c r="S956" s="91"/>
    </row>
    <row r="957">
      <c r="A957" s="85"/>
      <c r="B957" s="85"/>
      <c r="C957" s="125"/>
      <c r="D957" s="90"/>
      <c r="E957" s="90"/>
      <c r="F957" s="126"/>
      <c r="G957" s="114"/>
      <c r="H957" s="114"/>
      <c r="M957" s="85"/>
      <c r="N957" s="90"/>
      <c r="O957" s="90"/>
      <c r="P957" s="90"/>
      <c r="Q957" s="90"/>
      <c r="R957" s="91"/>
      <c r="S957" s="91"/>
    </row>
    <row r="958">
      <c r="A958" s="85"/>
      <c r="B958" s="85"/>
      <c r="C958" s="125"/>
      <c r="D958" s="90"/>
      <c r="E958" s="90"/>
      <c r="F958" s="126"/>
      <c r="G958" s="114"/>
      <c r="H958" s="114"/>
      <c r="M958" s="85"/>
      <c r="N958" s="90"/>
      <c r="O958" s="90"/>
      <c r="P958" s="90"/>
      <c r="Q958" s="90"/>
      <c r="R958" s="91"/>
      <c r="S958" s="91"/>
    </row>
    <row r="959">
      <c r="A959" s="85"/>
      <c r="B959" s="85"/>
      <c r="C959" s="125"/>
      <c r="D959" s="90"/>
      <c r="E959" s="90"/>
      <c r="F959" s="126"/>
      <c r="G959" s="114"/>
      <c r="H959" s="114"/>
      <c r="M959" s="85"/>
      <c r="N959" s="90"/>
      <c r="O959" s="90"/>
      <c r="P959" s="90"/>
      <c r="Q959" s="90"/>
      <c r="R959" s="91"/>
      <c r="S959" s="91"/>
    </row>
    <row r="960">
      <c r="A960" s="85"/>
      <c r="B960" s="85"/>
      <c r="C960" s="125"/>
      <c r="D960" s="90"/>
      <c r="E960" s="90"/>
      <c r="F960" s="126"/>
      <c r="G960" s="114"/>
      <c r="H960" s="114"/>
      <c r="M960" s="85"/>
      <c r="N960" s="90"/>
      <c r="O960" s="90"/>
      <c r="P960" s="90"/>
      <c r="Q960" s="90"/>
      <c r="R960" s="91"/>
      <c r="S960" s="91"/>
    </row>
    <row r="961">
      <c r="A961" s="85"/>
      <c r="B961" s="85"/>
      <c r="C961" s="125"/>
      <c r="D961" s="90"/>
      <c r="E961" s="90"/>
      <c r="F961" s="126"/>
      <c r="G961" s="114"/>
      <c r="H961" s="114"/>
      <c r="M961" s="85"/>
      <c r="N961" s="90"/>
      <c r="O961" s="90"/>
      <c r="P961" s="90"/>
      <c r="Q961" s="90"/>
      <c r="R961" s="91"/>
      <c r="S961" s="91"/>
    </row>
    <row r="962">
      <c r="A962" s="85"/>
      <c r="B962" s="85"/>
      <c r="C962" s="125"/>
      <c r="D962" s="90"/>
      <c r="E962" s="90"/>
      <c r="F962" s="126"/>
      <c r="G962" s="114"/>
      <c r="H962" s="114"/>
      <c r="M962" s="85"/>
      <c r="N962" s="90"/>
      <c r="O962" s="90"/>
      <c r="P962" s="90"/>
      <c r="Q962" s="90"/>
      <c r="R962" s="91"/>
      <c r="S962" s="91"/>
    </row>
    <row r="963">
      <c r="A963" s="85"/>
      <c r="B963" s="85"/>
      <c r="C963" s="125"/>
      <c r="D963" s="90"/>
      <c r="E963" s="90"/>
      <c r="F963" s="126"/>
      <c r="G963" s="114"/>
      <c r="H963" s="114"/>
      <c r="M963" s="85"/>
      <c r="N963" s="90"/>
      <c r="O963" s="90"/>
      <c r="P963" s="90"/>
      <c r="Q963" s="90"/>
      <c r="R963" s="91"/>
      <c r="S963" s="91"/>
    </row>
    <row r="964">
      <c r="A964" s="85"/>
      <c r="B964" s="85"/>
      <c r="C964" s="125"/>
      <c r="D964" s="90"/>
      <c r="E964" s="90"/>
      <c r="F964" s="126"/>
      <c r="G964" s="114"/>
      <c r="H964" s="114"/>
      <c r="M964" s="85"/>
      <c r="N964" s="90"/>
      <c r="O964" s="90"/>
      <c r="P964" s="90"/>
      <c r="Q964" s="90"/>
      <c r="R964" s="91"/>
      <c r="S964" s="91"/>
    </row>
    <row r="965">
      <c r="A965" s="85"/>
      <c r="B965" s="85"/>
      <c r="C965" s="125"/>
      <c r="D965" s="90"/>
      <c r="E965" s="90"/>
      <c r="F965" s="126"/>
      <c r="G965" s="114"/>
      <c r="H965" s="114"/>
      <c r="M965" s="85"/>
      <c r="N965" s="90"/>
      <c r="O965" s="90"/>
      <c r="P965" s="90"/>
      <c r="Q965" s="90"/>
      <c r="R965" s="91"/>
      <c r="S965" s="91"/>
    </row>
    <row r="966">
      <c r="A966" s="85"/>
      <c r="B966" s="85"/>
      <c r="C966" s="125"/>
      <c r="D966" s="90"/>
      <c r="E966" s="90"/>
      <c r="F966" s="126"/>
      <c r="G966" s="114"/>
      <c r="H966" s="114"/>
      <c r="M966" s="85"/>
      <c r="N966" s="90"/>
      <c r="O966" s="90"/>
      <c r="P966" s="90"/>
      <c r="Q966" s="90"/>
      <c r="R966" s="91"/>
      <c r="S966" s="91"/>
    </row>
    <row r="967">
      <c r="A967" s="85"/>
      <c r="B967" s="85"/>
      <c r="C967" s="125"/>
      <c r="D967" s="90"/>
      <c r="E967" s="90"/>
      <c r="F967" s="126"/>
      <c r="G967" s="114"/>
      <c r="H967" s="114"/>
      <c r="M967" s="85"/>
      <c r="N967" s="90"/>
      <c r="O967" s="90"/>
      <c r="P967" s="90"/>
      <c r="Q967" s="90"/>
      <c r="R967" s="91"/>
      <c r="S967" s="91"/>
    </row>
    <row r="968">
      <c r="A968" s="85"/>
      <c r="B968" s="85"/>
      <c r="C968" s="125"/>
      <c r="D968" s="90"/>
      <c r="E968" s="90"/>
      <c r="F968" s="126"/>
      <c r="G968" s="114"/>
      <c r="H968" s="114"/>
      <c r="M968" s="85"/>
      <c r="N968" s="90"/>
      <c r="O968" s="90"/>
      <c r="P968" s="90"/>
      <c r="Q968" s="90"/>
      <c r="R968" s="91"/>
      <c r="S968" s="91"/>
    </row>
    <row r="969">
      <c r="A969" s="85"/>
      <c r="B969" s="85"/>
      <c r="C969" s="125"/>
      <c r="D969" s="90"/>
      <c r="E969" s="90"/>
      <c r="F969" s="126"/>
      <c r="G969" s="114"/>
      <c r="H969" s="114"/>
      <c r="M969" s="85"/>
      <c r="N969" s="90"/>
      <c r="O969" s="90"/>
      <c r="P969" s="90"/>
      <c r="Q969" s="90"/>
      <c r="R969" s="91"/>
      <c r="S969" s="91"/>
    </row>
    <row r="970">
      <c r="A970" s="85"/>
      <c r="B970" s="85"/>
      <c r="C970" s="125"/>
      <c r="D970" s="90"/>
      <c r="E970" s="90"/>
      <c r="F970" s="126"/>
      <c r="G970" s="114"/>
      <c r="H970" s="114"/>
      <c r="M970" s="85"/>
      <c r="N970" s="90"/>
      <c r="O970" s="90"/>
      <c r="P970" s="90"/>
      <c r="Q970" s="90"/>
      <c r="R970" s="91"/>
      <c r="S970" s="91"/>
    </row>
    <row r="971">
      <c r="A971" s="85"/>
      <c r="B971" s="85"/>
      <c r="C971" s="125"/>
      <c r="D971" s="90"/>
      <c r="E971" s="90"/>
      <c r="F971" s="126"/>
      <c r="G971" s="114"/>
      <c r="H971" s="114"/>
      <c r="M971" s="85"/>
      <c r="N971" s="90"/>
      <c r="O971" s="90"/>
      <c r="P971" s="90"/>
      <c r="Q971" s="90"/>
      <c r="R971" s="91"/>
      <c r="S971" s="91"/>
    </row>
    <row r="972">
      <c r="A972" s="85"/>
      <c r="B972" s="85"/>
      <c r="C972" s="125"/>
      <c r="D972" s="90"/>
      <c r="E972" s="90"/>
      <c r="F972" s="126"/>
      <c r="G972" s="114"/>
      <c r="H972" s="114"/>
      <c r="M972" s="85"/>
      <c r="N972" s="90"/>
      <c r="O972" s="90"/>
      <c r="P972" s="90"/>
      <c r="Q972" s="90"/>
      <c r="R972" s="91"/>
      <c r="S972" s="91"/>
    </row>
    <row r="973">
      <c r="A973" s="85"/>
      <c r="B973" s="85"/>
      <c r="C973" s="125"/>
      <c r="D973" s="90"/>
      <c r="E973" s="90"/>
      <c r="F973" s="126"/>
      <c r="G973" s="114"/>
      <c r="H973" s="114"/>
      <c r="M973" s="85"/>
      <c r="N973" s="90"/>
      <c r="O973" s="90"/>
      <c r="P973" s="90"/>
      <c r="Q973" s="90"/>
      <c r="R973" s="91"/>
      <c r="S973" s="91"/>
    </row>
    <row r="974">
      <c r="A974" s="85"/>
      <c r="B974" s="85"/>
      <c r="C974" s="125"/>
      <c r="D974" s="90"/>
      <c r="E974" s="90"/>
      <c r="F974" s="126"/>
      <c r="G974" s="114"/>
      <c r="H974" s="114"/>
      <c r="M974" s="85"/>
      <c r="N974" s="90"/>
      <c r="O974" s="90"/>
      <c r="P974" s="90"/>
      <c r="Q974" s="90"/>
      <c r="R974" s="91"/>
      <c r="S974" s="91"/>
    </row>
    <row r="975">
      <c r="A975" s="85"/>
      <c r="B975" s="85"/>
      <c r="C975" s="125"/>
      <c r="D975" s="90"/>
      <c r="E975" s="90"/>
      <c r="F975" s="126"/>
      <c r="G975" s="114"/>
      <c r="H975" s="114"/>
      <c r="M975" s="85"/>
      <c r="N975" s="90"/>
      <c r="O975" s="90"/>
      <c r="P975" s="90"/>
      <c r="Q975" s="90"/>
      <c r="R975" s="91"/>
      <c r="S975" s="91"/>
    </row>
    <row r="976">
      <c r="A976" s="85"/>
      <c r="B976" s="85"/>
      <c r="C976" s="125"/>
      <c r="D976" s="90"/>
      <c r="E976" s="90"/>
      <c r="F976" s="126"/>
      <c r="G976" s="114"/>
      <c r="H976" s="114"/>
      <c r="M976" s="85"/>
      <c r="N976" s="90"/>
      <c r="O976" s="90"/>
      <c r="P976" s="90"/>
      <c r="Q976" s="90"/>
      <c r="R976" s="91"/>
      <c r="S976" s="91"/>
    </row>
    <row r="977">
      <c r="A977" s="85"/>
      <c r="B977" s="85"/>
      <c r="C977" s="125"/>
      <c r="D977" s="90"/>
      <c r="E977" s="90"/>
      <c r="F977" s="126"/>
      <c r="G977" s="114"/>
      <c r="H977" s="114"/>
      <c r="M977" s="85"/>
      <c r="N977" s="90"/>
      <c r="O977" s="90"/>
      <c r="P977" s="90"/>
      <c r="Q977" s="90"/>
      <c r="R977" s="91"/>
      <c r="S977" s="91"/>
    </row>
    <row r="978">
      <c r="A978" s="85"/>
      <c r="B978" s="85"/>
      <c r="C978" s="125"/>
      <c r="D978" s="90"/>
      <c r="E978" s="90"/>
      <c r="F978" s="126"/>
      <c r="G978" s="114"/>
      <c r="H978" s="114"/>
      <c r="M978" s="85"/>
      <c r="N978" s="90"/>
      <c r="O978" s="90"/>
      <c r="P978" s="90"/>
      <c r="Q978" s="90"/>
      <c r="R978" s="91"/>
      <c r="S978" s="91"/>
    </row>
    <row r="979">
      <c r="A979" s="85"/>
      <c r="B979" s="85"/>
      <c r="C979" s="125"/>
      <c r="D979" s="90"/>
      <c r="E979" s="90"/>
      <c r="F979" s="126"/>
      <c r="G979" s="114"/>
      <c r="H979" s="114"/>
      <c r="M979" s="85"/>
      <c r="N979" s="90"/>
      <c r="O979" s="90"/>
      <c r="P979" s="90"/>
      <c r="Q979" s="90"/>
      <c r="R979" s="91"/>
      <c r="S979" s="91"/>
    </row>
    <row r="980">
      <c r="A980" s="85"/>
      <c r="B980" s="85"/>
      <c r="C980" s="125"/>
      <c r="D980" s="90"/>
      <c r="E980" s="90"/>
      <c r="F980" s="126"/>
      <c r="G980" s="114"/>
      <c r="H980" s="114"/>
      <c r="M980" s="85"/>
      <c r="N980" s="90"/>
      <c r="O980" s="90"/>
      <c r="P980" s="90"/>
      <c r="Q980" s="90"/>
      <c r="R980" s="91"/>
      <c r="S980" s="91"/>
    </row>
    <row r="981">
      <c r="A981" s="85"/>
      <c r="B981" s="85"/>
      <c r="C981" s="125"/>
      <c r="D981" s="90"/>
      <c r="E981" s="90"/>
      <c r="F981" s="126"/>
      <c r="G981" s="114"/>
      <c r="H981" s="114"/>
      <c r="M981" s="85"/>
      <c r="N981" s="90"/>
      <c r="O981" s="90"/>
      <c r="P981" s="90"/>
      <c r="Q981" s="90"/>
      <c r="R981" s="91"/>
      <c r="S981" s="91"/>
    </row>
    <row r="982">
      <c r="A982" s="85"/>
      <c r="B982" s="85"/>
      <c r="C982" s="125"/>
      <c r="D982" s="90"/>
      <c r="E982" s="90"/>
      <c r="F982" s="126"/>
      <c r="G982" s="114"/>
      <c r="H982" s="114"/>
      <c r="M982" s="85"/>
      <c r="N982" s="90"/>
      <c r="O982" s="90"/>
      <c r="P982" s="90"/>
      <c r="Q982" s="90"/>
      <c r="R982" s="91"/>
      <c r="S982" s="91"/>
    </row>
    <row r="983">
      <c r="A983" s="85"/>
      <c r="B983" s="85"/>
      <c r="C983" s="125"/>
      <c r="D983" s="90"/>
      <c r="E983" s="90"/>
      <c r="F983" s="126"/>
      <c r="G983" s="114"/>
      <c r="H983" s="114"/>
      <c r="M983" s="85"/>
      <c r="N983" s="90"/>
      <c r="O983" s="90"/>
      <c r="P983" s="90"/>
      <c r="Q983" s="90"/>
      <c r="R983" s="91"/>
      <c r="S983" s="91"/>
    </row>
    <row r="984">
      <c r="A984" s="85"/>
      <c r="B984" s="85"/>
      <c r="C984" s="125"/>
      <c r="D984" s="90"/>
      <c r="E984" s="90"/>
      <c r="F984" s="126"/>
      <c r="G984" s="114"/>
      <c r="H984" s="114"/>
      <c r="M984" s="85"/>
      <c r="N984" s="90"/>
      <c r="O984" s="90"/>
      <c r="P984" s="90"/>
      <c r="Q984" s="90"/>
      <c r="R984" s="91"/>
      <c r="S984" s="91"/>
    </row>
    <row r="985">
      <c r="A985" s="85"/>
      <c r="B985" s="85"/>
      <c r="C985" s="125"/>
      <c r="D985" s="90"/>
      <c r="E985" s="90"/>
      <c r="F985" s="126"/>
      <c r="G985" s="114"/>
      <c r="H985" s="114"/>
      <c r="M985" s="85"/>
      <c r="N985" s="90"/>
      <c r="O985" s="90"/>
      <c r="P985" s="90"/>
      <c r="Q985" s="90"/>
      <c r="R985" s="91"/>
      <c r="S985" s="91"/>
    </row>
    <row r="986">
      <c r="A986" s="85"/>
      <c r="B986" s="85"/>
      <c r="C986" s="125"/>
      <c r="D986" s="90"/>
      <c r="E986" s="90"/>
      <c r="F986" s="126"/>
      <c r="G986" s="114"/>
      <c r="H986" s="114"/>
      <c r="M986" s="85"/>
      <c r="N986" s="90"/>
      <c r="O986" s="90"/>
      <c r="P986" s="90"/>
      <c r="Q986" s="90"/>
      <c r="R986" s="91"/>
      <c r="S986" s="91"/>
    </row>
    <row r="987">
      <c r="A987" s="85"/>
      <c r="B987" s="85"/>
      <c r="C987" s="125"/>
      <c r="D987" s="90"/>
      <c r="E987" s="90"/>
      <c r="F987" s="126"/>
      <c r="G987" s="114"/>
      <c r="H987" s="114"/>
      <c r="M987" s="85"/>
      <c r="N987" s="90"/>
      <c r="O987" s="90"/>
      <c r="P987" s="90"/>
      <c r="Q987" s="90"/>
      <c r="R987" s="91"/>
      <c r="S987" s="91"/>
    </row>
    <row r="988">
      <c r="A988" s="85"/>
      <c r="B988" s="85"/>
      <c r="C988" s="125"/>
      <c r="D988" s="90"/>
      <c r="E988" s="90"/>
      <c r="F988" s="126"/>
      <c r="G988" s="114"/>
      <c r="H988" s="114"/>
      <c r="M988" s="85"/>
      <c r="N988" s="90"/>
      <c r="O988" s="90"/>
      <c r="P988" s="90"/>
      <c r="Q988" s="90"/>
      <c r="R988" s="91"/>
      <c r="S988" s="91"/>
    </row>
    <row r="989">
      <c r="A989" s="85"/>
      <c r="B989" s="85"/>
      <c r="C989" s="125"/>
      <c r="D989" s="90"/>
      <c r="E989" s="90"/>
      <c r="F989" s="126"/>
      <c r="G989" s="114"/>
      <c r="H989" s="114"/>
      <c r="M989" s="85"/>
      <c r="N989" s="90"/>
      <c r="O989" s="90"/>
      <c r="P989" s="90"/>
      <c r="Q989" s="90"/>
      <c r="R989" s="91"/>
      <c r="S989" s="91"/>
    </row>
    <row r="990">
      <c r="A990" s="85"/>
      <c r="B990" s="85"/>
      <c r="C990" s="125"/>
      <c r="D990" s="90"/>
      <c r="E990" s="90"/>
      <c r="F990" s="126"/>
      <c r="G990" s="114"/>
      <c r="H990" s="114"/>
      <c r="M990" s="85"/>
      <c r="N990" s="90"/>
      <c r="O990" s="90"/>
      <c r="P990" s="90"/>
      <c r="Q990" s="90"/>
      <c r="R990" s="91"/>
      <c r="S990" s="91"/>
    </row>
    <row r="991">
      <c r="A991" s="85"/>
      <c r="B991" s="85"/>
      <c r="C991" s="125"/>
      <c r="D991" s="90"/>
      <c r="E991" s="90"/>
      <c r="F991" s="126"/>
      <c r="G991" s="114"/>
      <c r="H991" s="114"/>
      <c r="M991" s="85"/>
      <c r="N991" s="90"/>
      <c r="O991" s="90"/>
      <c r="P991" s="90"/>
      <c r="Q991" s="90"/>
      <c r="R991" s="91"/>
      <c r="S991" s="91"/>
    </row>
    <row r="992">
      <c r="A992" s="85"/>
      <c r="B992" s="85"/>
      <c r="C992" s="125"/>
      <c r="D992" s="90"/>
      <c r="E992" s="90"/>
      <c r="F992" s="126"/>
      <c r="G992" s="114"/>
      <c r="H992" s="114"/>
      <c r="M992" s="85"/>
      <c r="N992" s="90"/>
      <c r="O992" s="90"/>
      <c r="P992" s="90"/>
      <c r="Q992" s="90"/>
      <c r="R992" s="91"/>
      <c r="S992" s="91"/>
    </row>
    <row r="993">
      <c r="A993" s="85"/>
      <c r="B993" s="85"/>
      <c r="C993" s="125"/>
      <c r="D993" s="90"/>
      <c r="E993" s="90"/>
      <c r="F993" s="126"/>
      <c r="G993" s="114"/>
      <c r="H993" s="114"/>
      <c r="M993" s="85"/>
      <c r="N993" s="90"/>
      <c r="O993" s="90"/>
      <c r="P993" s="90"/>
      <c r="Q993" s="90"/>
      <c r="R993" s="91"/>
      <c r="S993" s="91"/>
    </row>
    <row r="994">
      <c r="A994" s="85"/>
      <c r="B994" s="85"/>
      <c r="C994" s="125"/>
      <c r="D994" s="90"/>
      <c r="E994" s="90"/>
      <c r="F994" s="126"/>
      <c r="G994" s="114"/>
      <c r="H994" s="114"/>
      <c r="M994" s="85"/>
      <c r="N994" s="90"/>
      <c r="O994" s="90"/>
      <c r="P994" s="90"/>
      <c r="Q994" s="90"/>
      <c r="R994" s="91"/>
      <c r="S994" s="91"/>
    </row>
    <row r="995">
      <c r="A995" s="85"/>
      <c r="B995" s="85"/>
      <c r="C995" s="125"/>
      <c r="D995" s="90"/>
      <c r="E995" s="90"/>
      <c r="F995" s="126"/>
      <c r="G995" s="114"/>
      <c r="H995" s="114"/>
      <c r="M995" s="85"/>
      <c r="N995" s="90"/>
      <c r="O995" s="90"/>
      <c r="P995" s="90"/>
      <c r="Q995" s="90"/>
      <c r="R995" s="91"/>
      <c r="S995" s="91"/>
    </row>
    <row r="996">
      <c r="A996" s="85"/>
      <c r="B996" s="85"/>
      <c r="C996" s="125"/>
      <c r="D996" s="90"/>
      <c r="E996" s="90"/>
      <c r="F996" s="126"/>
      <c r="G996" s="114"/>
      <c r="H996" s="114"/>
      <c r="M996" s="85"/>
      <c r="N996" s="90"/>
      <c r="O996" s="90"/>
      <c r="P996" s="90"/>
      <c r="Q996" s="90"/>
      <c r="R996" s="91"/>
      <c r="S996" s="91"/>
    </row>
    <row r="997">
      <c r="A997" s="85"/>
      <c r="B997" s="85"/>
      <c r="C997" s="125"/>
      <c r="D997" s="90"/>
      <c r="E997" s="90"/>
      <c r="F997" s="126"/>
      <c r="G997" s="114"/>
      <c r="H997" s="114"/>
      <c r="M997" s="85"/>
      <c r="N997" s="90"/>
      <c r="O997" s="90"/>
      <c r="P997" s="90"/>
      <c r="Q997" s="90"/>
      <c r="R997" s="91"/>
      <c r="S997" s="91"/>
    </row>
    <row r="998">
      <c r="A998" s="85"/>
      <c r="B998" s="85"/>
      <c r="C998" s="125"/>
      <c r="D998" s="90"/>
      <c r="E998" s="90"/>
      <c r="F998" s="126"/>
      <c r="G998" s="114"/>
      <c r="H998" s="114"/>
      <c r="M998" s="85"/>
      <c r="N998" s="90"/>
      <c r="O998" s="90"/>
      <c r="P998" s="90"/>
      <c r="Q998" s="90"/>
      <c r="R998" s="91"/>
      <c r="S998" s="91"/>
    </row>
    <row r="999">
      <c r="A999" s="85"/>
      <c r="B999" s="85"/>
      <c r="C999" s="125"/>
      <c r="D999" s="90"/>
      <c r="E999" s="90"/>
      <c r="F999" s="126"/>
      <c r="G999" s="114"/>
      <c r="H999" s="114"/>
      <c r="M999" s="85"/>
      <c r="N999" s="90"/>
      <c r="O999" s="90"/>
      <c r="P999" s="90"/>
      <c r="Q999" s="90"/>
      <c r="R999" s="91"/>
      <c r="S999" s="91"/>
    </row>
    <row r="1000">
      <c r="A1000" s="85"/>
      <c r="B1000" s="85"/>
      <c r="C1000" s="125"/>
      <c r="D1000" s="90"/>
      <c r="E1000" s="90"/>
      <c r="F1000" s="126"/>
      <c r="G1000" s="114"/>
      <c r="H1000" s="114"/>
      <c r="M1000" s="85"/>
      <c r="N1000" s="90"/>
      <c r="O1000" s="90"/>
      <c r="P1000" s="90"/>
      <c r="Q1000" s="90"/>
      <c r="R1000" s="91"/>
      <c r="S1000" s="91"/>
    </row>
    <row r="1001">
      <c r="A1001" s="85"/>
      <c r="B1001" s="85"/>
      <c r="C1001" s="125"/>
      <c r="D1001" s="90"/>
      <c r="E1001" s="90"/>
      <c r="F1001" s="126"/>
      <c r="G1001" s="114"/>
      <c r="H1001" s="114"/>
      <c r="M1001" s="85"/>
      <c r="N1001" s="90"/>
      <c r="O1001" s="90"/>
      <c r="P1001" s="90"/>
      <c r="Q1001" s="90"/>
      <c r="R1001" s="91"/>
      <c r="S1001" s="91"/>
    </row>
    <row r="1002">
      <c r="A1002" s="85"/>
      <c r="B1002" s="85"/>
      <c r="C1002" s="125"/>
      <c r="D1002" s="90"/>
      <c r="E1002" s="90"/>
      <c r="F1002" s="126"/>
      <c r="G1002" s="114"/>
      <c r="H1002" s="114"/>
      <c r="M1002" s="85"/>
      <c r="N1002" s="90"/>
      <c r="O1002" s="90"/>
      <c r="P1002" s="90"/>
      <c r="Q1002" s="90"/>
      <c r="R1002" s="91"/>
      <c r="S1002" s="91"/>
    </row>
    <row r="1003">
      <c r="A1003" s="85"/>
      <c r="B1003" s="85"/>
      <c r="C1003" s="125"/>
      <c r="D1003" s="90"/>
      <c r="E1003" s="90"/>
      <c r="F1003" s="126"/>
      <c r="G1003" s="114"/>
      <c r="H1003" s="114"/>
      <c r="M1003" s="85"/>
      <c r="N1003" s="90"/>
      <c r="O1003" s="90"/>
      <c r="P1003" s="90"/>
      <c r="Q1003" s="90"/>
      <c r="R1003" s="91"/>
      <c r="S1003" s="91"/>
    </row>
  </sheetData>
  <customSheetViews>
    <customSheetView guid="{830104B7-79F9-479A-8B26-D5BD890D5455}" filter="1" showAutoFilter="1">
      <autoFilter ref="$B$5:$H$443">
        <sortState ref="B5:H443">
          <sortCondition ref="H5:H443"/>
        </sortState>
      </autoFilter>
    </customSheetView>
  </customSheetViews>
  <mergeCells count="2">
    <mergeCell ref="J5:K5"/>
    <mergeCell ref="U5:V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75"/>
  <cols>
    <col customWidth="1" hidden="1" min="1" max="1" width="5.75"/>
    <col customWidth="1" hidden="1" min="2" max="2" width="2.75"/>
    <col customWidth="1" min="3" max="3" width="19.63"/>
    <col customWidth="1" min="4" max="4" width="6.0"/>
    <col customWidth="1" min="5" max="5" width="19.63"/>
    <col customWidth="1" min="6" max="6" width="2.75"/>
    <col customWidth="1" min="7" max="7" width="4.25"/>
    <col customWidth="1" min="8" max="8" width="3.38"/>
    <col customWidth="1" min="9" max="9" width="8.38"/>
    <col customWidth="1" min="10" max="10" width="22.63"/>
    <col customWidth="1" min="11" max="11" width="8.5"/>
    <col customWidth="1" min="12" max="12" width="8.75"/>
    <col customWidth="1" min="13" max="13" width="16.13"/>
    <col customWidth="1" min="14" max="14" width="8.88"/>
    <col customWidth="1" min="15" max="15" width="7.75"/>
    <col customWidth="1" min="16" max="16" width="9.38"/>
    <col customWidth="1" min="17" max="17" width="7.63"/>
    <col customWidth="1" min="19" max="19" width="8.88"/>
    <col customWidth="1" min="20" max="20" width="27.0"/>
    <col customWidth="1" min="21" max="21" width="10.5"/>
    <col customWidth="1" min="22" max="24" width="8.88"/>
    <col customWidth="1" min="25" max="45" width="2.5"/>
    <col customWidth="1" min="46" max="46" width="15.63"/>
    <col customWidth="1" min="47" max="47" width="22.0"/>
    <col customWidth="1" min="48" max="48" width="8.88"/>
    <col customWidth="1" min="49" max="49" width="7.38"/>
    <col customWidth="1" min="50" max="50" width="7.75"/>
    <col customWidth="1" min="51" max="52" width="10.75"/>
    <col customWidth="1" min="53" max="53" width="10.13"/>
    <col customWidth="1" min="54" max="54" width="8.75"/>
    <col customWidth="1" min="55" max="55" width="9.75"/>
    <col customWidth="1" min="56" max="56" width="16.13"/>
    <col customWidth="1" min="57" max="57" width="10.38"/>
    <col customWidth="1" min="58" max="58" width="7.25"/>
    <col customWidth="1" min="59" max="59" width="8.75"/>
    <col customWidth="1" min="60" max="60" width="10.5"/>
    <col customWidth="1" min="61" max="61" width="12.25"/>
    <col customWidth="1" min="62" max="62" width="8.13"/>
    <col customWidth="1" min="63" max="63" width="8.63"/>
    <col customWidth="1" min="64" max="64" width="8.13"/>
    <col customWidth="1" min="65" max="65" width="14.63"/>
    <col customWidth="1" min="66" max="66" width="12.88"/>
    <col customWidth="1" min="67" max="67" width="9.5"/>
    <col customWidth="1" min="68" max="68" width="16.5"/>
    <col customWidth="1" min="69" max="69" width="16.0"/>
    <col customWidth="1" min="70" max="70" width="4.88"/>
    <col customWidth="1" min="71" max="71" width="4.63"/>
  </cols>
  <sheetData>
    <row r="1">
      <c r="C1" s="127"/>
      <c r="H1" s="11"/>
      <c r="I1" s="128"/>
      <c r="J1" s="129"/>
      <c r="K1" s="129"/>
      <c r="S1" s="130"/>
      <c r="T1" s="131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3"/>
      <c r="AU1" s="133"/>
      <c r="AV1" s="133"/>
      <c r="AW1" s="133"/>
      <c r="AX1" s="133"/>
      <c r="AY1" s="133"/>
      <c r="AZ1" s="133"/>
      <c r="BA1" s="133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</row>
    <row r="2">
      <c r="C2" s="127"/>
      <c r="J2" s="135"/>
      <c r="K2" s="136" t="s">
        <v>1687</v>
      </c>
      <c r="L2" s="109"/>
      <c r="M2" s="137">
        <v>500000.0</v>
      </c>
      <c r="U2" s="132" t="s">
        <v>1729</v>
      </c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8"/>
      <c r="AU2" s="133"/>
      <c r="AV2" s="133"/>
      <c r="AW2" s="133"/>
      <c r="AX2" s="133"/>
      <c r="AY2" s="133"/>
      <c r="AZ2" s="133"/>
      <c r="BA2" s="133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</row>
    <row r="3" ht="22.5" hidden="1" customHeight="1">
      <c r="H3" s="11"/>
      <c r="I3" s="139"/>
      <c r="J3" s="140"/>
      <c r="K3" s="140"/>
      <c r="L3" s="141"/>
      <c r="M3" s="141"/>
      <c r="N3" s="141"/>
      <c r="O3" s="141"/>
      <c r="P3" s="141"/>
      <c r="Q3" s="141"/>
      <c r="R3" s="141"/>
      <c r="S3" s="142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4" t="str">
        <f t="shared" ref="AT3:BQ3" si="1">VLOOKUP(AT6,$C:$F,3,0)</f>
        <v>Menor</v>
      </c>
      <c r="AU3" s="144" t="str">
        <f t="shared" si="1"/>
        <v>Maior</v>
      </c>
      <c r="AV3" s="145" t="str">
        <f t="shared" si="1"/>
        <v>#N/A</v>
      </c>
      <c r="AW3" s="145" t="str">
        <f t="shared" si="1"/>
        <v>#N/A</v>
      </c>
      <c r="AX3" s="145" t="str">
        <f t="shared" si="1"/>
        <v>#N/A</v>
      </c>
      <c r="AY3" s="145" t="str">
        <f t="shared" si="1"/>
        <v>#N/A</v>
      </c>
      <c r="AZ3" s="145" t="str">
        <f t="shared" si="1"/>
        <v>#N/A</v>
      </c>
      <c r="BA3" s="145" t="str">
        <f t="shared" si="1"/>
        <v>#N/A</v>
      </c>
      <c r="BB3" s="146" t="str">
        <f t="shared" si="1"/>
        <v>#N/A</v>
      </c>
      <c r="BC3" s="146" t="str">
        <f t="shared" si="1"/>
        <v>#N/A</v>
      </c>
      <c r="BD3" s="146" t="str">
        <f t="shared" si="1"/>
        <v>#N/A</v>
      </c>
      <c r="BE3" s="146" t="str">
        <f t="shared" si="1"/>
        <v>#N/A</v>
      </c>
      <c r="BF3" s="146" t="str">
        <f t="shared" si="1"/>
        <v>#N/A</v>
      </c>
      <c r="BG3" s="146" t="str">
        <f t="shared" si="1"/>
        <v>#N/A</v>
      </c>
      <c r="BH3" s="146" t="str">
        <f t="shared" si="1"/>
        <v>#N/A</v>
      </c>
      <c r="BI3" s="146" t="str">
        <f t="shared" si="1"/>
        <v>#N/A</v>
      </c>
      <c r="BJ3" s="146" t="str">
        <f t="shared" si="1"/>
        <v>#N/A</v>
      </c>
      <c r="BK3" s="146" t="str">
        <f t="shared" si="1"/>
        <v>#N/A</v>
      </c>
      <c r="BL3" s="146" t="str">
        <f t="shared" si="1"/>
        <v>#N/A</v>
      </c>
      <c r="BM3" s="146" t="str">
        <f t="shared" si="1"/>
        <v>#N/A</v>
      </c>
      <c r="BN3" s="146" t="str">
        <f t="shared" si="1"/>
        <v>#N/A</v>
      </c>
      <c r="BO3" s="146" t="str">
        <f t="shared" si="1"/>
        <v>#N/A</v>
      </c>
      <c r="BP3" s="146" t="str">
        <f t="shared" si="1"/>
        <v>#N/A</v>
      </c>
      <c r="BQ3" s="146" t="str">
        <f t="shared" si="1"/>
        <v>#N/A</v>
      </c>
      <c r="BR3" s="146"/>
      <c r="BS3" s="147"/>
    </row>
    <row r="4" ht="22.5" hidden="1" customHeight="1">
      <c r="H4" s="11"/>
      <c r="I4" s="139"/>
      <c r="J4" s="140"/>
      <c r="K4" s="140"/>
      <c r="L4" s="141"/>
      <c r="M4" s="141"/>
      <c r="N4" s="141"/>
      <c r="O4" s="141"/>
      <c r="P4" s="141"/>
      <c r="Q4" s="141"/>
      <c r="R4" s="141"/>
      <c r="S4" s="142"/>
      <c r="T4" s="87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4">
        <v>1.0</v>
      </c>
      <c r="AU4" s="144">
        <v>2.0</v>
      </c>
      <c r="AV4" s="145">
        <v>3.0</v>
      </c>
      <c r="AW4" s="145">
        <v>4.0</v>
      </c>
      <c r="AX4" s="145">
        <v>5.0</v>
      </c>
      <c r="AY4" s="145">
        <v>6.0</v>
      </c>
      <c r="AZ4" s="145">
        <v>7.0</v>
      </c>
      <c r="BA4" s="145">
        <v>8.0</v>
      </c>
      <c r="BB4" s="146">
        <v>9.0</v>
      </c>
      <c r="BC4" s="146">
        <v>10.0</v>
      </c>
      <c r="BD4" s="146">
        <v>11.0</v>
      </c>
      <c r="BE4" s="146">
        <v>12.0</v>
      </c>
      <c r="BF4" s="146">
        <v>13.0</v>
      </c>
      <c r="BG4" s="146">
        <v>14.0</v>
      </c>
      <c r="BH4" s="146">
        <v>15.0</v>
      </c>
      <c r="BI4" s="146">
        <v>16.0</v>
      </c>
      <c r="BJ4" s="146">
        <v>17.0</v>
      </c>
      <c r="BK4" s="146">
        <v>18.0</v>
      </c>
      <c r="BL4" s="146">
        <v>19.0</v>
      </c>
      <c r="BM4" s="146">
        <v>20.0</v>
      </c>
      <c r="BN4" s="146">
        <v>21.0</v>
      </c>
      <c r="BO4" s="146">
        <v>22.0</v>
      </c>
      <c r="BP4" s="146">
        <v>23.0</v>
      </c>
      <c r="BQ4" s="146">
        <v>24.0</v>
      </c>
      <c r="BR4" s="146"/>
      <c r="BS4" s="147"/>
    </row>
    <row r="5" ht="22.5" hidden="1" customHeight="1">
      <c r="G5" s="141"/>
      <c r="H5" s="11"/>
      <c r="I5" s="139"/>
      <c r="J5" s="140"/>
      <c r="K5" s="140"/>
      <c r="L5" s="141"/>
      <c r="M5" s="141"/>
      <c r="N5" s="141"/>
      <c r="O5" s="141"/>
      <c r="P5" s="141"/>
      <c r="Q5" s="141"/>
      <c r="R5" s="141"/>
      <c r="S5" s="135"/>
      <c r="T5" s="87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9">
        <f t="shared" ref="AT5:BQ5" si="2">VLOOKUP(AT4,$B$19:$F$42,5,0)</f>
        <v>21</v>
      </c>
      <c r="AU5" s="149">
        <f t="shared" si="2"/>
        <v>30</v>
      </c>
      <c r="AV5" s="133" t="str">
        <f t="shared" si="2"/>
        <v>#N/A</v>
      </c>
      <c r="AW5" s="133" t="str">
        <f t="shared" si="2"/>
        <v>#N/A</v>
      </c>
      <c r="AX5" s="133" t="str">
        <f t="shared" si="2"/>
        <v>#N/A</v>
      </c>
      <c r="AY5" s="133" t="str">
        <f t="shared" si="2"/>
        <v>#N/A</v>
      </c>
      <c r="AZ5" s="133" t="str">
        <f t="shared" si="2"/>
        <v>#N/A</v>
      </c>
      <c r="BA5" s="133" t="str">
        <f t="shared" si="2"/>
        <v>#N/A</v>
      </c>
      <c r="BB5" s="150" t="str">
        <f t="shared" si="2"/>
        <v>#N/A</v>
      </c>
      <c r="BC5" s="150" t="str">
        <f t="shared" si="2"/>
        <v>#N/A</v>
      </c>
      <c r="BD5" s="150" t="str">
        <f t="shared" si="2"/>
        <v>#N/A</v>
      </c>
      <c r="BE5" s="150" t="str">
        <f t="shared" si="2"/>
        <v>#N/A</v>
      </c>
      <c r="BF5" s="150" t="str">
        <f t="shared" si="2"/>
        <v>#N/A</v>
      </c>
      <c r="BG5" s="150" t="str">
        <f t="shared" si="2"/>
        <v>#N/A</v>
      </c>
      <c r="BH5" s="150" t="str">
        <f t="shared" si="2"/>
        <v>#N/A</v>
      </c>
      <c r="BI5" s="150" t="str">
        <f t="shared" si="2"/>
        <v>#N/A</v>
      </c>
      <c r="BJ5" s="150" t="str">
        <f t="shared" si="2"/>
        <v>#N/A</v>
      </c>
      <c r="BK5" s="150" t="str">
        <f t="shared" si="2"/>
        <v>#N/A</v>
      </c>
      <c r="BL5" s="150" t="str">
        <f t="shared" si="2"/>
        <v>#N/A</v>
      </c>
      <c r="BM5" s="150" t="str">
        <f t="shared" si="2"/>
        <v>#N/A</v>
      </c>
      <c r="BN5" s="150" t="str">
        <f t="shared" si="2"/>
        <v>#N/A</v>
      </c>
      <c r="BO5" s="150" t="str">
        <f t="shared" si="2"/>
        <v>#N/A</v>
      </c>
      <c r="BP5" s="150" t="str">
        <f t="shared" si="2"/>
        <v>#N/A</v>
      </c>
      <c r="BQ5" s="150" t="str">
        <f t="shared" si="2"/>
        <v>#N/A</v>
      </c>
      <c r="BR5" s="150"/>
      <c r="BS5" s="150"/>
      <c r="BT5" s="150"/>
    </row>
    <row r="6" ht="34.5" customHeight="1">
      <c r="A6" s="151"/>
      <c r="B6" s="151"/>
      <c r="C6" s="152"/>
      <c r="D6" s="153"/>
      <c r="E6" s="153"/>
      <c r="F6" s="154"/>
      <c r="G6" s="153"/>
      <c r="H6" s="155"/>
      <c r="I6" s="156" t="s">
        <v>9</v>
      </c>
      <c r="J6" s="28"/>
      <c r="K6" s="28" t="s">
        <v>11</v>
      </c>
      <c r="L6" s="28" t="s">
        <v>1730</v>
      </c>
      <c r="M6" s="28" t="s">
        <v>1729</v>
      </c>
      <c r="N6" s="157" t="s">
        <v>1731</v>
      </c>
      <c r="O6" s="158"/>
      <c r="P6" s="157" t="s">
        <v>1732</v>
      </c>
      <c r="Q6" s="158"/>
      <c r="R6" s="159" t="s">
        <v>9</v>
      </c>
      <c r="S6" s="160" t="s">
        <v>1177</v>
      </c>
      <c r="T6" s="28" t="s">
        <v>1733</v>
      </c>
      <c r="U6" s="161" t="str">
        <f t="shared" ref="U6:AS6" si="3">AT6</f>
        <v>EV/EBIT</v>
      </c>
      <c r="V6" s="161" t="str">
        <f t="shared" si="3"/>
        <v>ROIC</v>
      </c>
      <c r="W6" s="161" t="str">
        <f t="shared" si="3"/>
        <v/>
      </c>
      <c r="X6" s="161" t="str">
        <f t="shared" si="3"/>
        <v/>
      </c>
      <c r="Y6" s="161" t="str">
        <f t="shared" si="3"/>
        <v/>
      </c>
      <c r="Z6" s="161" t="str">
        <f t="shared" si="3"/>
        <v/>
      </c>
      <c r="AA6" s="161" t="str">
        <f t="shared" si="3"/>
        <v/>
      </c>
      <c r="AB6" s="161" t="str">
        <f t="shared" si="3"/>
        <v/>
      </c>
      <c r="AC6" s="162" t="str">
        <f t="shared" si="3"/>
        <v/>
      </c>
      <c r="AD6" s="162" t="str">
        <f t="shared" si="3"/>
        <v/>
      </c>
      <c r="AE6" s="162" t="str">
        <f t="shared" si="3"/>
        <v/>
      </c>
      <c r="AF6" s="162" t="str">
        <f t="shared" si="3"/>
        <v/>
      </c>
      <c r="AG6" s="162" t="str">
        <f t="shared" si="3"/>
        <v/>
      </c>
      <c r="AH6" s="162" t="str">
        <f t="shared" si="3"/>
        <v/>
      </c>
      <c r="AI6" s="162" t="str">
        <f t="shared" si="3"/>
        <v/>
      </c>
      <c r="AJ6" s="162" t="str">
        <f t="shared" si="3"/>
        <v/>
      </c>
      <c r="AK6" s="162" t="str">
        <f t="shared" si="3"/>
        <v/>
      </c>
      <c r="AL6" s="162" t="str">
        <f t="shared" si="3"/>
        <v/>
      </c>
      <c r="AM6" s="162" t="str">
        <f t="shared" si="3"/>
        <v/>
      </c>
      <c r="AN6" s="162" t="str">
        <f t="shared" si="3"/>
        <v/>
      </c>
      <c r="AO6" s="162" t="str">
        <f t="shared" si="3"/>
        <v/>
      </c>
      <c r="AP6" s="162" t="str">
        <f t="shared" si="3"/>
        <v/>
      </c>
      <c r="AQ6" s="162" t="str">
        <f t="shared" si="3"/>
        <v/>
      </c>
      <c r="AR6" s="162" t="str">
        <f t="shared" si="3"/>
        <v/>
      </c>
      <c r="AS6" s="162" t="str">
        <f t="shared" si="3"/>
        <v/>
      </c>
      <c r="AT6" s="161" t="str">
        <f t="shared" ref="AT6:BQ6" si="4">IF(ISERROR(VLOOKUP(AT4,$B:$E,2,0)),"",VLOOKUP(AT4,$B:$E,2,0))</f>
        <v>EV/EBIT</v>
      </c>
      <c r="AU6" s="161" t="str">
        <f t="shared" si="4"/>
        <v>ROIC</v>
      </c>
      <c r="AV6" s="161" t="str">
        <f t="shared" si="4"/>
        <v/>
      </c>
      <c r="AW6" s="161" t="str">
        <f t="shared" si="4"/>
        <v/>
      </c>
      <c r="AX6" s="161" t="str">
        <f t="shared" si="4"/>
        <v/>
      </c>
      <c r="AY6" s="161" t="str">
        <f t="shared" si="4"/>
        <v/>
      </c>
      <c r="AZ6" s="161" t="str">
        <f t="shared" si="4"/>
        <v/>
      </c>
      <c r="BA6" s="161" t="str">
        <f t="shared" si="4"/>
        <v/>
      </c>
      <c r="BB6" s="162" t="str">
        <f t="shared" si="4"/>
        <v/>
      </c>
      <c r="BC6" s="162" t="str">
        <f t="shared" si="4"/>
        <v/>
      </c>
      <c r="BD6" s="162" t="str">
        <f t="shared" si="4"/>
        <v/>
      </c>
      <c r="BE6" s="162" t="str">
        <f t="shared" si="4"/>
        <v/>
      </c>
      <c r="BF6" s="162" t="str">
        <f t="shared" si="4"/>
        <v/>
      </c>
      <c r="BG6" s="162" t="str">
        <f t="shared" si="4"/>
        <v/>
      </c>
      <c r="BH6" s="162" t="str">
        <f t="shared" si="4"/>
        <v/>
      </c>
      <c r="BI6" s="162" t="str">
        <f t="shared" si="4"/>
        <v/>
      </c>
      <c r="BJ6" s="162" t="str">
        <f t="shared" si="4"/>
        <v/>
      </c>
      <c r="BK6" s="162" t="str">
        <f t="shared" si="4"/>
        <v/>
      </c>
      <c r="BL6" s="162" t="str">
        <f t="shared" si="4"/>
        <v/>
      </c>
      <c r="BM6" s="162" t="str">
        <f t="shared" si="4"/>
        <v/>
      </c>
      <c r="BN6" s="162" t="str">
        <f t="shared" si="4"/>
        <v/>
      </c>
      <c r="BO6" s="162" t="str">
        <f t="shared" si="4"/>
        <v/>
      </c>
      <c r="BP6" s="162" t="str">
        <f t="shared" si="4"/>
        <v/>
      </c>
      <c r="BQ6" s="162" t="str">
        <f t="shared" si="4"/>
        <v/>
      </c>
      <c r="BR6" s="162"/>
      <c r="BS6" s="163"/>
      <c r="BT6" s="163" t="str">
        <f>IF(ISERROR(VLOOKUP(BT4,$B:$E,3,0)),"",VLOOKUP(BT4,$B:$E,3,0))</f>
        <v/>
      </c>
      <c r="BU6" s="151"/>
      <c r="BV6" s="151"/>
    </row>
    <row r="7">
      <c r="C7" s="164" t="s">
        <v>1734</v>
      </c>
      <c r="G7" s="11"/>
      <c r="H7" s="8">
        <v>1.0</v>
      </c>
      <c r="I7" s="165" t="str">
        <f t="shared" ref="I7:I626" si="6">index(R:R,match(SMALL(S:S,H7),S:S,0))</f>
        <v>PRIO3</v>
      </c>
      <c r="J7" s="166" t="str">
        <f>(VLOOKUP($I7,Capa!$A:$B,2,0))</f>
        <v>Prio Cedar</v>
      </c>
      <c r="K7" s="167" t="str">
        <f>VLOOKUP(left(I7,4),Setor!A:D,3,0)&amp;" | "&amp;VLOOKUP(left(I7,4),Setor!A:D,4,0)</f>
        <v>Petróleo, Gás e Biocombustíveis | Petróleo, Gás e Biocombustíveis</v>
      </c>
      <c r="L7" s="168">
        <f>(VLOOKUP($I7,Capa!$A:$F,6,0))</f>
        <v>7715</v>
      </c>
      <c r="M7" s="168">
        <f t="shared" ref="M7:M626" si="7">VLOOKUP(I7,R:T,3,0)</f>
        <v>581000000</v>
      </c>
      <c r="N7" s="11" t="str">
        <f>IFERROR(__xludf.DUMMYFUNCTION("(VLOOKUP($I7,Capa!$A:$H,7,0))"),"")</f>
        <v/>
      </c>
      <c r="O7" s="169">
        <f>(VLOOKUP($I7,Capa!$A:$H,8,0))</f>
        <v>0.1636500754</v>
      </c>
      <c r="P7" s="11" t="str">
        <f>IFERROR(__xludf.DUMMYFUNCTION("(VLOOKUP($I7,Capa!$A:$J,10,0))"),"")</f>
        <v/>
      </c>
      <c r="Q7" s="169">
        <f>(VLOOKUP($I7,Capa!$A:$K,11,0))</f>
        <v>0.8771289538</v>
      </c>
      <c r="R7" s="45" t="str">
        <f>'Dados StatusInvest'!A2</f>
        <v>AALR3</v>
      </c>
      <c r="S7" s="170">
        <f t="shared" ref="S7:S228" si="8">SUM(U7:AS7)+IF(T7&gt;$M$2,0,1000)</f>
        <v>1318.0318</v>
      </c>
      <c r="T7" s="171">
        <f>VLOOKUP(R7,'Dados StatusInvest'!A:Z,26,0)</f>
        <v>233843</v>
      </c>
      <c r="U7" s="172">
        <f t="shared" ref="U7:AS7" si="5">IF(AT7="","", RANK(AT7,AT$7:AT$626,0)+RANK(AT7,AT$7:AT$626,0)/10000)</f>
        <v>51.0051</v>
      </c>
      <c r="V7" s="172">
        <f t="shared" si="5"/>
        <v>267.0267</v>
      </c>
      <c r="W7" s="172" t="str">
        <f t="shared" si="5"/>
        <v/>
      </c>
      <c r="X7" s="172" t="str">
        <f t="shared" si="5"/>
        <v/>
      </c>
      <c r="Y7" s="172" t="str">
        <f t="shared" si="5"/>
        <v/>
      </c>
      <c r="Z7" s="172" t="str">
        <f t="shared" si="5"/>
        <v/>
      </c>
      <c r="AA7" s="172" t="str">
        <f t="shared" si="5"/>
        <v/>
      </c>
      <c r="AB7" s="172" t="str">
        <f t="shared" si="5"/>
        <v/>
      </c>
      <c r="AC7" s="172" t="str">
        <f t="shared" si="5"/>
        <v/>
      </c>
      <c r="AD7" s="172" t="str">
        <f t="shared" si="5"/>
        <v/>
      </c>
      <c r="AE7" s="172" t="str">
        <f t="shared" si="5"/>
        <v/>
      </c>
      <c r="AF7" s="172" t="str">
        <f t="shared" si="5"/>
        <v/>
      </c>
      <c r="AG7" s="172" t="str">
        <f t="shared" si="5"/>
        <v/>
      </c>
      <c r="AH7" s="172" t="str">
        <f t="shared" si="5"/>
        <v/>
      </c>
      <c r="AI7" s="172" t="str">
        <f t="shared" si="5"/>
        <v/>
      </c>
      <c r="AJ7" s="172" t="str">
        <f t="shared" si="5"/>
        <v/>
      </c>
      <c r="AK7" s="172" t="str">
        <f t="shared" si="5"/>
        <v/>
      </c>
      <c r="AL7" s="172" t="str">
        <f t="shared" si="5"/>
        <v/>
      </c>
      <c r="AM7" s="172" t="str">
        <f t="shared" si="5"/>
        <v/>
      </c>
      <c r="AN7" s="172" t="str">
        <f t="shared" si="5"/>
        <v/>
      </c>
      <c r="AO7" s="172" t="str">
        <f t="shared" si="5"/>
        <v/>
      </c>
      <c r="AP7" s="172" t="str">
        <f t="shared" si="5"/>
        <v/>
      </c>
      <c r="AQ7" s="172" t="str">
        <f t="shared" si="5"/>
        <v/>
      </c>
      <c r="AR7" s="172" t="str">
        <f t="shared" si="5"/>
        <v/>
      </c>
      <c r="AS7" s="172" t="str">
        <f t="shared" si="5"/>
        <v/>
      </c>
      <c r="AT7" s="173">
        <f>IF(AT$6="","",IF(AT$3="Maior",iferror(VLOOKUP($R7,Capa!$A:$AJ,AT$5,0),0),IF(ISERROR(1/VLOOKUP($R7,Capa!$A:$AJ,AT$5,0)),0,1/VLOOKUP($R7,Capa!$A:$AJ,AT$5,0))))</f>
        <v>0</v>
      </c>
      <c r="AU7" s="174">
        <f>IF(AU$6="","",IF(AU$3="Maior",iferror(VLOOKUP($R7,Capa!$A:$AJ,AU$5,0),0),IF(ISERROR(1/VLOOKUP($R7,Capa!$A:$AJ,AU$5,0)),0,1/VLOOKUP($R7,Capa!$A:$AJ,AU$5,0))))</f>
        <v>0</v>
      </c>
      <c r="AV7" s="174" t="str">
        <f>IF(AV$6="","",IF(AV$3="Maior",iferror(VLOOKUP($R7,Capa!$A:$AJ,AV$5,0),0),IF(ISERROR(1/VLOOKUP($R7,Capa!$A:$AJ,AV$5,0)),0,1/VLOOKUP($R7,Capa!$A:$AJ,AV$5,0))))</f>
        <v/>
      </c>
      <c r="AW7" s="174" t="str">
        <f>IF(AW$6="","",IF(AW$3="Maior",iferror(VLOOKUP($R7,Capa!$A:$AJ,AW$5,0),0),IF(ISERROR(1/VLOOKUP($R7,Capa!$A:$AJ,AW$5,0)),0,1/VLOOKUP($R7,Capa!$A:$AJ,AW$5,0))))</f>
        <v/>
      </c>
      <c r="AX7" s="174" t="str">
        <f>IF(AX$6="","",IF(AX$3="Maior",iferror(VLOOKUP($R7,Capa!$A:$AJ,AX$5,0),0),IF(ISERROR(1/VLOOKUP($R7,Capa!$A:$AJ,AX$5,0)),0,1/VLOOKUP($R7,Capa!$A:$AJ,AX$5,0))))</f>
        <v/>
      </c>
      <c r="AY7" s="174" t="str">
        <f>IF(AY$6="","",IF(AY$3="Maior",iferror(VLOOKUP($R7,Capa!$A:$AJ,AY$5,0),0),IF(ISERROR(1/VLOOKUP($R7,Capa!$A:$AJ,AY$5,0)),0,1/VLOOKUP($R7,Capa!$A:$AJ,AY$5,0))))</f>
        <v/>
      </c>
      <c r="AZ7" s="174" t="str">
        <f>IF(AZ$6="","",IF(AZ$3="Maior",iferror(VLOOKUP($R7,Capa!$A:$AJ,AZ$5,0),0),IF(ISERROR(1/VLOOKUP($R7,Capa!$A:$AJ,AZ$5,0)),0,1/VLOOKUP($R7,Capa!$A:$AJ,AZ$5,0))))</f>
        <v/>
      </c>
      <c r="BA7" s="174" t="str">
        <f>IF(BA$6="","",IF(BA$3="Maior",iferror(VLOOKUP($R7,Capa!$A:$AJ,BA$5,0),0),IF(ISERROR(1/VLOOKUP($R7,Capa!$A:$AJ,BA$5,0)),0,1/VLOOKUP($R7,Capa!$A:$AJ,BA$5,0))))</f>
        <v/>
      </c>
      <c r="BB7" s="174" t="str">
        <f>IF(BB$6="","",IF(BB$3="Maior",iferror(VLOOKUP($R7,Capa!$A:$AJ,BB$5,0),0),IF(ISERROR(1/VLOOKUP($R7,Capa!$A:$AJ,BB$5,0)),0,1/VLOOKUP($R7,Capa!$A:$AJ,BB$5,0))))</f>
        <v/>
      </c>
      <c r="BC7" s="174" t="str">
        <f>IF(BC$6="","",IF(BC$3="Maior",iferror(VLOOKUP($R7,Capa!$A:$AJ,BC$5,0),0),IF(ISERROR(1/VLOOKUP($R7,Capa!$A:$AJ,BC$5,0)),0,1/VLOOKUP($R7,Capa!$A:$AJ,BC$5,0))))</f>
        <v/>
      </c>
      <c r="BD7" s="174" t="str">
        <f>IF(BD$6="","",IF(BD$3="Maior",iferror(VLOOKUP($R7,Capa!$A:$AJ,BD$5,0),0),IF(ISERROR(1/VLOOKUP($R7,Capa!$A:$AJ,BD$5,0)),0,1/VLOOKUP($R7,Capa!$A:$AJ,BD$5,0))))</f>
        <v/>
      </c>
      <c r="BE7" s="174" t="str">
        <f>IF(BE$6="","",IF(BE$3="Maior",iferror(VLOOKUP($R7,Capa!$A:$AJ,BE$5,0),0),IF(ISERROR(1/VLOOKUP($R7,Capa!$A:$AJ,BE$5,0)),0,1/VLOOKUP($R7,Capa!$A:$AJ,BE$5,0))))</f>
        <v/>
      </c>
      <c r="BF7" s="174" t="str">
        <f>IF(BF$6="","",IF(BF$3="Maior",iferror(VLOOKUP($R7,Capa!$A:$AJ,BF$5,0),0),IF(ISERROR(1/VLOOKUP($R7,Capa!$A:$AJ,BF$5,0)),0,1/VLOOKUP($R7,Capa!$A:$AJ,BF$5,0))))</f>
        <v/>
      </c>
      <c r="BG7" s="174" t="str">
        <f>IF(BG$6="","",IF(BG$3="Maior",iferror(VLOOKUP($R7,Capa!$A:$AJ,BG$5,0),0),IF(ISERROR(1/VLOOKUP($R7,Capa!$A:$AJ,BG$5,0)),0,1/VLOOKUP($R7,Capa!$A:$AJ,BG$5,0))))</f>
        <v/>
      </c>
      <c r="BH7" s="174" t="str">
        <f>IF(BH$6="","",IF(BH$3="Maior",iferror(VLOOKUP($R7,Capa!$A:$AJ,BH$5,0),0),IF(ISERROR(1/VLOOKUP($R7,Capa!$A:$AJ,BH$5,0)),0,1/VLOOKUP($R7,Capa!$A:$AJ,BH$5,0))))</f>
        <v/>
      </c>
      <c r="BI7" s="174" t="str">
        <f>IF(BI$6="","",IF(BI$3="Maior",iferror(VLOOKUP($R7,Capa!$A:$AJ,BI$5,0),0),IF(ISERROR(1/VLOOKUP($R7,Capa!$A:$AJ,BI$5,0)),0,1/VLOOKUP($R7,Capa!$A:$AJ,BI$5,0))))</f>
        <v/>
      </c>
      <c r="BJ7" s="174" t="str">
        <f>IF(BJ$6="","",IF(BJ$3="Maior",iferror(VLOOKUP($R7,Capa!$A:$AJ,BJ$5,0),0),IF(ISERROR(1/VLOOKUP($R7,Capa!$A:$AJ,BJ$5,0)),0,1/VLOOKUP($R7,Capa!$A:$AJ,BJ$5,0))))</f>
        <v/>
      </c>
      <c r="BK7" s="174" t="str">
        <f>IF(BK$6="","",IF(BK$3="Maior",iferror(VLOOKUP($R7,Capa!$A:$AJ,BK$5,0),0),IF(ISERROR(1/VLOOKUP($R7,Capa!$A:$AJ,BK$5,0)),0,1/VLOOKUP($R7,Capa!$A:$AJ,BK$5,0))))</f>
        <v/>
      </c>
      <c r="BL7" s="174" t="str">
        <f>IF(BL$6="","",IF(BL$3="Maior",iferror(VLOOKUP($R7,Capa!$A:$AJ,BL$5,0),0),IF(ISERROR(1/VLOOKUP($R7,Capa!$A:$AJ,BL$5,0)),0,1/VLOOKUP($R7,Capa!$A:$AJ,BL$5,0))))</f>
        <v/>
      </c>
      <c r="BM7" s="174" t="str">
        <f>IF(BM$6="","",IF(BM$3="Maior",iferror(VLOOKUP($R7,Capa!$A:$AJ,BM$5,0),0),IF(ISERROR(1/VLOOKUP($R7,Capa!$A:$AJ,BM$5,0)),0,1/VLOOKUP($R7,Capa!$A:$AJ,BM$5,0))))</f>
        <v/>
      </c>
      <c r="BN7" s="174" t="str">
        <f>IF(BN$6="","",IF(BN$3="Maior",iferror(VLOOKUP($R7,Capa!$A:$AJ,BN$5,0),0),IF(ISERROR(1/VLOOKUP($R7,Capa!$A:$AJ,BN$5,0)),0,1/VLOOKUP($R7,Capa!$A:$AJ,BN$5,0))))</f>
        <v/>
      </c>
      <c r="BO7" s="174" t="str">
        <f>IF(BO$6="","",IF(BO$3="Maior",iferror(VLOOKUP($R7,Capa!$A:$AJ,BO$5,0),0),IF(ISERROR(1/VLOOKUP($R7,Capa!$A:$AJ,BO$5,0)),0,1/VLOOKUP($R7,Capa!$A:$AJ,BO$5,0))))</f>
        <v/>
      </c>
      <c r="BP7" s="174" t="str">
        <f>IF(BP$6="","",IF(BP$3="Maior",iferror(VLOOKUP($R7,Capa!$A:$AJ,BP$5,0),0),IF(ISERROR(1/VLOOKUP($R7,Capa!$A:$AJ,BP$5,0)),0,1/VLOOKUP($R7,Capa!$A:$AJ,BP$5,0))))</f>
        <v/>
      </c>
      <c r="BQ7" s="174" t="str">
        <f>IF(BQ$6="","",IF(BQ$3="Maior",iferror(VLOOKUP($R7,Capa!$A:$AJ,BQ$5,0),0),IF(ISERROR(1/VLOOKUP($R7,Capa!$A:$AJ,BQ$5,0)),0,1/VLOOKUP($R7,Capa!$A:$AJ,BQ$5,0))))</f>
        <v/>
      </c>
      <c r="BR7" s="175"/>
      <c r="BS7" s="147"/>
    </row>
    <row r="8">
      <c r="C8" s="82" t="s">
        <v>1735</v>
      </c>
      <c r="E8" s="176" t="s">
        <v>1736</v>
      </c>
      <c r="G8" s="11"/>
      <c r="H8" s="8">
        <v>2.0</v>
      </c>
      <c r="I8" s="165" t="str">
        <f t="shared" si="6"/>
        <v>PORT3</v>
      </c>
      <c r="J8" s="166" t="str">
        <f>(VLOOKUP($I8,Capa!$A:$B,2,0))</f>
        <v/>
      </c>
      <c r="K8" s="167" t="str">
        <f>VLOOKUP(left(I8,4),Setor!A:D,3,0)&amp;" | "&amp;VLOOKUP(left(I8,4),Setor!A:D,4,0)</f>
        <v>Outros | Transporte</v>
      </c>
      <c r="L8" s="168" t="str">
        <f>(VLOOKUP($I8,Capa!$A:$F,6,0))</f>
        <v/>
      </c>
      <c r="M8" s="168">
        <f t="shared" si="7"/>
        <v>1155515</v>
      </c>
      <c r="N8" s="11" t="str">
        <f>(VLOOKUP($I8,Capa!$A:$H,7,0))</f>
        <v/>
      </c>
      <c r="O8" s="169" t="str">
        <f>(VLOOKUP($I8,Capa!$A:$H,8,0))</f>
        <v/>
      </c>
      <c r="P8" s="11" t="str">
        <f>(VLOOKUP($I8,Capa!$A:$J,10,0))</f>
        <v/>
      </c>
      <c r="Q8" s="169" t="str">
        <f>(VLOOKUP($I8,Capa!$A:$K,11,0))</f>
        <v/>
      </c>
      <c r="R8" s="45" t="str">
        <f>'Dados StatusInvest'!A3</f>
        <v>ABCB4</v>
      </c>
      <c r="S8" s="170">
        <f t="shared" si="8"/>
        <v>318.0318</v>
      </c>
      <c r="T8" s="171">
        <f>VLOOKUP(R8,'Dados StatusInvest'!A:Z,26,0)</f>
        <v>20208097</v>
      </c>
      <c r="U8" s="172">
        <f t="shared" ref="U8:AS8" si="9">IF(AT8="","", RANK(AT8,AT$7:AT$626,0)+RANK(AT8,AT$7:AT$626,0)/10000)</f>
        <v>51.0051</v>
      </c>
      <c r="V8" s="172">
        <f t="shared" si="9"/>
        <v>267.0267</v>
      </c>
      <c r="W8" s="172" t="str">
        <f t="shared" si="9"/>
        <v/>
      </c>
      <c r="X8" s="172" t="str">
        <f t="shared" si="9"/>
        <v/>
      </c>
      <c r="Y8" s="172" t="str">
        <f t="shared" si="9"/>
        <v/>
      </c>
      <c r="Z8" s="172" t="str">
        <f t="shared" si="9"/>
        <v/>
      </c>
      <c r="AA8" s="172" t="str">
        <f t="shared" si="9"/>
        <v/>
      </c>
      <c r="AB8" s="172" t="str">
        <f t="shared" si="9"/>
        <v/>
      </c>
      <c r="AC8" s="172" t="str">
        <f t="shared" si="9"/>
        <v/>
      </c>
      <c r="AD8" s="172" t="str">
        <f t="shared" si="9"/>
        <v/>
      </c>
      <c r="AE8" s="172" t="str">
        <f t="shared" si="9"/>
        <v/>
      </c>
      <c r="AF8" s="172" t="str">
        <f t="shared" si="9"/>
        <v/>
      </c>
      <c r="AG8" s="172" t="str">
        <f t="shared" si="9"/>
        <v/>
      </c>
      <c r="AH8" s="172" t="str">
        <f t="shared" si="9"/>
        <v/>
      </c>
      <c r="AI8" s="172" t="str">
        <f t="shared" si="9"/>
        <v/>
      </c>
      <c r="AJ8" s="172" t="str">
        <f t="shared" si="9"/>
        <v/>
      </c>
      <c r="AK8" s="172" t="str">
        <f t="shared" si="9"/>
        <v/>
      </c>
      <c r="AL8" s="172" t="str">
        <f t="shared" si="9"/>
        <v/>
      </c>
      <c r="AM8" s="172" t="str">
        <f t="shared" si="9"/>
        <v/>
      </c>
      <c r="AN8" s="172" t="str">
        <f t="shared" si="9"/>
        <v/>
      </c>
      <c r="AO8" s="172" t="str">
        <f t="shared" si="9"/>
        <v/>
      </c>
      <c r="AP8" s="172" t="str">
        <f t="shared" si="9"/>
        <v/>
      </c>
      <c r="AQ8" s="172" t="str">
        <f t="shared" si="9"/>
        <v/>
      </c>
      <c r="AR8" s="172" t="str">
        <f t="shared" si="9"/>
        <v/>
      </c>
      <c r="AS8" s="172" t="str">
        <f t="shared" si="9"/>
        <v/>
      </c>
      <c r="AT8" s="173">
        <f>IF(AT$6="","",IF(AT$3="Maior",iferror(VLOOKUP($R8,Capa!$A:$AJ,AT$5,0),0),IF(ISERROR(1/VLOOKUP($R8,Capa!$A:$AJ,AT$5,0)),0,1/VLOOKUP($R8,Capa!$A:$AJ,AT$5,0))))</f>
        <v>0</v>
      </c>
      <c r="AU8" s="174">
        <f>IF(AU$6="","",IF(AU$3="Maior",iferror(VLOOKUP($R8,Capa!$A:$AJ,AU$5,0),0),IF(ISERROR(1/VLOOKUP($R8,Capa!$A:$AJ,AU$5,0)),0,1/VLOOKUP($R8,Capa!$A:$AJ,AU$5,0))))</f>
        <v>0</v>
      </c>
      <c r="AV8" s="174" t="str">
        <f>IF(AV$6="","",IF(AV$3="Maior",iferror(VLOOKUP($R8,Capa!$A:$AJ,AV$5,0),0),IF(ISERROR(1/VLOOKUP($R8,Capa!$A:$AJ,AV$5,0)),0,1/VLOOKUP($R8,Capa!$A:$AJ,AV$5,0))))</f>
        <v/>
      </c>
      <c r="AW8" s="174" t="str">
        <f>IF(AW$6="","",IF(AW$3="Maior",iferror(VLOOKUP($R8,Capa!$A:$AJ,AW$5,0),0),IF(ISERROR(1/VLOOKUP($R8,Capa!$A:$AJ,AW$5,0)),0,1/VLOOKUP($R8,Capa!$A:$AJ,AW$5,0))))</f>
        <v/>
      </c>
      <c r="AX8" s="174" t="str">
        <f>IF(AX$6="","",IF(AX$3="Maior",iferror(VLOOKUP($R8,Capa!$A:$AJ,AX$5,0),0),IF(ISERROR(1/VLOOKUP($R8,Capa!$A:$AJ,AX$5,0)),0,1/VLOOKUP($R8,Capa!$A:$AJ,AX$5,0))))</f>
        <v/>
      </c>
      <c r="AY8" s="174" t="str">
        <f>IF(AY$6="","",IF(AY$3="Maior",iferror(VLOOKUP($R8,Capa!$A:$AJ,AY$5,0),0),IF(ISERROR(1/VLOOKUP($R8,Capa!$A:$AJ,AY$5,0)),0,1/VLOOKUP($R8,Capa!$A:$AJ,AY$5,0))))</f>
        <v/>
      </c>
      <c r="AZ8" s="174" t="str">
        <f>IF(AZ$6="","",IF(AZ$3="Maior",iferror(VLOOKUP($R8,Capa!$A:$AJ,AZ$5,0),0),IF(ISERROR(1/VLOOKUP($R8,Capa!$A:$AJ,AZ$5,0)),0,1/VLOOKUP($R8,Capa!$A:$AJ,AZ$5,0))))</f>
        <v/>
      </c>
      <c r="BA8" s="174" t="str">
        <f>IF(BA$6="","",IF(BA$3="Maior",iferror(VLOOKUP($R8,Capa!$A:$AJ,BA$5,0),0),IF(ISERROR(1/VLOOKUP($R8,Capa!$A:$AJ,BA$5,0)),0,1/VLOOKUP($R8,Capa!$A:$AJ,BA$5,0))))</f>
        <v/>
      </c>
      <c r="BB8" s="174" t="str">
        <f>IF(BB$6="","",IF(BB$3="Maior",iferror(VLOOKUP($R8,Capa!$A:$AJ,BB$5,0),0),IF(ISERROR(1/VLOOKUP($R8,Capa!$A:$AJ,BB$5,0)),0,1/VLOOKUP($R8,Capa!$A:$AJ,BB$5,0))))</f>
        <v/>
      </c>
      <c r="BC8" s="174" t="str">
        <f>IF(BC$6="","",IF(BC$3="Maior",iferror(VLOOKUP($R8,Capa!$A:$AJ,BC$5,0),0),IF(ISERROR(1/VLOOKUP($R8,Capa!$A:$AJ,BC$5,0)),0,1/VLOOKUP($R8,Capa!$A:$AJ,BC$5,0))))</f>
        <v/>
      </c>
      <c r="BD8" s="174" t="str">
        <f>IF(BD$6="","",IF(BD$3="Maior",iferror(VLOOKUP($R8,Capa!$A:$AJ,BD$5,0),0),IF(ISERROR(1/VLOOKUP($R8,Capa!$A:$AJ,BD$5,0)),0,1/VLOOKUP($R8,Capa!$A:$AJ,BD$5,0))))</f>
        <v/>
      </c>
      <c r="BE8" s="174" t="str">
        <f>IF(BE$6="","",IF(BE$3="Maior",iferror(VLOOKUP($R8,Capa!$A:$AJ,BE$5,0),0),IF(ISERROR(1/VLOOKUP($R8,Capa!$A:$AJ,BE$5,0)),0,1/VLOOKUP($R8,Capa!$A:$AJ,BE$5,0))))</f>
        <v/>
      </c>
      <c r="BF8" s="174" t="str">
        <f>IF(BF$6="","",IF(BF$3="Maior",iferror(VLOOKUP($R8,Capa!$A:$AJ,BF$5,0),0),IF(ISERROR(1/VLOOKUP($R8,Capa!$A:$AJ,BF$5,0)),0,1/VLOOKUP($R8,Capa!$A:$AJ,BF$5,0))))</f>
        <v/>
      </c>
      <c r="BG8" s="174" t="str">
        <f>IF(BG$6="","",IF(BG$3="Maior",iferror(VLOOKUP($R8,Capa!$A:$AJ,BG$5,0),0),IF(ISERROR(1/VLOOKUP($R8,Capa!$A:$AJ,BG$5,0)),0,1/VLOOKUP($R8,Capa!$A:$AJ,BG$5,0))))</f>
        <v/>
      </c>
      <c r="BH8" s="174" t="str">
        <f>IF(BH$6="","",IF(BH$3="Maior",iferror(VLOOKUP($R8,Capa!$A:$AJ,BH$5,0),0),IF(ISERROR(1/VLOOKUP($R8,Capa!$A:$AJ,BH$5,0)),0,1/VLOOKUP($R8,Capa!$A:$AJ,BH$5,0))))</f>
        <v/>
      </c>
      <c r="BI8" s="174" t="str">
        <f>IF(BI$6="","",IF(BI$3="Maior",iferror(VLOOKUP($R8,Capa!$A:$AJ,BI$5,0),0),IF(ISERROR(1/VLOOKUP($R8,Capa!$A:$AJ,BI$5,0)),0,1/VLOOKUP($R8,Capa!$A:$AJ,BI$5,0))))</f>
        <v/>
      </c>
      <c r="BJ8" s="174" t="str">
        <f>IF(BJ$6="","",IF(BJ$3="Maior",iferror(VLOOKUP($R8,Capa!$A:$AJ,BJ$5,0),0),IF(ISERROR(1/VLOOKUP($R8,Capa!$A:$AJ,BJ$5,0)),0,1/VLOOKUP($R8,Capa!$A:$AJ,BJ$5,0))))</f>
        <v/>
      </c>
      <c r="BK8" s="174" t="str">
        <f>IF(BK$6="","",IF(BK$3="Maior",iferror(VLOOKUP($R8,Capa!$A:$AJ,BK$5,0),0),IF(ISERROR(1/VLOOKUP($R8,Capa!$A:$AJ,BK$5,0)),0,1/VLOOKUP($R8,Capa!$A:$AJ,BK$5,0))))</f>
        <v/>
      </c>
      <c r="BL8" s="174" t="str">
        <f>IF(BL$6="","",IF(BL$3="Maior",iferror(VLOOKUP($R8,Capa!$A:$AJ,BL$5,0),0),IF(ISERROR(1/VLOOKUP($R8,Capa!$A:$AJ,BL$5,0)),0,1/VLOOKUP($R8,Capa!$A:$AJ,BL$5,0))))</f>
        <v/>
      </c>
      <c r="BM8" s="174" t="str">
        <f>IF(BM$6="","",IF(BM$3="Maior",iferror(VLOOKUP($R8,Capa!$A:$AJ,BM$5,0),0),IF(ISERROR(1/VLOOKUP($R8,Capa!$A:$AJ,BM$5,0)),0,1/VLOOKUP($R8,Capa!$A:$AJ,BM$5,0))))</f>
        <v/>
      </c>
      <c r="BN8" s="174" t="str">
        <f>IF(BN$6="","",IF(BN$3="Maior",iferror(VLOOKUP($R8,Capa!$A:$AJ,BN$5,0),0),IF(ISERROR(1/VLOOKUP($R8,Capa!$A:$AJ,BN$5,0)),0,1/VLOOKUP($R8,Capa!$A:$AJ,BN$5,0))))</f>
        <v/>
      </c>
      <c r="BO8" s="174" t="str">
        <f>IF(BO$6="","",IF(BO$3="Maior",iferror(VLOOKUP($R8,Capa!$A:$AJ,BO$5,0),0),IF(ISERROR(1/VLOOKUP($R8,Capa!$A:$AJ,BO$5,0)),0,1/VLOOKUP($R8,Capa!$A:$AJ,BO$5,0))))</f>
        <v/>
      </c>
      <c r="BP8" s="174" t="str">
        <f>IF(BP$6="","",IF(BP$3="Maior",iferror(VLOOKUP($R8,Capa!$A:$AJ,BP$5,0),0),IF(ISERROR(1/VLOOKUP($R8,Capa!$A:$AJ,BP$5,0)),0,1/VLOOKUP($R8,Capa!$A:$AJ,BP$5,0))))</f>
        <v/>
      </c>
      <c r="BQ8" s="174" t="str">
        <f>IF(BQ$6="","",IF(BQ$3="Maior",iferror(VLOOKUP($R8,Capa!$A:$AJ,BQ$5,0),0),IF(ISERROR(1/VLOOKUP($R8,Capa!$A:$AJ,BQ$5,0)),0,1/VLOOKUP($R8,Capa!$A:$AJ,BQ$5,0))))</f>
        <v/>
      </c>
      <c r="BR8" s="175"/>
      <c r="BS8" s="147"/>
    </row>
    <row r="9">
      <c r="C9" s="82" t="s">
        <v>1737</v>
      </c>
      <c r="G9" s="11"/>
      <c r="H9" s="8">
        <v>3.0</v>
      </c>
      <c r="I9" s="165" t="str">
        <f t="shared" si="6"/>
        <v>WEGE3</v>
      </c>
      <c r="J9" s="166" t="str">
        <f>(VLOOKUP($I9,Capa!$A:$B,2,0))</f>
        <v>Weg Cedear</v>
      </c>
      <c r="K9" s="167" t="str">
        <f>VLOOKUP(left(I9,4),Setor!A:D,3,0)&amp;" | "&amp;VLOOKUP(left(I9,4),Setor!A:D,4,0)</f>
        <v>Bens Industriais | Máquinas e Equipamentos</v>
      </c>
      <c r="L9" s="168">
        <f>(VLOOKUP($I9,Capa!$A:$F,6,0))</f>
        <v>14370</v>
      </c>
      <c r="M9" s="168">
        <f t="shared" si="7"/>
        <v>438000000</v>
      </c>
      <c r="N9" s="177" t="str">
        <f>IFERROR(__xludf.DUMMYFUNCTION("(VLOOKUP($I9,Capa!$A:$H,7,0))"),"")</f>
        <v/>
      </c>
      <c r="O9" s="177" t="str">
        <f>(VLOOKUP($I9,Capa!$A:$H,8,0))</f>
        <v/>
      </c>
      <c r="P9" s="169" t="str">
        <f>IFERROR(__xludf.DUMMYFUNCTION("(VLOOKUP($I9,Capa!$A:$J,10,0))"),"")</f>
        <v/>
      </c>
      <c r="Q9" s="169">
        <f>(VLOOKUP($I9,Capa!$A:$K,11,0))</f>
        <v>0.2887892377</v>
      </c>
      <c r="R9" s="45" t="str">
        <f>'Dados StatusInvest'!A4</f>
        <v>ABEV3</v>
      </c>
      <c r="S9" s="170">
        <f t="shared" si="8"/>
        <v>318.0318</v>
      </c>
      <c r="T9" s="171">
        <f>VLOOKUP(R9,'Dados StatusInvest'!A:Z,26,0)</f>
        <v>456000000</v>
      </c>
      <c r="U9" s="172">
        <f t="shared" ref="U9:AS9" si="10">IF(AT9="","", RANK(AT9,AT$7:AT$626,0)+RANK(AT9,AT$7:AT$626,0)/10000)</f>
        <v>51.0051</v>
      </c>
      <c r="V9" s="172">
        <f t="shared" si="10"/>
        <v>267.0267</v>
      </c>
      <c r="W9" s="172" t="str">
        <f t="shared" si="10"/>
        <v/>
      </c>
      <c r="X9" s="172" t="str">
        <f t="shared" si="10"/>
        <v/>
      </c>
      <c r="Y9" s="172" t="str">
        <f t="shared" si="10"/>
        <v/>
      </c>
      <c r="Z9" s="172" t="str">
        <f t="shared" si="10"/>
        <v/>
      </c>
      <c r="AA9" s="172" t="str">
        <f t="shared" si="10"/>
        <v/>
      </c>
      <c r="AB9" s="172" t="str">
        <f t="shared" si="10"/>
        <v/>
      </c>
      <c r="AC9" s="172" t="str">
        <f t="shared" si="10"/>
        <v/>
      </c>
      <c r="AD9" s="172" t="str">
        <f t="shared" si="10"/>
        <v/>
      </c>
      <c r="AE9" s="172" t="str">
        <f t="shared" si="10"/>
        <v/>
      </c>
      <c r="AF9" s="172" t="str">
        <f t="shared" si="10"/>
        <v/>
      </c>
      <c r="AG9" s="172" t="str">
        <f t="shared" si="10"/>
        <v/>
      </c>
      <c r="AH9" s="172" t="str">
        <f t="shared" si="10"/>
        <v/>
      </c>
      <c r="AI9" s="172" t="str">
        <f t="shared" si="10"/>
        <v/>
      </c>
      <c r="AJ9" s="172" t="str">
        <f t="shared" si="10"/>
        <v/>
      </c>
      <c r="AK9" s="172" t="str">
        <f t="shared" si="10"/>
        <v/>
      </c>
      <c r="AL9" s="172" t="str">
        <f t="shared" si="10"/>
        <v/>
      </c>
      <c r="AM9" s="172" t="str">
        <f t="shared" si="10"/>
        <v/>
      </c>
      <c r="AN9" s="172" t="str">
        <f t="shared" si="10"/>
        <v/>
      </c>
      <c r="AO9" s="172" t="str">
        <f t="shared" si="10"/>
        <v/>
      </c>
      <c r="AP9" s="172" t="str">
        <f t="shared" si="10"/>
        <v/>
      </c>
      <c r="AQ9" s="172" t="str">
        <f t="shared" si="10"/>
        <v/>
      </c>
      <c r="AR9" s="172" t="str">
        <f t="shared" si="10"/>
        <v/>
      </c>
      <c r="AS9" s="172" t="str">
        <f t="shared" si="10"/>
        <v/>
      </c>
      <c r="AT9" s="173">
        <f>IF(AT$6="","",IF(AT$3="Maior",iferror(VLOOKUP($R9,Capa!$A:$AJ,AT$5,0),0),IF(ISERROR(1/VLOOKUP($R9,Capa!$A:$AJ,AT$5,0)),0,1/VLOOKUP($R9,Capa!$A:$AJ,AT$5,0))))</f>
        <v>0</v>
      </c>
      <c r="AU9" s="174">
        <f>IF(AU$6="","",IF(AU$3="Maior",iferror(VLOOKUP($R9,Capa!$A:$AJ,AU$5,0),0),IF(ISERROR(1/VLOOKUP($R9,Capa!$A:$AJ,AU$5,0)),0,1/VLOOKUP($R9,Capa!$A:$AJ,AU$5,0))))</f>
        <v>0</v>
      </c>
      <c r="AV9" s="174" t="str">
        <f>IF(AV$6="","",IF(AV$3="Maior",iferror(VLOOKUP($R9,Capa!$A:$AJ,AV$5,0),0),IF(ISERROR(1/VLOOKUP($R9,Capa!$A:$AJ,AV$5,0)),0,1/VLOOKUP($R9,Capa!$A:$AJ,AV$5,0))))</f>
        <v/>
      </c>
      <c r="AW9" s="174" t="str">
        <f>IF(AW$6="","",IF(AW$3="Maior",iferror(VLOOKUP($R9,Capa!$A:$AJ,AW$5,0),0),IF(ISERROR(1/VLOOKUP($R9,Capa!$A:$AJ,AW$5,0)),0,1/VLOOKUP($R9,Capa!$A:$AJ,AW$5,0))))</f>
        <v/>
      </c>
      <c r="AX9" s="174" t="str">
        <f>IF(AX$6="","",IF(AX$3="Maior",iferror(VLOOKUP($R9,Capa!$A:$AJ,AX$5,0),0),IF(ISERROR(1/VLOOKUP($R9,Capa!$A:$AJ,AX$5,0)),0,1/VLOOKUP($R9,Capa!$A:$AJ,AX$5,0))))</f>
        <v/>
      </c>
      <c r="AY9" s="174" t="str">
        <f>IF(AY$6="","",IF(AY$3="Maior",iferror(VLOOKUP($R9,Capa!$A:$AJ,AY$5,0),0),IF(ISERROR(1/VLOOKUP($R9,Capa!$A:$AJ,AY$5,0)),0,1/VLOOKUP($R9,Capa!$A:$AJ,AY$5,0))))</f>
        <v/>
      </c>
      <c r="AZ9" s="174" t="str">
        <f>IF(AZ$6="","",IF(AZ$3="Maior",iferror(VLOOKUP($R9,Capa!$A:$AJ,AZ$5,0),0),IF(ISERROR(1/VLOOKUP($R9,Capa!$A:$AJ,AZ$5,0)),0,1/VLOOKUP($R9,Capa!$A:$AJ,AZ$5,0))))</f>
        <v/>
      </c>
      <c r="BA9" s="174" t="str">
        <f>IF(BA$6="","",IF(BA$3="Maior",iferror(VLOOKUP($R9,Capa!$A:$AJ,BA$5,0),0),IF(ISERROR(1/VLOOKUP($R9,Capa!$A:$AJ,BA$5,0)),0,1/VLOOKUP($R9,Capa!$A:$AJ,BA$5,0))))</f>
        <v/>
      </c>
      <c r="BB9" s="174" t="str">
        <f>IF(BB$6="","",IF(BB$3="Maior",iferror(VLOOKUP($R9,Capa!$A:$AJ,BB$5,0),0),IF(ISERROR(1/VLOOKUP($R9,Capa!$A:$AJ,BB$5,0)),0,1/VLOOKUP($R9,Capa!$A:$AJ,BB$5,0))))</f>
        <v/>
      </c>
      <c r="BC9" s="174" t="str">
        <f>IF(BC$6="","",IF(BC$3="Maior",iferror(VLOOKUP($R9,Capa!$A:$AJ,BC$5,0),0),IF(ISERROR(1/VLOOKUP($R9,Capa!$A:$AJ,BC$5,0)),0,1/VLOOKUP($R9,Capa!$A:$AJ,BC$5,0))))</f>
        <v/>
      </c>
      <c r="BD9" s="174" t="str">
        <f>IF(BD$6="","",IF(BD$3="Maior",iferror(VLOOKUP($R9,Capa!$A:$AJ,BD$5,0),0),IF(ISERROR(1/VLOOKUP($R9,Capa!$A:$AJ,BD$5,0)),0,1/VLOOKUP($R9,Capa!$A:$AJ,BD$5,0))))</f>
        <v/>
      </c>
      <c r="BE9" s="174" t="str">
        <f>IF(BE$6="","",IF(BE$3="Maior",iferror(VLOOKUP($R9,Capa!$A:$AJ,BE$5,0),0),IF(ISERROR(1/VLOOKUP($R9,Capa!$A:$AJ,BE$5,0)),0,1/VLOOKUP($R9,Capa!$A:$AJ,BE$5,0))))</f>
        <v/>
      </c>
      <c r="BF9" s="174" t="str">
        <f>IF(BF$6="","",IF(BF$3="Maior",iferror(VLOOKUP($R9,Capa!$A:$AJ,BF$5,0),0),IF(ISERROR(1/VLOOKUP($R9,Capa!$A:$AJ,BF$5,0)),0,1/VLOOKUP($R9,Capa!$A:$AJ,BF$5,0))))</f>
        <v/>
      </c>
      <c r="BG9" s="174" t="str">
        <f>IF(BG$6="","",IF(BG$3="Maior",iferror(VLOOKUP($R9,Capa!$A:$AJ,BG$5,0),0),IF(ISERROR(1/VLOOKUP($R9,Capa!$A:$AJ,BG$5,0)),0,1/VLOOKUP($R9,Capa!$A:$AJ,BG$5,0))))</f>
        <v/>
      </c>
      <c r="BH9" s="174" t="str">
        <f>IF(BH$6="","",IF(BH$3="Maior",iferror(VLOOKUP($R9,Capa!$A:$AJ,BH$5,0),0),IF(ISERROR(1/VLOOKUP($R9,Capa!$A:$AJ,BH$5,0)),0,1/VLOOKUP($R9,Capa!$A:$AJ,BH$5,0))))</f>
        <v/>
      </c>
      <c r="BI9" s="174" t="str">
        <f>IF(BI$6="","",IF(BI$3="Maior",iferror(VLOOKUP($R9,Capa!$A:$AJ,BI$5,0),0),IF(ISERROR(1/VLOOKUP($R9,Capa!$A:$AJ,BI$5,0)),0,1/VLOOKUP($R9,Capa!$A:$AJ,BI$5,0))))</f>
        <v/>
      </c>
      <c r="BJ9" s="174" t="str">
        <f>IF(BJ$6="","",IF(BJ$3="Maior",iferror(VLOOKUP($R9,Capa!$A:$AJ,BJ$5,0),0),IF(ISERROR(1/VLOOKUP($R9,Capa!$A:$AJ,BJ$5,0)),0,1/VLOOKUP($R9,Capa!$A:$AJ,BJ$5,0))))</f>
        <v/>
      </c>
      <c r="BK9" s="174" t="str">
        <f>IF(BK$6="","",IF(BK$3="Maior",iferror(VLOOKUP($R9,Capa!$A:$AJ,BK$5,0),0),IF(ISERROR(1/VLOOKUP($R9,Capa!$A:$AJ,BK$5,0)),0,1/VLOOKUP($R9,Capa!$A:$AJ,BK$5,0))))</f>
        <v/>
      </c>
      <c r="BL9" s="174" t="str">
        <f>IF(BL$6="","",IF(BL$3="Maior",iferror(VLOOKUP($R9,Capa!$A:$AJ,BL$5,0),0),IF(ISERROR(1/VLOOKUP($R9,Capa!$A:$AJ,BL$5,0)),0,1/VLOOKUP($R9,Capa!$A:$AJ,BL$5,0))))</f>
        <v/>
      </c>
      <c r="BM9" s="174" t="str">
        <f>IF(BM$6="","",IF(BM$3="Maior",iferror(VLOOKUP($R9,Capa!$A:$AJ,BM$5,0),0),IF(ISERROR(1/VLOOKUP($R9,Capa!$A:$AJ,BM$5,0)),0,1/VLOOKUP($R9,Capa!$A:$AJ,BM$5,0))))</f>
        <v/>
      </c>
      <c r="BN9" s="174" t="str">
        <f>IF(BN$6="","",IF(BN$3="Maior",iferror(VLOOKUP($R9,Capa!$A:$AJ,BN$5,0),0),IF(ISERROR(1/VLOOKUP($R9,Capa!$A:$AJ,BN$5,0)),0,1/VLOOKUP($R9,Capa!$A:$AJ,BN$5,0))))</f>
        <v/>
      </c>
      <c r="BO9" s="174" t="str">
        <f>IF(BO$6="","",IF(BO$3="Maior",iferror(VLOOKUP($R9,Capa!$A:$AJ,BO$5,0),0),IF(ISERROR(1/VLOOKUP($R9,Capa!$A:$AJ,BO$5,0)),0,1/VLOOKUP($R9,Capa!$A:$AJ,BO$5,0))))</f>
        <v/>
      </c>
      <c r="BP9" s="174" t="str">
        <f>IF(BP$6="","",IF(BP$3="Maior",iferror(VLOOKUP($R9,Capa!$A:$AJ,BP$5,0),0),IF(ISERROR(1/VLOOKUP($R9,Capa!$A:$AJ,BP$5,0)),0,1/VLOOKUP($R9,Capa!$A:$AJ,BP$5,0))))</f>
        <v/>
      </c>
      <c r="BQ9" s="174" t="str">
        <f>IF(BQ$6="","",IF(BQ$3="Maior",iferror(VLOOKUP($R9,Capa!$A:$AJ,BQ$5,0),0),IF(ISERROR(1/VLOOKUP($R9,Capa!$A:$AJ,BQ$5,0)),0,1/VLOOKUP($R9,Capa!$A:$AJ,BQ$5,0))))</f>
        <v/>
      </c>
      <c r="BR9" s="175"/>
      <c r="BS9" s="147"/>
    </row>
    <row r="10">
      <c r="C10" s="82" t="s">
        <v>1738</v>
      </c>
      <c r="E10" s="178" t="s">
        <v>1739</v>
      </c>
      <c r="G10" s="11"/>
      <c r="H10" s="8">
        <v>4.0</v>
      </c>
      <c r="I10" s="165" t="str">
        <f t="shared" si="6"/>
        <v>STBP3</v>
      </c>
      <c r="J10" s="166" t="str">
        <f>(VLOOKUP($I10,Capa!$A:$B,2,0))</f>
        <v/>
      </c>
      <c r="K10" s="167" t="str">
        <f>VLOOKUP(left(I10,4),Setor!A:D,3,0)&amp;" | "&amp;VLOOKUP(left(I10,4),Setor!A:D,4,0)</f>
        <v>Bens Industriais | Transporte</v>
      </c>
      <c r="L10" s="168" t="str">
        <f>(VLOOKUP($I10,Capa!$A:$F,6,0))</f>
        <v/>
      </c>
      <c r="M10" s="168">
        <f t="shared" si="7"/>
        <v>3082209</v>
      </c>
      <c r="N10" s="177" t="str">
        <f>(VLOOKUP($I10,Capa!$A:$H,7,0))</f>
        <v/>
      </c>
      <c r="O10" s="169" t="str">
        <f>(VLOOKUP($I10,Capa!$A:$H,8,0))</f>
        <v/>
      </c>
      <c r="P10" s="169" t="str">
        <f>(VLOOKUP($I10,Capa!$A:$J,10,0))</f>
        <v/>
      </c>
      <c r="Q10" s="169" t="str">
        <f>(VLOOKUP($I10,Capa!$A:$K,11,0))</f>
        <v/>
      </c>
      <c r="R10" s="45" t="str">
        <f>'Dados StatusInvest'!A5</f>
        <v>ADHM3</v>
      </c>
      <c r="S10" s="170">
        <f t="shared" si="8"/>
        <v>1318.0318</v>
      </c>
      <c r="T10" s="171">
        <f>VLOOKUP(R10,'Dados StatusInvest'!A:Z,26,0)</f>
        <v>0</v>
      </c>
      <c r="U10" s="172">
        <f t="shared" ref="U10:AS10" si="11">IF(AT10="","", RANK(AT10,AT$7:AT$626,0)+RANK(AT10,AT$7:AT$626,0)/10000)</f>
        <v>51.0051</v>
      </c>
      <c r="V10" s="172">
        <f t="shared" si="11"/>
        <v>267.0267</v>
      </c>
      <c r="W10" s="172" t="str">
        <f t="shared" si="11"/>
        <v/>
      </c>
      <c r="X10" s="172" t="str">
        <f t="shared" si="11"/>
        <v/>
      </c>
      <c r="Y10" s="172" t="str">
        <f t="shared" si="11"/>
        <v/>
      </c>
      <c r="Z10" s="172" t="str">
        <f t="shared" si="11"/>
        <v/>
      </c>
      <c r="AA10" s="172" t="str">
        <f t="shared" si="11"/>
        <v/>
      </c>
      <c r="AB10" s="172" t="str">
        <f t="shared" si="11"/>
        <v/>
      </c>
      <c r="AC10" s="172" t="str">
        <f t="shared" si="11"/>
        <v/>
      </c>
      <c r="AD10" s="172" t="str">
        <f t="shared" si="11"/>
        <v/>
      </c>
      <c r="AE10" s="172" t="str">
        <f t="shared" si="11"/>
        <v/>
      </c>
      <c r="AF10" s="172" t="str">
        <f t="shared" si="11"/>
        <v/>
      </c>
      <c r="AG10" s="172" t="str">
        <f t="shared" si="11"/>
        <v/>
      </c>
      <c r="AH10" s="172" t="str">
        <f t="shared" si="11"/>
        <v/>
      </c>
      <c r="AI10" s="172" t="str">
        <f t="shared" si="11"/>
        <v/>
      </c>
      <c r="AJ10" s="172" t="str">
        <f t="shared" si="11"/>
        <v/>
      </c>
      <c r="AK10" s="172" t="str">
        <f t="shared" si="11"/>
        <v/>
      </c>
      <c r="AL10" s="172" t="str">
        <f t="shared" si="11"/>
        <v/>
      </c>
      <c r="AM10" s="172" t="str">
        <f t="shared" si="11"/>
        <v/>
      </c>
      <c r="AN10" s="172" t="str">
        <f t="shared" si="11"/>
        <v/>
      </c>
      <c r="AO10" s="172" t="str">
        <f t="shared" si="11"/>
        <v/>
      </c>
      <c r="AP10" s="172" t="str">
        <f t="shared" si="11"/>
        <v/>
      </c>
      <c r="AQ10" s="172" t="str">
        <f t="shared" si="11"/>
        <v/>
      </c>
      <c r="AR10" s="172" t="str">
        <f t="shared" si="11"/>
        <v/>
      </c>
      <c r="AS10" s="172" t="str">
        <f t="shared" si="11"/>
        <v/>
      </c>
      <c r="AT10" s="173">
        <f>IF(AT$6="","",IF(AT$3="Maior",iferror(VLOOKUP($R10,Capa!$A:$AJ,AT$5,0),0),IF(ISERROR(1/VLOOKUP($R10,Capa!$A:$AJ,AT$5,0)),0,1/VLOOKUP($R10,Capa!$A:$AJ,AT$5,0))))</f>
        <v>0</v>
      </c>
      <c r="AU10" s="174">
        <f>IF(AU$6="","",IF(AU$3="Maior",iferror(VLOOKUP($R10,Capa!$A:$AJ,AU$5,0),0),IF(ISERROR(1/VLOOKUP($R10,Capa!$A:$AJ,AU$5,0)),0,1/VLOOKUP($R10,Capa!$A:$AJ,AU$5,0))))</f>
        <v>0</v>
      </c>
      <c r="AV10" s="174" t="str">
        <f>IF(AV$6="","",IF(AV$3="Maior",iferror(VLOOKUP($R10,Capa!$A:$AJ,AV$5,0),0),IF(ISERROR(1/VLOOKUP($R10,Capa!$A:$AJ,AV$5,0)),0,1/VLOOKUP($R10,Capa!$A:$AJ,AV$5,0))))</f>
        <v/>
      </c>
      <c r="AW10" s="174" t="str">
        <f>IF(AW$6="","",IF(AW$3="Maior",iferror(VLOOKUP($R10,Capa!$A:$AJ,AW$5,0),0),IF(ISERROR(1/VLOOKUP($R10,Capa!$A:$AJ,AW$5,0)),0,1/VLOOKUP($R10,Capa!$A:$AJ,AW$5,0))))</f>
        <v/>
      </c>
      <c r="AX10" s="174" t="str">
        <f>IF(AX$6="","",IF(AX$3="Maior",iferror(VLOOKUP($R10,Capa!$A:$AJ,AX$5,0),0),IF(ISERROR(1/VLOOKUP($R10,Capa!$A:$AJ,AX$5,0)),0,1/VLOOKUP($R10,Capa!$A:$AJ,AX$5,0))))</f>
        <v/>
      </c>
      <c r="AY10" s="174" t="str">
        <f>IF(AY$6="","",IF(AY$3="Maior",iferror(VLOOKUP($R10,Capa!$A:$AJ,AY$5,0),0),IF(ISERROR(1/VLOOKUP($R10,Capa!$A:$AJ,AY$5,0)),0,1/VLOOKUP($R10,Capa!$A:$AJ,AY$5,0))))</f>
        <v/>
      </c>
      <c r="AZ10" s="174" t="str">
        <f>IF(AZ$6="","",IF(AZ$3="Maior",iferror(VLOOKUP($R10,Capa!$A:$AJ,AZ$5,0),0),IF(ISERROR(1/VLOOKUP($R10,Capa!$A:$AJ,AZ$5,0)),0,1/VLOOKUP($R10,Capa!$A:$AJ,AZ$5,0))))</f>
        <v/>
      </c>
      <c r="BA10" s="174" t="str">
        <f>IF(BA$6="","",IF(BA$3="Maior",iferror(VLOOKUP($R10,Capa!$A:$AJ,BA$5,0),0),IF(ISERROR(1/VLOOKUP($R10,Capa!$A:$AJ,BA$5,0)),0,1/VLOOKUP($R10,Capa!$A:$AJ,BA$5,0))))</f>
        <v/>
      </c>
      <c r="BB10" s="174" t="str">
        <f>IF(BB$6="","",IF(BB$3="Maior",iferror(VLOOKUP($R10,Capa!$A:$AJ,BB$5,0),0),IF(ISERROR(1/VLOOKUP($R10,Capa!$A:$AJ,BB$5,0)),0,1/VLOOKUP($R10,Capa!$A:$AJ,BB$5,0))))</f>
        <v/>
      </c>
      <c r="BC10" s="174" t="str">
        <f>IF(BC$6="","",IF(BC$3="Maior",iferror(VLOOKUP($R10,Capa!$A:$AJ,BC$5,0),0),IF(ISERROR(1/VLOOKUP($R10,Capa!$A:$AJ,BC$5,0)),0,1/VLOOKUP($R10,Capa!$A:$AJ,BC$5,0))))</f>
        <v/>
      </c>
      <c r="BD10" s="174" t="str">
        <f>IF(BD$6="","",IF(BD$3="Maior",iferror(VLOOKUP($R10,Capa!$A:$AJ,BD$5,0),0),IF(ISERROR(1/VLOOKUP($R10,Capa!$A:$AJ,BD$5,0)),0,1/VLOOKUP($R10,Capa!$A:$AJ,BD$5,0))))</f>
        <v/>
      </c>
      <c r="BE10" s="174" t="str">
        <f>IF(BE$6="","",IF(BE$3="Maior",iferror(VLOOKUP($R10,Capa!$A:$AJ,BE$5,0),0),IF(ISERROR(1/VLOOKUP($R10,Capa!$A:$AJ,BE$5,0)),0,1/VLOOKUP($R10,Capa!$A:$AJ,BE$5,0))))</f>
        <v/>
      </c>
      <c r="BF10" s="174" t="str">
        <f>IF(BF$6="","",IF(BF$3="Maior",iferror(VLOOKUP($R10,Capa!$A:$AJ,BF$5,0),0),IF(ISERROR(1/VLOOKUP($R10,Capa!$A:$AJ,BF$5,0)),0,1/VLOOKUP($R10,Capa!$A:$AJ,BF$5,0))))</f>
        <v/>
      </c>
      <c r="BG10" s="174" t="str">
        <f>IF(BG$6="","",IF(BG$3="Maior",iferror(VLOOKUP($R10,Capa!$A:$AJ,BG$5,0),0),IF(ISERROR(1/VLOOKUP($R10,Capa!$A:$AJ,BG$5,0)),0,1/VLOOKUP($R10,Capa!$A:$AJ,BG$5,0))))</f>
        <v/>
      </c>
      <c r="BH10" s="174" t="str">
        <f>IF(BH$6="","",IF(BH$3="Maior",iferror(VLOOKUP($R10,Capa!$A:$AJ,BH$5,0),0),IF(ISERROR(1/VLOOKUP($R10,Capa!$A:$AJ,BH$5,0)),0,1/VLOOKUP($R10,Capa!$A:$AJ,BH$5,0))))</f>
        <v/>
      </c>
      <c r="BI10" s="174" t="str">
        <f>IF(BI$6="","",IF(BI$3="Maior",iferror(VLOOKUP($R10,Capa!$A:$AJ,BI$5,0),0),IF(ISERROR(1/VLOOKUP($R10,Capa!$A:$AJ,BI$5,0)),0,1/VLOOKUP($R10,Capa!$A:$AJ,BI$5,0))))</f>
        <v/>
      </c>
      <c r="BJ10" s="174" t="str">
        <f>IF(BJ$6="","",IF(BJ$3="Maior",iferror(VLOOKUP($R10,Capa!$A:$AJ,BJ$5,0),0),IF(ISERROR(1/VLOOKUP($R10,Capa!$A:$AJ,BJ$5,0)),0,1/VLOOKUP($R10,Capa!$A:$AJ,BJ$5,0))))</f>
        <v/>
      </c>
      <c r="BK10" s="174" t="str">
        <f>IF(BK$6="","",IF(BK$3="Maior",iferror(VLOOKUP($R10,Capa!$A:$AJ,BK$5,0),0),IF(ISERROR(1/VLOOKUP($R10,Capa!$A:$AJ,BK$5,0)),0,1/VLOOKUP($R10,Capa!$A:$AJ,BK$5,0))))</f>
        <v/>
      </c>
      <c r="BL10" s="174" t="str">
        <f>IF(BL$6="","",IF(BL$3="Maior",iferror(VLOOKUP($R10,Capa!$A:$AJ,BL$5,0),0),IF(ISERROR(1/VLOOKUP($R10,Capa!$A:$AJ,BL$5,0)),0,1/VLOOKUP($R10,Capa!$A:$AJ,BL$5,0))))</f>
        <v/>
      </c>
      <c r="BM10" s="174" t="str">
        <f>IF(BM$6="","",IF(BM$3="Maior",iferror(VLOOKUP($R10,Capa!$A:$AJ,BM$5,0),0),IF(ISERROR(1/VLOOKUP($R10,Capa!$A:$AJ,BM$5,0)),0,1/VLOOKUP($R10,Capa!$A:$AJ,BM$5,0))))</f>
        <v/>
      </c>
      <c r="BN10" s="174" t="str">
        <f>IF(BN$6="","",IF(BN$3="Maior",iferror(VLOOKUP($R10,Capa!$A:$AJ,BN$5,0),0),IF(ISERROR(1/VLOOKUP($R10,Capa!$A:$AJ,BN$5,0)),0,1/VLOOKUP($R10,Capa!$A:$AJ,BN$5,0))))</f>
        <v/>
      </c>
      <c r="BO10" s="174" t="str">
        <f>IF(BO$6="","",IF(BO$3="Maior",iferror(VLOOKUP($R10,Capa!$A:$AJ,BO$5,0),0),IF(ISERROR(1/VLOOKUP($R10,Capa!$A:$AJ,BO$5,0)),0,1/VLOOKUP($R10,Capa!$A:$AJ,BO$5,0))))</f>
        <v/>
      </c>
      <c r="BP10" s="174" t="str">
        <f>IF(BP$6="","",IF(BP$3="Maior",iferror(VLOOKUP($R10,Capa!$A:$AJ,BP$5,0),0),IF(ISERROR(1/VLOOKUP($R10,Capa!$A:$AJ,BP$5,0)),0,1/VLOOKUP($R10,Capa!$A:$AJ,BP$5,0))))</f>
        <v/>
      </c>
      <c r="BQ10" s="174" t="str">
        <f>IF(BQ$6="","",IF(BQ$3="Maior",iferror(VLOOKUP($R10,Capa!$A:$AJ,BQ$5,0),0),IF(ISERROR(1/VLOOKUP($R10,Capa!$A:$AJ,BQ$5,0)),0,1/VLOOKUP($R10,Capa!$A:$AJ,BQ$5,0))))</f>
        <v/>
      </c>
      <c r="BR10" s="175"/>
      <c r="BS10" s="147"/>
    </row>
    <row r="11">
      <c r="C11" s="82" t="s">
        <v>1740</v>
      </c>
      <c r="G11" s="11"/>
      <c r="H11" s="8">
        <v>5.0</v>
      </c>
      <c r="I11" s="165" t="str">
        <f t="shared" si="6"/>
        <v>TFCO4</v>
      </c>
      <c r="J11" s="166" t="str">
        <f>(VLOOKUP($I11,Capa!$A:$B,2,0))</f>
        <v>Track &amp; Field SA Co</v>
      </c>
      <c r="K11" s="167" t="str">
        <f>VLOOKUP(left(I11,4),Setor!A:D,3,0)&amp;" | "&amp;VLOOKUP(left(I11,4),Setor!A:D,4,0)</f>
        <v>Outros | Tecidos, Vestuário e Calçados</v>
      </c>
      <c r="L11" s="168">
        <f>(VLOOKUP($I11,Capa!$A:$F,6,0))</f>
        <v>16.65</v>
      </c>
      <c r="M11" s="168">
        <f t="shared" si="7"/>
        <v>12489821</v>
      </c>
      <c r="N11" s="177" t="str">
        <f>IFERROR(__xludf.DUMMYFUNCTION("(VLOOKUP($I11,Capa!$A:$H,7,0))"),"")</f>
        <v/>
      </c>
      <c r="O11" s="169">
        <f>(VLOOKUP($I11,Capa!$A:$H,8,0))</f>
        <v>0.08187134503</v>
      </c>
      <c r="P11" s="169" t="str">
        <f>IFERROR(__xludf.DUMMYFUNCTION("(VLOOKUP($I11,Capa!$A:$J,10,0))"),"")</f>
        <v/>
      </c>
      <c r="Q11" s="169">
        <f>(VLOOKUP($I11,Capa!$A:$K,11,0))</f>
        <v>0.6733668342</v>
      </c>
      <c r="R11" s="45" t="str">
        <f>'Dados StatusInvest'!A6</f>
        <v>AERI3</v>
      </c>
      <c r="S11" s="170">
        <f t="shared" si="8"/>
        <v>1318.0318</v>
      </c>
      <c r="T11" s="171">
        <f>VLOOKUP(R11,'Dados StatusInvest'!A:Z,26,0)</f>
        <v>207642.1</v>
      </c>
      <c r="U11" s="172">
        <f t="shared" ref="U11:AS11" si="12">IF(AT11="","", RANK(AT11,AT$7:AT$626,0)+RANK(AT11,AT$7:AT$626,0)/10000)</f>
        <v>51.0051</v>
      </c>
      <c r="V11" s="172">
        <f t="shared" si="12"/>
        <v>267.0267</v>
      </c>
      <c r="W11" s="172" t="str">
        <f t="shared" si="12"/>
        <v/>
      </c>
      <c r="X11" s="172" t="str">
        <f t="shared" si="12"/>
        <v/>
      </c>
      <c r="Y11" s="172" t="str">
        <f t="shared" si="12"/>
        <v/>
      </c>
      <c r="Z11" s="172" t="str">
        <f t="shared" si="12"/>
        <v/>
      </c>
      <c r="AA11" s="172" t="str">
        <f t="shared" si="12"/>
        <v/>
      </c>
      <c r="AB11" s="172" t="str">
        <f t="shared" si="12"/>
        <v/>
      </c>
      <c r="AC11" s="172" t="str">
        <f t="shared" si="12"/>
        <v/>
      </c>
      <c r="AD11" s="172" t="str">
        <f t="shared" si="12"/>
        <v/>
      </c>
      <c r="AE11" s="172" t="str">
        <f t="shared" si="12"/>
        <v/>
      </c>
      <c r="AF11" s="172" t="str">
        <f t="shared" si="12"/>
        <v/>
      </c>
      <c r="AG11" s="172" t="str">
        <f t="shared" si="12"/>
        <v/>
      </c>
      <c r="AH11" s="172" t="str">
        <f t="shared" si="12"/>
        <v/>
      </c>
      <c r="AI11" s="172" t="str">
        <f t="shared" si="12"/>
        <v/>
      </c>
      <c r="AJ11" s="172" t="str">
        <f t="shared" si="12"/>
        <v/>
      </c>
      <c r="AK11" s="172" t="str">
        <f t="shared" si="12"/>
        <v/>
      </c>
      <c r="AL11" s="172" t="str">
        <f t="shared" si="12"/>
        <v/>
      </c>
      <c r="AM11" s="172" t="str">
        <f t="shared" si="12"/>
        <v/>
      </c>
      <c r="AN11" s="172" t="str">
        <f t="shared" si="12"/>
        <v/>
      </c>
      <c r="AO11" s="172" t="str">
        <f t="shared" si="12"/>
        <v/>
      </c>
      <c r="AP11" s="172" t="str">
        <f t="shared" si="12"/>
        <v/>
      </c>
      <c r="AQ11" s="172" t="str">
        <f t="shared" si="12"/>
        <v/>
      </c>
      <c r="AR11" s="172" t="str">
        <f t="shared" si="12"/>
        <v/>
      </c>
      <c r="AS11" s="172" t="str">
        <f t="shared" si="12"/>
        <v/>
      </c>
      <c r="AT11" s="173">
        <f>IF(AT$6="","",IF(AT$3="Maior",iferror(VLOOKUP($R11,Capa!$A:$AJ,AT$5,0),0),IF(ISERROR(1/VLOOKUP($R11,Capa!$A:$AJ,AT$5,0)),0,1/VLOOKUP($R11,Capa!$A:$AJ,AT$5,0))))</f>
        <v>0</v>
      </c>
      <c r="AU11" s="174">
        <f>IF(AU$6="","",IF(AU$3="Maior",iferror(VLOOKUP($R11,Capa!$A:$AJ,AU$5,0),0),IF(ISERROR(1/VLOOKUP($R11,Capa!$A:$AJ,AU$5,0)),0,1/VLOOKUP($R11,Capa!$A:$AJ,AU$5,0))))</f>
        <v>0</v>
      </c>
      <c r="AV11" s="174" t="str">
        <f>IF(AV$6="","",IF(AV$3="Maior",iferror(VLOOKUP($R11,Capa!$A:$AJ,AV$5,0),0),IF(ISERROR(1/VLOOKUP($R11,Capa!$A:$AJ,AV$5,0)),0,1/VLOOKUP($R11,Capa!$A:$AJ,AV$5,0))))</f>
        <v/>
      </c>
      <c r="AW11" s="174" t="str">
        <f>IF(AW$6="","",IF(AW$3="Maior",iferror(VLOOKUP($R11,Capa!$A:$AJ,AW$5,0),0),IF(ISERROR(1/VLOOKUP($R11,Capa!$A:$AJ,AW$5,0)),0,1/VLOOKUP($R11,Capa!$A:$AJ,AW$5,0))))</f>
        <v/>
      </c>
      <c r="AX11" s="174" t="str">
        <f>IF(AX$6="","",IF(AX$3="Maior",iferror(VLOOKUP($R11,Capa!$A:$AJ,AX$5,0),0),IF(ISERROR(1/VLOOKUP($R11,Capa!$A:$AJ,AX$5,0)),0,1/VLOOKUP($R11,Capa!$A:$AJ,AX$5,0))))</f>
        <v/>
      </c>
      <c r="AY11" s="174" t="str">
        <f>IF(AY$6="","",IF(AY$3="Maior",iferror(VLOOKUP($R11,Capa!$A:$AJ,AY$5,0),0),IF(ISERROR(1/VLOOKUP($R11,Capa!$A:$AJ,AY$5,0)),0,1/VLOOKUP($R11,Capa!$A:$AJ,AY$5,0))))</f>
        <v/>
      </c>
      <c r="AZ11" s="174" t="str">
        <f>IF(AZ$6="","",IF(AZ$3="Maior",iferror(VLOOKUP($R11,Capa!$A:$AJ,AZ$5,0),0),IF(ISERROR(1/VLOOKUP($R11,Capa!$A:$AJ,AZ$5,0)),0,1/VLOOKUP($R11,Capa!$A:$AJ,AZ$5,0))))</f>
        <v/>
      </c>
      <c r="BA11" s="174" t="str">
        <f>IF(BA$6="","",IF(BA$3="Maior",iferror(VLOOKUP($R11,Capa!$A:$AJ,BA$5,0),0),IF(ISERROR(1/VLOOKUP($R11,Capa!$A:$AJ,BA$5,0)),0,1/VLOOKUP($R11,Capa!$A:$AJ,BA$5,0))))</f>
        <v/>
      </c>
      <c r="BB11" s="174" t="str">
        <f>IF(BB$6="","",IF(BB$3="Maior",iferror(VLOOKUP($R11,Capa!$A:$AJ,BB$5,0),0),IF(ISERROR(1/VLOOKUP($R11,Capa!$A:$AJ,BB$5,0)),0,1/VLOOKUP($R11,Capa!$A:$AJ,BB$5,0))))</f>
        <v/>
      </c>
      <c r="BC11" s="174" t="str">
        <f>IF(BC$6="","",IF(BC$3="Maior",iferror(VLOOKUP($R11,Capa!$A:$AJ,BC$5,0),0),IF(ISERROR(1/VLOOKUP($R11,Capa!$A:$AJ,BC$5,0)),0,1/VLOOKUP($R11,Capa!$A:$AJ,BC$5,0))))</f>
        <v/>
      </c>
      <c r="BD11" s="174" t="str">
        <f>IF(BD$6="","",IF(BD$3="Maior",iferror(VLOOKUP($R11,Capa!$A:$AJ,BD$5,0),0),IF(ISERROR(1/VLOOKUP($R11,Capa!$A:$AJ,BD$5,0)),0,1/VLOOKUP($R11,Capa!$A:$AJ,BD$5,0))))</f>
        <v/>
      </c>
      <c r="BE11" s="174" t="str">
        <f>IF(BE$6="","",IF(BE$3="Maior",iferror(VLOOKUP($R11,Capa!$A:$AJ,BE$5,0),0),IF(ISERROR(1/VLOOKUP($R11,Capa!$A:$AJ,BE$5,0)),0,1/VLOOKUP($R11,Capa!$A:$AJ,BE$5,0))))</f>
        <v/>
      </c>
      <c r="BF11" s="174" t="str">
        <f>IF(BF$6="","",IF(BF$3="Maior",iferror(VLOOKUP($R11,Capa!$A:$AJ,BF$5,0),0),IF(ISERROR(1/VLOOKUP($R11,Capa!$A:$AJ,BF$5,0)),0,1/VLOOKUP($R11,Capa!$A:$AJ,BF$5,0))))</f>
        <v/>
      </c>
      <c r="BG11" s="174" t="str">
        <f>IF(BG$6="","",IF(BG$3="Maior",iferror(VLOOKUP($R11,Capa!$A:$AJ,BG$5,0),0),IF(ISERROR(1/VLOOKUP($R11,Capa!$A:$AJ,BG$5,0)),0,1/VLOOKUP($R11,Capa!$A:$AJ,BG$5,0))))</f>
        <v/>
      </c>
      <c r="BH11" s="174" t="str">
        <f>IF(BH$6="","",IF(BH$3="Maior",iferror(VLOOKUP($R11,Capa!$A:$AJ,BH$5,0),0),IF(ISERROR(1/VLOOKUP($R11,Capa!$A:$AJ,BH$5,0)),0,1/VLOOKUP($R11,Capa!$A:$AJ,BH$5,0))))</f>
        <v/>
      </c>
      <c r="BI11" s="174" t="str">
        <f>IF(BI$6="","",IF(BI$3="Maior",iferror(VLOOKUP($R11,Capa!$A:$AJ,BI$5,0),0),IF(ISERROR(1/VLOOKUP($R11,Capa!$A:$AJ,BI$5,0)),0,1/VLOOKUP($R11,Capa!$A:$AJ,BI$5,0))))</f>
        <v/>
      </c>
      <c r="BJ11" s="174" t="str">
        <f>IF(BJ$6="","",IF(BJ$3="Maior",iferror(VLOOKUP($R11,Capa!$A:$AJ,BJ$5,0),0),IF(ISERROR(1/VLOOKUP($R11,Capa!$A:$AJ,BJ$5,0)),0,1/VLOOKUP($R11,Capa!$A:$AJ,BJ$5,0))))</f>
        <v/>
      </c>
      <c r="BK11" s="174" t="str">
        <f>IF(BK$6="","",IF(BK$3="Maior",iferror(VLOOKUP($R11,Capa!$A:$AJ,BK$5,0),0),IF(ISERROR(1/VLOOKUP($R11,Capa!$A:$AJ,BK$5,0)),0,1/VLOOKUP($R11,Capa!$A:$AJ,BK$5,0))))</f>
        <v/>
      </c>
      <c r="BL11" s="174" t="str">
        <f>IF(BL$6="","",IF(BL$3="Maior",iferror(VLOOKUP($R11,Capa!$A:$AJ,BL$5,0),0),IF(ISERROR(1/VLOOKUP($R11,Capa!$A:$AJ,BL$5,0)),0,1/VLOOKUP($R11,Capa!$A:$AJ,BL$5,0))))</f>
        <v/>
      </c>
      <c r="BM11" s="174" t="str">
        <f>IF(BM$6="","",IF(BM$3="Maior",iferror(VLOOKUP($R11,Capa!$A:$AJ,BM$5,0),0),IF(ISERROR(1/VLOOKUP($R11,Capa!$A:$AJ,BM$5,0)),0,1/VLOOKUP($R11,Capa!$A:$AJ,BM$5,0))))</f>
        <v/>
      </c>
      <c r="BN11" s="174" t="str">
        <f>IF(BN$6="","",IF(BN$3="Maior",iferror(VLOOKUP($R11,Capa!$A:$AJ,BN$5,0),0),IF(ISERROR(1/VLOOKUP($R11,Capa!$A:$AJ,BN$5,0)),0,1/VLOOKUP($R11,Capa!$A:$AJ,BN$5,0))))</f>
        <v/>
      </c>
      <c r="BO11" s="174" t="str">
        <f>IF(BO$6="","",IF(BO$3="Maior",iferror(VLOOKUP($R11,Capa!$A:$AJ,BO$5,0),0),IF(ISERROR(1/VLOOKUP($R11,Capa!$A:$AJ,BO$5,0)),0,1/VLOOKUP($R11,Capa!$A:$AJ,BO$5,0))))</f>
        <v/>
      </c>
      <c r="BP11" s="174" t="str">
        <f>IF(BP$6="","",IF(BP$3="Maior",iferror(VLOOKUP($R11,Capa!$A:$AJ,BP$5,0),0),IF(ISERROR(1/VLOOKUP($R11,Capa!$A:$AJ,BP$5,0)),0,1/VLOOKUP($R11,Capa!$A:$AJ,BP$5,0))))</f>
        <v/>
      </c>
      <c r="BQ11" s="174" t="str">
        <f>IF(BQ$6="","",IF(BQ$3="Maior",iferror(VLOOKUP($R11,Capa!$A:$AJ,BQ$5,0),0),IF(ISERROR(1/VLOOKUP($R11,Capa!$A:$AJ,BQ$5,0)),0,1/VLOOKUP($R11,Capa!$A:$AJ,BQ$5,0))))</f>
        <v/>
      </c>
      <c r="BR11" s="175"/>
      <c r="BS11" s="147"/>
    </row>
    <row r="12">
      <c r="C12" s="82" t="s">
        <v>1741</v>
      </c>
      <c r="E12" s="178" t="s">
        <v>1742</v>
      </c>
      <c r="G12" s="11"/>
      <c r="H12" s="8">
        <v>6.0</v>
      </c>
      <c r="I12" s="165" t="str">
        <f t="shared" si="6"/>
        <v>ELMD3</v>
      </c>
      <c r="J12" s="166" t="str">
        <f>(VLOOKUP($I12,Capa!$A:$B,2,0))</f>
        <v/>
      </c>
      <c r="K12" s="167" t="str">
        <f>VLOOKUP(left(I12,4),Setor!A:D,3,0)&amp;" | "&amp;VLOOKUP(left(I12,4),Setor!A:D,4,0)</f>
        <v>#N/A</v>
      </c>
      <c r="L12" s="168" t="str">
        <f>(VLOOKUP($I12,Capa!$A:$F,6,0))</f>
        <v/>
      </c>
      <c r="M12" s="168">
        <f t="shared" si="7"/>
        <v>704100</v>
      </c>
      <c r="N12" s="11" t="str">
        <f>(VLOOKUP($I12,Capa!$A:$H,7,0))</f>
        <v/>
      </c>
      <c r="O12" s="169" t="str">
        <f>(VLOOKUP($I12,Capa!$A:$H,8,0))</f>
        <v/>
      </c>
      <c r="P12" s="11" t="str">
        <f>(VLOOKUP($I12,Capa!$A:$J,10,0))</f>
        <v/>
      </c>
      <c r="Q12" s="169" t="str">
        <f>(VLOOKUP($I12,Capa!$A:$K,11,0))</f>
        <v/>
      </c>
      <c r="R12" s="45" t="str">
        <f>'Dados StatusInvest'!A7</f>
        <v>AESB3</v>
      </c>
      <c r="S12" s="170">
        <f t="shared" si="8"/>
        <v>296.0296</v>
      </c>
      <c r="T12" s="171">
        <f>VLOOKUP(R12,'Dados StatusInvest'!A:Z,26,0)</f>
        <v>13684494</v>
      </c>
      <c r="U12" s="172">
        <f t="shared" ref="U12:AS12" si="13">IF(AT12="","", RANK(AT12,AT$7:AT$626,0)+RANK(AT12,AT$7:AT$626,0)/10000)</f>
        <v>29.0029</v>
      </c>
      <c r="V12" s="172">
        <f t="shared" si="13"/>
        <v>267.0267</v>
      </c>
      <c r="W12" s="172" t="str">
        <f t="shared" si="13"/>
        <v/>
      </c>
      <c r="X12" s="172" t="str">
        <f t="shared" si="13"/>
        <v/>
      </c>
      <c r="Y12" s="172" t="str">
        <f t="shared" si="13"/>
        <v/>
      </c>
      <c r="Z12" s="172" t="str">
        <f t="shared" si="13"/>
        <v/>
      </c>
      <c r="AA12" s="172" t="str">
        <f t="shared" si="13"/>
        <v/>
      </c>
      <c r="AB12" s="172" t="str">
        <f t="shared" si="13"/>
        <v/>
      </c>
      <c r="AC12" s="172" t="str">
        <f t="shared" si="13"/>
        <v/>
      </c>
      <c r="AD12" s="172" t="str">
        <f t="shared" si="13"/>
        <v/>
      </c>
      <c r="AE12" s="172" t="str">
        <f t="shared" si="13"/>
        <v/>
      </c>
      <c r="AF12" s="172" t="str">
        <f t="shared" si="13"/>
        <v/>
      </c>
      <c r="AG12" s="172" t="str">
        <f t="shared" si="13"/>
        <v/>
      </c>
      <c r="AH12" s="172" t="str">
        <f t="shared" si="13"/>
        <v/>
      </c>
      <c r="AI12" s="172" t="str">
        <f t="shared" si="13"/>
        <v/>
      </c>
      <c r="AJ12" s="172" t="str">
        <f t="shared" si="13"/>
        <v/>
      </c>
      <c r="AK12" s="172" t="str">
        <f t="shared" si="13"/>
        <v/>
      </c>
      <c r="AL12" s="172" t="str">
        <f t="shared" si="13"/>
        <v/>
      </c>
      <c r="AM12" s="172" t="str">
        <f t="shared" si="13"/>
        <v/>
      </c>
      <c r="AN12" s="172" t="str">
        <f t="shared" si="13"/>
        <v/>
      </c>
      <c r="AO12" s="172" t="str">
        <f t="shared" si="13"/>
        <v/>
      </c>
      <c r="AP12" s="172" t="str">
        <f t="shared" si="13"/>
        <v/>
      </c>
      <c r="AQ12" s="172" t="str">
        <f t="shared" si="13"/>
        <v/>
      </c>
      <c r="AR12" s="172" t="str">
        <f t="shared" si="13"/>
        <v/>
      </c>
      <c r="AS12" s="172" t="str">
        <f t="shared" si="13"/>
        <v/>
      </c>
      <c r="AT12" s="173">
        <f>IF(AT$6="","",IF(AT$3="Maior",iferror(VLOOKUP($R12,Capa!$A:$AJ,AT$5,0),0),IF(ISERROR(1/VLOOKUP($R12,Capa!$A:$AJ,AT$5,0)),0,1/VLOOKUP($R12,Capa!$A:$AJ,AT$5,0))))</f>
        <v>0.01996805112</v>
      </c>
      <c r="AU12" s="174">
        <f>IF(AU$6="","",IF(AU$3="Maior",iferror(VLOOKUP($R12,Capa!$A:$AJ,AU$5,0),0),IF(ISERROR(1/VLOOKUP($R12,Capa!$A:$AJ,AU$5,0)),0,1/VLOOKUP($R12,Capa!$A:$AJ,AU$5,0))))</f>
        <v>0</v>
      </c>
      <c r="AV12" s="174" t="str">
        <f>IF(AV$6="","",IF(AV$3="Maior",iferror(VLOOKUP($R12,Capa!$A:$AJ,AV$5,0),0),IF(ISERROR(1/VLOOKUP($R12,Capa!$A:$AJ,AV$5,0)),0,1/VLOOKUP($R12,Capa!$A:$AJ,AV$5,0))))</f>
        <v/>
      </c>
      <c r="AW12" s="174" t="str">
        <f>IF(AW$6="","",IF(AW$3="Maior",iferror(VLOOKUP($R12,Capa!$A:$AJ,AW$5,0),0),IF(ISERROR(1/VLOOKUP($R12,Capa!$A:$AJ,AW$5,0)),0,1/VLOOKUP($R12,Capa!$A:$AJ,AW$5,0))))</f>
        <v/>
      </c>
      <c r="AX12" s="174" t="str">
        <f>IF(AX$6="","",IF(AX$3="Maior",iferror(VLOOKUP($R12,Capa!$A:$AJ,AX$5,0),0),IF(ISERROR(1/VLOOKUP($R12,Capa!$A:$AJ,AX$5,0)),0,1/VLOOKUP($R12,Capa!$A:$AJ,AX$5,0))))</f>
        <v/>
      </c>
      <c r="AY12" s="174" t="str">
        <f>IF(AY$6="","",IF(AY$3="Maior",iferror(VLOOKUP($R12,Capa!$A:$AJ,AY$5,0),0),IF(ISERROR(1/VLOOKUP($R12,Capa!$A:$AJ,AY$5,0)),0,1/VLOOKUP($R12,Capa!$A:$AJ,AY$5,0))))</f>
        <v/>
      </c>
      <c r="AZ12" s="174" t="str">
        <f>IF(AZ$6="","",IF(AZ$3="Maior",iferror(VLOOKUP($R12,Capa!$A:$AJ,AZ$5,0),0),IF(ISERROR(1/VLOOKUP($R12,Capa!$A:$AJ,AZ$5,0)),0,1/VLOOKUP($R12,Capa!$A:$AJ,AZ$5,0))))</f>
        <v/>
      </c>
      <c r="BA12" s="174" t="str">
        <f>IF(BA$6="","",IF(BA$3="Maior",iferror(VLOOKUP($R12,Capa!$A:$AJ,BA$5,0),0),IF(ISERROR(1/VLOOKUP($R12,Capa!$A:$AJ,BA$5,0)),0,1/VLOOKUP($R12,Capa!$A:$AJ,BA$5,0))))</f>
        <v/>
      </c>
      <c r="BB12" s="174" t="str">
        <f>IF(BB$6="","",IF(BB$3="Maior",iferror(VLOOKUP($R12,Capa!$A:$AJ,BB$5,0),0),IF(ISERROR(1/VLOOKUP($R12,Capa!$A:$AJ,BB$5,0)),0,1/VLOOKUP($R12,Capa!$A:$AJ,BB$5,0))))</f>
        <v/>
      </c>
      <c r="BC12" s="174" t="str">
        <f>IF(BC$6="","",IF(BC$3="Maior",iferror(VLOOKUP($R12,Capa!$A:$AJ,BC$5,0),0),IF(ISERROR(1/VLOOKUP($R12,Capa!$A:$AJ,BC$5,0)),0,1/VLOOKUP($R12,Capa!$A:$AJ,BC$5,0))))</f>
        <v/>
      </c>
      <c r="BD12" s="174" t="str">
        <f>IF(BD$6="","",IF(BD$3="Maior",iferror(VLOOKUP($R12,Capa!$A:$AJ,BD$5,0),0),IF(ISERROR(1/VLOOKUP($R12,Capa!$A:$AJ,BD$5,0)),0,1/VLOOKUP($R12,Capa!$A:$AJ,BD$5,0))))</f>
        <v/>
      </c>
      <c r="BE12" s="174" t="str">
        <f>IF(BE$6="","",IF(BE$3="Maior",iferror(VLOOKUP($R12,Capa!$A:$AJ,BE$5,0),0),IF(ISERROR(1/VLOOKUP($R12,Capa!$A:$AJ,BE$5,0)),0,1/VLOOKUP($R12,Capa!$A:$AJ,BE$5,0))))</f>
        <v/>
      </c>
      <c r="BF12" s="174" t="str">
        <f>IF(BF$6="","",IF(BF$3="Maior",iferror(VLOOKUP($R12,Capa!$A:$AJ,BF$5,0),0),IF(ISERROR(1/VLOOKUP($R12,Capa!$A:$AJ,BF$5,0)),0,1/VLOOKUP($R12,Capa!$A:$AJ,BF$5,0))))</f>
        <v/>
      </c>
      <c r="BG12" s="174" t="str">
        <f>IF(BG$6="","",IF(BG$3="Maior",iferror(VLOOKUP($R12,Capa!$A:$AJ,BG$5,0),0),IF(ISERROR(1/VLOOKUP($R12,Capa!$A:$AJ,BG$5,0)),0,1/VLOOKUP($R12,Capa!$A:$AJ,BG$5,0))))</f>
        <v/>
      </c>
      <c r="BH12" s="174" t="str">
        <f>IF(BH$6="","",IF(BH$3="Maior",iferror(VLOOKUP($R12,Capa!$A:$AJ,BH$5,0),0),IF(ISERROR(1/VLOOKUP($R12,Capa!$A:$AJ,BH$5,0)),0,1/VLOOKUP($R12,Capa!$A:$AJ,BH$5,0))))</f>
        <v/>
      </c>
      <c r="BI12" s="174" t="str">
        <f>IF(BI$6="","",IF(BI$3="Maior",iferror(VLOOKUP($R12,Capa!$A:$AJ,BI$5,0),0),IF(ISERROR(1/VLOOKUP($R12,Capa!$A:$AJ,BI$5,0)),0,1/VLOOKUP($R12,Capa!$A:$AJ,BI$5,0))))</f>
        <v/>
      </c>
      <c r="BJ12" s="174" t="str">
        <f>IF(BJ$6="","",IF(BJ$3="Maior",iferror(VLOOKUP($R12,Capa!$A:$AJ,BJ$5,0),0),IF(ISERROR(1/VLOOKUP($R12,Capa!$A:$AJ,BJ$5,0)),0,1/VLOOKUP($R12,Capa!$A:$AJ,BJ$5,0))))</f>
        <v/>
      </c>
      <c r="BK12" s="174" t="str">
        <f>IF(BK$6="","",IF(BK$3="Maior",iferror(VLOOKUP($R12,Capa!$A:$AJ,BK$5,0),0),IF(ISERROR(1/VLOOKUP($R12,Capa!$A:$AJ,BK$5,0)),0,1/VLOOKUP($R12,Capa!$A:$AJ,BK$5,0))))</f>
        <v/>
      </c>
      <c r="BL12" s="174" t="str">
        <f>IF(BL$6="","",IF(BL$3="Maior",iferror(VLOOKUP($R12,Capa!$A:$AJ,BL$5,0),0),IF(ISERROR(1/VLOOKUP($R12,Capa!$A:$AJ,BL$5,0)),0,1/VLOOKUP($R12,Capa!$A:$AJ,BL$5,0))))</f>
        <v/>
      </c>
      <c r="BM12" s="174" t="str">
        <f>IF(BM$6="","",IF(BM$3="Maior",iferror(VLOOKUP($R12,Capa!$A:$AJ,BM$5,0),0),IF(ISERROR(1/VLOOKUP($R12,Capa!$A:$AJ,BM$5,0)),0,1/VLOOKUP($R12,Capa!$A:$AJ,BM$5,0))))</f>
        <v/>
      </c>
      <c r="BN12" s="174" t="str">
        <f>IF(BN$6="","",IF(BN$3="Maior",iferror(VLOOKUP($R12,Capa!$A:$AJ,BN$5,0),0),IF(ISERROR(1/VLOOKUP($R12,Capa!$A:$AJ,BN$5,0)),0,1/VLOOKUP($R12,Capa!$A:$AJ,BN$5,0))))</f>
        <v/>
      </c>
      <c r="BO12" s="174" t="str">
        <f>IF(BO$6="","",IF(BO$3="Maior",iferror(VLOOKUP($R12,Capa!$A:$AJ,BO$5,0),0),IF(ISERROR(1/VLOOKUP($R12,Capa!$A:$AJ,BO$5,0)),0,1/VLOOKUP($R12,Capa!$A:$AJ,BO$5,0))))</f>
        <v/>
      </c>
      <c r="BP12" s="174" t="str">
        <f>IF(BP$6="","",IF(BP$3="Maior",iferror(VLOOKUP($R12,Capa!$A:$AJ,BP$5,0),0),IF(ISERROR(1/VLOOKUP($R12,Capa!$A:$AJ,BP$5,0)),0,1/VLOOKUP($R12,Capa!$A:$AJ,BP$5,0))))</f>
        <v/>
      </c>
      <c r="BQ12" s="174" t="str">
        <f>IF(BQ$6="","",IF(BQ$3="Maior",iferror(VLOOKUP($R12,Capa!$A:$AJ,BQ$5,0),0),IF(ISERROR(1/VLOOKUP($R12,Capa!$A:$AJ,BQ$5,0)),0,1/VLOOKUP($R12,Capa!$A:$AJ,BQ$5,0))))</f>
        <v/>
      </c>
      <c r="BR12" s="175"/>
      <c r="BS12" s="147"/>
    </row>
    <row r="13">
      <c r="C13" s="82" t="s">
        <v>1743</v>
      </c>
      <c r="G13" s="11"/>
      <c r="H13" s="8">
        <v>7.0</v>
      </c>
      <c r="I13" s="165" t="str">
        <f t="shared" si="6"/>
        <v>BRFS3</v>
      </c>
      <c r="J13" s="166" t="str">
        <f>(VLOOKUP($I13,Capa!$A:$B,2,0))</f>
        <v/>
      </c>
      <c r="K13" s="167" t="str">
        <f>VLOOKUP(left(I13,4),Setor!A:D,3,0)&amp;" | "&amp;VLOOKUP(left(I13,4),Setor!A:D,4,0)</f>
        <v>Consumo não Cíclico | Alimentos Processados</v>
      </c>
      <c r="L13" s="168" t="str">
        <f>(VLOOKUP($I13,Capa!$A:$F,6,0))</f>
        <v/>
      </c>
      <c r="M13" s="168">
        <f t="shared" si="7"/>
        <v>378000000</v>
      </c>
      <c r="N13" s="11" t="str">
        <f>(VLOOKUP($I13,Capa!$A:$H,7,0))</f>
        <v/>
      </c>
      <c r="O13" s="169" t="str">
        <f>(VLOOKUP($I13,Capa!$A:$H,8,0))</f>
        <v/>
      </c>
      <c r="P13" s="11" t="str">
        <f>(VLOOKUP($I13,Capa!$A:$J,10,0))</f>
        <v/>
      </c>
      <c r="Q13" s="169" t="str">
        <f>(VLOOKUP($I13,Capa!$A:$K,11,0))</f>
        <v/>
      </c>
      <c r="R13" s="45" t="str">
        <f>'Dados StatusInvest'!A8</f>
        <v>AFLT3</v>
      </c>
      <c r="S13" s="170">
        <f t="shared" si="8"/>
        <v>1490.049</v>
      </c>
      <c r="T13" s="171">
        <f>VLOOKUP(R13,'Dados StatusInvest'!A:Z,26,0)</f>
        <v>2146.31</v>
      </c>
      <c r="U13" s="172">
        <f t="shared" ref="U13:AS13" si="14">IF(AT13="","", RANK(AT13,AT$7:AT$626,0)+RANK(AT13,AT$7:AT$626,0)/10000)</f>
        <v>263.0263</v>
      </c>
      <c r="V13" s="172">
        <f t="shared" si="14"/>
        <v>227.0227</v>
      </c>
      <c r="W13" s="172" t="str">
        <f t="shared" si="14"/>
        <v/>
      </c>
      <c r="X13" s="172" t="str">
        <f t="shared" si="14"/>
        <v/>
      </c>
      <c r="Y13" s="172" t="str">
        <f t="shared" si="14"/>
        <v/>
      </c>
      <c r="Z13" s="172" t="str">
        <f t="shared" si="14"/>
        <v/>
      </c>
      <c r="AA13" s="172" t="str">
        <f t="shared" si="14"/>
        <v/>
      </c>
      <c r="AB13" s="172" t="str">
        <f t="shared" si="14"/>
        <v/>
      </c>
      <c r="AC13" s="172" t="str">
        <f t="shared" si="14"/>
        <v/>
      </c>
      <c r="AD13" s="172" t="str">
        <f t="shared" si="14"/>
        <v/>
      </c>
      <c r="AE13" s="172" t="str">
        <f t="shared" si="14"/>
        <v/>
      </c>
      <c r="AF13" s="172" t="str">
        <f t="shared" si="14"/>
        <v/>
      </c>
      <c r="AG13" s="172" t="str">
        <f t="shared" si="14"/>
        <v/>
      </c>
      <c r="AH13" s="172" t="str">
        <f t="shared" si="14"/>
        <v/>
      </c>
      <c r="AI13" s="172" t="str">
        <f t="shared" si="14"/>
        <v/>
      </c>
      <c r="AJ13" s="172" t="str">
        <f t="shared" si="14"/>
        <v/>
      </c>
      <c r="AK13" s="172" t="str">
        <f t="shared" si="14"/>
        <v/>
      </c>
      <c r="AL13" s="172" t="str">
        <f t="shared" si="14"/>
        <v/>
      </c>
      <c r="AM13" s="172" t="str">
        <f t="shared" si="14"/>
        <v/>
      </c>
      <c r="AN13" s="172" t="str">
        <f t="shared" si="14"/>
        <v/>
      </c>
      <c r="AO13" s="172" t="str">
        <f t="shared" si="14"/>
        <v/>
      </c>
      <c r="AP13" s="172" t="str">
        <f t="shared" si="14"/>
        <v/>
      </c>
      <c r="AQ13" s="172" t="str">
        <f t="shared" si="14"/>
        <v/>
      </c>
      <c r="AR13" s="172" t="str">
        <f t="shared" si="14"/>
        <v/>
      </c>
      <c r="AS13" s="172" t="str">
        <f t="shared" si="14"/>
        <v/>
      </c>
      <c r="AT13" s="173">
        <f>IF(AT$6="","",IF(AT$3="Maior",iferror(VLOOKUP($R13,Capa!$A:$AJ,AT$5,0),0),IF(ISERROR(1/VLOOKUP($R13,Capa!$A:$AJ,AT$5,0)),0,1/VLOOKUP($R13,Capa!$A:$AJ,AT$5,0))))</f>
        <v>-0.5494505495</v>
      </c>
      <c r="AU13" s="174">
        <f>IF(AU$6="","",IF(AU$3="Maior",iferror(VLOOKUP($R13,Capa!$A:$AJ,AU$5,0),0),IF(ISERROR(1/VLOOKUP($R13,Capa!$A:$AJ,AU$5,0)),0,1/VLOOKUP($R13,Capa!$A:$AJ,AU$5,0))))</f>
        <v>6.66</v>
      </c>
      <c r="AV13" s="174" t="str">
        <f>IF(AV$6="","",IF(AV$3="Maior",iferror(VLOOKUP($R13,Capa!$A:$AJ,AV$5,0),0),IF(ISERROR(1/VLOOKUP($R13,Capa!$A:$AJ,AV$5,0)),0,1/VLOOKUP($R13,Capa!$A:$AJ,AV$5,0))))</f>
        <v/>
      </c>
      <c r="AW13" s="174" t="str">
        <f>IF(AW$6="","",IF(AW$3="Maior",iferror(VLOOKUP($R13,Capa!$A:$AJ,AW$5,0),0),IF(ISERROR(1/VLOOKUP($R13,Capa!$A:$AJ,AW$5,0)),0,1/VLOOKUP($R13,Capa!$A:$AJ,AW$5,0))))</f>
        <v/>
      </c>
      <c r="AX13" s="174" t="str">
        <f>IF(AX$6="","",IF(AX$3="Maior",iferror(VLOOKUP($R13,Capa!$A:$AJ,AX$5,0),0),IF(ISERROR(1/VLOOKUP($R13,Capa!$A:$AJ,AX$5,0)),0,1/VLOOKUP($R13,Capa!$A:$AJ,AX$5,0))))</f>
        <v/>
      </c>
      <c r="AY13" s="174" t="str">
        <f>IF(AY$6="","",IF(AY$3="Maior",iferror(VLOOKUP($R13,Capa!$A:$AJ,AY$5,0),0),IF(ISERROR(1/VLOOKUP($R13,Capa!$A:$AJ,AY$5,0)),0,1/VLOOKUP($R13,Capa!$A:$AJ,AY$5,0))))</f>
        <v/>
      </c>
      <c r="AZ13" s="174" t="str">
        <f>IF(AZ$6="","",IF(AZ$3="Maior",iferror(VLOOKUP($R13,Capa!$A:$AJ,AZ$5,0),0),IF(ISERROR(1/VLOOKUP($R13,Capa!$A:$AJ,AZ$5,0)),0,1/VLOOKUP($R13,Capa!$A:$AJ,AZ$5,0))))</f>
        <v/>
      </c>
      <c r="BA13" s="174" t="str">
        <f>IF(BA$6="","",IF(BA$3="Maior",iferror(VLOOKUP($R13,Capa!$A:$AJ,BA$5,0),0),IF(ISERROR(1/VLOOKUP($R13,Capa!$A:$AJ,BA$5,0)),0,1/VLOOKUP($R13,Capa!$A:$AJ,BA$5,0))))</f>
        <v/>
      </c>
      <c r="BB13" s="174" t="str">
        <f>IF(BB$6="","",IF(BB$3="Maior",iferror(VLOOKUP($R13,Capa!$A:$AJ,BB$5,0),0),IF(ISERROR(1/VLOOKUP($R13,Capa!$A:$AJ,BB$5,0)),0,1/VLOOKUP($R13,Capa!$A:$AJ,BB$5,0))))</f>
        <v/>
      </c>
      <c r="BC13" s="174" t="str">
        <f>IF(BC$6="","",IF(BC$3="Maior",iferror(VLOOKUP($R13,Capa!$A:$AJ,BC$5,0),0),IF(ISERROR(1/VLOOKUP($R13,Capa!$A:$AJ,BC$5,0)),0,1/VLOOKUP($R13,Capa!$A:$AJ,BC$5,0))))</f>
        <v/>
      </c>
      <c r="BD13" s="174" t="str">
        <f>IF(BD$6="","",IF(BD$3="Maior",iferror(VLOOKUP($R13,Capa!$A:$AJ,BD$5,0),0),IF(ISERROR(1/VLOOKUP($R13,Capa!$A:$AJ,BD$5,0)),0,1/VLOOKUP($R13,Capa!$A:$AJ,BD$5,0))))</f>
        <v/>
      </c>
      <c r="BE13" s="174" t="str">
        <f>IF(BE$6="","",IF(BE$3="Maior",iferror(VLOOKUP($R13,Capa!$A:$AJ,BE$5,0),0),IF(ISERROR(1/VLOOKUP($R13,Capa!$A:$AJ,BE$5,0)),0,1/VLOOKUP($R13,Capa!$A:$AJ,BE$5,0))))</f>
        <v/>
      </c>
      <c r="BF13" s="174" t="str">
        <f>IF(BF$6="","",IF(BF$3="Maior",iferror(VLOOKUP($R13,Capa!$A:$AJ,BF$5,0),0),IF(ISERROR(1/VLOOKUP($R13,Capa!$A:$AJ,BF$5,0)),0,1/VLOOKUP($R13,Capa!$A:$AJ,BF$5,0))))</f>
        <v/>
      </c>
      <c r="BG13" s="174" t="str">
        <f>IF(BG$6="","",IF(BG$3="Maior",iferror(VLOOKUP($R13,Capa!$A:$AJ,BG$5,0),0),IF(ISERROR(1/VLOOKUP($R13,Capa!$A:$AJ,BG$5,0)),0,1/VLOOKUP($R13,Capa!$A:$AJ,BG$5,0))))</f>
        <v/>
      </c>
      <c r="BH13" s="174" t="str">
        <f>IF(BH$6="","",IF(BH$3="Maior",iferror(VLOOKUP($R13,Capa!$A:$AJ,BH$5,0),0),IF(ISERROR(1/VLOOKUP($R13,Capa!$A:$AJ,BH$5,0)),0,1/VLOOKUP($R13,Capa!$A:$AJ,BH$5,0))))</f>
        <v/>
      </c>
      <c r="BI13" s="174" t="str">
        <f>IF(BI$6="","",IF(BI$3="Maior",iferror(VLOOKUP($R13,Capa!$A:$AJ,BI$5,0),0),IF(ISERROR(1/VLOOKUP($R13,Capa!$A:$AJ,BI$5,0)),0,1/VLOOKUP($R13,Capa!$A:$AJ,BI$5,0))))</f>
        <v/>
      </c>
      <c r="BJ13" s="174" t="str">
        <f>IF(BJ$6="","",IF(BJ$3="Maior",iferror(VLOOKUP($R13,Capa!$A:$AJ,BJ$5,0),0),IF(ISERROR(1/VLOOKUP($R13,Capa!$A:$AJ,BJ$5,0)),0,1/VLOOKUP($R13,Capa!$A:$AJ,BJ$5,0))))</f>
        <v/>
      </c>
      <c r="BK13" s="174" t="str">
        <f>IF(BK$6="","",IF(BK$3="Maior",iferror(VLOOKUP($R13,Capa!$A:$AJ,BK$5,0),0),IF(ISERROR(1/VLOOKUP($R13,Capa!$A:$AJ,BK$5,0)),0,1/VLOOKUP($R13,Capa!$A:$AJ,BK$5,0))))</f>
        <v/>
      </c>
      <c r="BL13" s="174" t="str">
        <f>IF(BL$6="","",IF(BL$3="Maior",iferror(VLOOKUP($R13,Capa!$A:$AJ,BL$5,0),0),IF(ISERROR(1/VLOOKUP($R13,Capa!$A:$AJ,BL$5,0)),0,1/VLOOKUP($R13,Capa!$A:$AJ,BL$5,0))))</f>
        <v/>
      </c>
      <c r="BM13" s="174" t="str">
        <f>IF(BM$6="","",IF(BM$3="Maior",iferror(VLOOKUP($R13,Capa!$A:$AJ,BM$5,0),0),IF(ISERROR(1/VLOOKUP($R13,Capa!$A:$AJ,BM$5,0)),0,1/VLOOKUP($R13,Capa!$A:$AJ,BM$5,0))))</f>
        <v/>
      </c>
      <c r="BN13" s="174" t="str">
        <f>IF(BN$6="","",IF(BN$3="Maior",iferror(VLOOKUP($R13,Capa!$A:$AJ,BN$5,0),0),IF(ISERROR(1/VLOOKUP($R13,Capa!$A:$AJ,BN$5,0)),0,1/VLOOKUP($R13,Capa!$A:$AJ,BN$5,0))))</f>
        <v/>
      </c>
      <c r="BO13" s="174" t="str">
        <f>IF(BO$6="","",IF(BO$3="Maior",iferror(VLOOKUP($R13,Capa!$A:$AJ,BO$5,0),0),IF(ISERROR(1/VLOOKUP($R13,Capa!$A:$AJ,BO$5,0)),0,1/VLOOKUP($R13,Capa!$A:$AJ,BO$5,0))))</f>
        <v/>
      </c>
      <c r="BP13" s="174" t="str">
        <f>IF(BP$6="","",IF(BP$3="Maior",iferror(VLOOKUP($R13,Capa!$A:$AJ,BP$5,0),0),IF(ISERROR(1/VLOOKUP($R13,Capa!$A:$AJ,BP$5,0)),0,1/VLOOKUP($R13,Capa!$A:$AJ,BP$5,0))))</f>
        <v/>
      </c>
      <c r="BQ13" s="174" t="str">
        <f>IF(BQ$6="","",IF(BQ$3="Maior",iferror(VLOOKUP($R13,Capa!$A:$AJ,BQ$5,0),0),IF(ISERROR(1/VLOOKUP($R13,Capa!$A:$AJ,BQ$5,0)),0,1/VLOOKUP($R13,Capa!$A:$AJ,BQ$5,0))))</f>
        <v/>
      </c>
      <c r="BR13" s="175"/>
      <c r="BS13" s="147"/>
    </row>
    <row r="14">
      <c r="C14" s="82" t="s">
        <v>1744</v>
      </c>
      <c r="G14" s="11"/>
      <c r="H14" s="8">
        <v>8.0</v>
      </c>
      <c r="I14" s="165" t="str">
        <f t="shared" si="6"/>
        <v>LIGT3</v>
      </c>
      <c r="J14" s="166" t="str">
        <f>(VLOOKUP($I14,Capa!$A:$B,2,0))</f>
        <v>Light SA</v>
      </c>
      <c r="K14" s="167" t="str">
        <f>VLOOKUP(left(I14,4),Setor!A:D,3,0)&amp;" | "&amp;VLOOKUP(left(I14,4),Setor!A:D,4,0)</f>
        <v>Utilidade Pública | Energia Elétrica</v>
      </c>
      <c r="L14" s="168">
        <f>(VLOOKUP($I14,Capa!$A:$F,6,0))</f>
        <v>4.78</v>
      </c>
      <c r="M14" s="168">
        <f t="shared" si="7"/>
        <v>8170431</v>
      </c>
      <c r="N14" s="11" t="str">
        <f>IFERROR(__xludf.DUMMYFUNCTION("(VLOOKUP($I14,Capa!$A:$H,7,0))"),"")</f>
        <v/>
      </c>
      <c r="O14" s="169">
        <f>(VLOOKUP($I14,Capa!$A:$H,8,0))</f>
        <v>0.08883826879</v>
      </c>
      <c r="P14" s="11" t="str">
        <f>IFERROR(__xludf.DUMMYFUNCTION("(VLOOKUP($I14,Capa!$A:$J,10,0))"),"")</f>
        <v/>
      </c>
      <c r="Q14" s="169">
        <f>(VLOOKUP($I14,Capa!$A:$K,11,0))</f>
        <v>0.2953929539</v>
      </c>
      <c r="R14" s="45" t="str">
        <f>'Dados StatusInvest'!A9</f>
        <v>AGRO3</v>
      </c>
      <c r="S14" s="170">
        <f t="shared" si="8"/>
        <v>658.0658</v>
      </c>
      <c r="T14" s="171">
        <f>VLOOKUP(R14,'Dados StatusInvest'!A:Z,26,0)</f>
        <v>4102180</v>
      </c>
      <c r="U14" s="172">
        <f t="shared" ref="U14:AS14" si="15">IF(AT14="","", RANK(AT14,AT$7:AT$626,0)+RANK(AT14,AT$7:AT$626,0)/10000)</f>
        <v>391.0391</v>
      </c>
      <c r="V14" s="172">
        <f t="shared" si="15"/>
        <v>267.0267</v>
      </c>
      <c r="W14" s="172" t="str">
        <f t="shared" si="15"/>
        <v/>
      </c>
      <c r="X14" s="172" t="str">
        <f t="shared" si="15"/>
        <v/>
      </c>
      <c r="Y14" s="172" t="str">
        <f t="shared" si="15"/>
        <v/>
      </c>
      <c r="Z14" s="172" t="str">
        <f t="shared" si="15"/>
        <v/>
      </c>
      <c r="AA14" s="172" t="str">
        <f t="shared" si="15"/>
        <v/>
      </c>
      <c r="AB14" s="172" t="str">
        <f t="shared" si="15"/>
        <v/>
      </c>
      <c r="AC14" s="172" t="str">
        <f t="shared" si="15"/>
        <v/>
      </c>
      <c r="AD14" s="172" t="str">
        <f t="shared" si="15"/>
        <v/>
      </c>
      <c r="AE14" s="172" t="str">
        <f t="shared" si="15"/>
        <v/>
      </c>
      <c r="AF14" s="172" t="str">
        <f t="shared" si="15"/>
        <v/>
      </c>
      <c r="AG14" s="172" t="str">
        <f t="shared" si="15"/>
        <v/>
      </c>
      <c r="AH14" s="172" t="str">
        <f t="shared" si="15"/>
        <v/>
      </c>
      <c r="AI14" s="172" t="str">
        <f t="shared" si="15"/>
        <v/>
      </c>
      <c r="AJ14" s="172" t="str">
        <f t="shared" si="15"/>
        <v/>
      </c>
      <c r="AK14" s="172" t="str">
        <f t="shared" si="15"/>
        <v/>
      </c>
      <c r="AL14" s="172" t="str">
        <f t="shared" si="15"/>
        <v/>
      </c>
      <c r="AM14" s="172" t="str">
        <f t="shared" si="15"/>
        <v/>
      </c>
      <c r="AN14" s="172" t="str">
        <f t="shared" si="15"/>
        <v/>
      </c>
      <c r="AO14" s="172" t="str">
        <f t="shared" si="15"/>
        <v/>
      </c>
      <c r="AP14" s="172" t="str">
        <f t="shared" si="15"/>
        <v/>
      </c>
      <c r="AQ14" s="172" t="str">
        <f t="shared" si="15"/>
        <v/>
      </c>
      <c r="AR14" s="172" t="str">
        <f t="shared" si="15"/>
        <v/>
      </c>
      <c r="AS14" s="172" t="str">
        <f t="shared" si="15"/>
        <v/>
      </c>
      <c r="AT14" s="173">
        <f>IF(AT$6="","",IF(AT$3="Maior",iferror(VLOOKUP($R14,Capa!$A:$AJ,AT$5,0),0),IF(ISERROR(1/VLOOKUP($R14,Capa!$A:$AJ,AT$5,0)),0,1/VLOOKUP($R14,Capa!$A:$AJ,AT$5,0))))</f>
        <v>-1.273797249</v>
      </c>
      <c r="AU14" s="174">
        <f>IF(AU$6="","",IF(AU$3="Maior",iferror(VLOOKUP($R14,Capa!$A:$AJ,AU$5,0),0),IF(ISERROR(1/VLOOKUP($R14,Capa!$A:$AJ,AU$5,0)),0,1/VLOOKUP($R14,Capa!$A:$AJ,AU$5,0))))</f>
        <v>0</v>
      </c>
      <c r="AV14" s="174" t="str">
        <f>IF(AV$6="","",IF(AV$3="Maior",iferror(VLOOKUP($R14,Capa!$A:$AJ,AV$5,0),0),IF(ISERROR(1/VLOOKUP($R14,Capa!$A:$AJ,AV$5,0)),0,1/VLOOKUP($R14,Capa!$A:$AJ,AV$5,0))))</f>
        <v/>
      </c>
      <c r="AW14" s="174" t="str">
        <f>IF(AW$6="","",IF(AW$3="Maior",iferror(VLOOKUP($R14,Capa!$A:$AJ,AW$5,0),0),IF(ISERROR(1/VLOOKUP($R14,Capa!$A:$AJ,AW$5,0)),0,1/VLOOKUP($R14,Capa!$A:$AJ,AW$5,0))))</f>
        <v/>
      </c>
      <c r="AX14" s="174" t="str">
        <f>IF(AX$6="","",IF(AX$3="Maior",iferror(VLOOKUP($R14,Capa!$A:$AJ,AX$5,0),0),IF(ISERROR(1/VLOOKUP($R14,Capa!$A:$AJ,AX$5,0)),0,1/VLOOKUP($R14,Capa!$A:$AJ,AX$5,0))))</f>
        <v/>
      </c>
      <c r="AY14" s="174" t="str">
        <f>IF(AY$6="","",IF(AY$3="Maior",iferror(VLOOKUP($R14,Capa!$A:$AJ,AY$5,0),0),IF(ISERROR(1/VLOOKUP($R14,Capa!$A:$AJ,AY$5,0)),0,1/VLOOKUP($R14,Capa!$A:$AJ,AY$5,0))))</f>
        <v/>
      </c>
      <c r="AZ14" s="174" t="str">
        <f>IF(AZ$6="","",IF(AZ$3="Maior",iferror(VLOOKUP($R14,Capa!$A:$AJ,AZ$5,0),0),IF(ISERROR(1/VLOOKUP($R14,Capa!$A:$AJ,AZ$5,0)),0,1/VLOOKUP($R14,Capa!$A:$AJ,AZ$5,0))))</f>
        <v/>
      </c>
      <c r="BA14" s="174" t="str">
        <f>IF(BA$6="","",IF(BA$3="Maior",iferror(VLOOKUP($R14,Capa!$A:$AJ,BA$5,0),0),IF(ISERROR(1/VLOOKUP($R14,Capa!$A:$AJ,BA$5,0)),0,1/VLOOKUP($R14,Capa!$A:$AJ,BA$5,0))))</f>
        <v/>
      </c>
      <c r="BB14" s="174" t="str">
        <f>IF(BB$6="","",IF(BB$3="Maior",iferror(VLOOKUP($R14,Capa!$A:$AJ,BB$5,0),0),IF(ISERROR(1/VLOOKUP($R14,Capa!$A:$AJ,BB$5,0)),0,1/VLOOKUP($R14,Capa!$A:$AJ,BB$5,0))))</f>
        <v/>
      </c>
      <c r="BC14" s="174" t="str">
        <f>IF(BC$6="","",IF(BC$3="Maior",iferror(VLOOKUP($R14,Capa!$A:$AJ,BC$5,0),0),IF(ISERROR(1/VLOOKUP($R14,Capa!$A:$AJ,BC$5,0)),0,1/VLOOKUP($R14,Capa!$A:$AJ,BC$5,0))))</f>
        <v/>
      </c>
      <c r="BD14" s="174" t="str">
        <f>IF(BD$6="","",IF(BD$3="Maior",iferror(VLOOKUP($R14,Capa!$A:$AJ,BD$5,0),0),IF(ISERROR(1/VLOOKUP($R14,Capa!$A:$AJ,BD$5,0)),0,1/VLOOKUP($R14,Capa!$A:$AJ,BD$5,0))))</f>
        <v/>
      </c>
      <c r="BE14" s="174" t="str">
        <f>IF(BE$6="","",IF(BE$3="Maior",iferror(VLOOKUP($R14,Capa!$A:$AJ,BE$5,0),0),IF(ISERROR(1/VLOOKUP($R14,Capa!$A:$AJ,BE$5,0)),0,1/VLOOKUP($R14,Capa!$A:$AJ,BE$5,0))))</f>
        <v/>
      </c>
      <c r="BF14" s="174" t="str">
        <f>IF(BF$6="","",IF(BF$3="Maior",iferror(VLOOKUP($R14,Capa!$A:$AJ,BF$5,0),0),IF(ISERROR(1/VLOOKUP($R14,Capa!$A:$AJ,BF$5,0)),0,1/VLOOKUP($R14,Capa!$A:$AJ,BF$5,0))))</f>
        <v/>
      </c>
      <c r="BG14" s="174" t="str">
        <f>IF(BG$6="","",IF(BG$3="Maior",iferror(VLOOKUP($R14,Capa!$A:$AJ,BG$5,0),0),IF(ISERROR(1/VLOOKUP($R14,Capa!$A:$AJ,BG$5,0)),0,1/VLOOKUP($R14,Capa!$A:$AJ,BG$5,0))))</f>
        <v/>
      </c>
      <c r="BH14" s="174" t="str">
        <f>IF(BH$6="","",IF(BH$3="Maior",iferror(VLOOKUP($R14,Capa!$A:$AJ,BH$5,0),0),IF(ISERROR(1/VLOOKUP($R14,Capa!$A:$AJ,BH$5,0)),0,1/VLOOKUP($R14,Capa!$A:$AJ,BH$5,0))))</f>
        <v/>
      </c>
      <c r="BI14" s="174" t="str">
        <f>IF(BI$6="","",IF(BI$3="Maior",iferror(VLOOKUP($R14,Capa!$A:$AJ,BI$5,0),0),IF(ISERROR(1/VLOOKUP($R14,Capa!$A:$AJ,BI$5,0)),0,1/VLOOKUP($R14,Capa!$A:$AJ,BI$5,0))))</f>
        <v/>
      </c>
      <c r="BJ14" s="174" t="str">
        <f>IF(BJ$6="","",IF(BJ$3="Maior",iferror(VLOOKUP($R14,Capa!$A:$AJ,BJ$5,0),0),IF(ISERROR(1/VLOOKUP($R14,Capa!$A:$AJ,BJ$5,0)),0,1/VLOOKUP($R14,Capa!$A:$AJ,BJ$5,0))))</f>
        <v/>
      </c>
      <c r="BK14" s="174" t="str">
        <f>IF(BK$6="","",IF(BK$3="Maior",iferror(VLOOKUP($R14,Capa!$A:$AJ,BK$5,0),0),IF(ISERROR(1/VLOOKUP($R14,Capa!$A:$AJ,BK$5,0)),0,1/VLOOKUP($R14,Capa!$A:$AJ,BK$5,0))))</f>
        <v/>
      </c>
      <c r="BL14" s="174" t="str">
        <f>IF(BL$6="","",IF(BL$3="Maior",iferror(VLOOKUP($R14,Capa!$A:$AJ,BL$5,0),0),IF(ISERROR(1/VLOOKUP($R14,Capa!$A:$AJ,BL$5,0)),0,1/VLOOKUP($R14,Capa!$A:$AJ,BL$5,0))))</f>
        <v/>
      </c>
      <c r="BM14" s="174" t="str">
        <f>IF(BM$6="","",IF(BM$3="Maior",iferror(VLOOKUP($R14,Capa!$A:$AJ,BM$5,0),0),IF(ISERROR(1/VLOOKUP($R14,Capa!$A:$AJ,BM$5,0)),0,1/VLOOKUP($R14,Capa!$A:$AJ,BM$5,0))))</f>
        <v/>
      </c>
      <c r="BN14" s="174" t="str">
        <f>IF(BN$6="","",IF(BN$3="Maior",iferror(VLOOKUP($R14,Capa!$A:$AJ,BN$5,0),0),IF(ISERROR(1/VLOOKUP($R14,Capa!$A:$AJ,BN$5,0)),0,1/VLOOKUP($R14,Capa!$A:$AJ,BN$5,0))))</f>
        <v/>
      </c>
      <c r="BO14" s="174" t="str">
        <f>IF(BO$6="","",IF(BO$3="Maior",iferror(VLOOKUP($R14,Capa!$A:$AJ,BO$5,0),0),IF(ISERROR(1/VLOOKUP($R14,Capa!$A:$AJ,BO$5,0)),0,1/VLOOKUP($R14,Capa!$A:$AJ,BO$5,0))))</f>
        <v/>
      </c>
      <c r="BP14" s="174" t="str">
        <f>IF(BP$6="","",IF(BP$3="Maior",iferror(VLOOKUP($R14,Capa!$A:$AJ,BP$5,0),0),IF(ISERROR(1/VLOOKUP($R14,Capa!$A:$AJ,BP$5,0)),0,1/VLOOKUP($R14,Capa!$A:$AJ,BP$5,0))))</f>
        <v/>
      </c>
      <c r="BQ14" s="174" t="str">
        <f>IF(BQ$6="","",IF(BQ$3="Maior",iferror(VLOOKUP($R14,Capa!$A:$AJ,BQ$5,0),0),IF(ISERROR(1/VLOOKUP($R14,Capa!$A:$AJ,BQ$5,0)),0,1/VLOOKUP($R14,Capa!$A:$AJ,BQ$5,0))))</f>
        <v/>
      </c>
      <c r="BR14" s="175"/>
      <c r="BS14" s="147"/>
    </row>
    <row r="15">
      <c r="C15" s="82" t="s">
        <v>1745</v>
      </c>
      <c r="E15" s="179" t="s">
        <v>1746</v>
      </c>
      <c r="H15" s="8">
        <v>9.0</v>
      </c>
      <c r="I15" s="165" t="str">
        <f t="shared" si="6"/>
        <v>RENT3</v>
      </c>
      <c r="J15" s="166" t="str">
        <f>(VLOOKUP($I15,Capa!$A:$B,2,0))</f>
        <v>Localiza Rent a Car Cedar</v>
      </c>
      <c r="K15" s="167" t="str">
        <f>VLOOKUP(left(I15,4),Setor!A:D,3,0)&amp;" | "&amp;VLOOKUP(left(I15,4),Setor!A:D,4,0)</f>
        <v>Consumo Cíclico | Diversos</v>
      </c>
      <c r="L15" s="168">
        <f>(VLOOKUP($I15,Capa!$A:$F,6,0))</f>
        <v>7290</v>
      </c>
      <c r="M15" s="168">
        <f t="shared" si="7"/>
        <v>445000000</v>
      </c>
      <c r="N15" s="11" t="str">
        <f>IFERROR(__xludf.DUMMYFUNCTION("(VLOOKUP($I15,Capa!$A:$H,7,0))"),"")</f>
        <v/>
      </c>
      <c r="O15" s="169">
        <f>(VLOOKUP($I15,Capa!$A:$H,8,0))</f>
        <v>0.197044335</v>
      </c>
      <c r="P15" s="11" t="str">
        <f>IFERROR(__xludf.DUMMYFUNCTION("(VLOOKUP($I15,Capa!$A:$J,10,0))"),"")</f>
        <v/>
      </c>
      <c r="Q15" s="169">
        <f>(VLOOKUP($I15,Capa!$A:$K,11,0))</f>
        <v>1.225954198</v>
      </c>
      <c r="R15" s="45" t="str">
        <f>'Dados StatusInvest'!A10</f>
        <v>AGXY3</v>
      </c>
      <c r="S15" s="170">
        <f t="shared" si="8"/>
        <v>1607.0607</v>
      </c>
      <c r="T15" s="171">
        <f>VLOOKUP(R15,'Dados StatusInvest'!A:Z,26,0)</f>
        <v>118357.5</v>
      </c>
      <c r="U15" s="172">
        <f t="shared" ref="U15:AS15" si="16">IF(AT15="","", RANK(AT15,AT$7:AT$626,0)+RANK(AT15,AT$7:AT$626,0)/10000)</f>
        <v>605.0605</v>
      </c>
      <c r="V15" s="172">
        <f t="shared" si="16"/>
        <v>2.0002</v>
      </c>
      <c r="W15" s="172" t="str">
        <f t="shared" si="16"/>
        <v/>
      </c>
      <c r="X15" s="172" t="str">
        <f t="shared" si="16"/>
        <v/>
      </c>
      <c r="Y15" s="172" t="str">
        <f t="shared" si="16"/>
        <v/>
      </c>
      <c r="Z15" s="172" t="str">
        <f t="shared" si="16"/>
        <v/>
      </c>
      <c r="AA15" s="172" t="str">
        <f t="shared" si="16"/>
        <v/>
      </c>
      <c r="AB15" s="172" t="str">
        <f t="shared" si="16"/>
        <v/>
      </c>
      <c r="AC15" s="172" t="str">
        <f t="shared" si="16"/>
        <v/>
      </c>
      <c r="AD15" s="172" t="str">
        <f t="shared" si="16"/>
        <v/>
      </c>
      <c r="AE15" s="172" t="str">
        <f t="shared" si="16"/>
        <v/>
      </c>
      <c r="AF15" s="172" t="str">
        <f t="shared" si="16"/>
        <v/>
      </c>
      <c r="AG15" s="172" t="str">
        <f t="shared" si="16"/>
        <v/>
      </c>
      <c r="AH15" s="172" t="str">
        <f t="shared" si="16"/>
        <v/>
      </c>
      <c r="AI15" s="172" t="str">
        <f t="shared" si="16"/>
        <v/>
      </c>
      <c r="AJ15" s="172" t="str">
        <f t="shared" si="16"/>
        <v/>
      </c>
      <c r="AK15" s="172" t="str">
        <f t="shared" si="16"/>
        <v/>
      </c>
      <c r="AL15" s="172" t="str">
        <f t="shared" si="16"/>
        <v/>
      </c>
      <c r="AM15" s="172" t="str">
        <f t="shared" si="16"/>
        <v/>
      </c>
      <c r="AN15" s="172" t="str">
        <f t="shared" si="16"/>
        <v/>
      </c>
      <c r="AO15" s="172" t="str">
        <f t="shared" si="16"/>
        <v/>
      </c>
      <c r="AP15" s="172" t="str">
        <f t="shared" si="16"/>
        <v/>
      </c>
      <c r="AQ15" s="172" t="str">
        <f t="shared" si="16"/>
        <v/>
      </c>
      <c r="AR15" s="172" t="str">
        <f t="shared" si="16"/>
        <v/>
      </c>
      <c r="AS15" s="172" t="str">
        <f t="shared" si="16"/>
        <v/>
      </c>
      <c r="AT15" s="173">
        <f>IF(AT$6="","",IF(AT$3="Maior",iferror(VLOOKUP($R15,Capa!$A:$AJ,AT$5,0),0),IF(ISERROR(1/VLOOKUP($R15,Capa!$A:$AJ,AT$5,0)),0,1/VLOOKUP($R15,Capa!$A:$AJ,AT$5,0))))</f>
        <v>-31.10285006</v>
      </c>
      <c r="AU15" s="174">
        <f>IF(AU$6="","",IF(AU$3="Maior",iferror(VLOOKUP($R15,Capa!$A:$AJ,AU$5,0),0),IF(ISERROR(1/VLOOKUP($R15,Capa!$A:$AJ,AU$5,0)),0,1/VLOOKUP($R15,Capa!$A:$AJ,AU$5,0))))</f>
        <v>123.15</v>
      </c>
      <c r="AV15" s="174" t="str">
        <f>IF(AV$6="","",IF(AV$3="Maior",iferror(VLOOKUP($R15,Capa!$A:$AJ,AV$5,0),0),IF(ISERROR(1/VLOOKUP($R15,Capa!$A:$AJ,AV$5,0)),0,1/VLOOKUP($R15,Capa!$A:$AJ,AV$5,0))))</f>
        <v/>
      </c>
      <c r="AW15" s="174" t="str">
        <f>IF(AW$6="","",IF(AW$3="Maior",iferror(VLOOKUP($R15,Capa!$A:$AJ,AW$5,0),0),IF(ISERROR(1/VLOOKUP($R15,Capa!$A:$AJ,AW$5,0)),0,1/VLOOKUP($R15,Capa!$A:$AJ,AW$5,0))))</f>
        <v/>
      </c>
      <c r="AX15" s="174" t="str">
        <f>IF(AX$6="","",IF(AX$3="Maior",iferror(VLOOKUP($R15,Capa!$A:$AJ,AX$5,0),0),IF(ISERROR(1/VLOOKUP($R15,Capa!$A:$AJ,AX$5,0)),0,1/VLOOKUP($R15,Capa!$A:$AJ,AX$5,0))))</f>
        <v/>
      </c>
      <c r="AY15" s="174" t="str">
        <f>IF(AY$6="","",IF(AY$3="Maior",iferror(VLOOKUP($R15,Capa!$A:$AJ,AY$5,0),0),IF(ISERROR(1/VLOOKUP($R15,Capa!$A:$AJ,AY$5,0)),0,1/VLOOKUP($R15,Capa!$A:$AJ,AY$5,0))))</f>
        <v/>
      </c>
      <c r="AZ15" s="174" t="str">
        <f>IF(AZ$6="","",IF(AZ$3="Maior",iferror(VLOOKUP($R15,Capa!$A:$AJ,AZ$5,0),0),IF(ISERROR(1/VLOOKUP($R15,Capa!$A:$AJ,AZ$5,0)),0,1/VLOOKUP($R15,Capa!$A:$AJ,AZ$5,0))))</f>
        <v/>
      </c>
      <c r="BA15" s="174" t="str">
        <f>IF(BA$6="","",IF(BA$3="Maior",iferror(VLOOKUP($R15,Capa!$A:$AJ,BA$5,0),0),IF(ISERROR(1/VLOOKUP($R15,Capa!$A:$AJ,BA$5,0)),0,1/VLOOKUP($R15,Capa!$A:$AJ,BA$5,0))))</f>
        <v/>
      </c>
      <c r="BB15" s="174" t="str">
        <f>IF(BB$6="","",IF(BB$3="Maior",iferror(VLOOKUP($R15,Capa!$A:$AJ,BB$5,0),0),IF(ISERROR(1/VLOOKUP($R15,Capa!$A:$AJ,BB$5,0)),0,1/VLOOKUP($R15,Capa!$A:$AJ,BB$5,0))))</f>
        <v/>
      </c>
      <c r="BC15" s="174" t="str">
        <f>IF(BC$6="","",IF(BC$3="Maior",iferror(VLOOKUP($R15,Capa!$A:$AJ,BC$5,0),0),IF(ISERROR(1/VLOOKUP($R15,Capa!$A:$AJ,BC$5,0)),0,1/VLOOKUP($R15,Capa!$A:$AJ,BC$5,0))))</f>
        <v/>
      </c>
      <c r="BD15" s="174" t="str">
        <f>IF(BD$6="","",IF(BD$3="Maior",iferror(VLOOKUP($R15,Capa!$A:$AJ,BD$5,0),0),IF(ISERROR(1/VLOOKUP($R15,Capa!$A:$AJ,BD$5,0)),0,1/VLOOKUP($R15,Capa!$A:$AJ,BD$5,0))))</f>
        <v/>
      </c>
      <c r="BE15" s="174" t="str">
        <f>IF(BE$6="","",IF(BE$3="Maior",iferror(VLOOKUP($R15,Capa!$A:$AJ,BE$5,0),0),IF(ISERROR(1/VLOOKUP($R15,Capa!$A:$AJ,BE$5,0)),0,1/VLOOKUP($R15,Capa!$A:$AJ,BE$5,0))))</f>
        <v/>
      </c>
      <c r="BF15" s="174" t="str">
        <f>IF(BF$6="","",IF(BF$3="Maior",iferror(VLOOKUP($R15,Capa!$A:$AJ,BF$5,0),0),IF(ISERROR(1/VLOOKUP($R15,Capa!$A:$AJ,BF$5,0)),0,1/VLOOKUP($R15,Capa!$A:$AJ,BF$5,0))))</f>
        <v/>
      </c>
      <c r="BG15" s="174" t="str">
        <f>IF(BG$6="","",IF(BG$3="Maior",iferror(VLOOKUP($R15,Capa!$A:$AJ,BG$5,0),0),IF(ISERROR(1/VLOOKUP($R15,Capa!$A:$AJ,BG$5,0)),0,1/VLOOKUP($R15,Capa!$A:$AJ,BG$5,0))))</f>
        <v/>
      </c>
      <c r="BH15" s="174" t="str">
        <f>IF(BH$6="","",IF(BH$3="Maior",iferror(VLOOKUP($R15,Capa!$A:$AJ,BH$5,0),0),IF(ISERROR(1/VLOOKUP($R15,Capa!$A:$AJ,BH$5,0)),0,1/VLOOKUP($R15,Capa!$A:$AJ,BH$5,0))))</f>
        <v/>
      </c>
      <c r="BI15" s="174" t="str">
        <f>IF(BI$6="","",IF(BI$3="Maior",iferror(VLOOKUP($R15,Capa!$A:$AJ,BI$5,0),0),IF(ISERROR(1/VLOOKUP($R15,Capa!$A:$AJ,BI$5,0)),0,1/VLOOKUP($R15,Capa!$A:$AJ,BI$5,0))))</f>
        <v/>
      </c>
      <c r="BJ15" s="174" t="str">
        <f>IF(BJ$6="","",IF(BJ$3="Maior",iferror(VLOOKUP($R15,Capa!$A:$AJ,BJ$5,0),0),IF(ISERROR(1/VLOOKUP($R15,Capa!$A:$AJ,BJ$5,0)),0,1/VLOOKUP($R15,Capa!$A:$AJ,BJ$5,0))))</f>
        <v/>
      </c>
      <c r="BK15" s="174" t="str">
        <f>IF(BK$6="","",IF(BK$3="Maior",iferror(VLOOKUP($R15,Capa!$A:$AJ,BK$5,0),0),IF(ISERROR(1/VLOOKUP($R15,Capa!$A:$AJ,BK$5,0)),0,1/VLOOKUP($R15,Capa!$A:$AJ,BK$5,0))))</f>
        <v/>
      </c>
      <c r="BL15" s="174" t="str">
        <f>IF(BL$6="","",IF(BL$3="Maior",iferror(VLOOKUP($R15,Capa!$A:$AJ,BL$5,0),0),IF(ISERROR(1/VLOOKUP($R15,Capa!$A:$AJ,BL$5,0)),0,1/VLOOKUP($R15,Capa!$A:$AJ,BL$5,0))))</f>
        <v/>
      </c>
      <c r="BM15" s="174" t="str">
        <f>IF(BM$6="","",IF(BM$3="Maior",iferror(VLOOKUP($R15,Capa!$A:$AJ,BM$5,0),0),IF(ISERROR(1/VLOOKUP($R15,Capa!$A:$AJ,BM$5,0)),0,1/VLOOKUP($R15,Capa!$A:$AJ,BM$5,0))))</f>
        <v/>
      </c>
      <c r="BN15" s="174" t="str">
        <f>IF(BN$6="","",IF(BN$3="Maior",iferror(VLOOKUP($R15,Capa!$A:$AJ,BN$5,0),0),IF(ISERROR(1/VLOOKUP($R15,Capa!$A:$AJ,BN$5,0)),0,1/VLOOKUP($R15,Capa!$A:$AJ,BN$5,0))))</f>
        <v/>
      </c>
      <c r="BO15" s="174" t="str">
        <f>IF(BO$6="","",IF(BO$3="Maior",iferror(VLOOKUP($R15,Capa!$A:$AJ,BO$5,0),0),IF(ISERROR(1/VLOOKUP($R15,Capa!$A:$AJ,BO$5,0)),0,1/VLOOKUP($R15,Capa!$A:$AJ,BO$5,0))))</f>
        <v/>
      </c>
      <c r="BP15" s="174" t="str">
        <f>IF(BP$6="","",IF(BP$3="Maior",iferror(VLOOKUP($R15,Capa!$A:$AJ,BP$5,0),0),IF(ISERROR(1/VLOOKUP($R15,Capa!$A:$AJ,BP$5,0)),0,1/VLOOKUP($R15,Capa!$A:$AJ,BP$5,0))))</f>
        <v/>
      </c>
      <c r="BQ15" s="174" t="str">
        <f>IF(BQ$6="","",IF(BQ$3="Maior",iferror(VLOOKUP($R15,Capa!$A:$AJ,BQ$5,0),0),IF(ISERROR(1/VLOOKUP($R15,Capa!$A:$AJ,BQ$5,0)),0,1/VLOOKUP($R15,Capa!$A:$AJ,BQ$5,0))))</f>
        <v/>
      </c>
      <c r="BR15" s="175"/>
      <c r="BS15" s="147"/>
    </row>
    <row r="16">
      <c r="H16" s="8">
        <v>10.0</v>
      </c>
      <c r="I16" s="165" t="str">
        <f t="shared" si="6"/>
        <v>SBSP3</v>
      </c>
      <c r="J16" s="166" t="str">
        <f>(VLOOKUP($I16,Capa!$A:$B,2,0))</f>
        <v>Cia Saneamento Basico Est Sao Paulo Cedear</v>
      </c>
      <c r="K16" s="167" t="str">
        <f>VLOOKUP(left(I16,4),Setor!A:D,3,0)&amp;" | "&amp;VLOOKUP(left(I16,4),Setor!A:D,4,0)</f>
        <v>Utilidade Pública | Água e Saneamento</v>
      </c>
      <c r="L16" s="168">
        <f>(VLOOKUP($I16,Capa!$A:$F,6,0))</f>
        <v>42640</v>
      </c>
      <c r="M16" s="168">
        <f t="shared" si="7"/>
        <v>468000000</v>
      </c>
      <c r="N16" s="177" t="str">
        <f>IFERROR(__xludf.DUMMYFUNCTION("(VLOOKUP($I16,Capa!$A:$H,7,0))"),"")</f>
        <v/>
      </c>
      <c r="O16" s="169">
        <f>(VLOOKUP($I16,Capa!$A:$H,8,0))</f>
        <v>0.1394975949</v>
      </c>
      <c r="P16" s="169" t="str">
        <f>IFERROR(__xludf.DUMMYFUNCTION("(VLOOKUP($I16,Capa!$A:$J,10,0))"),"")</f>
        <v/>
      </c>
      <c r="Q16" s="169">
        <f>(VLOOKUP($I16,Capa!$A:$K,11,0))</f>
        <v>1.020853081</v>
      </c>
      <c r="R16" s="45" t="str">
        <f>'Dados StatusInvest'!A11</f>
        <v>AHEB3</v>
      </c>
      <c r="S16" s="170">
        <f t="shared" si="8"/>
        <v>1692.0692</v>
      </c>
      <c r="T16" s="171">
        <f>VLOOKUP(R16,'Dados StatusInvest'!A:Z,26,0)</f>
        <v>2100</v>
      </c>
      <c r="U16" s="172">
        <f t="shared" ref="U16:AS16" si="17">IF(AT16="","", RANK(AT16,AT$7:AT$626,0)+RANK(AT16,AT$7:AT$626,0)/10000)</f>
        <v>425.0425</v>
      </c>
      <c r="V16" s="172">
        <f t="shared" si="17"/>
        <v>267.0267</v>
      </c>
      <c r="W16" s="172" t="str">
        <f t="shared" si="17"/>
        <v/>
      </c>
      <c r="X16" s="172" t="str">
        <f t="shared" si="17"/>
        <v/>
      </c>
      <c r="Y16" s="172" t="str">
        <f t="shared" si="17"/>
        <v/>
      </c>
      <c r="Z16" s="172" t="str">
        <f t="shared" si="17"/>
        <v/>
      </c>
      <c r="AA16" s="172" t="str">
        <f t="shared" si="17"/>
        <v/>
      </c>
      <c r="AB16" s="172" t="str">
        <f t="shared" si="17"/>
        <v/>
      </c>
      <c r="AC16" s="172" t="str">
        <f t="shared" si="17"/>
        <v/>
      </c>
      <c r="AD16" s="172" t="str">
        <f t="shared" si="17"/>
        <v/>
      </c>
      <c r="AE16" s="172" t="str">
        <f t="shared" si="17"/>
        <v/>
      </c>
      <c r="AF16" s="172" t="str">
        <f t="shared" si="17"/>
        <v/>
      </c>
      <c r="AG16" s="172" t="str">
        <f t="shared" si="17"/>
        <v/>
      </c>
      <c r="AH16" s="172" t="str">
        <f t="shared" si="17"/>
        <v/>
      </c>
      <c r="AI16" s="172" t="str">
        <f t="shared" si="17"/>
        <v/>
      </c>
      <c r="AJ16" s="172" t="str">
        <f t="shared" si="17"/>
        <v/>
      </c>
      <c r="AK16" s="172" t="str">
        <f t="shared" si="17"/>
        <v/>
      </c>
      <c r="AL16" s="172" t="str">
        <f t="shared" si="17"/>
        <v/>
      </c>
      <c r="AM16" s="172" t="str">
        <f t="shared" si="17"/>
        <v/>
      </c>
      <c r="AN16" s="172" t="str">
        <f t="shared" si="17"/>
        <v/>
      </c>
      <c r="AO16" s="172" t="str">
        <f t="shared" si="17"/>
        <v/>
      </c>
      <c r="AP16" s="172" t="str">
        <f t="shared" si="17"/>
        <v/>
      </c>
      <c r="AQ16" s="172" t="str">
        <f t="shared" si="17"/>
        <v/>
      </c>
      <c r="AR16" s="172" t="str">
        <f t="shared" si="17"/>
        <v/>
      </c>
      <c r="AS16" s="172" t="str">
        <f t="shared" si="17"/>
        <v/>
      </c>
      <c r="AT16" s="173">
        <f>IF(AT$6="","",IF(AT$3="Maior",iferror(VLOOKUP($R16,Capa!$A:$AJ,AT$5,0),0),IF(ISERROR(1/VLOOKUP($R16,Capa!$A:$AJ,AT$5,0)),0,1/VLOOKUP($R16,Capa!$A:$AJ,AT$5,0))))</f>
        <v>-1.587301587</v>
      </c>
      <c r="AU16" s="174">
        <f>IF(AU$6="","",IF(AU$3="Maior",iferror(VLOOKUP($R16,Capa!$A:$AJ,AU$5,0),0),IF(ISERROR(1/VLOOKUP($R16,Capa!$A:$AJ,AU$5,0)),0,1/VLOOKUP($R16,Capa!$A:$AJ,AU$5,0))))</f>
        <v>0</v>
      </c>
      <c r="AV16" s="174" t="str">
        <f>IF(AV$6="","",IF(AV$3="Maior",iferror(VLOOKUP($R16,Capa!$A:$AJ,AV$5,0),0),IF(ISERROR(1/VLOOKUP($R16,Capa!$A:$AJ,AV$5,0)),0,1/VLOOKUP($R16,Capa!$A:$AJ,AV$5,0))))</f>
        <v/>
      </c>
      <c r="AW16" s="174" t="str">
        <f>IF(AW$6="","",IF(AW$3="Maior",iferror(VLOOKUP($R16,Capa!$A:$AJ,AW$5,0),0),IF(ISERROR(1/VLOOKUP($R16,Capa!$A:$AJ,AW$5,0)),0,1/VLOOKUP($R16,Capa!$A:$AJ,AW$5,0))))</f>
        <v/>
      </c>
      <c r="AX16" s="174" t="str">
        <f>IF(AX$6="","",IF(AX$3="Maior",iferror(VLOOKUP($R16,Capa!$A:$AJ,AX$5,0),0),IF(ISERROR(1/VLOOKUP($R16,Capa!$A:$AJ,AX$5,0)),0,1/VLOOKUP($R16,Capa!$A:$AJ,AX$5,0))))</f>
        <v/>
      </c>
      <c r="AY16" s="174" t="str">
        <f>IF(AY$6="","",IF(AY$3="Maior",iferror(VLOOKUP($R16,Capa!$A:$AJ,AY$5,0),0),IF(ISERROR(1/VLOOKUP($R16,Capa!$A:$AJ,AY$5,0)),0,1/VLOOKUP($R16,Capa!$A:$AJ,AY$5,0))))</f>
        <v/>
      </c>
      <c r="AZ16" s="174" t="str">
        <f>IF(AZ$6="","",IF(AZ$3="Maior",iferror(VLOOKUP($R16,Capa!$A:$AJ,AZ$5,0),0),IF(ISERROR(1/VLOOKUP($R16,Capa!$A:$AJ,AZ$5,0)),0,1/VLOOKUP($R16,Capa!$A:$AJ,AZ$5,0))))</f>
        <v/>
      </c>
      <c r="BA16" s="174" t="str">
        <f>IF(BA$6="","",IF(BA$3="Maior",iferror(VLOOKUP($R16,Capa!$A:$AJ,BA$5,0),0),IF(ISERROR(1/VLOOKUP($R16,Capa!$A:$AJ,BA$5,0)),0,1/VLOOKUP($R16,Capa!$A:$AJ,BA$5,0))))</f>
        <v/>
      </c>
      <c r="BB16" s="174" t="str">
        <f>IF(BB$6="","",IF(BB$3="Maior",iferror(VLOOKUP($R16,Capa!$A:$AJ,BB$5,0),0),IF(ISERROR(1/VLOOKUP($R16,Capa!$A:$AJ,BB$5,0)),0,1/VLOOKUP($R16,Capa!$A:$AJ,BB$5,0))))</f>
        <v/>
      </c>
      <c r="BC16" s="174" t="str">
        <f>IF(BC$6="","",IF(BC$3="Maior",iferror(VLOOKUP($R16,Capa!$A:$AJ,BC$5,0),0),IF(ISERROR(1/VLOOKUP($R16,Capa!$A:$AJ,BC$5,0)),0,1/VLOOKUP($R16,Capa!$A:$AJ,BC$5,0))))</f>
        <v/>
      </c>
      <c r="BD16" s="174" t="str">
        <f>IF(BD$6="","",IF(BD$3="Maior",iferror(VLOOKUP($R16,Capa!$A:$AJ,BD$5,0),0),IF(ISERROR(1/VLOOKUP($R16,Capa!$A:$AJ,BD$5,0)),0,1/VLOOKUP($R16,Capa!$A:$AJ,BD$5,0))))</f>
        <v/>
      </c>
      <c r="BE16" s="174" t="str">
        <f>IF(BE$6="","",IF(BE$3="Maior",iferror(VLOOKUP($R16,Capa!$A:$AJ,BE$5,0),0),IF(ISERROR(1/VLOOKUP($R16,Capa!$A:$AJ,BE$5,0)),0,1/VLOOKUP($R16,Capa!$A:$AJ,BE$5,0))))</f>
        <v/>
      </c>
      <c r="BF16" s="174" t="str">
        <f>IF(BF$6="","",IF(BF$3="Maior",iferror(VLOOKUP($R16,Capa!$A:$AJ,BF$5,0),0),IF(ISERROR(1/VLOOKUP($R16,Capa!$A:$AJ,BF$5,0)),0,1/VLOOKUP($R16,Capa!$A:$AJ,BF$5,0))))</f>
        <v/>
      </c>
      <c r="BG16" s="174" t="str">
        <f>IF(BG$6="","",IF(BG$3="Maior",iferror(VLOOKUP($R16,Capa!$A:$AJ,BG$5,0),0),IF(ISERROR(1/VLOOKUP($R16,Capa!$A:$AJ,BG$5,0)),0,1/VLOOKUP($R16,Capa!$A:$AJ,BG$5,0))))</f>
        <v/>
      </c>
      <c r="BH16" s="174" t="str">
        <f>IF(BH$6="","",IF(BH$3="Maior",iferror(VLOOKUP($R16,Capa!$A:$AJ,BH$5,0),0),IF(ISERROR(1/VLOOKUP($R16,Capa!$A:$AJ,BH$5,0)),0,1/VLOOKUP($R16,Capa!$A:$AJ,BH$5,0))))</f>
        <v/>
      </c>
      <c r="BI16" s="174" t="str">
        <f>IF(BI$6="","",IF(BI$3="Maior",iferror(VLOOKUP($R16,Capa!$A:$AJ,BI$5,0),0),IF(ISERROR(1/VLOOKUP($R16,Capa!$A:$AJ,BI$5,0)),0,1/VLOOKUP($R16,Capa!$A:$AJ,BI$5,0))))</f>
        <v/>
      </c>
      <c r="BJ16" s="174" t="str">
        <f>IF(BJ$6="","",IF(BJ$3="Maior",iferror(VLOOKUP($R16,Capa!$A:$AJ,BJ$5,0),0),IF(ISERROR(1/VLOOKUP($R16,Capa!$A:$AJ,BJ$5,0)),0,1/VLOOKUP($R16,Capa!$A:$AJ,BJ$5,0))))</f>
        <v/>
      </c>
      <c r="BK16" s="174" t="str">
        <f>IF(BK$6="","",IF(BK$3="Maior",iferror(VLOOKUP($R16,Capa!$A:$AJ,BK$5,0),0),IF(ISERROR(1/VLOOKUP($R16,Capa!$A:$AJ,BK$5,0)),0,1/VLOOKUP($R16,Capa!$A:$AJ,BK$5,0))))</f>
        <v/>
      </c>
      <c r="BL16" s="174" t="str">
        <f>IF(BL$6="","",IF(BL$3="Maior",iferror(VLOOKUP($R16,Capa!$A:$AJ,BL$5,0),0),IF(ISERROR(1/VLOOKUP($R16,Capa!$A:$AJ,BL$5,0)),0,1/VLOOKUP($R16,Capa!$A:$AJ,BL$5,0))))</f>
        <v/>
      </c>
      <c r="BM16" s="174" t="str">
        <f>IF(BM$6="","",IF(BM$3="Maior",iferror(VLOOKUP($R16,Capa!$A:$AJ,BM$5,0),0),IF(ISERROR(1/VLOOKUP($R16,Capa!$A:$AJ,BM$5,0)),0,1/VLOOKUP($R16,Capa!$A:$AJ,BM$5,0))))</f>
        <v/>
      </c>
      <c r="BN16" s="174" t="str">
        <f>IF(BN$6="","",IF(BN$3="Maior",iferror(VLOOKUP($R16,Capa!$A:$AJ,BN$5,0),0),IF(ISERROR(1/VLOOKUP($R16,Capa!$A:$AJ,BN$5,0)),0,1/VLOOKUP($R16,Capa!$A:$AJ,BN$5,0))))</f>
        <v/>
      </c>
      <c r="BO16" s="174" t="str">
        <f>IF(BO$6="","",IF(BO$3="Maior",iferror(VLOOKUP($R16,Capa!$A:$AJ,BO$5,0),0),IF(ISERROR(1/VLOOKUP($R16,Capa!$A:$AJ,BO$5,0)),0,1/VLOOKUP($R16,Capa!$A:$AJ,BO$5,0))))</f>
        <v/>
      </c>
      <c r="BP16" s="174" t="str">
        <f>IF(BP$6="","",IF(BP$3="Maior",iferror(VLOOKUP($R16,Capa!$A:$AJ,BP$5,0),0),IF(ISERROR(1/VLOOKUP($R16,Capa!$A:$AJ,BP$5,0)),0,1/VLOOKUP($R16,Capa!$A:$AJ,BP$5,0))))</f>
        <v/>
      </c>
      <c r="BQ16" s="174" t="str">
        <f>IF(BQ$6="","",IF(BQ$3="Maior",iferror(VLOOKUP($R16,Capa!$A:$AJ,BQ$5,0),0),IF(ISERROR(1/VLOOKUP($R16,Capa!$A:$AJ,BQ$5,0)),0,1/VLOOKUP($R16,Capa!$A:$AJ,BQ$5,0))))</f>
        <v/>
      </c>
      <c r="BR16" s="175"/>
      <c r="BS16" s="147"/>
    </row>
    <row r="17">
      <c r="C17" s="180"/>
      <c r="G17" s="11"/>
      <c r="H17" s="8">
        <v>11.0</v>
      </c>
      <c r="I17" s="165" t="str">
        <f t="shared" si="6"/>
        <v>LAVV3</v>
      </c>
      <c r="J17" s="166" t="str">
        <f>(VLOOKUP($I17,Capa!$A:$B,2,0))</f>
        <v>Lavvi Empreendimentos Imobiliarios S/A</v>
      </c>
      <c r="K17" s="167" t="str">
        <f>VLOOKUP(left(I17,4),Setor!A:D,3,0)&amp;" | "&amp;VLOOKUP(left(I17,4),Setor!A:D,4,0)</f>
        <v>Consumo Cíclico | Construção Civil</v>
      </c>
      <c r="L17" s="168">
        <f>(VLOOKUP($I17,Capa!$A:$F,6,0))</f>
        <v>18.44</v>
      </c>
      <c r="M17" s="168">
        <f t="shared" si="7"/>
        <v>11827239</v>
      </c>
      <c r="N17" s="11" t="str">
        <f>IFERROR(__xludf.DUMMYFUNCTION("(VLOOKUP($I17,Capa!$A:$H,7,0))"),"")</f>
        <v/>
      </c>
      <c r="O17" s="169">
        <f>(VLOOKUP($I17,Capa!$A:$H,8,0))</f>
        <v>0.1216545012</v>
      </c>
      <c r="P17" s="11" t="str">
        <f>IFERROR(__xludf.DUMMYFUNCTION("(VLOOKUP($I17,Capa!$A:$J,10,0))"),"")</f>
        <v/>
      </c>
      <c r="Q17" s="169">
        <f>(VLOOKUP($I17,Capa!$A:$K,11,0))</f>
        <v>1.095454545</v>
      </c>
      <c r="R17" s="45" t="str">
        <f>'Dados StatusInvest'!A12</f>
        <v>AHEB5</v>
      </c>
      <c r="S17" s="170">
        <f t="shared" si="8"/>
        <v>1571.0571</v>
      </c>
      <c r="T17" s="171">
        <f>VLOOKUP(R17,'Dados StatusInvest'!A:Z,26,0)</f>
        <v>0</v>
      </c>
      <c r="U17" s="172">
        <f t="shared" ref="U17:AS17" si="18">IF(AT17="","", RANK(AT17,AT$7:AT$626,0)+RANK(AT17,AT$7:AT$626,0)/10000)</f>
        <v>304.0304</v>
      </c>
      <c r="V17" s="172">
        <f t="shared" si="18"/>
        <v>267.0267</v>
      </c>
      <c r="W17" s="172" t="str">
        <f t="shared" si="18"/>
        <v/>
      </c>
      <c r="X17" s="172" t="str">
        <f t="shared" si="18"/>
        <v/>
      </c>
      <c r="Y17" s="172" t="str">
        <f t="shared" si="18"/>
        <v/>
      </c>
      <c r="Z17" s="172" t="str">
        <f t="shared" si="18"/>
        <v/>
      </c>
      <c r="AA17" s="172" t="str">
        <f t="shared" si="18"/>
        <v/>
      </c>
      <c r="AB17" s="172" t="str">
        <f t="shared" si="18"/>
        <v/>
      </c>
      <c r="AC17" s="172" t="str">
        <f t="shared" si="18"/>
        <v/>
      </c>
      <c r="AD17" s="172" t="str">
        <f t="shared" si="18"/>
        <v/>
      </c>
      <c r="AE17" s="172" t="str">
        <f t="shared" si="18"/>
        <v/>
      </c>
      <c r="AF17" s="172" t="str">
        <f t="shared" si="18"/>
        <v/>
      </c>
      <c r="AG17" s="172" t="str">
        <f t="shared" si="18"/>
        <v/>
      </c>
      <c r="AH17" s="172" t="str">
        <f t="shared" si="18"/>
        <v/>
      </c>
      <c r="AI17" s="172" t="str">
        <f t="shared" si="18"/>
        <v/>
      </c>
      <c r="AJ17" s="172" t="str">
        <f t="shared" si="18"/>
        <v/>
      </c>
      <c r="AK17" s="172" t="str">
        <f t="shared" si="18"/>
        <v/>
      </c>
      <c r="AL17" s="172" t="str">
        <f t="shared" si="18"/>
        <v/>
      </c>
      <c r="AM17" s="172" t="str">
        <f t="shared" si="18"/>
        <v/>
      </c>
      <c r="AN17" s="172" t="str">
        <f t="shared" si="18"/>
        <v/>
      </c>
      <c r="AO17" s="172" t="str">
        <f t="shared" si="18"/>
        <v/>
      </c>
      <c r="AP17" s="172" t="str">
        <f t="shared" si="18"/>
        <v/>
      </c>
      <c r="AQ17" s="172" t="str">
        <f t="shared" si="18"/>
        <v/>
      </c>
      <c r="AR17" s="172" t="str">
        <f t="shared" si="18"/>
        <v/>
      </c>
      <c r="AS17" s="172" t="str">
        <f t="shared" si="18"/>
        <v/>
      </c>
      <c r="AT17" s="173">
        <f>IF(AT$6="","",IF(AT$3="Maior",iferror(VLOOKUP($R17,Capa!$A:$AJ,AT$5,0),0),IF(ISERROR(1/VLOOKUP($R17,Capa!$A:$AJ,AT$5,0)),0,1/VLOOKUP($R17,Capa!$A:$AJ,AT$5,0))))</f>
        <v>-0.6896551724</v>
      </c>
      <c r="AU17" s="174">
        <f>IF(AU$6="","",IF(AU$3="Maior",iferror(VLOOKUP($R17,Capa!$A:$AJ,AU$5,0),0),IF(ISERROR(1/VLOOKUP($R17,Capa!$A:$AJ,AU$5,0)),0,1/VLOOKUP($R17,Capa!$A:$AJ,AU$5,0))))</f>
        <v>0</v>
      </c>
      <c r="AV17" s="174" t="str">
        <f>IF(AV$6="","",IF(AV$3="Maior",iferror(VLOOKUP($R17,Capa!$A:$AJ,AV$5,0),0),IF(ISERROR(1/VLOOKUP($R17,Capa!$A:$AJ,AV$5,0)),0,1/VLOOKUP($R17,Capa!$A:$AJ,AV$5,0))))</f>
        <v/>
      </c>
      <c r="AW17" s="174" t="str">
        <f>IF(AW$6="","",IF(AW$3="Maior",iferror(VLOOKUP($R17,Capa!$A:$AJ,AW$5,0),0),IF(ISERROR(1/VLOOKUP($R17,Capa!$A:$AJ,AW$5,0)),0,1/VLOOKUP($R17,Capa!$A:$AJ,AW$5,0))))</f>
        <v/>
      </c>
      <c r="AX17" s="174" t="str">
        <f>IF(AX$6="","",IF(AX$3="Maior",iferror(VLOOKUP($R17,Capa!$A:$AJ,AX$5,0),0),IF(ISERROR(1/VLOOKUP($R17,Capa!$A:$AJ,AX$5,0)),0,1/VLOOKUP($R17,Capa!$A:$AJ,AX$5,0))))</f>
        <v/>
      </c>
      <c r="AY17" s="174" t="str">
        <f>IF(AY$6="","",IF(AY$3="Maior",iferror(VLOOKUP($R17,Capa!$A:$AJ,AY$5,0),0),IF(ISERROR(1/VLOOKUP($R17,Capa!$A:$AJ,AY$5,0)),0,1/VLOOKUP($R17,Capa!$A:$AJ,AY$5,0))))</f>
        <v/>
      </c>
      <c r="AZ17" s="174" t="str">
        <f>IF(AZ$6="","",IF(AZ$3="Maior",iferror(VLOOKUP($R17,Capa!$A:$AJ,AZ$5,0),0),IF(ISERROR(1/VLOOKUP($R17,Capa!$A:$AJ,AZ$5,0)),0,1/VLOOKUP($R17,Capa!$A:$AJ,AZ$5,0))))</f>
        <v/>
      </c>
      <c r="BA17" s="174" t="str">
        <f>IF(BA$6="","",IF(BA$3="Maior",iferror(VLOOKUP($R17,Capa!$A:$AJ,BA$5,0),0),IF(ISERROR(1/VLOOKUP($R17,Capa!$A:$AJ,BA$5,0)),0,1/VLOOKUP($R17,Capa!$A:$AJ,BA$5,0))))</f>
        <v/>
      </c>
      <c r="BB17" s="174" t="str">
        <f>IF(BB$6="","",IF(BB$3="Maior",iferror(VLOOKUP($R17,Capa!$A:$AJ,BB$5,0),0),IF(ISERROR(1/VLOOKUP($R17,Capa!$A:$AJ,BB$5,0)),0,1/VLOOKUP($R17,Capa!$A:$AJ,BB$5,0))))</f>
        <v/>
      </c>
      <c r="BC17" s="174" t="str">
        <f>IF(BC$6="","",IF(BC$3="Maior",iferror(VLOOKUP($R17,Capa!$A:$AJ,BC$5,0),0),IF(ISERROR(1/VLOOKUP($R17,Capa!$A:$AJ,BC$5,0)),0,1/VLOOKUP($R17,Capa!$A:$AJ,BC$5,0))))</f>
        <v/>
      </c>
      <c r="BD17" s="174" t="str">
        <f>IF(BD$6="","",IF(BD$3="Maior",iferror(VLOOKUP($R17,Capa!$A:$AJ,BD$5,0),0),IF(ISERROR(1/VLOOKUP($R17,Capa!$A:$AJ,BD$5,0)),0,1/VLOOKUP($R17,Capa!$A:$AJ,BD$5,0))))</f>
        <v/>
      </c>
      <c r="BE17" s="174" t="str">
        <f>IF(BE$6="","",IF(BE$3="Maior",iferror(VLOOKUP($R17,Capa!$A:$AJ,BE$5,0),0),IF(ISERROR(1/VLOOKUP($R17,Capa!$A:$AJ,BE$5,0)),0,1/VLOOKUP($R17,Capa!$A:$AJ,BE$5,0))))</f>
        <v/>
      </c>
      <c r="BF17" s="174" t="str">
        <f>IF(BF$6="","",IF(BF$3="Maior",iferror(VLOOKUP($R17,Capa!$A:$AJ,BF$5,0),0),IF(ISERROR(1/VLOOKUP($R17,Capa!$A:$AJ,BF$5,0)),0,1/VLOOKUP($R17,Capa!$A:$AJ,BF$5,0))))</f>
        <v/>
      </c>
      <c r="BG17" s="174" t="str">
        <f>IF(BG$6="","",IF(BG$3="Maior",iferror(VLOOKUP($R17,Capa!$A:$AJ,BG$5,0),0),IF(ISERROR(1/VLOOKUP($R17,Capa!$A:$AJ,BG$5,0)),0,1/VLOOKUP($R17,Capa!$A:$AJ,BG$5,0))))</f>
        <v/>
      </c>
      <c r="BH17" s="174" t="str">
        <f>IF(BH$6="","",IF(BH$3="Maior",iferror(VLOOKUP($R17,Capa!$A:$AJ,BH$5,0),0),IF(ISERROR(1/VLOOKUP($R17,Capa!$A:$AJ,BH$5,0)),0,1/VLOOKUP($R17,Capa!$A:$AJ,BH$5,0))))</f>
        <v/>
      </c>
      <c r="BI17" s="174" t="str">
        <f>IF(BI$6="","",IF(BI$3="Maior",iferror(VLOOKUP($R17,Capa!$A:$AJ,BI$5,0),0),IF(ISERROR(1/VLOOKUP($R17,Capa!$A:$AJ,BI$5,0)),0,1/VLOOKUP($R17,Capa!$A:$AJ,BI$5,0))))</f>
        <v/>
      </c>
      <c r="BJ17" s="174" t="str">
        <f>IF(BJ$6="","",IF(BJ$3="Maior",iferror(VLOOKUP($R17,Capa!$A:$AJ,BJ$5,0),0),IF(ISERROR(1/VLOOKUP($R17,Capa!$A:$AJ,BJ$5,0)),0,1/VLOOKUP($R17,Capa!$A:$AJ,BJ$5,0))))</f>
        <v/>
      </c>
      <c r="BK17" s="174" t="str">
        <f>IF(BK$6="","",IF(BK$3="Maior",iferror(VLOOKUP($R17,Capa!$A:$AJ,BK$5,0),0),IF(ISERROR(1/VLOOKUP($R17,Capa!$A:$AJ,BK$5,0)),0,1/VLOOKUP($R17,Capa!$A:$AJ,BK$5,0))))</f>
        <v/>
      </c>
      <c r="BL17" s="174" t="str">
        <f>IF(BL$6="","",IF(BL$3="Maior",iferror(VLOOKUP($R17,Capa!$A:$AJ,BL$5,0),0),IF(ISERROR(1/VLOOKUP($R17,Capa!$A:$AJ,BL$5,0)),0,1/VLOOKUP($R17,Capa!$A:$AJ,BL$5,0))))</f>
        <v/>
      </c>
      <c r="BM17" s="174" t="str">
        <f>IF(BM$6="","",IF(BM$3="Maior",iferror(VLOOKUP($R17,Capa!$A:$AJ,BM$5,0),0),IF(ISERROR(1/VLOOKUP($R17,Capa!$A:$AJ,BM$5,0)),0,1/VLOOKUP($R17,Capa!$A:$AJ,BM$5,0))))</f>
        <v/>
      </c>
      <c r="BN17" s="174" t="str">
        <f>IF(BN$6="","",IF(BN$3="Maior",iferror(VLOOKUP($R17,Capa!$A:$AJ,BN$5,0),0),IF(ISERROR(1/VLOOKUP($R17,Capa!$A:$AJ,BN$5,0)),0,1/VLOOKUP($R17,Capa!$A:$AJ,BN$5,0))))</f>
        <v/>
      </c>
      <c r="BO17" s="174" t="str">
        <f>IF(BO$6="","",IF(BO$3="Maior",iferror(VLOOKUP($R17,Capa!$A:$AJ,BO$5,0),0),IF(ISERROR(1/VLOOKUP($R17,Capa!$A:$AJ,BO$5,0)),0,1/VLOOKUP($R17,Capa!$A:$AJ,BO$5,0))))</f>
        <v/>
      </c>
      <c r="BP17" s="174" t="str">
        <f>IF(BP$6="","",IF(BP$3="Maior",iferror(VLOOKUP($R17,Capa!$A:$AJ,BP$5,0),0),IF(ISERROR(1/VLOOKUP($R17,Capa!$A:$AJ,BP$5,0)),0,1/VLOOKUP($R17,Capa!$A:$AJ,BP$5,0))))</f>
        <v/>
      </c>
      <c r="BQ17" s="174" t="str">
        <f>IF(BQ$6="","",IF(BQ$3="Maior",iferror(VLOOKUP($R17,Capa!$A:$AJ,BQ$5,0),0),IF(ISERROR(1/VLOOKUP($R17,Capa!$A:$AJ,BQ$5,0)),0,1/VLOOKUP($R17,Capa!$A:$AJ,BQ$5,0))))</f>
        <v/>
      </c>
      <c r="BR17" s="175"/>
      <c r="BS17" s="147"/>
    </row>
    <row r="18">
      <c r="G18" s="11"/>
      <c r="H18" s="8">
        <v>12.0</v>
      </c>
      <c r="I18" s="165" t="str">
        <f t="shared" si="6"/>
        <v>VULC3</v>
      </c>
      <c r="J18" s="166" t="str">
        <f>(VLOOKUP($I18,Capa!$A:$B,2,0))</f>
        <v>Vulcabras S/A</v>
      </c>
      <c r="K18" s="167" t="str">
        <f>VLOOKUP(left(I18,4),Setor!A:D,3,0)&amp;" | "&amp;VLOOKUP(left(I18,4),Setor!A:D,4,0)</f>
        <v>Consumo Cíclico | Tecidos, Vestuário e Calçados</v>
      </c>
      <c r="L18" s="168">
        <f>(VLOOKUP($I18,Capa!$A:$F,6,0))</f>
        <v>18.75</v>
      </c>
      <c r="M18" s="168">
        <f t="shared" si="7"/>
        <v>33789978</v>
      </c>
      <c r="N18" s="177" t="str">
        <f>IFERROR(__xludf.DUMMYFUNCTION("(VLOOKUP($I18,Capa!$A:$H,7,0))"),"")</f>
        <v/>
      </c>
      <c r="O18" s="169">
        <f>(VLOOKUP($I18,Capa!$A:$H,8,0))</f>
        <v>0.04340567613</v>
      </c>
      <c r="P18" s="169" t="str">
        <f>IFERROR(__xludf.DUMMYFUNCTION("(VLOOKUP($I18,Capa!$A:$J,10,0))"),"")</f>
        <v/>
      </c>
      <c r="Q18" s="169">
        <f>(VLOOKUP($I18,Capa!$A:$K,11,0))</f>
        <v>0.1973180077</v>
      </c>
      <c r="R18" s="45" t="str">
        <f>'Dados StatusInvest'!A13</f>
        <v>AHEB6</v>
      </c>
      <c r="S18" s="170">
        <f t="shared" si="8"/>
        <v>1575.0575</v>
      </c>
      <c r="T18" s="171">
        <f>VLOOKUP(R18,'Dados StatusInvest'!A:Z,26,0)</f>
        <v>5500</v>
      </c>
      <c r="U18" s="172">
        <f t="shared" ref="U18:AS18" si="19">IF(AT18="","", RANK(AT18,AT$7:AT$626,0)+RANK(AT18,AT$7:AT$626,0)/10000)</f>
        <v>308.0308</v>
      </c>
      <c r="V18" s="172">
        <f t="shared" si="19"/>
        <v>267.0267</v>
      </c>
      <c r="W18" s="172" t="str">
        <f t="shared" si="19"/>
        <v/>
      </c>
      <c r="X18" s="172" t="str">
        <f t="shared" si="19"/>
        <v/>
      </c>
      <c r="Y18" s="172" t="str">
        <f t="shared" si="19"/>
        <v/>
      </c>
      <c r="Z18" s="172" t="str">
        <f t="shared" si="19"/>
        <v/>
      </c>
      <c r="AA18" s="172" t="str">
        <f t="shared" si="19"/>
        <v/>
      </c>
      <c r="AB18" s="172" t="str">
        <f t="shared" si="19"/>
        <v/>
      </c>
      <c r="AC18" s="172" t="str">
        <f t="shared" si="19"/>
        <v/>
      </c>
      <c r="AD18" s="172" t="str">
        <f t="shared" si="19"/>
        <v/>
      </c>
      <c r="AE18" s="172" t="str">
        <f t="shared" si="19"/>
        <v/>
      </c>
      <c r="AF18" s="172" t="str">
        <f t="shared" si="19"/>
        <v/>
      </c>
      <c r="AG18" s="172" t="str">
        <f t="shared" si="19"/>
        <v/>
      </c>
      <c r="AH18" s="172" t="str">
        <f t="shared" si="19"/>
        <v/>
      </c>
      <c r="AI18" s="172" t="str">
        <f t="shared" si="19"/>
        <v/>
      </c>
      <c r="AJ18" s="172" t="str">
        <f t="shared" si="19"/>
        <v/>
      </c>
      <c r="AK18" s="172" t="str">
        <f t="shared" si="19"/>
        <v/>
      </c>
      <c r="AL18" s="172" t="str">
        <f t="shared" si="19"/>
        <v/>
      </c>
      <c r="AM18" s="172" t="str">
        <f t="shared" si="19"/>
        <v/>
      </c>
      <c r="AN18" s="172" t="str">
        <f t="shared" si="19"/>
        <v/>
      </c>
      <c r="AO18" s="172" t="str">
        <f t="shared" si="19"/>
        <v/>
      </c>
      <c r="AP18" s="172" t="str">
        <f t="shared" si="19"/>
        <v/>
      </c>
      <c r="AQ18" s="172" t="str">
        <f t="shared" si="19"/>
        <v/>
      </c>
      <c r="AR18" s="172" t="str">
        <f t="shared" si="19"/>
        <v/>
      </c>
      <c r="AS18" s="172" t="str">
        <f t="shared" si="19"/>
        <v/>
      </c>
      <c r="AT18" s="173">
        <f>IF(AT$6="","",IF(AT$3="Maior",iferror(VLOOKUP($R18,Capa!$A:$AJ,AT$5,0),0),IF(ISERROR(1/VLOOKUP($R18,Capa!$A:$AJ,AT$5,0)),0,1/VLOOKUP($R18,Capa!$A:$AJ,AT$5,0))))</f>
        <v>-0.7246376812</v>
      </c>
      <c r="AU18" s="174">
        <f>IF(AU$6="","",IF(AU$3="Maior",iferror(VLOOKUP($R18,Capa!$A:$AJ,AU$5,0),0),IF(ISERROR(1/VLOOKUP($R18,Capa!$A:$AJ,AU$5,0)),0,1/VLOOKUP($R18,Capa!$A:$AJ,AU$5,0))))</f>
        <v>0</v>
      </c>
      <c r="AV18" s="174" t="str">
        <f>IF(AV$6="","",IF(AV$3="Maior",iferror(VLOOKUP($R18,Capa!$A:$AJ,AV$5,0),0),IF(ISERROR(1/VLOOKUP($R18,Capa!$A:$AJ,AV$5,0)),0,1/VLOOKUP($R18,Capa!$A:$AJ,AV$5,0))))</f>
        <v/>
      </c>
      <c r="AW18" s="174" t="str">
        <f>IF(AW$6="","",IF(AW$3="Maior",iferror(VLOOKUP($R18,Capa!$A:$AJ,AW$5,0),0),IF(ISERROR(1/VLOOKUP($R18,Capa!$A:$AJ,AW$5,0)),0,1/VLOOKUP($R18,Capa!$A:$AJ,AW$5,0))))</f>
        <v/>
      </c>
      <c r="AX18" s="174" t="str">
        <f>IF(AX$6="","",IF(AX$3="Maior",iferror(VLOOKUP($R18,Capa!$A:$AJ,AX$5,0),0),IF(ISERROR(1/VLOOKUP($R18,Capa!$A:$AJ,AX$5,0)),0,1/VLOOKUP($R18,Capa!$A:$AJ,AX$5,0))))</f>
        <v/>
      </c>
      <c r="AY18" s="174" t="str">
        <f>IF(AY$6="","",IF(AY$3="Maior",iferror(VLOOKUP($R18,Capa!$A:$AJ,AY$5,0),0),IF(ISERROR(1/VLOOKUP($R18,Capa!$A:$AJ,AY$5,0)),0,1/VLOOKUP($R18,Capa!$A:$AJ,AY$5,0))))</f>
        <v/>
      </c>
      <c r="AZ18" s="174" t="str">
        <f>IF(AZ$6="","",IF(AZ$3="Maior",iferror(VLOOKUP($R18,Capa!$A:$AJ,AZ$5,0),0),IF(ISERROR(1/VLOOKUP($R18,Capa!$A:$AJ,AZ$5,0)),0,1/VLOOKUP($R18,Capa!$A:$AJ,AZ$5,0))))</f>
        <v/>
      </c>
      <c r="BA18" s="174" t="str">
        <f>IF(BA$6="","",IF(BA$3="Maior",iferror(VLOOKUP($R18,Capa!$A:$AJ,BA$5,0),0),IF(ISERROR(1/VLOOKUP($R18,Capa!$A:$AJ,BA$5,0)),0,1/VLOOKUP($R18,Capa!$A:$AJ,BA$5,0))))</f>
        <v/>
      </c>
      <c r="BB18" s="174" t="str">
        <f>IF(BB$6="","",IF(BB$3="Maior",iferror(VLOOKUP($R18,Capa!$A:$AJ,BB$5,0),0),IF(ISERROR(1/VLOOKUP($R18,Capa!$A:$AJ,BB$5,0)),0,1/VLOOKUP($R18,Capa!$A:$AJ,BB$5,0))))</f>
        <v/>
      </c>
      <c r="BC18" s="174" t="str">
        <f>IF(BC$6="","",IF(BC$3="Maior",iferror(VLOOKUP($R18,Capa!$A:$AJ,BC$5,0),0),IF(ISERROR(1/VLOOKUP($R18,Capa!$A:$AJ,BC$5,0)),0,1/VLOOKUP($R18,Capa!$A:$AJ,BC$5,0))))</f>
        <v/>
      </c>
      <c r="BD18" s="174" t="str">
        <f>IF(BD$6="","",IF(BD$3="Maior",iferror(VLOOKUP($R18,Capa!$A:$AJ,BD$5,0),0),IF(ISERROR(1/VLOOKUP($R18,Capa!$A:$AJ,BD$5,0)),0,1/VLOOKUP($R18,Capa!$A:$AJ,BD$5,0))))</f>
        <v/>
      </c>
      <c r="BE18" s="174" t="str">
        <f>IF(BE$6="","",IF(BE$3="Maior",iferror(VLOOKUP($R18,Capa!$A:$AJ,BE$5,0),0),IF(ISERROR(1/VLOOKUP($R18,Capa!$A:$AJ,BE$5,0)),0,1/VLOOKUP($R18,Capa!$A:$AJ,BE$5,0))))</f>
        <v/>
      </c>
      <c r="BF18" s="174" t="str">
        <f>IF(BF$6="","",IF(BF$3="Maior",iferror(VLOOKUP($R18,Capa!$A:$AJ,BF$5,0),0),IF(ISERROR(1/VLOOKUP($R18,Capa!$A:$AJ,BF$5,0)),0,1/VLOOKUP($R18,Capa!$A:$AJ,BF$5,0))))</f>
        <v/>
      </c>
      <c r="BG18" s="174" t="str">
        <f>IF(BG$6="","",IF(BG$3="Maior",iferror(VLOOKUP($R18,Capa!$A:$AJ,BG$5,0),0),IF(ISERROR(1/VLOOKUP($R18,Capa!$A:$AJ,BG$5,0)),0,1/VLOOKUP($R18,Capa!$A:$AJ,BG$5,0))))</f>
        <v/>
      </c>
      <c r="BH18" s="174" t="str">
        <f>IF(BH$6="","",IF(BH$3="Maior",iferror(VLOOKUP($R18,Capa!$A:$AJ,BH$5,0),0),IF(ISERROR(1/VLOOKUP($R18,Capa!$A:$AJ,BH$5,0)),0,1/VLOOKUP($R18,Capa!$A:$AJ,BH$5,0))))</f>
        <v/>
      </c>
      <c r="BI18" s="174" t="str">
        <f>IF(BI$6="","",IF(BI$3="Maior",iferror(VLOOKUP($R18,Capa!$A:$AJ,BI$5,0),0),IF(ISERROR(1/VLOOKUP($R18,Capa!$A:$AJ,BI$5,0)),0,1/VLOOKUP($R18,Capa!$A:$AJ,BI$5,0))))</f>
        <v/>
      </c>
      <c r="BJ18" s="174" t="str">
        <f>IF(BJ$6="","",IF(BJ$3="Maior",iferror(VLOOKUP($R18,Capa!$A:$AJ,BJ$5,0),0),IF(ISERROR(1/VLOOKUP($R18,Capa!$A:$AJ,BJ$5,0)),0,1/VLOOKUP($R18,Capa!$A:$AJ,BJ$5,0))))</f>
        <v/>
      </c>
      <c r="BK18" s="174" t="str">
        <f>IF(BK$6="","",IF(BK$3="Maior",iferror(VLOOKUP($R18,Capa!$A:$AJ,BK$5,0),0),IF(ISERROR(1/VLOOKUP($R18,Capa!$A:$AJ,BK$5,0)),0,1/VLOOKUP($R18,Capa!$A:$AJ,BK$5,0))))</f>
        <v/>
      </c>
      <c r="BL18" s="174" t="str">
        <f>IF(BL$6="","",IF(BL$3="Maior",iferror(VLOOKUP($R18,Capa!$A:$AJ,BL$5,0),0),IF(ISERROR(1/VLOOKUP($R18,Capa!$A:$AJ,BL$5,0)),0,1/VLOOKUP($R18,Capa!$A:$AJ,BL$5,0))))</f>
        <v/>
      </c>
      <c r="BM18" s="174" t="str">
        <f>IF(BM$6="","",IF(BM$3="Maior",iferror(VLOOKUP($R18,Capa!$A:$AJ,BM$5,0),0),IF(ISERROR(1/VLOOKUP($R18,Capa!$A:$AJ,BM$5,0)),0,1/VLOOKUP($R18,Capa!$A:$AJ,BM$5,0))))</f>
        <v/>
      </c>
      <c r="BN18" s="174" t="str">
        <f>IF(BN$6="","",IF(BN$3="Maior",iferror(VLOOKUP($R18,Capa!$A:$AJ,BN$5,0),0),IF(ISERROR(1/VLOOKUP($R18,Capa!$A:$AJ,BN$5,0)),0,1/VLOOKUP($R18,Capa!$A:$AJ,BN$5,0))))</f>
        <v/>
      </c>
      <c r="BO18" s="174" t="str">
        <f>IF(BO$6="","",IF(BO$3="Maior",iferror(VLOOKUP($R18,Capa!$A:$AJ,BO$5,0),0),IF(ISERROR(1/VLOOKUP($R18,Capa!$A:$AJ,BO$5,0)),0,1/VLOOKUP($R18,Capa!$A:$AJ,BO$5,0))))</f>
        <v/>
      </c>
      <c r="BP18" s="174" t="str">
        <f>IF(BP$6="","",IF(BP$3="Maior",iferror(VLOOKUP($R18,Capa!$A:$AJ,BP$5,0),0),IF(ISERROR(1/VLOOKUP($R18,Capa!$A:$AJ,BP$5,0)),0,1/VLOOKUP($R18,Capa!$A:$AJ,BP$5,0))))</f>
        <v/>
      </c>
      <c r="BQ18" s="174" t="str">
        <f>IF(BQ$6="","",IF(BQ$3="Maior",iferror(VLOOKUP($R18,Capa!$A:$AJ,BQ$5,0),0),IF(ISERROR(1/VLOOKUP($R18,Capa!$A:$AJ,BQ$5,0)),0,1/VLOOKUP($R18,Capa!$A:$AJ,BQ$5,0))))</f>
        <v/>
      </c>
      <c r="BR18" s="175"/>
      <c r="BS18" s="147"/>
    </row>
    <row r="19">
      <c r="B19" s="83" t="str">
        <f>IF(D19=FALSE,B6,B6+1)</f>
        <v/>
      </c>
      <c r="C19" s="181" t="s">
        <v>16</v>
      </c>
      <c r="D19" s="182" t="b">
        <v>0</v>
      </c>
      <c r="E19" s="183" t="s">
        <v>1747</v>
      </c>
      <c r="F19" s="82">
        <f>MATCH(C19,Capa!$6:$6,0)</f>
        <v>12</v>
      </c>
      <c r="G19" s="11"/>
      <c r="H19" s="8">
        <v>13.0</v>
      </c>
      <c r="I19" s="165" t="str">
        <f t="shared" si="6"/>
        <v>CURY3</v>
      </c>
      <c r="J19" s="166" t="str">
        <f>(VLOOKUP($I19,Capa!$A:$B,2,0))</f>
        <v>Cury Construtora E Incorporadora SA</v>
      </c>
      <c r="K19" s="167" t="str">
        <f>VLOOKUP(left(I19,4),Setor!A:D,3,0)&amp;" | "&amp;VLOOKUP(left(I19,4),Setor!A:D,4,0)</f>
        <v>Consumo Cíclico | Construção Civil</v>
      </c>
      <c r="L19" s="168">
        <f>(VLOOKUP($I19,Capa!$A:$F,6,0))</f>
        <v>40.93</v>
      </c>
      <c r="M19" s="168">
        <f t="shared" si="7"/>
        <v>116000000</v>
      </c>
      <c r="N19" s="11" t="str">
        <f>IFERROR(__xludf.DUMMYFUNCTION("(VLOOKUP($I19,Capa!$A:$H,7,0))"),"")</f>
        <v/>
      </c>
      <c r="O19" s="169">
        <f>(VLOOKUP($I19,Capa!$A:$H,8,0))</f>
        <v>0.2269184652</v>
      </c>
      <c r="P19" s="11" t="str">
        <f>IFERROR(__xludf.DUMMYFUNCTION("(VLOOKUP($I19,Capa!$A:$J,10,0))"),"")</f>
        <v/>
      </c>
      <c r="Q19" s="169">
        <f>(VLOOKUP($I19,Capa!$A:$K,11,0))</f>
        <v>0.8046737213</v>
      </c>
      <c r="R19" s="45" t="str">
        <f>'Dados StatusInvest'!A14</f>
        <v>ALLD3</v>
      </c>
      <c r="S19" s="170">
        <f t="shared" si="8"/>
        <v>496.0496</v>
      </c>
      <c r="T19" s="171">
        <f>VLOOKUP(R19,'Dados StatusInvest'!A:Z,26,0)</f>
        <v>5234240</v>
      </c>
      <c r="U19" s="172">
        <f t="shared" ref="U19:AS19" si="20">IF(AT19="","", RANK(AT19,AT$7:AT$626,0)+RANK(AT19,AT$7:AT$626,0)/10000)</f>
        <v>399.0399</v>
      </c>
      <c r="V19" s="172">
        <f t="shared" si="20"/>
        <v>97.0097</v>
      </c>
      <c r="W19" s="172" t="str">
        <f t="shared" si="20"/>
        <v/>
      </c>
      <c r="X19" s="172" t="str">
        <f t="shared" si="20"/>
        <v/>
      </c>
      <c r="Y19" s="172" t="str">
        <f t="shared" si="20"/>
        <v/>
      </c>
      <c r="Z19" s="172" t="str">
        <f t="shared" si="20"/>
        <v/>
      </c>
      <c r="AA19" s="172" t="str">
        <f t="shared" si="20"/>
        <v/>
      </c>
      <c r="AB19" s="172" t="str">
        <f t="shared" si="20"/>
        <v/>
      </c>
      <c r="AC19" s="172" t="str">
        <f t="shared" si="20"/>
        <v/>
      </c>
      <c r="AD19" s="172" t="str">
        <f t="shared" si="20"/>
        <v/>
      </c>
      <c r="AE19" s="172" t="str">
        <f t="shared" si="20"/>
        <v/>
      </c>
      <c r="AF19" s="172" t="str">
        <f t="shared" si="20"/>
        <v/>
      </c>
      <c r="AG19" s="172" t="str">
        <f t="shared" si="20"/>
        <v/>
      </c>
      <c r="AH19" s="172" t="str">
        <f t="shared" si="20"/>
        <v/>
      </c>
      <c r="AI19" s="172" t="str">
        <f t="shared" si="20"/>
        <v/>
      </c>
      <c r="AJ19" s="172" t="str">
        <f t="shared" si="20"/>
        <v/>
      </c>
      <c r="AK19" s="172" t="str">
        <f t="shared" si="20"/>
        <v/>
      </c>
      <c r="AL19" s="172" t="str">
        <f t="shared" si="20"/>
        <v/>
      </c>
      <c r="AM19" s="172" t="str">
        <f t="shared" si="20"/>
        <v/>
      </c>
      <c r="AN19" s="172" t="str">
        <f t="shared" si="20"/>
        <v/>
      </c>
      <c r="AO19" s="172" t="str">
        <f t="shared" si="20"/>
        <v/>
      </c>
      <c r="AP19" s="172" t="str">
        <f t="shared" si="20"/>
        <v/>
      </c>
      <c r="AQ19" s="172" t="str">
        <f t="shared" si="20"/>
        <v/>
      </c>
      <c r="AR19" s="172" t="str">
        <f t="shared" si="20"/>
        <v/>
      </c>
      <c r="AS19" s="172" t="str">
        <f t="shared" si="20"/>
        <v/>
      </c>
      <c r="AT19" s="173">
        <f>IF(AT$6="","",IF(AT$3="Maior",iferror(VLOOKUP($R19,Capa!$A:$AJ,AT$5,0),0),IF(ISERROR(1/VLOOKUP($R19,Capa!$A:$AJ,AT$5,0)),0,1/VLOOKUP($R19,Capa!$A:$AJ,AT$5,0))))</f>
        <v>-1.345837211</v>
      </c>
      <c r="AU19" s="174">
        <f>IF(AU$6="","",IF(AU$3="Maior",iferror(VLOOKUP($R19,Capa!$A:$AJ,AU$5,0),0),IF(ISERROR(1/VLOOKUP($R19,Capa!$A:$AJ,AU$5,0)),0,1/VLOOKUP($R19,Capa!$A:$AJ,AU$5,0))))</f>
        <v>28.55</v>
      </c>
      <c r="AV19" s="174" t="str">
        <f>IF(AV$6="","",IF(AV$3="Maior",iferror(VLOOKUP($R19,Capa!$A:$AJ,AV$5,0),0),IF(ISERROR(1/VLOOKUP($R19,Capa!$A:$AJ,AV$5,0)),0,1/VLOOKUP($R19,Capa!$A:$AJ,AV$5,0))))</f>
        <v/>
      </c>
      <c r="AW19" s="174" t="str">
        <f>IF(AW$6="","",IF(AW$3="Maior",iferror(VLOOKUP($R19,Capa!$A:$AJ,AW$5,0),0),IF(ISERROR(1/VLOOKUP($R19,Capa!$A:$AJ,AW$5,0)),0,1/VLOOKUP($R19,Capa!$A:$AJ,AW$5,0))))</f>
        <v/>
      </c>
      <c r="AX19" s="174" t="str">
        <f>IF(AX$6="","",IF(AX$3="Maior",iferror(VLOOKUP($R19,Capa!$A:$AJ,AX$5,0),0),IF(ISERROR(1/VLOOKUP($R19,Capa!$A:$AJ,AX$5,0)),0,1/VLOOKUP($R19,Capa!$A:$AJ,AX$5,0))))</f>
        <v/>
      </c>
      <c r="AY19" s="174" t="str">
        <f>IF(AY$6="","",IF(AY$3="Maior",iferror(VLOOKUP($R19,Capa!$A:$AJ,AY$5,0),0),IF(ISERROR(1/VLOOKUP($R19,Capa!$A:$AJ,AY$5,0)),0,1/VLOOKUP($R19,Capa!$A:$AJ,AY$5,0))))</f>
        <v/>
      </c>
      <c r="AZ19" s="174" t="str">
        <f>IF(AZ$6="","",IF(AZ$3="Maior",iferror(VLOOKUP($R19,Capa!$A:$AJ,AZ$5,0),0),IF(ISERROR(1/VLOOKUP($R19,Capa!$A:$AJ,AZ$5,0)),0,1/VLOOKUP($R19,Capa!$A:$AJ,AZ$5,0))))</f>
        <v/>
      </c>
      <c r="BA19" s="174" t="str">
        <f>IF(BA$6="","",IF(BA$3="Maior",iferror(VLOOKUP($R19,Capa!$A:$AJ,BA$5,0),0),IF(ISERROR(1/VLOOKUP($R19,Capa!$A:$AJ,BA$5,0)),0,1/VLOOKUP($R19,Capa!$A:$AJ,BA$5,0))))</f>
        <v/>
      </c>
      <c r="BB19" s="174" t="str">
        <f>IF(BB$6="","",IF(BB$3="Maior",iferror(VLOOKUP($R19,Capa!$A:$AJ,BB$5,0),0),IF(ISERROR(1/VLOOKUP($R19,Capa!$A:$AJ,BB$5,0)),0,1/VLOOKUP($R19,Capa!$A:$AJ,BB$5,0))))</f>
        <v/>
      </c>
      <c r="BC19" s="174" t="str">
        <f>IF(BC$6="","",IF(BC$3="Maior",iferror(VLOOKUP($R19,Capa!$A:$AJ,BC$5,0),0),IF(ISERROR(1/VLOOKUP($R19,Capa!$A:$AJ,BC$5,0)),0,1/VLOOKUP($R19,Capa!$A:$AJ,BC$5,0))))</f>
        <v/>
      </c>
      <c r="BD19" s="174" t="str">
        <f>IF(BD$6="","",IF(BD$3="Maior",iferror(VLOOKUP($R19,Capa!$A:$AJ,BD$5,0),0),IF(ISERROR(1/VLOOKUP($R19,Capa!$A:$AJ,BD$5,0)),0,1/VLOOKUP($R19,Capa!$A:$AJ,BD$5,0))))</f>
        <v/>
      </c>
      <c r="BE19" s="174" t="str">
        <f>IF(BE$6="","",IF(BE$3="Maior",iferror(VLOOKUP($R19,Capa!$A:$AJ,BE$5,0),0),IF(ISERROR(1/VLOOKUP($R19,Capa!$A:$AJ,BE$5,0)),0,1/VLOOKUP($R19,Capa!$A:$AJ,BE$5,0))))</f>
        <v/>
      </c>
      <c r="BF19" s="174" t="str">
        <f>IF(BF$6="","",IF(BF$3="Maior",iferror(VLOOKUP($R19,Capa!$A:$AJ,BF$5,0),0),IF(ISERROR(1/VLOOKUP($R19,Capa!$A:$AJ,BF$5,0)),0,1/VLOOKUP($R19,Capa!$A:$AJ,BF$5,0))))</f>
        <v/>
      </c>
      <c r="BG19" s="174" t="str">
        <f>IF(BG$6="","",IF(BG$3="Maior",iferror(VLOOKUP($R19,Capa!$A:$AJ,BG$5,0),0),IF(ISERROR(1/VLOOKUP($R19,Capa!$A:$AJ,BG$5,0)),0,1/VLOOKUP($R19,Capa!$A:$AJ,BG$5,0))))</f>
        <v/>
      </c>
      <c r="BH19" s="174" t="str">
        <f>IF(BH$6="","",IF(BH$3="Maior",iferror(VLOOKUP($R19,Capa!$A:$AJ,BH$5,0),0),IF(ISERROR(1/VLOOKUP($R19,Capa!$A:$AJ,BH$5,0)),0,1/VLOOKUP($R19,Capa!$A:$AJ,BH$5,0))))</f>
        <v/>
      </c>
      <c r="BI19" s="174" t="str">
        <f>IF(BI$6="","",IF(BI$3="Maior",iferror(VLOOKUP($R19,Capa!$A:$AJ,BI$5,0),0),IF(ISERROR(1/VLOOKUP($R19,Capa!$A:$AJ,BI$5,0)),0,1/VLOOKUP($R19,Capa!$A:$AJ,BI$5,0))))</f>
        <v/>
      </c>
      <c r="BJ19" s="174" t="str">
        <f>IF(BJ$6="","",IF(BJ$3="Maior",iferror(VLOOKUP($R19,Capa!$A:$AJ,BJ$5,0),0),IF(ISERROR(1/VLOOKUP($R19,Capa!$A:$AJ,BJ$5,0)),0,1/VLOOKUP($R19,Capa!$A:$AJ,BJ$5,0))))</f>
        <v/>
      </c>
      <c r="BK19" s="174" t="str">
        <f>IF(BK$6="","",IF(BK$3="Maior",iferror(VLOOKUP($R19,Capa!$A:$AJ,BK$5,0),0),IF(ISERROR(1/VLOOKUP($R19,Capa!$A:$AJ,BK$5,0)),0,1/VLOOKUP($R19,Capa!$A:$AJ,BK$5,0))))</f>
        <v/>
      </c>
      <c r="BL19" s="174" t="str">
        <f>IF(BL$6="","",IF(BL$3="Maior",iferror(VLOOKUP($R19,Capa!$A:$AJ,BL$5,0),0),IF(ISERROR(1/VLOOKUP($R19,Capa!$A:$AJ,BL$5,0)),0,1/VLOOKUP($R19,Capa!$A:$AJ,BL$5,0))))</f>
        <v/>
      </c>
      <c r="BM19" s="174" t="str">
        <f>IF(BM$6="","",IF(BM$3="Maior",iferror(VLOOKUP($R19,Capa!$A:$AJ,BM$5,0),0),IF(ISERROR(1/VLOOKUP($R19,Capa!$A:$AJ,BM$5,0)),0,1/VLOOKUP($R19,Capa!$A:$AJ,BM$5,0))))</f>
        <v/>
      </c>
      <c r="BN19" s="174" t="str">
        <f>IF(BN$6="","",IF(BN$3="Maior",iferror(VLOOKUP($R19,Capa!$A:$AJ,BN$5,0),0),IF(ISERROR(1/VLOOKUP($R19,Capa!$A:$AJ,BN$5,0)),0,1/VLOOKUP($R19,Capa!$A:$AJ,BN$5,0))))</f>
        <v/>
      </c>
      <c r="BO19" s="174" t="str">
        <f>IF(BO$6="","",IF(BO$3="Maior",iferror(VLOOKUP($R19,Capa!$A:$AJ,BO$5,0),0),IF(ISERROR(1/VLOOKUP($R19,Capa!$A:$AJ,BO$5,0)),0,1/VLOOKUP($R19,Capa!$A:$AJ,BO$5,0))))</f>
        <v/>
      </c>
      <c r="BP19" s="174" t="str">
        <f>IF(BP$6="","",IF(BP$3="Maior",iferror(VLOOKUP($R19,Capa!$A:$AJ,BP$5,0),0),IF(ISERROR(1/VLOOKUP($R19,Capa!$A:$AJ,BP$5,0)),0,1/VLOOKUP($R19,Capa!$A:$AJ,BP$5,0))))</f>
        <v/>
      </c>
      <c r="BQ19" s="174" t="str">
        <f>IF(BQ$6="","",IF(BQ$3="Maior",iferror(VLOOKUP($R19,Capa!$A:$AJ,BQ$5,0),0),IF(ISERROR(1/VLOOKUP($R19,Capa!$A:$AJ,BQ$5,0)),0,1/VLOOKUP($R19,Capa!$A:$AJ,BQ$5,0))))</f>
        <v/>
      </c>
      <c r="BR19" s="175"/>
      <c r="BS19" s="147"/>
    </row>
    <row r="20">
      <c r="B20" s="83" t="str">
        <f t="shared" ref="B20:B42" si="22">IF(D20=FALSE,B19,B19+1)</f>
        <v/>
      </c>
      <c r="C20" s="184" t="s">
        <v>17</v>
      </c>
      <c r="D20" s="82" t="b">
        <v>0</v>
      </c>
      <c r="E20" s="185" t="s">
        <v>1747</v>
      </c>
      <c r="F20" s="82">
        <f>MATCH(C20,Capa!$6:$6,0)</f>
        <v>13</v>
      </c>
      <c r="G20" s="11"/>
      <c r="H20" s="8">
        <v>14.0</v>
      </c>
      <c r="I20" s="165" t="str">
        <f t="shared" si="6"/>
        <v>SOMA3</v>
      </c>
      <c r="J20" s="166" t="str">
        <f>(VLOOKUP($I20,Capa!$A:$B,2,0))</f>
        <v/>
      </c>
      <c r="K20" s="167" t="str">
        <f>VLOOKUP(left(I20,4),Setor!A:D,3,0)&amp;" | "&amp;VLOOKUP(left(I20,4),Setor!A:D,4,0)</f>
        <v>Consumo Cíclico | Comércio</v>
      </c>
      <c r="L20" s="168" t="str">
        <f>(VLOOKUP($I20,Capa!$A:$F,6,0))</f>
        <v/>
      </c>
      <c r="M20" s="168">
        <f t="shared" si="7"/>
        <v>99716529</v>
      </c>
      <c r="N20" s="177" t="str">
        <f>(VLOOKUP($I20,Capa!$A:$H,7,0))</f>
        <v/>
      </c>
      <c r="O20" s="169" t="str">
        <f>(VLOOKUP($I20,Capa!$A:$H,8,0))</f>
        <v/>
      </c>
      <c r="P20" s="169" t="str">
        <f>(VLOOKUP($I20,Capa!$A:$J,10,0))</f>
        <v/>
      </c>
      <c r="Q20" s="169" t="str">
        <f>(VLOOKUP($I20,Capa!$A:$K,11,0))</f>
        <v/>
      </c>
      <c r="R20" s="45" t="str">
        <f>'Dados StatusInvest'!A15</f>
        <v>ALOS3</v>
      </c>
      <c r="S20" s="170">
        <f t="shared" si="8"/>
        <v>391.0391</v>
      </c>
      <c r="T20" s="171">
        <f>VLOOKUP(R20,'Dados StatusInvest'!A:Z,26,0)</f>
        <v>178000000</v>
      </c>
      <c r="U20" s="172">
        <f t="shared" ref="U20:AS20" si="21">IF(AT20="","", RANK(AT20,AT$7:AT$626,0)+RANK(AT20,AT$7:AT$626,0)/10000)</f>
        <v>387.0387</v>
      </c>
      <c r="V20" s="172">
        <f t="shared" si="21"/>
        <v>4.0004</v>
      </c>
      <c r="W20" s="172" t="str">
        <f t="shared" si="21"/>
        <v/>
      </c>
      <c r="X20" s="172" t="str">
        <f t="shared" si="21"/>
        <v/>
      </c>
      <c r="Y20" s="172" t="str">
        <f t="shared" si="21"/>
        <v/>
      </c>
      <c r="Z20" s="172" t="str">
        <f t="shared" si="21"/>
        <v/>
      </c>
      <c r="AA20" s="172" t="str">
        <f t="shared" si="21"/>
        <v/>
      </c>
      <c r="AB20" s="172" t="str">
        <f t="shared" si="21"/>
        <v/>
      </c>
      <c r="AC20" s="172" t="str">
        <f t="shared" si="21"/>
        <v/>
      </c>
      <c r="AD20" s="172" t="str">
        <f t="shared" si="21"/>
        <v/>
      </c>
      <c r="AE20" s="172" t="str">
        <f t="shared" si="21"/>
        <v/>
      </c>
      <c r="AF20" s="172" t="str">
        <f t="shared" si="21"/>
        <v/>
      </c>
      <c r="AG20" s="172" t="str">
        <f t="shared" si="21"/>
        <v/>
      </c>
      <c r="AH20" s="172" t="str">
        <f t="shared" si="21"/>
        <v/>
      </c>
      <c r="AI20" s="172" t="str">
        <f t="shared" si="21"/>
        <v/>
      </c>
      <c r="AJ20" s="172" t="str">
        <f t="shared" si="21"/>
        <v/>
      </c>
      <c r="AK20" s="172" t="str">
        <f t="shared" si="21"/>
        <v/>
      </c>
      <c r="AL20" s="172" t="str">
        <f t="shared" si="21"/>
        <v/>
      </c>
      <c r="AM20" s="172" t="str">
        <f t="shared" si="21"/>
        <v/>
      </c>
      <c r="AN20" s="172" t="str">
        <f t="shared" si="21"/>
        <v/>
      </c>
      <c r="AO20" s="172" t="str">
        <f t="shared" si="21"/>
        <v/>
      </c>
      <c r="AP20" s="172" t="str">
        <f t="shared" si="21"/>
        <v/>
      </c>
      <c r="AQ20" s="172" t="str">
        <f t="shared" si="21"/>
        <v/>
      </c>
      <c r="AR20" s="172" t="str">
        <f t="shared" si="21"/>
        <v/>
      </c>
      <c r="AS20" s="172" t="str">
        <f t="shared" si="21"/>
        <v/>
      </c>
      <c r="AT20" s="173">
        <f>IF(AT$6="","",IF(AT$3="Maior",iferror(VLOOKUP($R20,Capa!$A:$AJ,AT$5,0),0),IF(ISERROR(1/VLOOKUP($R20,Capa!$A:$AJ,AT$5,0)),0,1/VLOOKUP($R20,Capa!$A:$AJ,AT$5,0))))</f>
        <v>-1.233436899</v>
      </c>
      <c r="AU20" s="174">
        <f>IF(AU$6="","",IF(AU$3="Maior",iferror(VLOOKUP($R20,Capa!$A:$AJ,AU$5,0),0),IF(ISERROR(1/VLOOKUP($R20,Capa!$A:$AJ,AU$5,0)),0,1/VLOOKUP($R20,Capa!$A:$AJ,AU$5,0))))</f>
        <v>102.53</v>
      </c>
      <c r="AV20" s="174" t="str">
        <f>IF(AV$6="","",IF(AV$3="Maior",iferror(VLOOKUP($R20,Capa!$A:$AJ,AV$5,0),0),IF(ISERROR(1/VLOOKUP($R20,Capa!$A:$AJ,AV$5,0)),0,1/VLOOKUP($R20,Capa!$A:$AJ,AV$5,0))))</f>
        <v/>
      </c>
      <c r="AW20" s="174" t="str">
        <f>IF(AW$6="","",IF(AW$3="Maior",iferror(VLOOKUP($R20,Capa!$A:$AJ,AW$5,0),0),IF(ISERROR(1/VLOOKUP($R20,Capa!$A:$AJ,AW$5,0)),0,1/VLOOKUP($R20,Capa!$A:$AJ,AW$5,0))))</f>
        <v/>
      </c>
      <c r="AX20" s="174" t="str">
        <f>IF(AX$6="","",IF(AX$3="Maior",iferror(VLOOKUP($R20,Capa!$A:$AJ,AX$5,0),0),IF(ISERROR(1/VLOOKUP($R20,Capa!$A:$AJ,AX$5,0)),0,1/VLOOKUP($R20,Capa!$A:$AJ,AX$5,0))))</f>
        <v/>
      </c>
      <c r="AY20" s="174" t="str">
        <f>IF(AY$6="","",IF(AY$3="Maior",iferror(VLOOKUP($R20,Capa!$A:$AJ,AY$5,0),0),IF(ISERROR(1/VLOOKUP($R20,Capa!$A:$AJ,AY$5,0)),0,1/VLOOKUP($R20,Capa!$A:$AJ,AY$5,0))))</f>
        <v/>
      </c>
      <c r="AZ20" s="174" t="str">
        <f>IF(AZ$6="","",IF(AZ$3="Maior",iferror(VLOOKUP($R20,Capa!$A:$AJ,AZ$5,0),0),IF(ISERROR(1/VLOOKUP($R20,Capa!$A:$AJ,AZ$5,0)),0,1/VLOOKUP($R20,Capa!$A:$AJ,AZ$5,0))))</f>
        <v/>
      </c>
      <c r="BA20" s="174" t="str">
        <f>IF(BA$6="","",IF(BA$3="Maior",iferror(VLOOKUP($R20,Capa!$A:$AJ,BA$5,0),0),IF(ISERROR(1/VLOOKUP($R20,Capa!$A:$AJ,BA$5,0)),0,1/VLOOKUP($R20,Capa!$A:$AJ,BA$5,0))))</f>
        <v/>
      </c>
      <c r="BB20" s="174" t="str">
        <f>IF(BB$6="","",IF(BB$3="Maior",iferror(VLOOKUP($R20,Capa!$A:$AJ,BB$5,0),0),IF(ISERROR(1/VLOOKUP($R20,Capa!$A:$AJ,BB$5,0)),0,1/VLOOKUP($R20,Capa!$A:$AJ,BB$5,0))))</f>
        <v/>
      </c>
      <c r="BC20" s="174" t="str">
        <f>IF(BC$6="","",IF(BC$3="Maior",iferror(VLOOKUP($R20,Capa!$A:$AJ,BC$5,0),0),IF(ISERROR(1/VLOOKUP($R20,Capa!$A:$AJ,BC$5,0)),0,1/VLOOKUP($R20,Capa!$A:$AJ,BC$5,0))))</f>
        <v/>
      </c>
      <c r="BD20" s="174" t="str">
        <f>IF(BD$6="","",IF(BD$3="Maior",iferror(VLOOKUP($R20,Capa!$A:$AJ,BD$5,0),0),IF(ISERROR(1/VLOOKUP($R20,Capa!$A:$AJ,BD$5,0)),0,1/VLOOKUP($R20,Capa!$A:$AJ,BD$5,0))))</f>
        <v/>
      </c>
      <c r="BE20" s="174" t="str">
        <f>IF(BE$6="","",IF(BE$3="Maior",iferror(VLOOKUP($R20,Capa!$A:$AJ,BE$5,0),0),IF(ISERROR(1/VLOOKUP($R20,Capa!$A:$AJ,BE$5,0)),0,1/VLOOKUP($R20,Capa!$A:$AJ,BE$5,0))))</f>
        <v/>
      </c>
      <c r="BF20" s="174" t="str">
        <f>IF(BF$6="","",IF(BF$3="Maior",iferror(VLOOKUP($R20,Capa!$A:$AJ,BF$5,0),0),IF(ISERROR(1/VLOOKUP($R20,Capa!$A:$AJ,BF$5,0)),0,1/VLOOKUP($R20,Capa!$A:$AJ,BF$5,0))))</f>
        <v/>
      </c>
      <c r="BG20" s="174" t="str">
        <f>IF(BG$6="","",IF(BG$3="Maior",iferror(VLOOKUP($R20,Capa!$A:$AJ,BG$5,0),0),IF(ISERROR(1/VLOOKUP($R20,Capa!$A:$AJ,BG$5,0)),0,1/VLOOKUP($R20,Capa!$A:$AJ,BG$5,0))))</f>
        <v/>
      </c>
      <c r="BH20" s="174" t="str">
        <f>IF(BH$6="","",IF(BH$3="Maior",iferror(VLOOKUP($R20,Capa!$A:$AJ,BH$5,0),0),IF(ISERROR(1/VLOOKUP($R20,Capa!$A:$AJ,BH$5,0)),0,1/VLOOKUP($R20,Capa!$A:$AJ,BH$5,0))))</f>
        <v/>
      </c>
      <c r="BI20" s="174" t="str">
        <f>IF(BI$6="","",IF(BI$3="Maior",iferror(VLOOKUP($R20,Capa!$A:$AJ,BI$5,0),0),IF(ISERROR(1/VLOOKUP($R20,Capa!$A:$AJ,BI$5,0)),0,1/VLOOKUP($R20,Capa!$A:$AJ,BI$5,0))))</f>
        <v/>
      </c>
      <c r="BJ20" s="174" t="str">
        <f>IF(BJ$6="","",IF(BJ$3="Maior",iferror(VLOOKUP($R20,Capa!$A:$AJ,BJ$5,0),0),IF(ISERROR(1/VLOOKUP($R20,Capa!$A:$AJ,BJ$5,0)),0,1/VLOOKUP($R20,Capa!$A:$AJ,BJ$5,0))))</f>
        <v/>
      </c>
      <c r="BK20" s="174" t="str">
        <f>IF(BK$6="","",IF(BK$3="Maior",iferror(VLOOKUP($R20,Capa!$A:$AJ,BK$5,0),0),IF(ISERROR(1/VLOOKUP($R20,Capa!$A:$AJ,BK$5,0)),0,1/VLOOKUP($R20,Capa!$A:$AJ,BK$5,0))))</f>
        <v/>
      </c>
      <c r="BL20" s="174" t="str">
        <f>IF(BL$6="","",IF(BL$3="Maior",iferror(VLOOKUP($R20,Capa!$A:$AJ,BL$5,0),0),IF(ISERROR(1/VLOOKUP($R20,Capa!$A:$AJ,BL$5,0)),0,1/VLOOKUP($R20,Capa!$A:$AJ,BL$5,0))))</f>
        <v/>
      </c>
      <c r="BM20" s="174" t="str">
        <f>IF(BM$6="","",IF(BM$3="Maior",iferror(VLOOKUP($R20,Capa!$A:$AJ,BM$5,0),0),IF(ISERROR(1/VLOOKUP($R20,Capa!$A:$AJ,BM$5,0)),0,1/VLOOKUP($R20,Capa!$A:$AJ,BM$5,0))))</f>
        <v/>
      </c>
      <c r="BN20" s="174" t="str">
        <f>IF(BN$6="","",IF(BN$3="Maior",iferror(VLOOKUP($R20,Capa!$A:$AJ,BN$5,0),0),IF(ISERROR(1/VLOOKUP($R20,Capa!$A:$AJ,BN$5,0)),0,1/VLOOKUP($R20,Capa!$A:$AJ,BN$5,0))))</f>
        <v/>
      </c>
      <c r="BO20" s="174" t="str">
        <f>IF(BO$6="","",IF(BO$3="Maior",iferror(VLOOKUP($R20,Capa!$A:$AJ,BO$5,0),0),IF(ISERROR(1/VLOOKUP($R20,Capa!$A:$AJ,BO$5,0)),0,1/VLOOKUP($R20,Capa!$A:$AJ,BO$5,0))))</f>
        <v/>
      </c>
      <c r="BP20" s="174" t="str">
        <f>IF(BP$6="","",IF(BP$3="Maior",iferror(VLOOKUP($R20,Capa!$A:$AJ,BP$5,0),0),IF(ISERROR(1/VLOOKUP($R20,Capa!$A:$AJ,BP$5,0)),0,1/VLOOKUP($R20,Capa!$A:$AJ,BP$5,0))))</f>
        <v/>
      </c>
      <c r="BQ20" s="174" t="str">
        <f>IF(BQ$6="","",IF(BQ$3="Maior",iferror(VLOOKUP($R20,Capa!$A:$AJ,BQ$5,0),0),IF(ISERROR(1/VLOOKUP($R20,Capa!$A:$AJ,BQ$5,0)),0,1/VLOOKUP($R20,Capa!$A:$AJ,BQ$5,0))))</f>
        <v/>
      </c>
      <c r="BR20" s="175"/>
      <c r="BS20" s="147"/>
    </row>
    <row r="21">
      <c r="B21" s="83" t="str">
        <f t="shared" si="22"/>
        <v/>
      </c>
      <c r="C21" s="184" t="s">
        <v>18</v>
      </c>
      <c r="D21" s="82" t="b">
        <v>0</v>
      </c>
      <c r="E21" s="185" t="s">
        <v>1748</v>
      </c>
      <c r="F21" s="82">
        <f>MATCH(C21,Capa!$6:$6,0)</f>
        <v>14</v>
      </c>
      <c r="G21" s="11"/>
      <c r="H21" s="8">
        <v>15.0</v>
      </c>
      <c r="I21" s="165" t="str">
        <f t="shared" si="6"/>
        <v>ORVR3</v>
      </c>
      <c r="J21" s="166" t="str">
        <f>(VLOOKUP($I21,Capa!$A:$B,2,0))</f>
        <v>Orizon Valorizacao de Residuos SA</v>
      </c>
      <c r="K21" s="167" t="str">
        <f>VLOOKUP(left(I21,4),Setor!A:D,3,0)&amp;" | "&amp;VLOOKUP(left(I21,4),Setor!A:D,4,0)</f>
        <v>#N/A</v>
      </c>
      <c r="L21" s="168">
        <f>(VLOOKUP($I21,Capa!$A:$F,6,0))</f>
        <v>71.87</v>
      </c>
      <c r="M21" s="168">
        <f t="shared" si="7"/>
        <v>44330888</v>
      </c>
      <c r="N21" s="11" t="str">
        <f>IFERROR(__xludf.DUMMYFUNCTION("(VLOOKUP($I21,Capa!$A:$H,7,0))"),"")</f>
        <v/>
      </c>
      <c r="O21" s="169">
        <f>(VLOOKUP($I21,Capa!$A:$H,8,0))</f>
        <v>0.02524964337</v>
      </c>
      <c r="P21" s="11" t="str">
        <f>IFERROR(__xludf.DUMMYFUNCTION("(VLOOKUP($I21,Capa!$A:$J,10,0))"),"")</f>
        <v/>
      </c>
      <c r="Q21" s="169">
        <f>(VLOOKUP($I21,Capa!$A:$K,11,0))</f>
        <v>0.6412422928</v>
      </c>
      <c r="R21" s="45" t="str">
        <f>'Dados StatusInvest'!A16</f>
        <v>ALPA3</v>
      </c>
      <c r="S21" s="170">
        <f t="shared" si="8"/>
        <v>1453.0453</v>
      </c>
      <c r="T21" s="171">
        <f>VLOOKUP(R21,'Dados StatusInvest'!A:Z,26,0)</f>
        <v>270396</v>
      </c>
      <c r="U21" s="172">
        <f t="shared" ref="U21:AS21" si="23">IF(AT21="","", RANK(AT21,AT$7:AT$626,0)+RANK(AT21,AT$7:AT$626,0)/10000)</f>
        <v>225.0225</v>
      </c>
      <c r="V21" s="172">
        <f t="shared" si="23"/>
        <v>228.0228</v>
      </c>
      <c r="W21" s="172" t="str">
        <f t="shared" si="23"/>
        <v/>
      </c>
      <c r="X21" s="172" t="str">
        <f t="shared" si="23"/>
        <v/>
      </c>
      <c r="Y21" s="172" t="str">
        <f t="shared" si="23"/>
        <v/>
      </c>
      <c r="Z21" s="172" t="str">
        <f t="shared" si="23"/>
        <v/>
      </c>
      <c r="AA21" s="172" t="str">
        <f t="shared" si="23"/>
        <v/>
      </c>
      <c r="AB21" s="172" t="str">
        <f t="shared" si="23"/>
        <v/>
      </c>
      <c r="AC21" s="172" t="str">
        <f t="shared" si="23"/>
        <v/>
      </c>
      <c r="AD21" s="172" t="str">
        <f t="shared" si="23"/>
        <v/>
      </c>
      <c r="AE21" s="172" t="str">
        <f t="shared" si="23"/>
        <v/>
      </c>
      <c r="AF21" s="172" t="str">
        <f t="shared" si="23"/>
        <v/>
      </c>
      <c r="AG21" s="172" t="str">
        <f t="shared" si="23"/>
        <v/>
      </c>
      <c r="AH21" s="172" t="str">
        <f t="shared" si="23"/>
        <v/>
      </c>
      <c r="AI21" s="172" t="str">
        <f t="shared" si="23"/>
        <v/>
      </c>
      <c r="AJ21" s="172" t="str">
        <f t="shared" si="23"/>
        <v/>
      </c>
      <c r="AK21" s="172" t="str">
        <f t="shared" si="23"/>
        <v/>
      </c>
      <c r="AL21" s="172" t="str">
        <f t="shared" si="23"/>
        <v/>
      </c>
      <c r="AM21" s="172" t="str">
        <f t="shared" si="23"/>
        <v/>
      </c>
      <c r="AN21" s="172" t="str">
        <f t="shared" si="23"/>
        <v/>
      </c>
      <c r="AO21" s="172" t="str">
        <f t="shared" si="23"/>
        <v/>
      </c>
      <c r="AP21" s="172" t="str">
        <f t="shared" si="23"/>
        <v/>
      </c>
      <c r="AQ21" s="172" t="str">
        <f t="shared" si="23"/>
        <v/>
      </c>
      <c r="AR21" s="172" t="str">
        <f t="shared" si="23"/>
        <v/>
      </c>
      <c r="AS21" s="172" t="str">
        <f t="shared" si="23"/>
        <v/>
      </c>
      <c r="AT21" s="173">
        <f>IF(AT$6="","",IF(AT$3="Maior",iferror(VLOOKUP($R21,Capa!$A:$AJ,AT$5,0),0),IF(ISERROR(1/VLOOKUP($R21,Capa!$A:$AJ,AT$5,0)),0,1/VLOOKUP($R21,Capa!$A:$AJ,AT$5,0))))</f>
        <v>-0.3676470588</v>
      </c>
      <c r="AU21" s="174">
        <f>IF(AU$6="","",IF(AU$3="Maior",iferror(VLOOKUP($R21,Capa!$A:$AJ,AU$5,0),0),IF(ISERROR(1/VLOOKUP($R21,Capa!$A:$AJ,AU$5,0)),0,1/VLOOKUP($R21,Capa!$A:$AJ,AU$5,0))))</f>
        <v>6.4</v>
      </c>
      <c r="AV21" s="174" t="str">
        <f>IF(AV$6="","",IF(AV$3="Maior",iferror(VLOOKUP($R21,Capa!$A:$AJ,AV$5,0),0),IF(ISERROR(1/VLOOKUP($R21,Capa!$A:$AJ,AV$5,0)),0,1/VLOOKUP($R21,Capa!$A:$AJ,AV$5,0))))</f>
        <v/>
      </c>
      <c r="AW21" s="174" t="str">
        <f>IF(AW$6="","",IF(AW$3="Maior",iferror(VLOOKUP($R21,Capa!$A:$AJ,AW$5,0),0),IF(ISERROR(1/VLOOKUP($R21,Capa!$A:$AJ,AW$5,0)),0,1/VLOOKUP($R21,Capa!$A:$AJ,AW$5,0))))</f>
        <v/>
      </c>
      <c r="AX21" s="174" t="str">
        <f>IF(AX$6="","",IF(AX$3="Maior",iferror(VLOOKUP($R21,Capa!$A:$AJ,AX$5,0),0),IF(ISERROR(1/VLOOKUP($R21,Capa!$A:$AJ,AX$5,0)),0,1/VLOOKUP($R21,Capa!$A:$AJ,AX$5,0))))</f>
        <v/>
      </c>
      <c r="AY21" s="174" t="str">
        <f>IF(AY$6="","",IF(AY$3="Maior",iferror(VLOOKUP($R21,Capa!$A:$AJ,AY$5,0),0),IF(ISERROR(1/VLOOKUP($R21,Capa!$A:$AJ,AY$5,0)),0,1/VLOOKUP($R21,Capa!$A:$AJ,AY$5,0))))</f>
        <v/>
      </c>
      <c r="AZ21" s="174" t="str">
        <f>IF(AZ$6="","",IF(AZ$3="Maior",iferror(VLOOKUP($R21,Capa!$A:$AJ,AZ$5,0),0),IF(ISERROR(1/VLOOKUP($R21,Capa!$A:$AJ,AZ$5,0)),0,1/VLOOKUP($R21,Capa!$A:$AJ,AZ$5,0))))</f>
        <v/>
      </c>
      <c r="BA21" s="174" t="str">
        <f>IF(BA$6="","",IF(BA$3="Maior",iferror(VLOOKUP($R21,Capa!$A:$AJ,BA$5,0),0),IF(ISERROR(1/VLOOKUP($R21,Capa!$A:$AJ,BA$5,0)),0,1/VLOOKUP($R21,Capa!$A:$AJ,BA$5,0))))</f>
        <v/>
      </c>
      <c r="BB21" s="174" t="str">
        <f>IF(BB$6="","",IF(BB$3="Maior",iferror(VLOOKUP($R21,Capa!$A:$AJ,BB$5,0),0),IF(ISERROR(1/VLOOKUP($R21,Capa!$A:$AJ,BB$5,0)),0,1/VLOOKUP($R21,Capa!$A:$AJ,BB$5,0))))</f>
        <v/>
      </c>
      <c r="BC21" s="174" t="str">
        <f>IF(BC$6="","",IF(BC$3="Maior",iferror(VLOOKUP($R21,Capa!$A:$AJ,BC$5,0),0),IF(ISERROR(1/VLOOKUP($R21,Capa!$A:$AJ,BC$5,0)),0,1/VLOOKUP($R21,Capa!$A:$AJ,BC$5,0))))</f>
        <v/>
      </c>
      <c r="BD21" s="174" t="str">
        <f>IF(BD$6="","",IF(BD$3="Maior",iferror(VLOOKUP($R21,Capa!$A:$AJ,BD$5,0),0),IF(ISERROR(1/VLOOKUP($R21,Capa!$A:$AJ,BD$5,0)),0,1/VLOOKUP($R21,Capa!$A:$AJ,BD$5,0))))</f>
        <v/>
      </c>
      <c r="BE21" s="174" t="str">
        <f>IF(BE$6="","",IF(BE$3="Maior",iferror(VLOOKUP($R21,Capa!$A:$AJ,BE$5,0),0),IF(ISERROR(1/VLOOKUP($R21,Capa!$A:$AJ,BE$5,0)),0,1/VLOOKUP($R21,Capa!$A:$AJ,BE$5,0))))</f>
        <v/>
      </c>
      <c r="BF21" s="174" t="str">
        <f>IF(BF$6="","",IF(BF$3="Maior",iferror(VLOOKUP($R21,Capa!$A:$AJ,BF$5,0),0),IF(ISERROR(1/VLOOKUP($R21,Capa!$A:$AJ,BF$5,0)),0,1/VLOOKUP($R21,Capa!$A:$AJ,BF$5,0))))</f>
        <v/>
      </c>
      <c r="BG21" s="174" t="str">
        <f>IF(BG$6="","",IF(BG$3="Maior",iferror(VLOOKUP($R21,Capa!$A:$AJ,BG$5,0),0),IF(ISERROR(1/VLOOKUP($R21,Capa!$A:$AJ,BG$5,0)),0,1/VLOOKUP($R21,Capa!$A:$AJ,BG$5,0))))</f>
        <v/>
      </c>
      <c r="BH21" s="174" t="str">
        <f>IF(BH$6="","",IF(BH$3="Maior",iferror(VLOOKUP($R21,Capa!$A:$AJ,BH$5,0),0),IF(ISERROR(1/VLOOKUP($R21,Capa!$A:$AJ,BH$5,0)),0,1/VLOOKUP($R21,Capa!$A:$AJ,BH$5,0))))</f>
        <v/>
      </c>
      <c r="BI21" s="174" t="str">
        <f>IF(BI$6="","",IF(BI$3="Maior",iferror(VLOOKUP($R21,Capa!$A:$AJ,BI$5,0),0),IF(ISERROR(1/VLOOKUP($R21,Capa!$A:$AJ,BI$5,0)),0,1/VLOOKUP($R21,Capa!$A:$AJ,BI$5,0))))</f>
        <v/>
      </c>
      <c r="BJ21" s="174" t="str">
        <f>IF(BJ$6="","",IF(BJ$3="Maior",iferror(VLOOKUP($R21,Capa!$A:$AJ,BJ$5,0),0),IF(ISERROR(1/VLOOKUP($R21,Capa!$A:$AJ,BJ$5,0)),0,1/VLOOKUP($R21,Capa!$A:$AJ,BJ$5,0))))</f>
        <v/>
      </c>
      <c r="BK21" s="174" t="str">
        <f>IF(BK$6="","",IF(BK$3="Maior",iferror(VLOOKUP($R21,Capa!$A:$AJ,BK$5,0),0),IF(ISERROR(1/VLOOKUP($R21,Capa!$A:$AJ,BK$5,0)),0,1/VLOOKUP($R21,Capa!$A:$AJ,BK$5,0))))</f>
        <v/>
      </c>
      <c r="BL21" s="174" t="str">
        <f>IF(BL$6="","",IF(BL$3="Maior",iferror(VLOOKUP($R21,Capa!$A:$AJ,BL$5,0),0),IF(ISERROR(1/VLOOKUP($R21,Capa!$A:$AJ,BL$5,0)),0,1/VLOOKUP($R21,Capa!$A:$AJ,BL$5,0))))</f>
        <v/>
      </c>
      <c r="BM21" s="174" t="str">
        <f>IF(BM$6="","",IF(BM$3="Maior",iferror(VLOOKUP($R21,Capa!$A:$AJ,BM$5,0),0),IF(ISERROR(1/VLOOKUP($R21,Capa!$A:$AJ,BM$5,0)),0,1/VLOOKUP($R21,Capa!$A:$AJ,BM$5,0))))</f>
        <v/>
      </c>
      <c r="BN21" s="174" t="str">
        <f>IF(BN$6="","",IF(BN$3="Maior",iferror(VLOOKUP($R21,Capa!$A:$AJ,BN$5,0),0),IF(ISERROR(1/VLOOKUP($R21,Capa!$A:$AJ,BN$5,0)),0,1/VLOOKUP($R21,Capa!$A:$AJ,BN$5,0))))</f>
        <v/>
      </c>
      <c r="BO21" s="174" t="str">
        <f>IF(BO$6="","",IF(BO$3="Maior",iferror(VLOOKUP($R21,Capa!$A:$AJ,BO$5,0),0),IF(ISERROR(1/VLOOKUP($R21,Capa!$A:$AJ,BO$5,0)),0,1/VLOOKUP($R21,Capa!$A:$AJ,BO$5,0))))</f>
        <v/>
      </c>
      <c r="BP21" s="174" t="str">
        <f>IF(BP$6="","",IF(BP$3="Maior",iferror(VLOOKUP($R21,Capa!$A:$AJ,BP$5,0),0),IF(ISERROR(1/VLOOKUP($R21,Capa!$A:$AJ,BP$5,0)),0,1/VLOOKUP($R21,Capa!$A:$AJ,BP$5,0))))</f>
        <v/>
      </c>
      <c r="BQ21" s="174" t="str">
        <f>IF(BQ$6="","",IF(BQ$3="Maior",iferror(VLOOKUP($R21,Capa!$A:$AJ,BQ$5,0),0),IF(ISERROR(1/VLOOKUP($R21,Capa!$A:$AJ,BQ$5,0)),0,1/VLOOKUP($R21,Capa!$A:$AJ,BQ$5,0))))</f>
        <v/>
      </c>
      <c r="BR21" s="175"/>
      <c r="BS21" s="147"/>
    </row>
    <row r="22">
      <c r="B22" s="83" t="str">
        <f t="shared" si="22"/>
        <v/>
      </c>
      <c r="C22" s="184" t="s">
        <v>19</v>
      </c>
      <c r="D22" s="82" t="b">
        <v>0</v>
      </c>
      <c r="E22" s="185" t="s">
        <v>1747</v>
      </c>
      <c r="F22" s="82">
        <f>MATCH(C22,Capa!$6:$6,0)</f>
        <v>15</v>
      </c>
      <c r="G22" s="11"/>
      <c r="H22" s="8">
        <v>16.0</v>
      </c>
      <c r="I22" s="165" t="str">
        <f t="shared" si="6"/>
        <v>BBDC3</v>
      </c>
      <c r="J22" s="166" t="str">
        <f>(VLOOKUP($I22,Capa!$A:$B,2,0))</f>
        <v>Banco Bradesco Cedear</v>
      </c>
      <c r="K22" s="167" t="str">
        <f>VLOOKUP(left(I22,4),Setor!A:D,3,0)&amp;" | "&amp;VLOOKUP(left(I22,4),Setor!A:D,4,0)</f>
        <v>Financeiro | Intermediários Financeiros</v>
      </c>
      <c r="L22" s="168">
        <f>(VLOOKUP($I22,Capa!$A:$F,6,0))</f>
        <v>5060</v>
      </c>
      <c r="M22" s="168">
        <f t="shared" si="7"/>
        <v>136000000</v>
      </c>
      <c r="N22" s="11" t="str">
        <f>IFERROR(__xludf.DUMMYFUNCTION("(VLOOKUP($I22,Capa!$A:$H,7,0))"),"")</f>
        <v/>
      </c>
      <c r="O22" s="169">
        <f>(VLOOKUP($I22,Capa!$A:$H,8,0))</f>
        <v>0.03901437372</v>
      </c>
      <c r="P22" s="11" t="str">
        <f>IFERROR(__xludf.DUMMYFUNCTION("(VLOOKUP($I22,Capa!$A:$J,10,0))"),"")</f>
        <v/>
      </c>
      <c r="Q22" s="169">
        <f>(VLOOKUP($I22,Capa!$A:$K,11,0))</f>
        <v>1.162393162</v>
      </c>
      <c r="R22" s="45" t="str">
        <f>'Dados StatusInvest'!A17</f>
        <v>ALPA4</v>
      </c>
      <c r="S22" s="170">
        <f t="shared" si="8"/>
        <v>439.0439</v>
      </c>
      <c r="T22" s="171">
        <f>VLOOKUP(R22,'Dados StatusInvest'!A:Z,26,0)</f>
        <v>36061574</v>
      </c>
      <c r="U22" s="172">
        <f t="shared" ref="U22:AS22" si="24">IF(AT22="","", RANK(AT22,AT$7:AT$626,0)+RANK(AT22,AT$7:AT$626,0)/10000)</f>
        <v>211.0211</v>
      </c>
      <c r="V22" s="172">
        <f t="shared" si="24"/>
        <v>228.0228</v>
      </c>
      <c r="W22" s="172" t="str">
        <f t="shared" si="24"/>
        <v/>
      </c>
      <c r="X22" s="172" t="str">
        <f t="shared" si="24"/>
        <v/>
      </c>
      <c r="Y22" s="172" t="str">
        <f t="shared" si="24"/>
        <v/>
      </c>
      <c r="Z22" s="172" t="str">
        <f t="shared" si="24"/>
        <v/>
      </c>
      <c r="AA22" s="172" t="str">
        <f t="shared" si="24"/>
        <v/>
      </c>
      <c r="AB22" s="172" t="str">
        <f t="shared" si="24"/>
        <v/>
      </c>
      <c r="AC22" s="172" t="str">
        <f t="shared" si="24"/>
        <v/>
      </c>
      <c r="AD22" s="172" t="str">
        <f t="shared" si="24"/>
        <v/>
      </c>
      <c r="AE22" s="172" t="str">
        <f t="shared" si="24"/>
        <v/>
      </c>
      <c r="AF22" s="172" t="str">
        <f t="shared" si="24"/>
        <v/>
      </c>
      <c r="AG22" s="172" t="str">
        <f t="shared" si="24"/>
        <v/>
      </c>
      <c r="AH22" s="172" t="str">
        <f t="shared" si="24"/>
        <v/>
      </c>
      <c r="AI22" s="172" t="str">
        <f t="shared" si="24"/>
        <v/>
      </c>
      <c r="AJ22" s="172" t="str">
        <f t="shared" si="24"/>
        <v/>
      </c>
      <c r="AK22" s="172" t="str">
        <f t="shared" si="24"/>
        <v/>
      </c>
      <c r="AL22" s="172" t="str">
        <f t="shared" si="24"/>
        <v/>
      </c>
      <c r="AM22" s="172" t="str">
        <f t="shared" si="24"/>
        <v/>
      </c>
      <c r="AN22" s="172" t="str">
        <f t="shared" si="24"/>
        <v/>
      </c>
      <c r="AO22" s="172" t="str">
        <f t="shared" si="24"/>
        <v/>
      </c>
      <c r="AP22" s="172" t="str">
        <f t="shared" si="24"/>
        <v/>
      </c>
      <c r="AQ22" s="172" t="str">
        <f t="shared" si="24"/>
        <v/>
      </c>
      <c r="AR22" s="172" t="str">
        <f t="shared" si="24"/>
        <v/>
      </c>
      <c r="AS22" s="172" t="str">
        <f t="shared" si="24"/>
        <v/>
      </c>
      <c r="AT22" s="173">
        <f>IF(AT$6="","",IF(AT$3="Maior",iferror(VLOOKUP($R22,Capa!$A:$AJ,AT$5,0),0),IF(ISERROR(1/VLOOKUP($R22,Capa!$A:$AJ,AT$5,0)),0,1/VLOOKUP($R22,Capa!$A:$AJ,AT$5,0))))</f>
        <v>-0.3003168088</v>
      </c>
      <c r="AU22" s="174">
        <f>IF(AU$6="","",IF(AU$3="Maior",iferror(VLOOKUP($R22,Capa!$A:$AJ,AU$5,0),0),IF(ISERROR(1/VLOOKUP($R22,Capa!$A:$AJ,AU$5,0)),0,1/VLOOKUP($R22,Capa!$A:$AJ,AU$5,0))))</f>
        <v>6.4</v>
      </c>
      <c r="AV22" s="174" t="str">
        <f>IF(AV$6="","",IF(AV$3="Maior",iferror(VLOOKUP($R22,Capa!$A:$AJ,AV$5,0),0),IF(ISERROR(1/VLOOKUP($R22,Capa!$A:$AJ,AV$5,0)),0,1/VLOOKUP($R22,Capa!$A:$AJ,AV$5,0))))</f>
        <v/>
      </c>
      <c r="AW22" s="174" t="str">
        <f>IF(AW$6="","",IF(AW$3="Maior",iferror(VLOOKUP($R22,Capa!$A:$AJ,AW$5,0),0),IF(ISERROR(1/VLOOKUP($R22,Capa!$A:$AJ,AW$5,0)),0,1/VLOOKUP($R22,Capa!$A:$AJ,AW$5,0))))</f>
        <v/>
      </c>
      <c r="AX22" s="174" t="str">
        <f>IF(AX$6="","",IF(AX$3="Maior",iferror(VLOOKUP($R22,Capa!$A:$AJ,AX$5,0),0),IF(ISERROR(1/VLOOKUP($R22,Capa!$A:$AJ,AX$5,0)),0,1/VLOOKUP($R22,Capa!$A:$AJ,AX$5,0))))</f>
        <v/>
      </c>
      <c r="AY22" s="174" t="str">
        <f>IF(AY$6="","",IF(AY$3="Maior",iferror(VLOOKUP($R22,Capa!$A:$AJ,AY$5,0),0),IF(ISERROR(1/VLOOKUP($R22,Capa!$A:$AJ,AY$5,0)),0,1/VLOOKUP($R22,Capa!$A:$AJ,AY$5,0))))</f>
        <v/>
      </c>
      <c r="AZ22" s="174" t="str">
        <f>IF(AZ$6="","",IF(AZ$3="Maior",iferror(VLOOKUP($R22,Capa!$A:$AJ,AZ$5,0),0),IF(ISERROR(1/VLOOKUP($R22,Capa!$A:$AJ,AZ$5,0)),0,1/VLOOKUP($R22,Capa!$A:$AJ,AZ$5,0))))</f>
        <v/>
      </c>
      <c r="BA22" s="174" t="str">
        <f>IF(BA$6="","",IF(BA$3="Maior",iferror(VLOOKUP($R22,Capa!$A:$AJ,BA$5,0),0),IF(ISERROR(1/VLOOKUP($R22,Capa!$A:$AJ,BA$5,0)),0,1/VLOOKUP($R22,Capa!$A:$AJ,BA$5,0))))</f>
        <v/>
      </c>
      <c r="BB22" s="174" t="str">
        <f>IF(BB$6="","",IF(BB$3="Maior",iferror(VLOOKUP($R22,Capa!$A:$AJ,BB$5,0),0),IF(ISERROR(1/VLOOKUP($R22,Capa!$A:$AJ,BB$5,0)),0,1/VLOOKUP($R22,Capa!$A:$AJ,BB$5,0))))</f>
        <v/>
      </c>
      <c r="BC22" s="174" t="str">
        <f>IF(BC$6="","",IF(BC$3="Maior",iferror(VLOOKUP($R22,Capa!$A:$AJ,BC$5,0),0),IF(ISERROR(1/VLOOKUP($R22,Capa!$A:$AJ,BC$5,0)),0,1/VLOOKUP($R22,Capa!$A:$AJ,BC$5,0))))</f>
        <v/>
      </c>
      <c r="BD22" s="174" t="str">
        <f>IF(BD$6="","",IF(BD$3="Maior",iferror(VLOOKUP($R22,Capa!$A:$AJ,BD$5,0),0),IF(ISERROR(1/VLOOKUP($R22,Capa!$A:$AJ,BD$5,0)),0,1/VLOOKUP($R22,Capa!$A:$AJ,BD$5,0))))</f>
        <v/>
      </c>
      <c r="BE22" s="174" t="str">
        <f>IF(BE$6="","",IF(BE$3="Maior",iferror(VLOOKUP($R22,Capa!$A:$AJ,BE$5,0),0),IF(ISERROR(1/VLOOKUP($R22,Capa!$A:$AJ,BE$5,0)),0,1/VLOOKUP($R22,Capa!$A:$AJ,BE$5,0))))</f>
        <v/>
      </c>
      <c r="BF22" s="174" t="str">
        <f>IF(BF$6="","",IF(BF$3="Maior",iferror(VLOOKUP($R22,Capa!$A:$AJ,BF$5,0),0),IF(ISERROR(1/VLOOKUP($R22,Capa!$A:$AJ,BF$5,0)),0,1/VLOOKUP($R22,Capa!$A:$AJ,BF$5,0))))</f>
        <v/>
      </c>
      <c r="BG22" s="174" t="str">
        <f>IF(BG$6="","",IF(BG$3="Maior",iferror(VLOOKUP($R22,Capa!$A:$AJ,BG$5,0),0),IF(ISERROR(1/VLOOKUP($R22,Capa!$A:$AJ,BG$5,0)),0,1/VLOOKUP($R22,Capa!$A:$AJ,BG$5,0))))</f>
        <v/>
      </c>
      <c r="BH22" s="174" t="str">
        <f>IF(BH$6="","",IF(BH$3="Maior",iferror(VLOOKUP($R22,Capa!$A:$AJ,BH$5,0),0),IF(ISERROR(1/VLOOKUP($R22,Capa!$A:$AJ,BH$5,0)),0,1/VLOOKUP($R22,Capa!$A:$AJ,BH$5,0))))</f>
        <v/>
      </c>
      <c r="BI22" s="174" t="str">
        <f>IF(BI$6="","",IF(BI$3="Maior",iferror(VLOOKUP($R22,Capa!$A:$AJ,BI$5,0),0),IF(ISERROR(1/VLOOKUP($R22,Capa!$A:$AJ,BI$5,0)),0,1/VLOOKUP($R22,Capa!$A:$AJ,BI$5,0))))</f>
        <v/>
      </c>
      <c r="BJ22" s="174" t="str">
        <f>IF(BJ$6="","",IF(BJ$3="Maior",iferror(VLOOKUP($R22,Capa!$A:$AJ,BJ$5,0),0),IF(ISERROR(1/VLOOKUP($R22,Capa!$A:$AJ,BJ$5,0)),0,1/VLOOKUP($R22,Capa!$A:$AJ,BJ$5,0))))</f>
        <v/>
      </c>
      <c r="BK22" s="174" t="str">
        <f>IF(BK$6="","",IF(BK$3="Maior",iferror(VLOOKUP($R22,Capa!$A:$AJ,BK$5,0),0),IF(ISERROR(1/VLOOKUP($R22,Capa!$A:$AJ,BK$5,0)),0,1/VLOOKUP($R22,Capa!$A:$AJ,BK$5,0))))</f>
        <v/>
      </c>
      <c r="BL22" s="174" t="str">
        <f>IF(BL$6="","",IF(BL$3="Maior",iferror(VLOOKUP($R22,Capa!$A:$AJ,BL$5,0),0),IF(ISERROR(1/VLOOKUP($R22,Capa!$A:$AJ,BL$5,0)),0,1/VLOOKUP($R22,Capa!$A:$AJ,BL$5,0))))</f>
        <v/>
      </c>
      <c r="BM22" s="174" t="str">
        <f>IF(BM$6="","",IF(BM$3="Maior",iferror(VLOOKUP($R22,Capa!$A:$AJ,BM$5,0),0),IF(ISERROR(1/VLOOKUP($R22,Capa!$A:$AJ,BM$5,0)),0,1/VLOOKUP($R22,Capa!$A:$AJ,BM$5,0))))</f>
        <v/>
      </c>
      <c r="BN22" s="174" t="str">
        <f>IF(BN$6="","",IF(BN$3="Maior",iferror(VLOOKUP($R22,Capa!$A:$AJ,BN$5,0),0),IF(ISERROR(1/VLOOKUP($R22,Capa!$A:$AJ,BN$5,0)),0,1/VLOOKUP($R22,Capa!$A:$AJ,BN$5,0))))</f>
        <v/>
      </c>
      <c r="BO22" s="174" t="str">
        <f>IF(BO$6="","",IF(BO$3="Maior",iferror(VLOOKUP($R22,Capa!$A:$AJ,BO$5,0),0),IF(ISERROR(1/VLOOKUP($R22,Capa!$A:$AJ,BO$5,0)),0,1/VLOOKUP($R22,Capa!$A:$AJ,BO$5,0))))</f>
        <v/>
      </c>
      <c r="BP22" s="174" t="str">
        <f>IF(BP$6="","",IF(BP$3="Maior",iferror(VLOOKUP($R22,Capa!$A:$AJ,BP$5,0),0),IF(ISERROR(1/VLOOKUP($R22,Capa!$A:$AJ,BP$5,0)),0,1/VLOOKUP($R22,Capa!$A:$AJ,BP$5,0))))</f>
        <v/>
      </c>
      <c r="BQ22" s="174" t="str">
        <f>IF(BQ$6="","",IF(BQ$3="Maior",iferror(VLOOKUP($R22,Capa!$A:$AJ,BQ$5,0),0),IF(ISERROR(1/VLOOKUP($R22,Capa!$A:$AJ,BQ$5,0)),0,1/VLOOKUP($R22,Capa!$A:$AJ,BQ$5,0))))</f>
        <v/>
      </c>
      <c r="BR22" s="175"/>
      <c r="BS22" s="147"/>
    </row>
    <row r="23">
      <c r="B23" s="83" t="str">
        <f t="shared" si="22"/>
        <v/>
      </c>
      <c r="C23" s="184" t="s">
        <v>20</v>
      </c>
      <c r="D23" s="82" t="b">
        <v>0</v>
      </c>
      <c r="E23" s="185" t="s">
        <v>1748</v>
      </c>
      <c r="F23" s="82">
        <f>MATCH(C23,Capa!$6:$6,0)</f>
        <v>16</v>
      </c>
      <c r="G23" s="11"/>
      <c r="H23" s="8">
        <v>17.0</v>
      </c>
      <c r="I23" s="165" t="str">
        <f t="shared" si="6"/>
        <v>BBDC3</v>
      </c>
      <c r="J23" s="166" t="str">
        <f>(VLOOKUP($I23,Capa!$A:$B,2,0))</f>
        <v>Banco Bradesco Cedear</v>
      </c>
      <c r="K23" s="167" t="str">
        <f>VLOOKUP(left(I23,4),Setor!A:D,3,0)&amp;" | "&amp;VLOOKUP(left(I23,4),Setor!A:D,4,0)</f>
        <v>Financeiro | Intermediários Financeiros</v>
      </c>
      <c r="L23" s="168">
        <f>(VLOOKUP($I23,Capa!$A:$F,6,0))</f>
        <v>5060</v>
      </c>
      <c r="M23" s="168">
        <f t="shared" si="7"/>
        <v>136000000</v>
      </c>
      <c r="N23" s="11" t="str">
        <f>IFERROR(__xludf.DUMMYFUNCTION("(VLOOKUP($I23,Capa!$A:$H,7,0))"),"")</f>
        <v/>
      </c>
      <c r="O23" s="169">
        <f>(VLOOKUP($I23,Capa!$A:$H,8,0))</f>
        <v>0.03901437372</v>
      </c>
      <c r="P23" s="11" t="str">
        <f>IFERROR(__xludf.DUMMYFUNCTION("(VLOOKUP($I23,Capa!$A:$J,10,0))"),"")</f>
        <v/>
      </c>
      <c r="Q23" s="169">
        <f>(VLOOKUP($I23,Capa!$A:$K,11,0))</f>
        <v>1.162393162</v>
      </c>
      <c r="R23" s="45" t="str">
        <f>'Dados StatusInvest'!A18</f>
        <v>ALPK3</v>
      </c>
      <c r="S23" s="170">
        <f t="shared" si="8"/>
        <v>672.0672</v>
      </c>
      <c r="T23" s="171">
        <f>VLOOKUP(R23,'Dados StatusInvest'!A:Z,26,0)</f>
        <v>997644.2</v>
      </c>
      <c r="U23" s="172">
        <f t="shared" ref="U23:AS23" si="25">IF(AT23="","", RANK(AT23,AT$7:AT$626,0)+RANK(AT23,AT$7:AT$626,0)/10000)</f>
        <v>405.0405</v>
      </c>
      <c r="V23" s="172">
        <f t="shared" si="25"/>
        <v>267.0267</v>
      </c>
      <c r="W23" s="172" t="str">
        <f t="shared" si="25"/>
        <v/>
      </c>
      <c r="X23" s="172" t="str">
        <f t="shared" si="25"/>
        <v/>
      </c>
      <c r="Y23" s="172" t="str">
        <f t="shared" si="25"/>
        <v/>
      </c>
      <c r="Z23" s="172" t="str">
        <f t="shared" si="25"/>
        <v/>
      </c>
      <c r="AA23" s="172" t="str">
        <f t="shared" si="25"/>
        <v/>
      </c>
      <c r="AB23" s="172" t="str">
        <f t="shared" si="25"/>
        <v/>
      </c>
      <c r="AC23" s="172" t="str">
        <f t="shared" si="25"/>
        <v/>
      </c>
      <c r="AD23" s="172" t="str">
        <f t="shared" si="25"/>
        <v/>
      </c>
      <c r="AE23" s="172" t="str">
        <f t="shared" si="25"/>
        <v/>
      </c>
      <c r="AF23" s="172" t="str">
        <f t="shared" si="25"/>
        <v/>
      </c>
      <c r="AG23" s="172" t="str">
        <f t="shared" si="25"/>
        <v/>
      </c>
      <c r="AH23" s="172" t="str">
        <f t="shared" si="25"/>
        <v/>
      </c>
      <c r="AI23" s="172" t="str">
        <f t="shared" si="25"/>
        <v/>
      </c>
      <c r="AJ23" s="172" t="str">
        <f t="shared" si="25"/>
        <v/>
      </c>
      <c r="AK23" s="172" t="str">
        <f t="shared" si="25"/>
        <v/>
      </c>
      <c r="AL23" s="172" t="str">
        <f t="shared" si="25"/>
        <v/>
      </c>
      <c r="AM23" s="172" t="str">
        <f t="shared" si="25"/>
        <v/>
      </c>
      <c r="AN23" s="172" t="str">
        <f t="shared" si="25"/>
        <v/>
      </c>
      <c r="AO23" s="172" t="str">
        <f t="shared" si="25"/>
        <v/>
      </c>
      <c r="AP23" s="172" t="str">
        <f t="shared" si="25"/>
        <v/>
      </c>
      <c r="AQ23" s="172" t="str">
        <f t="shared" si="25"/>
        <v/>
      </c>
      <c r="AR23" s="172" t="str">
        <f t="shared" si="25"/>
        <v/>
      </c>
      <c r="AS23" s="172" t="str">
        <f t="shared" si="25"/>
        <v/>
      </c>
      <c r="AT23" s="173">
        <f>IF(AT$6="","",IF(AT$3="Maior",iferror(VLOOKUP($R23,Capa!$A:$AJ,AT$5,0),0),IF(ISERROR(1/VLOOKUP($R23,Capa!$A:$AJ,AT$5,0)),0,1/VLOOKUP($R23,Capa!$A:$AJ,AT$5,0))))</f>
        <v>-1.42841713</v>
      </c>
      <c r="AU23" s="174">
        <f>IF(AU$6="","",IF(AU$3="Maior",iferror(VLOOKUP($R23,Capa!$A:$AJ,AU$5,0),0),IF(ISERROR(1/VLOOKUP($R23,Capa!$A:$AJ,AU$5,0)),0,1/VLOOKUP($R23,Capa!$A:$AJ,AU$5,0))))</f>
        <v>0</v>
      </c>
      <c r="AV23" s="174" t="str">
        <f>IF(AV$6="","",IF(AV$3="Maior",iferror(VLOOKUP($R23,Capa!$A:$AJ,AV$5,0),0),IF(ISERROR(1/VLOOKUP($R23,Capa!$A:$AJ,AV$5,0)),0,1/VLOOKUP($R23,Capa!$A:$AJ,AV$5,0))))</f>
        <v/>
      </c>
      <c r="AW23" s="174" t="str">
        <f>IF(AW$6="","",IF(AW$3="Maior",iferror(VLOOKUP($R23,Capa!$A:$AJ,AW$5,0),0),IF(ISERROR(1/VLOOKUP($R23,Capa!$A:$AJ,AW$5,0)),0,1/VLOOKUP($R23,Capa!$A:$AJ,AW$5,0))))</f>
        <v/>
      </c>
      <c r="AX23" s="174" t="str">
        <f>IF(AX$6="","",IF(AX$3="Maior",iferror(VLOOKUP($R23,Capa!$A:$AJ,AX$5,0),0),IF(ISERROR(1/VLOOKUP($R23,Capa!$A:$AJ,AX$5,0)),0,1/VLOOKUP($R23,Capa!$A:$AJ,AX$5,0))))</f>
        <v/>
      </c>
      <c r="AY23" s="174" t="str">
        <f>IF(AY$6="","",IF(AY$3="Maior",iferror(VLOOKUP($R23,Capa!$A:$AJ,AY$5,0),0),IF(ISERROR(1/VLOOKUP($R23,Capa!$A:$AJ,AY$5,0)),0,1/VLOOKUP($R23,Capa!$A:$AJ,AY$5,0))))</f>
        <v/>
      </c>
      <c r="AZ23" s="174" t="str">
        <f>IF(AZ$6="","",IF(AZ$3="Maior",iferror(VLOOKUP($R23,Capa!$A:$AJ,AZ$5,0),0),IF(ISERROR(1/VLOOKUP($R23,Capa!$A:$AJ,AZ$5,0)),0,1/VLOOKUP($R23,Capa!$A:$AJ,AZ$5,0))))</f>
        <v/>
      </c>
      <c r="BA23" s="174" t="str">
        <f>IF(BA$6="","",IF(BA$3="Maior",iferror(VLOOKUP($R23,Capa!$A:$AJ,BA$5,0),0),IF(ISERROR(1/VLOOKUP($R23,Capa!$A:$AJ,BA$5,0)),0,1/VLOOKUP($R23,Capa!$A:$AJ,BA$5,0))))</f>
        <v/>
      </c>
      <c r="BB23" s="174" t="str">
        <f>IF(BB$6="","",IF(BB$3="Maior",iferror(VLOOKUP($R23,Capa!$A:$AJ,BB$5,0),0),IF(ISERROR(1/VLOOKUP($R23,Capa!$A:$AJ,BB$5,0)),0,1/VLOOKUP($R23,Capa!$A:$AJ,BB$5,0))))</f>
        <v/>
      </c>
      <c r="BC23" s="174" t="str">
        <f>IF(BC$6="","",IF(BC$3="Maior",iferror(VLOOKUP($R23,Capa!$A:$AJ,BC$5,0),0),IF(ISERROR(1/VLOOKUP($R23,Capa!$A:$AJ,BC$5,0)),0,1/VLOOKUP($R23,Capa!$A:$AJ,BC$5,0))))</f>
        <v/>
      </c>
      <c r="BD23" s="174" t="str">
        <f>IF(BD$6="","",IF(BD$3="Maior",iferror(VLOOKUP($R23,Capa!$A:$AJ,BD$5,0),0),IF(ISERROR(1/VLOOKUP($R23,Capa!$A:$AJ,BD$5,0)),0,1/VLOOKUP($R23,Capa!$A:$AJ,BD$5,0))))</f>
        <v/>
      </c>
      <c r="BE23" s="174" t="str">
        <f>IF(BE$6="","",IF(BE$3="Maior",iferror(VLOOKUP($R23,Capa!$A:$AJ,BE$5,0),0),IF(ISERROR(1/VLOOKUP($R23,Capa!$A:$AJ,BE$5,0)),0,1/VLOOKUP($R23,Capa!$A:$AJ,BE$5,0))))</f>
        <v/>
      </c>
      <c r="BF23" s="174" t="str">
        <f>IF(BF$6="","",IF(BF$3="Maior",iferror(VLOOKUP($R23,Capa!$A:$AJ,BF$5,0),0),IF(ISERROR(1/VLOOKUP($R23,Capa!$A:$AJ,BF$5,0)),0,1/VLOOKUP($R23,Capa!$A:$AJ,BF$5,0))))</f>
        <v/>
      </c>
      <c r="BG23" s="174" t="str">
        <f>IF(BG$6="","",IF(BG$3="Maior",iferror(VLOOKUP($R23,Capa!$A:$AJ,BG$5,0),0),IF(ISERROR(1/VLOOKUP($R23,Capa!$A:$AJ,BG$5,0)),0,1/VLOOKUP($R23,Capa!$A:$AJ,BG$5,0))))</f>
        <v/>
      </c>
      <c r="BH23" s="174" t="str">
        <f>IF(BH$6="","",IF(BH$3="Maior",iferror(VLOOKUP($R23,Capa!$A:$AJ,BH$5,0),0),IF(ISERROR(1/VLOOKUP($R23,Capa!$A:$AJ,BH$5,0)),0,1/VLOOKUP($R23,Capa!$A:$AJ,BH$5,0))))</f>
        <v/>
      </c>
      <c r="BI23" s="174" t="str">
        <f>IF(BI$6="","",IF(BI$3="Maior",iferror(VLOOKUP($R23,Capa!$A:$AJ,BI$5,0),0),IF(ISERROR(1/VLOOKUP($R23,Capa!$A:$AJ,BI$5,0)),0,1/VLOOKUP($R23,Capa!$A:$AJ,BI$5,0))))</f>
        <v/>
      </c>
      <c r="BJ23" s="174" t="str">
        <f>IF(BJ$6="","",IF(BJ$3="Maior",iferror(VLOOKUP($R23,Capa!$A:$AJ,BJ$5,0),0),IF(ISERROR(1/VLOOKUP($R23,Capa!$A:$AJ,BJ$5,0)),0,1/VLOOKUP($R23,Capa!$A:$AJ,BJ$5,0))))</f>
        <v/>
      </c>
      <c r="BK23" s="174" t="str">
        <f>IF(BK$6="","",IF(BK$3="Maior",iferror(VLOOKUP($R23,Capa!$A:$AJ,BK$5,0),0),IF(ISERROR(1/VLOOKUP($R23,Capa!$A:$AJ,BK$5,0)),0,1/VLOOKUP($R23,Capa!$A:$AJ,BK$5,0))))</f>
        <v/>
      </c>
      <c r="BL23" s="174" t="str">
        <f>IF(BL$6="","",IF(BL$3="Maior",iferror(VLOOKUP($R23,Capa!$A:$AJ,BL$5,0),0),IF(ISERROR(1/VLOOKUP($R23,Capa!$A:$AJ,BL$5,0)),0,1/VLOOKUP($R23,Capa!$A:$AJ,BL$5,0))))</f>
        <v/>
      </c>
      <c r="BM23" s="174" t="str">
        <f>IF(BM$6="","",IF(BM$3="Maior",iferror(VLOOKUP($R23,Capa!$A:$AJ,BM$5,0),0),IF(ISERROR(1/VLOOKUP($R23,Capa!$A:$AJ,BM$5,0)),0,1/VLOOKUP($R23,Capa!$A:$AJ,BM$5,0))))</f>
        <v/>
      </c>
      <c r="BN23" s="174" t="str">
        <f>IF(BN$6="","",IF(BN$3="Maior",iferror(VLOOKUP($R23,Capa!$A:$AJ,BN$5,0),0),IF(ISERROR(1/VLOOKUP($R23,Capa!$A:$AJ,BN$5,0)),0,1/VLOOKUP($R23,Capa!$A:$AJ,BN$5,0))))</f>
        <v/>
      </c>
      <c r="BO23" s="174" t="str">
        <f>IF(BO$6="","",IF(BO$3="Maior",iferror(VLOOKUP($R23,Capa!$A:$AJ,BO$5,0),0),IF(ISERROR(1/VLOOKUP($R23,Capa!$A:$AJ,BO$5,0)),0,1/VLOOKUP($R23,Capa!$A:$AJ,BO$5,0))))</f>
        <v/>
      </c>
      <c r="BP23" s="174" t="str">
        <f>IF(BP$6="","",IF(BP$3="Maior",iferror(VLOOKUP($R23,Capa!$A:$AJ,BP$5,0),0),IF(ISERROR(1/VLOOKUP($R23,Capa!$A:$AJ,BP$5,0)),0,1/VLOOKUP($R23,Capa!$A:$AJ,BP$5,0))))</f>
        <v/>
      </c>
      <c r="BQ23" s="174" t="str">
        <f>IF(BQ$6="","",IF(BQ$3="Maior",iferror(VLOOKUP($R23,Capa!$A:$AJ,BQ$5,0),0),IF(ISERROR(1/VLOOKUP($R23,Capa!$A:$AJ,BQ$5,0)),0,1/VLOOKUP($R23,Capa!$A:$AJ,BQ$5,0))))</f>
        <v/>
      </c>
      <c r="BR23" s="175"/>
      <c r="BS23" s="147"/>
    </row>
    <row r="24">
      <c r="B24" s="83" t="str">
        <f t="shared" si="22"/>
        <v/>
      </c>
      <c r="C24" s="184" t="s">
        <v>21</v>
      </c>
      <c r="D24" s="82" t="b">
        <v>0</v>
      </c>
      <c r="E24" s="185" t="s">
        <v>1747</v>
      </c>
      <c r="F24" s="82">
        <f>MATCH(C24,Capa!$6:$6,0)</f>
        <v>17</v>
      </c>
      <c r="G24" s="11"/>
      <c r="H24" s="8">
        <v>18.0</v>
      </c>
      <c r="I24" s="165" t="str">
        <f t="shared" si="6"/>
        <v>BMOB3</v>
      </c>
      <c r="J24" s="166" t="str">
        <f>(VLOOKUP($I24,Capa!$A:$B,2,0))</f>
        <v>Bemobi Mobile Tech SA</v>
      </c>
      <c r="K24" s="167" t="str">
        <f>VLOOKUP(left(I24,4),Setor!A:D,3,0)&amp;" | "&amp;VLOOKUP(left(I24,4),Setor!A:D,4,0)</f>
        <v>#N/A</v>
      </c>
      <c r="L24" s="168">
        <f>(VLOOKUP($I24,Capa!$A:$F,6,0))</f>
        <v>24.72</v>
      </c>
      <c r="M24" s="168">
        <f t="shared" si="7"/>
        <v>10326971</v>
      </c>
      <c r="N24" s="11" t="str">
        <f>IFERROR(__xludf.DUMMYFUNCTION("(VLOOKUP($I24,Capa!$A:$H,7,0))"),"")</f>
        <v/>
      </c>
      <c r="O24" s="169">
        <f>(VLOOKUP($I24,Capa!$A:$H,8,0))</f>
        <v>0.03691275168</v>
      </c>
      <c r="P24" s="11" t="str">
        <f>IFERROR(__xludf.DUMMYFUNCTION("(VLOOKUP($I24,Capa!$A:$J,10,0))"),"")</f>
        <v/>
      </c>
      <c r="Q24" s="169">
        <f>(VLOOKUP($I24,Capa!$A:$K,11,0))</f>
        <v>0.7154753643</v>
      </c>
      <c r="R24" s="45" t="str">
        <f>'Dados StatusInvest'!A19</f>
        <v>ALUP11</v>
      </c>
      <c r="S24" s="170">
        <f t="shared" si="8"/>
        <v>688.0688</v>
      </c>
      <c r="T24" s="171">
        <f>VLOOKUP(R24,'Dados StatusInvest'!A:Z,26,0)</f>
        <v>32185667</v>
      </c>
      <c r="U24" s="172">
        <f t="shared" ref="U24:AS24" si="26">IF(AT24="","", RANK(AT24,AT$7:AT$626,0)+RANK(AT24,AT$7:AT$626,0)/10000)</f>
        <v>451.0451</v>
      </c>
      <c r="V24" s="172">
        <f t="shared" si="26"/>
        <v>237.0237</v>
      </c>
      <c r="W24" s="172" t="str">
        <f t="shared" si="26"/>
        <v/>
      </c>
      <c r="X24" s="172" t="str">
        <f t="shared" si="26"/>
        <v/>
      </c>
      <c r="Y24" s="172" t="str">
        <f t="shared" si="26"/>
        <v/>
      </c>
      <c r="Z24" s="172" t="str">
        <f t="shared" si="26"/>
        <v/>
      </c>
      <c r="AA24" s="172" t="str">
        <f t="shared" si="26"/>
        <v/>
      </c>
      <c r="AB24" s="172" t="str">
        <f t="shared" si="26"/>
        <v/>
      </c>
      <c r="AC24" s="172" t="str">
        <f t="shared" si="26"/>
        <v/>
      </c>
      <c r="AD24" s="172" t="str">
        <f t="shared" si="26"/>
        <v/>
      </c>
      <c r="AE24" s="172" t="str">
        <f t="shared" si="26"/>
        <v/>
      </c>
      <c r="AF24" s="172" t="str">
        <f t="shared" si="26"/>
        <v/>
      </c>
      <c r="AG24" s="172" t="str">
        <f t="shared" si="26"/>
        <v/>
      </c>
      <c r="AH24" s="172" t="str">
        <f t="shared" si="26"/>
        <v/>
      </c>
      <c r="AI24" s="172" t="str">
        <f t="shared" si="26"/>
        <v/>
      </c>
      <c r="AJ24" s="172" t="str">
        <f t="shared" si="26"/>
        <v/>
      </c>
      <c r="AK24" s="172" t="str">
        <f t="shared" si="26"/>
        <v/>
      </c>
      <c r="AL24" s="172" t="str">
        <f t="shared" si="26"/>
        <v/>
      </c>
      <c r="AM24" s="172" t="str">
        <f t="shared" si="26"/>
        <v/>
      </c>
      <c r="AN24" s="172" t="str">
        <f t="shared" si="26"/>
        <v/>
      </c>
      <c r="AO24" s="172" t="str">
        <f t="shared" si="26"/>
        <v/>
      </c>
      <c r="AP24" s="172" t="str">
        <f t="shared" si="26"/>
        <v/>
      </c>
      <c r="AQ24" s="172" t="str">
        <f t="shared" si="26"/>
        <v/>
      </c>
      <c r="AR24" s="172" t="str">
        <f t="shared" si="26"/>
        <v/>
      </c>
      <c r="AS24" s="172" t="str">
        <f t="shared" si="26"/>
        <v/>
      </c>
      <c r="AT24" s="173">
        <f>IF(AT$6="","",IF(AT$3="Maior",iferror(VLOOKUP($R24,Capa!$A:$AJ,AT$5,0),0),IF(ISERROR(1/VLOOKUP($R24,Capa!$A:$AJ,AT$5,0)),0,1/VLOOKUP($R24,Capa!$A:$AJ,AT$5,0))))</f>
        <v>-2.061143252</v>
      </c>
      <c r="AU24" s="174">
        <f>IF(AU$6="","",IF(AU$3="Maior",iferror(VLOOKUP($R24,Capa!$A:$AJ,AU$5,0),0),IF(ISERROR(1/VLOOKUP($R24,Capa!$A:$AJ,AU$5,0)),0,1/VLOOKUP($R24,Capa!$A:$AJ,AU$5,0))))</f>
        <v>5.5</v>
      </c>
      <c r="AV24" s="174" t="str">
        <f>IF(AV$6="","",IF(AV$3="Maior",iferror(VLOOKUP($R24,Capa!$A:$AJ,AV$5,0),0),IF(ISERROR(1/VLOOKUP($R24,Capa!$A:$AJ,AV$5,0)),0,1/VLOOKUP($R24,Capa!$A:$AJ,AV$5,0))))</f>
        <v/>
      </c>
      <c r="AW24" s="174" t="str">
        <f>IF(AW$6="","",IF(AW$3="Maior",iferror(VLOOKUP($R24,Capa!$A:$AJ,AW$5,0),0),IF(ISERROR(1/VLOOKUP($R24,Capa!$A:$AJ,AW$5,0)),0,1/VLOOKUP($R24,Capa!$A:$AJ,AW$5,0))))</f>
        <v/>
      </c>
      <c r="AX24" s="174" t="str">
        <f>IF(AX$6="","",IF(AX$3="Maior",iferror(VLOOKUP($R24,Capa!$A:$AJ,AX$5,0),0),IF(ISERROR(1/VLOOKUP($R24,Capa!$A:$AJ,AX$5,0)),0,1/VLOOKUP($R24,Capa!$A:$AJ,AX$5,0))))</f>
        <v/>
      </c>
      <c r="AY24" s="174" t="str">
        <f>IF(AY$6="","",IF(AY$3="Maior",iferror(VLOOKUP($R24,Capa!$A:$AJ,AY$5,0),0),IF(ISERROR(1/VLOOKUP($R24,Capa!$A:$AJ,AY$5,0)),0,1/VLOOKUP($R24,Capa!$A:$AJ,AY$5,0))))</f>
        <v/>
      </c>
      <c r="AZ24" s="174" t="str">
        <f>IF(AZ$6="","",IF(AZ$3="Maior",iferror(VLOOKUP($R24,Capa!$A:$AJ,AZ$5,0),0),IF(ISERROR(1/VLOOKUP($R24,Capa!$A:$AJ,AZ$5,0)),0,1/VLOOKUP($R24,Capa!$A:$AJ,AZ$5,0))))</f>
        <v/>
      </c>
      <c r="BA24" s="174" t="str">
        <f>IF(BA$6="","",IF(BA$3="Maior",iferror(VLOOKUP($R24,Capa!$A:$AJ,BA$5,0),0),IF(ISERROR(1/VLOOKUP($R24,Capa!$A:$AJ,BA$5,0)),0,1/VLOOKUP($R24,Capa!$A:$AJ,BA$5,0))))</f>
        <v/>
      </c>
      <c r="BB24" s="174" t="str">
        <f>IF(BB$6="","",IF(BB$3="Maior",iferror(VLOOKUP($R24,Capa!$A:$AJ,BB$5,0),0),IF(ISERROR(1/VLOOKUP($R24,Capa!$A:$AJ,BB$5,0)),0,1/VLOOKUP($R24,Capa!$A:$AJ,BB$5,0))))</f>
        <v/>
      </c>
      <c r="BC24" s="174" t="str">
        <f>IF(BC$6="","",IF(BC$3="Maior",iferror(VLOOKUP($R24,Capa!$A:$AJ,BC$5,0),0),IF(ISERROR(1/VLOOKUP($R24,Capa!$A:$AJ,BC$5,0)),0,1/VLOOKUP($R24,Capa!$A:$AJ,BC$5,0))))</f>
        <v/>
      </c>
      <c r="BD24" s="174" t="str">
        <f>IF(BD$6="","",IF(BD$3="Maior",iferror(VLOOKUP($R24,Capa!$A:$AJ,BD$5,0),0),IF(ISERROR(1/VLOOKUP($R24,Capa!$A:$AJ,BD$5,0)),0,1/VLOOKUP($R24,Capa!$A:$AJ,BD$5,0))))</f>
        <v/>
      </c>
      <c r="BE24" s="174" t="str">
        <f>IF(BE$6="","",IF(BE$3="Maior",iferror(VLOOKUP($R24,Capa!$A:$AJ,BE$5,0),0),IF(ISERROR(1/VLOOKUP($R24,Capa!$A:$AJ,BE$5,0)),0,1/VLOOKUP($R24,Capa!$A:$AJ,BE$5,0))))</f>
        <v/>
      </c>
      <c r="BF24" s="174" t="str">
        <f>IF(BF$6="","",IF(BF$3="Maior",iferror(VLOOKUP($R24,Capa!$A:$AJ,BF$5,0),0),IF(ISERROR(1/VLOOKUP($R24,Capa!$A:$AJ,BF$5,0)),0,1/VLOOKUP($R24,Capa!$A:$AJ,BF$5,0))))</f>
        <v/>
      </c>
      <c r="BG24" s="174" t="str">
        <f>IF(BG$6="","",IF(BG$3="Maior",iferror(VLOOKUP($R24,Capa!$A:$AJ,BG$5,0),0),IF(ISERROR(1/VLOOKUP($R24,Capa!$A:$AJ,BG$5,0)),0,1/VLOOKUP($R24,Capa!$A:$AJ,BG$5,0))))</f>
        <v/>
      </c>
      <c r="BH24" s="174" t="str">
        <f>IF(BH$6="","",IF(BH$3="Maior",iferror(VLOOKUP($R24,Capa!$A:$AJ,BH$5,0),0),IF(ISERROR(1/VLOOKUP($R24,Capa!$A:$AJ,BH$5,0)),0,1/VLOOKUP($R24,Capa!$A:$AJ,BH$5,0))))</f>
        <v/>
      </c>
      <c r="BI24" s="174" t="str">
        <f>IF(BI$6="","",IF(BI$3="Maior",iferror(VLOOKUP($R24,Capa!$A:$AJ,BI$5,0),0),IF(ISERROR(1/VLOOKUP($R24,Capa!$A:$AJ,BI$5,0)),0,1/VLOOKUP($R24,Capa!$A:$AJ,BI$5,0))))</f>
        <v/>
      </c>
      <c r="BJ24" s="174" t="str">
        <f>IF(BJ$6="","",IF(BJ$3="Maior",iferror(VLOOKUP($R24,Capa!$A:$AJ,BJ$5,0),0),IF(ISERROR(1/VLOOKUP($R24,Capa!$A:$AJ,BJ$5,0)),0,1/VLOOKUP($R24,Capa!$A:$AJ,BJ$5,0))))</f>
        <v/>
      </c>
      <c r="BK24" s="174" t="str">
        <f>IF(BK$6="","",IF(BK$3="Maior",iferror(VLOOKUP($R24,Capa!$A:$AJ,BK$5,0),0),IF(ISERROR(1/VLOOKUP($R24,Capa!$A:$AJ,BK$5,0)),0,1/VLOOKUP($R24,Capa!$A:$AJ,BK$5,0))))</f>
        <v/>
      </c>
      <c r="BL24" s="174" t="str">
        <f>IF(BL$6="","",IF(BL$3="Maior",iferror(VLOOKUP($R24,Capa!$A:$AJ,BL$5,0),0),IF(ISERROR(1/VLOOKUP($R24,Capa!$A:$AJ,BL$5,0)),0,1/VLOOKUP($R24,Capa!$A:$AJ,BL$5,0))))</f>
        <v/>
      </c>
      <c r="BM24" s="174" t="str">
        <f>IF(BM$6="","",IF(BM$3="Maior",iferror(VLOOKUP($R24,Capa!$A:$AJ,BM$5,0),0),IF(ISERROR(1/VLOOKUP($R24,Capa!$A:$AJ,BM$5,0)),0,1/VLOOKUP($R24,Capa!$A:$AJ,BM$5,0))))</f>
        <v/>
      </c>
      <c r="BN24" s="174" t="str">
        <f>IF(BN$6="","",IF(BN$3="Maior",iferror(VLOOKUP($R24,Capa!$A:$AJ,BN$5,0),0),IF(ISERROR(1/VLOOKUP($R24,Capa!$A:$AJ,BN$5,0)),0,1/VLOOKUP($R24,Capa!$A:$AJ,BN$5,0))))</f>
        <v/>
      </c>
      <c r="BO24" s="174" t="str">
        <f>IF(BO$6="","",IF(BO$3="Maior",iferror(VLOOKUP($R24,Capa!$A:$AJ,BO$5,0),0),IF(ISERROR(1/VLOOKUP($R24,Capa!$A:$AJ,BO$5,0)),0,1/VLOOKUP($R24,Capa!$A:$AJ,BO$5,0))))</f>
        <v/>
      </c>
      <c r="BP24" s="174" t="str">
        <f>IF(BP$6="","",IF(BP$3="Maior",iferror(VLOOKUP($R24,Capa!$A:$AJ,BP$5,0),0),IF(ISERROR(1/VLOOKUP($R24,Capa!$A:$AJ,BP$5,0)),0,1/VLOOKUP($R24,Capa!$A:$AJ,BP$5,0))))</f>
        <v/>
      </c>
      <c r="BQ24" s="174" t="str">
        <f>IF(BQ$6="","",IF(BQ$3="Maior",iferror(VLOOKUP($R24,Capa!$A:$AJ,BQ$5,0),0),IF(ISERROR(1/VLOOKUP($R24,Capa!$A:$AJ,BQ$5,0)),0,1/VLOOKUP($R24,Capa!$A:$AJ,BQ$5,0))))</f>
        <v/>
      </c>
      <c r="BR24" s="175"/>
      <c r="BS24" s="147"/>
    </row>
    <row r="25">
      <c r="B25" s="83" t="str">
        <f t="shared" si="22"/>
        <v/>
      </c>
      <c r="C25" s="184" t="s">
        <v>22</v>
      </c>
      <c r="D25" s="82" t="b">
        <v>0</v>
      </c>
      <c r="E25" s="185" t="s">
        <v>1747</v>
      </c>
      <c r="F25" s="82">
        <f>MATCH(C25,Capa!$6:$6,0)</f>
        <v>18</v>
      </c>
      <c r="G25" s="11"/>
      <c r="H25" s="8">
        <v>19.0</v>
      </c>
      <c r="I25" s="165" t="str">
        <f t="shared" si="6"/>
        <v>FRAS3</v>
      </c>
      <c r="J25" s="166" t="str">
        <f>(VLOOKUP($I25,Capa!$A:$B,2,0))</f>
        <v>Frasle Mobility SA</v>
      </c>
      <c r="K25" s="167" t="str">
        <f>VLOOKUP(left(I25,4),Setor!A:D,3,0)&amp;" | "&amp;VLOOKUP(left(I25,4),Setor!A:D,4,0)</f>
        <v>Bens Industriais | Material de Transporte</v>
      </c>
      <c r="L25" s="168">
        <f>(VLOOKUP($I25,Capa!$A:$F,6,0))</f>
        <v>23.71</v>
      </c>
      <c r="M25" s="168">
        <f t="shared" si="7"/>
        <v>6865960</v>
      </c>
      <c r="N25" s="11" t="str">
        <f>IFERROR(__xludf.DUMMYFUNCTION("(VLOOKUP($I25,Capa!$A:$H,7,0))"),"")</f>
        <v/>
      </c>
      <c r="O25" s="169">
        <f>(VLOOKUP($I25,Capa!$A:$H,8,0))</f>
        <v>-0.02708247846</v>
      </c>
      <c r="P25" s="11" t="str">
        <f>IFERROR(__xludf.DUMMYFUNCTION("(VLOOKUP($I25,Capa!$A:$J,10,0))"),"")</f>
        <v/>
      </c>
      <c r="Q25" s="169">
        <f>(VLOOKUP($I25,Capa!$A:$K,11,0))</f>
        <v>0.002536997886</v>
      </c>
      <c r="R25" s="45" t="str">
        <f>'Dados StatusInvest'!A20</f>
        <v>ALUP3</v>
      </c>
      <c r="S25" s="170">
        <f t="shared" si="8"/>
        <v>1696.0696</v>
      </c>
      <c r="T25" s="171">
        <f>VLOOKUP(R25,'Dados StatusInvest'!A:Z,26,0)</f>
        <v>120061.5</v>
      </c>
      <c r="U25" s="172">
        <f t="shared" ref="U25:AS25" si="27">IF(AT25="","", RANK(AT25,AT$7:AT$626,0)+RANK(AT25,AT$7:AT$626,0)/10000)</f>
        <v>459.0459</v>
      </c>
      <c r="V25" s="172">
        <f t="shared" si="27"/>
        <v>237.0237</v>
      </c>
      <c r="W25" s="172" t="str">
        <f t="shared" si="27"/>
        <v/>
      </c>
      <c r="X25" s="172" t="str">
        <f t="shared" si="27"/>
        <v/>
      </c>
      <c r="Y25" s="172" t="str">
        <f t="shared" si="27"/>
        <v/>
      </c>
      <c r="Z25" s="172" t="str">
        <f t="shared" si="27"/>
        <v/>
      </c>
      <c r="AA25" s="172" t="str">
        <f t="shared" si="27"/>
        <v/>
      </c>
      <c r="AB25" s="172" t="str">
        <f t="shared" si="27"/>
        <v/>
      </c>
      <c r="AC25" s="172" t="str">
        <f t="shared" si="27"/>
        <v/>
      </c>
      <c r="AD25" s="172" t="str">
        <f t="shared" si="27"/>
        <v/>
      </c>
      <c r="AE25" s="172" t="str">
        <f t="shared" si="27"/>
        <v/>
      </c>
      <c r="AF25" s="172" t="str">
        <f t="shared" si="27"/>
        <v/>
      </c>
      <c r="AG25" s="172" t="str">
        <f t="shared" si="27"/>
        <v/>
      </c>
      <c r="AH25" s="172" t="str">
        <f t="shared" si="27"/>
        <v/>
      </c>
      <c r="AI25" s="172" t="str">
        <f t="shared" si="27"/>
        <v/>
      </c>
      <c r="AJ25" s="172" t="str">
        <f t="shared" si="27"/>
        <v/>
      </c>
      <c r="AK25" s="172" t="str">
        <f t="shared" si="27"/>
        <v/>
      </c>
      <c r="AL25" s="172" t="str">
        <f t="shared" si="27"/>
        <v/>
      </c>
      <c r="AM25" s="172" t="str">
        <f t="shared" si="27"/>
        <v/>
      </c>
      <c r="AN25" s="172" t="str">
        <f t="shared" si="27"/>
        <v/>
      </c>
      <c r="AO25" s="172" t="str">
        <f t="shared" si="27"/>
        <v/>
      </c>
      <c r="AP25" s="172" t="str">
        <f t="shared" si="27"/>
        <v/>
      </c>
      <c r="AQ25" s="172" t="str">
        <f t="shared" si="27"/>
        <v/>
      </c>
      <c r="AR25" s="172" t="str">
        <f t="shared" si="27"/>
        <v/>
      </c>
      <c r="AS25" s="172" t="str">
        <f t="shared" si="27"/>
        <v/>
      </c>
      <c r="AT25" s="173">
        <f>IF(AT$6="","",IF(AT$3="Maior",iferror(VLOOKUP($R25,Capa!$A:$AJ,AT$5,0),0),IF(ISERROR(1/VLOOKUP($R25,Capa!$A:$AJ,AT$5,0)),0,1/VLOOKUP($R25,Capa!$A:$AJ,AT$5,0))))</f>
        <v>-2.203787074</v>
      </c>
      <c r="AU25" s="174">
        <f>IF(AU$6="","",IF(AU$3="Maior",iferror(VLOOKUP($R25,Capa!$A:$AJ,AU$5,0),0),IF(ISERROR(1/VLOOKUP($R25,Capa!$A:$AJ,AU$5,0)),0,1/VLOOKUP($R25,Capa!$A:$AJ,AU$5,0))))</f>
        <v>5.5</v>
      </c>
      <c r="AV25" s="174" t="str">
        <f>IF(AV$6="","",IF(AV$3="Maior",iferror(VLOOKUP($R25,Capa!$A:$AJ,AV$5,0),0),IF(ISERROR(1/VLOOKUP($R25,Capa!$A:$AJ,AV$5,0)),0,1/VLOOKUP($R25,Capa!$A:$AJ,AV$5,0))))</f>
        <v/>
      </c>
      <c r="AW25" s="174" t="str">
        <f>IF(AW$6="","",IF(AW$3="Maior",iferror(VLOOKUP($R25,Capa!$A:$AJ,AW$5,0),0),IF(ISERROR(1/VLOOKUP($R25,Capa!$A:$AJ,AW$5,0)),0,1/VLOOKUP($R25,Capa!$A:$AJ,AW$5,0))))</f>
        <v/>
      </c>
      <c r="AX25" s="174" t="str">
        <f>IF(AX$6="","",IF(AX$3="Maior",iferror(VLOOKUP($R25,Capa!$A:$AJ,AX$5,0),0),IF(ISERROR(1/VLOOKUP($R25,Capa!$A:$AJ,AX$5,0)),0,1/VLOOKUP($R25,Capa!$A:$AJ,AX$5,0))))</f>
        <v/>
      </c>
      <c r="AY25" s="174" t="str">
        <f>IF(AY$6="","",IF(AY$3="Maior",iferror(VLOOKUP($R25,Capa!$A:$AJ,AY$5,0),0),IF(ISERROR(1/VLOOKUP($R25,Capa!$A:$AJ,AY$5,0)),0,1/VLOOKUP($R25,Capa!$A:$AJ,AY$5,0))))</f>
        <v/>
      </c>
      <c r="AZ25" s="174" t="str">
        <f>IF(AZ$6="","",IF(AZ$3="Maior",iferror(VLOOKUP($R25,Capa!$A:$AJ,AZ$5,0),0),IF(ISERROR(1/VLOOKUP($R25,Capa!$A:$AJ,AZ$5,0)),0,1/VLOOKUP($R25,Capa!$A:$AJ,AZ$5,0))))</f>
        <v/>
      </c>
      <c r="BA25" s="174" t="str">
        <f>IF(BA$6="","",IF(BA$3="Maior",iferror(VLOOKUP($R25,Capa!$A:$AJ,BA$5,0),0),IF(ISERROR(1/VLOOKUP($R25,Capa!$A:$AJ,BA$5,0)),0,1/VLOOKUP($R25,Capa!$A:$AJ,BA$5,0))))</f>
        <v/>
      </c>
      <c r="BB25" s="174" t="str">
        <f>IF(BB$6="","",IF(BB$3="Maior",iferror(VLOOKUP($R25,Capa!$A:$AJ,BB$5,0),0),IF(ISERROR(1/VLOOKUP($R25,Capa!$A:$AJ,BB$5,0)),0,1/VLOOKUP($R25,Capa!$A:$AJ,BB$5,0))))</f>
        <v/>
      </c>
      <c r="BC25" s="174" t="str">
        <f>IF(BC$6="","",IF(BC$3="Maior",iferror(VLOOKUP($R25,Capa!$A:$AJ,BC$5,0),0),IF(ISERROR(1/VLOOKUP($R25,Capa!$A:$AJ,BC$5,0)),0,1/VLOOKUP($R25,Capa!$A:$AJ,BC$5,0))))</f>
        <v/>
      </c>
      <c r="BD25" s="174" t="str">
        <f>IF(BD$6="","",IF(BD$3="Maior",iferror(VLOOKUP($R25,Capa!$A:$AJ,BD$5,0),0),IF(ISERROR(1/VLOOKUP($R25,Capa!$A:$AJ,BD$5,0)),0,1/VLOOKUP($R25,Capa!$A:$AJ,BD$5,0))))</f>
        <v/>
      </c>
      <c r="BE25" s="174" t="str">
        <f>IF(BE$6="","",IF(BE$3="Maior",iferror(VLOOKUP($R25,Capa!$A:$AJ,BE$5,0),0),IF(ISERROR(1/VLOOKUP($R25,Capa!$A:$AJ,BE$5,0)),0,1/VLOOKUP($R25,Capa!$A:$AJ,BE$5,0))))</f>
        <v/>
      </c>
      <c r="BF25" s="174" t="str">
        <f>IF(BF$6="","",IF(BF$3="Maior",iferror(VLOOKUP($R25,Capa!$A:$AJ,BF$5,0),0),IF(ISERROR(1/VLOOKUP($R25,Capa!$A:$AJ,BF$5,0)),0,1/VLOOKUP($R25,Capa!$A:$AJ,BF$5,0))))</f>
        <v/>
      </c>
      <c r="BG25" s="174" t="str">
        <f>IF(BG$6="","",IF(BG$3="Maior",iferror(VLOOKUP($R25,Capa!$A:$AJ,BG$5,0),0),IF(ISERROR(1/VLOOKUP($R25,Capa!$A:$AJ,BG$5,0)),0,1/VLOOKUP($R25,Capa!$A:$AJ,BG$5,0))))</f>
        <v/>
      </c>
      <c r="BH25" s="174" t="str">
        <f>IF(BH$6="","",IF(BH$3="Maior",iferror(VLOOKUP($R25,Capa!$A:$AJ,BH$5,0),0),IF(ISERROR(1/VLOOKUP($R25,Capa!$A:$AJ,BH$5,0)),0,1/VLOOKUP($R25,Capa!$A:$AJ,BH$5,0))))</f>
        <v/>
      </c>
      <c r="BI25" s="174" t="str">
        <f>IF(BI$6="","",IF(BI$3="Maior",iferror(VLOOKUP($R25,Capa!$A:$AJ,BI$5,0),0),IF(ISERROR(1/VLOOKUP($R25,Capa!$A:$AJ,BI$5,0)),0,1/VLOOKUP($R25,Capa!$A:$AJ,BI$5,0))))</f>
        <v/>
      </c>
      <c r="BJ25" s="174" t="str">
        <f>IF(BJ$6="","",IF(BJ$3="Maior",iferror(VLOOKUP($R25,Capa!$A:$AJ,BJ$5,0),0),IF(ISERROR(1/VLOOKUP($R25,Capa!$A:$AJ,BJ$5,0)),0,1/VLOOKUP($R25,Capa!$A:$AJ,BJ$5,0))))</f>
        <v/>
      </c>
      <c r="BK25" s="174" t="str">
        <f>IF(BK$6="","",IF(BK$3="Maior",iferror(VLOOKUP($R25,Capa!$A:$AJ,BK$5,0),0),IF(ISERROR(1/VLOOKUP($R25,Capa!$A:$AJ,BK$5,0)),0,1/VLOOKUP($R25,Capa!$A:$AJ,BK$5,0))))</f>
        <v/>
      </c>
      <c r="BL25" s="174" t="str">
        <f>IF(BL$6="","",IF(BL$3="Maior",iferror(VLOOKUP($R25,Capa!$A:$AJ,BL$5,0),0),IF(ISERROR(1/VLOOKUP($R25,Capa!$A:$AJ,BL$5,0)),0,1/VLOOKUP($R25,Capa!$A:$AJ,BL$5,0))))</f>
        <v/>
      </c>
      <c r="BM25" s="174" t="str">
        <f>IF(BM$6="","",IF(BM$3="Maior",iferror(VLOOKUP($R25,Capa!$A:$AJ,BM$5,0),0),IF(ISERROR(1/VLOOKUP($R25,Capa!$A:$AJ,BM$5,0)),0,1/VLOOKUP($R25,Capa!$A:$AJ,BM$5,0))))</f>
        <v/>
      </c>
      <c r="BN25" s="174" t="str">
        <f>IF(BN$6="","",IF(BN$3="Maior",iferror(VLOOKUP($R25,Capa!$A:$AJ,BN$5,0),0),IF(ISERROR(1/VLOOKUP($R25,Capa!$A:$AJ,BN$5,0)),0,1/VLOOKUP($R25,Capa!$A:$AJ,BN$5,0))))</f>
        <v/>
      </c>
      <c r="BO25" s="174" t="str">
        <f>IF(BO$6="","",IF(BO$3="Maior",iferror(VLOOKUP($R25,Capa!$A:$AJ,BO$5,0),0),IF(ISERROR(1/VLOOKUP($R25,Capa!$A:$AJ,BO$5,0)),0,1/VLOOKUP($R25,Capa!$A:$AJ,BO$5,0))))</f>
        <v/>
      </c>
      <c r="BP25" s="174" t="str">
        <f>IF(BP$6="","",IF(BP$3="Maior",iferror(VLOOKUP($R25,Capa!$A:$AJ,BP$5,0),0),IF(ISERROR(1/VLOOKUP($R25,Capa!$A:$AJ,BP$5,0)),0,1/VLOOKUP($R25,Capa!$A:$AJ,BP$5,0))))</f>
        <v/>
      </c>
      <c r="BQ25" s="174" t="str">
        <f>IF(BQ$6="","",IF(BQ$3="Maior",iferror(VLOOKUP($R25,Capa!$A:$AJ,BQ$5,0),0),IF(ISERROR(1/VLOOKUP($R25,Capa!$A:$AJ,BQ$5,0)),0,1/VLOOKUP($R25,Capa!$A:$AJ,BQ$5,0))))</f>
        <v/>
      </c>
      <c r="BR25" s="175"/>
      <c r="BS25" s="147"/>
    </row>
    <row r="26">
      <c r="B26" s="83" t="str">
        <f t="shared" si="22"/>
        <v/>
      </c>
      <c r="C26" s="184" t="s">
        <v>23</v>
      </c>
      <c r="D26" s="82" t="b">
        <v>0</v>
      </c>
      <c r="E26" s="185" t="s">
        <v>1747</v>
      </c>
      <c r="F26" s="82">
        <f>MATCH(C26,Capa!$6:$6,0)</f>
        <v>19</v>
      </c>
      <c r="G26" s="11"/>
      <c r="H26" s="8">
        <v>20.0</v>
      </c>
      <c r="I26" s="165" t="str">
        <f t="shared" si="6"/>
        <v>TOTS3</v>
      </c>
      <c r="J26" s="166" t="str">
        <f>(VLOOKUP($I26,Capa!$A:$B,2,0))</f>
        <v>Totvs SA</v>
      </c>
      <c r="K26" s="167" t="str">
        <f>VLOOKUP(left(I26,4),Setor!A:D,3,0)&amp;" | "&amp;VLOOKUP(left(I26,4),Setor!A:D,4,0)</f>
        <v>Tecnologia da Informação | Programas e Serviços</v>
      </c>
      <c r="L26" s="168">
        <f>(VLOOKUP($I26,Capa!$A:$F,6,0))</f>
        <v>38.91</v>
      </c>
      <c r="M26" s="168">
        <f t="shared" si="7"/>
        <v>265000000</v>
      </c>
      <c r="N26" s="177" t="str">
        <f>IFERROR(__xludf.DUMMYFUNCTION("(VLOOKUP($I26,Capa!$A:$H,7,0))"),"")</f>
        <v/>
      </c>
      <c r="O26" s="169">
        <f>(VLOOKUP($I26,Capa!$A:$H,8,0))</f>
        <v>-0.1448351648</v>
      </c>
      <c r="P26" s="169" t="str">
        <f>IFERROR(__xludf.DUMMYFUNCTION("(VLOOKUP($I26,Capa!$A:$J,10,0))"),"")</f>
        <v/>
      </c>
      <c r="Q26" s="169">
        <f>(VLOOKUP($I26,Capa!$A:$K,11,0))</f>
        <v>0.1088629239</v>
      </c>
      <c r="R26" s="45" t="str">
        <f>'Dados StatusInvest'!A21</f>
        <v>ALUP4</v>
      </c>
      <c r="S26" s="170">
        <f t="shared" si="8"/>
        <v>1714.0714</v>
      </c>
      <c r="T26" s="171">
        <f>VLOOKUP(R26,'Dados StatusInvest'!A:Z,26,0)</f>
        <v>164248.6</v>
      </c>
      <c r="U26" s="172">
        <f t="shared" ref="U26:AS26" si="28">IF(AT26="","", RANK(AT26,AT$7:AT$626,0)+RANK(AT26,AT$7:AT$626,0)/10000)</f>
        <v>477.0477</v>
      </c>
      <c r="V26" s="172">
        <f t="shared" si="28"/>
        <v>237.0237</v>
      </c>
      <c r="W26" s="172" t="str">
        <f t="shared" si="28"/>
        <v/>
      </c>
      <c r="X26" s="172" t="str">
        <f t="shared" si="28"/>
        <v/>
      </c>
      <c r="Y26" s="172" t="str">
        <f t="shared" si="28"/>
        <v/>
      </c>
      <c r="Z26" s="172" t="str">
        <f t="shared" si="28"/>
        <v/>
      </c>
      <c r="AA26" s="172" t="str">
        <f t="shared" si="28"/>
        <v/>
      </c>
      <c r="AB26" s="172" t="str">
        <f t="shared" si="28"/>
        <v/>
      </c>
      <c r="AC26" s="172" t="str">
        <f t="shared" si="28"/>
        <v/>
      </c>
      <c r="AD26" s="172" t="str">
        <f t="shared" si="28"/>
        <v/>
      </c>
      <c r="AE26" s="172" t="str">
        <f t="shared" si="28"/>
        <v/>
      </c>
      <c r="AF26" s="172" t="str">
        <f t="shared" si="28"/>
        <v/>
      </c>
      <c r="AG26" s="172" t="str">
        <f t="shared" si="28"/>
        <v/>
      </c>
      <c r="AH26" s="172" t="str">
        <f t="shared" si="28"/>
        <v/>
      </c>
      <c r="AI26" s="172" t="str">
        <f t="shared" si="28"/>
        <v/>
      </c>
      <c r="AJ26" s="172" t="str">
        <f t="shared" si="28"/>
        <v/>
      </c>
      <c r="AK26" s="172" t="str">
        <f t="shared" si="28"/>
        <v/>
      </c>
      <c r="AL26" s="172" t="str">
        <f t="shared" si="28"/>
        <v/>
      </c>
      <c r="AM26" s="172" t="str">
        <f t="shared" si="28"/>
        <v/>
      </c>
      <c r="AN26" s="172" t="str">
        <f t="shared" si="28"/>
        <v/>
      </c>
      <c r="AO26" s="172" t="str">
        <f t="shared" si="28"/>
        <v/>
      </c>
      <c r="AP26" s="172" t="str">
        <f t="shared" si="28"/>
        <v/>
      </c>
      <c r="AQ26" s="172" t="str">
        <f t="shared" si="28"/>
        <v/>
      </c>
      <c r="AR26" s="172" t="str">
        <f t="shared" si="28"/>
        <v/>
      </c>
      <c r="AS26" s="172" t="str">
        <f t="shared" si="28"/>
        <v/>
      </c>
      <c r="AT26" s="173">
        <f>IF(AT$6="","",IF(AT$3="Maior",iferror(VLOOKUP($R26,Capa!$A:$AJ,AT$5,0),0),IF(ISERROR(1/VLOOKUP($R26,Capa!$A:$AJ,AT$5,0)),0,1/VLOOKUP($R26,Capa!$A:$AJ,AT$5,0))))</f>
        <v>-2.484211456</v>
      </c>
      <c r="AU26" s="174">
        <f>IF(AU$6="","",IF(AU$3="Maior",iferror(VLOOKUP($R26,Capa!$A:$AJ,AU$5,0),0),IF(ISERROR(1/VLOOKUP($R26,Capa!$A:$AJ,AU$5,0)),0,1/VLOOKUP($R26,Capa!$A:$AJ,AU$5,0))))</f>
        <v>5.5</v>
      </c>
      <c r="AV26" s="174" t="str">
        <f>IF(AV$6="","",IF(AV$3="Maior",iferror(VLOOKUP($R26,Capa!$A:$AJ,AV$5,0),0),IF(ISERROR(1/VLOOKUP($R26,Capa!$A:$AJ,AV$5,0)),0,1/VLOOKUP($R26,Capa!$A:$AJ,AV$5,0))))</f>
        <v/>
      </c>
      <c r="AW26" s="174" t="str">
        <f>IF(AW$6="","",IF(AW$3="Maior",iferror(VLOOKUP($R26,Capa!$A:$AJ,AW$5,0),0),IF(ISERROR(1/VLOOKUP($R26,Capa!$A:$AJ,AW$5,0)),0,1/VLOOKUP($R26,Capa!$A:$AJ,AW$5,0))))</f>
        <v/>
      </c>
      <c r="AX26" s="174" t="str">
        <f>IF(AX$6="","",IF(AX$3="Maior",iferror(VLOOKUP($R26,Capa!$A:$AJ,AX$5,0),0),IF(ISERROR(1/VLOOKUP($R26,Capa!$A:$AJ,AX$5,0)),0,1/VLOOKUP($R26,Capa!$A:$AJ,AX$5,0))))</f>
        <v/>
      </c>
      <c r="AY26" s="174" t="str">
        <f>IF(AY$6="","",IF(AY$3="Maior",iferror(VLOOKUP($R26,Capa!$A:$AJ,AY$5,0),0),IF(ISERROR(1/VLOOKUP($R26,Capa!$A:$AJ,AY$5,0)),0,1/VLOOKUP($R26,Capa!$A:$AJ,AY$5,0))))</f>
        <v/>
      </c>
      <c r="AZ26" s="174" t="str">
        <f>IF(AZ$6="","",IF(AZ$3="Maior",iferror(VLOOKUP($R26,Capa!$A:$AJ,AZ$5,0),0),IF(ISERROR(1/VLOOKUP($R26,Capa!$A:$AJ,AZ$5,0)),0,1/VLOOKUP($R26,Capa!$A:$AJ,AZ$5,0))))</f>
        <v/>
      </c>
      <c r="BA26" s="174" t="str">
        <f>IF(BA$6="","",IF(BA$3="Maior",iferror(VLOOKUP($R26,Capa!$A:$AJ,BA$5,0),0),IF(ISERROR(1/VLOOKUP($R26,Capa!$A:$AJ,BA$5,0)),0,1/VLOOKUP($R26,Capa!$A:$AJ,BA$5,0))))</f>
        <v/>
      </c>
      <c r="BB26" s="174" t="str">
        <f>IF(BB$6="","",IF(BB$3="Maior",iferror(VLOOKUP($R26,Capa!$A:$AJ,BB$5,0),0),IF(ISERROR(1/VLOOKUP($R26,Capa!$A:$AJ,BB$5,0)),0,1/VLOOKUP($R26,Capa!$A:$AJ,BB$5,0))))</f>
        <v/>
      </c>
      <c r="BC26" s="174" t="str">
        <f>IF(BC$6="","",IF(BC$3="Maior",iferror(VLOOKUP($R26,Capa!$A:$AJ,BC$5,0),0),IF(ISERROR(1/VLOOKUP($R26,Capa!$A:$AJ,BC$5,0)),0,1/VLOOKUP($R26,Capa!$A:$AJ,BC$5,0))))</f>
        <v/>
      </c>
      <c r="BD26" s="174" t="str">
        <f>IF(BD$6="","",IF(BD$3="Maior",iferror(VLOOKUP($R26,Capa!$A:$AJ,BD$5,0),0),IF(ISERROR(1/VLOOKUP($R26,Capa!$A:$AJ,BD$5,0)),0,1/VLOOKUP($R26,Capa!$A:$AJ,BD$5,0))))</f>
        <v/>
      </c>
      <c r="BE26" s="174" t="str">
        <f>IF(BE$6="","",IF(BE$3="Maior",iferror(VLOOKUP($R26,Capa!$A:$AJ,BE$5,0),0),IF(ISERROR(1/VLOOKUP($R26,Capa!$A:$AJ,BE$5,0)),0,1/VLOOKUP($R26,Capa!$A:$AJ,BE$5,0))))</f>
        <v/>
      </c>
      <c r="BF26" s="174" t="str">
        <f>IF(BF$6="","",IF(BF$3="Maior",iferror(VLOOKUP($R26,Capa!$A:$AJ,BF$5,0),0),IF(ISERROR(1/VLOOKUP($R26,Capa!$A:$AJ,BF$5,0)),0,1/VLOOKUP($R26,Capa!$A:$AJ,BF$5,0))))</f>
        <v/>
      </c>
      <c r="BG26" s="174" t="str">
        <f>IF(BG$6="","",IF(BG$3="Maior",iferror(VLOOKUP($R26,Capa!$A:$AJ,BG$5,0),0),IF(ISERROR(1/VLOOKUP($R26,Capa!$A:$AJ,BG$5,0)),0,1/VLOOKUP($R26,Capa!$A:$AJ,BG$5,0))))</f>
        <v/>
      </c>
      <c r="BH26" s="174" t="str">
        <f>IF(BH$6="","",IF(BH$3="Maior",iferror(VLOOKUP($R26,Capa!$A:$AJ,BH$5,0),0),IF(ISERROR(1/VLOOKUP($R26,Capa!$A:$AJ,BH$5,0)),0,1/VLOOKUP($R26,Capa!$A:$AJ,BH$5,0))))</f>
        <v/>
      </c>
      <c r="BI26" s="174" t="str">
        <f>IF(BI$6="","",IF(BI$3="Maior",iferror(VLOOKUP($R26,Capa!$A:$AJ,BI$5,0),0),IF(ISERROR(1/VLOOKUP($R26,Capa!$A:$AJ,BI$5,0)),0,1/VLOOKUP($R26,Capa!$A:$AJ,BI$5,0))))</f>
        <v/>
      </c>
      <c r="BJ26" s="174" t="str">
        <f>IF(BJ$6="","",IF(BJ$3="Maior",iferror(VLOOKUP($R26,Capa!$A:$AJ,BJ$5,0),0),IF(ISERROR(1/VLOOKUP($R26,Capa!$A:$AJ,BJ$5,0)),0,1/VLOOKUP($R26,Capa!$A:$AJ,BJ$5,0))))</f>
        <v/>
      </c>
      <c r="BK26" s="174" t="str">
        <f>IF(BK$6="","",IF(BK$3="Maior",iferror(VLOOKUP($R26,Capa!$A:$AJ,BK$5,0),0),IF(ISERROR(1/VLOOKUP($R26,Capa!$A:$AJ,BK$5,0)),0,1/VLOOKUP($R26,Capa!$A:$AJ,BK$5,0))))</f>
        <v/>
      </c>
      <c r="BL26" s="174" t="str">
        <f>IF(BL$6="","",IF(BL$3="Maior",iferror(VLOOKUP($R26,Capa!$A:$AJ,BL$5,0),0),IF(ISERROR(1/VLOOKUP($R26,Capa!$A:$AJ,BL$5,0)),0,1/VLOOKUP($R26,Capa!$A:$AJ,BL$5,0))))</f>
        <v/>
      </c>
      <c r="BM26" s="174" t="str">
        <f>IF(BM$6="","",IF(BM$3="Maior",iferror(VLOOKUP($R26,Capa!$A:$AJ,BM$5,0),0),IF(ISERROR(1/VLOOKUP($R26,Capa!$A:$AJ,BM$5,0)),0,1/VLOOKUP($R26,Capa!$A:$AJ,BM$5,0))))</f>
        <v/>
      </c>
      <c r="BN26" s="174" t="str">
        <f>IF(BN$6="","",IF(BN$3="Maior",iferror(VLOOKUP($R26,Capa!$A:$AJ,BN$5,0),0),IF(ISERROR(1/VLOOKUP($R26,Capa!$A:$AJ,BN$5,0)),0,1/VLOOKUP($R26,Capa!$A:$AJ,BN$5,0))))</f>
        <v/>
      </c>
      <c r="BO26" s="174" t="str">
        <f>IF(BO$6="","",IF(BO$3="Maior",iferror(VLOOKUP($R26,Capa!$A:$AJ,BO$5,0),0),IF(ISERROR(1/VLOOKUP($R26,Capa!$A:$AJ,BO$5,0)),0,1/VLOOKUP($R26,Capa!$A:$AJ,BO$5,0))))</f>
        <v/>
      </c>
      <c r="BP26" s="174" t="str">
        <f>IF(BP$6="","",IF(BP$3="Maior",iferror(VLOOKUP($R26,Capa!$A:$AJ,BP$5,0),0),IF(ISERROR(1/VLOOKUP($R26,Capa!$A:$AJ,BP$5,0)),0,1/VLOOKUP($R26,Capa!$A:$AJ,BP$5,0))))</f>
        <v/>
      </c>
      <c r="BQ26" s="174" t="str">
        <f>IF(BQ$6="","",IF(BQ$3="Maior",iferror(VLOOKUP($R26,Capa!$A:$AJ,BQ$5,0),0),IF(ISERROR(1/VLOOKUP($R26,Capa!$A:$AJ,BQ$5,0)),0,1/VLOOKUP($R26,Capa!$A:$AJ,BQ$5,0))))</f>
        <v/>
      </c>
      <c r="BR26" s="175"/>
      <c r="BS26" s="147"/>
    </row>
    <row r="27">
      <c r="B27" s="83" t="str">
        <f t="shared" si="22"/>
        <v/>
      </c>
      <c r="C27" s="184" t="s">
        <v>24</v>
      </c>
      <c r="D27" s="82" t="b">
        <v>0</v>
      </c>
      <c r="E27" s="185" t="s">
        <v>1748</v>
      </c>
      <c r="F27" s="82">
        <f>MATCH(C27,Capa!$6:$6,0)</f>
        <v>20</v>
      </c>
      <c r="G27" s="11"/>
      <c r="H27" s="8">
        <v>21.0</v>
      </c>
      <c r="I27" s="165" t="str">
        <f t="shared" si="6"/>
        <v>PLPL3</v>
      </c>
      <c r="J27" s="166" t="str">
        <f>(VLOOKUP($I27,Capa!$A:$B,2,0))</f>
        <v>Plano &amp; Plano Desenvolvimento Imblr SA</v>
      </c>
      <c r="K27" s="167" t="str">
        <f>VLOOKUP(left(I27,4),Setor!A:D,3,0)&amp;" | "&amp;VLOOKUP(left(I27,4),Setor!A:D,4,0)</f>
        <v>Consumo Cíclico | Construção Civil</v>
      </c>
      <c r="L27" s="168">
        <f>(VLOOKUP($I27,Capa!$A:$F,6,0))</f>
        <v>15.98</v>
      </c>
      <c r="M27" s="168">
        <f t="shared" si="7"/>
        <v>31612355</v>
      </c>
      <c r="N27" s="11" t="str">
        <f>IFERROR(__xludf.DUMMYFUNCTION("(VLOOKUP($I27,Capa!$A:$H,7,0))"),"")</f>
        <v/>
      </c>
      <c r="O27" s="169">
        <f>(VLOOKUP($I27,Capa!$A:$H,8,0))</f>
        <v>0.1174825175</v>
      </c>
      <c r="P27" s="11" t="str">
        <f>IFERROR(__xludf.DUMMYFUNCTION("(VLOOKUP($I27,Capa!$A:$J,10,0))"),"")</f>
        <v/>
      </c>
      <c r="Q27" s="169">
        <f>(VLOOKUP($I27,Capa!$A:$K,11,0))</f>
        <v>0.5032925682</v>
      </c>
      <c r="R27" s="45" t="str">
        <f>'Dados StatusInvest'!A22</f>
        <v>AMAR3</v>
      </c>
      <c r="S27" s="170">
        <f t="shared" si="8"/>
        <v>1756.0756</v>
      </c>
      <c r="T27" s="171">
        <f>VLOOKUP(R27,'Dados StatusInvest'!A:Z,26,0)</f>
        <v>289427.5</v>
      </c>
      <c r="U27" s="172">
        <f t="shared" ref="U27:AS27" si="29">IF(AT27="","", RANK(AT27,AT$7:AT$626,0)+RANK(AT27,AT$7:AT$626,0)/10000)</f>
        <v>489.0489</v>
      </c>
      <c r="V27" s="172">
        <f t="shared" si="29"/>
        <v>267.0267</v>
      </c>
      <c r="W27" s="172" t="str">
        <f t="shared" si="29"/>
        <v/>
      </c>
      <c r="X27" s="172" t="str">
        <f t="shared" si="29"/>
        <v/>
      </c>
      <c r="Y27" s="172" t="str">
        <f t="shared" si="29"/>
        <v/>
      </c>
      <c r="Z27" s="172" t="str">
        <f t="shared" si="29"/>
        <v/>
      </c>
      <c r="AA27" s="172" t="str">
        <f t="shared" si="29"/>
        <v/>
      </c>
      <c r="AB27" s="172" t="str">
        <f t="shared" si="29"/>
        <v/>
      </c>
      <c r="AC27" s="172" t="str">
        <f t="shared" si="29"/>
        <v/>
      </c>
      <c r="AD27" s="172" t="str">
        <f t="shared" si="29"/>
        <v/>
      </c>
      <c r="AE27" s="172" t="str">
        <f t="shared" si="29"/>
        <v/>
      </c>
      <c r="AF27" s="172" t="str">
        <f t="shared" si="29"/>
        <v/>
      </c>
      <c r="AG27" s="172" t="str">
        <f t="shared" si="29"/>
        <v/>
      </c>
      <c r="AH27" s="172" t="str">
        <f t="shared" si="29"/>
        <v/>
      </c>
      <c r="AI27" s="172" t="str">
        <f t="shared" si="29"/>
        <v/>
      </c>
      <c r="AJ27" s="172" t="str">
        <f t="shared" si="29"/>
        <v/>
      </c>
      <c r="AK27" s="172" t="str">
        <f t="shared" si="29"/>
        <v/>
      </c>
      <c r="AL27" s="172" t="str">
        <f t="shared" si="29"/>
        <v/>
      </c>
      <c r="AM27" s="172" t="str">
        <f t="shared" si="29"/>
        <v/>
      </c>
      <c r="AN27" s="172" t="str">
        <f t="shared" si="29"/>
        <v/>
      </c>
      <c r="AO27" s="172" t="str">
        <f t="shared" si="29"/>
        <v/>
      </c>
      <c r="AP27" s="172" t="str">
        <f t="shared" si="29"/>
        <v/>
      </c>
      <c r="AQ27" s="172" t="str">
        <f t="shared" si="29"/>
        <v/>
      </c>
      <c r="AR27" s="172" t="str">
        <f t="shared" si="29"/>
        <v/>
      </c>
      <c r="AS27" s="172" t="str">
        <f t="shared" si="29"/>
        <v/>
      </c>
      <c r="AT27" s="173">
        <f>IF(AT$6="","",IF(AT$3="Maior",iferror(VLOOKUP($R27,Capa!$A:$AJ,AT$5,0),0),IF(ISERROR(1/VLOOKUP($R27,Capa!$A:$AJ,AT$5,0)),0,1/VLOOKUP($R27,Capa!$A:$AJ,AT$5,0))))</f>
        <v>-2.787769784</v>
      </c>
      <c r="AU27" s="174">
        <f>IF(AU$6="","",IF(AU$3="Maior",iferror(VLOOKUP($R27,Capa!$A:$AJ,AU$5,0),0),IF(ISERROR(1/VLOOKUP($R27,Capa!$A:$AJ,AU$5,0)),0,1/VLOOKUP($R27,Capa!$A:$AJ,AU$5,0))))</f>
        <v>0</v>
      </c>
      <c r="AV27" s="174" t="str">
        <f>IF(AV$6="","",IF(AV$3="Maior",iferror(VLOOKUP($R27,Capa!$A:$AJ,AV$5,0),0),IF(ISERROR(1/VLOOKUP($R27,Capa!$A:$AJ,AV$5,0)),0,1/VLOOKUP($R27,Capa!$A:$AJ,AV$5,0))))</f>
        <v/>
      </c>
      <c r="AW27" s="174" t="str">
        <f>IF(AW$6="","",IF(AW$3="Maior",iferror(VLOOKUP($R27,Capa!$A:$AJ,AW$5,0),0),IF(ISERROR(1/VLOOKUP($R27,Capa!$A:$AJ,AW$5,0)),0,1/VLOOKUP($R27,Capa!$A:$AJ,AW$5,0))))</f>
        <v/>
      </c>
      <c r="AX27" s="174" t="str">
        <f>IF(AX$6="","",IF(AX$3="Maior",iferror(VLOOKUP($R27,Capa!$A:$AJ,AX$5,0),0),IF(ISERROR(1/VLOOKUP($R27,Capa!$A:$AJ,AX$5,0)),0,1/VLOOKUP($R27,Capa!$A:$AJ,AX$5,0))))</f>
        <v/>
      </c>
      <c r="AY27" s="174" t="str">
        <f>IF(AY$6="","",IF(AY$3="Maior",iferror(VLOOKUP($R27,Capa!$A:$AJ,AY$5,0),0),IF(ISERROR(1/VLOOKUP($R27,Capa!$A:$AJ,AY$5,0)),0,1/VLOOKUP($R27,Capa!$A:$AJ,AY$5,0))))</f>
        <v/>
      </c>
      <c r="AZ27" s="174" t="str">
        <f>IF(AZ$6="","",IF(AZ$3="Maior",iferror(VLOOKUP($R27,Capa!$A:$AJ,AZ$5,0),0),IF(ISERROR(1/VLOOKUP($R27,Capa!$A:$AJ,AZ$5,0)),0,1/VLOOKUP($R27,Capa!$A:$AJ,AZ$5,0))))</f>
        <v/>
      </c>
      <c r="BA27" s="174" t="str">
        <f>IF(BA$6="","",IF(BA$3="Maior",iferror(VLOOKUP($R27,Capa!$A:$AJ,BA$5,0),0),IF(ISERROR(1/VLOOKUP($R27,Capa!$A:$AJ,BA$5,0)),0,1/VLOOKUP($R27,Capa!$A:$AJ,BA$5,0))))</f>
        <v/>
      </c>
      <c r="BB27" s="174" t="str">
        <f>IF(BB$6="","",IF(BB$3="Maior",iferror(VLOOKUP($R27,Capa!$A:$AJ,BB$5,0),0),IF(ISERROR(1/VLOOKUP($R27,Capa!$A:$AJ,BB$5,0)),0,1/VLOOKUP($R27,Capa!$A:$AJ,BB$5,0))))</f>
        <v/>
      </c>
      <c r="BC27" s="174" t="str">
        <f>IF(BC$6="","",IF(BC$3="Maior",iferror(VLOOKUP($R27,Capa!$A:$AJ,BC$5,0),0),IF(ISERROR(1/VLOOKUP($R27,Capa!$A:$AJ,BC$5,0)),0,1/VLOOKUP($R27,Capa!$A:$AJ,BC$5,0))))</f>
        <v/>
      </c>
      <c r="BD27" s="174" t="str">
        <f>IF(BD$6="","",IF(BD$3="Maior",iferror(VLOOKUP($R27,Capa!$A:$AJ,BD$5,0),0),IF(ISERROR(1/VLOOKUP($R27,Capa!$A:$AJ,BD$5,0)),0,1/VLOOKUP($R27,Capa!$A:$AJ,BD$5,0))))</f>
        <v/>
      </c>
      <c r="BE27" s="174" t="str">
        <f>IF(BE$6="","",IF(BE$3="Maior",iferror(VLOOKUP($R27,Capa!$A:$AJ,BE$5,0),0),IF(ISERROR(1/VLOOKUP($R27,Capa!$A:$AJ,BE$5,0)),0,1/VLOOKUP($R27,Capa!$A:$AJ,BE$5,0))))</f>
        <v/>
      </c>
      <c r="BF27" s="174" t="str">
        <f>IF(BF$6="","",IF(BF$3="Maior",iferror(VLOOKUP($R27,Capa!$A:$AJ,BF$5,0),0),IF(ISERROR(1/VLOOKUP($R27,Capa!$A:$AJ,BF$5,0)),0,1/VLOOKUP($R27,Capa!$A:$AJ,BF$5,0))))</f>
        <v/>
      </c>
      <c r="BG27" s="174" t="str">
        <f>IF(BG$6="","",IF(BG$3="Maior",iferror(VLOOKUP($R27,Capa!$A:$AJ,BG$5,0),0),IF(ISERROR(1/VLOOKUP($R27,Capa!$A:$AJ,BG$5,0)),0,1/VLOOKUP($R27,Capa!$A:$AJ,BG$5,0))))</f>
        <v/>
      </c>
      <c r="BH27" s="174" t="str">
        <f>IF(BH$6="","",IF(BH$3="Maior",iferror(VLOOKUP($R27,Capa!$A:$AJ,BH$5,0),0),IF(ISERROR(1/VLOOKUP($R27,Capa!$A:$AJ,BH$5,0)),0,1/VLOOKUP($R27,Capa!$A:$AJ,BH$5,0))))</f>
        <v/>
      </c>
      <c r="BI27" s="174" t="str">
        <f>IF(BI$6="","",IF(BI$3="Maior",iferror(VLOOKUP($R27,Capa!$A:$AJ,BI$5,0),0),IF(ISERROR(1/VLOOKUP($R27,Capa!$A:$AJ,BI$5,0)),0,1/VLOOKUP($R27,Capa!$A:$AJ,BI$5,0))))</f>
        <v/>
      </c>
      <c r="BJ27" s="174" t="str">
        <f>IF(BJ$6="","",IF(BJ$3="Maior",iferror(VLOOKUP($R27,Capa!$A:$AJ,BJ$5,0),0),IF(ISERROR(1/VLOOKUP($R27,Capa!$A:$AJ,BJ$5,0)),0,1/VLOOKUP($R27,Capa!$A:$AJ,BJ$5,0))))</f>
        <v/>
      </c>
      <c r="BK27" s="174" t="str">
        <f>IF(BK$6="","",IF(BK$3="Maior",iferror(VLOOKUP($R27,Capa!$A:$AJ,BK$5,0),0),IF(ISERROR(1/VLOOKUP($R27,Capa!$A:$AJ,BK$5,0)),0,1/VLOOKUP($R27,Capa!$A:$AJ,BK$5,0))))</f>
        <v/>
      </c>
      <c r="BL27" s="174" t="str">
        <f>IF(BL$6="","",IF(BL$3="Maior",iferror(VLOOKUP($R27,Capa!$A:$AJ,BL$5,0),0),IF(ISERROR(1/VLOOKUP($R27,Capa!$A:$AJ,BL$5,0)),0,1/VLOOKUP($R27,Capa!$A:$AJ,BL$5,0))))</f>
        <v/>
      </c>
      <c r="BM27" s="174" t="str">
        <f>IF(BM$6="","",IF(BM$3="Maior",iferror(VLOOKUP($R27,Capa!$A:$AJ,BM$5,0),0),IF(ISERROR(1/VLOOKUP($R27,Capa!$A:$AJ,BM$5,0)),0,1/VLOOKUP($R27,Capa!$A:$AJ,BM$5,0))))</f>
        <v/>
      </c>
      <c r="BN27" s="174" t="str">
        <f>IF(BN$6="","",IF(BN$3="Maior",iferror(VLOOKUP($R27,Capa!$A:$AJ,BN$5,0),0),IF(ISERROR(1/VLOOKUP($R27,Capa!$A:$AJ,BN$5,0)),0,1/VLOOKUP($R27,Capa!$A:$AJ,BN$5,0))))</f>
        <v/>
      </c>
      <c r="BO27" s="174" t="str">
        <f>IF(BO$6="","",IF(BO$3="Maior",iferror(VLOOKUP($R27,Capa!$A:$AJ,BO$5,0),0),IF(ISERROR(1/VLOOKUP($R27,Capa!$A:$AJ,BO$5,0)),0,1/VLOOKUP($R27,Capa!$A:$AJ,BO$5,0))))</f>
        <v/>
      </c>
      <c r="BP27" s="174" t="str">
        <f>IF(BP$6="","",IF(BP$3="Maior",iferror(VLOOKUP($R27,Capa!$A:$AJ,BP$5,0),0),IF(ISERROR(1/VLOOKUP($R27,Capa!$A:$AJ,BP$5,0)),0,1/VLOOKUP($R27,Capa!$A:$AJ,BP$5,0))))</f>
        <v/>
      </c>
      <c r="BQ27" s="174" t="str">
        <f>IF(BQ$6="","",IF(BQ$3="Maior",iferror(VLOOKUP($R27,Capa!$A:$AJ,BQ$5,0),0),IF(ISERROR(1/VLOOKUP($R27,Capa!$A:$AJ,BQ$5,0)),0,1/VLOOKUP($R27,Capa!$A:$AJ,BQ$5,0))))</f>
        <v/>
      </c>
      <c r="BR27" s="175"/>
      <c r="BS27" s="147"/>
    </row>
    <row r="28">
      <c r="B28" s="83">
        <f t="shared" si="22"/>
        <v>1</v>
      </c>
      <c r="C28" s="184" t="s">
        <v>25</v>
      </c>
      <c r="D28" s="82" t="b">
        <v>1</v>
      </c>
      <c r="E28" s="185" t="s">
        <v>1748</v>
      </c>
      <c r="F28" s="82">
        <f>MATCH(C28,Capa!$6:$6,0)</f>
        <v>21</v>
      </c>
      <c r="G28" s="11"/>
      <c r="H28" s="8">
        <v>22.0</v>
      </c>
      <c r="I28" s="165" t="str">
        <f t="shared" si="6"/>
        <v>POMO4</v>
      </c>
      <c r="J28" s="166" t="str">
        <f>(VLOOKUP($I28,Capa!$A:$B,2,0))</f>
        <v>Marcopolo SA Preference Shares</v>
      </c>
      <c r="K28" s="167" t="str">
        <f>VLOOKUP(left(I28,4),Setor!A:D,3,0)&amp;" | "&amp;VLOOKUP(left(I28,4),Setor!A:D,4,0)</f>
        <v>Bens Industriais | Material de Transporte</v>
      </c>
      <c r="L28" s="168">
        <f>(VLOOKUP($I28,Capa!$A:$F,6,0))</f>
        <v>6.46</v>
      </c>
      <c r="M28" s="168">
        <f t="shared" si="7"/>
        <v>70129994</v>
      </c>
      <c r="N28" s="11" t="str">
        <f>IFERROR(__xludf.DUMMYFUNCTION("(VLOOKUP($I28,Capa!$A:$H,7,0))"),"")</f>
        <v/>
      </c>
      <c r="O28" s="169">
        <f>(VLOOKUP($I28,Capa!$A:$H,8,0))</f>
        <v>0.05040650407</v>
      </c>
      <c r="P28" s="11" t="str">
        <f>IFERROR(__xludf.DUMMYFUNCTION("(VLOOKUP($I28,Capa!$A:$J,10,0))"),"")</f>
        <v/>
      </c>
      <c r="Q28" s="169">
        <f>(VLOOKUP($I28,Capa!$A:$K,11,0))</f>
        <v>-0.1210884354</v>
      </c>
      <c r="R28" s="45" t="str">
        <f>'Dados StatusInvest'!A23</f>
        <v>AMBP3</v>
      </c>
      <c r="S28" s="170">
        <f t="shared" si="8"/>
        <v>866.0866</v>
      </c>
      <c r="T28" s="171">
        <f>VLOOKUP(R28,'Dados StatusInvest'!A:Z,26,0)</f>
        <v>2280300</v>
      </c>
      <c r="U28" s="172">
        <f t="shared" ref="U28:AS28" si="30">IF(AT28="","", RANK(AT28,AT$7:AT$626,0)+RANK(AT28,AT$7:AT$626,0)/10000)</f>
        <v>599.0599</v>
      </c>
      <c r="V28" s="172">
        <f t="shared" si="30"/>
        <v>267.0267</v>
      </c>
      <c r="W28" s="172" t="str">
        <f t="shared" si="30"/>
        <v/>
      </c>
      <c r="X28" s="172" t="str">
        <f t="shared" si="30"/>
        <v/>
      </c>
      <c r="Y28" s="172" t="str">
        <f t="shared" si="30"/>
        <v/>
      </c>
      <c r="Z28" s="172" t="str">
        <f t="shared" si="30"/>
        <v/>
      </c>
      <c r="AA28" s="172" t="str">
        <f t="shared" si="30"/>
        <v/>
      </c>
      <c r="AB28" s="172" t="str">
        <f t="shared" si="30"/>
        <v/>
      </c>
      <c r="AC28" s="172" t="str">
        <f t="shared" si="30"/>
        <v/>
      </c>
      <c r="AD28" s="172" t="str">
        <f t="shared" si="30"/>
        <v/>
      </c>
      <c r="AE28" s="172" t="str">
        <f t="shared" si="30"/>
        <v/>
      </c>
      <c r="AF28" s="172" t="str">
        <f t="shared" si="30"/>
        <v/>
      </c>
      <c r="AG28" s="172" t="str">
        <f t="shared" si="30"/>
        <v/>
      </c>
      <c r="AH28" s="172" t="str">
        <f t="shared" si="30"/>
        <v/>
      </c>
      <c r="AI28" s="172" t="str">
        <f t="shared" si="30"/>
        <v/>
      </c>
      <c r="AJ28" s="172" t="str">
        <f t="shared" si="30"/>
        <v/>
      </c>
      <c r="AK28" s="172" t="str">
        <f t="shared" si="30"/>
        <v/>
      </c>
      <c r="AL28" s="172" t="str">
        <f t="shared" si="30"/>
        <v/>
      </c>
      <c r="AM28" s="172" t="str">
        <f t="shared" si="30"/>
        <v/>
      </c>
      <c r="AN28" s="172" t="str">
        <f t="shared" si="30"/>
        <v/>
      </c>
      <c r="AO28" s="172" t="str">
        <f t="shared" si="30"/>
        <v/>
      </c>
      <c r="AP28" s="172" t="str">
        <f t="shared" si="30"/>
        <v/>
      </c>
      <c r="AQ28" s="172" t="str">
        <f t="shared" si="30"/>
        <v/>
      </c>
      <c r="AR28" s="172" t="str">
        <f t="shared" si="30"/>
        <v/>
      </c>
      <c r="AS28" s="172" t="str">
        <f t="shared" si="30"/>
        <v/>
      </c>
      <c r="AT28" s="173">
        <f>IF(AT$6="","",IF(AT$3="Maior",iferror(VLOOKUP($R28,Capa!$A:$AJ,AT$5,0),0),IF(ISERROR(1/VLOOKUP($R28,Capa!$A:$AJ,AT$5,0)),0,1/VLOOKUP($R28,Capa!$A:$AJ,AT$5,0))))</f>
        <v>-20</v>
      </c>
      <c r="AU28" s="174">
        <f>IF(AU$6="","",IF(AU$3="Maior",iferror(VLOOKUP($R28,Capa!$A:$AJ,AU$5,0),0),IF(ISERROR(1/VLOOKUP($R28,Capa!$A:$AJ,AU$5,0)),0,1/VLOOKUP($R28,Capa!$A:$AJ,AU$5,0))))</f>
        <v>0</v>
      </c>
      <c r="AV28" s="174" t="str">
        <f>IF(AV$6="","",IF(AV$3="Maior",iferror(VLOOKUP($R28,Capa!$A:$AJ,AV$5,0),0),IF(ISERROR(1/VLOOKUP($R28,Capa!$A:$AJ,AV$5,0)),0,1/VLOOKUP($R28,Capa!$A:$AJ,AV$5,0))))</f>
        <v/>
      </c>
      <c r="AW28" s="174" t="str">
        <f>IF(AW$6="","",IF(AW$3="Maior",iferror(VLOOKUP($R28,Capa!$A:$AJ,AW$5,0),0),IF(ISERROR(1/VLOOKUP($R28,Capa!$A:$AJ,AW$5,0)),0,1/VLOOKUP($R28,Capa!$A:$AJ,AW$5,0))))</f>
        <v/>
      </c>
      <c r="AX28" s="174" t="str">
        <f>IF(AX$6="","",IF(AX$3="Maior",iferror(VLOOKUP($R28,Capa!$A:$AJ,AX$5,0),0),IF(ISERROR(1/VLOOKUP($R28,Capa!$A:$AJ,AX$5,0)),0,1/VLOOKUP($R28,Capa!$A:$AJ,AX$5,0))))</f>
        <v/>
      </c>
      <c r="AY28" s="174" t="str">
        <f>IF(AY$6="","",IF(AY$3="Maior",iferror(VLOOKUP($R28,Capa!$A:$AJ,AY$5,0),0),IF(ISERROR(1/VLOOKUP($R28,Capa!$A:$AJ,AY$5,0)),0,1/VLOOKUP($R28,Capa!$A:$AJ,AY$5,0))))</f>
        <v/>
      </c>
      <c r="AZ28" s="174" t="str">
        <f>IF(AZ$6="","",IF(AZ$3="Maior",iferror(VLOOKUP($R28,Capa!$A:$AJ,AZ$5,0),0),IF(ISERROR(1/VLOOKUP($R28,Capa!$A:$AJ,AZ$5,0)),0,1/VLOOKUP($R28,Capa!$A:$AJ,AZ$5,0))))</f>
        <v/>
      </c>
      <c r="BA28" s="174" t="str">
        <f>IF(BA$6="","",IF(BA$3="Maior",iferror(VLOOKUP($R28,Capa!$A:$AJ,BA$5,0),0),IF(ISERROR(1/VLOOKUP($R28,Capa!$A:$AJ,BA$5,0)),0,1/VLOOKUP($R28,Capa!$A:$AJ,BA$5,0))))</f>
        <v/>
      </c>
      <c r="BB28" s="174" t="str">
        <f>IF(BB$6="","",IF(BB$3="Maior",iferror(VLOOKUP($R28,Capa!$A:$AJ,BB$5,0),0),IF(ISERROR(1/VLOOKUP($R28,Capa!$A:$AJ,BB$5,0)),0,1/VLOOKUP($R28,Capa!$A:$AJ,BB$5,0))))</f>
        <v/>
      </c>
      <c r="BC28" s="174" t="str">
        <f>IF(BC$6="","",IF(BC$3="Maior",iferror(VLOOKUP($R28,Capa!$A:$AJ,BC$5,0),0),IF(ISERROR(1/VLOOKUP($R28,Capa!$A:$AJ,BC$5,0)),0,1/VLOOKUP($R28,Capa!$A:$AJ,BC$5,0))))</f>
        <v/>
      </c>
      <c r="BD28" s="174" t="str">
        <f>IF(BD$6="","",IF(BD$3="Maior",iferror(VLOOKUP($R28,Capa!$A:$AJ,BD$5,0),0),IF(ISERROR(1/VLOOKUP($R28,Capa!$A:$AJ,BD$5,0)),0,1/VLOOKUP($R28,Capa!$A:$AJ,BD$5,0))))</f>
        <v/>
      </c>
      <c r="BE28" s="174" t="str">
        <f>IF(BE$6="","",IF(BE$3="Maior",iferror(VLOOKUP($R28,Capa!$A:$AJ,BE$5,0),0),IF(ISERROR(1/VLOOKUP($R28,Capa!$A:$AJ,BE$5,0)),0,1/VLOOKUP($R28,Capa!$A:$AJ,BE$5,0))))</f>
        <v/>
      </c>
      <c r="BF28" s="174" t="str">
        <f>IF(BF$6="","",IF(BF$3="Maior",iferror(VLOOKUP($R28,Capa!$A:$AJ,BF$5,0),0),IF(ISERROR(1/VLOOKUP($R28,Capa!$A:$AJ,BF$5,0)),0,1/VLOOKUP($R28,Capa!$A:$AJ,BF$5,0))))</f>
        <v/>
      </c>
      <c r="BG28" s="174" t="str">
        <f>IF(BG$6="","",IF(BG$3="Maior",iferror(VLOOKUP($R28,Capa!$A:$AJ,BG$5,0),0),IF(ISERROR(1/VLOOKUP($R28,Capa!$A:$AJ,BG$5,0)),0,1/VLOOKUP($R28,Capa!$A:$AJ,BG$5,0))))</f>
        <v/>
      </c>
      <c r="BH28" s="174" t="str">
        <f>IF(BH$6="","",IF(BH$3="Maior",iferror(VLOOKUP($R28,Capa!$A:$AJ,BH$5,0),0),IF(ISERROR(1/VLOOKUP($R28,Capa!$A:$AJ,BH$5,0)),0,1/VLOOKUP($R28,Capa!$A:$AJ,BH$5,0))))</f>
        <v/>
      </c>
      <c r="BI28" s="174" t="str">
        <f>IF(BI$6="","",IF(BI$3="Maior",iferror(VLOOKUP($R28,Capa!$A:$AJ,BI$5,0),0),IF(ISERROR(1/VLOOKUP($R28,Capa!$A:$AJ,BI$5,0)),0,1/VLOOKUP($R28,Capa!$A:$AJ,BI$5,0))))</f>
        <v/>
      </c>
      <c r="BJ28" s="174" t="str">
        <f>IF(BJ$6="","",IF(BJ$3="Maior",iferror(VLOOKUP($R28,Capa!$A:$AJ,BJ$5,0),0),IF(ISERROR(1/VLOOKUP($R28,Capa!$A:$AJ,BJ$5,0)),0,1/VLOOKUP($R28,Capa!$A:$AJ,BJ$5,0))))</f>
        <v/>
      </c>
      <c r="BK28" s="174" t="str">
        <f>IF(BK$6="","",IF(BK$3="Maior",iferror(VLOOKUP($R28,Capa!$A:$AJ,BK$5,0),0),IF(ISERROR(1/VLOOKUP($R28,Capa!$A:$AJ,BK$5,0)),0,1/VLOOKUP($R28,Capa!$A:$AJ,BK$5,0))))</f>
        <v/>
      </c>
      <c r="BL28" s="174" t="str">
        <f>IF(BL$6="","",IF(BL$3="Maior",iferror(VLOOKUP($R28,Capa!$A:$AJ,BL$5,0),0),IF(ISERROR(1/VLOOKUP($R28,Capa!$A:$AJ,BL$5,0)),0,1/VLOOKUP($R28,Capa!$A:$AJ,BL$5,0))))</f>
        <v/>
      </c>
      <c r="BM28" s="174" t="str">
        <f>IF(BM$6="","",IF(BM$3="Maior",iferror(VLOOKUP($R28,Capa!$A:$AJ,BM$5,0),0),IF(ISERROR(1/VLOOKUP($R28,Capa!$A:$AJ,BM$5,0)),0,1/VLOOKUP($R28,Capa!$A:$AJ,BM$5,0))))</f>
        <v/>
      </c>
      <c r="BN28" s="174" t="str">
        <f>IF(BN$6="","",IF(BN$3="Maior",iferror(VLOOKUP($R28,Capa!$A:$AJ,BN$5,0),0),IF(ISERROR(1/VLOOKUP($R28,Capa!$A:$AJ,BN$5,0)),0,1/VLOOKUP($R28,Capa!$A:$AJ,BN$5,0))))</f>
        <v/>
      </c>
      <c r="BO28" s="174" t="str">
        <f>IF(BO$6="","",IF(BO$3="Maior",iferror(VLOOKUP($R28,Capa!$A:$AJ,BO$5,0),0),IF(ISERROR(1/VLOOKUP($R28,Capa!$A:$AJ,BO$5,0)),0,1/VLOOKUP($R28,Capa!$A:$AJ,BO$5,0))))</f>
        <v/>
      </c>
      <c r="BP28" s="174" t="str">
        <f>IF(BP$6="","",IF(BP$3="Maior",iferror(VLOOKUP($R28,Capa!$A:$AJ,BP$5,0),0),IF(ISERROR(1/VLOOKUP($R28,Capa!$A:$AJ,BP$5,0)),0,1/VLOOKUP($R28,Capa!$A:$AJ,BP$5,0))))</f>
        <v/>
      </c>
      <c r="BQ28" s="174" t="str">
        <f>IF(BQ$6="","",IF(BQ$3="Maior",iferror(VLOOKUP($R28,Capa!$A:$AJ,BQ$5,0),0),IF(ISERROR(1/VLOOKUP($R28,Capa!$A:$AJ,BQ$5,0)),0,1/VLOOKUP($R28,Capa!$A:$AJ,BQ$5,0))))</f>
        <v/>
      </c>
      <c r="BR28" s="175"/>
      <c r="BS28" s="147"/>
    </row>
    <row r="29">
      <c r="B29" s="83">
        <f t="shared" si="22"/>
        <v>1</v>
      </c>
      <c r="C29" s="184" t="s">
        <v>26</v>
      </c>
      <c r="D29" s="82" t="b">
        <v>0</v>
      </c>
      <c r="E29" s="185" t="s">
        <v>1748</v>
      </c>
      <c r="F29" s="82">
        <f>MATCH(C29,Capa!$6:$6,0)</f>
        <v>22</v>
      </c>
      <c r="G29" s="11"/>
      <c r="H29" s="8">
        <v>23.0</v>
      </c>
      <c r="I29" s="165" t="str">
        <f t="shared" si="6"/>
        <v>POMO3</v>
      </c>
      <c r="J29" s="166" t="str">
        <f>(VLOOKUP($I29,Capa!$A:$B,2,0))</f>
        <v>Marcopolo SA</v>
      </c>
      <c r="K29" s="167" t="str">
        <f>VLOOKUP(left(I29,4),Setor!A:D,3,0)&amp;" | "&amp;VLOOKUP(left(I29,4),Setor!A:D,4,0)</f>
        <v>Bens Industriais | Material de Transporte</v>
      </c>
      <c r="L29" s="168">
        <f>(VLOOKUP($I29,Capa!$A:$F,6,0))</f>
        <v>6.25</v>
      </c>
      <c r="M29" s="168">
        <f t="shared" si="7"/>
        <v>4419178</v>
      </c>
      <c r="N29" s="11" t="str">
        <f>IFERROR(__xludf.DUMMYFUNCTION("(VLOOKUP($I29,Capa!$A:$H,7,0))"),"")</f>
        <v/>
      </c>
      <c r="O29" s="169">
        <f>(VLOOKUP($I29,Capa!$A:$H,8,0))</f>
        <v>0.08695652174</v>
      </c>
      <c r="P29" s="11" t="str">
        <f>IFERROR(__xludf.DUMMYFUNCTION("(VLOOKUP($I29,Capa!$A:$J,10,0))"),"")</f>
        <v/>
      </c>
      <c r="Q29" s="169">
        <f>(VLOOKUP($I29,Capa!$A:$K,11,0))</f>
        <v>0.1261261261</v>
      </c>
      <c r="R29" s="45" t="str">
        <f>'Dados StatusInvest'!A24</f>
        <v>AMER3</v>
      </c>
      <c r="S29" s="170">
        <f t="shared" si="8"/>
        <v>833.0833</v>
      </c>
      <c r="T29" s="171">
        <f>VLOOKUP(R29,'Dados StatusInvest'!A:Z,26,0)</f>
        <v>11446965</v>
      </c>
      <c r="U29" s="172">
        <f t="shared" ref="U29:AS29" si="31">IF(AT29="","", RANK(AT29,AT$7:AT$626,0)+RANK(AT29,AT$7:AT$626,0)/10000)</f>
        <v>566.0566</v>
      </c>
      <c r="V29" s="172">
        <f t="shared" si="31"/>
        <v>267.0267</v>
      </c>
      <c r="W29" s="172" t="str">
        <f t="shared" si="31"/>
        <v/>
      </c>
      <c r="X29" s="172" t="str">
        <f t="shared" si="31"/>
        <v/>
      </c>
      <c r="Y29" s="172" t="str">
        <f t="shared" si="31"/>
        <v/>
      </c>
      <c r="Z29" s="172" t="str">
        <f t="shared" si="31"/>
        <v/>
      </c>
      <c r="AA29" s="172" t="str">
        <f t="shared" si="31"/>
        <v/>
      </c>
      <c r="AB29" s="172" t="str">
        <f t="shared" si="31"/>
        <v/>
      </c>
      <c r="AC29" s="172" t="str">
        <f t="shared" si="31"/>
        <v/>
      </c>
      <c r="AD29" s="172" t="str">
        <f t="shared" si="31"/>
        <v/>
      </c>
      <c r="AE29" s="172" t="str">
        <f t="shared" si="31"/>
        <v/>
      </c>
      <c r="AF29" s="172" t="str">
        <f t="shared" si="31"/>
        <v/>
      </c>
      <c r="AG29" s="172" t="str">
        <f t="shared" si="31"/>
        <v/>
      </c>
      <c r="AH29" s="172" t="str">
        <f t="shared" si="31"/>
        <v/>
      </c>
      <c r="AI29" s="172" t="str">
        <f t="shared" si="31"/>
        <v/>
      </c>
      <c r="AJ29" s="172" t="str">
        <f t="shared" si="31"/>
        <v/>
      </c>
      <c r="AK29" s="172" t="str">
        <f t="shared" si="31"/>
        <v/>
      </c>
      <c r="AL29" s="172" t="str">
        <f t="shared" si="31"/>
        <v/>
      </c>
      <c r="AM29" s="172" t="str">
        <f t="shared" si="31"/>
        <v/>
      </c>
      <c r="AN29" s="172" t="str">
        <f t="shared" si="31"/>
        <v/>
      </c>
      <c r="AO29" s="172" t="str">
        <f t="shared" si="31"/>
        <v/>
      </c>
      <c r="AP29" s="172" t="str">
        <f t="shared" si="31"/>
        <v/>
      </c>
      <c r="AQ29" s="172" t="str">
        <f t="shared" si="31"/>
        <v/>
      </c>
      <c r="AR29" s="172" t="str">
        <f t="shared" si="31"/>
        <v/>
      </c>
      <c r="AS29" s="172" t="str">
        <f t="shared" si="31"/>
        <v/>
      </c>
      <c r="AT29" s="173">
        <f>IF(AT$6="","",IF(AT$3="Maior",iferror(VLOOKUP($R29,Capa!$A:$AJ,AT$5,0),0),IF(ISERROR(1/VLOOKUP($R29,Capa!$A:$AJ,AT$5,0)),0,1/VLOOKUP($R29,Capa!$A:$AJ,AT$5,0))))</f>
        <v>-7.418048844</v>
      </c>
      <c r="AU29" s="174">
        <f>IF(AU$6="","",IF(AU$3="Maior",iferror(VLOOKUP($R29,Capa!$A:$AJ,AU$5,0),0),IF(ISERROR(1/VLOOKUP($R29,Capa!$A:$AJ,AU$5,0)),0,1/VLOOKUP($R29,Capa!$A:$AJ,AU$5,0))))</f>
        <v>0</v>
      </c>
      <c r="AV29" s="174" t="str">
        <f>IF(AV$6="","",IF(AV$3="Maior",iferror(VLOOKUP($R29,Capa!$A:$AJ,AV$5,0),0),IF(ISERROR(1/VLOOKUP($R29,Capa!$A:$AJ,AV$5,0)),0,1/VLOOKUP($R29,Capa!$A:$AJ,AV$5,0))))</f>
        <v/>
      </c>
      <c r="AW29" s="174" t="str">
        <f>IF(AW$6="","",IF(AW$3="Maior",iferror(VLOOKUP($R29,Capa!$A:$AJ,AW$5,0),0),IF(ISERROR(1/VLOOKUP($R29,Capa!$A:$AJ,AW$5,0)),0,1/VLOOKUP($R29,Capa!$A:$AJ,AW$5,0))))</f>
        <v/>
      </c>
      <c r="AX29" s="174" t="str">
        <f>IF(AX$6="","",IF(AX$3="Maior",iferror(VLOOKUP($R29,Capa!$A:$AJ,AX$5,0),0),IF(ISERROR(1/VLOOKUP($R29,Capa!$A:$AJ,AX$5,0)),0,1/VLOOKUP($R29,Capa!$A:$AJ,AX$5,0))))</f>
        <v/>
      </c>
      <c r="AY29" s="174" t="str">
        <f>IF(AY$6="","",IF(AY$3="Maior",iferror(VLOOKUP($R29,Capa!$A:$AJ,AY$5,0),0),IF(ISERROR(1/VLOOKUP($R29,Capa!$A:$AJ,AY$5,0)),0,1/VLOOKUP($R29,Capa!$A:$AJ,AY$5,0))))</f>
        <v/>
      </c>
      <c r="AZ29" s="174" t="str">
        <f>IF(AZ$6="","",IF(AZ$3="Maior",iferror(VLOOKUP($R29,Capa!$A:$AJ,AZ$5,0),0),IF(ISERROR(1/VLOOKUP($R29,Capa!$A:$AJ,AZ$5,0)),0,1/VLOOKUP($R29,Capa!$A:$AJ,AZ$5,0))))</f>
        <v/>
      </c>
      <c r="BA29" s="174" t="str">
        <f>IF(BA$6="","",IF(BA$3="Maior",iferror(VLOOKUP($R29,Capa!$A:$AJ,BA$5,0),0),IF(ISERROR(1/VLOOKUP($R29,Capa!$A:$AJ,BA$5,0)),0,1/VLOOKUP($R29,Capa!$A:$AJ,BA$5,0))))</f>
        <v/>
      </c>
      <c r="BB29" s="174" t="str">
        <f>IF(BB$6="","",IF(BB$3="Maior",iferror(VLOOKUP($R29,Capa!$A:$AJ,BB$5,0),0),IF(ISERROR(1/VLOOKUP($R29,Capa!$A:$AJ,BB$5,0)),0,1/VLOOKUP($R29,Capa!$A:$AJ,BB$5,0))))</f>
        <v/>
      </c>
      <c r="BC29" s="174" t="str">
        <f>IF(BC$6="","",IF(BC$3="Maior",iferror(VLOOKUP($R29,Capa!$A:$AJ,BC$5,0),0),IF(ISERROR(1/VLOOKUP($R29,Capa!$A:$AJ,BC$5,0)),0,1/VLOOKUP($R29,Capa!$A:$AJ,BC$5,0))))</f>
        <v/>
      </c>
      <c r="BD29" s="174" t="str">
        <f>IF(BD$6="","",IF(BD$3="Maior",iferror(VLOOKUP($R29,Capa!$A:$AJ,BD$5,0),0),IF(ISERROR(1/VLOOKUP($R29,Capa!$A:$AJ,BD$5,0)),0,1/VLOOKUP($R29,Capa!$A:$AJ,BD$5,0))))</f>
        <v/>
      </c>
      <c r="BE29" s="174" t="str">
        <f>IF(BE$6="","",IF(BE$3="Maior",iferror(VLOOKUP($R29,Capa!$A:$AJ,BE$5,0),0),IF(ISERROR(1/VLOOKUP($R29,Capa!$A:$AJ,BE$5,0)),0,1/VLOOKUP($R29,Capa!$A:$AJ,BE$5,0))))</f>
        <v/>
      </c>
      <c r="BF29" s="174" t="str">
        <f>IF(BF$6="","",IF(BF$3="Maior",iferror(VLOOKUP($R29,Capa!$A:$AJ,BF$5,0),0),IF(ISERROR(1/VLOOKUP($R29,Capa!$A:$AJ,BF$5,0)),0,1/VLOOKUP($R29,Capa!$A:$AJ,BF$5,0))))</f>
        <v/>
      </c>
      <c r="BG29" s="174" t="str">
        <f>IF(BG$6="","",IF(BG$3="Maior",iferror(VLOOKUP($R29,Capa!$A:$AJ,BG$5,0),0),IF(ISERROR(1/VLOOKUP($R29,Capa!$A:$AJ,BG$5,0)),0,1/VLOOKUP($R29,Capa!$A:$AJ,BG$5,0))))</f>
        <v/>
      </c>
      <c r="BH29" s="174" t="str">
        <f>IF(BH$6="","",IF(BH$3="Maior",iferror(VLOOKUP($R29,Capa!$A:$AJ,BH$5,0),0),IF(ISERROR(1/VLOOKUP($R29,Capa!$A:$AJ,BH$5,0)),0,1/VLOOKUP($R29,Capa!$A:$AJ,BH$5,0))))</f>
        <v/>
      </c>
      <c r="BI29" s="174" t="str">
        <f>IF(BI$6="","",IF(BI$3="Maior",iferror(VLOOKUP($R29,Capa!$A:$AJ,BI$5,0),0),IF(ISERROR(1/VLOOKUP($R29,Capa!$A:$AJ,BI$5,0)),0,1/VLOOKUP($R29,Capa!$A:$AJ,BI$5,0))))</f>
        <v/>
      </c>
      <c r="BJ29" s="174" t="str">
        <f>IF(BJ$6="","",IF(BJ$3="Maior",iferror(VLOOKUP($R29,Capa!$A:$AJ,BJ$5,0),0),IF(ISERROR(1/VLOOKUP($R29,Capa!$A:$AJ,BJ$5,0)),0,1/VLOOKUP($R29,Capa!$A:$AJ,BJ$5,0))))</f>
        <v/>
      </c>
      <c r="BK29" s="174" t="str">
        <f>IF(BK$6="","",IF(BK$3="Maior",iferror(VLOOKUP($R29,Capa!$A:$AJ,BK$5,0),0),IF(ISERROR(1/VLOOKUP($R29,Capa!$A:$AJ,BK$5,0)),0,1/VLOOKUP($R29,Capa!$A:$AJ,BK$5,0))))</f>
        <v/>
      </c>
      <c r="BL29" s="174" t="str">
        <f>IF(BL$6="","",IF(BL$3="Maior",iferror(VLOOKUP($R29,Capa!$A:$AJ,BL$5,0),0),IF(ISERROR(1/VLOOKUP($R29,Capa!$A:$AJ,BL$5,0)),0,1/VLOOKUP($R29,Capa!$A:$AJ,BL$5,0))))</f>
        <v/>
      </c>
      <c r="BM29" s="174" t="str">
        <f>IF(BM$6="","",IF(BM$3="Maior",iferror(VLOOKUP($R29,Capa!$A:$AJ,BM$5,0),0),IF(ISERROR(1/VLOOKUP($R29,Capa!$A:$AJ,BM$5,0)),0,1/VLOOKUP($R29,Capa!$A:$AJ,BM$5,0))))</f>
        <v/>
      </c>
      <c r="BN29" s="174" t="str">
        <f>IF(BN$6="","",IF(BN$3="Maior",iferror(VLOOKUP($R29,Capa!$A:$AJ,BN$5,0),0),IF(ISERROR(1/VLOOKUP($R29,Capa!$A:$AJ,BN$5,0)),0,1/VLOOKUP($R29,Capa!$A:$AJ,BN$5,0))))</f>
        <v/>
      </c>
      <c r="BO29" s="174" t="str">
        <f>IF(BO$6="","",IF(BO$3="Maior",iferror(VLOOKUP($R29,Capa!$A:$AJ,BO$5,0),0),IF(ISERROR(1/VLOOKUP($R29,Capa!$A:$AJ,BO$5,0)),0,1/VLOOKUP($R29,Capa!$A:$AJ,BO$5,0))))</f>
        <v/>
      </c>
      <c r="BP29" s="174" t="str">
        <f>IF(BP$6="","",IF(BP$3="Maior",iferror(VLOOKUP($R29,Capa!$A:$AJ,BP$5,0),0),IF(ISERROR(1/VLOOKUP($R29,Capa!$A:$AJ,BP$5,0)),0,1/VLOOKUP($R29,Capa!$A:$AJ,BP$5,0))))</f>
        <v/>
      </c>
      <c r="BQ29" s="174" t="str">
        <f>IF(BQ$6="","",IF(BQ$3="Maior",iferror(VLOOKUP($R29,Capa!$A:$AJ,BQ$5,0),0),IF(ISERROR(1/VLOOKUP($R29,Capa!$A:$AJ,BQ$5,0)),0,1/VLOOKUP($R29,Capa!$A:$AJ,BQ$5,0))))</f>
        <v/>
      </c>
      <c r="BR29" s="175"/>
      <c r="BS29" s="147"/>
    </row>
    <row r="30">
      <c r="B30" s="83">
        <f t="shared" si="22"/>
        <v>1</v>
      </c>
      <c r="C30" s="184" t="s">
        <v>27</v>
      </c>
      <c r="D30" s="82" t="b">
        <v>0</v>
      </c>
      <c r="E30" s="185" t="s">
        <v>1748</v>
      </c>
      <c r="F30" s="82">
        <f>MATCH(C30,Capa!$6:$6,0)</f>
        <v>23</v>
      </c>
      <c r="G30" s="11"/>
      <c r="H30" s="8">
        <v>24.0</v>
      </c>
      <c r="I30" s="165" t="str">
        <f t="shared" si="6"/>
        <v>LREN3</v>
      </c>
      <c r="J30" s="166" t="str">
        <f>(VLOOKUP($I30,Capa!$A:$B,2,0))</f>
        <v>Lojas Renner Cedar</v>
      </c>
      <c r="K30" s="167" t="str">
        <f>VLOOKUP(left(I30,4),Setor!A:D,3,0)&amp;" | "&amp;VLOOKUP(left(I30,4),Setor!A:D,4,0)</f>
        <v>Consumo Cíclico | Comércio</v>
      </c>
      <c r="L30" s="168">
        <f>(VLOOKUP($I30,Capa!$A:$F,6,0))</f>
        <v>4347.5</v>
      </c>
      <c r="M30" s="168">
        <f t="shared" si="7"/>
        <v>207000000</v>
      </c>
      <c r="N30" s="11" t="str">
        <f>IFERROR(__xludf.DUMMYFUNCTION("(VLOOKUP($I30,Capa!$A:$H,7,0))"),"")</f>
        <v/>
      </c>
      <c r="O30" s="169">
        <f>(VLOOKUP($I30,Capa!$A:$H,8,0))</f>
        <v>0.06166056166</v>
      </c>
      <c r="P30" s="11" t="str">
        <f>IFERROR(__xludf.DUMMYFUNCTION("(VLOOKUP($I30,Capa!$A:$J,10,0))"),"")</f>
        <v/>
      </c>
      <c r="Q30" s="169">
        <f>(VLOOKUP($I30,Capa!$A:$K,11,0))</f>
        <v>0.5281195079</v>
      </c>
      <c r="R30" s="45" t="str">
        <f>'Dados StatusInvest'!A25</f>
        <v>AMOB3</v>
      </c>
      <c r="S30" s="170">
        <f t="shared" si="8"/>
        <v>318.0318</v>
      </c>
      <c r="T30" s="171">
        <f>VLOOKUP(R30,'Dados StatusInvest'!A:Z,26,0)</f>
        <v>547696.1</v>
      </c>
      <c r="U30" s="172">
        <f t="shared" ref="U30:AS30" si="32">IF(AT30="","", RANK(AT30,AT$7:AT$626,0)+RANK(AT30,AT$7:AT$626,0)/10000)</f>
        <v>51.0051</v>
      </c>
      <c r="V30" s="172">
        <f t="shared" si="32"/>
        <v>267.0267</v>
      </c>
      <c r="W30" s="172" t="str">
        <f t="shared" si="32"/>
        <v/>
      </c>
      <c r="X30" s="172" t="str">
        <f t="shared" si="32"/>
        <v/>
      </c>
      <c r="Y30" s="172" t="str">
        <f t="shared" si="32"/>
        <v/>
      </c>
      <c r="Z30" s="172" t="str">
        <f t="shared" si="32"/>
        <v/>
      </c>
      <c r="AA30" s="172" t="str">
        <f t="shared" si="32"/>
        <v/>
      </c>
      <c r="AB30" s="172" t="str">
        <f t="shared" si="32"/>
        <v/>
      </c>
      <c r="AC30" s="172" t="str">
        <f t="shared" si="32"/>
        <v/>
      </c>
      <c r="AD30" s="172" t="str">
        <f t="shared" si="32"/>
        <v/>
      </c>
      <c r="AE30" s="172" t="str">
        <f t="shared" si="32"/>
        <v/>
      </c>
      <c r="AF30" s="172" t="str">
        <f t="shared" si="32"/>
        <v/>
      </c>
      <c r="AG30" s="172" t="str">
        <f t="shared" si="32"/>
        <v/>
      </c>
      <c r="AH30" s="172" t="str">
        <f t="shared" si="32"/>
        <v/>
      </c>
      <c r="AI30" s="172" t="str">
        <f t="shared" si="32"/>
        <v/>
      </c>
      <c r="AJ30" s="172" t="str">
        <f t="shared" si="32"/>
        <v/>
      </c>
      <c r="AK30" s="172" t="str">
        <f t="shared" si="32"/>
        <v/>
      </c>
      <c r="AL30" s="172" t="str">
        <f t="shared" si="32"/>
        <v/>
      </c>
      <c r="AM30" s="172" t="str">
        <f t="shared" si="32"/>
        <v/>
      </c>
      <c r="AN30" s="172" t="str">
        <f t="shared" si="32"/>
        <v/>
      </c>
      <c r="AO30" s="172" t="str">
        <f t="shared" si="32"/>
        <v/>
      </c>
      <c r="AP30" s="172" t="str">
        <f t="shared" si="32"/>
        <v/>
      </c>
      <c r="AQ30" s="172" t="str">
        <f t="shared" si="32"/>
        <v/>
      </c>
      <c r="AR30" s="172" t="str">
        <f t="shared" si="32"/>
        <v/>
      </c>
      <c r="AS30" s="172" t="str">
        <f t="shared" si="32"/>
        <v/>
      </c>
      <c r="AT30" s="173">
        <f>IF(AT$6="","",IF(AT$3="Maior",iferror(VLOOKUP($R30,Capa!$A:$AJ,AT$5,0),0),IF(ISERROR(1/VLOOKUP($R30,Capa!$A:$AJ,AT$5,0)),0,1/VLOOKUP($R30,Capa!$A:$AJ,AT$5,0))))</f>
        <v>0</v>
      </c>
      <c r="AU30" s="174">
        <f>IF(AU$6="","",IF(AU$3="Maior",iferror(VLOOKUP($R30,Capa!$A:$AJ,AU$5,0),0),IF(ISERROR(1/VLOOKUP($R30,Capa!$A:$AJ,AU$5,0)),0,1/VLOOKUP($R30,Capa!$A:$AJ,AU$5,0))))</f>
        <v>0</v>
      </c>
      <c r="AV30" s="174" t="str">
        <f>IF(AV$6="","",IF(AV$3="Maior",iferror(VLOOKUP($R30,Capa!$A:$AJ,AV$5,0),0),IF(ISERROR(1/VLOOKUP($R30,Capa!$A:$AJ,AV$5,0)),0,1/VLOOKUP($R30,Capa!$A:$AJ,AV$5,0))))</f>
        <v/>
      </c>
      <c r="AW30" s="174" t="str">
        <f>IF(AW$6="","",IF(AW$3="Maior",iferror(VLOOKUP($R30,Capa!$A:$AJ,AW$5,0),0),IF(ISERROR(1/VLOOKUP($R30,Capa!$A:$AJ,AW$5,0)),0,1/VLOOKUP($R30,Capa!$A:$AJ,AW$5,0))))</f>
        <v/>
      </c>
      <c r="AX30" s="174" t="str">
        <f>IF(AX$6="","",IF(AX$3="Maior",iferror(VLOOKUP($R30,Capa!$A:$AJ,AX$5,0),0),IF(ISERROR(1/VLOOKUP($R30,Capa!$A:$AJ,AX$5,0)),0,1/VLOOKUP($R30,Capa!$A:$AJ,AX$5,0))))</f>
        <v/>
      </c>
      <c r="AY30" s="174" t="str">
        <f>IF(AY$6="","",IF(AY$3="Maior",iferror(VLOOKUP($R30,Capa!$A:$AJ,AY$5,0),0),IF(ISERROR(1/VLOOKUP($R30,Capa!$A:$AJ,AY$5,0)),0,1/VLOOKUP($R30,Capa!$A:$AJ,AY$5,0))))</f>
        <v/>
      </c>
      <c r="AZ30" s="174" t="str">
        <f>IF(AZ$6="","",IF(AZ$3="Maior",iferror(VLOOKUP($R30,Capa!$A:$AJ,AZ$5,0),0),IF(ISERROR(1/VLOOKUP($R30,Capa!$A:$AJ,AZ$5,0)),0,1/VLOOKUP($R30,Capa!$A:$AJ,AZ$5,0))))</f>
        <v/>
      </c>
      <c r="BA30" s="174" t="str">
        <f>IF(BA$6="","",IF(BA$3="Maior",iferror(VLOOKUP($R30,Capa!$A:$AJ,BA$5,0),0),IF(ISERROR(1/VLOOKUP($R30,Capa!$A:$AJ,BA$5,0)),0,1/VLOOKUP($R30,Capa!$A:$AJ,BA$5,0))))</f>
        <v/>
      </c>
      <c r="BB30" s="174" t="str">
        <f>IF(BB$6="","",IF(BB$3="Maior",iferror(VLOOKUP($R30,Capa!$A:$AJ,BB$5,0),0),IF(ISERROR(1/VLOOKUP($R30,Capa!$A:$AJ,BB$5,0)),0,1/VLOOKUP($R30,Capa!$A:$AJ,BB$5,0))))</f>
        <v/>
      </c>
      <c r="BC30" s="174" t="str">
        <f>IF(BC$6="","",IF(BC$3="Maior",iferror(VLOOKUP($R30,Capa!$A:$AJ,BC$5,0),0),IF(ISERROR(1/VLOOKUP($R30,Capa!$A:$AJ,BC$5,0)),0,1/VLOOKUP($R30,Capa!$A:$AJ,BC$5,0))))</f>
        <v/>
      </c>
      <c r="BD30" s="174" t="str">
        <f>IF(BD$6="","",IF(BD$3="Maior",iferror(VLOOKUP($R30,Capa!$A:$AJ,BD$5,0),0),IF(ISERROR(1/VLOOKUP($R30,Capa!$A:$AJ,BD$5,0)),0,1/VLOOKUP($R30,Capa!$A:$AJ,BD$5,0))))</f>
        <v/>
      </c>
      <c r="BE30" s="174" t="str">
        <f>IF(BE$6="","",IF(BE$3="Maior",iferror(VLOOKUP($R30,Capa!$A:$AJ,BE$5,0),0),IF(ISERROR(1/VLOOKUP($R30,Capa!$A:$AJ,BE$5,0)),0,1/VLOOKUP($R30,Capa!$A:$AJ,BE$5,0))))</f>
        <v/>
      </c>
      <c r="BF30" s="174" t="str">
        <f>IF(BF$6="","",IF(BF$3="Maior",iferror(VLOOKUP($R30,Capa!$A:$AJ,BF$5,0),0),IF(ISERROR(1/VLOOKUP($R30,Capa!$A:$AJ,BF$5,0)),0,1/VLOOKUP($R30,Capa!$A:$AJ,BF$5,0))))</f>
        <v/>
      </c>
      <c r="BG30" s="174" t="str">
        <f>IF(BG$6="","",IF(BG$3="Maior",iferror(VLOOKUP($R30,Capa!$A:$AJ,BG$5,0),0),IF(ISERROR(1/VLOOKUP($R30,Capa!$A:$AJ,BG$5,0)),0,1/VLOOKUP($R30,Capa!$A:$AJ,BG$5,0))))</f>
        <v/>
      </c>
      <c r="BH30" s="174" t="str">
        <f>IF(BH$6="","",IF(BH$3="Maior",iferror(VLOOKUP($R30,Capa!$A:$AJ,BH$5,0),0),IF(ISERROR(1/VLOOKUP($R30,Capa!$A:$AJ,BH$5,0)),0,1/VLOOKUP($R30,Capa!$A:$AJ,BH$5,0))))</f>
        <v/>
      </c>
      <c r="BI30" s="174" t="str">
        <f>IF(BI$6="","",IF(BI$3="Maior",iferror(VLOOKUP($R30,Capa!$A:$AJ,BI$5,0),0),IF(ISERROR(1/VLOOKUP($R30,Capa!$A:$AJ,BI$5,0)),0,1/VLOOKUP($R30,Capa!$A:$AJ,BI$5,0))))</f>
        <v/>
      </c>
      <c r="BJ30" s="174" t="str">
        <f>IF(BJ$6="","",IF(BJ$3="Maior",iferror(VLOOKUP($R30,Capa!$A:$AJ,BJ$5,0),0),IF(ISERROR(1/VLOOKUP($R30,Capa!$A:$AJ,BJ$5,0)),0,1/VLOOKUP($R30,Capa!$A:$AJ,BJ$5,0))))</f>
        <v/>
      </c>
      <c r="BK30" s="174" t="str">
        <f>IF(BK$6="","",IF(BK$3="Maior",iferror(VLOOKUP($R30,Capa!$A:$AJ,BK$5,0),0),IF(ISERROR(1/VLOOKUP($R30,Capa!$A:$AJ,BK$5,0)),0,1/VLOOKUP($R30,Capa!$A:$AJ,BK$5,0))))</f>
        <v/>
      </c>
      <c r="BL30" s="174" t="str">
        <f>IF(BL$6="","",IF(BL$3="Maior",iferror(VLOOKUP($R30,Capa!$A:$AJ,BL$5,0),0),IF(ISERROR(1/VLOOKUP($R30,Capa!$A:$AJ,BL$5,0)),0,1/VLOOKUP($R30,Capa!$A:$AJ,BL$5,0))))</f>
        <v/>
      </c>
      <c r="BM30" s="174" t="str">
        <f>IF(BM$6="","",IF(BM$3="Maior",iferror(VLOOKUP($R30,Capa!$A:$AJ,BM$5,0),0),IF(ISERROR(1/VLOOKUP($R30,Capa!$A:$AJ,BM$5,0)),0,1/VLOOKUP($R30,Capa!$A:$AJ,BM$5,0))))</f>
        <v/>
      </c>
      <c r="BN30" s="174" t="str">
        <f>IF(BN$6="","",IF(BN$3="Maior",iferror(VLOOKUP($R30,Capa!$A:$AJ,BN$5,0),0),IF(ISERROR(1/VLOOKUP($R30,Capa!$A:$AJ,BN$5,0)),0,1/VLOOKUP($R30,Capa!$A:$AJ,BN$5,0))))</f>
        <v/>
      </c>
      <c r="BO30" s="174" t="str">
        <f>IF(BO$6="","",IF(BO$3="Maior",iferror(VLOOKUP($R30,Capa!$A:$AJ,BO$5,0),0),IF(ISERROR(1/VLOOKUP($R30,Capa!$A:$AJ,BO$5,0)),0,1/VLOOKUP($R30,Capa!$A:$AJ,BO$5,0))))</f>
        <v/>
      </c>
      <c r="BP30" s="174" t="str">
        <f>IF(BP$6="","",IF(BP$3="Maior",iferror(VLOOKUP($R30,Capa!$A:$AJ,BP$5,0),0),IF(ISERROR(1/VLOOKUP($R30,Capa!$A:$AJ,BP$5,0)),0,1/VLOOKUP($R30,Capa!$A:$AJ,BP$5,0))))</f>
        <v/>
      </c>
      <c r="BQ30" s="174" t="str">
        <f>IF(BQ$6="","",IF(BQ$3="Maior",iferror(VLOOKUP($R30,Capa!$A:$AJ,BQ$5,0),0),IF(ISERROR(1/VLOOKUP($R30,Capa!$A:$AJ,BQ$5,0)),0,1/VLOOKUP($R30,Capa!$A:$AJ,BQ$5,0))))</f>
        <v/>
      </c>
      <c r="BR30" s="175"/>
      <c r="BS30" s="147"/>
    </row>
    <row r="31">
      <c r="B31" s="83">
        <f t="shared" si="22"/>
        <v>1</v>
      </c>
      <c r="C31" s="184" t="s">
        <v>28</v>
      </c>
      <c r="D31" s="82" t="b">
        <v>0</v>
      </c>
      <c r="E31" s="185" t="s">
        <v>1747</v>
      </c>
      <c r="F31" s="82">
        <f>MATCH(C31,Capa!$6:$6,0)</f>
        <v>24</v>
      </c>
      <c r="G31" s="11"/>
      <c r="H31" s="8">
        <v>25.0</v>
      </c>
      <c r="I31" s="165" t="str">
        <f t="shared" si="6"/>
        <v>LREN3</v>
      </c>
      <c r="J31" s="166" t="str">
        <f>(VLOOKUP($I31,Capa!$A:$B,2,0))</f>
        <v>Lojas Renner Cedar</v>
      </c>
      <c r="K31" s="167" t="str">
        <f>VLOOKUP(left(I31,4),Setor!A:D,3,0)&amp;" | "&amp;VLOOKUP(left(I31,4),Setor!A:D,4,0)</f>
        <v>Consumo Cíclico | Comércio</v>
      </c>
      <c r="L31" s="168">
        <f>(VLOOKUP($I31,Capa!$A:$F,6,0))</f>
        <v>4347.5</v>
      </c>
      <c r="M31" s="168">
        <f t="shared" si="7"/>
        <v>207000000</v>
      </c>
      <c r="N31" s="11" t="str">
        <f>IFERROR(__xludf.DUMMYFUNCTION("(VLOOKUP($I31,Capa!$A:$H,7,0))"),"")</f>
        <v/>
      </c>
      <c r="O31" s="169">
        <f>(VLOOKUP($I31,Capa!$A:$H,8,0))</f>
        <v>0.06166056166</v>
      </c>
      <c r="P31" s="11" t="str">
        <f>IFERROR(__xludf.DUMMYFUNCTION("(VLOOKUP($I31,Capa!$A:$J,10,0))"),"")</f>
        <v/>
      </c>
      <c r="Q31" s="169">
        <f>(VLOOKUP($I31,Capa!$A:$K,11,0))</f>
        <v>0.5281195079</v>
      </c>
      <c r="R31" s="45" t="str">
        <f>'Dados StatusInvest'!A26</f>
        <v>ANIM3</v>
      </c>
      <c r="S31" s="170">
        <f t="shared" si="8"/>
        <v>767.0767</v>
      </c>
      <c r="T31" s="171">
        <f>VLOOKUP(R31,'Dados StatusInvest'!A:Z,26,0)</f>
        <v>45686853</v>
      </c>
      <c r="U31" s="172">
        <f t="shared" ref="U31:AS31" si="33">IF(AT31="","", RANK(AT31,AT$7:AT$626,0)+RANK(AT31,AT$7:AT$626,0)/10000)</f>
        <v>500.05</v>
      </c>
      <c r="V31" s="172">
        <f t="shared" si="33"/>
        <v>267.0267</v>
      </c>
      <c r="W31" s="172" t="str">
        <f t="shared" si="33"/>
        <v/>
      </c>
      <c r="X31" s="172" t="str">
        <f t="shared" si="33"/>
        <v/>
      </c>
      <c r="Y31" s="172" t="str">
        <f t="shared" si="33"/>
        <v/>
      </c>
      <c r="Z31" s="172" t="str">
        <f t="shared" si="33"/>
        <v/>
      </c>
      <c r="AA31" s="172" t="str">
        <f t="shared" si="33"/>
        <v/>
      </c>
      <c r="AB31" s="172" t="str">
        <f t="shared" si="33"/>
        <v/>
      </c>
      <c r="AC31" s="172" t="str">
        <f t="shared" si="33"/>
        <v/>
      </c>
      <c r="AD31" s="172" t="str">
        <f t="shared" si="33"/>
        <v/>
      </c>
      <c r="AE31" s="172" t="str">
        <f t="shared" si="33"/>
        <v/>
      </c>
      <c r="AF31" s="172" t="str">
        <f t="shared" si="33"/>
        <v/>
      </c>
      <c r="AG31" s="172" t="str">
        <f t="shared" si="33"/>
        <v/>
      </c>
      <c r="AH31" s="172" t="str">
        <f t="shared" si="33"/>
        <v/>
      </c>
      <c r="AI31" s="172" t="str">
        <f t="shared" si="33"/>
        <v/>
      </c>
      <c r="AJ31" s="172" t="str">
        <f t="shared" si="33"/>
        <v/>
      </c>
      <c r="AK31" s="172" t="str">
        <f t="shared" si="33"/>
        <v/>
      </c>
      <c r="AL31" s="172" t="str">
        <f t="shared" si="33"/>
        <v/>
      </c>
      <c r="AM31" s="172" t="str">
        <f t="shared" si="33"/>
        <v/>
      </c>
      <c r="AN31" s="172" t="str">
        <f t="shared" si="33"/>
        <v/>
      </c>
      <c r="AO31" s="172" t="str">
        <f t="shared" si="33"/>
        <v/>
      </c>
      <c r="AP31" s="172" t="str">
        <f t="shared" si="33"/>
        <v/>
      </c>
      <c r="AQ31" s="172" t="str">
        <f t="shared" si="33"/>
        <v/>
      </c>
      <c r="AR31" s="172" t="str">
        <f t="shared" si="33"/>
        <v/>
      </c>
      <c r="AS31" s="172" t="str">
        <f t="shared" si="33"/>
        <v/>
      </c>
      <c r="AT31" s="173">
        <f>IF(AT$6="","",IF(AT$3="Maior",iferror(VLOOKUP($R31,Capa!$A:$AJ,AT$5,0),0),IF(ISERROR(1/VLOOKUP($R31,Capa!$A:$AJ,AT$5,0)),0,1/VLOOKUP($R31,Capa!$A:$AJ,AT$5,0))))</f>
        <v>-3.193255844</v>
      </c>
      <c r="AU31" s="174">
        <f>IF(AU$6="","",IF(AU$3="Maior",iferror(VLOOKUP($R31,Capa!$A:$AJ,AU$5,0),0),IF(ISERROR(1/VLOOKUP($R31,Capa!$A:$AJ,AU$5,0)),0,1/VLOOKUP($R31,Capa!$A:$AJ,AU$5,0))))</f>
        <v>0</v>
      </c>
      <c r="AV31" s="174" t="str">
        <f>IF(AV$6="","",IF(AV$3="Maior",iferror(VLOOKUP($R31,Capa!$A:$AJ,AV$5,0),0),IF(ISERROR(1/VLOOKUP($R31,Capa!$A:$AJ,AV$5,0)),0,1/VLOOKUP($R31,Capa!$A:$AJ,AV$5,0))))</f>
        <v/>
      </c>
      <c r="AW31" s="174" t="str">
        <f>IF(AW$6="","",IF(AW$3="Maior",iferror(VLOOKUP($R31,Capa!$A:$AJ,AW$5,0),0),IF(ISERROR(1/VLOOKUP($R31,Capa!$A:$AJ,AW$5,0)),0,1/VLOOKUP($R31,Capa!$A:$AJ,AW$5,0))))</f>
        <v/>
      </c>
      <c r="AX31" s="174" t="str">
        <f>IF(AX$6="","",IF(AX$3="Maior",iferror(VLOOKUP($R31,Capa!$A:$AJ,AX$5,0),0),IF(ISERROR(1/VLOOKUP($R31,Capa!$A:$AJ,AX$5,0)),0,1/VLOOKUP($R31,Capa!$A:$AJ,AX$5,0))))</f>
        <v/>
      </c>
      <c r="AY31" s="174" t="str">
        <f>IF(AY$6="","",IF(AY$3="Maior",iferror(VLOOKUP($R31,Capa!$A:$AJ,AY$5,0),0),IF(ISERROR(1/VLOOKUP($R31,Capa!$A:$AJ,AY$5,0)),0,1/VLOOKUP($R31,Capa!$A:$AJ,AY$5,0))))</f>
        <v/>
      </c>
      <c r="AZ31" s="174" t="str">
        <f>IF(AZ$6="","",IF(AZ$3="Maior",iferror(VLOOKUP($R31,Capa!$A:$AJ,AZ$5,0),0),IF(ISERROR(1/VLOOKUP($R31,Capa!$A:$AJ,AZ$5,0)),0,1/VLOOKUP($R31,Capa!$A:$AJ,AZ$5,0))))</f>
        <v/>
      </c>
      <c r="BA31" s="174" t="str">
        <f>IF(BA$6="","",IF(BA$3="Maior",iferror(VLOOKUP($R31,Capa!$A:$AJ,BA$5,0),0),IF(ISERROR(1/VLOOKUP($R31,Capa!$A:$AJ,BA$5,0)),0,1/VLOOKUP($R31,Capa!$A:$AJ,BA$5,0))))</f>
        <v/>
      </c>
      <c r="BB31" s="174" t="str">
        <f>IF(BB$6="","",IF(BB$3="Maior",iferror(VLOOKUP($R31,Capa!$A:$AJ,BB$5,0),0),IF(ISERROR(1/VLOOKUP($R31,Capa!$A:$AJ,BB$5,0)),0,1/VLOOKUP($R31,Capa!$A:$AJ,BB$5,0))))</f>
        <v/>
      </c>
      <c r="BC31" s="174" t="str">
        <f>IF(BC$6="","",IF(BC$3="Maior",iferror(VLOOKUP($R31,Capa!$A:$AJ,BC$5,0),0),IF(ISERROR(1/VLOOKUP($R31,Capa!$A:$AJ,BC$5,0)),0,1/VLOOKUP($R31,Capa!$A:$AJ,BC$5,0))))</f>
        <v/>
      </c>
      <c r="BD31" s="174" t="str">
        <f>IF(BD$6="","",IF(BD$3="Maior",iferror(VLOOKUP($R31,Capa!$A:$AJ,BD$5,0),0),IF(ISERROR(1/VLOOKUP($R31,Capa!$A:$AJ,BD$5,0)),0,1/VLOOKUP($R31,Capa!$A:$AJ,BD$5,0))))</f>
        <v/>
      </c>
      <c r="BE31" s="174" t="str">
        <f>IF(BE$6="","",IF(BE$3="Maior",iferror(VLOOKUP($R31,Capa!$A:$AJ,BE$5,0),0),IF(ISERROR(1/VLOOKUP($R31,Capa!$A:$AJ,BE$5,0)),0,1/VLOOKUP($R31,Capa!$A:$AJ,BE$5,0))))</f>
        <v/>
      </c>
      <c r="BF31" s="174" t="str">
        <f>IF(BF$6="","",IF(BF$3="Maior",iferror(VLOOKUP($R31,Capa!$A:$AJ,BF$5,0),0),IF(ISERROR(1/VLOOKUP($R31,Capa!$A:$AJ,BF$5,0)),0,1/VLOOKUP($R31,Capa!$A:$AJ,BF$5,0))))</f>
        <v/>
      </c>
      <c r="BG31" s="174" t="str">
        <f>IF(BG$6="","",IF(BG$3="Maior",iferror(VLOOKUP($R31,Capa!$A:$AJ,BG$5,0),0),IF(ISERROR(1/VLOOKUP($R31,Capa!$A:$AJ,BG$5,0)),0,1/VLOOKUP($R31,Capa!$A:$AJ,BG$5,0))))</f>
        <v/>
      </c>
      <c r="BH31" s="174" t="str">
        <f>IF(BH$6="","",IF(BH$3="Maior",iferror(VLOOKUP($R31,Capa!$A:$AJ,BH$5,0),0),IF(ISERROR(1/VLOOKUP($R31,Capa!$A:$AJ,BH$5,0)),0,1/VLOOKUP($R31,Capa!$A:$AJ,BH$5,0))))</f>
        <v/>
      </c>
      <c r="BI31" s="174" t="str">
        <f>IF(BI$6="","",IF(BI$3="Maior",iferror(VLOOKUP($R31,Capa!$A:$AJ,BI$5,0),0),IF(ISERROR(1/VLOOKUP($R31,Capa!$A:$AJ,BI$5,0)),0,1/VLOOKUP($R31,Capa!$A:$AJ,BI$5,0))))</f>
        <v/>
      </c>
      <c r="BJ31" s="174" t="str">
        <f>IF(BJ$6="","",IF(BJ$3="Maior",iferror(VLOOKUP($R31,Capa!$A:$AJ,BJ$5,0),0),IF(ISERROR(1/VLOOKUP($R31,Capa!$A:$AJ,BJ$5,0)),0,1/VLOOKUP($R31,Capa!$A:$AJ,BJ$5,0))))</f>
        <v/>
      </c>
      <c r="BK31" s="174" t="str">
        <f>IF(BK$6="","",IF(BK$3="Maior",iferror(VLOOKUP($R31,Capa!$A:$AJ,BK$5,0),0),IF(ISERROR(1/VLOOKUP($R31,Capa!$A:$AJ,BK$5,0)),0,1/VLOOKUP($R31,Capa!$A:$AJ,BK$5,0))))</f>
        <v/>
      </c>
      <c r="BL31" s="174" t="str">
        <f>IF(BL$6="","",IF(BL$3="Maior",iferror(VLOOKUP($R31,Capa!$A:$AJ,BL$5,0),0),IF(ISERROR(1/VLOOKUP($R31,Capa!$A:$AJ,BL$5,0)),0,1/VLOOKUP($R31,Capa!$A:$AJ,BL$5,0))))</f>
        <v/>
      </c>
      <c r="BM31" s="174" t="str">
        <f>IF(BM$6="","",IF(BM$3="Maior",iferror(VLOOKUP($R31,Capa!$A:$AJ,BM$5,0),0),IF(ISERROR(1/VLOOKUP($R31,Capa!$A:$AJ,BM$5,0)),0,1/VLOOKUP($R31,Capa!$A:$AJ,BM$5,0))))</f>
        <v/>
      </c>
      <c r="BN31" s="174" t="str">
        <f>IF(BN$6="","",IF(BN$3="Maior",iferror(VLOOKUP($R31,Capa!$A:$AJ,BN$5,0),0),IF(ISERROR(1/VLOOKUP($R31,Capa!$A:$AJ,BN$5,0)),0,1/VLOOKUP($R31,Capa!$A:$AJ,BN$5,0))))</f>
        <v/>
      </c>
      <c r="BO31" s="174" t="str">
        <f>IF(BO$6="","",IF(BO$3="Maior",iferror(VLOOKUP($R31,Capa!$A:$AJ,BO$5,0),0),IF(ISERROR(1/VLOOKUP($R31,Capa!$A:$AJ,BO$5,0)),0,1/VLOOKUP($R31,Capa!$A:$AJ,BO$5,0))))</f>
        <v/>
      </c>
      <c r="BP31" s="174" t="str">
        <f>IF(BP$6="","",IF(BP$3="Maior",iferror(VLOOKUP($R31,Capa!$A:$AJ,BP$5,0),0),IF(ISERROR(1/VLOOKUP($R31,Capa!$A:$AJ,BP$5,0)),0,1/VLOOKUP($R31,Capa!$A:$AJ,BP$5,0))))</f>
        <v/>
      </c>
      <c r="BQ31" s="174" t="str">
        <f>IF(BQ$6="","",IF(BQ$3="Maior",iferror(VLOOKUP($R31,Capa!$A:$AJ,BQ$5,0),0),IF(ISERROR(1/VLOOKUP($R31,Capa!$A:$AJ,BQ$5,0)),0,1/VLOOKUP($R31,Capa!$A:$AJ,BQ$5,0))))</f>
        <v/>
      </c>
      <c r="BR31" s="175"/>
      <c r="BS31" s="147"/>
    </row>
    <row r="32">
      <c r="B32" s="83">
        <f t="shared" si="22"/>
        <v>1</v>
      </c>
      <c r="C32" s="184" t="s">
        <v>29</v>
      </c>
      <c r="D32" s="82" t="b">
        <v>0</v>
      </c>
      <c r="E32" s="185" t="s">
        <v>1748</v>
      </c>
      <c r="F32" s="82">
        <f>MATCH(C32,Capa!$6:$6,0)</f>
        <v>25</v>
      </c>
      <c r="G32" s="11"/>
      <c r="H32" s="8">
        <v>26.0</v>
      </c>
      <c r="I32" s="165" t="str">
        <f t="shared" si="6"/>
        <v>SRNA3</v>
      </c>
      <c r="J32" s="166" t="str">
        <f>(VLOOKUP($I32,Capa!$A:$B,2,0))</f>
        <v/>
      </c>
      <c r="K32" s="167" t="str">
        <f>VLOOKUP(left(I32,4),Setor!A:D,3,0)&amp;" | "&amp;VLOOKUP(left(I32,4),Setor!A:D,4,0)</f>
        <v>#N/A</v>
      </c>
      <c r="L32" s="168" t="str">
        <f>(VLOOKUP($I32,Capa!$A:$F,6,0))</f>
        <v/>
      </c>
      <c r="M32" s="168">
        <f t="shared" si="7"/>
        <v>6704467</v>
      </c>
      <c r="N32" s="177" t="str">
        <f>(VLOOKUP($I32,Capa!$A:$H,7,0))</f>
        <v/>
      </c>
      <c r="O32" s="169" t="str">
        <f>(VLOOKUP($I32,Capa!$A:$H,8,0))</f>
        <v/>
      </c>
      <c r="P32" s="169" t="str">
        <f>(VLOOKUP($I32,Capa!$A:$J,10,0))</f>
        <v/>
      </c>
      <c r="Q32" s="169" t="str">
        <f>(VLOOKUP($I32,Capa!$A:$K,11,0))</f>
        <v/>
      </c>
      <c r="R32" s="45" t="str">
        <f>'Dados StatusInvest'!A27</f>
        <v>APER3</v>
      </c>
      <c r="S32" s="170">
        <f t="shared" si="8"/>
        <v>1386.0386</v>
      </c>
      <c r="T32" s="171">
        <f>VLOOKUP(R32,'Dados StatusInvest'!A:Z,26,0)</f>
        <v>51166</v>
      </c>
      <c r="U32" s="172">
        <f t="shared" ref="U32:AS32" si="34">IF(AT32="","", RANK(AT32,AT$7:AT$626,0)+RANK(AT32,AT$7:AT$626,0)/10000)</f>
        <v>119.0119</v>
      </c>
      <c r="V32" s="172">
        <f t="shared" si="34"/>
        <v>267.0267</v>
      </c>
      <c r="W32" s="172" t="str">
        <f t="shared" si="34"/>
        <v/>
      </c>
      <c r="X32" s="172" t="str">
        <f t="shared" si="34"/>
        <v/>
      </c>
      <c r="Y32" s="172" t="str">
        <f t="shared" si="34"/>
        <v/>
      </c>
      <c r="Z32" s="172" t="str">
        <f t="shared" si="34"/>
        <v/>
      </c>
      <c r="AA32" s="172" t="str">
        <f t="shared" si="34"/>
        <v/>
      </c>
      <c r="AB32" s="172" t="str">
        <f t="shared" si="34"/>
        <v/>
      </c>
      <c r="AC32" s="172" t="str">
        <f t="shared" si="34"/>
        <v/>
      </c>
      <c r="AD32" s="172" t="str">
        <f t="shared" si="34"/>
        <v/>
      </c>
      <c r="AE32" s="172" t="str">
        <f t="shared" si="34"/>
        <v/>
      </c>
      <c r="AF32" s="172" t="str">
        <f t="shared" si="34"/>
        <v/>
      </c>
      <c r="AG32" s="172" t="str">
        <f t="shared" si="34"/>
        <v/>
      </c>
      <c r="AH32" s="172" t="str">
        <f t="shared" si="34"/>
        <v/>
      </c>
      <c r="AI32" s="172" t="str">
        <f t="shared" si="34"/>
        <v/>
      </c>
      <c r="AJ32" s="172" t="str">
        <f t="shared" si="34"/>
        <v/>
      </c>
      <c r="AK32" s="172" t="str">
        <f t="shared" si="34"/>
        <v/>
      </c>
      <c r="AL32" s="172" t="str">
        <f t="shared" si="34"/>
        <v/>
      </c>
      <c r="AM32" s="172" t="str">
        <f t="shared" si="34"/>
        <v/>
      </c>
      <c r="AN32" s="172" t="str">
        <f t="shared" si="34"/>
        <v/>
      </c>
      <c r="AO32" s="172" t="str">
        <f t="shared" si="34"/>
        <v/>
      </c>
      <c r="AP32" s="172" t="str">
        <f t="shared" si="34"/>
        <v/>
      </c>
      <c r="AQ32" s="172" t="str">
        <f t="shared" si="34"/>
        <v/>
      </c>
      <c r="AR32" s="172" t="str">
        <f t="shared" si="34"/>
        <v/>
      </c>
      <c r="AS32" s="172" t="str">
        <f t="shared" si="34"/>
        <v/>
      </c>
      <c r="AT32" s="173">
        <f>IF(AT$6="","",IF(AT$3="Maior",iferror(VLOOKUP($R32,Capa!$A:$AJ,AT$5,0),0),IF(ISERROR(1/VLOOKUP($R32,Capa!$A:$AJ,AT$5,0)),0,1/VLOOKUP($R32,Capa!$A:$AJ,AT$5,0))))</f>
        <v>-0.008571918395</v>
      </c>
      <c r="AU32" s="174">
        <f>IF(AU$6="","",IF(AU$3="Maior",iferror(VLOOKUP($R32,Capa!$A:$AJ,AU$5,0),0),IF(ISERROR(1/VLOOKUP($R32,Capa!$A:$AJ,AU$5,0)),0,1/VLOOKUP($R32,Capa!$A:$AJ,AU$5,0))))</f>
        <v>0</v>
      </c>
      <c r="AV32" s="174" t="str">
        <f>IF(AV$6="","",IF(AV$3="Maior",iferror(VLOOKUP($R32,Capa!$A:$AJ,AV$5,0),0),IF(ISERROR(1/VLOOKUP($R32,Capa!$A:$AJ,AV$5,0)),0,1/VLOOKUP($R32,Capa!$A:$AJ,AV$5,0))))</f>
        <v/>
      </c>
      <c r="AW32" s="174" t="str">
        <f>IF(AW$6="","",IF(AW$3="Maior",iferror(VLOOKUP($R32,Capa!$A:$AJ,AW$5,0),0),IF(ISERROR(1/VLOOKUP($R32,Capa!$A:$AJ,AW$5,0)),0,1/VLOOKUP($R32,Capa!$A:$AJ,AW$5,0))))</f>
        <v/>
      </c>
      <c r="AX32" s="174" t="str">
        <f>IF(AX$6="","",IF(AX$3="Maior",iferror(VLOOKUP($R32,Capa!$A:$AJ,AX$5,0),0),IF(ISERROR(1/VLOOKUP($R32,Capa!$A:$AJ,AX$5,0)),0,1/VLOOKUP($R32,Capa!$A:$AJ,AX$5,0))))</f>
        <v/>
      </c>
      <c r="AY32" s="174" t="str">
        <f>IF(AY$6="","",IF(AY$3="Maior",iferror(VLOOKUP($R32,Capa!$A:$AJ,AY$5,0),0),IF(ISERROR(1/VLOOKUP($R32,Capa!$A:$AJ,AY$5,0)),0,1/VLOOKUP($R32,Capa!$A:$AJ,AY$5,0))))</f>
        <v/>
      </c>
      <c r="AZ32" s="174" t="str">
        <f>IF(AZ$6="","",IF(AZ$3="Maior",iferror(VLOOKUP($R32,Capa!$A:$AJ,AZ$5,0),0),IF(ISERROR(1/VLOOKUP($R32,Capa!$A:$AJ,AZ$5,0)),0,1/VLOOKUP($R32,Capa!$A:$AJ,AZ$5,0))))</f>
        <v/>
      </c>
      <c r="BA32" s="174" t="str">
        <f>IF(BA$6="","",IF(BA$3="Maior",iferror(VLOOKUP($R32,Capa!$A:$AJ,BA$5,0),0),IF(ISERROR(1/VLOOKUP($R32,Capa!$A:$AJ,BA$5,0)),0,1/VLOOKUP($R32,Capa!$A:$AJ,BA$5,0))))</f>
        <v/>
      </c>
      <c r="BB32" s="174" t="str">
        <f>IF(BB$6="","",IF(BB$3="Maior",iferror(VLOOKUP($R32,Capa!$A:$AJ,BB$5,0),0),IF(ISERROR(1/VLOOKUP($R32,Capa!$A:$AJ,BB$5,0)),0,1/VLOOKUP($R32,Capa!$A:$AJ,BB$5,0))))</f>
        <v/>
      </c>
      <c r="BC32" s="174" t="str">
        <f>IF(BC$6="","",IF(BC$3="Maior",iferror(VLOOKUP($R32,Capa!$A:$AJ,BC$5,0),0),IF(ISERROR(1/VLOOKUP($R32,Capa!$A:$AJ,BC$5,0)),0,1/VLOOKUP($R32,Capa!$A:$AJ,BC$5,0))))</f>
        <v/>
      </c>
      <c r="BD32" s="174" t="str">
        <f>IF(BD$6="","",IF(BD$3="Maior",iferror(VLOOKUP($R32,Capa!$A:$AJ,BD$5,0),0),IF(ISERROR(1/VLOOKUP($R32,Capa!$A:$AJ,BD$5,0)),0,1/VLOOKUP($R32,Capa!$A:$AJ,BD$5,0))))</f>
        <v/>
      </c>
      <c r="BE32" s="174" t="str">
        <f>IF(BE$6="","",IF(BE$3="Maior",iferror(VLOOKUP($R32,Capa!$A:$AJ,BE$5,0),0),IF(ISERROR(1/VLOOKUP($R32,Capa!$A:$AJ,BE$5,0)),0,1/VLOOKUP($R32,Capa!$A:$AJ,BE$5,0))))</f>
        <v/>
      </c>
      <c r="BF32" s="174" t="str">
        <f>IF(BF$6="","",IF(BF$3="Maior",iferror(VLOOKUP($R32,Capa!$A:$AJ,BF$5,0),0),IF(ISERROR(1/VLOOKUP($R32,Capa!$A:$AJ,BF$5,0)),0,1/VLOOKUP($R32,Capa!$A:$AJ,BF$5,0))))</f>
        <v/>
      </c>
      <c r="BG32" s="174" t="str">
        <f>IF(BG$6="","",IF(BG$3="Maior",iferror(VLOOKUP($R32,Capa!$A:$AJ,BG$5,0),0),IF(ISERROR(1/VLOOKUP($R32,Capa!$A:$AJ,BG$5,0)),0,1/VLOOKUP($R32,Capa!$A:$AJ,BG$5,0))))</f>
        <v/>
      </c>
      <c r="BH32" s="174" t="str">
        <f>IF(BH$6="","",IF(BH$3="Maior",iferror(VLOOKUP($R32,Capa!$A:$AJ,BH$5,0),0),IF(ISERROR(1/VLOOKUP($R32,Capa!$A:$AJ,BH$5,0)),0,1/VLOOKUP($R32,Capa!$A:$AJ,BH$5,0))))</f>
        <v/>
      </c>
      <c r="BI32" s="174" t="str">
        <f>IF(BI$6="","",IF(BI$3="Maior",iferror(VLOOKUP($R32,Capa!$A:$AJ,BI$5,0),0),IF(ISERROR(1/VLOOKUP($R32,Capa!$A:$AJ,BI$5,0)),0,1/VLOOKUP($R32,Capa!$A:$AJ,BI$5,0))))</f>
        <v/>
      </c>
      <c r="BJ32" s="174" t="str">
        <f>IF(BJ$6="","",IF(BJ$3="Maior",iferror(VLOOKUP($R32,Capa!$A:$AJ,BJ$5,0),0),IF(ISERROR(1/VLOOKUP($R32,Capa!$A:$AJ,BJ$5,0)),0,1/VLOOKUP($R32,Capa!$A:$AJ,BJ$5,0))))</f>
        <v/>
      </c>
      <c r="BK32" s="174" t="str">
        <f>IF(BK$6="","",IF(BK$3="Maior",iferror(VLOOKUP($R32,Capa!$A:$AJ,BK$5,0),0),IF(ISERROR(1/VLOOKUP($R32,Capa!$A:$AJ,BK$5,0)),0,1/VLOOKUP($R32,Capa!$A:$AJ,BK$5,0))))</f>
        <v/>
      </c>
      <c r="BL32" s="174" t="str">
        <f>IF(BL$6="","",IF(BL$3="Maior",iferror(VLOOKUP($R32,Capa!$A:$AJ,BL$5,0),0),IF(ISERROR(1/VLOOKUP($R32,Capa!$A:$AJ,BL$5,0)),0,1/VLOOKUP($R32,Capa!$A:$AJ,BL$5,0))))</f>
        <v/>
      </c>
      <c r="BM32" s="174" t="str">
        <f>IF(BM$6="","",IF(BM$3="Maior",iferror(VLOOKUP($R32,Capa!$A:$AJ,BM$5,0),0),IF(ISERROR(1/VLOOKUP($R32,Capa!$A:$AJ,BM$5,0)),0,1/VLOOKUP($R32,Capa!$A:$AJ,BM$5,0))))</f>
        <v/>
      </c>
      <c r="BN32" s="174" t="str">
        <f>IF(BN$6="","",IF(BN$3="Maior",iferror(VLOOKUP($R32,Capa!$A:$AJ,BN$5,0),0),IF(ISERROR(1/VLOOKUP($R32,Capa!$A:$AJ,BN$5,0)),0,1/VLOOKUP($R32,Capa!$A:$AJ,BN$5,0))))</f>
        <v/>
      </c>
      <c r="BO32" s="174" t="str">
        <f>IF(BO$6="","",IF(BO$3="Maior",iferror(VLOOKUP($R32,Capa!$A:$AJ,BO$5,0),0),IF(ISERROR(1/VLOOKUP($R32,Capa!$A:$AJ,BO$5,0)),0,1/VLOOKUP($R32,Capa!$A:$AJ,BO$5,0))))</f>
        <v/>
      </c>
      <c r="BP32" s="174" t="str">
        <f>IF(BP$6="","",IF(BP$3="Maior",iferror(VLOOKUP($R32,Capa!$A:$AJ,BP$5,0),0),IF(ISERROR(1/VLOOKUP($R32,Capa!$A:$AJ,BP$5,0)),0,1/VLOOKUP($R32,Capa!$A:$AJ,BP$5,0))))</f>
        <v/>
      </c>
      <c r="BQ32" s="174" t="str">
        <f>IF(BQ$6="","",IF(BQ$3="Maior",iferror(VLOOKUP($R32,Capa!$A:$AJ,BQ$5,0),0),IF(ISERROR(1/VLOOKUP($R32,Capa!$A:$AJ,BQ$5,0)),0,1/VLOOKUP($R32,Capa!$A:$AJ,BQ$5,0))))</f>
        <v/>
      </c>
      <c r="BR32" s="175"/>
      <c r="BS32" s="147"/>
    </row>
    <row r="33">
      <c r="B33" s="83">
        <f t="shared" si="22"/>
        <v>1</v>
      </c>
      <c r="C33" s="184" t="s">
        <v>30</v>
      </c>
      <c r="D33" s="82" t="b">
        <v>0</v>
      </c>
      <c r="E33" s="185" t="s">
        <v>1747</v>
      </c>
      <c r="F33" s="82">
        <f>MATCH(C33,Capa!$6:$6,0)</f>
        <v>26</v>
      </c>
      <c r="G33" s="11"/>
      <c r="H33" s="8">
        <v>27.0</v>
      </c>
      <c r="I33" s="165" t="str">
        <f t="shared" si="6"/>
        <v>PETR3</v>
      </c>
      <c r="J33" s="166" t="str">
        <f>(VLOOKUP($I33,Capa!$A:$B,2,0))</f>
        <v>Petrobras Brasileiro Cedear</v>
      </c>
      <c r="K33" s="167" t="str">
        <f>VLOOKUP(left(I33,4),Setor!A:D,3,0)&amp;" | "&amp;VLOOKUP(left(I33,4),Setor!A:D,4,0)</f>
        <v>Petróleo, Gás e Biocombustíveis | Petróleo, Gás e Biocombustíveis</v>
      </c>
      <c r="L33" s="168">
        <f>(VLOOKUP($I33,Capa!$A:$F,6,0))</f>
        <v>11370</v>
      </c>
      <c r="M33" s="168">
        <f t="shared" si="7"/>
        <v>557000000</v>
      </c>
      <c r="N33" s="11" t="str">
        <f>IFERROR(__xludf.DUMMYFUNCTION("(VLOOKUP($I33,Capa!$A:$H,7,0))"),"")</f>
        <v/>
      </c>
      <c r="O33" s="169">
        <f>(VLOOKUP($I33,Capa!$A:$H,8,0))</f>
        <v>0.1190944882</v>
      </c>
      <c r="P33" s="11" t="str">
        <f>IFERROR(__xludf.DUMMYFUNCTION("(VLOOKUP($I33,Capa!$A:$J,10,0))"),"")</f>
        <v/>
      </c>
      <c r="Q33" s="169">
        <f>(VLOOKUP($I33,Capa!$A:$K,11,0))</f>
        <v>0.2453450164</v>
      </c>
      <c r="R33" s="45" t="str">
        <f>'Dados StatusInvest'!A28</f>
        <v>APTI3</v>
      </c>
      <c r="S33" s="170">
        <f t="shared" si="8"/>
        <v>1874.0874</v>
      </c>
      <c r="T33" s="171">
        <f>VLOOKUP(R33,'Dados StatusInvest'!A:Z,26,0)</f>
        <v>0</v>
      </c>
      <c r="U33" s="172">
        <f t="shared" ref="U33:AS33" si="35">IF(AT33="","", RANK(AT33,AT$7:AT$626,0)+RANK(AT33,AT$7:AT$626,0)/10000)</f>
        <v>607.0607</v>
      </c>
      <c r="V33" s="172">
        <f t="shared" si="35"/>
        <v>267.0267</v>
      </c>
      <c r="W33" s="172" t="str">
        <f t="shared" si="35"/>
        <v/>
      </c>
      <c r="X33" s="172" t="str">
        <f t="shared" si="35"/>
        <v/>
      </c>
      <c r="Y33" s="172" t="str">
        <f t="shared" si="35"/>
        <v/>
      </c>
      <c r="Z33" s="172" t="str">
        <f t="shared" si="35"/>
        <v/>
      </c>
      <c r="AA33" s="172" t="str">
        <f t="shared" si="35"/>
        <v/>
      </c>
      <c r="AB33" s="172" t="str">
        <f t="shared" si="35"/>
        <v/>
      </c>
      <c r="AC33" s="172" t="str">
        <f t="shared" si="35"/>
        <v/>
      </c>
      <c r="AD33" s="172" t="str">
        <f t="shared" si="35"/>
        <v/>
      </c>
      <c r="AE33" s="172" t="str">
        <f t="shared" si="35"/>
        <v/>
      </c>
      <c r="AF33" s="172" t="str">
        <f t="shared" si="35"/>
        <v/>
      </c>
      <c r="AG33" s="172" t="str">
        <f t="shared" si="35"/>
        <v/>
      </c>
      <c r="AH33" s="172" t="str">
        <f t="shared" si="35"/>
        <v/>
      </c>
      <c r="AI33" s="172" t="str">
        <f t="shared" si="35"/>
        <v/>
      </c>
      <c r="AJ33" s="172" t="str">
        <f t="shared" si="35"/>
        <v/>
      </c>
      <c r="AK33" s="172" t="str">
        <f t="shared" si="35"/>
        <v/>
      </c>
      <c r="AL33" s="172" t="str">
        <f t="shared" si="35"/>
        <v/>
      </c>
      <c r="AM33" s="172" t="str">
        <f t="shared" si="35"/>
        <v/>
      </c>
      <c r="AN33" s="172" t="str">
        <f t="shared" si="35"/>
        <v/>
      </c>
      <c r="AO33" s="172" t="str">
        <f t="shared" si="35"/>
        <v/>
      </c>
      <c r="AP33" s="172" t="str">
        <f t="shared" si="35"/>
        <v/>
      </c>
      <c r="AQ33" s="172" t="str">
        <f t="shared" si="35"/>
        <v/>
      </c>
      <c r="AR33" s="172" t="str">
        <f t="shared" si="35"/>
        <v/>
      </c>
      <c r="AS33" s="172" t="str">
        <f t="shared" si="35"/>
        <v/>
      </c>
      <c r="AT33" s="173">
        <f>IF(AT$6="","",IF(AT$3="Maior",iferror(VLOOKUP($R33,Capa!$A:$AJ,AT$5,0),0),IF(ISERROR(1/VLOOKUP($R33,Capa!$A:$AJ,AT$5,0)),0,1/VLOOKUP($R33,Capa!$A:$AJ,AT$5,0))))</f>
        <v>-33.33333333</v>
      </c>
      <c r="AU33" s="174">
        <f>IF(AU$6="","",IF(AU$3="Maior",iferror(VLOOKUP($R33,Capa!$A:$AJ,AU$5,0),0),IF(ISERROR(1/VLOOKUP($R33,Capa!$A:$AJ,AU$5,0)),0,1/VLOOKUP($R33,Capa!$A:$AJ,AU$5,0))))</f>
        <v>0</v>
      </c>
      <c r="AV33" s="174" t="str">
        <f>IF(AV$6="","",IF(AV$3="Maior",iferror(VLOOKUP($R33,Capa!$A:$AJ,AV$5,0),0),IF(ISERROR(1/VLOOKUP($R33,Capa!$A:$AJ,AV$5,0)),0,1/VLOOKUP($R33,Capa!$A:$AJ,AV$5,0))))</f>
        <v/>
      </c>
      <c r="AW33" s="174" t="str">
        <f>IF(AW$6="","",IF(AW$3="Maior",iferror(VLOOKUP($R33,Capa!$A:$AJ,AW$5,0),0),IF(ISERROR(1/VLOOKUP($R33,Capa!$A:$AJ,AW$5,0)),0,1/VLOOKUP($R33,Capa!$A:$AJ,AW$5,0))))</f>
        <v/>
      </c>
      <c r="AX33" s="174" t="str">
        <f>IF(AX$6="","",IF(AX$3="Maior",iferror(VLOOKUP($R33,Capa!$A:$AJ,AX$5,0),0),IF(ISERROR(1/VLOOKUP($R33,Capa!$A:$AJ,AX$5,0)),0,1/VLOOKUP($R33,Capa!$A:$AJ,AX$5,0))))</f>
        <v/>
      </c>
      <c r="AY33" s="174" t="str">
        <f>IF(AY$6="","",IF(AY$3="Maior",iferror(VLOOKUP($R33,Capa!$A:$AJ,AY$5,0),0),IF(ISERROR(1/VLOOKUP($R33,Capa!$A:$AJ,AY$5,0)),0,1/VLOOKUP($R33,Capa!$A:$AJ,AY$5,0))))</f>
        <v/>
      </c>
      <c r="AZ33" s="174" t="str">
        <f>IF(AZ$6="","",IF(AZ$3="Maior",iferror(VLOOKUP($R33,Capa!$A:$AJ,AZ$5,0),0),IF(ISERROR(1/VLOOKUP($R33,Capa!$A:$AJ,AZ$5,0)),0,1/VLOOKUP($R33,Capa!$A:$AJ,AZ$5,0))))</f>
        <v/>
      </c>
      <c r="BA33" s="174" t="str">
        <f>IF(BA$6="","",IF(BA$3="Maior",iferror(VLOOKUP($R33,Capa!$A:$AJ,BA$5,0),0),IF(ISERROR(1/VLOOKUP($R33,Capa!$A:$AJ,BA$5,0)),0,1/VLOOKUP($R33,Capa!$A:$AJ,BA$5,0))))</f>
        <v/>
      </c>
      <c r="BB33" s="174" t="str">
        <f>IF(BB$6="","",IF(BB$3="Maior",iferror(VLOOKUP($R33,Capa!$A:$AJ,BB$5,0),0),IF(ISERROR(1/VLOOKUP($R33,Capa!$A:$AJ,BB$5,0)),0,1/VLOOKUP($R33,Capa!$A:$AJ,BB$5,0))))</f>
        <v/>
      </c>
      <c r="BC33" s="174" t="str">
        <f>IF(BC$6="","",IF(BC$3="Maior",iferror(VLOOKUP($R33,Capa!$A:$AJ,BC$5,0),0),IF(ISERROR(1/VLOOKUP($R33,Capa!$A:$AJ,BC$5,0)),0,1/VLOOKUP($R33,Capa!$A:$AJ,BC$5,0))))</f>
        <v/>
      </c>
      <c r="BD33" s="174" t="str">
        <f>IF(BD$6="","",IF(BD$3="Maior",iferror(VLOOKUP($R33,Capa!$A:$AJ,BD$5,0),0),IF(ISERROR(1/VLOOKUP($R33,Capa!$A:$AJ,BD$5,0)),0,1/VLOOKUP($R33,Capa!$A:$AJ,BD$5,0))))</f>
        <v/>
      </c>
      <c r="BE33" s="174" t="str">
        <f>IF(BE$6="","",IF(BE$3="Maior",iferror(VLOOKUP($R33,Capa!$A:$AJ,BE$5,0),0),IF(ISERROR(1/VLOOKUP($R33,Capa!$A:$AJ,BE$5,0)),0,1/VLOOKUP($R33,Capa!$A:$AJ,BE$5,0))))</f>
        <v/>
      </c>
      <c r="BF33" s="174" t="str">
        <f>IF(BF$6="","",IF(BF$3="Maior",iferror(VLOOKUP($R33,Capa!$A:$AJ,BF$5,0),0),IF(ISERROR(1/VLOOKUP($R33,Capa!$A:$AJ,BF$5,0)),0,1/VLOOKUP($R33,Capa!$A:$AJ,BF$5,0))))</f>
        <v/>
      </c>
      <c r="BG33" s="174" t="str">
        <f>IF(BG$6="","",IF(BG$3="Maior",iferror(VLOOKUP($R33,Capa!$A:$AJ,BG$5,0),0),IF(ISERROR(1/VLOOKUP($R33,Capa!$A:$AJ,BG$5,0)),0,1/VLOOKUP($R33,Capa!$A:$AJ,BG$5,0))))</f>
        <v/>
      </c>
      <c r="BH33" s="174" t="str">
        <f>IF(BH$6="","",IF(BH$3="Maior",iferror(VLOOKUP($R33,Capa!$A:$AJ,BH$5,0),0),IF(ISERROR(1/VLOOKUP($R33,Capa!$A:$AJ,BH$5,0)),0,1/VLOOKUP($R33,Capa!$A:$AJ,BH$5,0))))</f>
        <v/>
      </c>
      <c r="BI33" s="174" t="str">
        <f>IF(BI$6="","",IF(BI$3="Maior",iferror(VLOOKUP($R33,Capa!$A:$AJ,BI$5,0),0),IF(ISERROR(1/VLOOKUP($R33,Capa!$A:$AJ,BI$5,0)),0,1/VLOOKUP($R33,Capa!$A:$AJ,BI$5,0))))</f>
        <v/>
      </c>
      <c r="BJ33" s="174" t="str">
        <f>IF(BJ$6="","",IF(BJ$3="Maior",iferror(VLOOKUP($R33,Capa!$A:$AJ,BJ$5,0),0),IF(ISERROR(1/VLOOKUP($R33,Capa!$A:$AJ,BJ$5,0)),0,1/VLOOKUP($R33,Capa!$A:$AJ,BJ$5,0))))</f>
        <v/>
      </c>
      <c r="BK33" s="174" t="str">
        <f>IF(BK$6="","",IF(BK$3="Maior",iferror(VLOOKUP($R33,Capa!$A:$AJ,BK$5,0),0),IF(ISERROR(1/VLOOKUP($R33,Capa!$A:$AJ,BK$5,0)),0,1/VLOOKUP($R33,Capa!$A:$AJ,BK$5,0))))</f>
        <v/>
      </c>
      <c r="BL33" s="174" t="str">
        <f>IF(BL$6="","",IF(BL$3="Maior",iferror(VLOOKUP($R33,Capa!$A:$AJ,BL$5,0),0),IF(ISERROR(1/VLOOKUP($R33,Capa!$A:$AJ,BL$5,0)),0,1/VLOOKUP($R33,Capa!$A:$AJ,BL$5,0))))</f>
        <v/>
      </c>
      <c r="BM33" s="174" t="str">
        <f>IF(BM$6="","",IF(BM$3="Maior",iferror(VLOOKUP($R33,Capa!$A:$AJ,BM$5,0),0),IF(ISERROR(1/VLOOKUP($R33,Capa!$A:$AJ,BM$5,0)),0,1/VLOOKUP($R33,Capa!$A:$AJ,BM$5,0))))</f>
        <v/>
      </c>
      <c r="BN33" s="174" t="str">
        <f>IF(BN$6="","",IF(BN$3="Maior",iferror(VLOOKUP($R33,Capa!$A:$AJ,BN$5,0),0),IF(ISERROR(1/VLOOKUP($R33,Capa!$A:$AJ,BN$5,0)),0,1/VLOOKUP($R33,Capa!$A:$AJ,BN$5,0))))</f>
        <v/>
      </c>
      <c r="BO33" s="174" t="str">
        <f>IF(BO$6="","",IF(BO$3="Maior",iferror(VLOOKUP($R33,Capa!$A:$AJ,BO$5,0),0),IF(ISERROR(1/VLOOKUP($R33,Capa!$A:$AJ,BO$5,0)),0,1/VLOOKUP($R33,Capa!$A:$AJ,BO$5,0))))</f>
        <v/>
      </c>
      <c r="BP33" s="174" t="str">
        <f>IF(BP$6="","",IF(BP$3="Maior",iferror(VLOOKUP($R33,Capa!$A:$AJ,BP$5,0),0),IF(ISERROR(1/VLOOKUP($R33,Capa!$A:$AJ,BP$5,0)),0,1/VLOOKUP($R33,Capa!$A:$AJ,BP$5,0))))</f>
        <v/>
      </c>
      <c r="BQ33" s="174" t="str">
        <f>IF(BQ$6="","",IF(BQ$3="Maior",iferror(VLOOKUP($R33,Capa!$A:$AJ,BQ$5,0),0),IF(ISERROR(1/VLOOKUP($R33,Capa!$A:$AJ,BQ$5,0)),0,1/VLOOKUP($R33,Capa!$A:$AJ,BQ$5,0))))</f>
        <v/>
      </c>
      <c r="BR33" s="175"/>
      <c r="BS33" s="147"/>
    </row>
    <row r="34">
      <c r="B34" s="83">
        <f t="shared" si="22"/>
        <v>1</v>
      </c>
      <c r="C34" s="184" t="s">
        <v>31</v>
      </c>
      <c r="D34" s="82" t="b">
        <v>0</v>
      </c>
      <c r="E34" s="185" t="s">
        <v>1747</v>
      </c>
      <c r="F34" s="82">
        <f>MATCH(C34,Capa!$6:$6,0)</f>
        <v>27</v>
      </c>
      <c r="G34" s="11"/>
      <c r="H34" s="8">
        <v>28.0</v>
      </c>
      <c r="I34" s="165" t="str">
        <f t="shared" si="6"/>
        <v>AESB3</v>
      </c>
      <c r="J34" s="166" t="str">
        <f>(VLOOKUP($I34,Capa!$A:$B,2,0))</f>
        <v/>
      </c>
      <c r="K34" s="167" t="str">
        <f>VLOOKUP(left(I34,4),Setor!A:D,3,0)&amp;" | "&amp;VLOOKUP(left(I34,4),Setor!A:D,4,0)</f>
        <v>#N/A</v>
      </c>
      <c r="L34" s="168" t="str">
        <f>(VLOOKUP($I34,Capa!$A:$F,6,0))</f>
        <v/>
      </c>
      <c r="M34" s="168">
        <f t="shared" si="7"/>
        <v>13684494</v>
      </c>
      <c r="N34" s="11" t="str">
        <f>(VLOOKUP($I34,Capa!$A:$H,7,0))</f>
        <v/>
      </c>
      <c r="O34" s="169" t="str">
        <f>(VLOOKUP($I34,Capa!$A:$H,8,0))</f>
        <v/>
      </c>
      <c r="P34" s="11" t="str">
        <f>(VLOOKUP($I34,Capa!$A:$J,10,0))</f>
        <v/>
      </c>
      <c r="Q34" s="169" t="str">
        <f>(VLOOKUP($I34,Capa!$A:$K,11,0))</f>
        <v/>
      </c>
      <c r="R34" s="45" t="str">
        <f>'Dados StatusInvest'!A29</f>
        <v>APTI4</v>
      </c>
      <c r="S34" s="170">
        <f t="shared" si="8"/>
        <v>1728.0728</v>
      </c>
      <c r="T34" s="171">
        <f>VLOOKUP(R34,'Dados StatusInvest'!A:Z,26,0)</f>
        <v>0</v>
      </c>
      <c r="U34" s="172">
        <f t="shared" ref="U34:AS34" si="36">IF(AT34="","", RANK(AT34,AT$7:AT$626,0)+RANK(AT34,AT$7:AT$626,0)/10000)</f>
        <v>461.0461</v>
      </c>
      <c r="V34" s="172">
        <f t="shared" si="36"/>
        <v>267.0267</v>
      </c>
      <c r="W34" s="172" t="str">
        <f t="shared" si="36"/>
        <v/>
      </c>
      <c r="X34" s="172" t="str">
        <f t="shared" si="36"/>
        <v/>
      </c>
      <c r="Y34" s="172" t="str">
        <f t="shared" si="36"/>
        <v/>
      </c>
      <c r="Z34" s="172" t="str">
        <f t="shared" si="36"/>
        <v/>
      </c>
      <c r="AA34" s="172" t="str">
        <f t="shared" si="36"/>
        <v/>
      </c>
      <c r="AB34" s="172" t="str">
        <f t="shared" si="36"/>
        <v/>
      </c>
      <c r="AC34" s="172" t="str">
        <f t="shared" si="36"/>
        <v/>
      </c>
      <c r="AD34" s="172" t="str">
        <f t="shared" si="36"/>
        <v/>
      </c>
      <c r="AE34" s="172" t="str">
        <f t="shared" si="36"/>
        <v/>
      </c>
      <c r="AF34" s="172" t="str">
        <f t="shared" si="36"/>
        <v/>
      </c>
      <c r="AG34" s="172" t="str">
        <f t="shared" si="36"/>
        <v/>
      </c>
      <c r="AH34" s="172" t="str">
        <f t="shared" si="36"/>
        <v/>
      </c>
      <c r="AI34" s="172" t="str">
        <f t="shared" si="36"/>
        <v/>
      </c>
      <c r="AJ34" s="172" t="str">
        <f t="shared" si="36"/>
        <v/>
      </c>
      <c r="AK34" s="172" t="str">
        <f t="shared" si="36"/>
        <v/>
      </c>
      <c r="AL34" s="172" t="str">
        <f t="shared" si="36"/>
        <v/>
      </c>
      <c r="AM34" s="172" t="str">
        <f t="shared" si="36"/>
        <v/>
      </c>
      <c r="AN34" s="172" t="str">
        <f t="shared" si="36"/>
        <v/>
      </c>
      <c r="AO34" s="172" t="str">
        <f t="shared" si="36"/>
        <v/>
      </c>
      <c r="AP34" s="172" t="str">
        <f t="shared" si="36"/>
        <v/>
      </c>
      <c r="AQ34" s="172" t="str">
        <f t="shared" si="36"/>
        <v/>
      </c>
      <c r="AR34" s="172" t="str">
        <f t="shared" si="36"/>
        <v/>
      </c>
      <c r="AS34" s="172" t="str">
        <f t="shared" si="36"/>
        <v/>
      </c>
      <c r="AT34" s="173">
        <f>IF(AT$6="","",IF(AT$3="Maior",iferror(VLOOKUP($R34,Capa!$A:$AJ,AT$5,0),0),IF(ISERROR(1/VLOOKUP($R34,Capa!$A:$AJ,AT$5,0)),0,1/VLOOKUP($R34,Capa!$A:$AJ,AT$5,0))))</f>
        <v>-2.222222222</v>
      </c>
      <c r="AU34" s="174">
        <f>IF(AU$6="","",IF(AU$3="Maior",iferror(VLOOKUP($R34,Capa!$A:$AJ,AU$5,0),0),IF(ISERROR(1/VLOOKUP($R34,Capa!$A:$AJ,AU$5,0)),0,1/VLOOKUP($R34,Capa!$A:$AJ,AU$5,0))))</f>
        <v>0</v>
      </c>
      <c r="AV34" s="174" t="str">
        <f>IF(AV$6="","",IF(AV$3="Maior",iferror(VLOOKUP($R34,Capa!$A:$AJ,AV$5,0),0),IF(ISERROR(1/VLOOKUP($R34,Capa!$A:$AJ,AV$5,0)),0,1/VLOOKUP($R34,Capa!$A:$AJ,AV$5,0))))</f>
        <v/>
      </c>
      <c r="AW34" s="174" t="str">
        <f>IF(AW$6="","",IF(AW$3="Maior",iferror(VLOOKUP($R34,Capa!$A:$AJ,AW$5,0),0),IF(ISERROR(1/VLOOKUP($R34,Capa!$A:$AJ,AW$5,0)),0,1/VLOOKUP($R34,Capa!$A:$AJ,AW$5,0))))</f>
        <v/>
      </c>
      <c r="AX34" s="174" t="str">
        <f>IF(AX$6="","",IF(AX$3="Maior",iferror(VLOOKUP($R34,Capa!$A:$AJ,AX$5,0),0),IF(ISERROR(1/VLOOKUP($R34,Capa!$A:$AJ,AX$5,0)),0,1/VLOOKUP($R34,Capa!$A:$AJ,AX$5,0))))</f>
        <v/>
      </c>
      <c r="AY34" s="174" t="str">
        <f>IF(AY$6="","",IF(AY$3="Maior",iferror(VLOOKUP($R34,Capa!$A:$AJ,AY$5,0),0),IF(ISERROR(1/VLOOKUP($R34,Capa!$A:$AJ,AY$5,0)),0,1/VLOOKUP($R34,Capa!$A:$AJ,AY$5,0))))</f>
        <v/>
      </c>
      <c r="AZ34" s="174" t="str">
        <f>IF(AZ$6="","",IF(AZ$3="Maior",iferror(VLOOKUP($R34,Capa!$A:$AJ,AZ$5,0),0),IF(ISERROR(1/VLOOKUP($R34,Capa!$A:$AJ,AZ$5,0)),0,1/VLOOKUP($R34,Capa!$A:$AJ,AZ$5,0))))</f>
        <v/>
      </c>
      <c r="BA34" s="174" t="str">
        <f>IF(BA$6="","",IF(BA$3="Maior",iferror(VLOOKUP($R34,Capa!$A:$AJ,BA$5,0),0),IF(ISERROR(1/VLOOKUP($R34,Capa!$A:$AJ,BA$5,0)),0,1/VLOOKUP($R34,Capa!$A:$AJ,BA$5,0))))</f>
        <v/>
      </c>
      <c r="BB34" s="174" t="str">
        <f>IF(BB$6="","",IF(BB$3="Maior",iferror(VLOOKUP($R34,Capa!$A:$AJ,BB$5,0),0),IF(ISERROR(1/VLOOKUP($R34,Capa!$A:$AJ,BB$5,0)),0,1/VLOOKUP($R34,Capa!$A:$AJ,BB$5,0))))</f>
        <v/>
      </c>
      <c r="BC34" s="174" t="str">
        <f>IF(BC$6="","",IF(BC$3="Maior",iferror(VLOOKUP($R34,Capa!$A:$AJ,BC$5,0),0),IF(ISERROR(1/VLOOKUP($R34,Capa!$A:$AJ,BC$5,0)),0,1/VLOOKUP($R34,Capa!$A:$AJ,BC$5,0))))</f>
        <v/>
      </c>
      <c r="BD34" s="174" t="str">
        <f>IF(BD$6="","",IF(BD$3="Maior",iferror(VLOOKUP($R34,Capa!$A:$AJ,BD$5,0),0),IF(ISERROR(1/VLOOKUP($R34,Capa!$A:$AJ,BD$5,0)),0,1/VLOOKUP($R34,Capa!$A:$AJ,BD$5,0))))</f>
        <v/>
      </c>
      <c r="BE34" s="174" t="str">
        <f>IF(BE$6="","",IF(BE$3="Maior",iferror(VLOOKUP($R34,Capa!$A:$AJ,BE$5,0),0),IF(ISERROR(1/VLOOKUP($R34,Capa!$A:$AJ,BE$5,0)),0,1/VLOOKUP($R34,Capa!$A:$AJ,BE$5,0))))</f>
        <v/>
      </c>
      <c r="BF34" s="174" t="str">
        <f>IF(BF$6="","",IF(BF$3="Maior",iferror(VLOOKUP($R34,Capa!$A:$AJ,BF$5,0),0),IF(ISERROR(1/VLOOKUP($R34,Capa!$A:$AJ,BF$5,0)),0,1/VLOOKUP($R34,Capa!$A:$AJ,BF$5,0))))</f>
        <v/>
      </c>
      <c r="BG34" s="174" t="str">
        <f>IF(BG$6="","",IF(BG$3="Maior",iferror(VLOOKUP($R34,Capa!$A:$AJ,BG$5,0),0),IF(ISERROR(1/VLOOKUP($R34,Capa!$A:$AJ,BG$5,0)),0,1/VLOOKUP($R34,Capa!$A:$AJ,BG$5,0))))</f>
        <v/>
      </c>
      <c r="BH34" s="174" t="str">
        <f>IF(BH$6="","",IF(BH$3="Maior",iferror(VLOOKUP($R34,Capa!$A:$AJ,BH$5,0),0),IF(ISERROR(1/VLOOKUP($R34,Capa!$A:$AJ,BH$5,0)),0,1/VLOOKUP($R34,Capa!$A:$AJ,BH$5,0))))</f>
        <v/>
      </c>
      <c r="BI34" s="174" t="str">
        <f>IF(BI$6="","",IF(BI$3="Maior",iferror(VLOOKUP($R34,Capa!$A:$AJ,BI$5,0),0),IF(ISERROR(1/VLOOKUP($R34,Capa!$A:$AJ,BI$5,0)),0,1/VLOOKUP($R34,Capa!$A:$AJ,BI$5,0))))</f>
        <v/>
      </c>
      <c r="BJ34" s="174" t="str">
        <f>IF(BJ$6="","",IF(BJ$3="Maior",iferror(VLOOKUP($R34,Capa!$A:$AJ,BJ$5,0),0),IF(ISERROR(1/VLOOKUP($R34,Capa!$A:$AJ,BJ$5,0)),0,1/VLOOKUP($R34,Capa!$A:$AJ,BJ$5,0))))</f>
        <v/>
      </c>
      <c r="BK34" s="174" t="str">
        <f>IF(BK$6="","",IF(BK$3="Maior",iferror(VLOOKUP($R34,Capa!$A:$AJ,BK$5,0),0),IF(ISERROR(1/VLOOKUP($R34,Capa!$A:$AJ,BK$5,0)),0,1/VLOOKUP($R34,Capa!$A:$AJ,BK$5,0))))</f>
        <v/>
      </c>
      <c r="BL34" s="174" t="str">
        <f>IF(BL$6="","",IF(BL$3="Maior",iferror(VLOOKUP($R34,Capa!$A:$AJ,BL$5,0),0),IF(ISERROR(1/VLOOKUP($R34,Capa!$A:$AJ,BL$5,0)),0,1/VLOOKUP($R34,Capa!$A:$AJ,BL$5,0))))</f>
        <v/>
      </c>
      <c r="BM34" s="174" t="str">
        <f>IF(BM$6="","",IF(BM$3="Maior",iferror(VLOOKUP($R34,Capa!$A:$AJ,BM$5,0),0),IF(ISERROR(1/VLOOKUP($R34,Capa!$A:$AJ,BM$5,0)),0,1/VLOOKUP($R34,Capa!$A:$AJ,BM$5,0))))</f>
        <v/>
      </c>
      <c r="BN34" s="174" t="str">
        <f>IF(BN$6="","",IF(BN$3="Maior",iferror(VLOOKUP($R34,Capa!$A:$AJ,BN$5,0),0),IF(ISERROR(1/VLOOKUP($R34,Capa!$A:$AJ,BN$5,0)),0,1/VLOOKUP($R34,Capa!$A:$AJ,BN$5,0))))</f>
        <v/>
      </c>
      <c r="BO34" s="174" t="str">
        <f>IF(BO$6="","",IF(BO$3="Maior",iferror(VLOOKUP($R34,Capa!$A:$AJ,BO$5,0),0),IF(ISERROR(1/VLOOKUP($R34,Capa!$A:$AJ,BO$5,0)),0,1/VLOOKUP($R34,Capa!$A:$AJ,BO$5,0))))</f>
        <v/>
      </c>
      <c r="BP34" s="174" t="str">
        <f>IF(BP$6="","",IF(BP$3="Maior",iferror(VLOOKUP($R34,Capa!$A:$AJ,BP$5,0),0),IF(ISERROR(1/VLOOKUP($R34,Capa!$A:$AJ,BP$5,0)),0,1/VLOOKUP($R34,Capa!$A:$AJ,BP$5,0))))</f>
        <v/>
      </c>
      <c r="BQ34" s="174" t="str">
        <f>IF(BQ$6="","",IF(BQ$3="Maior",iferror(VLOOKUP($R34,Capa!$A:$AJ,BQ$5,0),0),IF(ISERROR(1/VLOOKUP($R34,Capa!$A:$AJ,BQ$5,0)),0,1/VLOOKUP($R34,Capa!$A:$AJ,BQ$5,0))))</f>
        <v/>
      </c>
      <c r="BR34" s="175"/>
      <c r="BS34" s="147"/>
    </row>
    <row r="35">
      <c r="B35" s="83">
        <f t="shared" si="22"/>
        <v>1</v>
      </c>
      <c r="C35" s="184" t="s">
        <v>32</v>
      </c>
      <c r="D35" s="82" t="b">
        <v>0</v>
      </c>
      <c r="E35" s="185" t="s">
        <v>1747</v>
      </c>
      <c r="F35" s="82">
        <f>MATCH(C35,Capa!$6:$6,0)</f>
        <v>28</v>
      </c>
      <c r="G35" s="11"/>
      <c r="H35" s="8">
        <v>29.0</v>
      </c>
      <c r="I35" s="165" t="str">
        <f t="shared" si="6"/>
        <v>AESB3</v>
      </c>
      <c r="J35" s="166" t="str">
        <f>(VLOOKUP($I35,Capa!$A:$B,2,0))</f>
        <v/>
      </c>
      <c r="K35" s="167" t="str">
        <f>VLOOKUP(left(I35,4),Setor!A:D,3,0)&amp;" | "&amp;VLOOKUP(left(I35,4),Setor!A:D,4,0)</f>
        <v>#N/A</v>
      </c>
      <c r="L35" s="168" t="str">
        <f>(VLOOKUP($I35,Capa!$A:$F,6,0))</f>
        <v/>
      </c>
      <c r="M35" s="168">
        <f t="shared" si="7"/>
        <v>13684494</v>
      </c>
      <c r="N35" s="11" t="str">
        <f>(VLOOKUP($I35,Capa!$A:$H,7,0))</f>
        <v/>
      </c>
      <c r="O35" s="169" t="str">
        <f>(VLOOKUP($I35,Capa!$A:$H,8,0))</f>
        <v/>
      </c>
      <c r="P35" s="11" t="str">
        <f>(VLOOKUP($I35,Capa!$A:$J,10,0))</f>
        <v/>
      </c>
      <c r="Q35" s="169" t="str">
        <f>(VLOOKUP($I35,Capa!$A:$K,11,0))</f>
        <v/>
      </c>
      <c r="R35" s="45" t="str">
        <f>'Dados StatusInvest'!A30</f>
        <v>ARML3</v>
      </c>
      <c r="S35" s="170">
        <f t="shared" si="8"/>
        <v>471.0471</v>
      </c>
      <c r="T35" s="171">
        <f>VLOOKUP(R35,'Dados StatusInvest'!A:Z,26,0)</f>
        <v>4126765</v>
      </c>
      <c r="U35" s="172">
        <f t="shared" ref="U35:AS35" si="37">IF(AT35="","", RANK(AT35,AT$7:AT$626,0)+RANK(AT35,AT$7:AT$626,0)/10000)</f>
        <v>430.043</v>
      </c>
      <c r="V35" s="172">
        <f t="shared" si="37"/>
        <v>41.0041</v>
      </c>
      <c r="W35" s="172" t="str">
        <f t="shared" si="37"/>
        <v/>
      </c>
      <c r="X35" s="172" t="str">
        <f t="shared" si="37"/>
        <v/>
      </c>
      <c r="Y35" s="172" t="str">
        <f t="shared" si="37"/>
        <v/>
      </c>
      <c r="Z35" s="172" t="str">
        <f t="shared" si="37"/>
        <v/>
      </c>
      <c r="AA35" s="172" t="str">
        <f t="shared" si="37"/>
        <v/>
      </c>
      <c r="AB35" s="172" t="str">
        <f t="shared" si="37"/>
        <v/>
      </c>
      <c r="AC35" s="172" t="str">
        <f t="shared" si="37"/>
        <v/>
      </c>
      <c r="AD35" s="172" t="str">
        <f t="shared" si="37"/>
        <v/>
      </c>
      <c r="AE35" s="172" t="str">
        <f t="shared" si="37"/>
        <v/>
      </c>
      <c r="AF35" s="172" t="str">
        <f t="shared" si="37"/>
        <v/>
      </c>
      <c r="AG35" s="172" t="str">
        <f t="shared" si="37"/>
        <v/>
      </c>
      <c r="AH35" s="172" t="str">
        <f t="shared" si="37"/>
        <v/>
      </c>
      <c r="AI35" s="172" t="str">
        <f t="shared" si="37"/>
        <v/>
      </c>
      <c r="AJ35" s="172" t="str">
        <f t="shared" si="37"/>
        <v/>
      </c>
      <c r="AK35" s="172" t="str">
        <f t="shared" si="37"/>
        <v/>
      </c>
      <c r="AL35" s="172" t="str">
        <f t="shared" si="37"/>
        <v/>
      </c>
      <c r="AM35" s="172" t="str">
        <f t="shared" si="37"/>
        <v/>
      </c>
      <c r="AN35" s="172" t="str">
        <f t="shared" si="37"/>
        <v/>
      </c>
      <c r="AO35" s="172" t="str">
        <f t="shared" si="37"/>
        <v/>
      </c>
      <c r="AP35" s="172" t="str">
        <f t="shared" si="37"/>
        <v/>
      </c>
      <c r="AQ35" s="172" t="str">
        <f t="shared" si="37"/>
        <v/>
      </c>
      <c r="AR35" s="172" t="str">
        <f t="shared" si="37"/>
        <v/>
      </c>
      <c r="AS35" s="172" t="str">
        <f t="shared" si="37"/>
        <v/>
      </c>
      <c r="AT35" s="173">
        <f>IF(AT$6="","",IF(AT$3="Maior",iferror(VLOOKUP($R35,Capa!$A:$AJ,AT$5,0),0),IF(ISERROR(1/VLOOKUP($R35,Capa!$A:$AJ,AT$5,0)),0,1/VLOOKUP($R35,Capa!$A:$AJ,AT$5,0))))</f>
        <v>-1.631851874</v>
      </c>
      <c r="AU35" s="174">
        <f>IF(AU$6="","",IF(AU$3="Maior",iferror(VLOOKUP($R35,Capa!$A:$AJ,AU$5,0),0),IF(ISERROR(1/VLOOKUP($R35,Capa!$A:$AJ,AU$5,0)),0,1/VLOOKUP($R35,Capa!$A:$AJ,AU$5,0))))</f>
        <v>42.68</v>
      </c>
      <c r="AV35" s="174" t="str">
        <f>IF(AV$6="","",IF(AV$3="Maior",iferror(VLOOKUP($R35,Capa!$A:$AJ,AV$5,0),0),IF(ISERROR(1/VLOOKUP($R35,Capa!$A:$AJ,AV$5,0)),0,1/VLOOKUP($R35,Capa!$A:$AJ,AV$5,0))))</f>
        <v/>
      </c>
      <c r="AW35" s="174" t="str">
        <f>IF(AW$6="","",IF(AW$3="Maior",iferror(VLOOKUP($R35,Capa!$A:$AJ,AW$5,0),0),IF(ISERROR(1/VLOOKUP($R35,Capa!$A:$AJ,AW$5,0)),0,1/VLOOKUP($R35,Capa!$A:$AJ,AW$5,0))))</f>
        <v/>
      </c>
      <c r="AX35" s="174" t="str">
        <f>IF(AX$6="","",IF(AX$3="Maior",iferror(VLOOKUP($R35,Capa!$A:$AJ,AX$5,0),0),IF(ISERROR(1/VLOOKUP($R35,Capa!$A:$AJ,AX$5,0)),0,1/VLOOKUP($R35,Capa!$A:$AJ,AX$5,0))))</f>
        <v/>
      </c>
      <c r="AY35" s="174" t="str">
        <f>IF(AY$6="","",IF(AY$3="Maior",iferror(VLOOKUP($R35,Capa!$A:$AJ,AY$5,0),0),IF(ISERROR(1/VLOOKUP($R35,Capa!$A:$AJ,AY$5,0)),0,1/VLOOKUP($R35,Capa!$A:$AJ,AY$5,0))))</f>
        <v/>
      </c>
      <c r="AZ35" s="174" t="str">
        <f>IF(AZ$6="","",IF(AZ$3="Maior",iferror(VLOOKUP($R35,Capa!$A:$AJ,AZ$5,0),0),IF(ISERROR(1/VLOOKUP($R35,Capa!$A:$AJ,AZ$5,0)),0,1/VLOOKUP($R35,Capa!$A:$AJ,AZ$5,0))))</f>
        <v/>
      </c>
      <c r="BA35" s="174" t="str">
        <f>IF(BA$6="","",IF(BA$3="Maior",iferror(VLOOKUP($R35,Capa!$A:$AJ,BA$5,0),0),IF(ISERROR(1/VLOOKUP($R35,Capa!$A:$AJ,BA$5,0)),0,1/VLOOKUP($R35,Capa!$A:$AJ,BA$5,0))))</f>
        <v/>
      </c>
      <c r="BB35" s="174" t="str">
        <f>IF(BB$6="","",IF(BB$3="Maior",iferror(VLOOKUP($R35,Capa!$A:$AJ,BB$5,0),0),IF(ISERROR(1/VLOOKUP($R35,Capa!$A:$AJ,BB$5,0)),0,1/VLOOKUP($R35,Capa!$A:$AJ,BB$5,0))))</f>
        <v/>
      </c>
      <c r="BC35" s="174" t="str">
        <f>IF(BC$6="","",IF(BC$3="Maior",iferror(VLOOKUP($R35,Capa!$A:$AJ,BC$5,0),0),IF(ISERROR(1/VLOOKUP($R35,Capa!$A:$AJ,BC$5,0)),0,1/VLOOKUP($R35,Capa!$A:$AJ,BC$5,0))))</f>
        <v/>
      </c>
      <c r="BD35" s="174" t="str">
        <f>IF(BD$6="","",IF(BD$3="Maior",iferror(VLOOKUP($R35,Capa!$A:$AJ,BD$5,0),0),IF(ISERROR(1/VLOOKUP($R35,Capa!$A:$AJ,BD$5,0)),0,1/VLOOKUP($R35,Capa!$A:$AJ,BD$5,0))))</f>
        <v/>
      </c>
      <c r="BE35" s="174" t="str">
        <f>IF(BE$6="","",IF(BE$3="Maior",iferror(VLOOKUP($R35,Capa!$A:$AJ,BE$5,0),0),IF(ISERROR(1/VLOOKUP($R35,Capa!$A:$AJ,BE$5,0)),0,1/VLOOKUP($R35,Capa!$A:$AJ,BE$5,0))))</f>
        <v/>
      </c>
      <c r="BF35" s="174" t="str">
        <f>IF(BF$6="","",IF(BF$3="Maior",iferror(VLOOKUP($R35,Capa!$A:$AJ,BF$5,0),0),IF(ISERROR(1/VLOOKUP($R35,Capa!$A:$AJ,BF$5,0)),0,1/VLOOKUP($R35,Capa!$A:$AJ,BF$5,0))))</f>
        <v/>
      </c>
      <c r="BG35" s="174" t="str">
        <f>IF(BG$6="","",IF(BG$3="Maior",iferror(VLOOKUP($R35,Capa!$A:$AJ,BG$5,0),0),IF(ISERROR(1/VLOOKUP($R35,Capa!$A:$AJ,BG$5,0)),0,1/VLOOKUP($R35,Capa!$A:$AJ,BG$5,0))))</f>
        <v/>
      </c>
      <c r="BH35" s="174" t="str">
        <f>IF(BH$6="","",IF(BH$3="Maior",iferror(VLOOKUP($R35,Capa!$A:$AJ,BH$5,0),0),IF(ISERROR(1/VLOOKUP($R35,Capa!$A:$AJ,BH$5,0)),0,1/VLOOKUP($R35,Capa!$A:$AJ,BH$5,0))))</f>
        <v/>
      </c>
      <c r="BI35" s="174" t="str">
        <f>IF(BI$6="","",IF(BI$3="Maior",iferror(VLOOKUP($R35,Capa!$A:$AJ,BI$5,0),0),IF(ISERROR(1/VLOOKUP($R35,Capa!$A:$AJ,BI$5,0)),0,1/VLOOKUP($R35,Capa!$A:$AJ,BI$5,0))))</f>
        <v/>
      </c>
      <c r="BJ35" s="174" t="str">
        <f>IF(BJ$6="","",IF(BJ$3="Maior",iferror(VLOOKUP($R35,Capa!$A:$AJ,BJ$5,0),0),IF(ISERROR(1/VLOOKUP($R35,Capa!$A:$AJ,BJ$5,0)),0,1/VLOOKUP($R35,Capa!$A:$AJ,BJ$5,0))))</f>
        <v/>
      </c>
      <c r="BK35" s="174" t="str">
        <f>IF(BK$6="","",IF(BK$3="Maior",iferror(VLOOKUP($R35,Capa!$A:$AJ,BK$5,0),0),IF(ISERROR(1/VLOOKUP($R35,Capa!$A:$AJ,BK$5,0)),0,1/VLOOKUP($R35,Capa!$A:$AJ,BK$5,0))))</f>
        <v/>
      </c>
      <c r="BL35" s="174" t="str">
        <f>IF(BL$6="","",IF(BL$3="Maior",iferror(VLOOKUP($R35,Capa!$A:$AJ,BL$5,0),0),IF(ISERROR(1/VLOOKUP($R35,Capa!$A:$AJ,BL$5,0)),0,1/VLOOKUP($R35,Capa!$A:$AJ,BL$5,0))))</f>
        <v/>
      </c>
      <c r="BM35" s="174" t="str">
        <f>IF(BM$6="","",IF(BM$3="Maior",iferror(VLOOKUP($R35,Capa!$A:$AJ,BM$5,0),0),IF(ISERROR(1/VLOOKUP($R35,Capa!$A:$AJ,BM$5,0)),0,1/VLOOKUP($R35,Capa!$A:$AJ,BM$5,0))))</f>
        <v/>
      </c>
      <c r="BN35" s="174" t="str">
        <f>IF(BN$6="","",IF(BN$3="Maior",iferror(VLOOKUP($R35,Capa!$A:$AJ,BN$5,0),0),IF(ISERROR(1/VLOOKUP($R35,Capa!$A:$AJ,BN$5,0)),0,1/VLOOKUP($R35,Capa!$A:$AJ,BN$5,0))))</f>
        <v/>
      </c>
      <c r="BO35" s="174" t="str">
        <f>IF(BO$6="","",IF(BO$3="Maior",iferror(VLOOKUP($R35,Capa!$A:$AJ,BO$5,0),0),IF(ISERROR(1/VLOOKUP($R35,Capa!$A:$AJ,BO$5,0)),0,1/VLOOKUP($R35,Capa!$A:$AJ,BO$5,0))))</f>
        <v/>
      </c>
      <c r="BP35" s="174" t="str">
        <f>IF(BP$6="","",IF(BP$3="Maior",iferror(VLOOKUP($R35,Capa!$A:$AJ,BP$5,0),0),IF(ISERROR(1/VLOOKUP($R35,Capa!$A:$AJ,BP$5,0)),0,1/VLOOKUP($R35,Capa!$A:$AJ,BP$5,0))))</f>
        <v/>
      </c>
      <c r="BQ35" s="174" t="str">
        <f>IF(BQ$6="","",IF(BQ$3="Maior",iferror(VLOOKUP($R35,Capa!$A:$AJ,BQ$5,0),0),IF(ISERROR(1/VLOOKUP($R35,Capa!$A:$AJ,BQ$5,0)),0,1/VLOOKUP($R35,Capa!$A:$AJ,BQ$5,0))))</f>
        <v/>
      </c>
      <c r="BR35" s="175"/>
      <c r="BS35" s="147"/>
    </row>
    <row r="36">
      <c r="B36" s="83">
        <f t="shared" si="22"/>
        <v>1</v>
      </c>
      <c r="C36" s="184" t="s">
        <v>33</v>
      </c>
      <c r="D36" s="82" t="b">
        <v>0</v>
      </c>
      <c r="E36" s="185" t="s">
        <v>1747</v>
      </c>
      <c r="F36" s="82">
        <f>MATCH(C36,Capa!$6:$6,0)</f>
        <v>29</v>
      </c>
      <c r="G36" s="11"/>
      <c r="H36" s="8">
        <v>30.0</v>
      </c>
      <c r="I36" s="165" t="str">
        <f t="shared" si="6"/>
        <v>KEPL3</v>
      </c>
      <c r="J36" s="166" t="str">
        <f>(VLOOKUP($I36,Capa!$A:$B,2,0))</f>
        <v>Kepler Weber SA</v>
      </c>
      <c r="K36" s="167" t="str">
        <f>VLOOKUP(left(I36,4),Setor!A:D,3,0)&amp;" | "&amp;VLOOKUP(left(I36,4),Setor!A:D,4,0)</f>
        <v>Bens Industriais | Máquinas e Equipamentos</v>
      </c>
      <c r="L36" s="168">
        <f>(VLOOKUP($I36,Capa!$A:$F,6,0))</f>
        <v>9.72</v>
      </c>
      <c r="M36" s="168">
        <f t="shared" si="7"/>
        <v>30740276</v>
      </c>
      <c r="N36" s="11" t="str">
        <f>IFERROR(__xludf.DUMMYFUNCTION("(VLOOKUP($I36,Capa!$A:$H,7,0))"),"")</f>
        <v/>
      </c>
      <c r="O36" s="169">
        <f>(VLOOKUP($I36,Capa!$A:$H,8,0))</f>
        <v>-0.02311557789</v>
      </c>
      <c r="P36" s="11" t="str">
        <f>IFERROR(__xludf.DUMMYFUNCTION("(VLOOKUP($I36,Capa!$A:$J,10,0))"),"")</f>
        <v/>
      </c>
      <c r="Q36" s="169">
        <f>(VLOOKUP($I36,Capa!$A:$K,11,0))</f>
        <v>-0.01119023398</v>
      </c>
      <c r="R36" s="45" t="str">
        <f>'Dados StatusInvest'!A31</f>
        <v>ARND3</v>
      </c>
      <c r="S36" s="170">
        <f t="shared" si="8"/>
        <v>1482.0482</v>
      </c>
      <c r="T36" s="171">
        <f>VLOOKUP(R36,'Dados StatusInvest'!A:Z,26,0)</f>
        <v>956.45</v>
      </c>
      <c r="U36" s="172">
        <f t="shared" ref="U36:AS36" si="38">IF(AT36="","", RANK(AT36,AT$7:AT$626,0)+RANK(AT36,AT$7:AT$626,0)/10000)</f>
        <v>215.0215</v>
      </c>
      <c r="V36" s="172">
        <f t="shared" si="38"/>
        <v>267.0267</v>
      </c>
      <c r="W36" s="172" t="str">
        <f t="shared" si="38"/>
        <v/>
      </c>
      <c r="X36" s="172" t="str">
        <f t="shared" si="38"/>
        <v/>
      </c>
      <c r="Y36" s="172" t="str">
        <f t="shared" si="38"/>
        <v/>
      </c>
      <c r="Z36" s="172" t="str">
        <f t="shared" si="38"/>
        <v/>
      </c>
      <c r="AA36" s="172" t="str">
        <f t="shared" si="38"/>
        <v/>
      </c>
      <c r="AB36" s="172" t="str">
        <f t="shared" si="38"/>
        <v/>
      </c>
      <c r="AC36" s="172" t="str">
        <f t="shared" si="38"/>
        <v/>
      </c>
      <c r="AD36" s="172" t="str">
        <f t="shared" si="38"/>
        <v/>
      </c>
      <c r="AE36" s="172" t="str">
        <f t="shared" si="38"/>
        <v/>
      </c>
      <c r="AF36" s="172" t="str">
        <f t="shared" si="38"/>
        <v/>
      </c>
      <c r="AG36" s="172" t="str">
        <f t="shared" si="38"/>
        <v/>
      </c>
      <c r="AH36" s="172" t="str">
        <f t="shared" si="38"/>
        <v/>
      </c>
      <c r="AI36" s="172" t="str">
        <f t="shared" si="38"/>
        <v/>
      </c>
      <c r="AJ36" s="172" t="str">
        <f t="shared" si="38"/>
        <v/>
      </c>
      <c r="AK36" s="172" t="str">
        <f t="shared" si="38"/>
        <v/>
      </c>
      <c r="AL36" s="172" t="str">
        <f t="shared" si="38"/>
        <v/>
      </c>
      <c r="AM36" s="172" t="str">
        <f t="shared" si="38"/>
        <v/>
      </c>
      <c r="AN36" s="172" t="str">
        <f t="shared" si="38"/>
        <v/>
      </c>
      <c r="AO36" s="172" t="str">
        <f t="shared" si="38"/>
        <v/>
      </c>
      <c r="AP36" s="172" t="str">
        <f t="shared" si="38"/>
        <v/>
      </c>
      <c r="AQ36" s="172" t="str">
        <f t="shared" si="38"/>
        <v/>
      </c>
      <c r="AR36" s="172" t="str">
        <f t="shared" si="38"/>
        <v/>
      </c>
      <c r="AS36" s="172" t="str">
        <f t="shared" si="38"/>
        <v/>
      </c>
      <c r="AT36" s="173">
        <f>IF(AT$6="","",IF(AT$3="Maior",iferror(VLOOKUP($R36,Capa!$A:$AJ,AT$5,0),0),IF(ISERROR(1/VLOOKUP($R36,Capa!$A:$AJ,AT$5,0)),0,1/VLOOKUP($R36,Capa!$A:$AJ,AT$5,0))))</f>
        <v>-0.3058103976</v>
      </c>
      <c r="AU36" s="174">
        <f>IF(AU$6="","",IF(AU$3="Maior",iferror(VLOOKUP($R36,Capa!$A:$AJ,AU$5,0),0),IF(ISERROR(1/VLOOKUP($R36,Capa!$A:$AJ,AU$5,0)),0,1/VLOOKUP($R36,Capa!$A:$AJ,AU$5,0))))</f>
        <v>0</v>
      </c>
      <c r="AV36" s="174" t="str">
        <f>IF(AV$6="","",IF(AV$3="Maior",iferror(VLOOKUP($R36,Capa!$A:$AJ,AV$5,0),0),IF(ISERROR(1/VLOOKUP($R36,Capa!$A:$AJ,AV$5,0)),0,1/VLOOKUP($R36,Capa!$A:$AJ,AV$5,0))))</f>
        <v/>
      </c>
      <c r="AW36" s="174" t="str">
        <f>IF(AW$6="","",IF(AW$3="Maior",iferror(VLOOKUP($R36,Capa!$A:$AJ,AW$5,0),0),IF(ISERROR(1/VLOOKUP($R36,Capa!$A:$AJ,AW$5,0)),0,1/VLOOKUP($R36,Capa!$A:$AJ,AW$5,0))))</f>
        <v/>
      </c>
      <c r="AX36" s="174" t="str">
        <f>IF(AX$6="","",IF(AX$3="Maior",iferror(VLOOKUP($R36,Capa!$A:$AJ,AX$5,0),0),IF(ISERROR(1/VLOOKUP($R36,Capa!$A:$AJ,AX$5,0)),0,1/VLOOKUP($R36,Capa!$A:$AJ,AX$5,0))))</f>
        <v/>
      </c>
      <c r="AY36" s="174" t="str">
        <f>IF(AY$6="","",IF(AY$3="Maior",iferror(VLOOKUP($R36,Capa!$A:$AJ,AY$5,0),0),IF(ISERROR(1/VLOOKUP($R36,Capa!$A:$AJ,AY$5,0)),0,1/VLOOKUP($R36,Capa!$A:$AJ,AY$5,0))))</f>
        <v/>
      </c>
      <c r="AZ36" s="174" t="str">
        <f>IF(AZ$6="","",IF(AZ$3="Maior",iferror(VLOOKUP($R36,Capa!$A:$AJ,AZ$5,0),0),IF(ISERROR(1/VLOOKUP($R36,Capa!$A:$AJ,AZ$5,0)),0,1/VLOOKUP($R36,Capa!$A:$AJ,AZ$5,0))))</f>
        <v/>
      </c>
      <c r="BA36" s="174" t="str">
        <f>IF(BA$6="","",IF(BA$3="Maior",iferror(VLOOKUP($R36,Capa!$A:$AJ,BA$5,0),0),IF(ISERROR(1/VLOOKUP($R36,Capa!$A:$AJ,BA$5,0)),0,1/VLOOKUP($R36,Capa!$A:$AJ,BA$5,0))))</f>
        <v/>
      </c>
      <c r="BB36" s="174" t="str">
        <f>IF(BB$6="","",IF(BB$3="Maior",iferror(VLOOKUP($R36,Capa!$A:$AJ,BB$5,0),0),IF(ISERROR(1/VLOOKUP($R36,Capa!$A:$AJ,BB$5,0)),0,1/VLOOKUP($R36,Capa!$A:$AJ,BB$5,0))))</f>
        <v/>
      </c>
      <c r="BC36" s="174" t="str">
        <f>IF(BC$6="","",IF(BC$3="Maior",iferror(VLOOKUP($R36,Capa!$A:$AJ,BC$5,0),0),IF(ISERROR(1/VLOOKUP($R36,Capa!$A:$AJ,BC$5,0)),0,1/VLOOKUP($R36,Capa!$A:$AJ,BC$5,0))))</f>
        <v/>
      </c>
      <c r="BD36" s="174" t="str">
        <f>IF(BD$6="","",IF(BD$3="Maior",iferror(VLOOKUP($R36,Capa!$A:$AJ,BD$5,0),0),IF(ISERROR(1/VLOOKUP($R36,Capa!$A:$AJ,BD$5,0)),0,1/VLOOKUP($R36,Capa!$A:$AJ,BD$5,0))))</f>
        <v/>
      </c>
      <c r="BE36" s="174" t="str">
        <f>IF(BE$6="","",IF(BE$3="Maior",iferror(VLOOKUP($R36,Capa!$A:$AJ,BE$5,0),0),IF(ISERROR(1/VLOOKUP($R36,Capa!$A:$AJ,BE$5,0)),0,1/VLOOKUP($R36,Capa!$A:$AJ,BE$5,0))))</f>
        <v/>
      </c>
      <c r="BF36" s="174" t="str">
        <f>IF(BF$6="","",IF(BF$3="Maior",iferror(VLOOKUP($R36,Capa!$A:$AJ,BF$5,0),0),IF(ISERROR(1/VLOOKUP($R36,Capa!$A:$AJ,BF$5,0)),0,1/VLOOKUP($R36,Capa!$A:$AJ,BF$5,0))))</f>
        <v/>
      </c>
      <c r="BG36" s="174" t="str">
        <f>IF(BG$6="","",IF(BG$3="Maior",iferror(VLOOKUP($R36,Capa!$A:$AJ,BG$5,0),0),IF(ISERROR(1/VLOOKUP($R36,Capa!$A:$AJ,BG$5,0)),0,1/VLOOKUP($R36,Capa!$A:$AJ,BG$5,0))))</f>
        <v/>
      </c>
      <c r="BH36" s="174" t="str">
        <f>IF(BH$6="","",IF(BH$3="Maior",iferror(VLOOKUP($R36,Capa!$A:$AJ,BH$5,0),0),IF(ISERROR(1/VLOOKUP($R36,Capa!$A:$AJ,BH$5,0)),0,1/VLOOKUP($R36,Capa!$A:$AJ,BH$5,0))))</f>
        <v/>
      </c>
      <c r="BI36" s="174" t="str">
        <f>IF(BI$6="","",IF(BI$3="Maior",iferror(VLOOKUP($R36,Capa!$A:$AJ,BI$5,0),0),IF(ISERROR(1/VLOOKUP($R36,Capa!$A:$AJ,BI$5,0)),0,1/VLOOKUP($R36,Capa!$A:$AJ,BI$5,0))))</f>
        <v/>
      </c>
      <c r="BJ36" s="174" t="str">
        <f>IF(BJ$6="","",IF(BJ$3="Maior",iferror(VLOOKUP($R36,Capa!$A:$AJ,BJ$5,0),0),IF(ISERROR(1/VLOOKUP($R36,Capa!$A:$AJ,BJ$5,0)),0,1/VLOOKUP($R36,Capa!$A:$AJ,BJ$5,0))))</f>
        <v/>
      </c>
      <c r="BK36" s="174" t="str">
        <f>IF(BK$6="","",IF(BK$3="Maior",iferror(VLOOKUP($R36,Capa!$A:$AJ,BK$5,0),0),IF(ISERROR(1/VLOOKUP($R36,Capa!$A:$AJ,BK$5,0)),0,1/VLOOKUP($R36,Capa!$A:$AJ,BK$5,0))))</f>
        <v/>
      </c>
      <c r="BL36" s="174" t="str">
        <f>IF(BL$6="","",IF(BL$3="Maior",iferror(VLOOKUP($R36,Capa!$A:$AJ,BL$5,0),0),IF(ISERROR(1/VLOOKUP($R36,Capa!$A:$AJ,BL$5,0)),0,1/VLOOKUP($R36,Capa!$A:$AJ,BL$5,0))))</f>
        <v/>
      </c>
      <c r="BM36" s="174" t="str">
        <f>IF(BM$6="","",IF(BM$3="Maior",iferror(VLOOKUP($R36,Capa!$A:$AJ,BM$5,0),0),IF(ISERROR(1/VLOOKUP($R36,Capa!$A:$AJ,BM$5,0)),0,1/VLOOKUP($R36,Capa!$A:$AJ,BM$5,0))))</f>
        <v/>
      </c>
      <c r="BN36" s="174" t="str">
        <f>IF(BN$6="","",IF(BN$3="Maior",iferror(VLOOKUP($R36,Capa!$A:$AJ,BN$5,0),0),IF(ISERROR(1/VLOOKUP($R36,Capa!$A:$AJ,BN$5,0)),0,1/VLOOKUP($R36,Capa!$A:$AJ,BN$5,0))))</f>
        <v/>
      </c>
      <c r="BO36" s="174" t="str">
        <f>IF(BO$6="","",IF(BO$3="Maior",iferror(VLOOKUP($R36,Capa!$A:$AJ,BO$5,0),0),IF(ISERROR(1/VLOOKUP($R36,Capa!$A:$AJ,BO$5,0)),0,1/VLOOKUP($R36,Capa!$A:$AJ,BO$5,0))))</f>
        <v/>
      </c>
      <c r="BP36" s="174" t="str">
        <f>IF(BP$6="","",IF(BP$3="Maior",iferror(VLOOKUP($R36,Capa!$A:$AJ,BP$5,0),0),IF(ISERROR(1/VLOOKUP($R36,Capa!$A:$AJ,BP$5,0)),0,1/VLOOKUP($R36,Capa!$A:$AJ,BP$5,0))))</f>
        <v/>
      </c>
      <c r="BQ36" s="174" t="str">
        <f>IF(BQ$6="","",IF(BQ$3="Maior",iferror(VLOOKUP($R36,Capa!$A:$AJ,BQ$5,0),0),IF(ISERROR(1/VLOOKUP($R36,Capa!$A:$AJ,BQ$5,0)),0,1/VLOOKUP($R36,Capa!$A:$AJ,BQ$5,0))))</f>
        <v/>
      </c>
      <c r="BR36" s="175"/>
      <c r="BS36" s="147"/>
    </row>
    <row r="37">
      <c r="B37" s="83">
        <f t="shared" si="22"/>
        <v>2</v>
      </c>
      <c r="C37" s="184" t="s">
        <v>34</v>
      </c>
      <c r="D37" s="82" t="b">
        <v>1</v>
      </c>
      <c r="E37" s="185" t="s">
        <v>1747</v>
      </c>
      <c r="F37" s="82">
        <f>MATCH(C37,Capa!$6:$6,0)</f>
        <v>30</v>
      </c>
      <c r="G37" s="11"/>
      <c r="H37" s="8">
        <v>31.0</v>
      </c>
      <c r="I37" s="165" t="str">
        <f t="shared" si="6"/>
        <v>HAPV3</v>
      </c>
      <c r="J37" s="166" t="str">
        <f>(VLOOKUP($I37,Capa!$A:$B,2,0))</f>
        <v>Hapvida Par e Invest Cedar</v>
      </c>
      <c r="K37" s="167" t="str">
        <f>VLOOKUP(left(I37,4),Setor!A:D,3,0)&amp;" | "&amp;VLOOKUP(left(I37,4),Setor!A:D,4,0)</f>
        <v>Saúde | Análises e Diagnósticos</v>
      </c>
      <c r="L37" s="168">
        <f>(VLOOKUP($I37,Capa!$A:$F,6,0))</f>
        <v>3020</v>
      </c>
      <c r="M37" s="168">
        <f t="shared" si="7"/>
        <v>117000000</v>
      </c>
      <c r="N37" s="11" t="str">
        <f>IFERROR(__xludf.DUMMYFUNCTION("(VLOOKUP($I37,Capa!$A:$H,7,0))"),"")</f>
        <v/>
      </c>
      <c r="O37" s="169">
        <f>(VLOOKUP($I37,Capa!$A:$H,8,0))</f>
        <v>-0.2392947103</v>
      </c>
      <c r="P37" s="11" t="str">
        <f>IFERROR(__xludf.DUMMYFUNCTION("(VLOOKUP($I37,Capa!$A:$J,10,0))"),"")</f>
        <v/>
      </c>
      <c r="Q37" s="169">
        <f>(VLOOKUP($I37,Capa!$A:$K,11,0))</f>
        <v>4.763358779</v>
      </c>
      <c r="R37" s="45" t="str">
        <f>'Dados StatusInvest'!A32</f>
        <v>ASAI3</v>
      </c>
      <c r="S37" s="170">
        <f t="shared" si="8"/>
        <v>1013.1013</v>
      </c>
      <c r="T37" s="171">
        <f>VLOOKUP(R37,'Dados StatusInvest'!A:Z,26,0)</f>
        <v>179000000</v>
      </c>
      <c r="U37" s="172">
        <f t="shared" ref="U37:AS37" si="39">IF(AT37="","", RANK(AT37,AT$7:AT$626,0)+RANK(AT37,AT$7:AT$626,0)/10000)</f>
        <v>469.0469</v>
      </c>
      <c r="V37" s="172">
        <f t="shared" si="39"/>
        <v>544.0544</v>
      </c>
      <c r="W37" s="172" t="str">
        <f t="shared" si="39"/>
        <v/>
      </c>
      <c r="X37" s="172" t="str">
        <f t="shared" si="39"/>
        <v/>
      </c>
      <c r="Y37" s="172" t="str">
        <f t="shared" si="39"/>
        <v/>
      </c>
      <c r="Z37" s="172" t="str">
        <f t="shared" si="39"/>
        <v/>
      </c>
      <c r="AA37" s="172" t="str">
        <f t="shared" si="39"/>
        <v/>
      </c>
      <c r="AB37" s="172" t="str">
        <f t="shared" si="39"/>
        <v/>
      </c>
      <c r="AC37" s="172" t="str">
        <f t="shared" si="39"/>
        <v/>
      </c>
      <c r="AD37" s="172" t="str">
        <f t="shared" si="39"/>
        <v/>
      </c>
      <c r="AE37" s="172" t="str">
        <f t="shared" si="39"/>
        <v/>
      </c>
      <c r="AF37" s="172" t="str">
        <f t="shared" si="39"/>
        <v/>
      </c>
      <c r="AG37" s="172" t="str">
        <f t="shared" si="39"/>
        <v/>
      </c>
      <c r="AH37" s="172" t="str">
        <f t="shared" si="39"/>
        <v/>
      </c>
      <c r="AI37" s="172" t="str">
        <f t="shared" si="39"/>
        <v/>
      </c>
      <c r="AJ37" s="172" t="str">
        <f t="shared" si="39"/>
        <v/>
      </c>
      <c r="AK37" s="172" t="str">
        <f t="shared" si="39"/>
        <v/>
      </c>
      <c r="AL37" s="172" t="str">
        <f t="shared" si="39"/>
        <v/>
      </c>
      <c r="AM37" s="172" t="str">
        <f t="shared" si="39"/>
        <v/>
      </c>
      <c r="AN37" s="172" t="str">
        <f t="shared" si="39"/>
        <v/>
      </c>
      <c r="AO37" s="172" t="str">
        <f t="shared" si="39"/>
        <v/>
      </c>
      <c r="AP37" s="172" t="str">
        <f t="shared" si="39"/>
        <v/>
      </c>
      <c r="AQ37" s="172" t="str">
        <f t="shared" si="39"/>
        <v/>
      </c>
      <c r="AR37" s="172" t="str">
        <f t="shared" si="39"/>
        <v/>
      </c>
      <c r="AS37" s="172" t="str">
        <f t="shared" si="39"/>
        <v/>
      </c>
      <c r="AT37" s="173">
        <f>IF(AT$6="","",IF(AT$3="Maior",iferror(VLOOKUP($R37,Capa!$A:$AJ,AT$5,0),0),IF(ISERROR(1/VLOOKUP($R37,Capa!$A:$AJ,AT$5,0)),0,1/VLOOKUP($R37,Capa!$A:$AJ,AT$5,0))))</f>
        <v>-2.36086848</v>
      </c>
      <c r="AU37" s="174">
        <f>IF(AU$6="","",IF(AU$3="Maior",iferror(VLOOKUP($R37,Capa!$A:$AJ,AU$5,0),0),IF(ISERROR(1/VLOOKUP($R37,Capa!$A:$AJ,AU$5,0)),0,1/VLOOKUP($R37,Capa!$A:$AJ,AU$5,0))))</f>
        <v>-2.6</v>
      </c>
      <c r="AV37" s="174" t="str">
        <f>IF(AV$6="","",IF(AV$3="Maior",iferror(VLOOKUP($R37,Capa!$A:$AJ,AV$5,0),0),IF(ISERROR(1/VLOOKUP($R37,Capa!$A:$AJ,AV$5,0)),0,1/VLOOKUP($R37,Capa!$A:$AJ,AV$5,0))))</f>
        <v/>
      </c>
      <c r="AW37" s="174" t="str">
        <f>IF(AW$6="","",IF(AW$3="Maior",iferror(VLOOKUP($R37,Capa!$A:$AJ,AW$5,0),0),IF(ISERROR(1/VLOOKUP($R37,Capa!$A:$AJ,AW$5,0)),0,1/VLOOKUP($R37,Capa!$A:$AJ,AW$5,0))))</f>
        <v/>
      </c>
      <c r="AX37" s="174" t="str">
        <f>IF(AX$6="","",IF(AX$3="Maior",iferror(VLOOKUP($R37,Capa!$A:$AJ,AX$5,0),0),IF(ISERROR(1/VLOOKUP($R37,Capa!$A:$AJ,AX$5,0)),0,1/VLOOKUP($R37,Capa!$A:$AJ,AX$5,0))))</f>
        <v/>
      </c>
      <c r="AY37" s="174" t="str">
        <f>IF(AY$6="","",IF(AY$3="Maior",iferror(VLOOKUP($R37,Capa!$A:$AJ,AY$5,0),0),IF(ISERROR(1/VLOOKUP($R37,Capa!$A:$AJ,AY$5,0)),0,1/VLOOKUP($R37,Capa!$A:$AJ,AY$5,0))))</f>
        <v/>
      </c>
      <c r="AZ37" s="174" t="str">
        <f>IF(AZ$6="","",IF(AZ$3="Maior",iferror(VLOOKUP($R37,Capa!$A:$AJ,AZ$5,0),0),IF(ISERROR(1/VLOOKUP($R37,Capa!$A:$AJ,AZ$5,0)),0,1/VLOOKUP($R37,Capa!$A:$AJ,AZ$5,0))))</f>
        <v/>
      </c>
      <c r="BA37" s="174" t="str">
        <f>IF(BA$6="","",IF(BA$3="Maior",iferror(VLOOKUP($R37,Capa!$A:$AJ,BA$5,0),0),IF(ISERROR(1/VLOOKUP($R37,Capa!$A:$AJ,BA$5,0)),0,1/VLOOKUP($R37,Capa!$A:$AJ,BA$5,0))))</f>
        <v/>
      </c>
      <c r="BB37" s="174" t="str">
        <f>IF(BB$6="","",IF(BB$3="Maior",iferror(VLOOKUP($R37,Capa!$A:$AJ,BB$5,0),0),IF(ISERROR(1/VLOOKUP($R37,Capa!$A:$AJ,BB$5,0)),0,1/VLOOKUP($R37,Capa!$A:$AJ,BB$5,0))))</f>
        <v/>
      </c>
      <c r="BC37" s="174" t="str">
        <f>IF(BC$6="","",IF(BC$3="Maior",iferror(VLOOKUP($R37,Capa!$A:$AJ,BC$5,0),0),IF(ISERROR(1/VLOOKUP($R37,Capa!$A:$AJ,BC$5,0)),0,1/VLOOKUP($R37,Capa!$A:$AJ,BC$5,0))))</f>
        <v/>
      </c>
      <c r="BD37" s="174" t="str">
        <f>IF(BD$6="","",IF(BD$3="Maior",iferror(VLOOKUP($R37,Capa!$A:$AJ,BD$5,0),0),IF(ISERROR(1/VLOOKUP($R37,Capa!$A:$AJ,BD$5,0)),0,1/VLOOKUP($R37,Capa!$A:$AJ,BD$5,0))))</f>
        <v/>
      </c>
      <c r="BE37" s="174" t="str">
        <f>IF(BE$6="","",IF(BE$3="Maior",iferror(VLOOKUP($R37,Capa!$A:$AJ,BE$5,0),0),IF(ISERROR(1/VLOOKUP($R37,Capa!$A:$AJ,BE$5,0)),0,1/VLOOKUP($R37,Capa!$A:$AJ,BE$5,0))))</f>
        <v/>
      </c>
      <c r="BF37" s="174" t="str">
        <f>IF(BF$6="","",IF(BF$3="Maior",iferror(VLOOKUP($R37,Capa!$A:$AJ,BF$5,0),0),IF(ISERROR(1/VLOOKUP($R37,Capa!$A:$AJ,BF$5,0)),0,1/VLOOKUP($R37,Capa!$A:$AJ,BF$5,0))))</f>
        <v/>
      </c>
      <c r="BG37" s="174" t="str">
        <f>IF(BG$6="","",IF(BG$3="Maior",iferror(VLOOKUP($R37,Capa!$A:$AJ,BG$5,0),0),IF(ISERROR(1/VLOOKUP($R37,Capa!$A:$AJ,BG$5,0)),0,1/VLOOKUP($R37,Capa!$A:$AJ,BG$5,0))))</f>
        <v/>
      </c>
      <c r="BH37" s="174" t="str">
        <f>IF(BH$6="","",IF(BH$3="Maior",iferror(VLOOKUP($R37,Capa!$A:$AJ,BH$5,0),0),IF(ISERROR(1/VLOOKUP($R37,Capa!$A:$AJ,BH$5,0)),0,1/VLOOKUP($R37,Capa!$A:$AJ,BH$5,0))))</f>
        <v/>
      </c>
      <c r="BI37" s="174" t="str">
        <f>IF(BI$6="","",IF(BI$3="Maior",iferror(VLOOKUP($R37,Capa!$A:$AJ,BI$5,0),0),IF(ISERROR(1/VLOOKUP($R37,Capa!$A:$AJ,BI$5,0)),0,1/VLOOKUP($R37,Capa!$A:$AJ,BI$5,0))))</f>
        <v/>
      </c>
      <c r="BJ37" s="174" t="str">
        <f>IF(BJ$6="","",IF(BJ$3="Maior",iferror(VLOOKUP($R37,Capa!$A:$AJ,BJ$5,0),0),IF(ISERROR(1/VLOOKUP($R37,Capa!$A:$AJ,BJ$5,0)),0,1/VLOOKUP($R37,Capa!$A:$AJ,BJ$5,0))))</f>
        <v/>
      </c>
      <c r="BK37" s="174" t="str">
        <f>IF(BK$6="","",IF(BK$3="Maior",iferror(VLOOKUP($R37,Capa!$A:$AJ,BK$5,0),0),IF(ISERROR(1/VLOOKUP($R37,Capa!$A:$AJ,BK$5,0)),0,1/VLOOKUP($R37,Capa!$A:$AJ,BK$5,0))))</f>
        <v/>
      </c>
      <c r="BL37" s="174" t="str">
        <f>IF(BL$6="","",IF(BL$3="Maior",iferror(VLOOKUP($R37,Capa!$A:$AJ,BL$5,0),0),IF(ISERROR(1/VLOOKUP($R37,Capa!$A:$AJ,BL$5,0)),0,1/VLOOKUP($R37,Capa!$A:$AJ,BL$5,0))))</f>
        <v/>
      </c>
      <c r="BM37" s="174" t="str">
        <f>IF(BM$6="","",IF(BM$3="Maior",iferror(VLOOKUP($R37,Capa!$A:$AJ,BM$5,0),0),IF(ISERROR(1/VLOOKUP($R37,Capa!$A:$AJ,BM$5,0)),0,1/VLOOKUP($R37,Capa!$A:$AJ,BM$5,0))))</f>
        <v/>
      </c>
      <c r="BN37" s="174" t="str">
        <f>IF(BN$6="","",IF(BN$3="Maior",iferror(VLOOKUP($R37,Capa!$A:$AJ,BN$5,0),0),IF(ISERROR(1/VLOOKUP($R37,Capa!$A:$AJ,BN$5,0)),0,1/VLOOKUP($R37,Capa!$A:$AJ,BN$5,0))))</f>
        <v/>
      </c>
      <c r="BO37" s="174" t="str">
        <f>IF(BO$6="","",IF(BO$3="Maior",iferror(VLOOKUP($R37,Capa!$A:$AJ,BO$5,0),0),IF(ISERROR(1/VLOOKUP($R37,Capa!$A:$AJ,BO$5,0)),0,1/VLOOKUP($R37,Capa!$A:$AJ,BO$5,0))))</f>
        <v/>
      </c>
      <c r="BP37" s="174" t="str">
        <f>IF(BP$6="","",IF(BP$3="Maior",iferror(VLOOKUP($R37,Capa!$A:$AJ,BP$5,0),0),IF(ISERROR(1/VLOOKUP($R37,Capa!$A:$AJ,BP$5,0)),0,1/VLOOKUP($R37,Capa!$A:$AJ,BP$5,0))))</f>
        <v/>
      </c>
      <c r="BQ37" s="174" t="str">
        <f>IF(BQ$6="","",IF(BQ$3="Maior",iferror(VLOOKUP($R37,Capa!$A:$AJ,BQ$5,0),0),IF(ISERROR(1/VLOOKUP($R37,Capa!$A:$AJ,BQ$5,0)),0,1/VLOOKUP($R37,Capa!$A:$AJ,BQ$5,0))))</f>
        <v/>
      </c>
      <c r="BR37" s="175"/>
      <c r="BS37" s="147"/>
    </row>
    <row r="38">
      <c r="B38" s="83">
        <f t="shared" si="22"/>
        <v>2</v>
      </c>
      <c r="C38" s="184" t="s">
        <v>35</v>
      </c>
      <c r="D38" s="82" t="b">
        <v>0</v>
      </c>
      <c r="E38" s="185" t="s">
        <v>1747</v>
      </c>
      <c r="F38" s="82">
        <f>MATCH(C38,Capa!$6:$6,0)</f>
        <v>31</v>
      </c>
      <c r="G38" s="11"/>
      <c r="H38" s="8">
        <v>32.0</v>
      </c>
      <c r="I38" s="165" t="str">
        <f t="shared" si="6"/>
        <v>HAPV3</v>
      </c>
      <c r="J38" s="166" t="str">
        <f>(VLOOKUP($I38,Capa!$A:$B,2,0))</f>
        <v>Hapvida Par e Invest Cedar</v>
      </c>
      <c r="K38" s="167" t="str">
        <f>VLOOKUP(left(I38,4),Setor!A:D,3,0)&amp;" | "&amp;VLOOKUP(left(I38,4),Setor!A:D,4,0)</f>
        <v>Saúde | Análises e Diagnósticos</v>
      </c>
      <c r="L38" s="168">
        <f>(VLOOKUP($I38,Capa!$A:$F,6,0))</f>
        <v>3020</v>
      </c>
      <c r="M38" s="168">
        <f t="shared" si="7"/>
        <v>117000000</v>
      </c>
      <c r="N38" s="11" t="str">
        <f>IFERROR(__xludf.DUMMYFUNCTION("(VLOOKUP($I38,Capa!$A:$H,7,0))"),"")</f>
        <v/>
      </c>
      <c r="O38" s="169">
        <f>(VLOOKUP($I38,Capa!$A:$H,8,0))</f>
        <v>-0.2392947103</v>
      </c>
      <c r="P38" s="11" t="str">
        <f>IFERROR(__xludf.DUMMYFUNCTION("(VLOOKUP($I38,Capa!$A:$J,10,0))"),"")</f>
        <v/>
      </c>
      <c r="Q38" s="169">
        <f>(VLOOKUP($I38,Capa!$A:$K,11,0))</f>
        <v>4.763358779</v>
      </c>
      <c r="R38" s="45" t="str">
        <f>'Dados StatusInvest'!A33</f>
        <v>AUAU3</v>
      </c>
      <c r="S38" s="170">
        <f t="shared" si="8"/>
        <v>318.0318</v>
      </c>
      <c r="T38" s="171">
        <f>VLOOKUP(R38,'Dados StatusInvest'!A:Z,26,0)</f>
        <v>14782120</v>
      </c>
      <c r="U38" s="172">
        <f t="shared" ref="U38:AS38" si="40">IF(AT38="","", RANK(AT38,AT$7:AT$626,0)+RANK(AT38,AT$7:AT$626,0)/10000)</f>
        <v>51.0051</v>
      </c>
      <c r="V38" s="172">
        <f t="shared" si="40"/>
        <v>267.0267</v>
      </c>
      <c r="W38" s="172" t="str">
        <f t="shared" si="40"/>
        <v/>
      </c>
      <c r="X38" s="172" t="str">
        <f t="shared" si="40"/>
        <v/>
      </c>
      <c r="Y38" s="172" t="str">
        <f t="shared" si="40"/>
        <v/>
      </c>
      <c r="Z38" s="172" t="str">
        <f t="shared" si="40"/>
        <v/>
      </c>
      <c r="AA38" s="172" t="str">
        <f t="shared" si="40"/>
        <v/>
      </c>
      <c r="AB38" s="172" t="str">
        <f t="shared" si="40"/>
        <v/>
      </c>
      <c r="AC38" s="172" t="str">
        <f t="shared" si="40"/>
        <v/>
      </c>
      <c r="AD38" s="172" t="str">
        <f t="shared" si="40"/>
        <v/>
      </c>
      <c r="AE38" s="172" t="str">
        <f t="shared" si="40"/>
        <v/>
      </c>
      <c r="AF38" s="172" t="str">
        <f t="shared" si="40"/>
        <v/>
      </c>
      <c r="AG38" s="172" t="str">
        <f t="shared" si="40"/>
        <v/>
      </c>
      <c r="AH38" s="172" t="str">
        <f t="shared" si="40"/>
        <v/>
      </c>
      <c r="AI38" s="172" t="str">
        <f t="shared" si="40"/>
        <v/>
      </c>
      <c r="AJ38" s="172" t="str">
        <f t="shared" si="40"/>
        <v/>
      </c>
      <c r="AK38" s="172" t="str">
        <f t="shared" si="40"/>
        <v/>
      </c>
      <c r="AL38" s="172" t="str">
        <f t="shared" si="40"/>
        <v/>
      </c>
      <c r="AM38" s="172" t="str">
        <f t="shared" si="40"/>
        <v/>
      </c>
      <c r="AN38" s="172" t="str">
        <f t="shared" si="40"/>
        <v/>
      </c>
      <c r="AO38" s="172" t="str">
        <f t="shared" si="40"/>
        <v/>
      </c>
      <c r="AP38" s="172" t="str">
        <f t="shared" si="40"/>
        <v/>
      </c>
      <c r="AQ38" s="172" t="str">
        <f t="shared" si="40"/>
        <v/>
      </c>
      <c r="AR38" s="172" t="str">
        <f t="shared" si="40"/>
        <v/>
      </c>
      <c r="AS38" s="172" t="str">
        <f t="shared" si="40"/>
        <v/>
      </c>
      <c r="AT38" s="173">
        <f>IF(AT$6="","",IF(AT$3="Maior",iferror(VLOOKUP($R38,Capa!$A:$AJ,AT$5,0),0),IF(ISERROR(1/VLOOKUP($R38,Capa!$A:$AJ,AT$5,0)),0,1/VLOOKUP($R38,Capa!$A:$AJ,AT$5,0))))</f>
        <v>0</v>
      </c>
      <c r="AU38" s="174">
        <f>IF(AU$6="","",IF(AU$3="Maior",iferror(VLOOKUP($R38,Capa!$A:$AJ,AU$5,0),0),IF(ISERROR(1/VLOOKUP($R38,Capa!$A:$AJ,AU$5,0)),0,1/VLOOKUP($R38,Capa!$A:$AJ,AU$5,0))))</f>
        <v>0</v>
      </c>
      <c r="AV38" s="174" t="str">
        <f>IF(AV$6="","",IF(AV$3="Maior",iferror(VLOOKUP($R38,Capa!$A:$AJ,AV$5,0),0),IF(ISERROR(1/VLOOKUP($R38,Capa!$A:$AJ,AV$5,0)),0,1/VLOOKUP($R38,Capa!$A:$AJ,AV$5,0))))</f>
        <v/>
      </c>
      <c r="AW38" s="174" t="str">
        <f>IF(AW$6="","",IF(AW$3="Maior",iferror(VLOOKUP($R38,Capa!$A:$AJ,AW$5,0),0),IF(ISERROR(1/VLOOKUP($R38,Capa!$A:$AJ,AW$5,0)),0,1/VLOOKUP($R38,Capa!$A:$AJ,AW$5,0))))</f>
        <v/>
      </c>
      <c r="AX38" s="174" t="str">
        <f>IF(AX$6="","",IF(AX$3="Maior",iferror(VLOOKUP($R38,Capa!$A:$AJ,AX$5,0),0),IF(ISERROR(1/VLOOKUP($R38,Capa!$A:$AJ,AX$5,0)),0,1/VLOOKUP($R38,Capa!$A:$AJ,AX$5,0))))</f>
        <v/>
      </c>
      <c r="AY38" s="174" t="str">
        <f>IF(AY$6="","",IF(AY$3="Maior",iferror(VLOOKUP($R38,Capa!$A:$AJ,AY$5,0),0),IF(ISERROR(1/VLOOKUP($R38,Capa!$A:$AJ,AY$5,0)),0,1/VLOOKUP($R38,Capa!$A:$AJ,AY$5,0))))</f>
        <v/>
      </c>
      <c r="AZ38" s="174" t="str">
        <f>IF(AZ$6="","",IF(AZ$3="Maior",iferror(VLOOKUP($R38,Capa!$A:$AJ,AZ$5,0),0),IF(ISERROR(1/VLOOKUP($R38,Capa!$A:$AJ,AZ$5,0)),0,1/VLOOKUP($R38,Capa!$A:$AJ,AZ$5,0))))</f>
        <v/>
      </c>
      <c r="BA38" s="174" t="str">
        <f>IF(BA$6="","",IF(BA$3="Maior",iferror(VLOOKUP($R38,Capa!$A:$AJ,BA$5,0),0),IF(ISERROR(1/VLOOKUP($R38,Capa!$A:$AJ,BA$5,0)),0,1/VLOOKUP($R38,Capa!$A:$AJ,BA$5,0))))</f>
        <v/>
      </c>
      <c r="BB38" s="174" t="str">
        <f>IF(BB$6="","",IF(BB$3="Maior",iferror(VLOOKUP($R38,Capa!$A:$AJ,BB$5,0),0),IF(ISERROR(1/VLOOKUP($R38,Capa!$A:$AJ,BB$5,0)),0,1/VLOOKUP($R38,Capa!$A:$AJ,BB$5,0))))</f>
        <v/>
      </c>
      <c r="BC38" s="174" t="str">
        <f>IF(BC$6="","",IF(BC$3="Maior",iferror(VLOOKUP($R38,Capa!$A:$AJ,BC$5,0),0),IF(ISERROR(1/VLOOKUP($R38,Capa!$A:$AJ,BC$5,0)),0,1/VLOOKUP($R38,Capa!$A:$AJ,BC$5,0))))</f>
        <v/>
      </c>
      <c r="BD38" s="174" t="str">
        <f>IF(BD$6="","",IF(BD$3="Maior",iferror(VLOOKUP($R38,Capa!$A:$AJ,BD$5,0),0),IF(ISERROR(1/VLOOKUP($R38,Capa!$A:$AJ,BD$5,0)),0,1/VLOOKUP($R38,Capa!$A:$AJ,BD$5,0))))</f>
        <v/>
      </c>
      <c r="BE38" s="174" t="str">
        <f>IF(BE$6="","",IF(BE$3="Maior",iferror(VLOOKUP($R38,Capa!$A:$AJ,BE$5,0),0),IF(ISERROR(1/VLOOKUP($R38,Capa!$A:$AJ,BE$5,0)),0,1/VLOOKUP($R38,Capa!$A:$AJ,BE$5,0))))</f>
        <v/>
      </c>
      <c r="BF38" s="174" t="str">
        <f>IF(BF$6="","",IF(BF$3="Maior",iferror(VLOOKUP($R38,Capa!$A:$AJ,BF$5,0),0),IF(ISERROR(1/VLOOKUP($R38,Capa!$A:$AJ,BF$5,0)),0,1/VLOOKUP($R38,Capa!$A:$AJ,BF$5,0))))</f>
        <v/>
      </c>
      <c r="BG38" s="174" t="str">
        <f>IF(BG$6="","",IF(BG$3="Maior",iferror(VLOOKUP($R38,Capa!$A:$AJ,BG$5,0),0),IF(ISERROR(1/VLOOKUP($R38,Capa!$A:$AJ,BG$5,0)),0,1/VLOOKUP($R38,Capa!$A:$AJ,BG$5,0))))</f>
        <v/>
      </c>
      <c r="BH38" s="174" t="str">
        <f>IF(BH$6="","",IF(BH$3="Maior",iferror(VLOOKUP($R38,Capa!$A:$AJ,BH$5,0),0),IF(ISERROR(1/VLOOKUP($R38,Capa!$A:$AJ,BH$5,0)),0,1/VLOOKUP($R38,Capa!$A:$AJ,BH$5,0))))</f>
        <v/>
      </c>
      <c r="BI38" s="174" t="str">
        <f>IF(BI$6="","",IF(BI$3="Maior",iferror(VLOOKUP($R38,Capa!$A:$AJ,BI$5,0),0),IF(ISERROR(1/VLOOKUP($R38,Capa!$A:$AJ,BI$5,0)),0,1/VLOOKUP($R38,Capa!$A:$AJ,BI$5,0))))</f>
        <v/>
      </c>
      <c r="BJ38" s="174" t="str">
        <f>IF(BJ$6="","",IF(BJ$3="Maior",iferror(VLOOKUP($R38,Capa!$A:$AJ,BJ$5,0),0),IF(ISERROR(1/VLOOKUP($R38,Capa!$A:$AJ,BJ$5,0)),0,1/VLOOKUP($R38,Capa!$A:$AJ,BJ$5,0))))</f>
        <v/>
      </c>
      <c r="BK38" s="174" t="str">
        <f>IF(BK$6="","",IF(BK$3="Maior",iferror(VLOOKUP($R38,Capa!$A:$AJ,BK$5,0),0),IF(ISERROR(1/VLOOKUP($R38,Capa!$A:$AJ,BK$5,0)),0,1/VLOOKUP($R38,Capa!$A:$AJ,BK$5,0))))</f>
        <v/>
      </c>
      <c r="BL38" s="174" t="str">
        <f>IF(BL$6="","",IF(BL$3="Maior",iferror(VLOOKUP($R38,Capa!$A:$AJ,BL$5,0),0),IF(ISERROR(1/VLOOKUP($R38,Capa!$A:$AJ,BL$5,0)),0,1/VLOOKUP($R38,Capa!$A:$AJ,BL$5,0))))</f>
        <v/>
      </c>
      <c r="BM38" s="174" t="str">
        <f>IF(BM$6="","",IF(BM$3="Maior",iferror(VLOOKUP($R38,Capa!$A:$AJ,BM$5,0),0),IF(ISERROR(1/VLOOKUP($R38,Capa!$A:$AJ,BM$5,0)),0,1/VLOOKUP($R38,Capa!$A:$AJ,BM$5,0))))</f>
        <v/>
      </c>
      <c r="BN38" s="174" t="str">
        <f>IF(BN$6="","",IF(BN$3="Maior",iferror(VLOOKUP($R38,Capa!$A:$AJ,BN$5,0),0),IF(ISERROR(1/VLOOKUP($R38,Capa!$A:$AJ,BN$5,0)),0,1/VLOOKUP($R38,Capa!$A:$AJ,BN$5,0))))</f>
        <v/>
      </c>
      <c r="BO38" s="174" t="str">
        <f>IF(BO$6="","",IF(BO$3="Maior",iferror(VLOOKUP($R38,Capa!$A:$AJ,BO$5,0),0),IF(ISERROR(1/VLOOKUP($R38,Capa!$A:$AJ,BO$5,0)),0,1/VLOOKUP($R38,Capa!$A:$AJ,BO$5,0))))</f>
        <v/>
      </c>
      <c r="BP38" s="174" t="str">
        <f>IF(BP$6="","",IF(BP$3="Maior",iferror(VLOOKUP($R38,Capa!$A:$AJ,BP$5,0),0),IF(ISERROR(1/VLOOKUP($R38,Capa!$A:$AJ,BP$5,0)),0,1/VLOOKUP($R38,Capa!$A:$AJ,BP$5,0))))</f>
        <v/>
      </c>
      <c r="BQ38" s="174" t="str">
        <f>IF(BQ$6="","",IF(BQ$3="Maior",iferror(VLOOKUP($R38,Capa!$A:$AJ,BQ$5,0),0),IF(ISERROR(1/VLOOKUP($R38,Capa!$A:$AJ,BQ$5,0)),0,1/VLOOKUP($R38,Capa!$A:$AJ,BQ$5,0))))</f>
        <v/>
      </c>
      <c r="BR38" s="175"/>
      <c r="BS38" s="147"/>
    </row>
    <row r="39">
      <c r="B39" s="83">
        <f t="shared" si="22"/>
        <v>2</v>
      </c>
      <c r="C39" s="184" t="s">
        <v>36</v>
      </c>
      <c r="D39" s="82" t="b">
        <v>0</v>
      </c>
      <c r="E39" s="185" t="s">
        <v>1748</v>
      </c>
      <c r="F39" s="82">
        <f>MATCH(C39,Capa!$6:$6,0)</f>
        <v>32</v>
      </c>
      <c r="G39" s="11"/>
      <c r="H39" s="8">
        <v>33.0</v>
      </c>
      <c r="I39" s="165" t="str">
        <f t="shared" si="6"/>
        <v>CXSE3</v>
      </c>
      <c r="J39" s="166" t="str">
        <f>(VLOOKUP($I39,Capa!$A:$B,2,0))</f>
        <v>Caixa Seguridade Participacoes SA</v>
      </c>
      <c r="K39" s="167" t="str">
        <f>VLOOKUP(left(I39,4),Setor!A:D,3,0)&amp;" | "&amp;VLOOKUP(left(I39,4),Setor!A:D,4,0)</f>
        <v>Financeiro | Intermediários Financeiros</v>
      </c>
      <c r="L39" s="168">
        <f>(VLOOKUP($I39,Capa!$A:$F,6,0))</f>
        <v>17.73</v>
      </c>
      <c r="M39" s="168">
        <f t="shared" si="7"/>
        <v>73724892</v>
      </c>
      <c r="N39" s="11" t="str">
        <f>IFERROR(__xludf.DUMMYFUNCTION("(VLOOKUP($I39,Capa!$A:$H,7,0))"),"")</f>
        <v/>
      </c>
      <c r="O39" s="169">
        <f>(VLOOKUP($I39,Capa!$A:$H,8,0))</f>
        <v>0.06294964029</v>
      </c>
      <c r="P39" s="11" t="str">
        <f>IFERROR(__xludf.DUMMYFUNCTION("(VLOOKUP($I39,Capa!$A:$J,10,0))"),"")</f>
        <v/>
      </c>
      <c r="Q39" s="169">
        <f>(VLOOKUP($I39,Capa!$A:$K,11,0))</f>
        <v>0.1490602722</v>
      </c>
      <c r="R39" s="45" t="str">
        <f>'Dados StatusInvest'!A34</f>
        <v>AURA33</v>
      </c>
      <c r="S39" s="170">
        <f t="shared" si="8"/>
        <v>439.0439</v>
      </c>
      <c r="T39" s="171">
        <f>VLOOKUP(R39,'Dados StatusInvest'!A:Z,26,0)</f>
        <v>159000000</v>
      </c>
      <c r="U39" s="172">
        <f t="shared" ref="U39:AS39" si="41">IF(AT39="","", RANK(AT39,AT$7:AT$626,0)+RANK(AT39,AT$7:AT$626,0)/10000)</f>
        <v>172.0172</v>
      </c>
      <c r="V39" s="172">
        <f t="shared" si="41"/>
        <v>267.0267</v>
      </c>
      <c r="W39" s="172" t="str">
        <f t="shared" si="41"/>
        <v/>
      </c>
      <c r="X39" s="172" t="str">
        <f t="shared" si="41"/>
        <v/>
      </c>
      <c r="Y39" s="172" t="str">
        <f t="shared" si="41"/>
        <v/>
      </c>
      <c r="Z39" s="172" t="str">
        <f t="shared" si="41"/>
        <v/>
      </c>
      <c r="AA39" s="172" t="str">
        <f t="shared" si="41"/>
        <v/>
      </c>
      <c r="AB39" s="172" t="str">
        <f t="shared" si="41"/>
        <v/>
      </c>
      <c r="AC39" s="172" t="str">
        <f t="shared" si="41"/>
        <v/>
      </c>
      <c r="AD39" s="172" t="str">
        <f t="shared" si="41"/>
        <v/>
      </c>
      <c r="AE39" s="172" t="str">
        <f t="shared" si="41"/>
        <v/>
      </c>
      <c r="AF39" s="172" t="str">
        <f t="shared" si="41"/>
        <v/>
      </c>
      <c r="AG39" s="172" t="str">
        <f t="shared" si="41"/>
        <v/>
      </c>
      <c r="AH39" s="172" t="str">
        <f t="shared" si="41"/>
        <v/>
      </c>
      <c r="AI39" s="172" t="str">
        <f t="shared" si="41"/>
        <v/>
      </c>
      <c r="AJ39" s="172" t="str">
        <f t="shared" si="41"/>
        <v/>
      </c>
      <c r="AK39" s="172" t="str">
        <f t="shared" si="41"/>
        <v/>
      </c>
      <c r="AL39" s="172" t="str">
        <f t="shared" si="41"/>
        <v/>
      </c>
      <c r="AM39" s="172" t="str">
        <f t="shared" si="41"/>
        <v/>
      </c>
      <c r="AN39" s="172" t="str">
        <f t="shared" si="41"/>
        <v/>
      </c>
      <c r="AO39" s="172" t="str">
        <f t="shared" si="41"/>
        <v/>
      </c>
      <c r="AP39" s="172" t="str">
        <f t="shared" si="41"/>
        <v/>
      </c>
      <c r="AQ39" s="172" t="str">
        <f t="shared" si="41"/>
        <v/>
      </c>
      <c r="AR39" s="172" t="str">
        <f t="shared" si="41"/>
        <v/>
      </c>
      <c r="AS39" s="172" t="str">
        <f t="shared" si="41"/>
        <v/>
      </c>
      <c r="AT39" s="173">
        <f>IF(AT$6="","",IF(AT$3="Maior",iferror(VLOOKUP($R39,Capa!$A:$AJ,AT$5,0),0),IF(ISERROR(1/VLOOKUP($R39,Capa!$A:$AJ,AT$5,0)),0,1/VLOOKUP($R39,Capa!$A:$AJ,AT$5,0))))</f>
        <v>-0.1995973611</v>
      </c>
      <c r="AU39" s="174">
        <f>IF(AU$6="","",IF(AU$3="Maior",iferror(VLOOKUP($R39,Capa!$A:$AJ,AU$5,0),0),IF(ISERROR(1/VLOOKUP($R39,Capa!$A:$AJ,AU$5,0)),0,1/VLOOKUP($R39,Capa!$A:$AJ,AU$5,0))))</f>
        <v>0</v>
      </c>
      <c r="AV39" s="174" t="str">
        <f>IF(AV$6="","",IF(AV$3="Maior",iferror(VLOOKUP($R39,Capa!$A:$AJ,AV$5,0),0),IF(ISERROR(1/VLOOKUP($R39,Capa!$A:$AJ,AV$5,0)),0,1/VLOOKUP($R39,Capa!$A:$AJ,AV$5,0))))</f>
        <v/>
      </c>
      <c r="AW39" s="174" t="str">
        <f>IF(AW$6="","",IF(AW$3="Maior",iferror(VLOOKUP($R39,Capa!$A:$AJ,AW$5,0),0),IF(ISERROR(1/VLOOKUP($R39,Capa!$A:$AJ,AW$5,0)),0,1/VLOOKUP($R39,Capa!$A:$AJ,AW$5,0))))</f>
        <v/>
      </c>
      <c r="AX39" s="174" t="str">
        <f>IF(AX$6="","",IF(AX$3="Maior",iferror(VLOOKUP($R39,Capa!$A:$AJ,AX$5,0),0),IF(ISERROR(1/VLOOKUP($R39,Capa!$A:$AJ,AX$5,0)),0,1/VLOOKUP($R39,Capa!$A:$AJ,AX$5,0))))</f>
        <v/>
      </c>
      <c r="AY39" s="174" t="str">
        <f>IF(AY$6="","",IF(AY$3="Maior",iferror(VLOOKUP($R39,Capa!$A:$AJ,AY$5,0),0),IF(ISERROR(1/VLOOKUP($R39,Capa!$A:$AJ,AY$5,0)),0,1/VLOOKUP($R39,Capa!$A:$AJ,AY$5,0))))</f>
        <v/>
      </c>
      <c r="AZ39" s="174" t="str">
        <f>IF(AZ$6="","",IF(AZ$3="Maior",iferror(VLOOKUP($R39,Capa!$A:$AJ,AZ$5,0),0),IF(ISERROR(1/VLOOKUP($R39,Capa!$A:$AJ,AZ$5,0)),0,1/VLOOKUP($R39,Capa!$A:$AJ,AZ$5,0))))</f>
        <v/>
      </c>
      <c r="BA39" s="174" t="str">
        <f>IF(BA$6="","",IF(BA$3="Maior",iferror(VLOOKUP($R39,Capa!$A:$AJ,BA$5,0),0),IF(ISERROR(1/VLOOKUP($R39,Capa!$A:$AJ,BA$5,0)),0,1/VLOOKUP($R39,Capa!$A:$AJ,BA$5,0))))</f>
        <v/>
      </c>
      <c r="BB39" s="174" t="str">
        <f>IF(BB$6="","",IF(BB$3="Maior",iferror(VLOOKUP($R39,Capa!$A:$AJ,BB$5,0),0),IF(ISERROR(1/VLOOKUP($R39,Capa!$A:$AJ,BB$5,0)),0,1/VLOOKUP($R39,Capa!$A:$AJ,BB$5,0))))</f>
        <v/>
      </c>
      <c r="BC39" s="174" t="str">
        <f>IF(BC$6="","",IF(BC$3="Maior",iferror(VLOOKUP($R39,Capa!$A:$AJ,BC$5,0),0),IF(ISERROR(1/VLOOKUP($R39,Capa!$A:$AJ,BC$5,0)),0,1/VLOOKUP($R39,Capa!$A:$AJ,BC$5,0))))</f>
        <v/>
      </c>
      <c r="BD39" s="174" t="str">
        <f>IF(BD$6="","",IF(BD$3="Maior",iferror(VLOOKUP($R39,Capa!$A:$AJ,BD$5,0),0),IF(ISERROR(1/VLOOKUP($R39,Capa!$A:$AJ,BD$5,0)),0,1/VLOOKUP($R39,Capa!$A:$AJ,BD$5,0))))</f>
        <v/>
      </c>
      <c r="BE39" s="174" t="str">
        <f>IF(BE$6="","",IF(BE$3="Maior",iferror(VLOOKUP($R39,Capa!$A:$AJ,BE$5,0),0),IF(ISERROR(1/VLOOKUP($R39,Capa!$A:$AJ,BE$5,0)),0,1/VLOOKUP($R39,Capa!$A:$AJ,BE$5,0))))</f>
        <v/>
      </c>
      <c r="BF39" s="174" t="str">
        <f>IF(BF$6="","",IF(BF$3="Maior",iferror(VLOOKUP($R39,Capa!$A:$AJ,BF$5,0),0),IF(ISERROR(1/VLOOKUP($R39,Capa!$A:$AJ,BF$5,0)),0,1/VLOOKUP($R39,Capa!$A:$AJ,BF$5,0))))</f>
        <v/>
      </c>
      <c r="BG39" s="174" t="str">
        <f>IF(BG$6="","",IF(BG$3="Maior",iferror(VLOOKUP($R39,Capa!$A:$AJ,BG$5,0),0),IF(ISERROR(1/VLOOKUP($R39,Capa!$A:$AJ,BG$5,0)),0,1/VLOOKUP($R39,Capa!$A:$AJ,BG$5,0))))</f>
        <v/>
      </c>
      <c r="BH39" s="174" t="str">
        <f>IF(BH$6="","",IF(BH$3="Maior",iferror(VLOOKUP($R39,Capa!$A:$AJ,BH$5,0),0),IF(ISERROR(1/VLOOKUP($R39,Capa!$A:$AJ,BH$5,0)),0,1/VLOOKUP($R39,Capa!$A:$AJ,BH$5,0))))</f>
        <v/>
      </c>
      <c r="BI39" s="174" t="str">
        <f>IF(BI$6="","",IF(BI$3="Maior",iferror(VLOOKUP($R39,Capa!$A:$AJ,BI$5,0),0),IF(ISERROR(1/VLOOKUP($R39,Capa!$A:$AJ,BI$5,0)),0,1/VLOOKUP($R39,Capa!$A:$AJ,BI$5,0))))</f>
        <v/>
      </c>
      <c r="BJ39" s="174" t="str">
        <f>IF(BJ$6="","",IF(BJ$3="Maior",iferror(VLOOKUP($R39,Capa!$A:$AJ,BJ$5,0),0),IF(ISERROR(1/VLOOKUP($R39,Capa!$A:$AJ,BJ$5,0)),0,1/VLOOKUP($R39,Capa!$A:$AJ,BJ$5,0))))</f>
        <v/>
      </c>
      <c r="BK39" s="174" t="str">
        <f>IF(BK$6="","",IF(BK$3="Maior",iferror(VLOOKUP($R39,Capa!$A:$AJ,BK$5,0),0),IF(ISERROR(1/VLOOKUP($R39,Capa!$A:$AJ,BK$5,0)),0,1/VLOOKUP($R39,Capa!$A:$AJ,BK$5,0))))</f>
        <v/>
      </c>
      <c r="BL39" s="174" t="str">
        <f>IF(BL$6="","",IF(BL$3="Maior",iferror(VLOOKUP($R39,Capa!$A:$AJ,BL$5,0),0),IF(ISERROR(1/VLOOKUP($R39,Capa!$A:$AJ,BL$5,0)),0,1/VLOOKUP($R39,Capa!$A:$AJ,BL$5,0))))</f>
        <v/>
      </c>
      <c r="BM39" s="174" t="str">
        <f>IF(BM$6="","",IF(BM$3="Maior",iferror(VLOOKUP($R39,Capa!$A:$AJ,BM$5,0),0),IF(ISERROR(1/VLOOKUP($R39,Capa!$A:$AJ,BM$5,0)),0,1/VLOOKUP($R39,Capa!$A:$AJ,BM$5,0))))</f>
        <v/>
      </c>
      <c r="BN39" s="174" t="str">
        <f>IF(BN$6="","",IF(BN$3="Maior",iferror(VLOOKUP($R39,Capa!$A:$AJ,BN$5,0),0),IF(ISERROR(1/VLOOKUP($R39,Capa!$A:$AJ,BN$5,0)),0,1/VLOOKUP($R39,Capa!$A:$AJ,BN$5,0))))</f>
        <v/>
      </c>
      <c r="BO39" s="174" t="str">
        <f>IF(BO$6="","",IF(BO$3="Maior",iferror(VLOOKUP($R39,Capa!$A:$AJ,BO$5,0),0),IF(ISERROR(1/VLOOKUP($R39,Capa!$A:$AJ,BO$5,0)),0,1/VLOOKUP($R39,Capa!$A:$AJ,BO$5,0))))</f>
        <v/>
      </c>
      <c r="BP39" s="174" t="str">
        <f>IF(BP$6="","",IF(BP$3="Maior",iferror(VLOOKUP($R39,Capa!$A:$AJ,BP$5,0),0),IF(ISERROR(1/VLOOKUP($R39,Capa!$A:$AJ,BP$5,0)),0,1/VLOOKUP($R39,Capa!$A:$AJ,BP$5,0))))</f>
        <v/>
      </c>
      <c r="BQ39" s="174" t="str">
        <f>IF(BQ$6="","",IF(BQ$3="Maior",iferror(VLOOKUP($R39,Capa!$A:$AJ,BQ$5,0),0),IF(ISERROR(1/VLOOKUP($R39,Capa!$A:$AJ,BQ$5,0)),0,1/VLOOKUP($R39,Capa!$A:$AJ,BQ$5,0))))</f>
        <v/>
      </c>
      <c r="BR39" s="175"/>
      <c r="BS39" s="147"/>
    </row>
    <row r="40">
      <c r="B40" s="83">
        <f t="shared" si="22"/>
        <v>2</v>
      </c>
      <c r="C40" s="184" t="s">
        <v>37</v>
      </c>
      <c r="D40" s="82" t="b">
        <v>0</v>
      </c>
      <c r="E40" s="185" t="s">
        <v>1747</v>
      </c>
      <c r="F40" s="82">
        <f>MATCH(C40,Capa!$6:$6,0)</f>
        <v>33</v>
      </c>
      <c r="G40" s="11"/>
      <c r="H40" s="8">
        <v>34.0</v>
      </c>
      <c r="I40" s="165" t="str">
        <f t="shared" si="6"/>
        <v>CSNA3</v>
      </c>
      <c r="J40" s="166" t="str">
        <f>(VLOOKUP($I40,Capa!$A:$B,2,0))</f>
        <v>Cia Siderurgica Nacional Cedear</v>
      </c>
      <c r="K40" s="167" t="str">
        <f>VLOOKUP(left(I40,4),Setor!A:D,3,0)&amp;" | "&amp;VLOOKUP(left(I40,4),Setor!A:D,4,0)</f>
        <v>Materiais Básicos | Siderurgia e Metalurgia</v>
      </c>
      <c r="L40" s="168">
        <f>(VLOOKUP($I40,Capa!$A:$F,6,0))</f>
        <v>2310</v>
      </c>
      <c r="M40" s="168">
        <f t="shared" si="7"/>
        <v>139000000</v>
      </c>
      <c r="N40" s="11" t="str">
        <f>IFERROR(__xludf.DUMMYFUNCTION("(VLOOKUP($I40,Capa!$A:$H,7,0))"),"")</f>
        <v/>
      </c>
      <c r="O40" s="169">
        <f>(VLOOKUP($I40,Capa!$A:$H,8,0))</f>
        <v>-0.1380597015</v>
      </c>
      <c r="P40" s="11" t="str">
        <f>IFERROR(__xludf.DUMMYFUNCTION("(VLOOKUP($I40,Capa!$A:$J,10,0))"),"")</f>
        <v/>
      </c>
      <c r="Q40" s="169">
        <f>(VLOOKUP($I40,Capa!$A:$K,11,0))</f>
        <v>0.225464191</v>
      </c>
      <c r="R40" s="45" t="str">
        <f>'Dados StatusInvest'!A35</f>
        <v>AURE3</v>
      </c>
      <c r="S40" s="170">
        <f t="shared" si="8"/>
        <v>738.0738</v>
      </c>
      <c r="T40" s="171">
        <f>VLOOKUP(R40,'Dados StatusInvest'!A:Z,26,0)</f>
        <v>58479399</v>
      </c>
      <c r="U40" s="172">
        <f t="shared" ref="U40:AS40" si="42">IF(AT40="","", RANK(AT40,AT$7:AT$626,0)+RANK(AT40,AT$7:AT$626,0)/10000)</f>
        <v>471.0471</v>
      </c>
      <c r="V40" s="172">
        <f t="shared" si="42"/>
        <v>267.0267</v>
      </c>
      <c r="W40" s="172" t="str">
        <f t="shared" si="42"/>
        <v/>
      </c>
      <c r="X40" s="172" t="str">
        <f t="shared" si="42"/>
        <v/>
      </c>
      <c r="Y40" s="172" t="str">
        <f t="shared" si="42"/>
        <v/>
      </c>
      <c r="Z40" s="172" t="str">
        <f t="shared" si="42"/>
        <v/>
      </c>
      <c r="AA40" s="172" t="str">
        <f t="shared" si="42"/>
        <v/>
      </c>
      <c r="AB40" s="172" t="str">
        <f t="shared" si="42"/>
        <v/>
      </c>
      <c r="AC40" s="172" t="str">
        <f t="shared" si="42"/>
        <v/>
      </c>
      <c r="AD40" s="172" t="str">
        <f t="shared" si="42"/>
        <v/>
      </c>
      <c r="AE40" s="172" t="str">
        <f t="shared" si="42"/>
        <v/>
      </c>
      <c r="AF40" s="172" t="str">
        <f t="shared" si="42"/>
        <v/>
      </c>
      <c r="AG40" s="172" t="str">
        <f t="shared" si="42"/>
        <v/>
      </c>
      <c r="AH40" s="172" t="str">
        <f t="shared" si="42"/>
        <v/>
      </c>
      <c r="AI40" s="172" t="str">
        <f t="shared" si="42"/>
        <v/>
      </c>
      <c r="AJ40" s="172" t="str">
        <f t="shared" si="42"/>
        <v/>
      </c>
      <c r="AK40" s="172" t="str">
        <f t="shared" si="42"/>
        <v/>
      </c>
      <c r="AL40" s="172" t="str">
        <f t="shared" si="42"/>
        <v/>
      </c>
      <c r="AM40" s="172" t="str">
        <f t="shared" si="42"/>
        <v/>
      </c>
      <c r="AN40" s="172" t="str">
        <f t="shared" si="42"/>
        <v/>
      </c>
      <c r="AO40" s="172" t="str">
        <f t="shared" si="42"/>
        <v/>
      </c>
      <c r="AP40" s="172" t="str">
        <f t="shared" si="42"/>
        <v/>
      </c>
      <c r="AQ40" s="172" t="str">
        <f t="shared" si="42"/>
        <v/>
      </c>
      <c r="AR40" s="172" t="str">
        <f t="shared" si="42"/>
        <v/>
      </c>
      <c r="AS40" s="172" t="str">
        <f t="shared" si="42"/>
        <v/>
      </c>
      <c r="AT40" s="173">
        <f>IF(AT$6="","",IF(AT$3="Maior",iferror(VLOOKUP($R40,Capa!$A:$AJ,AT$5,0),0),IF(ISERROR(1/VLOOKUP($R40,Capa!$A:$AJ,AT$5,0)),0,1/VLOOKUP($R40,Capa!$A:$AJ,AT$5,0))))</f>
        <v>-2.391644484</v>
      </c>
      <c r="AU40" s="174">
        <f>IF(AU$6="","",IF(AU$3="Maior",iferror(VLOOKUP($R40,Capa!$A:$AJ,AU$5,0),0),IF(ISERROR(1/VLOOKUP($R40,Capa!$A:$AJ,AU$5,0)),0,1/VLOOKUP($R40,Capa!$A:$AJ,AU$5,0))))</f>
        <v>0</v>
      </c>
      <c r="AV40" s="174" t="str">
        <f>IF(AV$6="","",IF(AV$3="Maior",iferror(VLOOKUP($R40,Capa!$A:$AJ,AV$5,0),0),IF(ISERROR(1/VLOOKUP($R40,Capa!$A:$AJ,AV$5,0)),0,1/VLOOKUP($R40,Capa!$A:$AJ,AV$5,0))))</f>
        <v/>
      </c>
      <c r="AW40" s="174" t="str">
        <f>IF(AW$6="","",IF(AW$3="Maior",iferror(VLOOKUP($R40,Capa!$A:$AJ,AW$5,0),0),IF(ISERROR(1/VLOOKUP($R40,Capa!$A:$AJ,AW$5,0)),0,1/VLOOKUP($R40,Capa!$A:$AJ,AW$5,0))))</f>
        <v/>
      </c>
      <c r="AX40" s="174" t="str">
        <f>IF(AX$6="","",IF(AX$3="Maior",iferror(VLOOKUP($R40,Capa!$A:$AJ,AX$5,0),0),IF(ISERROR(1/VLOOKUP($R40,Capa!$A:$AJ,AX$5,0)),0,1/VLOOKUP($R40,Capa!$A:$AJ,AX$5,0))))</f>
        <v/>
      </c>
      <c r="AY40" s="174" t="str">
        <f>IF(AY$6="","",IF(AY$3="Maior",iferror(VLOOKUP($R40,Capa!$A:$AJ,AY$5,0),0),IF(ISERROR(1/VLOOKUP($R40,Capa!$A:$AJ,AY$5,0)),0,1/VLOOKUP($R40,Capa!$A:$AJ,AY$5,0))))</f>
        <v/>
      </c>
      <c r="AZ40" s="174" t="str">
        <f>IF(AZ$6="","",IF(AZ$3="Maior",iferror(VLOOKUP($R40,Capa!$A:$AJ,AZ$5,0),0),IF(ISERROR(1/VLOOKUP($R40,Capa!$A:$AJ,AZ$5,0)),0,1/VLOOKUP($R40,Capa!$A:$AJ,AZ$5,0))))</f>
        <v/>
      </c>
      <c r="BA40" s="174" t="str">
        <f>IF(BA$6="","",IF(BA$3="Maior",iferror(VLOOKUP($R40,Capa!$A:$AJ,BA$5,0),0),IF(ISERROR(1/VLOOKUP($R40,Capa!$A:$AJ,BA$5,0)),0,1/VLOOKUP($R40,Capa!$A:$AJ,BA$5,0))))</f>
        <v/>
      </c>
      <c r="BB40" s="174" t="str">
        <f>IF(BB$6="","",IF(BB$3="Maior",iferror(VLOOKUP($R40,Capa!$A:$AJ,BB$5,0),0),IF(ISERROR(1/VLOOKUP($R40,Capa!$A:$AJ,BB$5,0)),0,1/VLOOKUP($R40,Capa!$A:$AJ,BB$5,0))))</f>
        <v/>
      </c>
      <c r="BC40" s="174" t="str">
        <f>IF(BC$6="","",IF(BC$3="Maior",iferror(VLOOKUP($R40,Capa!$A:$AJ,BC$5,0),0),IF(ISERROR(1/VLOOKUP($R40,Capa!$A:$AJ,BC$5,0)),0,1/VLOOKUP($R40,Capa!$A:$AJ,BC$5,0))))</f>
        <v/>
      </c>
      <c r="BD40" s="174" t="str">
        <f>IF(BD$6="","",IF(BD$3="Maior",iferror(VLOOKUP($R40,Capa!$A:$AJ,BD$5,0),0),IF(ISERROR(1/VLOOKUP($R40,Capa!$A:$AJ,BD$5,0)),0,1/VLOOKUP($R40,Capa!$A:$AJ,BD$5,0))))</f>
        <v/>
      </c>
      <c r="BE40" s="174" t="str">
        <f>IF(BE$6="","",IF(BE$3="Maior",iferror(VLOOKUP($R40,Capa!$A:$AJ,BE$5,0),0),IF(ISERROR(1/VLOOKUP($R40,Capa!$A:$AJ,BE$5,0)),0,1/VLOOKUP($R40,Capa!$A:$AJ,BE$5,0))))</f>
        <v/>
      </c>
      <c r="BF40" s="174" t="str">
        <f>IF(BF$6="","",IF(BF$3="Maior",iferror(VLOOKUP($R40,Capa!$A:$AJ,BF$5,0),0),IF(ISERROR(1/VLOOKUP($R40,Capa!$A:$AJ,BF$5,0)),0,1/VLOOKUP($R40,Capa!$A:$AJ,BF$5,0))))</f>
        <v/>
      </c>
      <c r="BG40" s="174" t="str">
        <f>IF(BG$6="","",IF(BG$3="Maior",iferror(VLOOKUP($R40,Capa!$A:$AJ,BG$5,0),0),IF(ISERROR(1/VLOOKUP($R40,Capa!$A:$AJ,BG$5,0)),0,1/VLOOKUP($R40,Capa!$A:$AJ,BG$5,0))))</f>
        <v/>
      </c>
      <c r="BH40" s="174" t="str">
        <f>IF(BH$6="","",IF(BH$3="Maior",iferror(VLOOKUP($R40,Capa!$A:$AJ,BH$5,0),0),IF(ISERROR(1/VLOOKUP($R40,Capa!$A:$AJ,BH$5,0)),0,1/VLOOKUP($R40,Capa!$A:$AJ,BH$5,0))))</f>
        <v/>
      </c>
      <c r="BI40" s="174" t="str">
        <f>IF(BI$6="","",IF(BI$3="Maior",iferror(VLOOKUP($R40,Capa!$A:$AJ,BI$5,0),0),IF(ISERROR(1/VLOOKUP($R40,Capa!$A:$AJ,BI$5,0)),0,1/VLOOKUP($R40,Capa!$A:$AJ,BI$5,0))))</f>
        <v/>
      </c>
      <c r="BJ40" s="174" t="str">
        <f>IF(BJ$6="","",IF(BJ$3="Maior",iferror(VLOOKUP($R40,Capa!$A:$AJ,BJ$5,0),0),IF(ISERROR(1/VLOOKUP($R40,Capa!$A:$AJ,BJ$5,0)),0,1/VLOOKUP($R40,Capa!$A:$AJ,BJ$5,0))))</f>
        <v/>
      </c>
      <c r="BK40" s="174" t="str">
        <f>IF(BK$6="","",IF(BK$3="Maior",iferror(VLOOKUP($R40,Capa!$A:$AJ,BK$5,0),0),IF(ISERROR(1/VLOOKUP($R40,Capa!$A:$AJ,BK$5,0)),0,1/VLOOKUP($R40,Capa!$A:$AJ,BK$5,0))))</f>
        <v/>
      </c>
      <c r="BL40" s="174" t="str">
        <f>IF(BL$6="","",IF(BL$3="Maior",iferror(VLOOKUP($R40,Capa!$A:$AJ,BL$5,0),0),IF(ISERROR(1/VLOOKUP($R40,Capa!$A:$AJ,BL$5,0)),0,1/VLOOKUP($R40,Capa!$A:$AJ,BL$5,0))))</f>
        <v/>
      </c>
      <c r="BM40" s="174" t="str">
        <f>IF(BM$6="","",IF(BM$3="Maior",iferror(VLOOKUP($R40,Capa!$A:$AJ,BM$5,0),0),IF(ISERROR(1/VLOOKUP($R40,Capa!$A:$AJ,BM$5,0)),0,1/VLOOKUP($R40,Capa!$A:$AJ,BM$5,0))))</f>
        <v/>
      </c>
      <c r="BN40" s="174" t="str">
        <f>IF(BN$6="","",IF(BN$3="Maior",iferror(VLOOKUP($R40,Capa!$A:$AJ,BN$5,0),0),IF(ISERROR(1/VLOOKUP($R40,Capa!$A:$AJ,BN$5,0)),0,1/VLOOKUP($R40,Capa!$A:$AJ,BN$5,0))))</f>
        <v/>
      </c>
      <c r="BO40" s="174" t="str">
        <f>IF(BO$6="","",IF(BO$3="Maior",iferror(VLOOKUP($R40,Capa!$A:$AJ,BO$5,0),0),IF(ISERROR(1/VLOOKUP($R40,Capa!$A:$AJ,BO$5,0)),0,1/VLOOKUP($R40,Capa!$A:$AJ,BO$5,0))))</f>
        <v/>
      </c>
      <c r="BP40" s="174" t="str">
        <f>IF(BP$6="","",IF(BP$3="Maior",iferror(VLOOKUP($R40,Capa!$A:$AJ,BP$5,0),0),IF(ISERROR(1/VLOOKUP($R40,Capa!$A:$AJ,BP$5,0)),0,1/VLOOKUP($R40,Capa!$A:$AJ,BP$5,0))))</f>
        <v/>
      </c>
      <c r="BQ40" s="174" t="str">
        <f>IF(BQ$6="","",IF(BQ$3="Maior",iferror(VLOOKUP($R40,Capa!$A:$AJ,BQ$5,0),0),IF(ISERROR(1/VLOOKUP($R40,Capa!$A:$AJ,BQ$5,0)),0,1/VLOOKUP($R40,Capa!$A:$AJ,BQ$5,0))))</f>
        <v/>
      </c>
      <c r="BR40" s="175"/>
      <c r="BS40" s="147"/>
    </row>
    <row r="41">
      <c r="B41" s="83">
        <f t="shared" si="22"/>
        <v>2</v>
      </c>
      <c r="C41" s="184" t="s">
        <v>38</v>
      </c>
      <c r="D41" s="82" t="b">
        <v>0</v>
      </c>
      <c r="E41" s="185" t="s">
        <v>1747</v>
      </c>
      <c r="F41" s="82">
        <f>MATCH(C41,Capa!$6:$6,0)</f>
        <v>34</v>
      </c>
      <c r="G41" s="11"/>
      <c r="H41" s="8">
        <v>35.0</v>
      </c>
      <c r="I41" s="165" t="str">
        <f t="shared" si="6"/>
        <v>SUZB3</v>
      </c>
      <c r="J41" s="166" t="str">
        <f>(VLOOKUP($I41,Capa!$A:$B,2,0))</f>
        <v>Suzano Cedear</v>
      </c>
      <c r="K41" s="167" t="str">
        <f>VLOOKUP(left(I41,4),Setor!A:D,3,0)&amp;" | "&amp;VLOOKUP(left(I41,4),Setor!A:D,4,0)</f>
        <v>Materiais Básicos | Madeira e Papel</v>
      </c>
      <c r="L41" s="168">
        <f>(VLOOKUP($I41,Capa!$A:$F,6,0))</f>
        <v>15940</v>
      </c>
      <c r="M41" s="168">
        <f t="shared" si="7"/>
        <v>432000000</v>
      </c>
      <c r="N41" s="177" t="str">
        <f>IFERROR(__xludf.DUMMYFUNCTION("(VLOOKUP($I41,Capa!$A:$H,7,0))"),"")</f>
        <v/>
      </c>
      <c r="O41" s="169">
        <f>(VLOOKUP($I41,Capa!$A:$H,8,0))</f>
        <v>0.08509189925</v>
      </c>
      <c r="P41" s="169" t="str">
        <f>IFERROR(__xludf.DUMMYFUNCTION("(VLOOKUP($I41,Capa!$A:$J,10,0))"),"")</f>
        <v/>
      </c>
      <c r="Q41" s="169">
        <f>(VLOOKUP($I41,Capa!$A:$K,11,0))</f>
        <v>0.285483871</v>
      </c>
      <c r="R41" s="45" t="str">
        <f>'Dados StatusInvest'!A36</f>
        <v>AVLL3</v>
      </c>
      <c r="S41" s="170">
        <f t="shared" si="8"/>
        <v>1780.078</v>
      </c>
      <c r="T41" s="171">
        <f>VLOOKUP(R41,'Dados StatusInvest'!A:Z,26,0)</f>
        <v>11173.05</v>
      </c>
      <c r="U41" s="172">
        <f t="shared" ref="U41:AS41" si="43">IF(AT41="","", RANK(AT41,AT$7:AT$626,0)+RANK(AT41,AT$7:AT$626,0)/10000)</f>
        <v>513.0513</v>
      </c>
      <c r="V41" s="172">
        <f t="shared" si="43"/>
        <v>267.0267</v>
      </c>
      <c r="W41" s="172" t="str">
        <f t="shared" si="43"/>
        <v/>
      </c>
      <c r="X41" s="172" t="str">
        <f t="shared" si="43"/>
        <v/>
      </c>
      <c r="Y41" s="172" t="str">
        <f t="shared" si="43"/>
        <v/>
      </c>
      <c r="Z41" s="172" t="str">
        <f t="shared" si="43"/>
        <v/>
      </c>
      <c r="AA41" s="172" t="str">
        <f t="shared" si="43"/>
        <v/>
      </c>
      <c r="AB41" s="172" t="str">
        <f t="shared" si="43"/>
        <v/>
      </c>
      <c r="AC41" s="172" t="str">
        <f t="shared" si="43"/>
        <v/>
      </c>
      <c r="AD41" s="172" t="str">
        <f t="shared" si="43"/>
        <v/>
      </c>
      <c r="AE41" s="172" t="str">
        <f t="shared" si="43"/>
        <v/>
      </c>
      <c r="AF41" s="172" t="str">
        <f t="shared" si="43"/>
        <v/>
      </c>
      <c r="AG41" s="172" t="str">
        <f t="shared" si="43"/>
        <v/>
      </c>
      <c r="AH41" s="172" t="str">
        <f t="shared" si="43"/>
        <v/>
      </c>
      <c r="AI41" s="172" t="str">
        <f t="shared" si="43"/>
        <v/>
      </c>
      <c r="AJ41" s="172" t="str">
        <f t="shared" si="43"/>
        <v/>
      </c>
      <c r="AK41" s="172" t="str">
        <f t="shared" si="43"/>
        <v/>
      </c>
      <c r="AL41" s="172" t="str">
        <f t="shared" si="43"/>
        <v/>
      </c>
      <c r="AM41" s="172" t="str">
        <f t="shared" si="43"/>
        <v/>
      </c>
      <c r="AN41" s="172" t="str">
        <f t="shared" si="43"/>
        <v/>
      </c>
      <c r="AO41" s="172" t="str">
        <f t="shared" si="43"/>
        <v/>
      </c>
      <c r="AP41" s="172" t="str">
        <f t="shared" si="43"/>
        <v/>
      </c>
      <c r="AQ41" s="172" t="str">
        <f t="shared" si="43"/>
        <v/>
      </c>
      <c r="AR41" s="172" t="str">
        <f t="shared" si="43"/>
        <v/>
      </c>
      <c r="AS41" s="172" t="str">
        <f t="shared" si="43"/>
        <v/>
      </c>
      <c r="AT41" s="173">
        <f>IF(AT$6="","",IF(AT$3="Maior",iferror(VLOOKUP($R41,Capa!$A:$AJ,AT$5,0),0),IF(ISERROR(1/VLOOKUP($R41,Capa!$A:$AJ,AT$5,0)),0,1/VLOOKUP($R41,Capa!$A:$AJ,AT$5,0))))</f>
        <v>-3.653169014</v>
      </c>
      <c r="AU41" s="174">
        <f>IF(AU$6="","",IF(AU$3="Maior",iferror(VLOOKUP($R41,Capa!$A:$AJ,AU$5,0),0),IF(ISERROR(1/VLOOKUP($R41,Capa!$A:$AJ,AU$5,0)),0,1/VLOOKUP($R41,Capa!$A:$AJ,AU$5,0))))</f>
        <v>0</v>
      </c>
      <c r="AV41" s="174" t="str">
        <f>IF(AV$6="","",IF(AV$3="Maior",iferror(VLOOKUP($R41,Capa!$A:$AJ,AV$5,0),0),IF(ISERROR(1/VLOOKUP($R41,Capa!$A:$AJ,AV$5,0)),0,1/VLOOKUP($R41,Capa!$A:$AJ,AV$5,0))))</f>
        <v/>
      </c>
      <c r="AW41" s="174" t="str">
        <f>IF(AW$6="","",IF(AW$3="Maior",iferror(VLOOKUP($R41,Capa!$A:$AJ,AW$5,0),0),IF(ISERROR(1/VLOOKUP($R41,Capa!$A:$AJ,AW$5,0)),0,1/VLOOKUP($R41,Capa!$A:$AJ,AW$5,0))))</f>
        <v/>
      </c>
      <c r="AX41" s="174" t="str">
        <f>IF(AX$6="","",IF(AX$3="Maior",iferror(VLOOKUP($R41,Capa!$A:$AJ,AX$5,0),0),IF(ISERROR(1/VLOOKUP($R41,Capa!$A:$AJ,AX$5,0)),0,1/VLOOKUP($R41,Capa!$A:$AJ,AX$5,0))))</f>
        <v/>
      </c>
      <c r="AY41" s="174" t="str">
        <f>IF(AY$6="","",IF(AY$3="Maior",iferror(VLOOKUP($R41,Capa!$A:$AJ,AY$5,0),0),IF(ISERROR(1/VLOOKUP($R41,Capa!$A:$AJ,AY$5,0)),0,1/VLOOKUP($R41,Capa!$A:$AJ,AY$5,0))))</f>
        <v/>
      </c>
      <c r="AZ41" s="174" t="str">
        <f>IF(AZ$6="","",IF(AZ$3="Maior",iferror(VLOOKUP($R41,Capa!$A:$AJ,AZ$5,0),0),IF(ISERROR(1/VLOOKUP($R41,Capa!$A:$AJ,AZ$5,0)),0,1/VLOOKUP($R41,Capa!$A:$AJ,AZ$5,0))))</f>
        <v/>
      </c>
      <c r="BA41" s="174" t="str">
        <f>IF(BA$6="","",IF(BA$3="Maior",iferror(VLOOKUP($R41,Capa!$A:$AJ,BA$5,0),0),IF(ISERROR(1/VLOOKUP($R41,Capa!$A:$AJ,BA$5,0)),0,1/VLOOKUP($R41,Capa!$A:$AJ,BA$5,0))))</f>
        <v/>
      </c>
      <c r="BB41" s="174" t="str">
        <f>IF(BB$6="","",IF(BB$3="Maior",iferror(VLOOKUP($R41,Capa!$A:$AJ,BB$5,0),0),IF(ISERROR(1/VLOOKUP($R41,Capa!$A:$AJ,BB$5,0)),0,1/VLOOKUP($R41,Capa!$A:$AJ,BB$5,0))))</f>
        <v/>
      </c>
      <c r="BC41" s="174" t="str">
        <f>IF(BC$6="","",IF(BC$3="Maior",iferror(VLOOKUP($R41,Capa!$A:$AJ,BC$5,0),0),IF(ISERROR(1/VLOOKUP($R41,Capa!$A:$AJ,BC$5,0)),0,1/VLOOKUP($R41,Capa!$A:$AJ,BC$5,0))))</f>
        <v/>
      </c>
      <c r="BD41" s="174" t="str">
        <f>IF(BD$6="","",IF(BD$3="Maior",iferror(VLOOKUP($R41,Capa!$A:$AJ,BD$5,0),0),IF(ISERROR(1/VLOOKUP($R41,Capa!$A:$AJ,BD$5,0)),0,1/VLOOKUP($R41,Capa!$A:$AJ,BD$5,0))))</f>
        <v/>
      </c>
      <c r="BE41" s="174" t="str">
        <f>IF(BE$6="","",IF(BE$3="Maior",iferror(VLOOKUP($R41,Capa!$A:$AJ,BE$5,0),0),IF(ISERROR(1/VLOOKUP($R41,Capa!$A:$AJ,BE$5,0)),0,1/VLOOKUP($R41,Capa!$A:$AJ,BE$5,0))))</f>
        <v/>
      </c>
      <c r="BF41" s="174" t="str">
        <f>IF(BF$6="","",IF(BF$3="Maior",iferror(VLOOKUP($R41,Capa!$A:$AJ,BF$5,0),0),IF(ISERROR(1/VLOOKUP($R41,Capa!$A:$AJ,BF$5,0)),0,1/VLOOKUP($R41,Capa!$A:$AJ,BF$5,0))))</f>
        <v/>
      </c>
      <c r="BG41" s="174" t="str">
        <f>IF(BG$6="","",IF(BG$3="Maior",iferror(VLOOKUP($R41,Capa!$A:$AJ,BG$5,0),0),IF(ISERROR(1/VLOOKUP($R41,Capa!$A:$AJ,BG$5,0)),0,1/VLOOKUP($R41,Capa!$A:$AJ,BG$5,0))))</f>
        <v/>
      </c>
      <c r="BH41" s="174" t="str">
        <f>IF(BH$6="","",IF(BH$3="Maior",iferror(VLOOKUP($R41,Capa!$A:$AJ,BH$5,0),0),IF(ISERROR(1/VLOOKUP($R41,Capa!$A:$AJ,BH$5,0)),0,1/VLOOKUP($R41,Capa!$A:$AJ,BH$5,0))))</f>
        <v/>
      </c>
      <c r="BI41" s="174" t="str">
        <f>IF(BI$6="","",IF(BI$3="Maior",iferror(VLOOKUP($R41,Capa!$A:$AJ,BI$5,0),0),IF(ISERROR(1/VLOOKUP($R41,Capa!$A:$AJ,BI$5,0)),0,1/VLOOKUP($R41,Capa!$A:$AJ,BI$5,0))))</f>
        <v/>
      </c>
      <c r="BJ41" s="174" t="str">
        <f>IF(BJ$6="","",IF(BJ$3="Maior",iferror(VLOOKUP($R41,Capa!$A:$AJ,BJ$5,0),0),IF(ISERROR(1/VLOOKUP($R41,Capa!$A:$AJ,BJ$5,0)),0,1/VLOOKUP($R41,Capa!$A:$AJ,BJ$5,0))))</f>
        <v/>
      </c>
      <c r="BK41" s="174" t="str">
        <f>IF(BK$6="","",IF(BK$3="Maior",iferror(VLOOKUP($R41,Capa!$A:$AJ,BK$5,0),0),IF(ISERROR(1/VLOOKUP($R41,Capa!$A:$AJ,BK$5,0)),0,1/VLOOKUP($R41,Capa!$A:$AJ,BK$5,0))))</f>
        <v/>
      </c>
      <c r="BL41" s="174" t="str">
        <f>IF(BL$6="","",IF(BL$3="Maior",iferror(VLOOKUP($R41,Capa!$A:$AJ,BL$5,0),0),IF(ISERROR(1/VLOOKUP($R41,Capa!$A:$AJ,BL$5,0)),0,1/VLOOKUP($R41,Capa!$A:$AJ,BL$5,0))))</f>
        <v/>
      </c>
      <c r="BM41" s="174" t="str">
        <f>IF(BM$6="","",IF(BM$3="Maior",iferror(VLOOKUP($R41,Capa!$A:$AJ,BM$5,0),0),IF(ISERROR(1/VLOOKUP($R41,Capa!$A:$AJ,BM$5,0)),0,1/VLOOKUP($R41,Capa!$A:$AJ,BM$5,0))))</f>
        <v/>
      </c>
      <c r="BN41" s="174" t="str">
        <f>IF(BN$6="","",IF(BN$3="Maior",iferror(VLOOKUP($R41,Capa!$A:$AJ,BN$5,0),0),IF(ISERROR(1/VLOOKUP($R41,Capa!$A:$AJ,BN$5,0)),0,1/VLOOKUP($R41,Capa!$A:$AJ,BN$5,0))))</f>
        <v/>
      </c>
      <c r="BO41" s="174" t="str">
        <f>IF(BO$6="","",IF(BO$3="Maior",iferror(VLOOKUP($R41,Capa!$A:$AJ,BO$5,0),0),IF(ISERROR(1/VLOOKUP($R41,Capa!$A:$AJ,BO$5,0)),0,1/VLOOKUP($R41,Capa!$A:$AJ,BO$5,0))))</f>
        <v/>
      </c>
      <c r="BP41" s="174" t="str">
        <f>IF(BP$6="","",IF(BP$3="Maior",iferror(VLOOKUP($R41,Capa!$A:$AJ,BP$5,0),0),IF(ISERROR(1/VLOOKUP($R41,Capa!$A:$AJ,BP$5,0)),0,1/VLOOKUP($R41,Capa!$A:$AJ,BP$5,0))))</f>
        <v/>
      </c>
      <c r="BQ41" s="174" t="str">
        <f>IF(BQ$6="","",IF(BQ$3="Maior",iferror(VLOOKUP($R41,Capa!$A:$AJ,BQ$5,0),0),IF(ISERROR(1/VLOOKUP($R41,Capa!$A:$AJ,BQ$5,0)),0,1/VLOOKUP($R41,Capa!$A:$AJ,BQ$5,0))))</f>
        <v/>
      </c>
      <c r="BR41" s="175"/>
      <c r="BS41" s="147"/>
    </row>
    <row r="42">
      <c r="B42" s="83">
        <f t="shared" si="22"/>
        <v>2</v>
      </c>
      <c r="C42" s="186" t="s">
        <v>39</v>
      </c>
      <c r="D42" s="187" t="b">
        <v>0</v>
      </c>
      <c r="E42" s="188" t="s">
        <v>1747</v>
      </c>
      <c r="F42" s="82">
        <f>MATCH(C42,Capa!$6:$6,0)</f>
        <v>35</v>
      </c>
      <c r="G42" s="11"/>
      <c r="H42" s="8">
        <v>36.0</v>
      </c>
      <c r="I42" s="165" t="str">
        <f t="shared" si="6"/>
        <v>NATU3</v>
      </c>
      <c r="J42" s="166" t="str">
        <f>(VLOOKUP($I42,Capa!$A:$B,2,0))</f>
        <v>Natura &amp; Co Holding Cedear</v>
      </c>
      <c r="K42" s="167" t="str">
        <f>VLOOKUP(left(I42,4),Setor!A:D,3,0)&amp;" | "&amp;VLOOKUP(left(I42,4),Setor!A:D,4,0)</f>
        <v>#N/A</v>
      </c>
      <c r="L42" s="168">
        <f>(VLOOKUP($I42,Capa!$A:$F,6,0))</f>
        <v>2552.5</v>
      </c>
      <c r="M42" s="168">
        <f t="shared" si="7"/>
        <v>77440422</v>
      </c>
      <c r="N42" s="11" t="str">
        <f>IFERROR(__xludf.DUMMYFUNCTION("(VLOOKUP($I42,Capa!$A:$H,7,0))"),"")</f>
        <v/>
      </c>
      <c r="O42" s="169">
        <f>(VLOOKUP($I42,Capa!$A:$H,8,0))</f>
        <v>0.2017419962</v>
      </c>
      <c r="P42" s="11" t="str">
        <f>IFERROR(__xludf.DUMMYFUNCTION("(VLOOKUP($I42,Capa!$A:$J,10,0))"),"")</f>
        <v/>
      </c>
      <c r="Q42" s="169" t="str">
        <f>(VLOOKUP($I42,Capa!$A:$K,11,0))</f>
        <v/>
      </c>
      <c r="R42" s="45" t="str">
        <f>'Dados StatusInvest'!A37</f>
        <v>AXIA3</v>
      </c>
      <c r="S42" s="170">
        <f t="shared" si="8"/>
        <v>643.0643</v>
      </c>
      <c r="T42" s="171">
        <f>VLOOKUP(R42,'Dados StatusInvest'!A:Z,26,0)</f>
        <v>687000000</v>
      </c>
      <c r="U42" s="172">
        <f t="shared" ref="U42:AS42" si="44">IF(AT42="","", RANK(AT42,AT$7:AT$626,0)+RANK(AT42,AT$7:AT$626,0)/10000)</f>
        <v>376.0376</v>
      </c>
      <c r="V42" s="172">
        <f t="shared" si="44"/>
        <v>267.0267</v>
      </c>
      <c r="W42" s="172" t="str">
        <f t="shared" si="44"/>
        <v/>
      </c>
      <c r="X42" s="172" t="str">
        <f t="shared" si="44"/>
        <v/>
      </c>
      <c r="Y42" s="172" t="str">
        <f t="shared" si="44"/>
        <v/>
      </c>
      <c r="Z42" s="172" t="str">
        <f t="shared" si="44"/>
        <v/>
      </c>
      <c r="AA42" s="172" t="str">
        <f t="shared" si="44"/>
        <v/>
      </c>
      <c r="AB42" s="172" t="str">
        <f t="shared" si="44"/>
        <v/>
      </c>
      <c r="AC42" s="172" t="str">
        <f t="shared" si="44"/>
        <v/>
      </c>
      <c r="AD42" s="172" t="str">
        <f t="shared" si="44"/>
        <v/>
      </c>
      <c r="AE42" s="172" t="str">
        <f t="shared" si="44"/>
        <v/>
      </c>
      <c r="AF42" s="172" t="str">
        <f t="shared" si="44"/>
        <v/>
      </c>
      <c r="AG42" s="172" t="str">
        <f t="shared" si="44"/>
        <v/>
      </c>
      <c r="AH42" s="172" t="str">
        <f t="shared" si="44"/>
        <v/>
      </c>
      <c r="AI42" s="172" t="str">
        <f t="shared" si="44"/>
        <v/>
      </c>
      <c r="AJ42" s="172" t="str">
        <f t="shared" si="44"/>
        <v/>
      </c>
      <c r="AK42" s="172" t="str">
        <f t="shared" si="44"/>
        <v/>
      </c>
      <c r="AL42" s="172" t="str">
        <f t="shared" si="44"/>
        <v/>
      </c>
      <c r="AM42" s="172" t="str">
        <f t="shared" si="44"/>
        <v/>
      </c>
      <c r="AN42" s="172" t="str">
        <f t="shared" si="44"/>
        <v/>
      </c>
      <c r="AO42" s="172" t="str">
        <f t="shared" si="44"/>
        <v/>
      </c>
      <c r="AP42" s="172" t="str">
        <f t="shared" si="44"/>
        <v/>
      </c>
      <c r="AQ42" s="172" t="str">
        <f t="shared" si="44"/>
        <v/>
      </c>
      <c r="AR42" s="172" t="str">
        <f t="shared" si="44"/>
        <v/>
      </c>
      <c r="AS42" s="172" t="str">
        <f t="shared" si="44"/>
        <v/>
      </c>
      <c r="AT42" s="173">
        <f>IF(AT$6="","",IF(AT$3="Maior",iferror(VLOOKUP($R42,Capa!$A:$AJ,AT$5,0),0),IF(ISERROR(1/VLOOKUP($R42,Capa!$A:$AJ,AT$5,0)),0,1/VLOOKUP($R42,Capa!$A:$AJ,AT$5,0))))</f>
        <v>-1.160871166</v>
      </c>
      <c r="AU42" s="174">
        <f>IF(AU$6="","",IF(AU$3="Maior",iferror(VLOOKUP($R42,Capa!$A:$AJ,AU$5,0),0),IF(ISERROR(1/VLOOKUP($R42,Capa!$A:$AJ,AU$5,0)),0,1/VLOOKUP($R42,Capa!$A:$AJ,AU$5,0))))</f>
        <v>0</v>
      </c>
      <c r="AV42" s="174" t="str">
        <f>IF(AV$6="","",IF(AV$3="Maior",iferror(VLOOKUP($R42,Capa!$A:$AJ,AV$5,0),0),IF(ISERROR(1/VLOOKUP($R42,Capa!$A:$AJ,AV$5,0)),0,1/VLOOKUP($R42,Capa!$A:$AJ,AV$5,0))))</f>
        <v/>
      </c>
      <c r="AW42" s="174" t="str">
        <f>IF(AW$6="","",IF(AW$3="Maior",iferror(VLOOKUP($R42,Capa!$A:$AJ,AW$5,0),0),IF(ISERROR(1/VLOOKUP($R42,Capa!$A:$AJ,AW$5,0)),0,1/VLOOKUP($R42,Capa!$A:$AJ,AW$5,0))))</f>
        <v/>
      </c>
      <c r="AX42" s="174" t="str">
        <f>IF(AX$6="","",IF(AX$3="Maior",iferror(VLOOKUP($R42,Capa!$A:$AJ,AX$5,0),0),IF(ISERROR(1/VLOOKUP($R42,Capa!$A:$AJ,AX$5,0)),0,1/VLOOKUP($R42,Capa!$A:$AJ,AX$5,0))))</f>
        <v/>
      </c>
      <c r="AY42" s="174" t="str">
        <f>IF(AY$6="","",IF(AY$3="Maior",iferror(VLOOKUP($R42,Capa!$A:$AJ,AY$5,0),0),IF(ISERROR(1/VLOOKUP($R42,Capa!$A:$AJ,AY$5,0)),0,1/VLOOKUP($R42,Capa!$A:$AJ,AY$5,0))))</f>
        <v/>
      </c>
      <c r="AZ42" s="174" t="str">
        <f>IF(AZ$6="","",IF(AZ$3="Maior",iferror(VLOOKUP($R42,Capa!$A:$AJ,AZ$5,0),0),IF(ISERROR(1/VLOOKUP($R42,Capa!$A:$AJ,AZ$5,0)),0,1/VLOOKUP($R42,Capa!$A:$AJ,AZ$5,0))))</f>
        <v/>
      </c>
      <c r="BA42" s="174" t="str">
        <f>IF(BA$6="","",IF(BA$3="Maior",iferror(VLOOKUP($R42,Capa!$A:$AJ,BA$5,0),0),IF(ISERROR(1/VLOOKUP($R42,Capa!$A:$AJ,BA$5,0)),0,1/VLOOKUP($R42,Capa!$A:$AJ,BA$5,0))))</f>
        <v/>
      </c>
      <c r="BB42" s="174" t="str">
        <f>IF(BB$6="","",IF(BB$3="Maior",iferror(VLOOKUP($R42,Capa!$A:$AJ,BB$5,0),0),IF(ISERROR(1/VLOOKUP($R42,Capa!$A:$AJ,BB$5,0)),0,1/VLOOKUP($R42,Capa!$A:$AJ,BB$5,0))))</f>
        <v/>
      </c>
      <c r="BC42" s="174" t="str">
        <f>IF(BC$6="","",IF(BC$3="Maior",iferror(VLOOKUP($R42,Capa!$A:$AJ,BC$5,0),0),IF(ISERROR(1/VLOOKUP($R42,Capa!$A:$AJ,BC$5,0)),0,1/VLOOKUP($R42,Capa!$A:$AJ,BC$5,0))))</f>
        <v/>
      </c>
      <c r="BD42" s="174" t="str">
        <f>IF(BD$6="","",IF(BD$3="Maior",iferror(VLOOKUP($R42,Capa!$A:$AJ,BD$5,0),0),IF(ISERROR(1/VLOOKUP($R42,Capa!$A:$AJ,BD$5,0)),0,1/VLOOKUP($R42,Capa!$A:$AJ,BD$5,0))))</f>
        <v/>
      </c>
      <c r="BE42" s="174" t="str">
        <f>IF(BE$6="","",IF(BE$3="Maior",iferror(VLOOKUP($R42,Capa!$A:$AJ,BE$5,0),0),IF(ISERROR(1/VLOOKUP($R42,Capa!$A:$AJ,BE$5,0)),0,1/VLOOKUP($R42,Capa!$A:$AJ,BE$5,0))))</f>
        <v/>
      </c>
      <c r="BF42" s="174" t="str">
        <f>IF(BF$6="","",IF(BF$3="Maior",iferror(VLOOKUP($R42,Capa!$A:$AJ,BF$5,0),0),IF(ISERROR(1/VLOOKUP($R42,Capa!$A:$AJ,BF$5,0)),0,1/VLOOKUP($R42,Capa!$A:$AJ,BF$5,0))))</f>
        <v/>
      </c>
      <c r="BG42" s="174" t="str">
        <f>IF(BG$6="","",IF(BG$3="Maior",iferror(VLOOKUP($R42,Capa!$A:$AJ,BG$5,0),0),IF(ISERROR(1/VLOOKUP($R42,Capa!$A:$AJ,BG$5,0)),0,1/VLOOKUP($R42,Capa!$A:$AJ,BG$5,0))))</f>
        <v/>
      </c>
      <c r="BH42" s="174" t="str">
        <f>IF(BH$6="","",IF(BH$3="Maior",iferror(VLOOKUP($R42,Capa!$A:$AJ,BH$5,0),0),IF(ISERROR(1/VLOOKUP($R42,Capa!$A:$AJ,BH$5,0)),0,1/VLOOKUP($R42,Capa!$A:$AJ,BH$5,0))))</f>
        <v/>
      </c>
      <c r="BI42" s="174" t="str">
        <f>IF(BI$6="","",IF(BI$3="Maior",iferror(VLOOKUP($R42,Capa!$A:$AJ,BI$5,0),0),IF(ISERROR(1/VLOOKUP($R42,Capa!$A:$AJ,BI$5,0)),0,1/VLOOKUP($R42,Capa!$A:$AJ,BI$5,0))))</f>
        <v/>
      </c>
      <c r="BJ42" s="174" t="str">
        <f>IF(BJ$6="","",IF(BJ$3="Maior",iferror(VLOOKUP($R42,Capa!$A:$AJ,BJ$5,0),0),IF(ISERROR(1/VLOOKUP($R42,Capa!$A:$AJ,BJ$5,0)),0,1/VLOOKUP($R42,Capa!$A:$AJ,BJ$5,0))))</f>
        <v/>
      </c>
      <c r="BK42" s="174" t="str">
        <f>IF(BK$6="","",IF(BK$3="Maior",iferror(VLOOKUP($R42,Capa!$A:$AJ,BK$5,0),0),IF(ISERROR(1/VLOOKUP($R42,Capa!$A:$AJ,BK$5,0)),0,1/VLOOKUP($R42,Capa!$A:$AJ,BK$5,0))))</f>
        <v/>
      </c>
      <c r="BL42" s="174" t="str">
        <f>IF(BL$6="","",IF(BL$3="Maior",iferror(VLOOKUP($R42,Capa!$A:$AJ,BL$5,0),0),IF(ISERROR(1/VLOOKUP($R42,Capa!$A:$AJ,BL$5,0)),0,1/VLOOKUP($R42,Capa!$A:$AJ,BL$5,0))))</f>
        <v/>
      </c>
      <c r="BM42" s="174" t="str">
        <f>IF(BM$6="","",IF(BM$3="Maior",iferror(VLOOKUP($R42,Capa!$A:$AJ,BM$5,0),0),IF(ISERROR(1/VLOOKUP($R42,Capa!$A:$AJ,BM$5,0)),0,1/VLOOKUP($R42,Capa!$A:$AJ,BM$5,0))))</f>
        <v/>
      </c>
      <c r="BN42" s="174" t="str">
        <f>IF(BN$6="","",IF(BN$3="Maior",iferror(VLOOKUP($R42,Capa!$A:$AJ,BN$5,0),0),IF(ISERROR(1/VLOOKUP($R42,Capa!$A:$AJ,BN$5,0)),0,1/VLOOKUP($R42,Capa!$A:$AJ,BN$5,0))))</f>
        <v/>
      </c>
      <c r="BO42" s="174" t="str">
        <f>IF(BO$6="","",IF(BO$3="Maior",iferror(VLOOKUP($R42,Capa!$A:$AJ,BO$5,0),0),IF(ISERROR(1/VLOOKUP($R42,Capa!$A:$AJ,BO$5,0)),0,1/VLOOKUP($R42,Capa!$A:$AJ,BO$5,0))))</f>
        <v/>
      </c>
      <c r="BP42" s="174" t="str">
        <f>IF(BP$6="","",IF(BP$3="Maior",iferror(VLOOKUP($R42,Capa!$A:$AJ,BP$5,0),0),IF(ISERROR(1/VLOOKUP($R42,Capa!$A:$AJ,BP$5,0)),0,1/VLOOKUP($R42,Capa!$A:$AJ,BP$5,0))))</f>
        <v/>
      </c>
      <c r="BQ42" s="174" t="str">
        <f>IF(BQ$6="","",IF(BQ$3="Maior",iferror(VLOOKUP($R42,Capa!$A:$AJ,BQ$5,0),0),IF(ISERROR(1/VLOOKUP($R42,Capa!$A:$AJ,BQ$5,0)),0,1/VLOOKUP($R42,Capa!$A:$AJ,BQ$5,0))))</f>
        <v/>
      </c>
      <c r="BR42" s="175"/>
      <c r="BS42" s="147"/>
    </row>
    <row r="43">
      <c r="G43" s="11"/>
      <c r="H43" s="8">
        <v>37.0</v>
      </c>
      <c r="I43" s="165" t="str">
        <f t="shared" si="6"/>
        <v>DEXP3</v>
      </c>
      <c r="J43" s="166" t="str">
        <f>(VLOOKUP($I43,Capa!$A:$B,2,0))</f>
        <v>Dexxos Participacoes SA</v>
      </c>
      <c r="K43" s="167" t="str">
        <f>VLOOKUP(left(I43,4),Setor!A:D,3,0)&amp;" | "&amp;VLOOKUP(left(I43,4),Setor!A:D,4,0)</f>
        <v>Petróleo, Gás e Biocombustíveis | Petróleo, Gás e Biocombustíveis</v>
      </c>
      <c r="L43" s="168">
        <f>(VLOOKUP($I43,Capa!$A:$F,6,0))</f>
        <v>7.62</v>
      </c>
      <c r="M43" s="168">
        <f t="shared" si="7"/>
        <v>1340591</v>
      </c>
      <c r="N43" s="11" t="str">
        <f>IFERROR(__xludf.DUMMYFUNCTION("(VLOOKUP($I43,Capa!$A:$H,7,0))"),"")</f>
        <v/>
      </c>
      <c r="O43" s="169">
        <f>(VLOOKUP($I43,Capa!$A:$H,8,0))</f>
        <v>0.03673469388</v>
      </c>
      <c r="P43" s="11" t="str">
        <f>IFERROR(__xludf.DUMMYFUNCTION("(VLOOKUP($I43,Capa!$A:$J,10,0))"),"")</f>
        <v/>
      </c>
      <c r="Q43" s="169">
        <f>(VLOOKUP($I43,Capa!$A:$K,11,0))</f>
        <v>0.02008032129</v>
      </c>
      <c r="R43" s="45" t="str">
        <f>'Dados StatusInvest'!A38</f>
        <v>AXIA5</v>
      </c>
      <c r="S43" s="170">
        <f t="shared" si="8"/>
        <v>1606.0606</v>
      </c>
      <c r="T43" s="171">
        <f>VLOOKUP(R43,'Dados StatusInvest'!A:Z,26,0)</f>
        <v>31051</v>
      </c>
      <c r="U43" s="172">
        <f t="shared" ref="U43:AS43" si="45">IF(AT43="","", RANK(AT43,AT$7:AT$626,0)+RANK(AT43,AT$7:AT$626,0)/10000)</f>
        <v>339.0339</v>
      </c>
      <c r="V43" s="172">
        <f t="shared" si="45"/>
        <v>267.0267</v>
      </c>
      <c r="W43" s="172" t="str">
        <f t="shared" si="45"/>
        <v/>
      </c>
      <c r="X43" s="172" t="str">
        <f t="shared" si="45"/>
        <v/>
      </c>
      <c r="Y43" s="172" t="str">
        <f t="shared" si="45"/>
        <v/>
      </c>
      <c r="Z43" s="172" t="str">
        <f t="shared" si="45"/>
        <v/>
      </c>
      <c r="AA43" s="172" t="str">
        <f t="shared" si="45"/>
        <v/>
      </c>
      <c r="AB43" s="172" t="str">
        <f t="shared" si="45"/>
        <v/>
      </c>
      <c r="AC43" s="172" t="str">
        <f t="shared" si="45"/>
        <v/>
      </c>
      <c r="AD43" s="172" t="str">
        <f t="shared" si="45"/>
        <v/>
      </c>
      <c r="AE43" s="172" t="str">
        <f t="shared" si="45"/>
        <v/>
      </c>
      <c r="AF43" s="172" t="str">
        <f t="shared" si="45"/>
        <v/>
      </c>
      <c r="AG43" s="172" t="str">
        <f t="shared" si="45"/>
        <v/>
      </c>
      <c r="AH43" s="172" t="str">
        <f t="shared" si="45"/>
        <v/>
      </c>
      <c r="AI43" s="172" t="str">
        <f t="shared" si="45"/>
        <v/>
      </c>
      <c r="AJ43" s="172" t="str">
        <f t="shared" si="45"/>
        <v/>
      </c>
      <c r="AK43" s="172" t="str">
        <f t="shared" si="45"/>
        <v/>
      </c>
      <c r="AL43" s="172" t="str">
        <f t="shared" si="45"/>
        <v/>
      </c>
      <c r="AM43" s="172" t="str">
        <f t="shared" si="45"/>
        <v/>
      </c>
      <c r="AN43" s="172" t="str">
        <f t="shared" si="45"/>
        <v/>
      </c>
      <c r="AO43" s="172" t="str">
        <f t="shared" si="45"/>
        <v/>
      </c>
      <c r="AP43" s="172" t="str">
        <f t="shared" si="45"/>
        <v/>
      </c>
      <c r="AQ43" s="172" t="str">
        <f t="shared" si="45"/>
        <v/>
      </c>
      <c r="AR43" s="172" t="str">
        <f t="shared" si="45"/>
        <v/>
      </c>
      <c r="AS43" s="172" t="str">
        <f t="shared" si="45"/>
        <v/>
      </c>
      <c r="AT43" s="173">
        <f>IF(AT$6="","",IF(AT$3="Maior",iferror(VLOOKUP($R43,Capa!$A:$AJ,AT$5,0),0),IF(ISERROR(1/VLOOKUP($R43,Capa!$A:$AJ,AT$5,0)),0,1/VLOOKUP($R43,Capa!$A:$AJ,AT$5,0))))</f>
        <v>-0.9259259259</v>
      </c>
      <c r="AU43" s="174">
        <f>IF(AU$6="","",IF(AU$3="Maior",iferror(VLOOKUP($R43,Capa!$A:$AJ,AU$5,0),0),IF(ISERROR(1/VLOOKUP($R43,Capa!$A:$AJ,AU$5,0)),0,1/VLOOKUP($R43,Capa!$A:$AJ,AU$5,0))))</f>
        <v>0</v>
      </c>
      <c r="AV43" s="174" t="str">
        <f>IF(AV$6="","",IF(AV$3="Maior",iferror(VLOOKUP($R43,Capa!$A:$AJ,AV$5,0),0),IF(ISERROR(1/VLOOKUP($R43,Capa!$A:$AJ,AV$5,0)),0,1/VLOOKUP($R43,Capa!$A:$AJ,AV$5,0))))</f>
        <v/>
      </c>
      <c r="AW43" s="174" t="str">
        <f>IF(AW$6="","",IF(AW$3="Maior",iferror(VLOOKUP($R43,Capa!$A:$AJ,AW$5,0),0),IF(ISERROR(1/VLOOKUP($R43,Capa!$A:$AJ,AW$5,0)),0,1/VLOOKUP($R43,Capa!$A:$AJ,AW$5,0))))</f>
        <v/>
      </c>
      <c r="AX43" s="174" t="str">
        <f>IF(AX$6="","",IF(AX$3="Maior",iferror(VLOOKUP($R43,Capa!$A:$AJ,AX$5,0),0),IF(ISERROR(1/VLOOKUP($R43,Capa!$A:$AJ,AX$5,0)),0,1/VLOOKUP($R43,Capa!$A:$AJ,AX$5,0))))</f>
        <v/>
      </c>
      <c r="AY43" s="174" t="str">
        <f>IF(AY$6="","",IF(AY$3="Maior",iferror(VLOOKUP($R43,Capa!$A:$AJ,AY$5,0),0),IF(ISERROR(1/VLOOKUP($R43,Capa!$A:$AJ,AY$5,0)),0,1/VLOOKUP($R43,Capa!$A:$AJ,AY$5,0))))</f>
        <v/>
      </c>
      <c r="AZ43" s="174" t="str">
        <f>IF(AZ$6="","",IF(AZ$3="Maior",iferror(VLOOKUP($R43,Capa!$A:$AJ,AZ$5,0),0),IF(ISERROR(1/VLOOKUP($R43,Capa!$A:$AJ,AZ$5,0)),0,1/VLOOKUP($R43,Capa!$A:$AJ,AZ$5,0))))</f>
        <v/>
      </c>
      <c r="BA43" s="174" t="str">
        <f>IF(BA$6="","",IF(BA$3="Maior",iferror(VLOOKUP($R43,Capa!$A:$AJ,BA$5,0),0),IF(ISERROR(1/VLOOKUP($R43,Capa!$A:$AJ,BA$5,0)),0,1/VLOOKUP($R43,Capa!$A:$AJ,BA$5,0))))</f>
        <v/>
      </c>
      <c r="BB43" s="174" t="str">
        <f>IF(BB$6="","",IF(BB$3="Maior",iferror(VLOOKUP($R43,Capa!$A:$AJ,BB$5,0),0),IF(ISERROR(1/VLOOKUP($R43,Capa!$A:$AJ,BB$5,0)),0,1/VLOOKUP($R43,Capa!$A:$AJ,BB$5,0))))</f>
        <v/>
      </c>
      <c r="BC43" s="174" t="str">
        <f>IF(BC$6="","",IF(BC$3="Maior",iferror(VLOOKUP($R43,Capa!$A:$AJ,BC$5,0),0),IF(ISERROR(1/VLOOKUP($R43,Capa!$A:$AJ,BC$5,0)),0,1/VLOOKUP($R43,Capa!$A:$AJ,BC$5,0))))</f>
        <v/>
      </c>
      <c r="BD43" s="174" t="str">
        <f>IF(BD$6="","",IF(BD$3="Maior",iferror(VLOOKUP($R43,Capa!$A:$AJ,BD$5,0),0),IF(ISERROR(1/VLOOKUP($R43,Capa!$A:$AJ,BD$5,0)),0,1/VLOOKUP($R43,Capa!$A:$AJ,BD$5,0))))</f>
        <v/>
      </c>
      <c r="BE43" s="174" t="str">
        <f>IF(BE$6="","",IF(BE$3="Maior",iferror(VLOOKUP($R43,Capa!$A:$AJ,BE$5,0),0),IF(ISERROR(1/VLOOKUP($R43,Capa!$A:$AJ,BE$5,0)),0,1/VLOOKUP($R43,Capa!$A:$AJ,BE$5,0))))</f>
        <v/>
      </c>
      <c r="BF43" s="174" t="str">
        <f>IF(BF$6="","",IF(BF$3="Maior",iferror(VLOOKUP($R43,Capa!$A:$AJ,BF$5,0),0),IF(ISERROR(1/VLOOKUP($R43,Capa!$A:$AJ,BF$5,0)),0,1/VLOOKUP($R43,Capa!$A:$AJ,BF$5,0))))</f>
        <v/>
      </c>
      <c r="BG43" s="174" t="str">
        <f>IF(BG$6="","",IF(BG$3="Maior",iferror(VLOOKUP($R43,Capa!$A:$AJ,BG$5,0),0),IF(ISERROR(1/VLOOKUP($R43,Capa!$A:$AJ,BG$5,0)),0,1/VLOOKUP($R43,Capa!$A:$AJ,BG$5,0))))</f>
        <v/>
      </c>
      <c r="BH43" s="174" t="str">
        <f>IF(BH$6="","",IF(BH$3="Maior",iferror(VLOOKUP($R43,Capa!$A:$AJ,BH$5,0),0),IF(ISERROR(1/VLOOKUP($R43,Capa!$A:$AJ,BH$5,0)),0,1/VLOOKUP($R43,Capa!$A:$AJ,BH$5,0))))</f>
        <v/>
      </c>
      <c r="BI43" s="174" t="str">
        <f>IF(BI$6="","",IF(BI$3="Maior",iferror(VLOOKUP($R43,Capa!$A:$AJ,BI$5,0),0),IF(ISERROR(1/VLOOKUP($R43,Capa!$A:$AJ,BI$5,0)),0,1/VLOOKUP($R43,Capa!$A:$AJ,BI$5,0))))</f>
        <v/>
      </c>
      <c r="BJ43" s="174" t="str">
        <f>IF(BJ$6="","",IF(BJ$3="Maior",iferror(VLOOKUP($R43,Capa!$A:$AJ,BJ$5,0),0),IF(ISERROR(1/VLOOKUP($R43,Capa!$A:$AJ,BJ$5,0)),0,1/VLOOKUP($R43,Capa!$A:$AJ,BJ$5,0))))</f>
        <v/>
      </c>
      <c r="BK43" s="174" t="str">
        <f>IF(BK$6="","",IF(BK$3="Maior",iferror(VLOOKUP($R43,Capa!$A:$AJ,BK$5,0),0),IF(ISERROR(1/VLOOKUP($R43,Capa!$A:$AJ,BK$5,0)),0,1/VLOOKUP($R43,Capa!$A:$AJ,BK$5,0))))</f>
        <v/>
      </c>
      <c r="BL43" s="174" t="str">
        <f>IF(BL$6="","",IF(BL$3="Maior",iferror(VLOOKUP($R43,Capa!$A:$AJ,BL$5,0),0),IF(ISERROR(1/VLOOKUP($R43,Capa!$A:$AJ,BL$5,0)),0,1/VLOOKUP($R43,Capa!$A:$AJ,BL$5,0))))</f>
        <v/>
      </c>
      <c r="BM43" s="174" t="str">
        <f>IF(BM$6="","",IF(BM$3="Maior",iferror(VLOOKUP($R43,Capa!$A:$AJ,BM$5,0),0),IF(ISERROR(1/VLOOKUP($R43,Capa!$A:$AJ,BM$5,0)),0,1/VLOOKUP($R43,Capa!$A:$AJ,BM$5,0))))</f>
        <v/>
      </c>
      <c r="BN43" s="174" t="str">
        <f>IF(BN$6="","",IF(BN$3="Maior",iferror(VLOOKUP($R43,Capa!$A:$AJ,BN$5,0),0),IF(ISERROR(1/VLOOKUP($R43,Capa!$A:$AJ,BN$5,0)),0,1/VLOOKUP($R43,Capa!$A:$AJ,BN$5,0))))</f>
        <v/>
      </c>
      <c r="BO43" s="174" t="str">
        <f>IF(BO$6="","",IF(BO$3="Maior",iferror(VLOOKUP($R43,Capa!$A:$AJ,BO$5,0),0),IF(ISERROR(1/VLOOKUP($R43,Capa!$A:$AJ,BO$5,0)),0,1/VLOOKUP($R43,Capa!$A:$AJ,BO$5,0))))</f>
        <v/>
      </c>
      <c r="BP43" s="174" t="str">
        <f>IF(BP$6="","",IF(BP$3="Maior",iferror(VLOOKUP($R43,Capa!$A:$AJ,BP$5,0),0),IF(ISERROR(1/VLOOKUP($R43,Capa!$A:$AJ,BP$5,0)),0,1/VLOOKUP($R43,Capa!$A:$AJ,BP$5,0))))</f>
        <v/>
      </c>
      <c r="BQ43" s="174" t="str">
        <f>IF(BQ$6="","",IF(BQ$3="Maior",iferror(VLOOKUP($R43,Capa!$A:$AJ,BQ$5,0),0),IF(ISERROR(1/VLOOKUP($R43,Capa!$A:$AJ,BQ$5,0)),0,1/VLOOKUP($R43,Capa!$A:$AJ,BQ$5,0))))</f>
        <v/>
      </c>
      <c r="BR43" s="175"/>
      <c r="BS43" s="147"/>
    </row>
    <row r="44">
      <c r="G44" s="11"/>
      <c r="H44" s="8">
        <v>38.0</v>
      </c>
      <c r="I44" s="165" t="str">
        <f t="shared" si="6"/>
        <v>VALE3</v>
      </c>
      <c r="J44" s="166" t="str">
        <f>(VLOOKUP($I44,Capa!$A:$B,2,0))</f>
        <v>Vale Cedear</v>
      </c>
      <c r="K44" s="167" t="str">
        <f>VLOOKUP(left(I44,4),Setor!A:D,3,0)&amp;" | "&amp;VLOOKUP(left(I44,4),Setor!A:D,4,0)</f>
        <v>Materiais Básicos | Mineração</v>
      </c>
      <c r="L44" s="168">
        <f>(VLOOKUP($I44,Capa!$A:$F,6,0))</f>
        <v>23200</v>
      </c>
      <c r="M44" s="168">
        <f t="shared" si="7"/>
        <v>3100000000</v>
      </c>
      <c r="N44" s="177" t="str">
        <f>IFERROR(__xludf.DUMMYFUNCTION("(VLOOKUP($I44,Capa!$A:$H,7,0))"),"")</f>
        <v/>
      </c>
      <c r="O44" s="169">
        <f>(VLOOKUP($I44,Capa!$A:$H,8,0))</f>
        <v>-0.004719004719</v>
      </c>
      <c r="P44" s="169" t="str">
        <f>IFERROR(__xludf.DUMMYFUNCTION("(VLOOKUP($I44,Capa!$A:$J,10,0))"),"")</f>
        <v/>
      </c>
      <c r="Q44" s="169">
        <f>(VLOOKUP($I44,Capa!$A:$K,11,0))</f>
        <v>0.8785425101</v>
      </c>
      <c r="R44" s="45" t="str">
        <f>'Dados StatusInvest'!A39</f>
        <v>AXIA6</v>
      </c>
      <c r="S44" s="170">
        <f t="shared" si="8"/>
        <v>626.0626</v>
      </c>
      <c r="T44" s="171">
        <f>VLOOKUP(R44,'Dados StatusInvest'!A:Z,26,0)</f>
        <v>86185274</v>
      </c>
      <c r="U44" s="172">
        <f t="shared" ref="U44:AS44" si="46">IF(AT44="","", RANK(AT44,AT$7:AT$626,0)+RANK(AT44,AT$7:AT$626,0)/10000)</f>
        <v>359.0359</v>
      </c>
      <c r="V44" s="172">
        <f t="shared" si="46"/>
        <v>267.0267</v>
      </c>
      <c r="W44" s="172" t="str">
        <f t="shared" si="46"/>
        <v/>
      </c>
      <c r="X44" s="172" t="str">
        <f t="shared" si="46"/>
        <v/>
      </c>
      <c r="Y44" s="172" t="str">
        <f t="shared" si="46"/>
        <v/>
      </c>
      <c r="Z44" s="172" t="str">
        <f t="shared" si="46"/>
        <v/>
      </c>
      <c r="AA44" s="172" t="str">
        <f t="shared" si="46"/>
        <v/>
      </c>
      <c r="AB44" s="172" t="str">
        <f t="shared" si="46"/>
        <v/>
      </c>
      <c r="AC44" s="172" t="str">
        <f t="shared" si="46"/>
        <v/>
      </c>
      <c r="AD44" s="172" t="str">
        <f t="shared" si="46"/>
        <v/>
      </c>
      <c r="AE44" s="172" t="str">
        <f t="shared" si="46"/>
        <v/>
      </c>
      <c r="AF44" s="172" t="str">
        <f t="shared" si="46"/>
        <v/>
      </c>
      <c r="AG44" s="172" t="str">
        <f t="shared" si="46"/>
        <v/>
      </c>
      <c r="AH44" s="172" t="str">
        <f t="shared" si="46"/>
        <v/>
      </c>
      <c r="AI44" s="172" t="str">
        <f t="shared" si="46"/>
        <v/>
      </c>
      <c r="AJ44" s="172" t="str">
        <f t="shared" si="46"/>
        <v/>
      </c>
      <c r="AK44" s="172" t="str">
        <f t="shared" si="46"/>
        <v/>
      </c>
      <c r="AL44" s="172" t="str">
        <f t="shared" si="46"/>
        <v/>
      </c>
      <c r="AM44" s="172" t="str">
        <f t="shared" si="46"/>
        <v/>
      </c>
      <c r="AN44" s="172" t="str">
        <f t="shared" si="46"/>
        <v/>
      </c>
      <c r="AO44" s="172" t="str">
        <f t="shared" si="46"/>
        <v/>
      </c>
      <c r="AP44" s="172" t="str">
        <f t="shared" si="46"/>
        <v/>
      </c>
      <c r="AQ44" s="172" t="str">
        <f t="shared" si="46"/>
        <v/>
      </c>
      <c r="AR44" s="172" t="str">
        <f t="shared" si="46"/>
        <v/>
      </c>
      <c r="AS44" s="172" t="str">
        <f t="shared" si="46"/>
        <v/>
      </c>
      <c r="AT44" s="173">
        <f>IF(AT$6="","",IF(AT$3="Maior",iferror(VLOOKUP($R44,Capa!$A:$AJ,AT$5,0),0),IF(ISERROR(1/VLOOKUP($R44,Capa!$A:$AJ,AT$5,0)),0,1/VLOOKUP($R44,Capa!$A:$AJ,AT$5,0))))</f>
        <v>-1.050557487</v>
      </c>
      <c r="AU44" s="174">
        <f>IF(AU$6="","",IF(AU$3="Maior",iferror(VLOOKUP($R44,Capa!$A:$AJ,AU$5,0),0),IF(ISERROR(1/VLOOKUP($R44,Capa!$A:$AJ,AU$5,0)),0,1/VLOOKUP($R44,Capa!$A:$AJ,AU$5,0))))</f>
        <v>0</v>
      </c>
      <c r="AV44" s="174" t="str">
        <f>IF(AV$6="","",IF(AV$3="Maior",iferror(VLOOKUP($R44,Capa!$A:$AJ,AV$5,0),0),IF(ISERROR(1/VLOOKUP($R44,Capa!$A:$AJ,AV$5,0)),0,1/VLOOKUP($R44,Capa!$A:$AJ,AV$5,0))))</f>
        <v/>
      </c>
      <c r="AW44" s="174" t="str">
        <f>IF(AW$6="","",IF(AW$3="Maior",iferror(VLOOKUP($R44,Capa!$A:$AJ,AW$5,0),0),IF(ISERROR(1/VLOOKUP($R44,Capa!$A:$AJ,AW$5,0)),0,1/VLOOKUP($R44,Capa!$A:$AJ,AW$5,0))))</f>
        <v/>
      </c>
      <c r="AX44" s="174" t="str">
        <f>IF(AX$6="","",IF(AX$3="Maior",iferror(VLOOKUP($R44,Capa!$A:$AJ,AX$5,0),0),IF(ISERROR(1/VLOOKUP($R44,Capa!$A:$AJ,AX$5,0)),0,1/VLOOKUP($R44,Capa!$A:$AJ,AX$5,0))))</f>
        <v/>
      </c>
      <c r="AY44" s="174" t="str">
        <f>IF(AY$6="","",IF(AY$3="Maior",iferror(VLOOKUP($R44,Capa!$A:$AJ,AY$5,0),0),IF(ISERROR(1/VLOOKUP($R44,Capa!$A:$AJ,AY$5,0)),0,1/VLOOKUP($R44,Capa!$A:$AJ,AY$5,0))))</f>
        <v/>
      </c>
      <c r="AZ44" s="174" t="str">
        <f>IF(AZ$6="","",IF(AZ$3="Maior",iferror(VLOOKUP($R44,Capa!$A:$AJ,AZ$5,0),0),IF(ISERROR(1/VLOOKUP($R44,Capa!$A:$AJ,AZ$5,0)),0,1/VLOOKUP($R44,Capa!$A:$AJ,AZ$5,0))))</f>
        <v/>
      </c>
      <c r="BA44" s="174" t="str">
        <f>IF(BA$6="","",IF(BA$3="Maior",iferror(VLOOKUP($R44,Capa!$A:$AJ,BA$5,0),0),IF(ISERROR(1/VLOOKUP($R44,Capa!$A:$AJ,BA$5,0)),0,1/VLOOKUP($R44,Capa!$A:$AJ,BA$5,0))))</f>
        <v/>
      </c>
      <c r="BB44" s="174" t="str">
        <f>IF(BB$6="","",IF(BB$3="Maior",iferror(VLOOKUP($R44,Capa!$A:$AJ,BB$5,0),0),IF(ISERROR(1/VLOOKUP($R44,Capa!$A:$AJ,BB$5,0)),0,1/VLOOKUP($R44,Capa!$A:$AJ,BB$5,0))))</f>
        <v/>
      </c>
      <c r="BC44" s="174" t="str">
        <f>IF(BC$6="","",IF(BC$3="Maior",iferror(VLOOKUP($R44,Capa!$A:$AJ,BC$5,0),0),IF(ISERROR(1/VLOOKUP($R44,Capa!$A:$AJ,BC$5,0)),0,1/VLOOKUP($R44,Capa!$A:$AJ,BC$5,0))))</f>
        <v/>
      </c>
      <c r="BD44" s="174" t="str">
        <f>IF(BD$6="","",IF(BD$3="Maior",iferror(VLOOKUP($R44,Capa!$A:$AJ,BD$5,0),0),IF(ISERROR(1/VLOOKUP($R44,Capa!$A:$AJ,BD$5,0)),0,1/VLOOKUP($R44,Capa!$A:$AJ,BD$5,0))))</f>
        <v/>
      </c>
      <c r="BE44" s="174" t="str">
        <f>IF(BE$6="","",IF(BE$3="Maior",iferror(VLOOKUP($R44,Capa!$A:$AJ,BE$5,0),0),IF(ISERROR(1/VLOOKUP($R44,Capa!$A:$AJ,BE$5,0)),0,1/VLOOKUP($R44,Capa!$A:$AJ,BE$5,0))))</f>
        <v/>
      </c>
      <c r="BF44" s="174" t="str">
        <f>IF(BF$6="","",IF(BF$3="Maior",iferror(VLOOKUP($R44,Capa!$A:$AJ,BF$5,0),0),IF(ISERROR(1/VLOOKUP($R44,Capa!$A:$AJ,BF$5,0)),0,1/VLOOKUP($R44,Capa!$A:$AJ,BF$5,0))))</f>
        <v/>
      </c>
      <c r="BG44" s="174" t="str">
        <f>IF(BG$6="","",IF(BG$3="Maior",iferror(VLOOKUP($R44,Capa!$A:$AJ,BG$5,0),0),IF(ISERROR(1/VLOOKUP($R44,Capa!$A:$AJ,BG$5,0)),0,1/VLOOKUP($R44,Capa!$A:$AJ,BG$5,0))))</f>
        <v/>
      </c>
      <c r="BH44" s="174" t="str">
        <f>IF(BH$6="","",IF(BH$3="Maior",iferror(VLOOKUP($R44,Capa!$A:$AJ,BH$5,0),0),IF(ISERROR(1/VLOOKUP($R44,Capa!$A:$AJ,BH$5,0)),0,1/VLOOKUP($R44,Capa!$A:$AJ,BH$5,0))))</f>
        <v/>
      </c>
      <c r="BI44" s="174" t="str">
        <f>IF(BI$6="","",IF(BI$3="Maior",iferror(VLOOKUP($R44,Capa!$A:$AJ,BI$5,0),0),IF(ISERROR(1/VLOOKUP($R44,Capa!$A:$AJ,BI$5,0)),0,1/VLOOKUP($R44,Capa!$A:$AJ,BI$5,0))))</f>
        <v/>
      </c>
      <c r="BJ44" s="174" t="str">
        <f>IF(BJ$6="","",IF(BJ$3="Maior",iferror(VLOOKUP($R44,Capa!$A:$AJ,BJ$5,0),0),IF(ISERROR(1/VLOOKUP($R44,Capa!$A:$AJ,BJ$5,0)),0,1/VLOOKUP($R44,Capa!$A:$AJ,BJ$5,0))))</f>
        <v/>
      </c>
      <c r="BK44" s="174" t="str">
        <f>IF(BK$6="","",IF(BK$3="Maior",iferror(VLOOKUP($R44,Capa!$A:$AJ,BK$5,0),0),IF(ISERROR(1/VLOOKUP($R44,Capa!$A:$AJ,BK$5,0)),0,1/VLOOKUP($R44,Capa!$A:$AJ,BK$5,0))))</f>
        <v/>
      </c>
      <c r="BL44" s="174" t="str">
        <f>IF(BL$6="","",IF(BL$3="Maior",iferror(VLOOKUP($R44,Capa!$A:$AJ,BL$5,0),0),IF(ISERROR(1/VLOOKUP($R44,Capa!$A:$AJ,BL$5,0)),0,1/VLOOKUP($R44,Capa!$A:$AJ,BL$5,0))))</f>
        <v/>
      </c>
      <c r="BM44" s="174" t="str">
        <f>IF(BM$6="","",IF(BM$3="Maior",iferror(VLOOKUP($R44,Capa!$A:$AJ,BM$5,0),0),IF(ISERROR(1/VLOOKUP($R44,Capa!$A:$AJ,BM$5,0)),0,1/VLOOKUP($R44,Capa!$A:$AJ,BM$5,0))))</f>
        <v/>
      </c>
      <c r="BN44" s="174" t="str">
        <f>IF(BN$6="","",IF(BN$3="Maior",iferror(VLOOKUP($R44,Capa!$A:$AJ,BN$5,0),0),IF(ISERROR(1/VLOOKUP($R44,Capa!$A:$AJ,BN$5,0)),0,1/VLOOKUP($R44,Capa!$A:$AJ,BN$5,0))))</f>
        <v/>
      </c>
      <c r="BO44" s="174" t="str">
        <f>IF(BO$6="","",IF(BO$3="Maior",iferror(VLOOKUP($R44,Capa!$A:$AJ,BO$5,0),0),IF(ISERROR(1/VLOOKUP($R44,Capa!$A:$AJ,BO$5,0)),0,1/VLOOKUP($R44,Capa!$A:$AJ,BO$5,0))))</f>
        <v/>
      </c>
      <c r="BP44" s="174" t="str">
        <f>IF(BP$6="","",IF(BP$3="Maior",iferror(VLOOKUP($R44,Capa!$A:$AJ,BP$5,0),0),IF(ISERROR(1/VLOOKUP($R44,Capa!$A:$AJ,BP$5,0)),0,1/VLOOKUP($R44,Capa!$A:$AJ,BP$5,0))))</f>
        <v/>
      </c>
      <c r="BQ44" s="174" t="str">
        <f>IF(BQ$6="","",IF(BQ$3="Maior",iferror(VLOOKUP($R44,Capa!$A:$AJ,BQ$5,0),0),IF(ISERROR(1/VLOOKUP($R44,Capa!$A:$AJ,BQ$5,0)),0,1/VLOOKUP($R44,Capa!$A:$AJ,BQ$5,0))))</f>
        <v/>
      </c>
      <c r="BR44" s="175"/>
      <c r="BS44" s="147"/>
    </row>
    <row r="45">
      <c r="G45" s="11"/>
      <c r="H45" s="8">
        <v>39.0</v>
      </c>
      <c r="I45" s="165" t="str">
        <f t="shared" si="6"/>
        <v>AZUL54</v>
      </c>
      <c r="J45" s="166" t="str">
        <f>(VLOOKUP($I45,Capa!$A:$B,2,0))</f>
        <v/>
      </c>
      <c r="K45" s="167" t="str">
        <f>VLOOKUP(left(I45,4),Setor!A:D,3,0)&amp;" | "&amp;VLOOKUP(left(I45,4),Setor!A:D,4,0)</f>
        <v>Bens Industriais | Transporte</v>
      </c>
      <c r="L45" s="168" t="str">
        <f>(VLOOKUP($I45,Capa!$A:$F,6,0))</f>
        <v/>
      </c>
      <c r="M45" s="168">
        <f t="shared" si="7"/>
        <v>20945788</v>
      </c>
      <c r="N45" s="11" t="str">
        <f>(VLOOKUP($I45,Capa!$A:$H,7,0))</f>
        <v/>
      </c>
      <c r="O45" s="169" t="str">
        <f>(VLOOKUP($I45,Capa!$A:$H,8,0))</f>
        <v/>
      </c>
      <c r="P45" s="11" t="str">
        <f>(VLOOKUP($I45,Capa!$A:$J,10,0))</f>
        <v/>
      </c>
      <c r="Q45" s="169" t="str">
        <f>(VLOOKUP($I45,Capa!$A:$K,11,0))</f>
        <v/>
      </c>
      <c r="R45" s="45" t="str">
        <f>'Dados StatusInvest'!A40</f>
        <v>AXIA7</v>
      </c>
      <c r="S45" s="170">
        <f t="shared" si="8"/>
        <v>647.0647</v>
      </c>
      <c r="T45" s="171">
        <f>VLOOKUP(R45,'Dados StatusInvest'!A:Z,26,0)</f>
        <v>189000000</v>
      </c>
      <c r="U45" s="172">
        <f t="shared" ref="U45:AS45" si="47">IF(AT45="","", RANK(AT45,AT$7:AT$626,0)+RANK(AT45,AT$7:AT$626,0)/10000)</f>
        <v>380.038</v>
      </c>
      <c r="V45" s="172">
        <f t="shared" si="47"/>
        <v>267.0267</v>
      </c>
      <c r="W45" s="172" t="str">
        <f t="shared" si="47"/>
        <v/>
      </c>
      <c r="X45" s="172" t="str">
        <f t="shared" si="47"/>
        <v/>
      </c>
      <c r="Y45" s="172" t="str">
        <f t="shared" si="47"/>
        <v/>
      </c>
      <c r="Z45" s="172" t="str">
        <f t="shared" si="47"/>
        <v/>
      </c>
      <c r="AA45" s="172" t="str">
        <f t="shared" si="47"/>
        <v/>
      </c>
      <c r="AB45" s="172" t="str">
        <f t="shared" si="47"/>
        <v/>
      </c>
      <c r="AC45" s="172" t="str">
        <f t="shared" si="47"/>
        <v/>
      </c>
      <c r="AD45" s="172" t="str">
        <f t="shared" si="47"/>
        <v/>
      </c>
      <c r="AE45" s="172" t="str">
        <f t="shared" si="47"/>
        <v/>
      </c>
      <c r="AF45" s="172" t="str">
        <f t="shared" si="47"/>
        <v/>
      </c>
      <c r="AG45" s="172" t="str">
        <f t="shared" si="47"/>
        <v/>
      </c>
      <c r="AH45" s="172" t="str">
        <f t="shared" si="47"/>
        <v/>
      </c>
      <c r="AI45" s="172" t="str">
        <f t="shared" si="47"/>
        <v/>
      </c>
      <c r="AJ45" s="172" t="str">
        <f t="shared" si="47"/>
        <v/>
      </c>
      <c r="AK45" s="172" t="str">
        <f t="shared" si="47"/>
        <v/>
      </c>
      <c r="AL45" s="172" t="str">
        <f t="shared" si="47"/>
        <v/>
      </c>
      <c r="AM45" s="172" t="str">
        <f t="shared" si="47"/>
        <v/>
      </c>
      <c r="AN45" s="172" t="str">
        <f t="shared" si="47"/>
        <v/>
      </c>
      <c r="AO45" s="172" t="str">
        <f t="shared" si="47"/>
        <v/>
      </c>
      <c r="AP45" s="172" t="str">
        <f t="shared" si="47"/>
        <v/>
      </c>
      <c r="AQ45" s="172" t="str">
        <f t="shared" si="47"/>
        <v/>
      </c>
      <c r="AR45" s="172" t="str">
        <f t="shared" si="47"/>
        <v/>
      </c>
      <c r="AS45" s="172" t="str">
        <f t="shared" si="47"/>
        <v/>
      </c>
      <c r="AT45" s="173">
        <f>IF(AT$6="","",IF(AT$3="Maior",iferror(VLOOKUP($R45,Capa!$A:$AJ,AT$5,0),0),IF(ISERROR(1/VLOOKUP($R45,Capa!$A:$AJ,AT$5,0)),0,1/VLOOKUP($R45,Capa!$A:$AJ,AT$5,0))))</f>
        <v>-1.172322958</v>
      </c>
      <c r="AU45" s="174">
        <f>IF(AU$6="","",IF(AU$3="Maior",iferror(VLOOKUP($R45,Capa!$A:$AJ,AU$5,0),0),IF(ISERROR(1/VLOOKUP($R45,Capa!$A:$AJ,AU$5,0)),0,1/VLOOKUP($R45,Capa!$A:$AJ,AU$5,0))))</f>
        <v>0</v>
      </c>
      <c r="AV45" s="174" t="str">
        <f>IF(AV$6="","",IF(AV$3="Maior",iferror(VLOOKUP($R45,Capa!$A:$AJ,AV$5,0),0),IF(ISERROR(1/VLOOKUP($R45,Capa!$A:$AJ,AV$5,0)),0,1/VLOOKUP($R45,Capa!$A:$AJ,AV$5,0))))</f>
        <v/>
      </c>
      <c r="AW45" s="174" t="str">
        <f>IF(AW$6="","",IF(AW$3="Maior",iferror(VLOOKUP($R45,Capa!$A:$AJ,AW$5,0),0),IF(ISERROR(1/VLOOKUP($R45,Capa!$A:$AJ,AW$5,0)),0,1/VLOOKUP($R45,Capa!$A:$AJ,AW$5,0))))</f>
        <v/>
      </c>
      <c r="AX45" s="174" t="str">
        <f>IF(AX$6="","",IF(AX$3="Maior",iferror(VLOOKUP($R45,Capa!$A:$AJ,AX$5,0),0),IF(ISERROR(1/VLOOKUP($R45,Capa!$A:$AJ,AX$5,0)),0,1/VLOOKUP($R45,Capa!$A:$AJ,AX$5,0))))</f>
        <v/>
      </c>
      <c r="AY45" s="174" t="str">
        <f>IF(AY$6="","",IF(AY$3="Maior",iferror(VLOOKUP($R45,Capa!$A:$AJ,AY$5,0),0),IF(ISERROR(1/VLOOKUP($R45,Capa!$A:$AJ,AY$5,0)),0,1/VLOOKUP($R45,Capa!$A:$AJ,AY$5,0))))</f>
        <v/>
      </c>
      <c r="AZ45" s="174" t="str">
        <f>IF(AZ$6="","",IF(AZ$3="Maior",iferror(VLOOKUP($R45,Capa!$A:$AJ,AZ$5,0),0),IF(ISERROR(1/VLOOKUP($R45,Capa!$A:$AJ,AZ$5,0)),0,1/VLOOKUP($R45,Capa!$A:$AJ,AZ$5,0))))</f>
        <v/>
      </c>
      <c r="BA45" s="174" t="str">
        <f>IF(BA$6="","",IF(BA$3="Maior",iferror(VLOOKUP($R45,Capa!$A:$AJ,BA$5,0),0),IF(ISERROR(1/VLOOKUP($R45,Capa!$A:$AJ,BA$5,0)),0,1/VLOOKUP($R45,Capa!$A:$AJ,BA$5,0))))</f>
        <v/>
      </c>
      <c r="BB45" s="174" t="str">
        <f>IF(BB$6="","",IF(BB$3="Maior",iferror(VLOOKUP($R45,Capa!$A:$AJ,BB$5,0),0),IF(ISERROR(1/VLOOKUP($R45,Capa!$A:$AJ,BB$5,0)),0,1/VLOOKUP($R45,Capa!$A:$AJ,BB$5,0))))</f>
        <v/>
      </c>
      <c r="BC45" s="174" t="str">
        <f>IF(BC$6="","",IF(BC$3="Maior",iferror(VLOOKUP($R45,Capa!$A:$AJ,BC$5,0),0),IF(ISERROR(1/VLOOKUP($R45,Capa!$A:$AJ,BC$5,0)),0,1/VLOOKUP($R45,Capa!$A:$AJ,BC$5,0))))</f>
        <v/>
      </c>
      <c r="BD45" s="174" t="str">
        <f>IF(BD$6="","",IF(BD$3="Maior",iferror(VLOOKUP($R45,Capa!$A:$AJ,BD$5,0),0),IF(ISERROR(1/VLOOKUP($R45,Capa!$A:$AJ,BD$5,0)),0,1/VLOOKUP($R45,Capa!$A:$AJ,BD$5,0))))</f>
        <v/>
      </c>
      <c r="BE45" s="174" t="str">
        <f>IF(BE$6="","",IF(BE$3="Maior",iferror(VLOOKUP($R45,Capa!$A:$AJ,BE$5,0),0),IF(ISERROR(1/VLOOKUP($R45,Capa!$A:$AJ,BE$5,0)),0,1/VLOOKUP($R45,Capa!$A:$AJ,BE$5,0))))</f>
        <v/>
      </c>
      <c r="BF45" s="174" t="str">
        <f>IF(BF$6="","",IF(BF$3="Maior",iferror(VLOOKUP($R45,Capa!$A:$AJ,BF$5,0),0),IF(ISERROR(1/VLOOKUP($R45,Capa!$A:$AJ,BF$5,0)),0,1/VLOOKUP($R45,Capa!$A:$AJ,BF$5,0))))</f>
        <v/>
      </c>
      <c r="BG45" s="174" t="str">
        <f>IF(BG$6="","",IF(BG$3="Maior",iferror(VLOOKUP($R45,Capa!$A:$AJ,BG$5,0),0),IF(ISERROR(1/VLOOKUP($R45,Capa!$A:$AJ,BG$5,0)),0,1/VLOOKUP($R45,Capa!$A:$AJ,BG$5,0))))</f>
        <v/>
      </c>
      <c r="BH45" s="174" t="str">
        <f>IF(BH$6="","",IF(BH$3="Maior",iferror(VLOOKUP($R45,Capa!$A:$AJ,BH$5,0),0),IF(ISERROR(1/VLOOKUP($R45,Capa!$A:$AJ,BH$5,0)),0,1/VLOOKUP($R45,Capa!$A:$AJ,BH$5,0))))</f>
        <v/>
      </c>
      <c r="BI45" s="174" t="str">
        <f>IF(BI$6="","",IF(BI$3="Maior",iferror(VLOOKUP($R45,Capa!$A:$AJ,BI$5,0),0),IF(ISERROR(1/VLOOKUP($R45,Capa!$A:$AJ,BI$5,0)),0,1/VLOOKUP($R45,Capa!$A:$AJ,BI$5,0))))</f>
        <v/>
      </c>
      <c r="BJ45" s="174" t="str">
        <f>IF(BJ$6="","",IF(BJ$3="Maior",iferror(VLOOKUP($R45,Capa!$A:$AJ,BJ$5,0),0),IF(ISERROR(1/VLOOKUP($R45,Capa!$A:$AJ,BJ$5,0)),0,1/VLOOKUP($R45,Capa!$A:$AJ,BJ$5,0))))</f>
        <v/>
      </c>
      <c r="BK45" s="174" t="str">
        <f>IF(BK$6="","",IF(BK$3="Maior",iferror(VLOOKUP($R45,Capa!$A:$AJ,BK$5,0),0),IF(ISERROR(1/VLOOKUP($R45,Capa!$A:$AJ,BK$5,0)),0,1/VLOOKUP($R45,Capa!$A:$AJ,BK$5,0))))</f>
        <v/>
      </c>
      <c r="BL45" s="174" t="str">
        <f>IF(BL$6="","",IF(BL$3="Maior",iferror(VLOOKUP($R45,Capa!$A:$AJ,BL$5,0),0),IF(ISERROR(1/VLOOKUP($R45,Capa!$A:$AJ,BL$5,0)),0,1/VLOOKUP($R45,Capa!$A:$AJ,BL$5,0))))</f>
        <v/>
      </c>
      <c r="BM45" s="174" t="str">
        <f>IF(BM$6="","",IF(BM$3="Maior",iferror(VLOOKUP($R45,Capa!$A:$AJ,BM$5,0),0),IF(ISERROR(1/VLOOKUP($R45,Capa!$A:$AJ,BM$5,0)),0,1/VLOOKUP($R45,Capa!$A:$AJ,BM$5,0))))</f>
        <v/>
      </c>
      <c r="BN45" s="174" t="str">
        <f>IF(BN$6="","",IF(BN$3="Maior",iferror(VLOOKUP($R45,Capa!$A:$AJ,BN$5,0),0),IF(ISERROR(1/VLOOKUP($R45,Capa!$A:$AJ,BN$5,0)),0,1/VLOOKUP($R45,Capa!$A:$AJ,BN$5,0))))</f>
        <v/>
      </c>
      <c r="BO45" s="174" t="str">
        <f>IF(BO$6="","",IF(BO$3="Maior",iferror(VLOOKUP($R45,Capa!$A:$AJ,BO$5,0),0),IF(ISERROR(1/VLOOKUP($R45,Capa!$A:$AJ,BO$5,0)),0,1/VLOOKUP($R45,Capa!$A:$AJ,BO$5,0))))</f>
        <v/>
      </c>
      <c r="BP45" s="174" t="str">
        <f>IF(BP$6="","",IF(BP$3="Maior",iferror(VLOOKUP($R45,Capa!$A:$AJ,BP$5,0),0),IF(ISERROR(1/VLOOKUP($R45,Capa!$A:$AJ,BP$5,0)),0,1/VLOOKUP($R45,Capa!$A:$AJ,BP$5,0))))</f>
        <v/>
      </c>
      <c r="BQ45" s="174" t="str">
        <f>IF(BQ$6="","",IF(BQ$3="Maior",iferror(VLOOKUP($R45,Capa!$A:$AJ,BQ$5,0),0),IF(ISERROR(1/VLOOKUP($R45,Capa!$A:$AJ,BQ$5,0)),0,1/VLOOKUP($R45,Capa!$A:$AJ,BQ$5,0))))</f>
        <v/>
      </c>
      <c r="BR45" s="175"/>
      <c r="BS45" s="147"/>
    </row>
    <row r="46">
      <c r="G46" s="11"/>
      <c r="H46" s="8">
        <v>40.0</v>
      </c>
      <c r="I46" s="165" t="str">
        <f t="shared" si="6"/>
        <v>BRBI11</v>
      </c>
      <c r="J46" s="166" t="str">
        <f>(VLOOKUP($I46,Capa!$A:$B,2,0))</f>
        <v>BRBI BR Partners SA</v>
      </c>
      <c r="K46" s="167" t="str">
        <f>VLOOKUP(left(I46,4),Setor!A:D,3,0)&amp;" | "&amp;VLOOKUP(left(I46,4),Setor!A:D,4,0)</f>
        <v>#N/A</v>
      </c>
      <c r="L46" s="168">
        <f>(VLOOKUP($I46,Capa!$A:$F,6,0))</f>
        <v>19.03</v>
      </c>
      <c r="M46" s="168">
        <f t="shared" si="7"/>
        <v>7719310</v>
      </c>
      <c r="N46" s="11" t="str">
        <f>IFERROR(__xludf.DUMMYFUNCTION("(VLOOKUP($I46,Capa!$A:$H,7,0))"),"")</f>
        <v/>
      </c>
      <c r="O46" s="169">
        <f>(VLOOKUP($I46,Capa!$A:$H,8,0))</f>
        <v>0.03705722071</v>
      </c>
      <c r="P46" s="11" t="str">
        <f>IFERROR(__xludf.DUMMYFUNCTION("(VLOOKUP($I46,Capa!$A:$J,10,0))"),"")</f>
        <v/>
      </c>
      <c r="Q46" s="169">
        <f>(VLOOKUP($I46,Capa!$A:$K,11,0))</f>
        <v>0.361230329</v>
      </c>
      <c r="R46" s="45" t="str">
        <f>'Dados StatusInvest'!A41</f>
        <v>AZEV3</v>
      </c>
      <c r="S46" s="170">
        <f t="shared" si="8"/>
        <v>1815.0815</v>
      </c>
      <c r="T46" s="171">
        <f>VLOOKUP(R46,'Dados StatusInvest'!A:Z,26,0)</f>
        <v>483773.5</v>
      </c>
      <c r="U46" s="172">
        <f t="shared" ref="U46:AS46" si="48">IF(AT46="","", RANK(AT46,AT$7:AT$626,0)+RANK(AT46,AT$7:AT$626,0)/10000)</f>
        <v>548.0548</v>
      </c>
      <c r="V46" s="172">
        <f t="shared" si="48"/>
        <v>267.0267</v>
      </c>
      <c r="W46" s="172" t="str">
        <f t="shared" si="48"/>
        <v/>
      </c>
      <c r="X46" s="172" t="str">
        <f t="shared" si="48"/>
        <v/>
      </c>
      <c r="Y46" s="172" t="str">
        <f t="shared" si="48"/>
        <v/>
      </c>
      <c r="Z46" s="172" t="str">
        <f t="shared" si="48"/>
        <v/>
      </c>
      <c r="AA46" s="172" t="str">
        <f t="shared" si="48"/>
        <v/>
      </c>
      <c r="AB46" s="172" t="str">
        <f t="shared" si="48"/>
        <v/>
      </c>
      <c r="AC46" s="172" t="str">
        <f t="shared" si="48"/>
        <v/>
      </c>
      <c r="AD46" s="172" t="str">
        <f t="shared" si="48"/>
        <v/>
      </c>
      <c r="AE46" s="172" t="str">
        <f t="shared" si="48"/>
        <v/>
      </c>
      <c r="AF46" s="172" t="str">
        <f t="shared" si="48"/>
        <v/>
      </c>
      <c r="AG46" s="172" t="str">
        <f t="shared" si="48"/>
        <v/>
      </c>
      <c r="AH46" s="172" t="str">
        <f t="shared" si="48"/>
        <v/>
      </c>
      <c r="AI46" s="172" t="str">
        <f t="shared" si="48"/>
        <v/>
      </c>
      <c r="AJ46" s="172" t="str">
        <f t="shared" si="48"/>
        <v/>
      </c>
      <c r="AK46" s="172" t="str">
        <f t="shared" si="48"/>
        <v/>
      </c>
      <c r="AL46" s="172" t="str">
        <f t="shared" si="48"/>
        <v/>
      </c>
      <c r="AM46" s="172" t="str">
        <f t="shared" si="48"/>
        <v/>
      </c>
      <c r="AN46" s="172" t="str">
        <f t="shared" si="48"/>
        <v/>
      </c>
      <c r="AO46" s="172" t="str">
        <f t="shared" si="48"/>
        <v/>
      </c>
      <c r="AP46" s="172" t="str">
        <f t="shared" si="48"/>
        <v/>
      </c>
      <c r="AQ46" s="172" t="str">
        <f t="shared" si="48"/>
        <v/>
      </c>
      <c r="AR46" s="172" t="str">
        <f t="shared" si="48"/>
        <v/>
      </c>
      <c r="AS46" s="172" t="str">
        <f t="shared" si="48"/>
        <v/>
      </c>
      <c r="AT46" s="173">
        <f>IF(AT$6="","",IF(AT$3="Maior",iferror(VLOOKUP($R46,Capa!$A:$AJ,AT$5,0),0),IF(ISERROR(1/VLOOKUP($R46,Capa!$A:$AJ,AT$5,0)),0,1/VLOOKUP($R46,Capa!$A:$AJ,AT$5,0))))</f>
        <v>-5.555555556</v>
      </c>
      <c r="AU46" s="174">
        <f>IF(AU$6="","",IF(AU$3="Maior",iferror(VLOOKUP($R46,Capa!$A:$AJ,AU$5,0),0),IF(ISERROR(1/VLOOKUP($R46,Capa!$A:$AJ,AU$5,0)),0,1/VLOOKUP($R46,Capa!$A:$AJ,AU$5,0))))</f>
        <v>0</v>
      </c>
      <c r="AV46" s="174" t="str">
        <f>IF(AV$6="","",IF(AV$3="Maior",iferror(VLOOKUP($R46,Capa!$A:$AJ,AV$5,0),0),IF(ISERROR(1/VLOOKUP($R46,Capa!$A:$AJ,AV$5,0)),0,1/VLOOKUP($R46,Capa!$A:$AJ,AV$5,0))))</f>
        <v/>
      </c>
      <c r="AW46" s="174" t="str">
        <f>IF(AW$6="","",IF(AW$3="Maior",iferror(VLOOKUP($R46,Capa!$A:$AJ,AW$5,0),0),IF(ISERROR(1/VLOOKUP($R46,Capa!$A:$AJ,AW$5,0)),0,1/VLOOKUP($R46,Capa!$A:$AJ,AW$5,0))))</f>
        <v/>
      </c>
      <c r="AX46" s="174" t="str">
        <f>IF(AX$6="","",IF(AX$3="Maior",iferror(VLOOKUP($R46,Capa!$A:$AJ,AX$5,0),0),IF(ISERROR(1/VLOOKUP($R46,Capa!$A:$AJ,AX$5,0)),0,1/VLOOKUP($R46,Capa!$A:$AJ,AX$5,0))))</f>
        <v/>
      </c>
      <c r="AY46" s="174" t="str">
        <f>IF(AY$6="","",IF(AY$3="Maior",iferror(VLOOKUP($R46,Capa!$A:$AJ,AY$5,0),0),IF(ISERROR(1/VLOOKUP($R46,Capa!$A:$AJ,AY$5,0)),0,1/VLOOKUP($R46,Capa!$A:$AJ,AY$5,0))))</f>
        <v/>
      </c>
      <c r="AZ46" s="174" t="str">
        <f>IF(AZ$6="","",IF(AZ$3="Maior",iferror(VLOOKUP($R46,Capa!$A:$AJ,AZ$5,0),0),IF(ISERROR(1/VLOOKUP($R46,Capa!$A:$AJ,AZ$5,0)),0,1/VLOOKUP($R46,Capa!$A:$AJ,AZ$5,0))))</f>
        <v/>
      </c>
      <c r="BA46" s="174" t="str">
        <f>IF(BA$6="","",IF(BA$3="Maior",iferror(VLOOKUP($R46,Capa!$A:$AJ,BA$5,0),0),IF(ISERROR(1/VLOOKUP($R46,Capa!$A:$AJ,BA$5,0)),0,1/VLOOKUP($R46,Capa!$A:$AJ,BA$5,0))))</f>
        <v/>
      </c>
      <c r="BB46" s="174" t="str">
        <f>IF(BB$6="","",IF(BB$3="Maior",iferror(VLOOKUP($R46,Capa!$A:$AJ,BB$5,0),0),IF(ISERROR(1/VLOOKUP($R46,Capa!$A:$AJ,BB$5,0)),0,1/VLOOKUP($R46,Capa!$A:$AJ,BB$5,0))))</f>
        <v/>
      </c>
      <c r="BC46" s="174" t="str">
        <f>IF(BC$6="","",IF(BC$3="Maior",iferror(VLOOKUP($R46,Capa!$A:$AJ,BC$5,0),0),IF(ISERROR(1/VLOOKUP($R46,Capa!$A:$AJ,BC$5,0)),0,1/VLOOKUP($R46,Capa!$A:$AJ,BC$5,0))))</f>
        <v/>
      </c>
      <c r="BD46" s="174" t="str">
        <f>IF(BD$6="","",IF(BD$3="Maior",iferror(VLOOKUP($R46,Capa!$A:$AJ,BD$5,0),0),IF(ISERROR(1/VLOOKUP($R46,Capa!$A:$AJ,BD$5,0)),0,1/VLOOKUP($R46,Capa!$A:$AJ,BD$5,0))))</f>
        <v/>
      </c>
      <c r="BE46" s="174" t="str">
        <f>IF(BE$6="","",IF(BE$3="Maior",iferror(VLOOKUP($R46,Capa!$A:$AJ,BE$5,0),0),IF(ISERROR(1/VLOOKUP($R46,Capa!$A:$AJ,BE$5,0)),0,1/VLOOKUP($R46,Capa!$A:$AJ,BE$5,0))))</f>
        <v/>
      </c>
      <c r="BF46" s="174" t="str">
        <f>IF(BF$6="","",IF(BF$3="Maior",iferror(VLOOKUP($R46,Capa!$A:$AJ,BF$5,0),0),IF(ISERROR(1/VLOOKUP($R46,Capa!$A:$AJ,BF$5,0)),0,1/VLOOKUP($R46,Capa!$A:$AJ,BF$5,0))))</f>
        <v/>
      </c>
      <c r="BG46" s="174" t="str">
        <f>IF(BG$6="","",IF(BG$3="Maior",iferror(VLOOKUP($R46,Capa!$A:$AJ,BG$5,0),0),IF(ISERROR(1/VLOOKUP($R46,Capa!$A:$AJ,BG$5,0)),0,1/VLOOKUP($R46,Capa!$A:$AJ,BG$5,0))))</f>
        <v/>
      </c>
      <c r="BH46" s="174" t="str">
        <f>IF(BH$6="","",IF(BH$3="Maior",iferror(VLOOKUP($R46,Capa!$A:$AJ,BH$5,0),0),IF(ISERROR(1/VLOOKUP($R46,Capa!$A:$AJ,BH$5,0)),0,1/VLOOKUP($R46,Capa!$A:$AJ,BH$5,0))))</f>
        <v/>
      </c>
      <c r="BI46" s="174" t="str">
        <f>IF(BI$6="","",IF(BI$3="Maior",iferror(VLOOKUP($R46,Capa!$A:$AJ,BI$5,0),0),IF(ISERROR(1/VLOOKUP($R46,Capa!$A:$AJ,BI$5,0)),0,1/VLOOKUP($R46,Capa!$A:$AJ,BI$5,0))))</f>
        <v/>
      </c>
      <c r="BJ46" s="174" t="str">
        <f>IF(BJ$6="","",IF(BJ$3="Maior",iferror(VLOOKUP($R46,Capa!$A:$AJ,BJ$5,0),0),IF(ISERROR(1/VLOOKUP($R46,Capa!$A:$AJ,BJ$5,0)),0,1/VLOOKUP($R46,Capa!$A:$AJ,BJ$5,0))))</f>
        <v/>
      </c>
      <c r="BK46" s="174" t="str">
        <f>IF(BK$6="","",IF(BK$3="Maior",iferror(VLOOKUP($R46,Capa!$A:$AJ,BK$5,0),0),IF(ISERROR(1/VLOOKUP($R46,Capa!$A:$AJ,BK$5,0)),0,1/VLOOKUP($R46,Capa!$A:$AJ,BK$5,0))))</f>
        <v/>
      </c>
      <c r="BL46" s="174" t="str">
        <f>IF(BL$6="","",IF(BL$3="Maior",iferror(VLOOKUP($R46,Capa!$A:$AJ,BL$5,0),0),IF(ISERROR(1/VLOOKUP($R46,Capa!$A:$AJ,BL$5,0)),0,1/VLOOKUP($R46,Capa!$A:$AJ,BL$5,0))))</f>
        <v/>
      </c>
      <c r="BM46" s="174" t="str">
        <f>IF(BM$6="","",IF(BM$3="Maior",iferror(VLOOKUP($R46,Capa!$A:$AJ,BM$5,0),0),IF(ISERROR(1/VLOOKUP($R46,Capa!$A:$AJ,BM$5,0)),0,1/VLOOKUP($R46,Capa!$A:$AJ,BM$5,0))))</f>
        <v/>
      </c>
      <c r="BN46" s="174" t="str">
        <f>IF(BN$6="","",IF(BN$3="Maior",iferror(VLOOKUP($R46,Capa!$A:$AJ,BN$5,0),0),IF(ISERROR(1/VLOOKUP($R46,Capa!$A:$AJ,BN$5,0)),0,1/VLOOKUP($R46,Capa!$A:$AJ,BN$5,0))))</f>
        <v/>
      </c>
      <c r="BO46" s="174" t="str">
        <f>IF(BO$6="","",IF(BO$3="Maior",iferror(VLOOKUP($R46,Capa!$A:$AJ,BO$5,0),0),IF(ISERROR(1/VLOOKUP($R46,Capa!$A:$AJ,BO$5,0)),0,1/VLOOKUP($R46,Capa!$A:$AJ,BO$5,0))))</f>
        <v/>
      </c>
      <c r="BP46" s="174" t="str">
        <f>IF(BP$6="","",IF(BP$3="Maior",iferror(VLOOKUP($R46,Capa!$A:$AJ,BP$5,0),0),IF(ISERROR(1/VLOOKUP($R46,Capa!$A:$AJ,BP$5,0)),0,1/VLOOKUP($R46,Capa!$A:$AJ,BP$5,0))))</f>
        <v/>
      </c>
      <c r="BQ46" s="174" t="str">
        <f>IF(BQ$6="","",IF(BQ$3="Maior",iferror(VLOOKUP($R46,Capa!$A:$AJ,BQ$5,0),0),IF(ISERROR(1/VLOOKUP($R46,Capa!$A:$AJ,BQ$5,0)),0,1/VLOOKUP($R46,Capa!$A:$AJ,BQ$5,0))))</f>
        <v/>
      </c>
      <c r="BR46" s="175"/>
      <c r="BS46" s="147"/>
    </row>
    <row r="47">
      <c r="G47" s="11"/>
      <c r="H47" s="8">
        <v>41.0</v>
      </c>
      <c r="I47" s="165" t="str">
        <f t="shared" si="6"/>
        <v>ABCB4</v>
      </c>
      <c r="J47" s="167" t="str">
        <f>(VLOOKUP($I47,Capa!$A:$B,2,0))</f>
        <v>#N/A</v>
      </c>
      <c r="K47" s="167" t="str">
        <f>VLOOKUP(left(I47,4),Setor!A:D,3,0)&amp;" | "&amp;VLOOKUP(left(I47,4),Setor!A:D,4,0)</f>
        <v>Financeiro | Intermediários Financeiros</v>
      </c>
      <c r="L47" s="10" t="str">
        <f>(VLOOKUP($I47,Capa!$A:$F,6,0))</f>
        <v>#N/A</v>
      </c>
      <c r="M47" s="168">
        <f t="shared" si="7"/>
        <v>20208097</v>
      </c>
      <c r="N47" s="11" t="str">
        <f>(VLOOKUP($I47,Capa!$A:$H,7,0))</f>
        <v>#N/A</v>
      </c>
      <c r="O47" s="11" t="str">
        <f>(VLOOKUP($I47,Capa!$A:$H,8,0))</f>
        <v>#N/A</v>
      </c>
      <c r="P47" s="11" t="str">
        <f>(VLOOKUP($I47,Capa!$A:$J,10,0))</f>
        <v>#N/A</v>
      </c>
      <c r="Q47" s="11" t="str">
        <f>(VLOOKUP($I47,Capa!$A:$K,11,0))</f>
        <v>#N/A</v>
      </c>
      <c r="R47" s="45" t="str">
        <f>'Dados StatusInvest'!A42</f>
        <v>AZEV4</v>
      </c>
      <c r="S47" s="170">
        <f t="shared" si="8"/>
        <v>831.0831</v>
      </c>
      <c r="T47" s="171">
        <f>VLOOKUP(R47,'Dados StatusInvest'!A:Z,26,0)</f>
        <v>927072.3</v>
      </c>
      <c r="U47" s="172">
        <f t="shared" ref="U47:AS47" si="49">IF(AT47="","", RANK(AT47,AT$7:AT$626,0)+RANK(AT47,AT$7:AT$626,0)/10000)</f>
        <v>564.0564</v>
      </c>
      <c r="V47" s="172">
        <f t="shared" si="49"/>
        <v>267.0267</v>
      </c>
      <c r="W47" s="172" t="str">
        <f t="shared" si="49"/>
        <v/>
      </c>
      <c r="X47" s="172" t="str">
        <f t="shared" si="49"/>
        <v/>
      </c>
      <c r="Y47" s="172" t="str">
        <f t="shared" si="49"/>
        <v/>
      </c>
      <c r="Z47" s="172" t="str">
        <f t="shared" si="49"/>
        <v/>
      </c>
      <c r="AA47" s="172" t="str">
        <f t="shared" si="49"/>
        <v/>
      </c>
      <c r="AB47" s="172" t="str">
        <f t="shared" si="49"/>
        <v/>
      </c>
      <c r="AC47" s="172" t="str">
        <f t="shared" si="49"/>
        <v/>
      </c>
      <c r="AD47" s="172" t="str">
        <f t="shared" si="49"/>
        <v/>
      </c>
      <c r="AE47" s="172" t="str">
        <f t="shared" si="49"/>
        <v/>
      </c>
      <c r="AF47" s="172" t="str">
        <f t="shared" si="49"/>
        <v/>
      </c>
      <c r="AG47" s="172" t="str">
        <f t="shared" si="49"/>
        <v/>
      </c>
      <c r="AH47" s="172" t="str">
        <f t="shared" si="49"/>
        <v/>
      </c>
      <c r="AI47" s="172" t="str">
        <f t="shared" si="49"/>
        <v/>
      </c>
      <c r="AJ47" s="172" t="str">
        <f t="shared" si="49"/>
        <v/>
      </c>
      <c r="AK47" s="172" t="str">
        <f t="shared" si="49"/>
        <v/>
      </c>
      <c r="AL47" s="172" t="str">
        <f t="shared" si="49"/>
        <v/>
      </c>
      <c r="AM47" s="172" t="str">
        <f t="shared" si="49"/>
        <v/>
      </c>
      <c r="AN47" s="172" t="str">
        <f t="shared" si="49"/>
        <v/>
      </c>
      <c r="AO47" s="172" t="str">
        <f t="shared" si="49"/>
        <v/>
      </c>
      <c r="AP47" s="172" t="str">
        <f t="shared" si="49"/>
        <v/>
      </c>
      <c r="AQ47" s="172" t="str">
        <f t="shared" si="49"/>
        <v/>
      </c>
      <c r="AR47" s="172" t="str">
        <f t="shared" si="49"/>
        <v/>
      </c>
      <c r="AS47" s="172" t="str">
        <f t="shared" si="49"/>
        <v/>
      </c>
      <c r="AT47" s="173">
        <f>IF(AT$6="","",IF(AT$3="Maior",iferror(VLOOKUP($R47,Capa!$A:$AJ,AT$5,0),0),IF(ISERROR(1/VLOOKUP($R47,Capa!$A:$AJ,AT$5,0)),0,1/VLOOKUP($R47,Capa!$A:$AJ,AT$5,0))))</f>
        <v>-7.142857143</v>
      </c>
      <c r="AU47" s="174">
        <f>IF(AU$6="","",IF(AU$3="Maior",iferror(VLOOKUP($R47,Capa!$A:$AJ,AU$5,0),0),IF(ISERROR(1/VLOOKUP($R47,Capa!$A:$AJ,AU$5,0)),0,1/VLOOKUP($R47,Capa!$A:$AJ,AU$5,0))))</f>
        <v>0</v>
      </c>
      <c r="AV47" s="174" t="str">
        <f>IF(AV$6="","",IF(AV$3="Maior",iferror(VLOOKUP($R47,Capa!$A:$AJ,AV$5,0),0),IF(ISERROR(1/VLOOKUP($R47,Capa!$A:$AJ,AV$5,0)),0,1/VLOOKUP($R47,Capa!$A:$AJ,AV$5,0))))</f>
        <v/>
      </c>
      <c r="AW47" s="174" t="str">
        <f>IF(AW$6="","",IF(AW$3="Maior",iferror(VLOOKUP($R47,Capa!$A:$AJ,AW$5,0),0),IF(ISERROR(1/VLOOKUP($R47,Capa!$A:$AJ,AW$5,0)),0,1/VLOOKUP($R47,Capa!$A:$AJ,AW$5,0))))</f>
        <v/>
      </c>
      <c r="AX47" s="174" t="str">
        <f>IF(AX$6="","",IF(AX$3="Maior",iferror(VLOOKUP($R47,Capa!$A:$AJ,AX$5,0),0),IF(ISERROR(1/VLOOKUP($R47,Capa!$A:$AJ,AX$5,0)),0,1/VLOOKUP($R47,Capa!$A:$AJ,AX$5,0))))</f>
        <v/>
      </c>
      <c r="AY47" s="174" t="str">
        <f>IF(AY$6="","",IF(AY$3="Maior",iferror(VLOOKUP($R47,Capa!$A:$AJ,AY$5,0),0),IF(ISERROR(1/VLOOKUP($R47,Capa!$A:$AJ,AY$5,0)),0,1/VLOOKUP($R47,Capa!$A:$AJ,AY$5,0))))</f>
        <v/>
      </c>
      <c r="AZ47" s="174" t="str">
        <f>IF(AZ$6="","",IF(AZ$3="Maior",iferror(VLOOKUP($R47,Capa!$A:$AJ,AZ$5,0),0),IF(ISERROR(1/VLOOKUP($R47,Capa!$A:$AJ,AZ$5,0)),0,1/VLOOKUP($R47,Capa!$A:$AJ,AZ$5,0))))</f>
        <v/>
      </c>
      <c r="BA47" s="174" t="str">
        <f>IF(BA$6="","",IF(BA$3="Maior",iferror(VLOOKUP($R47,Capa!$A:$AJ,BA$5,0),0),IF(ISERROR(1/VLOOKUP($R47,Capa!$A:$AJ,BA$5,0)),0,1/VLOOKUP($R47,Capa!$A:$AJ,BA$5,0))))</f>
        <v/>
      </c>
      <c r="BB47" s="174" t="str">
        <f>IF(BB$6="","",IF(BB$3="Maior",iferror(VLOOKUP($R47,Capa!$A:$AJ,BB$5,0),0),IF(ISERROR(1/VLOOKUP($R47,Capa!$A:$AJ,BB$5,0)),0,1/VLOOKUP($R47,Capa!$A:$AJ,BB$5,0))))</f>
        <v/>
      </c>
      <c r="BC47" s="174" t="str">
        <f>IF(BC$6="","",IF(BC$3="Maior",iferror(VLOOKUP($R47,Capa!$A:$AJ,BC$5,0),0),IF(ISERROR(1/VLOOKUP($R47,Capa!$A:$AJ,BC$5,0)),0,1/VLOOKUP($R47,Capa!$A:$AJ,BC$5,0))))</f>
        <v/>
      </c>
      <c r="BD47" s="174" t="str">
        <f>IF(BD$6="","",IF(BD$3="Maior",iferror(VLOOKUP($R47,Capa!$A:$AJ,BD$5,0),0),IF(ISERROR(1/VLOOKUP($R47,Capa!$A:$AJ,BD$5,0)),0,1/VLOOKUP($R47,Capa!$A:$AJ,BD$5,0))))</f>
        <v/>
      </c>
      <c r="BE47" s="174" t="str">
        <f>IF(BE$6="","",IF(BE$3="Maior",iferror(VLOOKUP($R47,Capa!$A:$AJ,BE$5,0),0),IF(ISERROR(1/VLOOKUP($R47,Capa!$A:$AJ,BE$5,0)),0,1/VLOOKUP($R47,Capa!$A:$AJ,BE$5,0))))</f>
        <v/>
      </c>
      <c r="BF47" s="174" t="str">
        <f>IF(BF$6="","",IF(BF$3="Maior",iferror(VLOOKUP($R47,Capa!$A:$AJ,BF$5,0),0),IF(ISERROR(1/VLOOKUP($R47,Capa!$A:$AJ,BF$5,0)),0,1/VLOOKUP($R47,Capa!$A:$AJ,BF$5,0))))</f>
        <v/>
      </c>
      <c r="BG47" s="174" t="str">
        <f>IF(BG$6="","",IF(BG$3="Maior",iferror(VLOOKUP($R47,Capa!$A:$AJ,BG$5,0),0),IF(ISERROR(1/VLOOKUP($R47,Capa!$A:$AJ,BG$5,0)),0,1/VLOOKUP($R47,Capa!$A:$AJ,BG$5,0))))</f>
        <v/>
      </c>
      <c r="BH47" s="174" t="str">
        <f>IF(BH$6="","",IF(BH$3="Maior",iferror(VLOOKUP($R47,Capa!$A:$AJ,BH$5,0),0),IF(ISERROR(1/VLOOKUP($R47,Capa!$A:$AJ,BH$5,0)),0,1/VLOOKUP($R47,Capa!$A:$AJ,BH$5,0))))</f>
        <v/>
      </c>
      <c r="BI47" s="174" t="str">
        <f>IF(BI$6="","",IF(BI$3="Maior",iferror(VLOOKUP($R47,Capa!$A:$AJ,BI$5,0),0),IF(ISERROR(1/VLOOKUP($R47,Capa!$A:$AJ,BI$5,0)),0,1/VLOOKUP($R47,Capa!$A:$AJ,BI$5,0))))</f>
        <v/>
      </c>
      <c r="BJ47" s="174" t="str">
        <f>IF(BJ$6="","",IF(BJ$3="Maior",iferror(VLOOKUP($R47,Capa!$A:$AJ,BJ$5,0),0),IF(ISERROR(1/VLOOKUP($R47,Capa!$A:$AJ,BJ$5,0)),0,1/VLOOKUP($R47,Capa!$A:$AJ,BJ$5,0))))</f>
        <v/>
      </c>
      <c r="BK47" s="174" t="str">
        <f>IF(BK$6="","",IF(BK$3="Maior",iferror(VLOOKUP($R47,Capa!$A:$AJ,BK$5,0),0),IF(ISERROR(1/VLOOKUP($R47,Capa!$A:$AJ,BK$5,0)),0,1/VLOOKUP($R47,Capa!$A:$AJ,BK$5,0))))</f>
        <v/>
      </c>
      <c r="BL47" s="174" t="str">
        <f>IF(BL$6="","",IF(BL$3="Maior",iferror(VLOOKUP($R47,Capa!$A:$AJ,BL$5,0),0),IF(ISERROR(1/VLOOKUP($R47,Capa!$A:$AJ,BL$5,0)),0,1/VLOOKUP($R47,Capa!$A:$AJ,BL$5,0))))</f>
        <v/>
      </c>
      <c r="BM47" s="174" t="str">
        <f>IF(BM$6="","",IF(BM$3="Maior",iferror(VLOOKUP($R47,Capa!$A:$AJ,BM$5,0),0),IF(ISERROR(1/VLOOKUP($R47,Capa!$A:$AJ,BM$5,0)),0,1/VLOOKUP($R47,Capa!$A:$AJ,BM$5,0))))</f>
        <v/>
      </c>
      <c r="BN47" s="174" t="str">
        <f>IF(BN$6="","",IF(BN$3="Maior",iferror(VLOOKUP($R47,Capa!$A:$AJ,BN$5,0),0),IF(ISERROR(1/VLOOKUP($R47,Capa!$A:$AJ,BN$5,0)),0,1/VLOOKUP($R47,Capa!$A:$AJ,BN$5,0))))</f>
        <v/>
      </c>
      <c r="BO47" s="174" t="str">
        <f>IF(BO$6="","",IF(BO$3="Maior",iferror(VLOOKUP($R47,Capa!$A:$AJ,BO$5,0),0),IF(ISERROR(1/VLOOKUP($R47,Capa!$A:$AJ,BO$5,0)),0,1/VLOOKUP($R47,Capa!$A:$AJ,BO$5,0))))</f>
        <v/>
      </c>
      <c r="BP47" s="174" t="str">
        <f>IF(BP$6="","",IF(BP$3="Maior",iferror(VLOOKUP($R47,Capa!$A:$AJ,BP$5,0),0),IF(ISERROR(1/VLOOKUP($R47,Capa!$A:$AJ,BP$5,0)),0,1/VLOOKUP($R47,Capa!$A:$AJ,BP$5,0))))</f>
        <v/>
      </c>
      <c r="BQ47" s="174" t="str">
        <f>IF(BQ$6="","",IF(BQ$3="Maior",iferror(VLOOKUP($R47,Capa!$A:$AJ,BQ$5,0),0),IF(ISERROR(1/VLOOKUP($R47,Capa!$A:$AJ,BQ$5,0)),0,1/VLOOKUP($R47,Capa!$A:$AJ,BQ$5,0))))</f>
        <v/>
      </c>
      <c r="BR47" s="175"/>
      <c r="BS47" s="147"/>
    </row>
    <row r="48">
      <c r="G48" s="11"/>
      <c r="H48" s="8">
        <v>42.0</v>
      </c>
      <c r="I48" s="165" t="str">
        <f t="shared" si="6"/>
        <v>ABCB4</v>
      </c>
      <c r="J48" s="167" t="str">
        <f>(VLOOKUP($I48,Capa!$A:$B,2,0))</f>
        <v>#N/A</v>
      </c>
      <c r="K48" s="167" t="str">
        <f>VLOOKUP(left(I48,4),Setor!A:D,3,0)&amp;" | "&amp;VLOOKUP(left(I48,4),Setor!A:D,4,0)</f>
        <v>Financeiro | Intermediários Financeiros</v>
      </c>
      <c r="L48" s="10" t="str">
        <f>(VLOOKUP($I48,Capa!$A:$F,6,0))</f>
        <v>#N/A</v>
      </c>
      <c r="M48" s="168">
        <f t="shared" si="7"/>
        <v>20208097</v>
      </c>
      <c r="N48" s="11" t="str">
        <f>(VLOOKUP($I48,Capa!$A:$H,7,0))</f>
        <v>#N/A</v>
      </c>
      <c r="O48" s="11" t="str">
        <f>(VLOOKUP($I48,Capa!$A:$H,8,0))</f>
        <v>#N/A</v>
      </c>
      <c r="P48" s="11" t="str">
        <f>(VLOOKUP($I48,Capa!$A:$J,10,0))</f>
        <v>#N/A</v>
      </c>
      <c r="Q48" s="11" t="str">
        <f>(VLOOKUP($I48,Capa!$A:$K,11,0))</f>
        <v>#N/A</v>
      </c>
      <c r="R48" s="45" t="str">
        <f>'Dados StatusInvest'!A43</f>
        <v>AZTE3</v>
      </c>
      <c r="S48" s="170">
        <f t="shared" si="8"/>
        <v>318.0318</v>
      </c>
      <c r="T48" s="171">
        <f>VLOOKUP(R48,'Dados StatusInvest'!A:Z,26,0)</f>
        <v>803727.6</v>
      </c>
      <c r="U48" s="172">
        <f t="shared" ref="U48:AS48" si="50">IF(AT48="","", RANK(AT48,AT$7:AT$626,0)+RANK(AT48,AT$7:AT$626,0)/10000)</f>
        <v>51.0051</v>
      </c>
      <c r="V48" s="172">
        <f t="shared" si="50"/>
        <v>267.0267</v>
      </c>
      <c r="W48" s="172" t="str">
        <f t="shared" si="50"/>
        <v/>
      </c>
      <c r="X48" s="172" t="str">
        <f t="shared" si="50"/>
        <v/>
      </c>
      <c r="Y48" s="172" t="str">
        <f t="shared" si="50"/>
        <v/>
      </c>
      <c r="Z48" s="172" t="str">
        <f t="shared" si="50"/>
        <v/>
      </c>
      <c r="AA48" s="172" t="str">
        <f t="shared" si="50"/>
        <v/>
      </c>
      <c r="AB48" s="172" t="str">
        <f t="shared" si="50"/>
        <v/>
      </c>
      <c r="AC48" s="172" t="str">
        <f t="shared" si="50"/>
        <v/>
      </c>
      <c r="AD48" s="172" t="str">
        <f t="shared" si="50"/>
        <v/>
      </c>
      <c r="AE48" s="172" t="str">
        <f t="shared" si="50"/>
        <v/>
      </c>
      <c r="AF48" s="172" t="str">
        <f t="shared" si="50"/>
        <v/>
      </c>
      <c r="AG48" s="172" t="str">
        <f t="shared" si="50"/>
        <v/>
      </c>
      <c r="AH48" s="172" t="str">
        <f t="shared" si="50"/>
        <v/>
      </c>
      <c r="AI48" s="172" t="str">
        <f t="shared" si="50"/>
        <v/>
      </c>
      <c r="AJ48" s="172" t="str">
        <f t="shared" si="50"/>
        <v/>
      </c>
      <c r="AK48" s="172" t="str">
        <f t="shared" si="50"/>
        <v/>
      </c>
      <c r="AL48" s="172" t="str">
        <f t="shared" si="50"/>
        <v/>
      </c>
      <c r="AM48" s="172" t="str">
        <f t="shared" si="50"/>
        <v/>
      </c>
      <c r="AN48" s="172" t="str">
        <f t="shared" si="50"/>
        <v/>
      </c>
      <c r="AO48" s="172" t="str">
        <f t="shared" si="50"/>
        <v/>
      </c>
      <c r="AP48" s="172" t="str">
        <f t="shared" si="50"/>
        <v/>
      </c>
      <c r="AQ48" s="172" t="str">
        <f t="shared" si="50"/>
        <v/>
      </c>
      <c r="AR48" s="172" t="str">
        <f t="shared" si="50"/>
        <v/>
      </c>
      <c r="AS48" s="172" t="str">
        <f t="shared" si="50"/>
        <v/>
      </c>
      <c r="AT48" s="173">
        <f>IF(AT$6="","",IF(AT$3="Maior",iferror(VLOOKUP($R48,Capa!$A:$AJ,AT$5,0),0),IF(ISERROR(1/VLOOKUP($R48,Capa!$A:$AJ,AT$5,0)),0,1/VLOOKUP($R48,Capa!$A:$AJ,AT$5,0))))</f>
        <v>0</v>
      </c>
      <c r="AU48" s="174">
        <f>IF(AU$6="","",IF(AU$3="Maior",iferror(VLOOKUP($R48,Capa!$A:$AJ,AU$5,0),0),IF(ISERROR(1/VLOOKUP($R48,Capa!$A:$AJ,AU$5,0)),0,1/VLOOKUP($R48,Capa!$A:$AJ,AU$5,0))))</f>
        <v>0</v>
      </c>
      <c r="AV48" s="174" t="str">
        <f>IF(AV$6="","",IF(AV$3="Maior",iferror(VLOOKUP($R48,Capa!$A:$AJ,AV$5,0),0),IF(ISERROR(1/VLOOKUP($R48,Capa!$A:$AJ,AV$5,0)),0,1/VLOOKUP($R48,Capa!$A:$AJ,AV$5,0))))</f>
        <v/>
      </c>
      <c r="AW48" s="174" t="str">
        <f>IF(AW$6="","",IF(AW$3="Maior",iferror(VLOOKUP($R48,Capa!$A:$AJ,AW$5,0),0),IF(ISERROR(1/VLOOKUP($R48,Capa!$A:$AJ,AW$5,0)),0,1/VLOOKUP($R48,Capa!$A:$AJ,AW$5,0))))</f>
        <v/>
      </c>
      <c r="AX48" s="174" t="str">
        <f>IF(AX$6="","",IF(AX$3="Maior",iferror(VLOOKUP($R48,Capa!$A:$AJ,AX$5,0),0),IF(ISERROR(1/VLOOKUP($R48,Capa!$A:$AJ,AX$5,0)),0,1/VLOOKUP($R48,Capa!$A:$AJ,AX$5,0))))</f>
        <v/>
      </c>
      <c r="AY48" s="174" t="str">
        <f>IF(AY$6="","",IF(AY$3="Maior",iferror(VLOOKUP($R48,Capa!$A:$AJ,AY$5,0),0),IF(ISERROR(1/VLOOKUP($R48,Capa!$A:$AJ,AY$5,0)),0,1/VLOOKUP($R48,Capa!$A:$AJ,AY$5,0))))</f>
        <v/>
      </c>
      <c r="AZ48" s="174" t="str">
        <f>IF(AZ$6="","",IF(AZ$3="Maior",iferror(VLOOKUP($R48,Capa!$A:$AJ,AZ$5,0),0),IF(ISERROR(1/VLOOKUP($R48,Capa!$A:$AJ,AZ$5,0)),0,1/VLOOKUP($R48,Capa!$A:$AJ,AZ$5,0))))</f>
        <v/>
      </c>
      <c r="BA48" s="174" t="str">
        <f>IF(BA$6="","",IF(BA$3="Maior",iferror(VLOOKUP($R48,Capa!$A:$AJ,BA$5,0),0),IF(ISERROR(1/VLOOKUP($R48,Capa!$A:$AJ,BA$5,0)),0,1/VLOOKUP($R48,Capa!$A:$AJ,BA$5,0))))</f>
        <v/>
      </c>
      <c r="BB48" s="174" t="str">
        <f>IF(BB$6="","",IF(BB$3="Maior",iferror(VLOOKUP($R48,Capa!$A:$AJ,BB$5,0),0),IF(ISERROR(1/VLOOKUP($R48,Capa!$A:$AJ,BB$5,0)),0,1/VLOOKUP($R48,Capa!$A:$AJ,BB$5,0))))</f>
        <v/>
      </c>
      <c r="BC48" s="174" t="str">
        <f>IF(BC$6="","",IF(BC$3="Maior",iferror(VLOOKUP($R48,Capa!$A:$AJ,BC$5,0),0),IF(ISERROR(1/VLOOKUP($R48,Capa!$A:$AJ,BC$5,0)),0,1/VLOOKUP($R48,Capa!$A:$AJ,BC$5,0))))</f>
        <v/>
      </c>
      <c r="BD48" s="174" t="str">
        <f>IF(BD$6="","",IF(BD$3="Maior",iferror(VLOOKUP($R48,Capa!$A:$AJ,BD$5,0),0),IF(ISERROR(1/VLOOKUP($R48,Capa!$A:$AJ,BD$5,0)),0,1/VLOOKUP($R48,Capa!$A:$AJ,BD$5,0))))</f>
        <v/>
      </c>
      <c r="BE48" s="174" t="str">
        <f>IF(BE$6="","",IF(BE$3="Maior",iferror(VLOOKUP($R48,Capa!$A:$AJ,BE$5,0),0),IF(ISERROR(1/VLOOKUP($R48,Capa!$A:$AJ,BE$5,0)),0,1/VLOOKUP($R48,Capa!$A:$AJ,BE$5,0))))</f>
        <v/>
      </c>
      <c r="BF48" s="174" t="str">
        <f>IF(BF$6="","",IF(BF$3="Maior",iferror(VLOOKUP($R48,Capa!$A:$AJ,BF$5,0),0),IF(ISERROR(1/VLOOKUP($R48,Capa!$A:$AJ,BF$5,0)),0,1/VLOOKUP($R48,Capa!$A:$AJ,BF$5,0))))</f>
        <v/>
      </c>
      <c r="BG48" s="174" t="str">
        <f>IF(BG$6="","",IF(BG$3="Maior",iferror(VLOOKUP($R48,Capa!$A:$AJ,BG$5,0),0),IF(ISERROR(1/VLOOKUP($R48,Capa!$A:$AJ,BG$5,0)),0,1/VLOOKUP($R48,Capa!$A:$AJ,BG$5,0))))</f>
        <v/>
      </c>
      <c r="BH48" s="174" t="str">
        <f>IF(BH$6="","",IF(BH$3="Maior",iferror(VLOOKUP($R48,Capa!$A:$AJ,BH$5,0),0),IF(ISERROR(1/VLOOKUP($R48,Capa!$A:$AJ,BH$5,0)),0,1/VLOOKUP($R48,Capa!$A:$AJ,BH$5,0))))</f>
        <v/>
      </c>
      <c r="BI48" s="174" t="str">
        <f>IF(BI$6="","",IF(BI$3="Maior",iferror(VLOOKUP($R48,Capa!$A:$AJ,BI$5,0),0),IF(ISERROR(1/VLOOKUP($R48,Capa!$A:$AJ,BI$5,0)),0,1/VLOOKUP($R48,Capa!$A:$AJ,BI$5,0))))</f>
        <v/>
      </c>
      <c r="BJ48" s="174" t="str">
        <f>IF(BJ$6="","",IF(BJ$3="Maior",iferror(VLOOKUP($R48,Capa!$A:$AJ,BJ$5,0),0),IF(ISERROR(1/VLOOKUP($R48,Capa!$A:$AJ,BJ$5,0)),0,1/VLOOKUP($R48,Capa!$A:$AJ,BJ$5,0))))</f>
        <v/>
      </c>
      <c r="BK48" s="174" t="str">
        <f>IF(BK$6="","",IF(BK$3="Maior",iferror(VLOOKUP($R48,Capa!$A:$AJ,BK$5,0),0),IF(ISERROR(1/VLOOKUP($R48,Capa!$A:$AJ,BK$5,0)),0,1/VLOOKUP($R48,Capa!$A:$AJ,BK$5,0))))</f>
        <v/>
      </c>
      <c r="BL48" s="174" t="str">
        <f>IF(BL$6="","",IF(BL$3="Maior",iferror(VLOOKUP($R48,Capa!$A:$AJ,BL$5,0),0),IF(ISERROR(1/VLOOKUP($R48,Capa!$A:$AJ,BL$5,0)),0,1/VLOOKUP($R48,Capa!$A:$AJ,BL$5,0))))</f>
        <v/>
      </c>
      <c r="BM48" s="174" t="str">
        <f>IF(BM$6="","",IF(BM$3="Maior",iferror(VLOOKUP($R48,Capa!$A:$AJ,BM$5,0),0),IF(ISERROR(1/VLOOKUP($R48,Capa!$A:$AJ,BM$5,0)),0,1/VLOOKUP($R48,Capa!$A:$AJ,BM$5,0))))</f>
        <v/>
      </c>
      <c r="BN48" s="174" t="str">
        <f>IF(BN$6="","",IF(BN$3="Maior",iferror(VLOOKUP($R48,Capa!$A:$AJ,BN$5,0),0),IF(ISERROR(1/VLOOKUP($R48,Capa!$A:$AJ,BN$5,0)),0,1/VLOOKUP($R48,Capa!$A:$AJ,BN$5,0))))</f>
        <v/>
      </c>
      <c r="BO48" s="174" t="str">
        <f>IF(BO$6="","",IF(BO$3="Maior",iferror(VLOOKUP($R48,Capa!$A:$AJ,BO$5,0),0),IF(ISERROR(1/VLOOKUP($R48,Capa!$A:$AJ,BO$5,0)),0,1/VLOOKUP($R48,Capa!$A:$AJ,BO$5,0))))</f>
        <v/>
      </c>
      <c r="BP48" s="174" t="str">
        <f>IF(BP$6="","",IF(BP$3="Maior",iferror(VLOOKUP($R48,Capa!$A:$AJ,BP$5,0),0),IF(ISERROR(1/VLOOKUP($R48,Capa!$A:$AJ,BP$5,0)),0,1/VLOOKUP($R48,Capa!$A:$AJ,BP$5,0))))</f>
        <v/>
      </c>
      <c r="BQ48" s="174" t="str">
        <f>IF(BQ$6="","",IF(BQ$3="Maior",iferror(VLOOKUP($R48,Capa!$A:$AJ,BQ$5,0),0),IF(ISERROR(1/VLOOKUP($R48,Capa!$A:$AJ,BQ$5,0)),0,1/VLOOKUP($R48,Capa!$A:$AJ,BQ$5,0))))</f>
        <v/>
      </c>
      <c r="BR48" s="175"/>
      <c r="BS48" s="147"/>
    </row>
    <row r="49">
      <c r="G49" s="11"/>
      <c r="H49" s="8">
        <v>43.0</v>
      </c>
      <c r="I49" s="165" t="str">
        <f t="shared" si="6"/>
        <v>ABCB4</v>
      </c>
      <c r="J49" s="167" t="str">
        <f>(VLOOKUP($I49,Capa!$A:$B,2,0))</f>
        <v>#N/A</v>
      </c>
      <c r="K49" s="167" t="str">
        <f>VLOOKUP(left(I49,4),Setor!A:D,3,0)&amp;" | "&amp;VLOOKUP(left(I49,4),Setor!A:D,4,0)</f>
        <v>Financeiro | Intermediários Financeiros</v>
      </c>
      <c r="L49" s="10" t="str">
        <f>(VLOOKUP($I49,Capa!$A:$F,6,0))</f>
        <v>#N/A</v>
      </c>
      <c r="M49" s="168">
        <f t="shared" si="7"/>
        <v>20208097</v>
      </c>
      <c r="N49" s="11" t="str">
        <f>(VLOOKUP($I49,Capa!$A:$H,7,0))</f>
        <v>#N/A</v>
      </c>
      <c r="O49" s="11" t="str">
        <f>(VLOOKUP($I49,Capa!$A:$H,8,0))</f>
        <v>#N/A</v>
      </c>
      <c r="P49" s="11" t="str">
        <f>(VLOOKUP($I49,Capa!$A:$J,10,0))</f>
        <v>#N/A</v>
      </c>
      <c r="Q49" s="11" t="str">
        <f>(VLOOKUP($I49,Capa!$A:$K,11,0))</f>
        <v>#N/A</v>
      </c>
      <c r="R49" s="45" t="str">
        <f>'Dados StatusInvest'!A44</f>
        <v>AZUL53</v>
      </c>
      <c r="S49" s="170">
        <f t="shared" si="8"/>
        <v>370.037</v>
      </c>
      <c r="T49" s="171">
        <f>VLOOKUP(R49,'Dados StatusInvest'!A:Z,26,0)</f>
        <v>3868102</v>
      </c>
      <c r="U49" s="172">
        <f t="shared" ref="U49:AS49" si="51">IF(AT49="","", RANK(AT49,AT$7:AT$626,0)+RANK(AT49,AT$7:AT$626,0)/10000)</f>
        <v>103.0103</v>
      </c>
      <c r="V49" s="172">
        <f t="shared" si="51"/>
        <v>267.0267</v>
      </c>
      <c r="W49" s="172" t="str">
        <f t="shared" si="51"/>
        <v/>
      </c>
      <c r="X49" s="172" t="str">
        <f t="shared" si="51"/>
        <v/>
      </c>
      <c r="Y49" s="172" t="str">
        <f t="shared" si="51"/>
        <v/>
      </c>
      <c r="Z49" s="172" t="str">
        <f t="shared" si="51"/>
        <v/>
      </c>
      <c r="AA49" s="172" t="str">
        <f t="shared" si="51"/>
        <v/>
      </c>
      <c r="AB49" s="172" t="str">
        <f t="shared" si="51"/>
        <v/>
      </c>
      <c r="AC49" s="172" t="str">
        <f t="shared" si="51"/>
        <v/>
      </c>
      <c r="AD49" s="172" t="str">
        <f t="shared" si="51"/>
        <v/>
      </c>
      <c r="AE49" s="172" t="str">
        <f t="shared" si="51"/>
        <v/>
      </c>
      <c r="AF49" s="172" t="str">
        <f t="shared" si="51"/>
        <v/>
      </c>
      <c r="AG49" s="172" t="str">
        <f t="shared" si="51"/>
        <v/>
      </c>
      <c r="AH49" s="172" t="str">
        <f t="shared" si="51"/>
        <v/>
      </c>
      <c r="AI49" s="172" t="str">
        <f t="shared" si="51"/>
        <v/>
      </c>
      <c r="AJ49" s="172" t="str">
        <f t="shared" si="51"/>
        <v/>
      </c>
      <c r="AK49" s="172" t="str">
        <f t="shared" si="51"/>
        <v/>
      </c>
      <c r="AL49" s="172" t="str">
        <f t="shared" si="51"/>
        <v/>
      </c>
      <c r="AM49" s="172" t="str">
        <f t="shared" si="51"/>
        <v/>
      </c>
      <c r="AN49" s="172" t="str">
        <f t="shared" si="51"/>
        <v/>
      </c>
      <c r="AO49" s="172" t="str">
        <f t="shared" si="51"/>
        <v/>
      </c>
      <c r="AP49" s="172" t="str">
        <f t="shared" si="51"/>
        <v/>
      </c>
      <c r="AQ49" s="172" t="str">
        <f t="shared" si="51"/>
        <v/>
      </c>
      <c r="AR49" s="172" t="str">
        <f t="shared" si="51"/>
        <v/>
      </c>
      <c r="AS49" s="172" t="str">
        <f t="shared" si="51"/>
        <v/>
      </c>
      <c r="AT49" s="173">
        <f>IF(AT$6="","",IF(AT$3="Maior",iferror(VLOOKUP($R49,Capa!$A:$AJ,AT$5,0),0),IF(ISERROR(1/VLOOKUP($R49,Capa!$A:$AJ,AT$5,0)),0,1/VLOOKUP($R49,Capa!$A:$AJ,AT$5,0))))</f>
        <v>-0.000002328842622</v>
      </c>
      <c r="AU49" s="174">
        <f>IF(AU$6="","",IF(AU$3="Maior",iferror(VLOOKUP($R49,Capa!$A:$AJ,AU$5,0),0),IF(ISERROR(1/VLOOKUP($R49,Capa!$A:$AJ,AU$5,0)),0,1/VLOOKUP($R49,Capa!$A:$AJ,AU$5,0))))</f>
        <v>0</v>
      </c>
      <c r="AV49" s="174" t="str">
        <f>IF(AV$6="","",IF(AV$3="Maior",iferror(VLOOKUP($R49,Capa!$A:$AJ,AV$5,0),0),IF(ISERROR(1/VLOOKUP($R49,Capa!$A:$AJ,AV$5,0)),0,1/VLOOKUP($R49,Capa!$A:$AJ,AV$5,0))))</f>
        <v/>
      </c>
      <c r="AW49" s="174" t="str">
        <f>IF(AW$6="","",IF(AW$3="Maior",iferror(VLOOKUP($R49,Capa!$A:$AJ,AW$5,0),0),IF(ISERROR(1/VLOOKUP($R49,Capa!$A:$AJ,AW$5,0)),0,1/VLOOKUP($R49,Capa!$A:$AJ,AW$5,0))))</f>
        <v/>
      </c>
      <c r="AX49" s="174" t="str">
        <f>IF(AX$6="","",IF(AX$3="Maior",iferror(VLOOKUP($R49,Capa!$A:$AJ,AX$5,0),0),IF(ISERROR(1/VLOOKUP($R49,Capa!$A:$AJ,AX$5,0)),0,1/VLOOKUP($R49,Capa!$A:$AJ,AX$5,0))))</f>
        <v/>
      </c>
      <c r="AY49" s="174" t="str">
        <f>IF(AY$6="","",IF(AY$3="Maior",iferror(VLOOKUP($R49,Capa!$A:$AJ,AY$5,0),0),IF(ISERROR(1/VLOOKUP($R49,Capa!$A:$AJ,AY$5,0)),0,1/VLOOKUP($R49,Capa!$A:$AJ,AY$5,0))))</f>
        <v/>
      </c>
      <c r="AZ49" s="174" t="str">
        <f>IF(AZ$6="","",IF(AZ$3="Maior",iferror(VLOOKUP($R49,Capa!$A:$AJ,AZ$5,0),0),IF(ISERROR(1/VLOOKUP($R49,Capa!$A:$AJ,AZ$5,0)),0,1/VLOOKUP($R49,Capa!$A:$AJ,AZ$5,0))))</f>
        <v/>
      </c>
      <c r="BA49" s="174" t="str">
        <f>IF(BA$6="","",IF(BA$3="Maior",iferror(VLOOKUP($R49,Capa!$A:$AJ,BA$5,0),0),IF(ISERROR(1/VLOOKUP($R49,Capa!$A:$AJ,BA$5,0)),0,1/VLOOKUP($R49,Capa!$A:$AJ,BA$5,0))))</f>
        <v/>
      </c>
      <c r="BB49" s="174" t="str">
        <f>IF(BB$6="","",IF(BB$3="Maior",iferror(VLOOKUP($R49,Capa!$A:$AJ,BB$5,0),0),IF(ISERROR(1/VLOOKUP($R49,Capa!$A:$AJ,BB$5,0)),0,1/VLOOKUP($R49,Capa!$A:$AJ,BB$5,0))))</f>
        <v/>
      </c>
      <c r="BC49" s="174" t="str">
        <f>IF(BC$6="","",IF(BC$3="Maior",iferror(VLOOKUP($R49,Capa!$A:$AJ,BC$5,0),0),IF(ISERROR(1/VLOOKUP($R49,Capa!$A:$AJ,BC$5,0)),0,1/VLOOKUP($R49,Capa!$A:$AJ,BC$5,0))))</f>
        <v/>
      </c>
      <c r="BD49" s="174" t="str">
        <f>IF(BD$6="","",IF(BD$3="Maior",iferror(VLOOKUP($R49,Capa!$A:$AJ,BD$5,0),0),IF(ISERROR(1/VLOOKUP($R49,Capa!$A:$AJ,BD$5,0)),0,1/VLOOKUP($R49,Capa!$A:$AJ,BD$5,0))))</f>
        <v/>
      </c>
      <c r="BE49" s="174" t="str">
        <f>IF(BE$6="","",IF(BE$3="Maior",iferror(VLOOKUP($R49,Capa!$A:$AJ,BE$5,0),0),IF(ISERROR(1/VLOOKUP($R49,Capa!$A:$AJ,BE$5,0)),0,1/VLOOKUP($R49,Capa!$A:$AJ,BE$5,0))))</f>
        <v/>
      </c>
      <c r="BF49" s="174" t="str">
        <f>IF(BF$6="","",IF(BF$3="Maior",iferror(VLOOKUP($R49,Capa!$A:$AJ,BF$5,0),0),IF(ISERROR(1/VLOOKUP($R49,Capa!$A:$AJ,BF$5,0)),0,1/VLOOKUP($R49,Capa!$A:$AJ,BF$5,0))))</f>
        <v/>
      </c>
      <c r="BG49" s="174" t="str">
        <f>IF(BG$6="","",IF(BG$3="Maior",iferror(VLOOKUP($R49,Capa!$A:$AJ,BG$5,0),0),IF(ISERROR(1/VLOOKUP($R49,Capa!$A:$AJ,BG$5,0)),0,1/VLOOKUP($R49,Capa!$A:$AJ,BG$5,0))))</f>
        <v/>
      </c>
      <c r="BH49" s="174" t="str">
        <f>IF(BH$6="","",IF(BH$3="Maior",iferror(VLOOKUP($R49,Capa!$A:$AJ,BH$5,0),0),IF(ISERROR(1/VLOOKUP($R49,Capa!$A:$AJ,BH$5,0)),0,1/VLOOKUP($R49,Capa!$A:$AJ,BH$5,0))))</f>
        <v/>
      </c>
      <c r="BI49" s="174" t="str">
        <f>IF(BI$6="","",IF(BI$3="Maior",iferror(VLOOKUP($R49,Capa!$A:$AJ,BI$5,0),0),IF(ISERROR(1/VLOOKUP($R49,Capa!$A:$AJ,BI$5,0)),0,1/VLOOKUP($R49,Capa!$A:$AJ,BI$5,0))))</f>
        <v/>
      </c>
      <c r="BJ49" s="174" t="str">
        <f>IF(BJ$6="","",IF(BJ$3="Maior",iferror(VLOOKUP($R49,Capa!$A:$AJ,BJ$5,0),0),IF(ISERROR(1/VLOOKUP($R49,Capa!$A:$AJ,BJ$5,0)),0,1/VLOOKUP($R49,Capa!$A:$AJ,BJ$5,0))))</f>
        <v/>
      </c>
      <c r="BK49" s="174" t="str">
        <f>IF(BK$6="","",IF(BK$3="Maior",iferror(VLOOKUP($R49,Capa!$A:$AJ,BK$5,0),0),IF(ISERROR(1/VLOOKUP($R49,Capa!$A:$AJ,BK$5,0)),0,1/VLOOKUP($R49,Capa!$A:$AJ,BK$5,0))))</f>
        <v/>
      </c>
      <c r="BL49" s="174" t="str">
        <f>IF(BL$6="","",IF(BL$3="Maior",iferror(VLOOKUP($R49,Capa!$A:$AJ,BL$5,0),0),IF(ISERROR(1/VLOOKUP($R49,Capa!$A:$AJ,BL$5,0)),0,1/VLOOKUP($R49,Capa!$A:$AJ,BL$5,0))))</f>
        <v/>
      </c>
      <c r="BM49" s="174" t="str">
        <f>IF(BM$6="","",IF(BM$3="Maior",iferror(VLOOKUP($R49,Capa!$A:$AJ,BM$5,0),0),IF(ISERROR(1/VLOOKUP($R49,Capa!$A:$AJ,BM$5,0)),0,1/VLOOKUP($R49,Capa!$A:$AJ,BM$5,0))))</f>
        <v/>
      </c>
      <c r="BN49" s="174" t="str">
        <f>IF(BN$6="","",IF(BN$3="Maior",iferror(VLOOKUP($R49,Capa!$A:$AJ,BN$5,0),0),IF(ISERROR(1/VLOOKUP($R49,Capa!$A:$AJ,BN$5,0)),0,1/VLOOKUP($R49,Capa!$A:$AJ,BN$5,0))))</f>
        <v/>
      </c>
      <c r="BO49" s="174" t="str">
        <f>IF(BO$6="","",IF(BO$3="Maior",iferror(VLOOKUP($R49,Capa!$A:$AJ,BO$5,0),0),IF(ISERROR(1/VLOOKUP($R49,Capa!$A:$AJ,BO$5,0)),0,1/VLOOKUP($R49,Capa!$A:$AJ,BO$5,0))))</f>
        <v/>
      </c>
      <c r="BP49" s="174" t="str">
        <f>IF(BP$6="","",IF(BP$3="Maior",iferror(VLOOKUP($R49,Capa!$A:$AJ,BP$5,0),0),IF(ISERROR(1/VLOOKUP($R49,Capa!$A:$AJ,BP$5,0)),0,1/VLOOKUP($R49,Capa!$A:$AJ,BP$5,0))))</f>
        <v/>
      </c>
      <c r="BQ49" s="174" t="str">
        <f>IF(BQ$6="","",IF(BQ$3="Maior",iferror(VLOOKUP($R49,Capa!$A:$AJ,BQ$5,0),0),IF(ISERROR(1/VLOOKUP($R49,Capa!$A:$AJ,BQ$5,0)),0,1/VLOOKUP($R49,Capa!$A:$AJ,BQ$5,0))))</f>
        <v/>
      </c>
      <c r="BR49" s="175"/>
      <c r="BS49" s="147"/>
    </row>
    <row r="50">
      <c r="G50" s="11"/>
      <c r="H50" s="8">
        <v>44.0</v>
      </c>
      <c r="I50" s="165" t="str">
        <f t="shared" si="6"/>
        <v>ABCB4</v>
      </c>
      <c r="J50" s="167" t="str">
        <f>(VLOOKUP($I50,Capa!$A:$B,2,0))</f>
        <v>#N/A</v>
      </c>
      <c r="K50" s="167" t="str">
        <f>VLOOKUP(left(I50,4),Setor!A:D,3,0)&amp;" | "&amp;VLOOKUP(left(I50,4),Setor!A:D,4,0)</f>
        <v>Financeiro | Intermediários Financeiros</v>
      </c>
      <c r="L50" s="10" t="str">
        <f>(VLOOKUP($I50,Capa!$A:$F,6,0))</f>
        <v>#N/A</v>
      </c>
      <c r="M50" s="168">
        <f t="shared" si="7"/>
        <v>20208097</v>
      </c>
      <c r="N50" s="11" t="str">
        <f>(VLOOKUP($I50,Capa!$A:$H,7,0))</f>
        <v>#N/A</v>
      </c>
      <c r="O50" s="11" t="str">
        <f>(VLOOKUP($I50,Capa!$A:$H,8,0))</f>
        <v>#N/A</v>
      </c>
      <c r="P50" s="11" t="str">
        <f>(VLOOKUP($I50,Capa!$A:$J,10,0))</f>
        <v>#N/A</v>
      </c>
      <c r="Q50" s="11" t="str">
        <f>(VLOOKUP($I50,Capa!$A:$K,11,0))</f>
        <v>#N/A</v>
      </c>
      <c r="R50" s="45" t="str">
        <f>'Dados StatusInvest'!A45</f>
        <v>AZUL54</v>
      </c>
      <c r="S50" s="170">
        <f t="shared" si="8"/>
        <v>314.0314</v>
      </c>
      <c r="T50" s="171">
        <f>VLOOKUP(R50,'Dados StatusInvest'!A:Z,26,0)</f>
        <v>20945788</v>
      </c>
      <c r="U50" s="172">
        <f t="shared" ref="U50:AS50" si="52">IF(AT50="","", RANK(AT50,AT$7:AT$626,0)+RANK(AT50,AT$7:AT$626,0)/10000)</f>
        <v>47.0047</v>
      </c>
      <c r="V50" s="172">
        <f t="shared" si="52"/>
        <v>267.0267</v>
      </c>
      <c r="W50" s="172" t="str">
        <f t="shared" si="52"/>
        <v/>
      </c>
      <c r="X50" s="172" t="str">
        <f t="shared" si="52"/>
        <v/>
      </c>
      <c r="Y50" s="172" t="str">
        <f t="shared" si="52"/>
        <v/>
      </c>
      <c r="Z50" s="172" t="str">
        <f t="shared" si="52"/>
        <v/>
      </c>
      <c r="AA50" s="172" t="str">
        <f t="shared" si="52"/>
        <v/>
      </c>
      <c r="AB50" s="172" t="str">
        <f t="shared" si="52"/>
        <v/>
      </c>
      <c r="AC50" s="172" t="str">
        <f t="shared" si="52"/>
        <v/>
      </c>
      <c r="AD50" s="172" t="str">
        <f t="shared" si="52"/>
        <v/>
      </c>
      <c r="AE50" s="172" t="str">
        <f t="shared" si="52"/>
        <v/>
      </c>
      <c r="AF50" s="172" t="str">
        <f t="shared" si="52"/>
        <v/>
      </c>
      <c r="AG50" s="172" t="str">
        <f t="shared" si="52"/>
        <v/>
      </c>
      <c r="AH50" s="172" t="str">
        <f t="shared" si="52"/>
        <v/>
      </c>
      <c r="AI50" s="172" t="str">
        <f t="shared" si="52"/>
        <v/>
      </c>
      <c r="AJ50" s="172" t="str">
        <f t="shared" si="52"/>
        <v/>
      </c>
      <c r="AK50" s="172" t="str">
        <f t="shared" si="52"/>
        <v/>
      </c>
      <c r="AL50" s="172" t="str">
        <f t="shared" si="52"/>
        <v/>
      </c>
      <c r="AM50" s="172" t="str">
        <f t="shared" si="52"/>
        <v/>
      </c>
      <c r="AN50" s="172" t="str">
        <f t="shared" si="52"/>
        <v/>
      </c>
      <c r="AO50" s="172" t="str">
        <f t="shared" si="52"/>
        <v/>
      </c>
      <c r="AP50" s="172" t="str">
        <f t="shared" si="52"/>
        <v/>
      </c>
      <c r="AQ50" s="172" t="str">
        <f t="shared" si="52"/>
        <v/>
      </c>
      <c r="AR50" s="172" t="str">
        <f t="shared" si="52"/>
        <v/>
      </c>
      <c r="AS50" s="172" t="str">
        <f t="shared" si="52"/>
        <v/>
      </c>
      <c r="AT50" s="173">
        <f>IF(AT$6="","",IF(AT$3="Maior",iferror(VLOOKUP($R50,Capa!$A:$AJ,AT$5,0),0),IF(ISERROR(1/VLOOKUP($R50,Capa!$A:$AJ,AT$5,0)),0,1/VLOOKUP($R50,Capa!$A:$AJ,AT$5,0))))</f>
        <v>0.0001253918495</v>
      </c>
      <c r="AU50" s="174">
        <f>IF(AU$6="","",IF(AU$3="Maior",iferror(VLOOKUP($R50,Capa!$A:$AJ,AU$5,0),0),IF(ISERROR(1/VLOOKUP($R50,Capa!$A:$AJ,AU$5,0)),0,1/VLOOKUP($R50,Capa!$A:$AJ,AU$5,0))))</f>
        <v>0</v>
      </c>
      <c r="AV50" s="174" t="str">
        <f>IF(AV$6="","",IF(AV$3="Maior",iferror(VLOOKUP($R50,Capa!$A:$AJ,AV$5,0),0),IF(ISERROR(1/VLOOKUP($R50,Capa!$A:$AJ,AV$5,0)),0,1/VLOOKUP($R50,Capa!$A:$AJ,AV$5,0))))</f>
        <v/>
      </c>
      <c r="AW50" s="174" t="str">
        <f>IF(AW$6="","",IF(AW$3="Maior",iferror(VLOOKUP($R50,Capa!$A:$AJ,AW$5,0),0),IF(ISERROR(1/VLOOKUP($R50,Capa!$A:$AJ,AW$5,0)),0,1/VLOOKUP($R50,Capa!$A:$AJ,AW$5,0))))</f>
        <v/>
      </c>
      <c r="AX50" s="174" t="str">
        <f>IF(AX$6="","",IF(AX$3="Maior",iferror(VLOOKUP($R50,Capa!$A:$AJ,AX$5,0),0),IF(ISERROR(1/VLOOKUP($R50,Capa!$A:$AJ,AX$5,0)),0,1/VLOOKUP($R50,Capa!$A:$AJ,AX$5,0))))</f>
        <v/>
      </c>
      <c r="AY50" s="174" t="str">
        <f>IF(AY$6="","",IF(AY$3="Maior",iferror(VLOOKUP($R50,Capa!$A:$AJ,AY$5,0),0),IF(ISERROR(1/VLOOKUP($R50,Capa!$A:$AJ,AY$5,0)),0,1/VLOOKUP($R50,Capa!$A:$AJ,AY$5,0))))</f>
        <v/>
      </c>
      <c r="AZ50" s="174" t="str">
        <f>IF(AZ$6="","",IF(AZ$3="Maior",iferror(VLOOKUP($R50,Capa!$A:$AJ,AZ$5,0),0),IF(ISERROR(1/VLOOKUP($R50,Capa!$A:$AJ,AZ$5,0)),0,1/VLOOKUP($R50,Capa!$A:$AJ,AZ$5,0))))</f>
        <v/>
      </c>
      <c r="BA50" s="174" t="str">
        <f>IF(BA$6="","",IF(BA$3="Maior",iferror(VLOOKUP($R50,Capa!$A:$AJ,BA$5,0),0),IF(ISERROR(1/VLOOKUP($R50,Capa!$A:$AJ,BA$5,0)),0,1/VLOOKUP($R50,Capa!$A:$AJ,BA$5,0))))</f>
        <v/>
      </c>
      <c r="BB50" s="174" t="str">
        <f>IF(BB$6="","",IF(BB$3="Maior",iferror(VLOOKUP($R50,Capa!$A:$AJ,BB$5,0),0),IF(ISERROR(1/VLOOKUP($R50,Capa!$A:$AJ,BB$5,0)),0,1/VLOOKUP($R50,Capa!$A:$AJ,BB$5,0))))</f>
        <v/>
      </c>
      <c r="BC50" s="174" t="str">
        <f>IF(BC$6="","",IF(BC$3="Maior",iferror(VLOOKUP($R50,Capa!$A:$AJ,BC$5,0),0),IF(ISERROR(1/VLOOKUP($R50,Capa!$A:$AJ,BC$5,0)),0,1/VLOOKUP($R50,Capa!$A:$AJ,BC$5,0))))</f>
        <v/>
      </c>
      <c r="BD50" s="174" t="str">
        <f>IF(BD$6="","",IF(BD$3="Maior",iferror(VLOOKUP($R50,Capa!$A:$AJ,BD$5,0),0),IF(ISERROR(1/VLOOKUP($R50,Capa!$A:$AJ,BD$5,0)),0,1/VLOOKUP($R50,Capa!$A:$AJ,BD$5,0))))</f>
        <v/>
      </c>
      <c r="BE50" s="174" t="str">
        <f>IF(BE$6="","",IF(BE$3="Maior",iferror(VLOOKUP($R50,Capa!$A:$AJ,BE$5,0),0),IF(ISERROR(1/VLOOKUP($R50,Capa!$A:$AJ,BE$5,0)),0,1/VLOOKUP($R50,Capa!$A:$AJ,BE$5,0))))</f>
        <v/>
      </c>
      <c r="BF50" s="174" t="str">
        <f>IF(BF$6="","",IF(BF$3="Maior",iferror(VLOOKUP($R50,Capa!$A:$AJ,BF$5,0),0),IF(ISERROR(1/VLOOKUP($R50,Capa!$A:$AJ,BF$5,0)),0,1/VLOOKUP($R50,Capa!$A:$AJ,BF$5,0))))</f>
        <v/>
      </c>
      <c r="BG50" s="174" t="str">
        <f>IF(BG$6="","",IF(BG$3="Maior",iferror(VLOOKUP($R50,Capa!$A:$AJ,BG$5,0),0),IF(ISERROR(1/VLOOKUP($R50,Capa!$A:$AJ,BG$5,0)),0,1/VLOOKUP($R50,Capa!$A:$AJ,BG$5,0))))</f>
        <v/>
      </c>
      <c r="BH50" s="174" t="str">
        <f>IF(BH$6="","",IF(BH$3="Maior",iferror(VLOOKUP($R50,Capa!$A:$AJ,BH$5,0),0),IF(ISERROR(1/VLOOKUP($R50,Capa!$A:$AJ,BH$5,0)),0,1/VLOOKUP($R50,Capa!$A:$AJ,BH$5,0))))</f>
        <v/>
      </c>
      <c r="BI50" s="174" t="str">
        <f>IF(BI$6="","",IF(BI$3="Maior",iferror(VLOOKUP($R50,Capa!$A:$AJ,BI$5,0),0),IF(ISERROR(1/VLOOKUP($R50,Capa!$A:$AJ,BI$5,0)),0,1/VLOOKUP($R50,Capa!$A:$AJ,BI$5,0))))</f>
        <v/>
      </c>
      <c r="BJ50" s="174" t="str">
        <f>IF(BJ$6="","",IF(BJ$3="Maior",iferror(VLOOKUP($R50,Capa!$A:$AJ,BJ$5,0),0),IF(ISERROR(1/VLOOKUP($R50,Capa!$A:$AJ,BJ$5,0)),0,1/VLOOKUP($R50,Capa!$A:$AJ,BJ$5,0))))</f>
        <v/>
      </c>
      <c r="BK50" s="174" t="str">
        <f>IF(BK$6="","",IF(BK$3="Maior",iferror(VLOOKUP($R50,Capa!$A:$AJ,BK$5,0),0),IF(ISERROR(1/VLOOKUP($R50,Capa!$A:$AJ,BK$5,0)),0,1/VLOOKUP($R50,Capa!$A:$AJ,BK$5,0))))</f>
        <v/>
      </c>
      <c r="BL50" s="174" t="str">
        <f>IF(BL$6="","",IF(BL$3="Maior",iferror(VLOOKUP($R50,Capa!$A:$AJ,BL$5,0),0),IF(ISERROR(1/VLOOKUP($R50,Capa!$A:$AJ,BL$5,0)),0,1/VLOOKUP($R50,Capa!$A:$AJ,BL$5,0))))</f>
        <v/>
      </c>
      <c r="BM50" s="174" t="str">
        <f>IF(BM$6="","",IF(BM$3="Maior",iferror(VLOOKUP($R50,Capa!$A:$AJ,BM$5,0),0),IF(ISERROR(1/VLOOKUP($R50,Capa!$A:$AJ,BM$5,0)),0,1/VLOOKUP($R50,Capa!$A:$AJ,BM$5,0))))</f>
        <v/>
      </c>
      <c r="BN50" s="174" t="str">
        <f>IF(BN$6="","",IF(BN$3="Maior",iferror(VLOOKUP($R50,Capa!$A:$AJ,BN$5,0),0),IF(ISERROR(1/VLOOKUP($R50,Capa!$A:$AJ,BN$5,0)),0,1/VLOOKUP($R50,Capa!$A:$AJ,BN$5,0))))</f>
        <v/>
      </c>
      <c r="BO50" s="174" t="str">
        <f>IF(BO$6="","",IF(BO$3="Maior",iferror(VLOOKUP($R50,Capa!$A:$AJ,BO$5,0),0),IF(ISERROR(1/VLOOKUP($R50,Capa!$A:$AJ,BO$5,0)),0,1/VLOOKUP($R50,Capa!$A:$AJ,BO$5,0))))</f>
        <v/>
      </c>
      <c r="BP50" s="174" t="str">
        <f>IF(BP$6="","",IF(BP$3="Maior",iferror(VLOOKUP($R50,Capa!$A:$AJ,BP$5,0),0),IF(ISERROR(1/VLOOKUP($R50,Capa!$A:$AJ,BP$5,0)),0,1/VLOOKUP($R50,Capa!$A:$AJ,BP$5,0))))</f>
        <v/>
      </c>
      <c r="BQ50" s="174" t="str">
        <f>IF(BQ$6="","",IF(BQ$3="Maior",iferror(VLOOKUP($R50,Capa!$A:$AJ,BQ$5,0),0),IF(ISERROR(1/VLOOKUP($R50,Capa!$A:$AJ,BQ$5,0)),0,1/VLOOKUP($R50,Capa!$A:$AJ,BQ$5,0))))</f>
        <v/>
      </c>
      <c r="BR50" s="175"/>
      <c r="BS50" s="147"/>
    </row>
    <row r="51">
      <c r="G51" s="11"/>
      <c r="H51" s="8">
        <v>45.0</v>
      </c>
      <c r="I51" s="165" t="str">
        <f t="shared" si="6"/>
        <v>ABCB4</v>
      </c>
      <c r="J51" s="167" t="str">
        <f>(VLOOKUP($I51,Capa!$A:$B,2,0))</f>
        <v>#N/A</v>
      </c>
      <c r="K51" s="167" t="str">
        <f>VLOOKUP(left(I51,4),Setor!A:D,3,0)&amp;" | "&amp;VLOOKUP(left(I51,4),Setor!A:D,4,0)</f>
        <v>Financeiro | Intermediários Financeiros</v>
      </c>
      <c r="L51" s="10" t="str">
        <f>(VLOOKUP($I51,Capa!$A:$F,6,0))</f>
        <v>#N/A</v>
      </c>
      <c r="M51" s="168">
        <f t="shared" si="7"/>
        <v>20208097</v>
      </c>
      <c r="N51" s="11" t="str">
        <f>(VLOOKUP($I51,Capa!$A:$H,7,0))</f>
        <v>#N/A</v>
      </c>
      <c r="O51" s="11" t="str">
        <f>(VLOOKUP($I51,Capa!$A:$H,8,0))</f>
        <v>#N/A</v>
      </c>
      <c r="P51" s="11" t="str">
        <f>(VLOOKUP($I51,Capa!$A:$J,10,0))</f>
        <v>#N/A</v>
      </c>
      <c r="Q51" s="11" t="str">
        <f>(VLOOKUP($I51,Capa!$A:$K,11,0))</f>
        <v>#N/A</v>
      </c>
      <c r="R51" s="45" t="str">
        <f>'Dados StatusInvest'!A46</f>
        <v>AZZA3</v>
      </c>
      <c r="S51" s="170">
        <f t="shared" si="8"/>
        <v>476.0476</v>
      </c>
      <c r="T51" s="171">
        <f>VLOOKUP(R51,'Dados StatusInvest'!A:Z,26,0)</f>
        <v>70676079</v>
      </c>
      <c r="U51" s="172">
        <f t="shared" ref="U51:AS51" si="53">IF(AT51="","", RANK(AT51,AT$7:AT$626,0)+RANK(AT51,AT$7:AT$626,0)/10000)</f>
        <v>427.0427</v>
      </c>
      <c r="V51" s="172">
        <f t="shared" si="53"/>
        <v>49.0049</v>
      </c>
      <c r="W51" s="172" t="str">
        <f t="shared" si="53"/>
        <v/>
      </c>
      <c r="X51" s="172" t="str">
        <f t="shared" si="53"/>
        <v/>
      </c>
      <c r="Y51" s="172" t="str">
        <f t="shared" si="53"/>
        <v/>
      </c>
      <c r="Z51" s="172" t="str">
        <f t="shared" si="53"/>
        <v/>
      </c>
      <c r="AA51" s="172" t="str">
        <f t="shared" si="53"/>
        <v/>
      </c>
      <c r="AB51" s="172" t="str">
        <f t="shared" si="53"/>
        <v/>
      </c>
      <c r="AC51" s="172" t="str">
        <f t="shared" si="53"/>
        <v/>
      </c>
      <c r="AD51" s="172" t="str">
        <f t="shared" si="53"/>
        <v/>
      </c>
      <c r="AE51" s="172" t="str">
        <f t="shared" si="53"/>
        <v/>
      </c>
      <c r="AF51" s="172" t="str">
        <f t="shared" si="53"/>
        <v/>
      </c>
      <c r="AG51" s="172" t="str">
        <f t="shared" si="53"/>
        <v/>
      </c>
      <c r="AH51" s="172" t="str">
        <f t="shared" si="53"/>
        <v/>
      </c>
      <c r="AI51" s="172" t="str">
        <f t="shared" si="53"/>
        <v/>
      </c>
      <c r="AJ51" s="172" t="str">
        <f t="shared" si="53"/>
        <v/>
      </c>
      <c r="AK51" s="172" t="str">
        <f t="shared" si="53"/>
        <v/>
      </c>
      <c r="AL51" s="172" t="str">
        <f t="shared" si="53"/>
        <v/>
      </c>
      <c r="AM51" s="172" t="str">
        <f t="shared" si="53"/>
        <v/>
      </c>
      <c r="AN51" s="172" t="str">
        <f t="shared" si="53"/>
        <v/>
      </c>
      <c r="AO51" s="172" t="str">
        <f t="shared" si="53"/>
        <v/>
      </c>
      <c r="AP51" s="172" t="str">
        <f t="shared" si="53"/>
        <v/>
      </c>
      <c r="AQ51" s="172" t="str">
        <f t="shared" si="53"/>
        <v/>
      </c>
      <c r="AR51" s="172" t="str">
        <f t="shared" si="53"/>
        <v/>
      </c>
      <c r="AS51" s="172" t="str">
        <f t="shared" si="53"/>
        <v/>
      </c>
      <c r="AT51" s="173">
        <f>IF(AT$6="","",IF(AT$3="Maior",iferror(VLOOKUP($R51,Capa!$A:$AJ,AT$5,0),0),IF(ISERROR(1/VLOOKUP($R51,Capa!$A:$AJ,AT$5,0)),0,1/VLOOKUP($R51,Capa!$A:$AJ,AT$5,0))))</f>
        <v>-1.587916344</v>
      </c>
      <c r="AU51" s="174">
        <f>IF(AU$6="","",IF(AU$3="Maior",iferror(VLOOKUP($R51,Capa!$A:$AJ,AU$5,0),0),IF(ISERROR(1/VLOOKUP($R51,Capa!$A:$AJ,AU$5,0)),0,1/VLOOKUP($R51,Capa!$A:$AJ,AU$5,0))))</f>
        <v>35.96</v>
      </c>
      <c r="AV51" s="174" t="str">
        <f>IF(AV$6="","",IF(AV$3="Maior",iferror(VLOOKUP($R51,Capa!$A:$AJ,AV$5,0),0),IF(ISERROR(1/VLOOKUP($R51,Capa!$A:$AJ,AV$5,0)),0,1/VLOOKUP($R51,Capa!$A:$AJ,AV$5,0))))</f>
        <v/>
      </c>
      <c r="AW51" s="174" t="str">
        <f>IF(AW$6="","",IF(AW$3="Maior",iferror(VLOOKUP($R51,Capa!$A:$AJ,AW$5,0),0),IF(ISERROR(1/VLOOKUP($R51,Capa!$A:$AJ,AW$5,0)),0,1/VLOOKUP($R51,Capa!$A:$AJ,AW$5,0))))</f>
        <v/>
      </c>
      <c r="AX51" s="174" t="str">
        <f>IF(AX$6="","",IF(AX$3="Maior",iferror(VLOOKUP($R51,Capa!$A:$AJ,AX$5,0),0),IF(ISERROR(1/VLOOKUP($R51,Capa!$A:$AJ,AX$5,0)),0,1/VLOOKUP($R51,Capa!$A:$AJ,AX$5,0))))</f>
        <v/>
      </c>
      <c r="AY51" s="174" t="str">
        <f>IF(AY$6="","",IF(AY$3="Maior",iferror(VLOOKUP($R51,Capa!$A:$AJ,AY$5,0),0),IF(ISERROR(1/VLOOKUP($R51,Capa!$A:$AJ,AY$5,0)),0,1/VLOOKUP($R51,Capa!$A:$AJ,AY$5,0))))</f>
        <v/>
      </c>
      <c r="AZ51" s="174" t="str">
        <f>IF(AZ$6="","",IF(AZ$3="Maior",iferror(VLOOKUP($R51,Capa!$A:$AJ,AZ$5,0),0),IF(ISERROR(1/VLOOKUP($R51,Capa!$A:$AJ,AZ$5,0)),0,1/VLOOKUP($R51,Capa!$A:$AJ,AZ$5,0))))</f>
        <v/>
      </c>
      <c r="BA51" s="174" t="str">
        <f>IF(BA$6="","",IF(BA$3="Maior",iferror(VLOOKUP($R51,Capa!$A:$AJ,BA$5,0),0),IF(ISERROR(1/VLOOKUP($R51,Capa!$A:$AJ,BA$5,0)),0,1/VLOOKUP($R51,Capa!$A:$AJ,BA$5,0))))</f>
        <v/>
      </c>
      <c r="BB51" s="174" t="str">
        <f>IF(BB$6="","",IF(BB$3="Maior",iferror(VLOOKUP($R51,Capa!$A:$AJ,BB$5,0),0),IF(ISERROR(1/VLOOKUP($R51,Capa!$A:$AJ,BB$5,0)),0,1/VLOOKUP($R51,Capa!$A:$AJ,BB$5,0))))</f>
        <v/>
      </c>
      <c r="BC51" s="174" t="str">
        <f>IF(BC$6="","",IF(BC$3="Maior",iferror(VLOOKUP($R51,Capa!$A:$AJ,BC$5,0),0),IF(ISERROR(1/VLOOKUP($R51,Capa!$A:$AJ,BC$5,0)),0,1/VLOOKUP($R51,Capa!$A:$AJ,BC$5,0))))</f>
        <v/>
      </c>
      <c r="BD51" s="174" t="str">
        <f>IF(BD$6="","",IF(BD$3="Maior",iferror(VLOOKUP($R51,Capa!$A:$AJ,BD$5,0),0),IF(ISERROR(1/VLOOKUP($R51,Capa!$A:$AJ,BD$5,0)),0,1/VLOOKUP($R51,Capa!$A:$AJ,BD$5,0))))</f>
        <v/>
      </c>
      <c r="BE51" s="174" t="str">
        <f>IF(BE$6="","",IF(BE$3="Maior",iferror(VLOOKUP($R51,Capa!$A:$AJ,BE$5,0),0),IF(ISERROR(1/VLOOKUP($R51,Capa!$A:$AJ,BE$5,0)),0,1/VLOOKUP($R51,Capa!$A:$AJ,BE$5,0))))</f>
        <v/>
      </c>
      <c r="BF51" s="174" t="str">
        <f>IF(BF$6="","",IF(BF$3="Maior",iferror(VLOOKUP($R51,Capa!$A:$AJ,BF$5,0),0),IF(ISERROR(1/VLOOKUP($R51,Capa!$A:$AJ,BF$5,0)),0,1/VLOOKUP($R51,Capa!$A:$AJ,BF$5,0))))</f>
        <v/>
      </c>
      <c r="BG51" s="174" t="str">
        <f>IF(BG$6="","",IF(BG$3="Maior",iferror(VLOOKUP($R51,Capa!$A:$AJ,BG$5,0),0),IF(ISERROR(1/VLOOKUP($R51,Capa!$A:$AJ,BG$5,0)),0,1/VLOOKUP($R51,Capa!$A:$AJ,BG$5,0))))</f>
        <v/>
      </c>
      <c r="BH51" s="174" t="str">
        <f>IF(BH$6="","",IF(BH$3="Maior",iferror(VLOOKUP($R51,Capa!$A:$AJ,BH$5,0),0),IF(ISERROR(1/VLOOKUP($R51,Capa!$A:$AJ,BH$5,0)),0,1/VLOOKUP($R51,Capa!$A:$AJ,BH$5,0))))</f>
        <v/>
      </c>
      <c r="BI51" s="174" t="str">
        <f>IF(BI$6="","",IF(BI$3="Maior",iferror(VLOOKUP($R51,Capa!$A:$AJ,BI$5,0),0),IF(ISERROR(1/VLOOKUP($R51,Capa!$A:$AJ,BI$5,0)),0,1/VLOOKUP($R51,Capa!$A:$AJ,BI$5,0))))</f>
        <v/>
      </c>
      <c r="BJ51" s="174" t="str">
        <f>IF(BJ$6="","",IF(BJ$3="Maior",iferror(VLOOKUP($R51,Capa!$A:$AJ,BJ$5,0),0),IF(ISERROR(1/VLOOKUP($R51,Capa!$A:$AJ,BJ$5,0)),0,1/VLOOKUP($R51,Capa!$A:$AJ,BJ$5,0))))</f>
        <v/>
      </c>
      <c r="BK51" s="174" t="str">
        <f>IF(BK$6="","",IF(BK$3="Maior",iferror(VLOOKUP($R51,Capa!$A:$AJ,BK$5,0),0),IF(ISERROR(1/VLOOKUP($R51,Capa!$A:$AJ,BK$5,0)),0,1/VLOOKUP($R51,Capa!$A:$AJ,BK$5,0))))</f>
        <v/>
      </c>
      <c r="BL51" s="174" t="str">
        <f>IF(BL$6="","",IF(BL$3="Maior",iferror(VLOOKUP($R51,Capa!$A:$AJ,BL$5,0),0),IF(ISERROR(1/VLOOKUP($R51,Capa!$A:$AJ,BL$5,0)),0,1/VLOOKUP($R51,Capa!$A:$AJ,BL$5,0))))</f>
        <v/>
      </c>
      <c r="BM51" s="174" t="str">
        <f>IF(BM$6="","",IF(BM$3="Maior",iferror(VLOOKUP($R51,Capa!$A:$AJ,BM$5,0),0),IF(ISERROR(1/VLOOKUP($R51,Capa!$A:$AJ,BM$5,0)),0,1/VLOOKUP($R51,Capa!$A:$AJ,BM$5,0))))</f>
        <v/>
      </c>
      <c r="BN51" s="174" t="str">
        <f>IF(BN$6="","",IF(BN$3="Maior",iferror(VLOOKUP($R51,Capa!$A:$AJ,BN$5,0),0),IF(ISERROR(1/VLOOKUP($R51,Capa!$A:$AJ,BN$5,0)),0,1/VLOOKUP($R51,Capa!$A:$AJ,BN$5,0))))</f>
        <v/>
      </c>
      <c r="BO51" s="174" t="str">
        <f>IF(BO$6="","",IF(BO$3="Maior",iferror(VLOOKUP($R51,Capa!$A:$AJ,BO$5,0),0),IF(ISERROR(1/VLOOKUP($R51,Capa!$A:$AJ,BO$5,0)),0,1/VLOOKUP($R51,Capa!$A:$AJ,BO$5,0))))</f>
        <v/>
      </c>
      <c r="BP51" s="174" t="str">
        <f>IF(BP$6="","",IF(BP$3="Maior",iferror(VLOOKUP($R51,Capa!$A:$AJ,BP$5,0),0),IF(ISERROR(1/VLOOKUP($R51,Capa!$A:$AJ,BP$5,0)),0,1/VLOOKUP($R51,Capa!$A:$AJ,BP$5,0))))</f>
        <v/>
      </c>
      <c r="BQ51" s="174" t="str">
        <f>IF(BQ$6="","",IF(BQ$3="Maior",iferror(VLOOKUP($R51,Capa!$A:$AJ,BQ$5,0),0),IF(ISERROR(1/VLOOKUP($R51,Capa!$A:$AJ,BQ$5,0)),0,1/VLOOKUP($R51,Capa!$A:$AJ,BQ$5,0))))</f>
        <v/>
      </c>
      <c r="BR51" s="175"/>
      <c r="BS51" s="147"/>
    </row>
    <row r="52">
      <c r="G52" s="11"/>
      <c r="H52" s="8">
        <v>46.0</v>
      </c>
      <c r="I52" s="165" t="str">
        <f t="shared" si="6"/>
        <v>ABCB4</v>
      </c>
      <c r="J52" s="167" t="str">
        <f>(VLOOKUP($I52,Capa!$A:$B,2,0))</f>
        <v>#N/A</v>
      </c>
      <c r="K52" s="167" t="str">
        <f>VLOOKUP(left(I52,4),Setor!A:D,3,0)&amp;" | "&amp;VLOOKUP(left(I52,4),Setor!A:D,4,0)</f>
        <v>Financeiro | Intermediários Financeiros</v>
      </c>
      <c r="L52" s="10" t="str">
        <f>(VLOOKUP($I52,Capa!$A:$F,6,0))</f>
        <v>#N/A</v>
      </c>
      <c r="M52" s="168">
        <f t="shared" si="7"/>
        <v>20208097</v>
      </c>
      <c r="N52" s="11" t="str">
        <f>(VLOOKUP($I52,Capa!$A:$H,7,0))</f>
        <v>#N/A</v>
      </c>
      <c r="O52" s="11" t="str">
        <f>(VLOOKUP($I52,Capa!$A:$H,8,0))</f>
        <v>#N/A</v>
      </c>
      <c r="P52" s="11" t="str">
        <f>(VLOOKUP($I52,Capa!$A:$J,10,0))</f>
        <v>#N/A</v>
      </c>
      <c r="Q52" s="11" t="str">
        <f>(VLOOKUP($I52,Capa!$A:$K,11,0))</f>
        <v>#N/A</v>
      </c>
      <c r="R52" s="45" t="str">
        <f>'Dados StatusInvest'!A47</f>
        <v>B3SA3</v>
      </c>
      <c r="S52" s="170">
        <f t="shared" si="8"/>
        <v>409.0409</v>
      </c>
      <c r="T52" s="171">
        <f>VLOOKUP(R52,'Dados StatusInvest'!A:Z,26,0)</f>
        <v>866000000</v>
      </c>
      <c r="U52" s="172">
        <f t="shared" ref="U52:AS52" si="54">IF(AT52="","", RANK(AT52,AT$7:AT$626,0)+RANK(AT52,AT$7:AT$626,0)/10000)</f>
        <v>217.0217</v>
      </c>
      <c r="V52" s="172">
        <f t="shared" si="54"/>
        <v>192.0192</v>
      </c>
      <c r="W52" s="172" t="str">
        <f t="shared" si="54"/>
        <v/>
      </c>
      <c r="X52" s="172" t="str">
        <f t="shared" si="54"/>
        <v/>
      </c>
      <c r="Y52" s="172" t="str">
        <f t="shared" si="54"/>
        <v/>
      </c>
      <c r="Z52" s="172" t="str">
        <f t="shared" si="54"/>
        <v/>
      </c>
      <c r="AA52" s="172" t="str">
        <f t="shared" si="54"/>
        <v/>
      </c>
      <c r="AB52" s="172" t="str">
        <f t="shared" si="54"/>
        <v/>
      </c>
      <c r="AC52" s="172" t="str">
        <f t="shared" si="54"/>
        <v/>
      </c>
      <c r="AD52" s="172" t="str">
        <f t="shared" si="54"/>
        <v/>
      </c>
      <c r="AE52" s="172" t="str">
        <f t="shared" si="54"/>
        <v/>
      </c>
      <c r="AF52" s="172" t="str">
        <f t="shared" si="54"/>
        <v/>
      </c>
      <c r="AG52" s="172" t="str">
        <f t="shared" si="54"/>
        <v/>
      </c>
      <c r="AH52" s="172" t="str">
        <f t="shared" si="54"/>
        <v/>
      </c>
      <c r="AI52" s="172" t="str">
        <f t="shared" si="54"/>
        <v/>
      </c>
      <c r="AJ52" s="172" t="str">
        <f t="shared" si="54"/>
        <v/>
      </c>
      <c r="AK52" s="172" t="str">
        <f t="shared" si="54"/>
        <v/>
      </c>
      <c r="AL52" s="172" t="str">
        <f t="shared" si="54"/>
        <v/>
      </c>
      <c r="AM52" s="172" t="str">
        <f t="shared" si="54"/>
        <v/>
      </c>
      <c r="AN52" s="172" t="str">
        <f t="shared" si="54"/>
        <v/>
      </c>
      <c r="AO52" s="172" t="str">
        <f t="shared" si="54"/>
        <v/>
      </c>
      <c r="AP52" s="172" t="str">
        <f t="shared" si="54"/>
        <v/>
      </c>
      <c r="AQ52" s="172" t="str">
        <f t="shared" si="54"/>
        <v/>
      </c>
      <c r="AR52" s="172" t="str">
        <f t="shared" si="54"/>
        <v/>
      </c>
      <c r="AS52" s="172" t="str">
        <f t="shared" si="54"/>
        <v/>
      </c>
      <c r="AT52" s="173">
        <f>IF(AT$6="","",IF(AT$3="Maior",iferror(VLOOKUP($R52,Capa!$A:$AJ,AT$5,0),0),IF(ISERROR(1/VLOOKUP($R52,Capa!$A:$AJ,AT$5,0)),0,1/VLOOKUP($R52,Capa!$A:$AJ,AT$5,0))))</f>
        <v>-0.3111611306</v>
      </c>
      <c r="AU52" s="174">
        <f>IF(AU$6="","",IF(AU$3="Maior",iferror(VLOOKUP($R52,Capa!$A:$AJ,AU$5,0),0),IF(ISERROR(1/VLOOKUP($R52,Capa!$A:$AJ,AU$5,0)),0,1/VLOOKUP($R52,Capa!$A:$AJ,AU$5,0))))</f>
        <v>12.34</v>
      </c>
      <c r="AV52" s="174" t="str">
        <f>IF(AV$6="","",IF(AV$3="Maior",iferror(VLOOKUP($R52,Capa!$A:$AJ,AV$5,0),0),IF(ISERROR(1/VLOOKUP($R52,Capa!$A:$AJ,AV$5,0)),0,1/VLOOKUP($R52,Capa!$A:$AJ,AV$5,0))))</f>
        <v/>
      </c>
      <c r="AW52" s="174" t="str">
        <f>IF(AW$6="","",IF(AW$3="Maior",iferror(VLOOKUP($R52,Capa!$A:$AJ,AW$5,0),0),IF(ISERROR(1/VLOOKUP($R52,Capa!$A:$AJ,AW$5,0)),0,1/VLOOKUP($R52,Capa!$A:$AJ,AW$5,0))))</f>
        <v/>
      </c>
      <c r="AX52" s="174" t="str">
        <f>IF(AX$6="","",IF(AX$3="Maior",iferror(VLOOKUP($R52,Capa!$A:$AJ,AX$5,0),0),IF(ISERROR(1/VLOOKUP($R52,Capa!$A:$AJ,AX$5,0)),0,1/VLOOKUP($R52,Capa!$A:$AJ,AX$5,0))))</f>
        <v/>
      </c>
      <c r="AY52" s="174" t="str">
        <f>IF(AY$6="","",IF(AY$3="Maior",iferror(VLOOKUP($R52,Capa!$A:$AJ,AY$5,0),0),IF(ISERROR(1/VLOOKUP($R52,Capa!$A:$AJ,AY$5,0)),0,1/VLOOKUP($R52,Capa!$A:$AJ,AY$5,0))))</f>
        <v/>
      </c>
      <c r="AZ52" s="174" t="str">
        <f>IF(AZ$6="","",IF(AZ$3="Maior",iferror(VLOOKUP($R52,Capa!$A:$AJ,AZ$5,0),0),IF(ISERROR(1/VLOOKUP($R52,Capa!$A:$AJ,AZ$5,0)),0,1/VLOOKUP($R52,Capa!$A:$AJ,AZ$5,0))))</f>
        <v/>
      </c>
      <c r="BA52" s="174" t="str">
        <f>IF(BA$6="","",IF(BA$3="Maior",iferror(VLOOKUP($R52,Capa!$A:$AJ,BA$5,0),0),IF(ISERROR(1/VLOOKUP($R52,Capa!$A:$AJ,BA$5,0)),0,1/VLOOKUP($R52,Capa!$A:$AJ,BA$5,0))))</f>
        <v/>
      </c>
      <c r="BB52" s="174" t="str">
        <f>IF(BB$6="","",IF(BB$3="Maior",iferror(VLOOKUP($R52,Capa!$A:$AJ,BB$5,0),0),IF(ISERROR(1/VLOOKUP($R52,Capa!$A:$AJ,BB$5,0)),0,1/VLOOKUP($R52,Capa!$A:$AJ,BB$5,0))))</f>
        <v/>
      </c>
      <c r="BC52" s="174" t="str">
        <f>IF(BC$6="","",IF(BC$3="Maior",iferror(VLOOKUP($R52,Capa!$A:$AJ,BC$5,0),0),IF(ISERROR(1/VLOOKUP($R52,Capa!$A:$AJ,BC$5,0)),0,1/VLOOKUP($R52,Capa!$A:$AJ,BC$5,0))))</f>
        <v/>
      </c>
      <c r="BD52" s="174" t="str">
        <f>IF(BD$6="","",IF(BD$3="Maior",iferror(VLOOKUP($R52,Capa!$A:$AJ,BD$5,0),0),IF(ISERROR(1/VLOOKUP($R52,Capa!$A:$AJ,BD$5,0)),0,1/VLOOKUP($R52,Capa!$A:$AJ,BD$5,0))))</f>
        <v/>
      </c>
      <c r="BE52" s="174" t="str">
        <f>IF(BE$6="","",IF(BE$3="Maior",iferror(VLOOKUP($R52,Capa!$A:$AJ,BE$5,0),0),IF(ISERROR(1/VLOOKUP($R52,Capa!$A:$AJ,BE$5,0)),0,1/VLOOKUP($R52,Capa!$A:$AJ,BE$5,0))))</f>
        <v/>
      </c>
      <c r="BF52" s="174" t="str">
        <f>IF(BF$6="","",IF(BF$3="Maior",iferror(VLOOKUP($R52,Capa!$A:$AJ,BF$5,0),0),IF(ISERROR(1/VLOOKUP($R52,Capa!$A:$AJ,BF$5,0)),0,1/VLOOKUP($R52,Capa!$A:$AJ,BF$5,0))))</f>
        <v/>
      </c>
      <c r="BG52" s="174" t="str">
        <f>IF(BG$6="","",IF(BG$3="Maior",iferror(VLOOKUP($R52,Capa!$A:$AJ,BG$5,0),0),IF(ISERROR(1/VLOOKUP($R52,Capa!$A:$AJ,BG$5,0)),0,1/VLOOKUP($R52,Capa!$A:$AJ,BG$5,0))))</f>
        <v/>
      </c>
      <c r="BH52" s="174" t="str">
        <f>IF(BH$6="","",IF(BH$3="Maior",iferror(VLOOKUP($R52,Capa!$A:$AJ,BH$5,0),0),IF(ISERROR(1/VLOOKUP($R52,Capa!$A:$AJ,BH$5,0)),0,1/VLOOKUP($R52,Capa!$A:$AJ,BH$5,0))))</f>
        <v/>
      </c>
      <c r="BI52" s="174" t="str">
        <f>IF(BI$6="","",IF(BI$3="Maior",iferror(VLOOKUP($R52,Capa!$A:$AJ,BI$5,0),0),IF(ISERROR(1/VLOOKUP($R52,Capa!$A:$AJ,BI$5,0)),0,1/VLOOKUP($R52,Capa!$A:$AJ,BI$5,0))))</f>
        <v/>
      </c>
      <c r="BJ52" s="174" t="str">
        <f>IF(BJ$6="","",IF(BJ$3="Maior",iferror(VLOOKUP($R52,Capa!$A:$AJ,BJ$5,0),0),IF(ISERROR(1/VLOOKUP($R52,Capa!$A:$AJ,BJ$5,0)),0,1/VLOOKUP($R52,Capa!$A:$AJ,BJ$5,0))))</f>
        <v/>
      </c>
      <c r="BK52" s="174" t="str">
        <f>IF(BK$6="","",IF(BK$3="Maior",iferror(VLOOKUP($R52,Capa!$A:$AJ,BK$5,0),0),IF(ISERROR(1/VLOOKUP($R52,Capa!$A:$AJ,BK$5,0)),0,1/VLOOKUP($R52,Capa!$A:$AJ,BK$5,0))))</f>
        <v/>
      </c>
      <c r="BL52" s="174" t="str">
        <f>IF(BL$6="","",IF(BL$3="Maior",iferror(VLOOKUP($R52,Capa!$A:$AJ,BL$5,0),0),IF(ISERROR(1/VLOOKUP($R52,Capa!$A:$AJ,BL$5,0)),0,1/VLOOKUP($R52,Capa!$A:$AJ,BL$5,0))))</f>
        <v/>
      </c>
      <c r="BM52" s="174" t="str">
        <f>IF(BM$6="","",IF(BM$3="Maior",iferror(VLOOKUP($R52,Capa!$A:$AJ,BM$5,0),0),IF(ISERROR(1/VLOOKUP($R52,Capa!$A:$AJ,BM$5,0)),0,1/VLOOKUP($R52,Capa!$A:$AJ,BM$5,0))))</f>
        <v/>
      </c>
      <c r="BN52" s="174" t="str">
        <f>IF(BN$6="","",IF(BN$3="Maior",iferror(VLOOKUP($R52,Capa!$A:$AJ,BN$5,0),0),IF(ISERROR(1/VLOOKUP($R52,Capa!$A:$AJ,BN$5,0)),0,1/VLOOKUP($R52,Capa!$A:$AJ,BN$5,0))))</f>
        <v/>
      </c>
      <c r="BO52" s="174" t="str">
        <f>IF(BO$6="","",IF(BO$3="Maior",iferror(VLOOKUP($R52,Capa!$A:$AJ,BO$5,0),0),IF(ISERROR(1/VLOOKUP($R52,Capa!$A:$AJ,BO$5,0)),0,1/VLOOKUP($R52,Capa!$A:$AJ,BO$5,0))))</f>
        <v/>
      </c>
      <c r="BP52" s="174" t="str">
        <f>IF(BP$6="","",IF(BP$3="Maior",iferror(VLOOKUP($R52,Capa!$A:$AJ,BP$5,0),0),IF(ISERROR(1/VLOOKUP($R52,Capa!$A:$AJ,BP$5,0)),0,1/VLOOKUP($R52,Capa!$A:$AJ,BP$5,0))))</f>
        <v/>
      </c>
      <c r="BQ52" s="174" t="str">
        <f>IF(BQ$6="","",IF(BQ$3="Maior",iferror(VLOOKUP($R52,Capa!$A:$AJ,BQ$5,0),0),IF(ISERROR(1/VLOOKUP($R52,Capa!$A:$AJ,BQ$5,0)),0,1/VLOOKUP($R52,Capa!$A:$AJ,BQ$5,0))))</f>
        <v/>
      </c>
      <c r="BR52" s="175"/>
      <c r="BS52" s="147"/>
    </row>
    <row r="53">
      <c r="G53" s="11"/>
      <c r="H53" s="8">
        <v>47.0</v>
      </c>
      <c r="I53" s="165" t="str">
        <f t="shared" si="6"/>
        <v>UNIP6</v>
      </c>
      <c r="J53" s="166" t="str">
        <f>(VLOOKUP($I53,Capa!$A:$B,2,0))</f>
        <v>Unipar Carbocloro SA Preference Shares Class B</v>
      </c>
      <c r="K53" s="167" t="str">
        <f>VLOOKUP(left(I53,4),Setor!A:D,3,0)&amp;" | "&amp;VLOOKUP(left(I53,4),Setor!A:D,4,0)</f>
        <v>Materiais Básicos | Químicos</v>
      </c>
      <c r="L53" s="168">
        <f>(VLOOKUP($I53,Capa!$A:$F,6,0))</f>
        <v>69.53</v>
      </c>
      <c r="M53" s="168">
        <f t="shared" si="7"/>
        <v>16216568</v>
      </c>
      <c r="N53" s="177" t="str">
        <f>IFERROR(__xludf.DUMMYFUNCTION("(VLOOKUP($I53,Capa!$A:$H,7,0))"),"")</f>
        <v/>
      </c>
      <c r="O53" s="169">
        <f>(VLOOKUP($I53,Capa!$A:$H,8,0))</f>
        <v>0.1932383731</v>
      </c>
      <c r="P53" s="169" t="str">
        <f>IFERROR(__xludf.DUMMYFUNCTION("(VLOOKUP($I53,Capa!$A:$J,10,0))"),"")</f>
        <v/>
      </c>
      <c r="Q53" s="169">
        <f>(VLOOKUP($I53,Capa!$A:$K,11,0))</f>
        <v>0.4428304628</v>
      </c>
      <c r="R53" s="45" t="str">
        <f>'Dados StatusInvest'!A48</f>
        <v>BAHI3</v>
      </c>
      <c r="S53" s="170">
        <f t="shared" si="8"/>
        <v>1281.0281</v>
      </c>
      <c r="T53" s="171">
        <f>VLOOKUP(R53,'Dados StatusInvest'!A:Z,26,0)</f>
        <v>16499</v>
      </c>
      <c r="U53" s="172">
        <f t="shared" ref="U53:AS53" si="55">IF(AT53="","", RANK(AT53,AT$7:AT$626,0)+RANK(AT53,AT$7:AT$626,0)/10000)</f>
        <v>14.0014</v>
      </c>
      <c r="V53" s="172">
        <f t="shared" si="55"/>
        <v>267.0267</v>
      </c>
      <c r="W53" s="172" t="str">
        <f t="shared" si="55"/>
        <v/>
      </c>
      <c r="X53" s="172" t="str">
        <f t="shared" si="55"/>
        <v/>
      </c>
      <c r="Y53" s="172" t="str">
        <f t="shared" si="55"/>
        <v/>
      </c>
      <c r="Z53" s="172" t="str">
        <f t="shared" si="55"/>
        <v/>
      </c>
      <c r="AA53" s="172" t="str">
        <f t="shared" si="55"/>
        <v/>
      </c>
      <c r="AB53" s="172" t="str">
        <f t="shared" si="55"/>
        <v/>
      </c>
      <c r="AC53" s="172" t="str">
        <f t="shared" si="55"/>
        <v/>
      </c>
      <c r="AD53" s="172" t="str">
        <f t="shared" si="55"/>
        <v/>
      </c>
      <c r="AE53" s="172" t="str">
        <f t="shared" si="55"/>
        <v/>
      </c>
      <c r="AF53" s="172" t="str">
        <f t="shared" si="55"/>
        <v/>
      </c>
      <c r="AG53" s="172" t="str">
        <f t="shared" si="55"/>
        <v/>
      </c>
      <c r="AH53" s="172" t="str">
        <f t="shared" si="55"/>
        <v/>
      </c>
      <c r="AI53" s="172" t="str">
        <f t="shared" si="55"/>
        <v/>
      </c>
      <c r="AJ53" s="172" t="str">
        <f t="shared" si="55"/>
        <v/>
      </c>
      <c r="AK53" s="172" t="str">
        <f t="shared" si="55"/>
        <v/>
      </c>
      <c r="AL53" s="172" t="str">
        <f t="shared" si="55"/>
        <v/>
      </c>
      <c r="AM53" s="172" t="str">
        <f t="shared" si="55"/>
        <v/>
      </c>
      <c r="AN53" s="172" t="str">
        <f t="shared" si="55"/>
        <v/>
      </c>
      <c r="AO53" s="172" t="str">
        <f t="shared" si="55"/>
        <v/>
      </c>
      <c r="AP53" s="172" t="str">
        <f t="shared" si="55"/>
        <v/>
      </c>
      <c r="AQ53" s="172" t="str">
        <f t="shared" si="55"/>
        <v/>
      </c>
      <c r="AR53" s="172" t="str">
        <f t="shared" si="55"/>
        <v/>
      </c>
      <c r="AS53" s="172" t="str">
        <f t="shared" si="55"/>
        <v/>
      </c>
      <c r="AT53" s="173">
        <f>IF(AT$6="","",IF(AT$3="Maior",iferror(VLOOKUP($R53,Capa!$A:$AJ,AT$5,0),0),IF(ISERROR(1/VLOOKUP($R53,Capa!$A:$AJ,AT$5,0)),0,1/VLOOKUP($R53,Capa!$A:$AJ,AT$5,0))))</f>
        <v>1.162790698</v>
      </c>
      <c r="AU53" s="174">
        <f>IF(AU$6="","",IF(AU$3="Maior",iferror(VLOOKUP($R53,Capa!$A:$AJ,AU$5,0),0),IF(ISERROR(1/VLOOKUP($R53,Capa!$A:$AJ,AU$5,0)),0,1/VLOOKUP($R53,Capa!$A:$AJ,AU$5,0))))</f>
        <v>0</v>
      </c>
      <c r="AV53" s="174" t="str">
        <f>IF(AV$6="","",IF(AV$3="Maior",iferror(VLOOKUP($R53,Capa!$A:$AJ,AV$5,0),0),IF(ISERROR(1/VLOOKUP($R53,Capa!$A:$AJ,AV$5,0)),0,1/VLOOKUP($R53,Capa!$A:$AJ,AV$5,0))))</f>
        <v/>
      </c>
      <c r="AW53" s="174" t="str">
        <f>IF(AW$6="","",IF(AW$3="Maior",iferror(VLOOKUP($R53,Capa!$A:$AJ,AW$5,0),0),IF(ISERROR(1/VLOOKUP($R53,Capa!$A:$AJ,AW$5,0)),0,1/VLOOKUP($R53,Capa!$A:$AJ,AW$5,0))))</f>
        <v/>
      </c>
      <c r="AX53" s="174" t="str">
        <f>IF(AX$6="","",IF(AX$3="Maior",iferror(VLOOKUP($R53,Capa!$A:$AJ,AX$5,0),0),IF(ISERROR(1/VLOOKUP($R53,Capa!$A:$AJ,AX$5,0)),0,1/VLOOKUP($R53,Capa!$A:$AJ,AX$5,0))))</f>
        <v/>
      </c>
      <c r="AY53" s="174" t="str">
        <f>IF(AY$6="","",IF(AY$3="Maior",iferror(VLOOKUP($R53,Capa!$A:$AJ,AY$5,0),0),IF(ISERROR(1/VLOOKUP($R53,Capa!$A:$AJ,AY$5,0)),0,1/VLOOKUP($R53,Capa!$A:$AJ,AY$5,0))))</f>
        <v/>
      </c>
      <c r="AZ53" s="174" t="str">
        <f>IF(AZ$6="","",IF(AZ$3="Maior",iferror(VLOOKUP($R53,Capa!$A:$AJ,AZ$5,0),0),IF(ISERROR(1/VLOOKUP($R53,Capa!$A:$AJ,AZ$5,0)),0,1/VLOOKUP($R53,Capa!$A:$AJ,AZ$5,0))))</f>
        <v/>
      </c>
      <c r="BA53" s="174" t="str">
        <f>IF(BA$6="","",IF(BA$3="Maior",iferror(VLOOKUP($R53,Capa!$A:$AJ,BA$5,0),0),IF(ISERROR(1/VLOOKUP($R53,Capa!$A:$AJ,BA$5,0)),0,1/VLOOKUP($R53,Capa!$A:$AJ,BA$5,0))))</f>
        <v/>
      </c>
      <c r="BB53" s="174" t="str">
        <f>IF(BB$6="","",IF(BB$3="Maior",iferror(VLOOKUP($R53,Capa!$A:$AJ,BB$5,0),0),IF(ISERROR(1/VLOOKUP($R53,Capa!$A:$AJ,BB$5,0)),0,1/VLOOKUP($R53,Capa!$A:$AJ,BB$5,0))))</f>
        <v/>
      </c>
      <c r="BC53" s="174" t="str">
        <f>IF(BC$6="","",IF(BC$3="Maior",iferror(VLOOKUP($R53,Capa!$A:$AJ,BC$5,0),0),IF(ISERROR(1/VLOOKUP($R53,Capa!$A:$AJ,BC$5,0)),0,1/VLOOKUP($R53,Capa!$A:$AJ,BC$5,0))))</f>
        <v/>
      </c>
      <c r="BD53" s="174" t="str">
        <f>IF(BD$6="","",IF(BD$3="Maior",iferror(VLOOKUP($R53,Capa!$A:$AJ,BD$5,0),0),IF(ISERROR(1/VLOOKUP($R53,Capa!$A:$AJ,BD$5,0)),0,1/VLOOKUP($R53,Capa!$A:$AJ,BD$5,0))))</f>
        <v/>
      </c>
      <c r="BE53" s="174" t="str">
        <f>IF(BE$6="","",IF(BE$3="Maior",iferror(VLOOKUP($R53,Capa!$A:$AJ,BE$5,0),0),IF(ISERROR(1/VLOOKUP($R53,Capa!$A:$AJ,BE$5,0)),0,1/VLOOKUP($R53,Capa!$A:$AJ,BE$5,0))))</f>
        <v/>
      </c>
      <c r="BF53" s="174" t="str">
        <f>IF(BF$6="","",IF(BF$3="Maior",iferror(VLOOKUP($R53,Capa!$A:$AJ,BF$5,0),0),IF(ISERROR(1/VLOOKUP($R53,Capa!$A:$AJ,BF$5,0)),0,1/VLOOKUP($R53,Capa!$A:$AJ,BF$5,0))))</f>
        <v/>
      </c>
      <c r="BG53" s="174" t="str">
        <f>IF(BG$6="","",IF(BG$3="Maior",iferror(VLOOKUP($R53,Capa!$A:$AJ,BG$5,0),0),IF(ISERROR(1/VLOOKUP($R53,Capa!$A:$AJ,BG$5,0)),0,1/VLOOKUP($R53,Capa!$A:$AJ,BG$5,0))))</f>
        <v/>
      </c>
      <c r="BH53" s="174" t="str">
        <f>IF(BH$6="","",IF(BH$3="Maior",iferror(VLOOKUP($R53,Capa!$A:$AJ,BH$5,0),0),IF(ISERROR(1/VLOOKUP($R53,Capa!$A:$AJ,BH$5,0)),0,1/VLOOKUP($R53,Capa!$A:$AJ,BH$5,0))))</f>
        <v/>
      </c>
      <c r="BI53" s="174" t="str">
        <f>IF(BI$6="","",IF(BI$3="Maior",iferror(VLOOKUP($R53,Capa!$A:$AJ,BI$5,0),0),IF(ISERROR(1/VLOOKUP($R53,Capa!$A:$AJ,BI$5,0)),0,1/VLOOKUP($R53,Capa!$A:$AJ,BI$5,0))))</f>
        <v/>
      </c>
      <c r="BJ53" s="174" t="str">
        <f>IF(BJ$6="","",IF(BJ$3="Maior",iferror(VLOOKUP($R53,Capa!$A:$AJ,BJ$5,0),0),IF(ISERROR(1/VLOOKUP($R53,Capa!$A:$AJ,BJ$5,0)),0,1/VLOOKUP($R53,Capa!$A:$AJ,BJ$5,0))))</f>
        <v/>
      </c>
      <c r="BK53" s="174" t="str">
        <f>IF(BK$6="","",IF(BK$3="Maior",iferror(VLOOKUP($R53,Capa!$A:$AJ,BK$5,0),0),IF(ISERROR(1/VLOOKUP($R53,Capa!$A:$AJ,BK$5,0)),0,1/VLOOKUP($R53,Capa!$A:$AJ,BK$5,0))))</f>
        <v/>
      </c>
      <c r="BL53" s="174" t="str">
        <f>IF(BL$6="","",IF(BL$3="Maior",iferror(VLOOKUP($R53,Capa!$A:$AJ,BL$5,0),0),IF(ISERROR(1/VLOOKUP($R53,Capa!$A:$AJ,BL$5,0)),0,1/VLOOKUP($R53,Capa!$A:$AJ,BL$5,0))))</f>
        <v/>
      </c>
      <c r="BM53" s="174" t="str">
        <f>IF(BM$6="","",IF(BM$3="Maior",iferror(VLOOKUP($R53,Capa!$A:$AJ,BM$5,0),0),IF(ISERROR(1/VLOOKUP($R53,Capa!$A:$AJ,BM$5,0)),0,1/VLOOKUP($R53,Capa!$A:$AJ,BM$5,0))))</f>
        <v/>
      </c>
      <c r="BN53" s="174" t="str">
        <f>IF(BN$6="","",IF(BN$3="Maior",iferror(VLOOKUP($R53,Capa!$A:$AJ,BN$5,0),0),IF(ISERROR(1/VLOOKUP($R53,Capa!$A:$AJ,BN$5,0)),0,1/VLOOKUP($R53,Capa!$A:$AJ,BN$5,0))))</f>
        <v/>
      </c>
      <c r="BO53" s="174" t="str">
        <f>IF(BO$6="","",IF(BO$3="Maior",iferror(VLOOKUP($R53,Capa!$A:$AJ,BO$5,0),0),IF(ISERROR(1/VLOOKUP($R53,Capa!$A:$AJ,BO$5,0)),0,1/VLOOKUP($R53,Capa!$A:$AJ,BO$5,0))))</f>
        <v/>
      </c>
      <c r="BP53" s="174" t="str">
        <f>IF(BP$6="","",IF(BP$3="Maior",iferror(VLOOKUP($R53,Capa!$A:$AJ,BP$5,0),0),IF(ISERROR(1/VLOOKUP($R53,Capa!$A:$AJ,BP$5,0)),0,1/VLOOKUP($R53,Capa!$A:$AJ,BP$5,0))))</f>
        <v/>
      </c>
      <c r="BQ53" s="174" t="str">
        <f>IF(BQ$6="","",IF(BQ$3="Maior",iferror(VLOOKUP($R53,Capa!$A:$AJ,BQ$5,0),0),IF(ISERROR(1/VLOOKUP($R53,Capa!$A:$AJ,BQ$5,0)),0,1/VLOOKUP($R53,Capa!$A:$AJ,BQ$5,0))))</f>
        <v/>
      </c>
      <c r="BR53" s="175"/>
      <c r="BS53" s="147"/>
    </row>
    <row r="54">
      <c r="G54" s="11"/>
      <c r="H54" s="8">
        <v>48.0</v>
      </c>
      <c r="I54" s="165" t="str">
        <f t="shared" si="6"/>
        <v>RDOR3</v>
      </c>
      <c r="J54" s="166" t="str">
        <f>(VLOOKUP($I54,Capa!$A:$B,2,0))</f>
        <v>Rede D'Or Sao Luiz SA</v>
      </c>
      <c r="K54" s="167" t="str">
        <f>VLOOKUP(left(I54,4),Setor!A:D,3,0)&amp;" | "&amp;VLOOKUP(left(I54,4),Setor!A:D,4,0)</f>
        <v>#N/A</v>
      </c>
      <c r="L54" s="168">
        <f>(VLOOKUP($I54,Capa!$A:$F,6,0))</f>
        <v>44.18</v>
      </c>
      <c r="M54" s="168">
        <f t="shared" si="7"/>
        <v>248000000</v>
      </c>
      <c r="N54" s="11" t="str">
        <f>IFERROR(__xludf.DUMMYFUNCTION("(VLOOKUP($I54,Capa!$A:$H,7,0))"),"")</f>
        <v/>
      </c>
      <c r="O54" s="169">
        <f>(VLOOKUP($I54,Capa!$A:$H,8,0))</f>
        <v>0.07624847747</v>
      </c>
      <c r="P54" s="11" t="str">
        <f>IFERROR(__xludf.DUMMYFUNCTION("(VLOOKUP($I54,Capa!$A:$J,10,0))"),"")</f>
        <v/>
      </c>
      <c r="Q54" s="169">
        <f>(VLOOKUP($I54,Capa!$A:$K,11,0))</f>
        <v>0.46875</v>
      </c>
      <c r="R54" s="45" t="str">
        <f>'Dados StatusInvest'!A49</f>
        <v>BALM3</v>
      </c>
      <c r="S54" s="170">
        <f t="shared" si="8"/>
        <v>1283.0283</v>
      </c>
      <c r="T54" s="171">
        <f>VLOOKUP(R54,'Dados StatusInvest'!A:Z,26,0)</f>
        <v>7411.71</v>
      </c>
      <c r="U54" s="172">
        <f t="shared" ref="U54:AS54" si="56">IF(AT54="","", RANK(AT54,AT$7:AT$626,0)+RANK(AT54,AT$7:AT$626,0)/10000)</f>
        <v>210.021</v>
      </c>
      <c r="V54" s="172">
        <f t="shared" si="56"/>
        <v>73.0073</v>
      </c>
      <c r="W54" s="172" t="str">
        <f t="shared" si="56"/>
        <v/>
      </c>
      <c r="X54" s="172" t="str">
        <f t="shared" si="56"/>
        <v/>
      </c>
      <c r="Y54" s="172" t="str">
        <f t="shared" si="56"/>
        <v/>
      </c>
      <c r="Z54" s="172" t="str">
        <f t="shared" si="56"/>
        <v/>
      </c>
      <c r="AA54" s="172" t="str">
        <f t="shared" si="56"/>
        <v/>
      </c>
      <c r="AB54" s="172" t="str">
        <f t="shared" si="56"/>
        <v/>
      </c>
      <c r="AC54" s="172" t="str">
        <f t="shared" si="56"/>
        <v/>
      </c>
      <c r="AD54" s="172" t="str">
        <f t="shared" si="56"/>
        <v/>
      </c>
      <c r="AE54" s="172" t="str">
        <f t="shared" si="56"/>
        <v/>
      </c>
      <c r="AF54" s="172" t="str">
        <f t="shared" si="56"/>
        <v/>
      </c>
      <c r="AG54" s="172" t="str">
        <f t="shared" si="56"/>
        <v/>
      </c>
      <c r="AH54" s="172" t="str">
        <f t="shared" si="56"/>
        <v/>
      </c>
      <c r="AI54" s="172" t="str">
        <f t="shared" si="56"/>
        <v/>
      </c>
      <c r="AJ54" s="172" t="str">
        <f t="shared" si="56"/>
        <v/>
      </c>
      <c r="AK54" s="172" t="str">
        <f t="shared" si="56"/>
        <v/>
      </c>
      <c r="AL54" s="172" t="str">
        <f t="shared" si="56"/>
        <v/>
      </c>
      <c r="AM54" s="172" t="str">
        <f t="shared" si="56"/>
        <v/>
      </c>
      <c r="AN54" s="172" t="str">
        <f t="shared" si="56"/>
        <v/>
      </c>
      <c r="AO54" s="172" t="str">
        <f t="shared" si="56"/>
        <v/>
      </c>
      <c r="AP54" s="172" t="str">
        <f t="shared" si="56"/>
        <v/>
      </c>
      <c r="AQ54" s="172" t="str">
        <f t="shared" si="56"/>
        <v/>
      </c>
      <c r="AR54" s="172" t="str">
        <f t="shared" si="56"/>
        <v/>
      </c>
      <c r="AS54" s="172" t="str">
        <f t="shared" si="56"/>
        <v/>
      </c>
      <c r="AT54" s="173">
        <f>IF(AT$6="","",IF(AT$3="Maior",iferror(VLOOKUP($R54,Capa!$A:$AJ,AT$5,0),0),IF(ISERROR(1/VLOOKUP($R54,Capa!$A:$AJ,AT$5,0)),0,1/VLOOKUP($R54,Capa!$A:$AJ,AT$5,0))))</f>
        <v>-0.2994011976</v>
      </c>
      <c r="AU54" s="174">
        <f>IF(AU$6="","",IF(AU$3="Maior",iferror(VLOOKUP($R54,Capa!$A:$AJ,AU$5,0),0),IF(ISERROR(1/VLOOKUP($R54,Capa!$A:$AJ,AU$5,0)),0,1/VLOOKUP($R54,Capa!$A:$AJ,AU$5,0))))</f>
        <v>31.66</v>
      </c>
      <c r="AV54" s="174" t="str">
        <f>IF(AV$6="","",IF(AV$3="Maior",iferror(VLOOKUP($R54,Capa!$A:$AJ,AV$5,0),0),IF(ISERROR(1/VLOOKUP($R54,Capa!$A:$AJ,AV$5,0)),0,1/VLOOKUP($R54,Capa!$A:$AJ,AV$5,0))))</f>
        <v/>
      </c>
      <c r="AW54" s="174" t="str">
        <f>IF(AW$6="","",IF(AW$3="Maior",iferror(VLOOKUP($R54,Capa!$A:$AJ,AW$5,0),0),IF(ISERROR(1/VLOOKUP($R54,Capa!$A:$AJ,AW$5,0)),0,1/VLOOKUP($R54,Capa!$A:$AJ,AW$5,0))))</f>
        <v/>
      </c>
      <c r="AX54" s="174" t="str">
        <f>IF(AX$6="","",IF(AX$3="Maior",iferror(VLOOKUP($R54,Capa!$A:$AJ,AX$5,0),0),IF(ISERROR(1/VLOOKUP($R54,Capa!$A:$AJ,AX$5,0)),0,1/VLOOKUP($R54,Capa!$A:$AJ,AX$5,0))))</f>
        <v/>
      </c>
      <c r="AY54" s="174" t="str">
        <f>IF(AY$6="","",IF(AY$3="Maior",iferror(VLOOKUP($R54,Capa!$A:$AJ,AY$5,0),0),IF(ISERROR(1/VLOOKUP($R54,Capa!$A:$AJ,AY$5,0)),0,1/VLOOKUP($R54,Capa!$A:$AJ,AY$5,0))))</f>
        <v/>
      </c>
      <c r="AZ54" s="174" t="str">
        <f>IF(AZ$6="","",IF(AZ$3="Maior",iferror(VLOOKUP($R54,Capa!$A:$AJ,AZ$5,0),0),IF(ISERROR(1/VLOOKUP($R54,Capa!$A:$AJ,AZ$5,0)),0,1/VLOOKUP($R54,Capa!$A:$AJ,AZ$5,0))))</f>
        <v/>
      </c>
      <c r="BA54" s="174" t="str">
        <f>IF(BA$6="","",IF(BA$3="Maior",iferror(VLOOKUP($R54,Capa!$A:$AJ,BA$5,0),0),IF(ISERROR(1/VLOOKUP($R54,Capa!$A:$AJ,BA$5,0)),0,1/VLOOKUP($R54,Capa!$A:$AJ,BA$5,0))))</f>
        <v/>
      </c>
      <c r="BB54" s="174" t="str">
        <f>IF(BB$6="","",IF(BB$3="Maior",iferror(VLOOKUP($R54,Capa!$A:$AJ,BB$5,0),0),IF(ISERROR(1/VLOOKUP($R54,Capa!$A:$AJ,BB$5,0)),0,1/VLOOKUP($R54,Capa!$A:$AJ,BB$5,0))))</f>
        <v/>
      </c>
      <c r="BC54" s="174" t="str">
        <f>IF(BC$6="","",IF(BC$3="Maior",iferror(VLOOKUP($R54,Capa!$A:$AJ,BC$5,0),0),IF(ISERROR(1/VLOOKUP($R54,Capa!$A:$AJ,BC$5,0)),0,1/VLOOKUP($R54,Capa!$A:$AJ,BC$5,0))))</f>
        <v/>
      </c>
      <c r="BD54" s="174" t="str">
        <f>IF(BD$6="","",IF(BD$3="Maior",iferror(VLOOKUP($R54,Capa!$A:$AJ,BD$5,0),0),IF(ISERROR(1/VLOOKUP($R54,Capa!$A:$AJ,BD$5,0)),0,1/VLOOKUP($R54,Capa!$A:$AJ,BD$5,0))))</f>
        <v/>
      </c>
      <c r="BE54" s="174" t="str">
        <f>IF(BE$6="","",IF(BE$3="Maior",iferror(VLOOKUP($R54,Capa!$A:$AJ,BE$5,0),0),IF(ISERROR(1/VLOOKUP($R54,Capa!$A:$AJ,BE$5,0)),0,1/VLOOKUP($R54,Capa!$A:$AJ,BE$5,0))))</f>
        <v/>
      </c>
      <c r="BF54" s="174" t="str">
        <f>IF(BF$6="","",IF(BF$3="Maior",iferror(VLOOKUP($R54,Capa!$A:$AJ,BF$5,0),0),IF(ISERROR(1/VLOOKUP($R54,Capa!$A:$AJ,BF$5,0)),0,1/VLOOKUP($R54,Capa!$A:$AJ,BF$5,0))))</f>
        <v/>
      </c>
      <c r="BG54" s="174" t="str">
        <f>IF(BG$6="","",IF(BG$3="Maior",iferror(VLOOKUP($R54,Capa!$A:$AJ,BG$5,0),0),IF(ISERROR(1/VLOOKUP($R54,Capa!$A:$AJ,BG$5,0)),0,1/VLOOKUP($R54,Capa!$A:$AJ,BG$5,0))))</f>
        <v/>
      </c>
      <c r="BH54" s="174" t="str">
        <f>IF(BH$6="","",IF(BH$3="Maior",iferror(VLOOKUP($R54,Capa!$A:$AJ,BH$5,0),0),IF(ISERROR(1/VLOOKUP($R54,Capa!$A:$AJ,BH$5,0)),0,1/VLOOKUP($R54,Capa!$A:$AJ,BH$5,0))))</f>
        <v/>
      </c>
      <c r="BI54" s="174" t="str">
        <f>IF(BI$6="","",IF(BI$3="Maior",iferror(VLOOKUP($R54,Capa!$A:$AJ,BI$5,0),0),IF(ISERROR(1/VLOOKUP($R54,Capa!$A:$AJ,BI$5,0)),0,1/VLOOKUP($R54,Capa!$A:$AJ,BI$5,0))))</f>
        <v/>
      </c>
      <c r="BJ54" s="174" t="str">
        <f>IF(BJ$6="","",IF(BJ$3="Maior",iferror(VLOOKUP($R54,Capa!$A:$AJ,BJ$5,0),0),IF(ISERROR(1/VLOOKUP($R54,Capa!$A:$AJ,BJ$5,0)),0,1/VLOOKUP($R54,Capa!$A:$AJ,BJ$5,0))))</f>
        <v/>
      </c>
      <c r="BK54" s="174" t="str">
        <f>IF(BK$6="","",IF(BK$3="Maior",iferror(VLOOKUP($R54,Capa!$A:$AJ,BK$5,0),0),IF(ISERROR(1/VLOOKUP($R54,Capa!$A:$AJ,BK$5,0)),0,1/VLOOKUP($R54,Capa!$A:$AJ,BK$5,0))))</f>
        <v/>
      </c>
      <c r="BL54" s="174" t="str">
        <f>IF(BL$6="","",IF(BL$3="Maior",iferror(VLOOKUP($R54,Capa!$A:$AJ,BL$5,0),0),IF(ISERROR(1/VLOOKUP($R54,Capa!$A:$AJ,BL$5,0)),0,1/VLOOKUP($R54,Capa!$A:$AJ,BL$5,0))))</f>
        <v/>
      </c>
      <c r="BM54" s="174" t="str">
        <f>IF(BM$6="","",IF(BM$3="Maior",iferror(VLOOKUP($R54,Capa!$A:$AJ,BM$5,0),0),IF(ISERROR(1/VLOOKUP($R54,Capa!$A:$AJ,BM$5,0)),0,1/VLOOKUP($R54,Capa!$A:$AJ,BM$5,0))))</f>
        <v/>
      </c>
      <c r="BN54" s="174" t="str">
        <f>IF(BN$6="","",IF(BN$3="Maior",iferror(VLOOKUP($R54,Capa!$A:$AJ,BN$5,0),0),IF(ISERROR(1/VLOOKUP($R54,Capa!$A:$AJ,BN$5,0)),0,1/VLOOKUP($R54,Capa!$A:$AJ,BN$5,0))))</f>
        <v/>
      </c>
      <c r="BO54" s="174" t="str">
        <f>IF(BO$6="","",IF(BO$3="Maior",iferror(VLOOKUP($R54,Capa!$A:$AJ,BO$5,0),0),IF(ISERROR(1/VLOOKUP($R54,Capa!$A:$AJ,BO$5,0)),0,1/VLOOKUP($R54,Capa!$A:$AJ,BO$5,0))))</f>
        <v/>
      </c>
      <c r="BP54" s="174" t="str">
        <f>IF(BP$6="","",IF(BP$3="Maior",iferror(VLOOKUP($R54,Capa!$A:$AJ,BP$5,0),0),IF(ISERROR(1/VLOOKUP($R54,Capa!$A:$AJ,BP$5,0)),0,1/VLOOKUP($R54,Capa!$A:$AJ,BP$5,0))))</f>
        <v/>
      </c>
      <c r="BQ54" s="174" t="str">
        <f>IF(BQ$6="","",IF(BQ$3="Maior",iferror(VLOOKUP($R54,Capa!$A:$AJ,BQ$5,0),0),IF(ISERROR(1/VLOOKUP($R54,Capa!$A:$AJ,BQ$5,0)),0,1/VLOOKUP($R54,Capa!$A:$AJ,BQ$5,0))))</f>
        <v/>
      </c>
      <c r="BR54" s="175"/>
      <c r="BS54" s="147"/>
    </row>
    <row r="55">
      <c r="G55" s="11"/>
      <c r="H55" s="8">
        <v>49.0</v>
      </c>
      <c r="I55" s="165" t="str">
        <f t="shared" si="6"/>
        <v>IGTI11</v>
      </c>
      <c r="J55" s="166" t="str">
        <f>(VLOOKUP($I55,Capa!$A:$B,2,0))</f>
        <v>Iguatemi SA Unit</v>
      </c>
      <c r="K55" s="167" t="str">
        <f>VLOOKUP(left(I55,4),Setor!A:D,3,0)&amp;" | "&amp;VLOOKUP(left(I55,4),Setor!A:D,4,0)</f>
        <v>Outros | Comércio</v>
      </c>
      <c r="L55" s="168">
        <f>(VLOOKUP($I55,Capa!$A:$F,6,0))</f>
        <v>28.74</v>
      </c>
      <c r="M55" s="168">
        <f t="shared" si="7"/>
        <v>73477396</v>
      </c>
      <c r="N55" s="11" t="str">
        <f>IFERROR(__xludf.DUMMYFUNCTION("(VLOOKUP($I55,Capa!$A:$H,7,0))"),"")</f>
        <v/>
      </c>
      <c r="O55" s="169">
        <f>(VLOOKUP($I55,Capa!$A:$H,8,0))</f>
        <v>0.05545354389</v>
      </c>
      <c r="P55" s="11" t="str">
        <f>IFERROR(__xludf.DUMMYFUNCTION("(VLOOKUP($I55,Capa!$A:$J,10,0))"),"")</f>
        <v/>
      </c>
      <c r="Q55" s="169">
        <f>(VLOOKUP($I55,Capa!$A:$K,11,0))</f>
        <v>0.481443299</v>
      </c>
      <c r="R55" s="45" t="str">
        <f>'Dados StatusInvest'!A50</f>
        <v>BALM4</v>
      </c>
      <c r="S55" s="170">
        <f t="shared" si="8"/>
        <v>1306.0306</v>
      </c>
      <c r="T55" s="171">
        <f>VLOOKUP(R55,'Dados StatusInvest'!A:Z,26,0)</f>
        <v>20127.4</v>
      </c>
      <c r="U55" s="172">
        <f t="shared" ref="U55:AS55" si="57">IF(AT55="","", RANK(AT55,AT$7:AT$626,0)+RANK(AT55,AT$7:AT$626,0)/10000)</f>
        <v>233.0233</v>
      </c>
      <c r="V55" s="172">
        <f t="shared" si="57"/>
        <v>73.0073</v>
      </c>
      <c r="W55" s="172" t="str">
        <f t="shared" si="57"/>
        <v/>
      </c>
      <c r="X55" s="172" t="str">
        <f t="shared" si="57"/>
        <v/>
      </c>
      <c r="Y55" s="172" t="str">
        <f t="shared" si="57"/>
        <v/>
      </c>
      <c r="Z55" s="172" t="str">
        <f t="shared" si="57"/>
        <v/>
      </c>
      <c r="AA55" s="172" t="str">
        <f t="shared" si="57"/>
        <v/>
      </c>
      <c r="AB55" s="172" t="str">
        <f t="shared" si="57"/>
        <v/>
      </c>
      <c r="AC55" s="172" t="str">
        <f t="shared" si="57"/>
        <v/>
      </c>
      <c r="AD55" s="172" t="str">
        <f t="shared" si="57"/>
        <v/>
      </c>
      <c r="AE55" s="172" t="str">
        <f t="shared" si="57"/>
        <v/>
      </c>
      <c r="AF55" s="172" t="str">
        <f t="shared" si="57"/>
        <v/>
      </c>
      <c r="AG55" s="172" t="str">
        <f t="shared" si="57"/>
        <v/>
      </c>
      <c r="AH55" s="172" t="str">
        <f t="shared" si="57"/>
        <v/>
      </c>
      <c r="AI55" s="172" t="str">
        <f t="shared" si="57"/>
        <v/>
      </c>
      <c r="AJ55" s="172" t="str">
        <f t="shared" si="57"/>
        <v/>
      </c>
      <c r="AK55" s="172" t="str">
        <f t="shared" si="57"/>
        <v/>
      </c>
      <c r="AL55" s="172" t="str">
        <f t="shared" si="57"/>
        <v/>
      </c>
      <c r="AM55" s="172" t="str">
        <f t="shared" si="57"/>
        <v/>
      </c>
      <c r="AN55" s="172" t="str">
        <f t="shared" si="57"/>
        <v/>
      </c>
      <c r="AO55" s="172" t="str">
        <f t="shared" si="57"/>
        <v/>
      </c>
      <c r="AP55" s="172" t="str">
        <f t="shared" si="57"/>
        <v/>
      </c>
      <c r="AQ55" s="172" t="str">
        <f t="shared" si="57"/>
        <v/>
      </c>
      <c r="AR55" s="172" t="str">
        <f t="shared" si="57"/>
        <v/>
      </c>
      <c r="AS55" s="172" t="str">
        <f t="shared" si="57"/>
        <v/>
      </c>
      <c r="AT55" s="173">
        <f>IF(AT$6="","",IF(AT$3="Maior",iferror(VLOOKUP($R55,Capa!$A:$AJ,AT$5,0),0),IF(ISERROR(1/VLOOKUP($R55,Capa!$A:$AJ,AT$5,0)),0,1/VLOOKUP($R55,Capa!$A:$AJ,AT$5,0))))</f>
        <v>-0.4121799618</v>
      </c>
      <c r="AU55" s="174">
        <f>IF(AU$6="","",IF(AU$3="Maior",iferror(VLOOKUP($R55,Capa!$A:$AJ,AU$5,0),0),IF(ISERROR(1/VLOOKUP($R55,Capa!$A:$AJ,AU$5,0)),0,1/VLOOKUP($R55,Capa!$A:$AJ,AU$5,0))))</f>
        <v>31.66</v>
      </c>
      <c r="AV55" s="174" t="str">
        <f>IF(AV$6="","",IF(AV$3="Maior",iferror(VLOOKUP($R55,Capa!$A:$AJ,AV$5,0),0),IF(ISERROR(1/VLOOKUP($R55,Capa!$A:$AJ,AV$5,0)),0,1/VLOOKUP($R55,Capa!$A:$AJ,AV$5,0))))</f>
        <v/>
      </c>
      <c r="AW55" s="174" t="str">
        <f>IF(AW$6="","",IF(AW$3="Maior",iferror(VLOOKUP($R55,Capa!$A:$AJ,AW$5,0),0),IF(ISERROR(1/VLOOKUP($R55,Capa!$A:$AJ,AW$5,0)),0,1/VLOOKUP($R55,Capa!$A:$AJ,AW$5,0))))</f>
        <v/>
      </c>
      <c r="AX55" s="174" t="str">
        <f>IF(AX$6="","",IF(AX$3="Maior",iferror(VLOOKUP($R55,Capa!$A:$AJ,AX$5,0),0),IF(ISERROR(1/VLOOKUP($R55,Capa!$A:$AJ,AX$5,0)),0,1/VLOOKUP($R55,Capa!$A:$AJ,AX$5,0))))</f>
        <v/>
      </c>
      <c r="AY55" s="174" t="str">
        <f>IF(AY$6="","",IF(AY$3="Maior",iferror(VLOOKUP($R55,Capa!$A:$AJ,AY$5,0),0),IF(ISERROR(1/VLOOKUP($R55,Capa!$A:$AJ,AY$5,0)),0,1/VLOOKUP($R55,Capa!$A:$AJ,AY$5,0))))</f>
        <v/>
      </c>
      <c r="AZ55" s="174" t="str">
        <f>IF(AZ$6="","",IF(AZ$3="Maior",iferror(VLOOKUP($R55,Capa!$A:$AJ,AZ$5,0),0),IF(ISERROR(1/VLOOKUP($R55,Capa!$A:$AJ,AZ$5,0)),0,1/VLOOKUP($R55,Capa!$A:$AJ,AZ$5,0))))</f>
        <v/>
      </c>
      <c r="BA55" s="174" t="str">
        <f>IF(BA$6="","",IF(BA$3="Maior",iferror(VLOOKUP($R55,Capa!$A:$AJ,BA$5,0),0),IF(ISERROR(1/VLOOKUP($R55,Capa!$A:$AJ,BA$5,0)),0,1/VLOOKUP($R55,Capa!$A:$AJ,BA$5,0))))</f>
        <v/>
      </c>
      <c r="BB55" s="174" t="str">
        <f>IF(BB$6="","",IF(BB$3="Maior",iferror(VLOOKUP($R55,Capa!$A:$AJ,BB$5,0),0),IF(ISERROR(1/VLOOKUP($R55,Capa!$A:$AJ,BB$5,0)),0,1/VLOOKUP($R55,Capa!$A:$AJ,BB$5,0))))</f>
        <v/>
      </c>
      <c r="BC55" s="174" t="str">
        <f>IF(BC$6="","",IF(BC$3="Maior",iferror(VLOOKUP($R55,Capa!$A:$AJ,BC$5,0),0),IF(ISERROR(1/VLOOKUP($R55,Capa!$A:$AJ,BC$5,0)),0,1/VLOOKUP($R55,Capa!$A:$AJ,BC$5,0))))</f>
        <v/>
      </c>
      <c r="BD55" s="174" t="str">
        <f>IF(BD$6="","",IF(BD$3="Maior",iferror(VLOOKUP($R55,Capa!$A:$AJ,BD$5,0),0),IF(ISERROR(1/VLOOKUP($R55,Capa!$A:$AJ,BD$5,0)),0,1/VLOOKUP($R55,Capa!$A:$AJ,BD$5,0))))</f>
        <v/>
      </c>
      <c r="BE55" s="174" t="str">
        <f>IF(BE$6="","",IF(BE$3="Maior",iferror(VLOOKUP($R55,Capa!$A:$AJ,BE$5,0),0),IF(ISERROR(1/VLOOKUP($R55,Capa!$A:$AJ,BE$5,0)),0,1/VLOOKUP($R55,Capa!$A:$AJ,BE$5,0))))</f>
        <v/>
      </c>
      <c r="BF55" s="174" t="str">
        <f>IF(BF$6="","",IF(BF$3="Maior",iferror(VLOOKUP($R55,Capa!$A:$AJ,BF$5,0),0),IF(ISERROR(1/VLOOKUP($R55,Capa!$A:$AJ,BF$5,0)),0,1/VLOOKUP($R55,Capa!$A:$AJ,BF$5,0))))</f>
        <v/>
      </c>
      <c r="BG55" s="174" t="str">
        <f>IF(BG$6="","",IF(BG$3="Maior",iferror(VLOOKUP($R55,Capa!$A:$AJ,BG$5,0),0),IF(ISERROR(1/VLOOKUP($R55,Capa!$A:$AJ,BG$5,0)),0,1/VLOOKUP($R55,Capa!$A:$AJ,BG$5,0))))</f>
        <v/>
      </c>
      <c r="BH55" s="174" t="str">
        <f>IF(BH$6="","",IF(BH$3="Maior",iferror(VLOOKUP($R55,Capa!$A:$AJ,BH$5,0),0),IF(ISERROR(1/VLOOKUP($R55,Capa!$A:$AJ,BH$5,0)),0,1/VLOOKUP($R55,Capa!$A:$AJ,BH$5,0))))</f>
        <v/>
      </c>
      <c r="BI55" s="174" t="str">
        <f>IF(BI$6="","",IF(BI$3="Maior",iferror(VLOOKUP($R55,Capa!$A:$AJ,BI$5,0),0),IF(ISERROR(1/VLOOKUP($R55,Capa!$A:$AJ,BI$5,0)),0,1/VLOOKUP($R55,Capa!$A:$AJ,BI$5,0))))</f>
        <v/>
      </c>
      <c r="BJ55" s="174" t="str">
        <f>IF(BJ$6="","",IF(BJ$3="Maior",iferror(VLOOKUP($R55,Capa!$A:$AJ,BJ$5,0),0),IF(ISERROR(1/VLOOKUP($R55,Capa!$A:$AJ,BJ$5,0)),0,1/VLOOKUP($R55,Capa!$A:$AJ,BJ$5,0))))</f>
        <v/>
      </c>
      <c r="BK55" s="174" t="str">
        <f>IF(BK$6="","",IF(BK$3="Maior",iferror(VLOOKUP($R55,Capa!$A:$AJ,BK$5,0),0),IF(ISERROR(1/VLOOKUP($R55,Capa!$A:$AJ,BK$5,0)),0,1/VLOOKUP($R55,Capa!$A:$AJ,BK$5,0))))</f>
        <v/>
      </c>
      <c r="BL55" s="174" t="str">
        <f>IF(BL$6="","",IF(BL$3="Maior",iferror(VLOOKUP($R55,Capa!$A:$AJ,BL$5,0),0),IF(ISERROR(1/VLOOKUP($R55,Capa!$A:$AJ,BL$5,0)),0,1/VLOOKUP($R55,Capa!$A:$AJ,BL$5,0))))</f>
        <v/>
      </c>
      <c r="BM55" s="174" t="str">
        <f>IF(BM$6="","",IF(BM$3="Maior",iferror(VLOOKUP($R55,Capa!$A:$AJ,BM$5,0),0),IF(ISERROR(1/VLOOKUP($R55,Capa!$A:$AJ,BM$5,0)),0,1/VLOOKUP($R55,Capa!$A:$AJ,BM$5,0))))</f>
        <v/>
      </c>
      <c r="BN55" s="174" t="str">
        <f>IF(BN$6="","",IF(BN$3="Maior",iferror(VLOOKUP($R55,Capa!$A:$AJ,BN$5,0),0),IF(ISERROR(1/VLOOKUP($R55,Capa!$A:$AJ,BN$5,0)),0,1/VLOOKUP($R55,Capa!$A:$AJ,BN$5,0))))</f>
        <v/>
      </c>
      <c r="BO55" s="174" t="str">
        <f>IF(BO$6="","",IF(BO$3="Maior",iferror(VLOOKUP($R55,Capa!$A:$AJ,BO$5,0),0),IF(ISERROR(1/VLOOKUP($R55,Capa!$A:$AJ,BO$5,0)),0,1/VLOOKUP($R55,Capa!$A:$AJ,BO$5,0))))</f>
        <v/>
      </c>
      <c r="BP55" s="174" t="str">
        <f>IF(BP$6="","",IF(BP$3="Maior",iferror(VLOOKUP($R55,Capa!$A:$AJ,BP$5,0),0),IF(ISERROR(1/VLOOKUP($R55,Capa!$A:$AJ,BP$5,0)),0,1/VLOOKUP($R55,Capa!$A:$AJ,BP$5,0))))</f>
        <v/>
      </c>
      <c r="BQ55" s="174" t="str">
        <f>IF(BQ$6="","",IF(BQ$3="Maior",iferror(VLOOKUP($R55,Capa!$A:$AJ,BQ$5,0),0),IF(ISERROR(1/VLOOKUP($R55,Capa!$A:$AJ,BQ$5,0)),0,1/VLOOKUP($R55,Capa!$A:$AJ,BQ$5,0))))</f>
        <v/>
      </c>
      <c r="BR55" s="175"/>
      <c r="BS55" s="147"/>
    </row>
    <row r="56">
      <c r="G56" s="11"/>
      <c r="H56" s="8">
        <v>50.0</v>
      </c>
      <c r="I56" s="165" t="str">
        <f t="shared" si="6"/>
        <v>DIRR3</v>
      </c>
      <c r="J56" s="166" t="str">
        <f>(VLOOKUP($I56,Capa!$A:$B,2,0))</f>
        <v>Direcional Engenharia SA</v>
      </c>
      <c r="K56" s="167" t="str">
        <f>VLOOKUP(left(I56,4),Setor!A:D,3,0)&amp;" | "&amp;VLOOKUP(left(I56,4),Setor!A:D,4,0)</f>
        <v>Consumo Cíclico | Construção Civil</v>
      </c>
      <c r="L56" s="168">
        <f>(VLOOKUP($I56,Capa!$A:$F,6,0))</f>
        <v>16.55</v>
      </c>
      <c r="M56" s="168">
        <f t="shared" si="7"/>
        <v>117000000</v>
      </c>
      <c r="N56" s="11" t="str">
        <f>IFERROR(__xludf.DUMMYFUNCTION("(VLOOKUP($I56,Capa!$A:$H,7,0))"),"")</f>
        <v/>
      </c>
      <c r="O56" s="169">
        <f>(VLOOKUP($I56,Capa!$A:$H,8,0))</f>
        <v>0.2295690936</v>
      </c>
      <c r="P56" s="11" t="str">
        <f>IFERROR(__xludf.DUMMYFUNCTION("(VLOOKUP($I56,Capa!$A:$J,10,0))"),"")</f>
        <v/>
      </c>
      <c r="Q56" s="169">
        <f>(VLOOKUP($I56,Capa!$A:$K,11,0))</f>
        <v>0.5928777671</v>
      </c>
      <c r="R56" s="45" t="str">
        <f>'Dados StatusInvest'!A51</f>
        <v>BAUH3</v>
      </c>
      <c r="S56" s="170">
        <f t="shared" si="8"/>
        <v>1312.0312</v>
      </c>
      <c r="T56" s="171">
        <f>VLOOKUP(R56,'Dados StatusInvest'!A:Z,26,0)</f>
        <v>0</v>
      </c>
      <c r="U56" s="172">
        <f t="shared" ref="U56:AS56" si="58">IF(AT56="","", RANK(AT56,AT$7:AT$626,0)+RANK(AT56,AT$7:AT$626,0)/10000)</f>
        <v>51.0051</v>
      </c>
      <c r="V56" s="172">
        <f t="shared" si="58"/>
        <v>261.0261</v>
      </c>
      <c r="W56" s="172" t="str">
        <f t="shared" si="58"/>
        <v/>
      </c>
      <c r="X56" s="172" t="str">
        <f t="shared" si="58"/>
        <v/>
      </c>
      <c r="Y56" s="172" t="str">
        <f t="shared" si="58"/>
        <v/>
      </c>
      <c r="Z56" s="172" t="str">
        <f t="shared" si="58"/>
        <v/>
      </c>
      <c r="AA56" s="172" t="str">
        <f t="shared" si="58"/>
        <v/>
      </c>
      <c r="AB56" s="172" t="str">
        <f t="shared" si="58"/>
        <v/>
      </c>
      <c r="AC56" s="172" t="str">
        <f t="shared" si="58"/>
        <v/>
      </c>
      <c r="AD56" s="172" t="str">
        <f t="shared" si="58"/>
        <v/>
      </c>
      <c r="AE56" s="172" t="str">
        <f t="shared" si="58"/>
        <v/>
      </c>
      <c r="AF56" s="172" t="str">
        <f t="shared" si="58"/>
        <v/>
      </c>
      <c r="AG56" s="172" t="str">
        <f t="shared" si="58"/>
        <v/>
      </c>
      <c r="AH56" s="172" t="str">
        <f t="shared" si="58"/>
        <v/>
      </c>
      <c r="AI56" s="172" t="str">
        <f t="shared" si="58"/>
        <v/>
      </c>
      <c r="AJ56" s="172" t="str">
        <f t="shared" si="58"/>
        <v/>
      </c>
      <c r="AK56" s="172" t="str">
        <f t="shared" si="58"/>
        <v/>
      </c>
      <c r="AL56" s="172" t="str">
        <f t="shared" si="58"/>
        <v/>
      </c>
      <c r="AM56" s="172" t="str">
        <f t="shared" si="58"/>
        <v/>
      </c>
      <c r="AN56" s="172" t="str">
        <f t="shared" si="58"/>
        <v/>
      </c>
      <c r="AO56" s="172" t="str">
        <f t="shared" si="58"/>
        <v/>
      </c>
      <c r="AP56" s="172" t="str">
        <f t="shared" si="58"/>
        <v/>
      </c>
      <c r="AQ56" s="172" t="str">
        <f t="shared" si="58"/>
        <v/>
      </c>
      <c r="AR56" s="172" t="str">
        <f t="shared" si="58"/>
        <v/>
      </c>
      <c r="AS56" s="172" t="str">
        <f t="shared" si="58"/>
        <v/>
      </c>
      <c r="AT56" s="173">
        <f>IF(AT$6="","",IF(AT$3="Maior",iferror(VLOOKUP($R56,Capa!$A:$AJ,AT$5,0),0),IF(ISERROR(1/VLOOKUP($R56,Capa!$A:$AJ,AT$5,0)),0,1/VLOOKUP($R56,Capa!$A:$AJ,AT$5,0))))</f>
        <v>0</v>
      </c>
      <c r="AU56" s="174">
        <f>IF(AU$6="","",IF(AU$3="Maior",iferror(VLOOKUP($R56,Capa!$A:$AJ,AU$5,0),0),IF(ISERROR(1/VLOOKUP($R56,Capa!$A:$AJ,AU$5,0)),0,1/VLOOKUP($R56,Capa!$A:$AJ,AU$5,0))))</f>
        <v>0.81</v>
      </c>
      <c r="AV56" s="174" t="str">
        <f>IF(AV$6="","",IF(AV$3="Maior",iferror(VLOOKUP($R56,Capa!$A:$AJ,AV$5,0),0),IF(ISERROR(1/VLOOKUP($R56,Capa!$A:$AJ,AV$5,0)),0,1/VLOOKUP($R56,Capa!$A:$AJ,AV$5,0))))</f>
        <v/>
      </c>
      <c r="AW56" s="174" t="str">
        <f>IF(AW$6="","",IF(AW$3="Maior",iferror(VLOOKUP($R56,Capa!$A:$AJ,AW$5,0),0),IF(ISERROR(1/VLOOKUP($R56,Capa!$A:$AJ,AW$5,0)),0,1/VLOOKUP($R56,Capa!$A:$AJ,AW$5,0))))</f>
        <v/>
      </c>
      <c r="AX56" s="174" t="str">
        <f>IF(AX$6="","",IF(AX$3="Maior",iferror(VLOOKUP($R56,Capa!$A:$AJ,AX$5,0),0),IF(ISERROR(1/VLOOKUP($R56,Capa!$A:$AJ,AX$5,0)),0,1/VLOOKUP($R56,Capa!$A:$AJ,AX$5,0))))</f>
        <v/>
      </c>
      <c r="AY56" s="174" t="str">
        <f>IF(AY$6="","",IF(AY$3="Maior",iferror(VLOOKUP($R56,Capa!$A:$AJ,AY$5,0),0),IF(ISERROR(1/VLOOKUP($R56,Capa!$A:$AJ,AY$5,0)),0,1/VLOOKUP($R56,Capa!$A:$AJ,AY$5,0))))</f>
        <v/>
      </c>
      <c r="AZ56" s="174" t="str">
        <f>IF(AZ$6="","",IF(AZ$3="Maior",iferror(VLOOKUP($R56,Capa!$A:$AJ,AZ$5,0),0),IF(ISERROR(1/VLOOKUP($R56,Capa!$A:$AJ,AZ$5,0)),0,1/VLOOKUP($R56,Capa!$A:$AJ,AZ$5,0))))</f>
        <v/>
      </c>
      <c r="BA56" s="174" t="str">
        <f>IF(BA$6="","",IF(BA$3="Maior",iferror(VLOOKUP($R56,Capa!$A:$AJ,BA$5,0),0),IF(ISERROR(1/VLOOKUP($R56,Capa!$A:$AJ,BA$5,0)),0,1/VLOOKUP($R56,Capa!$A:$AJ,BA$5,0))))</f>
        <v/>
      </c>
      <c r="BB56" s="174" t="str">
        <f>IF(BB$6="","",IF(BB$3="Maior",iferror(VLOOKUP($R56,Capa!$A:$AJ,BB$5,0),0),IF(ISERROR(1/VLOOKUP($R56,Capa!$A:$AJ,BB$5,0)),0,1/VLOOKUP($R56,Capa!$A:$AJ,BB$5,0))))</f>
        <v/>
      </c>
      <c r="BC56" s="174" t="str">
        <f>IF(BC$6="","",IF(BC$3="Maior",iferror(VLOOKUP($R56,Capa!$A:$AJ,BC$5,0),0),IF(ISERROR(1/VLOOKUP($R56,Capa!$A:$AJ,BC$5,0)),0,1/VLOOKUP($R56,Capa!$A:$AJ,BC$5,0))))</f>
        <v/>
      </c>
      <c r="BD56" s="174" t="str">
        <f>IF(BD$6="","",IF(BD$3="Maior",iferror(VLOOKUP($R56,Capa!$A:$AJ,BD$5,0),0),IF(ISERROR(1/VLOOKUP($R56,Capa!$A:$AJ,BD$5,0)),0,1/VLOOKUP($R56,Capa!$A:$AJ,BD$5,0))))</f>
        <v/>
      </c>
      <c r="BE56" s="174" t="str">
        <f>IF(BE$6="","",IF(BE$3="Maior",iferror(VLOOKUP($R56,Capa!$A:$AJ,BE$5,0),0),IF(ISERROR(1/VLOOKUP($R56,Capa!$A:$AJ,BE$5,0)),0,1/VLOOKUP($R56,Capa!$A:$AJ,BE$5,0))))</f>
        <v/>
      </c>
      <c r="BF56" s="174" t="str">
        <f>IF(BF$6="","",IF(BF$3="Maior",iferror(VLOOKUP($R56,Capa!$A:$AJ,BF$5,0),0),IF(ISERROR(1/VLOOKUP($R56,Capa!$A:$AJ,BF$5,0)),0,1/VLOOKUP($R56,Capa!$A:$AJ,BF$5,0))))</f>
        <v/>
      </c>
      <c r="BG56" s="174" t="str">
        <f>IF(BG$6="","",IF(BG$3="Maior",iferror(VLOOKUP($R56,Capa!$A:$AJ,BG$5,0),0),IF(ISERROR(1/VLOOKUP($R56,Capa!$A:$AJ,BG$5,0)),0,1/VLOOKUP($R56,Capa!$A:$AJ,BG$5,0))))</f>
        <v/>
      </c>
      <c r="BH56" s="174" t="str">
        <f>IF(BH$6="","",IF(BH$3="Maior",iferror(VLOOKUP($R56,Capa!$A:$AJ,BH$5,0),0),IF(ISERROR(1/VLOOKUP($R56,Capa!$A:$AJ,BH$5,0)),0,1/VLOOKUP($R56,Capa!$A:$AJ,BH$5,0))))</f>
        <v/>
      </c>
      <c r="BI56" s="174" t="str">
        <f>IF(BI$6="","",IF(BI$3="Maior",iferror(VLOOKUP($R56,Capa!$A:$AJ,BI$5,0),0),IF(ISERROR(1/VLOOKUP($R56,Capa!$A:$AJ,BI$5,0)),0,1/VLOOKUP($R56,Capa!$A:$AJ,BI$5,0))))</f>
        <v/>
      </c>
      <c r="BJ56" s="174" t="str">
        <f>IF(BJ$6="","",IF(BJ$3="Maior",iferror(VLOOKUP($R56,Capa!$A:$AJ,BJ$5,0),0),IF(ISERROR(1/VLOOKUP($R56,Capa!$A:$AJ,BJ$5,0)),0,1/VLOOKUP($R56,Capa!$A:$AJ,BJ$5,0))))</f>
        <v/>
      </c>
      <c r="BK56" s="174" t="str">
        <f>IF(BK$6="","",IF(BK$3="Maior",iferror(VLOOKUP($R56,Capa!$A:$AJ,BK$5,0),0),IF(ISERROR(1/VLOOKUP($R56,Capa!$A:$AJ,BK$5,0)),0,1/VLOOKUP($R56,Capa!$A:$AJ,BK$5,0))))</f>
        <v/>
      </c>
      <c r="BL56" s="174" t="str">
        <f>IF(BL$6="","",IF(BL$3="Maior",iferror(VLOOKUP($R56,Capa!$A:$AJ,BL$5,0),0),IF(ISERROR(1/VLOOKUP($R56,Capa!$A:$AJ,BL$5,0)),0,1/VLOOKUP($R56,Capa!$A:$AJ,BL$5,0))))</f>
        <v/>
      </c>
      <c r="BM56" s="174" t="str">
        <f>IF(BM$6="","",IF(BM$3="Maior",iferror(VLOOKUP($R56,Capa!$A:$AJ,BM$5,0),0),IF(ISERROR(1/VLOOKUP($R56,Capa!$A:$AJ,BM$5,0)),0,1/VLOOKUP($R56,Capa!$A:$AJ,BM$5,0))))</f>
        <v/>
      </c>
      <c r="BN56" s="174" t="str">
        <f>IF(BN$6="","",IF(BN$3="Maior",iferror(VLOOKUP($R56,Capa!$A:$AJ,BN$5,0),0),IF(ISERROR(1/VLOOKUP($R56,Capa!$A:$AJ,BN$5,0)),0,1/VLOOKUP($R56,Capa!$A:$AJ,BN$5,0))))</f>
        <v/>
      </c>
      <c r="BO56" s="174" t="str">
        <f>IF(BO$6="","",IF(BO$3="Maior",iferror(VLOOKUP($R56,Capa!$A:$AJ,BO$5,0),0),IF(ISERROR(1/VLOOKUP($R56,Capa!$A:$AJ,BO$5,0)),0,1/VLOOKUP($R56,Capa!$A:$AJ,BO$5,0))))</f>
        <v/>
      </c>
      <c r="BP56" s="174" t="str">
        <f>IF(BP$6="","",IF(BP$3="Maior",iferror(VLOOKUP($R56,Capa!$A:$AJ,BP$5,0),0),IF(ISERROR(1/VLOOKUP($R56,Capa!$A:$AJ,BP$5,0)),0,1/VLOOKUP($R56,Capa!$A:$AJ,BP$5,0))))</f>
        <v/>
      </c>
      <c r="BQ56" s="174" t="str">
        <f>IF(BQ$6="","",IF(BQ$3="Maior",iferror(VLOOKUP($R56,Capa!$A:$AJ,BQ$5,0),0),IF(ISERROR(1/VLOOKUP($R56,Capa!$A:$AJ,BQ$5,0)),0,1/VLOOKUP($R56,Capa!$A:$AJ,BQ$5,0))))</f>
        <v/>
      </c>
      <c r="BR56" s="175"/>
      <c r="BS56" s="147"/>
    </row>
    <row r="57">
      <c r="G57" s="11"/>
      <c r="H57" s="8">
        <v>51.0</v>
      </c>
      <c r="I57" s="165" t="str">
        <f t="shared" si="6"/>
        <v>LOGN3</v>
      </c>
      <c r="J57" s="166" t="str">
        <f>(VLOOKUP($I57,Capa!$A:$B,2,0))</f>
        <v>Log-in Logistica Intermodal SA</v>
      </c>
      <c r="K57" s="167" t="str">
        <f>VLOOKUP(left(I57,4),Setor!A:D,3,0)&amp;" | "&amp;VLOOKUP(left(I57,4),Setor!A:D,4,0)</f>
        <v>Bens Industriais | Transporte</v>
      </c>
      <c r="L57" s="168">
        <f>(VLOOKUP($I57,Capa!$A:$F,6,0))</f>
        <v>32.26</v>
      </c>
      <c r="M57" s="168">
        <f t="shared" si="7"/>
        <v>1222356</v>
      </c>
      <c r="N57" s="11" t="str">
        <f>IFERROR(__xludf.DUMMYFUNCTION("(VLOOKUP($I57,Capa!$A:$H,7,0))"),"")</f>
        <v/>
      </c>
      <c r="O57" s="169">
        <f>(VLOOKUP($I57,Capa!$A:$H,8,0))</f>
        <v>-0.001238390093</v>
      </c>
      <c r="P57" s="11" t="str">
        <f>IFERROR(__xludf.DUMMYFUNCTION("(VLOOKUP($I57,Capa!$A:$J,10,0))"),"")</f>
        <v/>
      </c>
      <c r="Q57" s="169">
        <f>(VLOOKUP($I57,Capa!$A:$K,11,0))</f>
        <v>0.5289099526</v>
      </c>
      <c r="R57" s="45" t="str">
        <f>'Dados StatusInvest'!A52</f>
        <v>BAUH4</v>
      </c>
      <c r="S57" s="170">
        <f t="shared" si="8"/>
        <v>1430.043</v>
      </c>
      <c r="T57" s="171">
        <f>VLOOKUP(R57,'Dados StatusInvest'!A:Z,26,0)</f>
        <v>57895.75</v>
      </c>
      <c r="U57" s="172">
        <f t="shared" ref="U57:AS57" si="59">IF(AT57="","", RANK(AT57,AT$7:AT$626,0)+RANK(AT57,AT$7:AT$626,0)/10000)</f>
        <v>169.0169</v>
      </c>
      <c r="V57" s="172">
        <f t="shared" si="59"/>
        <v>261.0261</v>
      </c>
      <c r="W57" s="172" t="str">
        <f t="shared" si="59"/>
        <v/>
      </c>
      <c r="X57" s="172" t="str">
        <f t="shared" si="59"/>
        <v/>
      </c>
      <c r="Y57" s="172" t="str">
        <f t="shared" si="59"/>
        <v/>
      </c>
      <c r="Z57" s="172" t="str">
        <f t="shared" si="59"/>
        <v/>
      </c>
      <c r="AA57" s="172" t="str">
        <f t="shared" si="59"/>
        <v/>
      </c>
      <c r="AB57" s="172" t="str">
        <f t="shared" si="59"/>
        <v/>
      </c>
      <c r="AC57" s="172" t="str">
        <f t="shared" si="59"/>
        <v/>
      </c>
      <c r="AD57" s="172" t="str">
        <f t="shared" si="59"/>
        <v/>
      </c>
      <c r="AE57" s="172" t="str">
        <f t="shared" si="59"/>
        <v/>
      </c>
      <c r="AF57" s="172" t="str">
        <f t="shared" si="59"/>
        <v/>
      </c>
      <c r="AG57" s="172" t="str">
        <f t="shared" si="59"/>
        <v/>
      </c>
      <c r="AH57" s="172" t="str">
        <f t="shared" si="59"/>
        <v/>
      </c>
      <c r="AI57" s="172" t="str">
        <f t="shared" si="59"/>
        <v/>
      </c>
      <c r="AJ57" s="172" t="str">
        <f t="shared" si="59"/>
        <v/>
      </c>
      <c r="AK57" s="172" t="str">
        <f t="shared" si="59"/>
        <v/>
      </c>
      <c r="AL57" s="172" t="str">
        <f t="shared" si="59"/>
        <v/>
      </c>
      <c r="AM57" s="172" t="str">
        <f t="shared" si="59"/>
        <v/>
      </c>
      <c r="AN57" s="172" t="str">
        <f t="shared" si="59"/>
        <v/>
      </c>
      <c r="AO57" s="172" t="str">
        <f t="shared" si="59"/>
        <v/>
      </c>
      <c r="AP57" s="172" t="str">
        <f t="shared" si="59"/>
        <v/>
      </c>
      <c r="AQ57" s="172" t="str">
        <f t="shared" si="59"/>
        <v/>
      </c>
      <c r="AR57" s="172" t="str">
        <f t="shared" si="59"/>
        <v/>
      </c>
      <c r="AS57" s="172" t="str">
        <f t="shared" si="59"/>
        <v/>
      </c>
      <c r="AT57" s="173">
        <f>IF(AT$6="","",IF(AT$3="Maior",iferror(VLOOKUP($R57,Capa!$A:$AJ,AT$5,0),0),IF(ISERROR(1/VLOOKUP($R57,Capa!$A:$AJ,AT$5,0)),0,1/VLOOKUP($R57,Capa!$A:$AJ,AT$5,0))))</f>
        <v>-0.1834862385</v>
      </c>
      <c r="AU57" s="174">
        <f>IF(AU$6="","",IF(AU$3="Maior",iferror(VLOOKUP($R57,Capa!$A:$AJ,AU$5,0),0),IF(ISERROR(1/VLOOKUP($R57,Capa!$A:$AJ,AU$5,0)),0,1/VLOOKUP($R57,Capa!$A:$AJ,AU$5,0))))</f>
        <v>0.81</v>
      </c>
      <c r="AV57" s="174" t="str">
        <f>IF(AV$6="","",IF(AV$3="Maior",iferror(VLOOKUP($R57,Capa!$A:$AJ,AV$5,0),0),IF(ISERROR(1/VLOOKUP($R57,Capa!$A:$AJ,AV$5,0)),0,1/VLOOKUP($R57,Capa!$A:$AJ,AV$5,0))))</f>
        <v/>
      </c>
      <c r="AW57" s="174" t="str">
        <f>IF(AW$6="","",IF(AW$3="Maior",iferror(VLOOKUP($R57,Capa!$A:$AJ,AW$5,0),0),IF(ISERROR(1/VLOOKUP($R57,Capa!$A:$AJ,AW$5,0)),0,1/VLOOKUP($R57,Capa!$A:$AJ,AW$5,0))))</f>
        <v/>
      </c>
      <c r="AX57" s="174" t="str">
        <f>IF(AX$6="","",IF(AX$3="Maior",iferror(VLOOKUP($R57,Capa!$A:$AJ,AX$5,0),0),IF(ISERROR(1/VLOOKUP($R57,Capa!$A:$AJ,AX$5,0)),0,1/VLOOKUP($R57,Capa!$A:$AJ,AX$5,0))))</f>
        <v/>
      </c>
      <c r="AY57" s="174" t="str">
        <f>IF(AY$6="","",IF(AY$3="Maior",iferror(VLOOKUP($R57,Capa!$A:$AJ,AY$5,0),0),IF(ISERROR(1/VLOOKUP($R57,Capa!$A:$AJ,AY$5,0)),0,1/VLOOKUP($R57,Capa!$A:$AJ,AY$5,0))))</f>
        <v/>
      </c>
      <c r="AZ57" s="174" t="str">
        <f>IF(AZ$6="","",IF(AZ$3="Maior",iferror(VLOOKUP($R57,Capa!$A:$AJ,AZ$5,0),0),IF(ISERROR(1/VLOOKUP($R57,Capa!$A:$AJ,AZ$5,0)),0,1/VLOOKUP($R57,Capa!$A:$AJ,AZ$5,0))))</f>
        <v/>
      </c>
      <c r="BA57" s="174" t="str">
        <f>IF(BA$6="","",IF(BA$3="Maior",iferror(VLOOKUP($R57,Capa!$A:$AJ,BA$5,0),0),IF(ISERROR(1/VLOOKUP($R57,Capa!$A:$AJ,BA$5,0)),0,1/VLOOKUP($R57,Capa!$A:$AJ,BA$5,0))))</f>
        <v/>
      </c>
      <c r="BB57" s="174" t="str">
        <f>IF(BB$6="","",IF(BB$3="Maior",iferror(VLOOKUP($R57,Capa!$A:$AJ,BB$5,0),0),IF(ISERROR(1/VLOOKUP($R57,Capa!$A:$AJ,BB$5,0)),0,1/VLOOKUP($R57,Capa!$A:$AJ,BB$5,0))))</f>
        <v/>
      </c>
      <c r="BC57" s="174" t="str">
        <f>IF(BC$6="","",IF(BC$3="Maior",iferror(VLOOKUP($R57,Capa!$A:$AJ,BC$5,0),0),IF(ISERROR(1/VLOOKUP($R57,Capa!$A:$AJ,BC$5,0)),0,1/VLOOKUP($R57,Capa!$A:$AJ,BC$5,0))))</f>
        <v/>
      </c>
      <c r="BD57" s="174" t="str">
        <f>IF(BD$6="","",IF(BD$3="Maior",iferror(VLOOKUP($R57,Capa!$A:$AJ,BD$5,0),0),IF(ISERROR(1/VLOOKUP($R57,Capa!$A:$AJ,BD$5,0)),0,1/VLOOKUP($R57,Capa!$A:$AJ,BD$5,0))))</f>
        <v/>
      </c>
      <c r="BE57" s="174" t="str">
        <f>IF(BE$6="","",IF(BE$3="Maior",iferror(VLOOKUP($R57,Capa!$A:$AJ,BE$5,0),0),IF(ISERROR(1/VLOOKUP($R57,Capa!$A:$AJ,BE$5,0)),0,1/VLOOKUP($R57,Capa!$A:$AJ,BE$5,0))))</f>
        <v/>
      </c>
      <c r="BF57" s="174" t="str">
        <f>IF(BF$6="","",IF(BF$3="Maior",iferror(VLOOKUP($R57,Capa!$A:$AJ,BF$5,0),0),IF(ISERROR(1/VLOOKUP($R57,Capa!$A:$AJ,BF$5,0)),0,1/VLOOKUP($R57,Capa!$A:$AJ,BF$5,0))))</f>
        <v/>
      </c>
      <c r="BG57" s="174" t="str">
        <f>IF(BG$6="","",IF(BG$3="Maior",iferror(VLOOKUP($R57,Capa!$A:$AJ,BG$5,0),0),IF(ISERROR(1/VLOOKUP($R57,Capa!$A:$AJ,BG$5,0)),0,1/VLOOKUP($R57,Capa!$A:$AJ,BG$5,0))))</f>
        <v/>
      </c>
      <c r="BH57" s="174" t="str">
        <f>IF(BH$6="","",IF(BH$3="Maior",iferror(VLOOKUP($R57,Capa!$A:$AJ,BH$5,0),0),IF(ISERROR(1/VLOOKUP($R57,Capa!$A:$AJ,BH$5,0)),0,1/VLOOKUP($R57,Capa!$A:$AJ,BH$5,0))))</f>
        <v/>
      </c>
      <c r="BI57" s="174" t="str">
        <f>IF(BI$6="","",IF(BI$3="Maior",iferror(VLOOKUP($R57,Capa!$A:$AJ,BI$5,0),0),IF(ISERROR(1/VLOOKUP($R57,Capa!$A:$AJ,BI$5,0)),0,1/VLOOKUP($R57,Capa!$A:$AJ,BI$5,0))))</f>
        <v/>
      </c>
      <c r="BJ57" s="174" t="str">
        <f>IF(BJ$6="","",IF(BJ$3="Maior",iferror(VLOOKUP($R57,Capa!$A:$AJ,BJ$5,0),0),IF(ISERROR(1/VLOOKUP($R57,Capa!$A:$AJ,BJ$5,0)),0,1/VLOOKUP($R57,Capa!$A:$AJ,BJ$5,0))))</f>
        <v/>
      </c>
      <c r="BK57" s="174" t="str">
        <f>IF(BK$6="","",IF(BK$3="Maior",iferror(VLOOKUP($R57,Capa!$A:$AJ,BK$5,0),0),IF(ISERROR(1/VLOOKUP($R57,Capa!$A:$AJ,BK$5,0)),0,1/VLOOKUP($R57,Capa!$A:$AJ,BK$5,0))))</f>
        <v/>
      </c>
      <c r="BL57" s="174" t="str">
        <f>IF(BL$6="","",IF(BL$3="Maior",iferror(VLOOKUP($R57,Capa!$A:$AJ,BL$5,0),0),IF(ISERROR(1/VLOOKUP($R57,Capa!$A:$AJ,BL$5,0)),0,1/VLOOKUP($R57,Capa!$A:$AJ,BL$5,0))))</f>
        <v/>
      </c>
      <c r="BM57" s="174" t="str">
        <f>IF(BM$6="","",IF(BM$3="Maior",iferror(VLOOKUP($R57,Capa!$A:$AJ,BM$5,0),0),IF(ISERROR(1/VLOOKUP($R57,Capa!$A:$AJ,BM$5,0)),0,1/VLOOKUP($R57,Capa!$A:$AJ,BM$5,0))))</f>
        <v/>
      </c>
      <c r="BN57" s="174" t="str">
        <f>IF(BN$6="","",IF(BN$3="Maior",iferror(VLOOKUP($R57,Capa!$A:$AJ,BN$5,0),0),IF(ISERROR(1/VLOOKUP($R57,Capa!$A:$AJ,BN$5,0)),0,1/VLOOKUP($R57,Capa!$A:$AJ,BN$5,0))))</f>
        <v/>
      </c>
      <c r="BO57" s="174" t="str">
        <f>IF(BO$6="","",IF(BO$3="Maior",iferror(VLOOKUP($R57,Capa!$A:$AJ,BO$5,0),0),IF(ISERROR(1/VLOOKUP($R57,Capa!$A:$AJ,BO$5,0)),0,1/VLOOKUP($R57,Capa!$A:$AJ,BO$5,0))))</f>
        <v/>
      </c>
      <c r="BP57" s="174" t="str">
        <f>IF(BP$6="","",IF(BP$3="Maior",iferror(VLOOKUP($R57,Capa!$A:$AJ,BP$5,0),0),IF(ISERROR(1/VLOOKUP($R57,Capa!$A:$AJ,BP$5,0)),0,1/VLOOKUP($R57,Capa!$A:$AJ,BP$5,0))))</f>
        <v/>
      </c>
      <c r="BQ57" s="174" t="str">
        <f>IF(BQ$6="","",IF(BQ$3="Maior",iferror(VLOOKUP($R57,Capa!$A:$AJ,BQ$5,0),0),IF(ISERROR(1/VLOOKUP($R57,Capa!$A:$AJ,BQ$5,0)),0,1/VLOOKUP($R57,Capa!$A:$AJ,BQ$5,0))))</f>
        <v/>
      </c>
      <c r="BR57" s="175"/>
      <c r="BS57" s="147"/>
    </row>
    <row r="58">
      <c r="G58" s="11"/>
      <c r="H58" s="8">
        <v>52.0</v>
      </c>
      <c r="I58" s="165" t="str">
        <f t="shared" si="6"/>
        <v>UNIP3</v>
      </c>
      <c r="J58" s="166" t="str">
        <f>(VLOOKUP($I58,Capa!$A:$B,2,0))</f>
        <v>Unipar Carbocloro SA</v>
      </c>
      <c r="K58" s="167" t="str">
        <f>VLOOKUP(left(I58,4),Setor!A:D,3,0)&amp;" | "&amp;VLOOKUP(left(I58,4),Setor!A:D,4,0)</f>
        <v>Materiais Básicos | Químicos</v>
      </c>
      <c r="L58" s="168">
        <f>(VLOOKUP($I58,Capa!$A:$F,6,0))</f>
        <v>63.91</v>
      </c>
      <c r="M58" s="168">
        <f t="shared" si="7"/>
        <v>749838.8</v>
      </c>
      <c r="N58" s="177" t="str">
        <f>IFERROR(__xludf.DUMMYFUNCTION("(VLOOKUP($I58,Capa!$A:$H,7,0))"),"")</f>
        <v/>
      </c>
      <c r="O58" s="169">
        <f>(VLOOKUP($I58,Capa!$A:$H,8,0))</f>
        <v>0.09547480288</v>
      </c>
      <c r="P58" s="169" t="str">
        <f>IFERROR(__xludf.DUMMYFUNCTION("(VLOOKUP($I58,Capa!$A:$J,10,0))"),"")</f>
        <v/>
      </c>
      <c r="Q58" s="169">
        <f>(VLOOKUP($I58,Capa!$A:$K,11,0))</f>
        <v>0.3347953216</v>
      </c>
      <c r="R58" s="45" t="str">
        <f>'Dados StatusInvest'!A53</f>
        <v>BAZA3</v>
      </c>
      <c r="S58" s="170">
        <f t="shared" si="8"/>
        <v>1483.0483</v>
      </c>
      <c r="T58" s="171">
        <f>VLOOKUP(R58,'Dados StatusInvest'!A:Z,26,0)</f>
        <v>413630.1</v>
      </c>
      <c r="U58" s="172">
        <f t="shared" ref="U58:AS58" si="60">IF(AT58="","", RANK(AT58,AT$7:AT$626,0)+RANK(AT58,AT$7:AT$626,0)/10000)</f>
        <v>408.0408</v>
      </c>
      <c r="V58" s="172">
        <f t="shared" si="60"/>
        <v>75.0075</v>
      </c>
      <c r="W58" s="172" t="str">
        <f t="shared" si="60"/>
        <v/>
      </c>
      <c r="X58" s="172" t="str">
        <f t="shared" si="60"/>
        <v/>
      </c>
      <c r="Y58" s="172" t="str">
        <f t="shared" si="60"/>
        <v/>
      </c>
      <c r="Z58" s="172" t="str">
        <f t="shared" si="60"/>
        <v/>
      </c>
      <c r="AA58" s="172" t="str">
        <f t="shared" si="60"/>
        <v/>
      </c>
      <c r="AB58" s="172" t="str">
        <f t="shared" si="60"/>
        <v/>
      </c>
      <c r="AC58" s="172" t="str">
        <f t="shared" si="60"/>
        <v/>
      </c>
      <c r="AD58" s="172" t="str">
        <f t="shared" si="60"/>
        <v/>
      </c>
      <c r="AE58" s="172" t="str">
        <f t="shared" si="60"/>
        <v/>
      </c>
      <c r="AF58" s="172" t="str">
        <f t="shared" si="60"/>
        <v/>
      </c>
      <c r="AG58" s="172" t="str">
        <f t="shared" si="60"/>
        <v/>
      </c>
      <c r="AH58" s="172" t="str">
        <f t="shared" si="60"/>
        <v/>
      </c>
      <c r="AI58" s="172" t="str">
        <f t="shared" si="60"/>
        <v/>
      </c>
      <c r="AJ58" s="172" t="str">
        <f t="shared" si="60"/>
        <v/>
      </c>
      <c r="AK58" s="172" t="str">
        <f t="shared" si="60"/>
        <v/>
      </c>
      <c r="AL58" s="172" t="str">
        <f t="shared" si="60"/>
        <v/>
      </c>
      <c r="AM58" s="172" t="str">
        <f t="shared" si="60"/>
        <v/>
      </c>
      <c r="AN58" s="172" t="str">
        <f t="shared" si="60"/>
        <v/>
      </c>
      <c r="AO58" s="172" t="str">
        <f t="shared" si="60"/>
        <v/>
      </c>
      <c r="AP58" s="172" t="str">
        <f t="shared" si="60"/>
        <v/>
      </c>
      <c r="AQ58" s="172" t="str">
        <f t="shared" si="60"/>
        <v/>
      </c>
      <c r="AR58" s="172" t="str">
        <f t="shared" si="60"/>
        <v/>
      </c>
      <c r="AS58" s="172" t="str">
        <f t="shared" si="60"/>
        <v/>
      </c>
      <c r="AT58" s="173">
        <f>IF(AT$6="","",IF(AT$3="Maior",iferror(VLOOKUP($R58,Capa!$A:$AJ,AT$5,0),0),IF(ISERROR(1/VLOOKUP($R58,Capa!$A:$AJ,AT$5,0)),0,1/VLOOKUP($R58,Capa!$A:$AJ,AT$5,0))))</f>
        <v>-1.439407543</v>
      </c>
      <c r="AU58" s="174">
        <f>IF(AU$6="","",IF(AU$3="Maior",iferror(VLOOKUP($R58,Capa!$A:$AJ,AU$5,0),0),IF(ISERROR(1/VLOOKUP($R58,Capa!$A:$AJ,AU$5,0)),0,1/VLOOKUP($R58,Capa!$A:$AJ,AU$5,0))))</f>
        <v>31.27</v>
      </c>
      <c r="AV58" s="174" t="str">
        <f>IF(AV$6="","",IF(AV$3="Maior",iferror(VLOOKUP($R58,Capa!$A:$AJ,AV$5,0),0),IF(ISERROR(1/VLOOKUP($R58,Capa!$A:$AJ,AV$5,0)),0,1/VLOOKUP($R58,Capa!$A:$AJ,AV$5,0))))</f>
        <v/>
      </c>
      <c r="AW58" s="174" t="str">
        <f>IF(AW$6="","",IF(AW$3="Maior",iferror(VLOOKUP($R58,Capa!$A:$AJ,AW$5,0),0),IF(ISERROR(1/VLOOKUP($R58,Capa!$A:$AJ,AW$5,0)),0,1/VLOOKUP($R58,Capa!$A:$AJ,AW$5,0))))</f>
        <v/>
      </c>
      <c r="AX58" s="174" t="str">
        <f>IF(AX$6="","",IF(AX$3="Maior",iferror(VLOOKUP($R58,Capa!$A:$AJ,AX$5,0),0),IF(ISERROR(1/VLOOKUP($R58,Capa!$A:$AJ,AX$5,0)),0,1/VLOOKUP($R58,Capa!$A:$AJ,AX$5,0))))</f>
        <v/>
      </c>
      <c r="AY58" s="174" t="str">
        <f>IF(AY$6="","",IF(AY$3="Maior",iferror(VLOOKUP($R58,Capa!$A:$AJ,AY$5,0),0),IF(ISERROR(1/VLOOKUP($R58,Capa!$A:$AJ,AY$5,0)),0,1/VLOOKUP($R58,Capa!$A:$AJ,AY$5,0))))</f>
        <v/>
      </c>
      <c r="AZ58" s="174" t="str">
        <f>IF(AZ$6="","",IF(AZ$3="Maior",iferror(VLOOKUP($R58,Capa!$A:$AJ,AZ$5,0),0),IF(ISERROR(1/VLOOKUP($R58,Capa!$A:$AJ,AZ$5,0)),0,1/VLOOKUP($R58,Capa!$A:$AJ,AZ$5,0))))</f>
        <v/>
      </c>
      <c r="BA58" s="174" t="str">
        <f>IF(BA$6="","",IF(BA$3="Maior",iferror(VLOOKUP($R58,Capa!$A:$AJ,BA$5,0),0),IF(ISERROR(1/VLOOKUP($R58,Capa!$A:$AJ,BA$5,0)),0,1/VLOOKUP($R58,Capa!$A:$AJ,BA$5,0))))</f>
        <v/>
      </c>
      <c r="BB58" s="174" t="str">
        <f>IF(BB$6="","",IF(BB$3="Maior",iferror(VLOOKUP($R58,Capa!$A:$AJ,BB$5,0),0),IF(ISERROR(1/VLOOKUP($R58,Capa!$A:$AJ,BB$5,0)),0,1/VLOOKUP($R58,Capa!$A:$AJ,BB$5,0))))</f>
        <v/>
      </c>
      <c r="BC58" s="174" t="str">
        <f>IF(BC$6="","",IF(BC$3="Maior",iferror(VLOOKUP($R58,Capa!$A:$AJ,BC$5,0),0),IF(ISERROR(1/VLOOKUP($R58,Capa!$A:$AJ,BC$5,0)),0,1/VLOOKUP($R58,Capa!$A:$AJ,BC$5,0))))</f>
        <v/>
      </c>
      <c r="BD58" s="174" t="str">
        <f>IF(BD$6="","",IF(BD$3="Maior",iferror(VLOOKUP($R58,Capa!$A:$AJ,BD$5,0),0),IF(ISERROR(1/VLOOKUP($R58,Capa!$A:$AJ,BD$5,0)),0,1/VLOOKUP($R58,Capa!$A:$AJ,BD$5,0))))</f>
        <v/>
      </c>
      <c r="BE58" s="174" t="str">
        <f>IF(BE$6="","",IF(BE$3="Maior",iferror(VLOOKUP($R58,Capa!$A:$AJ,BE$5,0),0),IF(ISERROR(1/VLOOKUP($R58,Capa!$A:$AJ,BE$5,0)),0,1/VLOOKUP($R58,Capa!$A:$AJ,BE$5,0))))</f>
        <v/>
      </c>
      <c r="BF58" s="174" t="str">
        <f>IF(BF$6="","",IF(BF$3="Maior",iferror(VLOOKUP($R58,Capa!$A:$AJ,BF$5,0),0),IF(ISERROR(1/VLOOKUP($R58,Capa!$A:$AJ,BF$5,0)),0,1/VLOOKUP($R58,Capa!$A:$AJ,BF$5,0))))</f>
        <v/>
      </c>
      <c r="BG58" s="174" t="str">
        <f>IF(BG$6="","",IF(BG$3="Maior",iferror(VLOOKUP($R58,Capa!$A:$AJ,BG$5,0),0),IF(ISERROR(1/VLOOKUP($R58,Capa!$A:$AJ,BG$5,0)),0,1/VLOOKUP($R58,Capa!$A:$AJ,BG$5,0))))</f>
        <v/>
      </c>
      <c r="BH58" s="174" t="str">
        <f>IF(BH$6="","",IF(BH$3="Maior",iferror(VLOOKUP($R58,Capa!$A:$AJ,BH$5,0),0),IF(ISERROR(1/VLOOKUP($R58,Capa!$A:$AJ,BH$5,0)),0,1/VLOOKUP($R58,Capa!$A:$AJ,BH$5,0))))</f>
        <v/>
      </c>
      <c r="BI58" s="174" t="str">
        <f>IF(BI$6="","",IF(BI$3="Maior",iferror(VLOOKUP($R58,Capa!$A:$AJ,BI$5,0),0),IF(ISERROR(1/VLOOKUP($R58,Capa!$A:$AJ,BI$5,0)),0,1/VLOOKUP($R58,Capa!$A:$AJ,BI$5,0))))</f>
        <v/>
      </c>
      <c r="BJ58" s="174" t="str">
        <f>IF(BJ$6="","",IF(BJ$3="Maior",iferror(VLOOKUP($R58,Capa!$A:$AJ,BJ$5,0),0),IF(ISERROR(1/VLOOKUP($R58,Capa!$A:$AJ,BJ$5,0)),0,1/VLOOKUP($R58,Capa!$A:$AJ,BJ$5,0))))</f>
        <v/>
      </c>
      <c r="BK58" s="174" t="str">
        <f>IF(BK$6="","",IF(BK$3="Maior",iferror(VLOOKUP($R58,Capa!$A:$AJ,BK$5,0),0),IF(ISERROR(1/VLOOKUP($R58,Capa!$A:$AJ,BK$5,0)),0,1/VLOOKUP($R58,Capa!$A:$AJ,BK$5,0))))</f>
        <v/>
      </c>
      <c r="BL58" s="174" t="str">
        <f>IF(BL$6="","",IF(BL$3="Maior",iferror(VLOOKUP($R58,Capa!$A:$AJ,BL$5,0),0),IF(ISERROR(1/VLOOKUP($R58,Capa!$A:$AJ,BL$5,0)),0,1/VLOOKUP($R58,Capa!$A:$AJ,BL$5,0))))</f>
        <v/>
      </c>
      <c r="BM58" s="174" t="str">
        <f>IF(BM$6="","",IF(BM$3="Maior",iferror(VLOOKUP($R58,Capa!$A:$AJ,BM$5,0),0),IF(ISERROR(1/VLOOKUP($R58,Capa!$A:$AJ,BM$5,0)),0,1/VLOOKUP($R58,Capa!$A:$AJ,BM$5,0))))</f>
        <v/>
      </c>
      <c r="BN58" s="174" t="str">
        <f>IF(BN$6="","",IF(BN$3="Maior",iferror(VLOOKUP($R58,Capa!$A:$AJ,BN$5,0),0),IF(ISERROR(1/VLOOKUP($R58,Capa!$A:$AJ,BN$5,0)),0,1/VLOOKUP($R58,Capa!$A:$AJ,BN$5,0))))</f>
        <v/>
      </c>
      <c r="BO58" s="174" t="str">
        <f>IF(BO$6="","",IF(BO$3="Maior",iferror(VLOOKUP($R58,Capa!$A:$AJ,BO$5,0),0),IF(ISERROR(1/VLOOKUP($R58,Capa!$A:$AJ,BO$5,0)),0,1/VLOOKUP($R58,Capa!$A:$AJ,BO$5,0))))</f>
        <v/>
      </c>
      <c r="BP58" s="174" t="str">
        <f>IF(BP$6="","",IF(BP$3="Maior",iferror(VLOOKUP($R58,Capa!$A:$AJ,BP$5,0),0),IF(ISERROR(1/VLOOKUP($R58,Capa!$A:$AJ,BP$5,0)),0,1/VLOOKUP($R58,Capa!$A:$AJ,BP$5,0))))</f>
        <v/>
      </c>
      <c r="BQ58" s="174" t="str">
        <f>IF(BQ$6="","",IF(BQ$3="Maior",iferror(VLOOKUP($R58,Capa!$A:$AJ,BQ$5,0),0),IF(ISERROR(1/VLOOKUP($R58,Capa!$A:$AJ,BQ$5,0)),0,1/VLOOKUP($R58,Capa!$A:$AJ,BQ$5,0))))</f>
        <v/>
      </c>
      <c r="BR58" s="175"/>
      <c r="BS58" s="147"/>
    </row>
    <row r="59">
      <c r="G59" s="11"/>
      <c r="H59" s="8">
        <v>53.0</v>
      </c>
      <c r="I59" s="165" t="str">
        <f t="shared" si="6"/>
        <v>CPFE3</v>
      </c>
      <c r="J59" s="166" t="str">
        <f>(VLOOKUP($I59,Capa!$A:$B,2,0))</f>
        <v>CPFL Energia SA</v>
      </c>
      <c r="K59" s="167" t="str">
        <f>VLOOKUP(left(I59,4),Setor!A:D,3,0)&amp;" | "&amp;VLOOKUP(left(I59,4),Setor!A:D,4,0)</f>
        <v>Utilidade Pública | Energia Elétrica</v>
      </c>
      <c r="L59" s="168">
        <f>(VLOOKUP($I59,Capa!$A:$F,6,0))</f>
        <v>49.69</v>
      </c>
      <c r="M59" s="168">
        <f t="shared" si="7"/>
        <v>112000000</v>
      </c>
      <c r="N59" s="11" t="str">
        <f>IFERROR(__xludf.DUMMYFUNCTION("(VLOOKUP($I59,Capa!$A:$H,7,0))"),"")</f>
        <v/>
      </c>
      <c r="O59" s="169">
        <f>(VLOOKUP($I59,Capa!$A:$H,8,0))</f>
        <v>-0.06298321705</v>
      </c>
      <c r="P59" s="11" t="str">
        <f>IFERROR(__xludf.DUMMYFUNCTION("(VLOOKUP($I59,Capa!$A:$J,10,0))"),"")</f>
        <v/>
      </c>
      <c r="Q59" s="169">
        <f>(VLOOKUP($I59,Capa!$A:$K,11,0))</f>
        <v>0.4116477273</v>
      </c>
      <c r="R59" s="45" t="str">
        <f>'Dados StatusInvest'!A54</f>
        <v>BBAS3</v>
      </c>
      <c r="S59" s="170">
        <f t="shared" si="8"/>
        <v>575.0575</v>
      </c>
      <c r="T59" s="171">
        <f>VLOOKUP(R59,'Dados StatusInvest'!A:Z,26,0)</f>
        <v>983000000</v>
      </c>
      <c r="U59" s="172">
        <f t="shared" ref="U59:AS59" si="61">IF(AT59="","", RANK(AT59,AT$7:AT$626,0)+RANK(AT59,AT$7:AT$626,0)/10000)</f>
        <v>36.0036</v>
      </c>
      <c r="V59" s="172">
        <f t="shared" si="61"/>
        <v>539.0539</v>
      </c>
      <c r="W59" s="172" t="str">
        <f t="shared" si="61"/>
        <v/>
      </c>
      <c r="X59" s="172" t="str">
        <f t="shared" si="61"/>
        <v/>
      </c>
      <c r="Y59" s="172" t="str">
        <f t="shared" si="61"/>
        <v/>
      </c>
      <c r="Z59" s="172" t="str">
        <f t="shared" si="61"/>
        <v/>
      </c>
      <c r="AA59" s="172" t="str">
        <f t="shared" si="61"/>
        <v/>
      </c>
      <c r="AB59" s="172" t="str">
        <f t="shared" si="61"/>
        <v/>
      </c>
      <c r="AC59" s="172" t="str">
        <f t="shared" si="61"/>
        <v/>
      </c>
      <c r="AD59" s="172" t="str">
        <f t="shared" si="61"/>
        <v/>
      </c>
      <c r="AE59" s="172" t="str">
        <f t="shared" si="61"/>
        <v/>
      </c>
      <c r="AF59" s="172" t="str">
        <f t="shared" si="61"/>
        <v/>
      </c>
      <c r="AG59" s="172" t="str">
        <f t="shared" si="61"/>
        <v/>
      </c>
      <c r="AH59" s="172" t="str">
        <f t="shared" si="61"/>
        <v/>
      </c>
      <c r="AI59" s="172" t="str">
        <f t="shared" si="61"/>
        <v/>
      </c>
      <c r="AJ59" s="172" t="str">
        <f t="shared" si="61"/>
        <v/>
      </c>
      <c r="AK59" s="172" t="str">
        <f t="shared" si="61"/>
        <v/>
      </c>
      <c r="AL59" s="172" t="str">
        <f t="shared" si="61"/>
        <v/>
      </c>
      <c r="AM59" s="172" t="str">
        <f t="shared" si="61"/>
        <v/>
      </c>
      <c r="AN59" s="172" t="str">
        <f t="shared" si="61"/>
        <v/>
      </c>
      <c r="AO59" s="172" t="str">
        <f t="shared" si="61"/>
        <v/>
      </c>
      <c r="AP59" s="172" t="str">
        <f t="shared" si="61"/>
        <v/>
      </c>
      <c r="AQ59" s="172" t="str">
        <f t="shared" si="61"/>
        <v/>
      </c>
      <c r="AR59" s="172" t="str">
        <f t="shared" si="61"/>
        <v/>
      </c>
      <c r="AS59" s="172" t="str">
        <f t="shared" si="61"/>
        <v/>
      </c>
      <c r="AT59" s="173">
        <f>IF(AT$6="","",IF(AT$3="Maior",iferror(VLOOKUP($R59,Capa!$A:$AJ,AT$5,0),0),IF(ISERROR(1/VLOOKUP($R59,Capa!$A:$AJ,AT$5,0)),0,1/VLOOKUP($R59,Capa!$A:$AJ,AT$5,0))))</f>
        <v>0.002733488243</v>
      </c>
      <c r="AU59" s="174">
        <f>IF(AU$6="","",IF(AU$3="Maior",iferror(VLOOKUP($R59,Capa!$A:$AJ,AU$5,0),0),IF(ISERROR(1/VLOOKUP($R59,Capa!$A:$AJ,AU$5,0)),0,1/VLOOKUP($R59,Capa!$A:$AJ,AU$5,0))))</f>
        <v>-0.6</v>
      </c>
      <c r="AV59" s="174" t="str">
        <f>IF(AV$6="","",IF(AV$3="Maior",iferror(VLOOKUP($R59,Capa!$A:$AJ,AV$5,0),0),IF(ISERROR(1/VLOOKUP($R59,Capa!$A:$AJ,AV$5,0)),0,1/VLOOKUP($R59,Capa!$A:$AJ,AV$5,0))))</f>
        <v/>
      </c>
      <c r="AW59" s="174" t="str">
        <f>IF(AW$6="","",IF(AW$3="Maior",iferror(VLOOKUP($R59,Capa!$A:$AJ,AW$5,0),0),IF(ISERROR(1/VLOOKUP($R59,Capa!$A:$AJ,AW$5,0)),0,1/VLOOKUP($R59,Capa!$A:$AJ,AW$5,0))))</f>
        <v/>
      </c>
      <c r="AX59" s="174" t="str">
        <f>IF(AX$6="","",IF(AX$3="Maior",iferror(VLOOKUP($R59,Capa!$A:$AJ,AX$5,0),0),IF(ISERROR(1/VLOOKUP($R59,Capa!$A:$AJ,AX$5,0)),0,1/VLOOKUP($R59,Capa!$A:$AJ,AX$5,0))))</f>
        <v/>
      </c>
      <c r="AY59" s="174" t="str">
        <f>IF(AY$6="","",IF(AY$3="Maior",iferror(VLOOKUP($R59,Capa!$A:$AJ,AY$5,0),0),IF(ISERROR(1/VLOOKUP($R59,Capa!$A:$AJ,AY$5,0)),0,1/VLOOKUP($R59,Capa!$A:$AJ,AY$5,0))))</f>
        <v/>
      </c>
      <c r="AZ59" s="174" t="str">
        <f>IF(AZ$6="","",IF(AZ$3="Maior",iferror(VLOOKUP($R59,Capa!$A:$AJ,AZ$5,0),0),IF(ISERROR(1/VLOOKUP($R59,Capa!$A:$AJ,AZ$5,0)),0,1/VLOOKUP($R59,Capa!$A:$AJ,AZ$5,0))))</f>
        <v/>
      </c>
      <c r="BA59" s="174" t="str">
        <f>IF(BA$6="","",IF(BA$3="Maior",iferror(VLOOKUP($R59,Capa!$A:$AJ,BA$5,0),0),IF(ISERROR(1/VLOOKUP($R59,Capa!$A:$AJ,BA$5,0)),0,1/VLOOKUP($R59,Capa!$A:$AJ,BA$5,0))))</f>
        <v/>
      </c>
      <c r="BB59" s="174" t="str">
        <f>IF(BB$6="","",IF(BB$3="Maior",iferror(VLOOKUP($R59,Capa!$A:$AJ,BB$5,0),0),IF(ISERROR(1/VLOOKUP($R59,Capa!$A:$AJ,BB$5,0)),0,1/VLOOKUP($R59,Capa!$A:$AJ,BB$5,0))))</f>
        <v/>
      </c>
      <c r="BC59" s="174" t="str">
        <f>IF(BC$6="","",IF(BC$3="Maior",iferror(VLOOKUP($R59,Capa!$A:$AJ,BC$5,0),0),IF(ISERROR(1/VLOOKUP($R59,Capa!$A:$AJ,BC$5,0)),0,1/VLOOKUP($R59,Capa!$A:$AJ,BC$5,0))))</f>
        <v/>
      </c>
      <c r="BD59" s="174" t="str">
        <f>IF(BD$6="","",IF(BD$3="Maior",iferror(VLOOKUP($R59,Capa!$A:$AJ,BD$5,0),0),IF(ISERROR(1/VLOOKUP($R59,Capa!$A:$AJ,BD$5,0)),0,1/VLOOKUP($R59,Capa!$A:$AJ,BD$5,0))))</f>
        <v/>
      </c>
      <c r="BE59" s="174" t="str">
        <f>IF(BE$6="","",IF(BE$3="Maior",iferror(VLOOKUP($R59,Capa!$A:$AJ,BE$5,0),0),IF(ISERROR(1/VLOOKUP($R59,Capa!$A:$AJ,BE$5,0)),0,1/VLOOKUP($R59,Capa!$A:$AJ,BE$5,0))))</f>
        <v/>
      </c>
      <c r="BF59" s="174" t="str">
        <f>IF(BF$6="","",IF(BF$3="Maior",iferror(VLOOKUP($R59,Capa!$A:$AJ,BF$5,0),0),IF(ISERROR(1/VLOOKUP($R59,Capa!$A:$AJ,BF$5,0)),0,1/VLOOKUP($R59,Capa!$A:$AJ,BF$5,0))))</f>
        <v/>
      </c>
      <c r="BG59" s="174" t="str">
        <f>IF(BG$6="","",IF(BG$3="Maior",iferror(VLOOKUP($R59,Capa!$A:$AJ,BG$5,0),0),IF(ISERROR(1/VLOOKUP($R59,Capa!$A:$AJ,BG$5,0)),0,1/VLOOKUP($R59,Capa!$A:$AJ,BG$5,0))))</f>
        <v/>
      </c>
      <c r="BH59" s="174" t="str">
        <f>IF(BH$6="","",IF(BH$3="Maior",iferror(VLOOKUP($R59,Capa!$A:$AJ,BH$5,0),0),IF(ISERROR(1/VLOOKUP($R59,Capa!$A:$AJ,BH$5,0)),0,1/VLOOKUP($R59,Capa!$A:$AJ,BH$5,0))))</f>
        <v/>
      </c>
      <c r="BI59" s="174" t="str">
        <f>IF(BI$6="","",IF(BI$3="Maior",iferror(VLOOKUP($R59,Capa!$A:$AJ,BI$5,0),0),IF(ISERROR(1/VLOOKUP($R59,Capa!$A:$AJ,BI$5,0)),0,1/VLOOKUP($R59,Capa!$A:$AJ,BI$5,0))))</f>
        <v/>
      </c>
      <c r="BJ59" s="174" t="str">
        <f>IF(BJ$6="","",IF(BJ$3="Maior",iferror(VLOOKUP($R59,Capa!$A:$AJ,BJ$5,0),0),IF(ISERROR(1/VLOOKUP($R59,Capa!$A:$AJ,BJ$5,0)),0,1/VLOOKUP($R59,Capa!$A:$AJ,BJ$5,0))))</f>
        <v/>
      </c>
      <c r="BK59" s="174" t="str">
        <f>IF(BK$6="","",IF(BK$3="Maior",iferror(VLOOKUP($R59,Capa!$A:$AJ,BK$5,0),0),IF(ISERROR(1/VLOOKUP($R59,Capa!$A:$AJ,BK$5,0)),0,1/VLOOKUP($R59,Capa!$A:$AJ,BK$5,0))))</f>
        <v/>
      </c>
      <c r="BL59" s="174" t="str">
        <f>IF(BL$6="","",IF(BL$3="Maior",iferror(VLOOKUP($R59,Capa!$A:$AJ,BL$5,0),0),IF(ISERROR(1/VLOOKUP($R59,Capa!$A:$AJ,BL$5,0)),0,1/VLOOKUP($R59,Capa!$A:$AJ,BL$5,0))))</f>
        <v/>
      </c>
      <c r="BM59" s="174" t="str">
        <f>IF(BM$6="","",IF(BM$3="Maior",iferror(VLOOKUP($R59,Capa!$A:$AJ,BM$5,0),0),IF(ISERROR(1/VLOOKUP($R59,Capa!$A:$AJ,BM$5,0)),0,1/VLOOKUP($R59,Capa!$A:$AJ,BM$5,0))))</f>
        <v/>
      </c>
      <c r="BN59" s="174" t="str">
        <f>IF(BN$6="","",IF(BN$3="Maior",iferror(VLOOKUP($R59,Capa!$A:$AJ,BN$5,0),0),IF(ISERROR(1/VLOOKUP($R59,Capa!$A:$AJ,BN$5,0)),0,1/VLOOKUP($R59,Capa!$A:$AJ,BN$5,0))))</f>
        <v/>
      </c>
      <c r="BO59" s="174" t="str">
        <f>IF(BO$6="","",IF(BO$3="Maior",iferror(VLOOKUP($R59,Capa!$A:$AJ,BO$5,0),0),IF(ISERROR(1/VLOOKUP($R59,Capa!$A:$AJ,BO$5,0)),0,1/VLOOKUP($R59,Capa!$A:$AJ,BO$5,0))))</f>
        <v/>
      </c>
      <c r="BP59" s="174" t="str">
        <f>IF(BP$6="","",IF(BP$3="Maior",iferror(VLOOKUP($R59,Capa!$A:$AJ,BP$5,0),0),IF(ISERROR(1/VLOOKUP($R59,Capa!$A:$AJ,BP$5,0)),0,1/VLOOKUP($R59,Capa!$A:$AJ,BP$5,0))))</f>
        <v/>
      </c>
      <c r="BQ59" s="174" t="str">
        <f>IF(BQ$6="","",IF(BQ$3="Maior",iferror(VLOOKUP($R59,Capa!$A:$AJ,BQ$5,0),0),IF(ISERROR(1/VLOOKUP($R59,Capa!$A:$AJ,BQ$5,0)),0,1/VLOOKUP($R59,Capa!$A:$AJ,BQ$5,0))))</f>
        <v/>
      </c>
      <c r="BR59" s="175"/>
      <c r="BS59" s="147"/>
    </row>
    <row r="60">
      <c r="G60" s="11"/>
      <c r="H60" s="8">
        <v>54.0</v>
      </c>
      <c r="I60" s="165" t="str">
        <f t="shared" si="6"/>
        <v>GGPS3</v>
      </c>
      <c r="J60" s="166" t="str">
        <f>(VLOOKUP($I60,Capa!$A:$B,2,0))</f>
        <v>GPS Participacoes e Empreendimentos SA</v>
      </c>
      <c r="K60" s="167" t="str">
        <f>VLOOKUP(left(I60,4),Setor!A:D,3,0)&amp;" | "&amp;VLOOKUP(left(I60,4),Setor!A:D,4,0)</f>
        <v>Outros | Serviços Diversos</v>
      </c>
      <c r="L60" s="168">
        <f>(VLOOKUP($I60,Capa!$A:$F,6,0))</f>
        <v>19.14</v>
      </c>
      <c r="M60" s="168">
        <f t="shared" si="7"/>
        <v>56898091</v>
      </c>
      <c r="N60" s="11" t="str">
        <f>IFERROR(__xludf.DUMMYFUNCTION("(VLOOKUP($I60,Capa!$A:$H,7,0))"),"")</f>
        <v/>
      </c>
      <c r="O60" s="169">
        <f>(VLOOKUP($I60,Capa!$A:$H,8,0))</f>
        <v>0.1134380454</v>
      </c>
      <c r="P60" s="11" t="str">
        <f>IFERROR(__xludf.DUMMYFUNCTION("(VLOOKUP($I60,Capa!$A:$J,10,0))"),"")</f>
        <v/>
      </c>
      <c r="Q60" s="169">
        <f>(VLOOKUP($I60,Capa!$A:$K,11,0))</f>
        <v>0.4032258065</v>
      </c>
      <c r="R60" s="45" t="str">
        <f>'Dados StatusInvest'!A55</f>
        <v>BBDC3</v>
      </c>
      <c r="S60" s="170">
        <f t="shared" si="8"/>
        <v>255.0255</v>
      </c>
      <c r="T60" s="171">
        <f>VLOOKUP(R60,'Dados StatusInvest'!A:Z,26,0)</f>
        <v>136000000</v>
      </c>
      <c r="U60" s="172">
        <f t="shared" ref="U60:AS60" si="62">IF(AT60="","", RANK(AT60,AT$7:AT$626,0)+RANK(AT60,AT$7:AT$626,0)/10000)</f>
        <v>35.0035</v>
      </c>
      <c r="V60" s="172">
        <f t="shared" si="62"/>
        <v>220.022</v>
      </c>
      <c r="W60" s="172" t="str">
        <f t="shared" si="62"/>
        <v/>
      </c>
      <c r="X60" s="172" t="str">
        <f t="shared" si="62"/>
        <v/>
      </c>
      <c r="Y60" s="172" t="str">
        <f t="shared" si="62"/>
        <v/>
      </c>
      <c r="Z60" s="172" t="str">
        <f t="shared" si="62"/>
        <v/>
      </c>
      <c r="AA60" s="172" t="str">
        <f t="shared" si="62"/>
        <v/>
      </c>
      <c r="AB60" s="172" t="str">
        <f t="shared" si="62"/>
        <v/>
      </c>
      <c r="AC60" s="172" t="str">
        <f t="shared" si="62"/>
        <v/>
      </c>
      <c r="AD60" s="172" t="str">
        <f t="shared" si="62"/>
        <v/>
      </c>
      <c r="AE60" s="172" t="str">
        <f t="shared" si="62"/>
        <v/>
      </c>
      <c r="AF60" s="172" t="str">
        <f t="shared" si="62"/>
        <v/>
      </c>
      <c r="AG60" s="172" t="str">
        <f t="shared" si="62"/>
        <v/>
      </c>
      <c r="AH60" s="172" t="str">
        <f t="shared" si="62"/>
        <v/>
      </c>
      <c r="AI60" s="172" t="str">
        <f t="shared" si="62"/>
        <v/>
      </c>
      <c r="AJ60" s="172" t="str">
        <f t="shared" si="62"/>
        <v/>
      </c>
      <c r="AK60" s="172" t="str">
        <f t="shared" si="62"/>
        <v/>
      </c>
      <c r="AL60" s="172" t="str">
        <f t="shared" si="62"/>
        <v/>
      </c>
      <c r="AM60" s="172" t="str">
        <f t="shared" si="62"/>
        <v/>
      </c>
      <c r="AN60" s="172" t="str">
        <f t="shared" si="62"/>
        <v/>
      </c>
      <c r="AO60" s="172" t="str">
        <f t="shared" si="62"/>
        <v/>
      </c>
      <c r="AP60" s="172" t="str">
        <f t="shared" si="62"/>
        <v/>
      </c>
      <c r="AQ60" s="172" t="str">
        <f t="shared" si="62"/>
        <v/>
      </c>
      <c r="AR60" s="172" t="str">
        <f t="shared" si="62"/>
        <v/>
      </c>
      <c r="AS60" s="172" t="str">
        <f t="shared" si="62"/>
        <v/>
      </c>
      <c r="AT60" s="173">
        <f>IF(AT$6="","",IF(AT$3="Maior",iferror(VLOOKUP($R60,Capa!$A:$AJ,AT$5,0),0),IF(ISERROR(1/VLOOKUP($R60,Capa!$A:$AJ,AT$5,0)),0,1/VLOOKUP($R60,Capa!$A:$AJ,AT$5,0))))</f>
        <v>0.003281754731</v>
      </c>
      <c r="AU60" s="174">
        <f>IF(AU$6="","",IF(AU$3="Maior",iferror(VLOOKUP($R60,Capa!$A:$AJ,AU$5,0),0),IF(ISERROR(1/VLOOKUP($R60,Capa!$A:$AJ,AU$5,0)),0,1/VLOOKUP($R60,Capa!$A:$AJ,AU$5,0))))</f>
        <v>8.33</v>
      </c>
      <c r="AV60" s="174" t="str">
        <f>IF(AV$6="","",IF(AV$3="Maior",iferror(VLOOKUP($R60,Capa!$A:$AJ,AV$5,0),0),IF(ISERROR(1/VLOOKUP($R60,Capa!$A:$AJ,AV$5,0)),0,1/VLOOKUP($R60,Capa!$A:$AJ,AV$5,0))))</f>
        <v/>
      </c>
      <c r="AW60" s="174" t="str">
        <f>IF(AW$6="","",IF(AW$3="Maior",iferror(VLOOKUP($R60,Capa!$A:$AJ,AW$5,0),0),IF(ISERROR(1/VLOOKUP($R60,Capa!$A:$AJ,AW$5,0)),0,1/VLOOKUP($R60,Capa!$A:$AJ,AW$5,0))))</f>
        <v/>
      </c>
      <c r="AX60" s="174" t="str">
        <f>IF(AX$6="","",IF(AX$3="Maior",iferror(VLOOKUP($R60,Capa!$A:$AJ,AX$5,0),0),IF(ISERROR(1/VLOOKUP($R60,Capa!$A:$AJ,AX$5,0)),0,1/VLOOKUP($R60,Capa!$A:$AJ,AX$5,0))))</f>
        <v/>
      </c>
      <c r="AY60" s="174" t="str">
        <f>IF(AY$6="","",IF(AY$3="Maior",iferror(VLOOKUP($R60,Capa!$A:$AJ,AY$5,0),0),IF(ISERROR(1/VLOOKUP($R60,Capa!$A:$AJ,AY$5,0)),0,1/VLOOKUP($R60,Capa!$A:$AJ,AY$5,0))))</f>
        <v/>
      </c>
      <c r="AZ60" s="174" t="str">
        <f>IF(AZ$6="","",IF(AZ$3="Maior",iferror(VLOOKUP($R60,Capa!$A:$AJ,AZ$5,0),0),IF(ISERROR(1/VLOOKUP($R60,Capa!$A:$AJ,AZ$5,0)),0,1/VLOOKUP($R60,Capa!$A:$AJ,AZ$5,0))))</f>
        <v/>
      </c>
      <c r="BA60" s="174" t="str">
        <f>IF(BA$6="","",IF(BA$3="Maior",iferror(VLOOKUP($R60,Capa!$A:$AJ,BA$5,0),0),IF(ISERROR(1/VLOOKUP($R60,Capa!$A:$AJ,BA$5,0)),0,1/VLOOKUP($R60,Capa!$A:$AJ,BA$5,0))))</f>
        <v/>
      </c>
      <c r="BB60" s="174" t="str">
        <f>IF(BB$6="","",IF(BB$3="Maior",iferror(VLOOKUP($R60,Capa!$A:$AJ,BB$5,0),0),IF(ISERROR(1/VLOOKUP($R60,Capa!$A:$AJ,BB$5,0)),0,1/VLOOKUP($R60,Capa!$A:$AJ,BB$5,0))))</f>
        <v/>
      </c>
      <c r="BC60" s="174" t="str">
        <f>IF(BC$6="","",IF(BC$3="Maior",iferror(VLOOKUP($R60,Capa!$A:$AJ,BC$5,0),0),IF(ISERROR(1/VLOOKUP($R60,Capa!$A:$AJ,BC$5,0)),0,1/VLOOKUP($R60,Capa!$A:$AJ,BC$5,0))))</f>
        <v/>
      </c>
      <c r="BD60" s="174" t="str">
        <f>IF(BD$6="","",IF(BD$3="Maior",iferror(VLOOKUP($R60,Capa!$A:$AJ,BD$5,0),0),IF(ISERROR(1/VLOOKUP($R60,Capa!$A:$AJ,BD$5,0)),0,1/VLOOKUP($R60,Capa!$A:$AJ,BD$5,0))))</f>
        <v/>
      </c>
      <c r="BE60" s="174" t="str">
        <f>IF(BE$6="","",IF(BE$3="Maior",iferror(VLOOKUP($R60,Capa!$A:$AJ,BE$5,0),0),IF(ISERROR(1/VLOOKUP($R60,Capa!$A:$AJ,BE$5,0)),0,1/VLOOKUP($R60,Capa!$A:$AJ,BE$5,0))))</f>
        <v/>
      </c>
      <c r="BF60" s="174" t="str">
        <f>IF(BF$6="","",IF(BF$3="Maior",iferror(VLOOKUP($R60,Capa!$A:$AJ,BF$5,0),0),IF(ISERROR(1/VLOOKUP($R60,Capa!$A:$AJ,BF$5,0)),0,1/VLOOKUP($R60,Capa!$A:$AJ,BF$5,0))))</f>
        <v/>
      </c>
      <c r="BG60" s="174" t="str">
        <f>IF(BG$6="","",IF(BG$3="Maior",iferror(VLOOKUP($R60,Capa!$A:$AJ,BG$5,0),0),IF(ISERROR(1/VLOOKUP($R60,Capa!$A:$AJ,BG$5,0)),0,1/VLOOKUP($R60,Capa!$A:$AJ,BG$5,0))))</f>
        <v/>
      </c>
      <c r="BH60" s="174" t="str">
        <f>IF(BH$6="","",IF(BH$3="Maior",iferror(VLOOKUP($R60,Capa!$A:$AJ,BH$5,0),0),IF(ISERROR(1/VLOOKUP($R60,Capa!$A:$AJ,BH$5,0)),0,1/VLOOKUP($R60,Capa!$A:$AJ,BH$5,0))))</f>
        <v/>
      </c>
      <c r="BI60" s="174" t="str">
        <f>IF(BI$6="","",IF(BI$3="Maior",iferror(VLOOKUP($R60,Capa!$A:$AJ,BI$5,0),0),IF(ISERROR(1/VLOOKUP($R60,Capa!$A:$AJ,BI$5,0)),0,1/VLOOKUP($R60,Capa!$A:$AJ,BI$5,0))))</f>
        <v/>
      </c>
      <c r="BJ60" s="174" t="str">
        <f>IF(BJ$6="","",IF(BJ$3="Maior",iferror(VLOOKUP($R60,Capa!$A:$AJ,BJ$5,0),0),IF(ISERROR(1/VLOOKUP($R60,Capa!$A:$AJ,BJ$5,0)),0,1/VLOOKUP($R60,Capa!$A:$AJ,BJ$5,0))))</f>
        <v/>
      </c>
      <c r="BK60" s="174" t="str">
        <f>IF(BK$6="","",IF(BK$3="Maior",iferror(VLOOKUP($R60,Capa!$A:$AJ,BK$5,0),0),IF(ISERROR(1/VLOOKUP($R60,Capa!$A:$AJ,BK$5,0)),0,1/VLOOKUP($R60,Capa!$A:$AJ,BK$5,0))))</f>
        <v/>
      </c>
      <c r="BL60" s="174" t="str">
        <f>IF(BL$6="","",IF(BL$3="Maior",iferror(VLOOKUP($R60,Capa!$A:$AJ,BL$5,0),0),IF(ISERROR(1/VLOOKUP($R60,Capa!$A:$AJ,BL$5,0)),0,1/VLOOKUP($R60,Capa!$A:$AJ,BL$5,0))))</f>
        <v/>
      </c>
      <c r="BM60" s="174" t="str">
        <f>IF(BM$6="","",IF(BM$3="Maior",iferror(VLOOKUP($R60,Capa!$A:$AJ,BM$5,0),0),IF(ISERROR(1/VLOOKUP($R60,Capa!$A:$AJ,BM$5,0)),0,1/VLOOKUP($R60,Capa!$A:$AJ,BM$5,0))))</f>
        <v/>
      </c>
      <c r="BN60" s="174" t="str">
        <f>IF(BN$6="","",IF(BN$3="Maior",iferror(VLOOKUP($R60,Capa!$A:$AJ,BN$5,0),0),IF(ISERROR(1/VLOOKUP($R60,Capa!$A:$AJ,BN$5,0)),0,1/VLOOKUP($R60,Capa!$A:$AJ,BN$5,0))))</f>
        <v/>
      </c>
      <c r="BO60" s="174" t="str">
        <f>IF(BO$6="","",IF(BO$3="Maior",iferror(VLOOKUP($R60,Capa!$A:$AJ,BO$5,0),0),IF(ISERROR(1/VLOOKUP($R60,Capa!$A:$AJ,BO$5,0)),0,1/VLOOKUP($R60,Capa!$A:$AJ,BO$5,0))))</f>
        <v/>
      </c>
      <c r="BP60" s="174" t="str">
        <f>IF(BP$6="","",IF(BP$3="Maior",iferror(VLOOKUP($R60,Capa!$A:$AJ,BP$5,0),0),IF(ISERROR(1/VLOOKUP($R60,Capa!$A:$AJ,BP$5,0)),0,1/VLOOKUP($R60,Capa!$A:$AJ,BP$5,0))))</f>
        <v/>
      </c>
      <c r="BQ60" s="174" t="str">
        <f>IF(BQ$6="","",IF(BQ$3="Maior",iferror(VLOOKUP($R60,Capa!$A:$AJ,BQ$5,0),0),IF(ISERROR(1/VLOOKUP($R60,Capa!$A:$AJ,BQ$5,0)),0,1/VLOOKUP($R60,Capa!$A:$AJ,BQ$5,0))))</f>
        <v/>
      </c>
      <c r="BR60" s="175"/>
      <c r="BS60" s="147"/>
    </row>
    <row r="61">
      <c r="G61" s="11"/>
      <c r="H61" s="8">
        <v>55.0</v>
      </c>
      <c r="I61" s="165" t="str">
        <f t="shared" si="6"/>
        <v>CSUD3</v>
      </c>
      <c r="J61" s="166" t="str">
        <f>(VLOOKUP($I61,Capa!$A:$B,2,0))</f>
        <v>CSU Digital SA</v>
      </c>
      <c r="K61" s="167" t="str">
        <f>VLOOKUP(left(I61,4),Setor!A:D,3,0)&amp;" | "&amp;VLOOKUP(left(I61,4),Setor!A:D,4,0)</f>
        <v>#N/A</v>
      </c>
      <c r="L61" s="168">
        <f>(VLOOKUP($I61,Capa!$A:$F,6,0))</f>
        <v>19.17</v>
      </c>
      <c r="M61" s="168">
        <f t="shared" si="7"/>
        <v>1283933</v>
      </c>
      <c r="N61" s="11" t="str">
        <f>IFERROR(__xludf.DUMMYFUNCTION("(VLOOKUP($I61,Capa!$A:$H,7,0))"),"")</f>
        <v/>
      </c>
      <c r="O61" s="169">
        <f>(VLOOKUP($I61,Capa!$A:$H,8,0))</f>
        <v>0.07394957983</v>
      </c>
      <c r="P61" s="11" t="str">
        <f>IFERROR(__xludf.DUMMYFUNCTION("(VLOOKUP($I61,Capa!$A:$J,10,0))"),"")</f>
        <v/>
      </c>
      <c r="Q61" s="169">
        <f>(VLOOKUP($I61,Capa!$A:$K,11,0))</f>
        <v>0.142431466</v>
      </c>
      <c r="R61" s="45" t="str">
        <f>'Dados StatusInvest'!A56</f>
        <v>BBDC4</v>
      </c>
      <c r="S61" s="170">
        <f t="shared" si="8"/>
        <v>793.0793</v>
      </c>
      <c r="T61" s="171">
        <f>VLOOKUP(R61,'Dados StatusInvest'!A:Z,26,0)</f>
        <v>827000000</v>
      </c>
      <c r="U61" s="172">
        <f t="shared" ref="U61:AS61" si="63">IF(AT61="","", RANK(AT61,AT$7:AT$626,0)+RANK(AT61,AT$7:AT$626,0)/10000)</f>
        <v>573.0573</v>
      </c>
      <c r="V61" s="172">
        <f t="shared" si="63"/>
        <v>220.022</v>
      </c>
      <c r="W61" s="172" t="str">
        <f t="shared" si="63"/>
        <v/>
      </c>
      <c r="X61" s="172" t="str">
        <f t="shared" si="63"/>
        <v/>
      </c>
      <c r="Y61" s="172" t="str">
        <f t="shared" si="63"/>
        <v/>
      </c>
      <c r="Z61" s="172" t="str">
        <f t="shared" si="63"/>
        <v/>
      </c>
      <c r="AA61" s="172" t="str">
        <f t="shared" si="63"/>
        <v/>
      </c>
      <c r="AB61" s="172" t="str">
        <f t="shared" si="63"/>
        <v/>
      </c>
      <c r="AC61" s="172" t="str">
        <f t="shared" si="63"/>
        <v/>
      </c>
      <c r="AD61" s="172" t="str">
        <f t="shared" si="63"/>
        <v/>
      </c>
      <c r="AE61" s="172" t="str">
        <f t="shared" si="63"/>
        <v/>
      </c>
      <c r="AF61" s="172" t="str">
        <f t="shared" si="63"/>
        <v/>
      </c>
      <c r="AG61" s="172" t="str">
        <f t="shared" si="63"/>
        <v/>
      </c>
      <c r="AH61" s="172" t="str">
        <f t="shared" si="63"/>
        <v/>
      </c>
      <c r="AI61" s="172" t="str">
        <f t="shared" si="63"/>
        <v/>
      </c>
      <c r="AJ61" s="172" t="str">
        <f t="shared" si="63"/>
        <v/>
      </c>
      <c r="AK61" s="172" t="str">
        <f t="shared" si="63"/>
        <v/>
      </c>
      <c r="AL61" s="172" t="str">
        <f t="shared" si="63"/>
        <v/>
      </c>
      <c r="AM61" s="172" t="str">
        <f t="shared" si="63"/>
        <v/>
      </c>
      <c r="AN61" s="172" t="str">
        <f t="shared" si="63"/>
        <v/>
      </c>
      <c r="AO61" s="172" t="str">
        <f t="shared" si="63"/>
        <v/>
      </c>
      <c r="AP61" s="172" t="str">
        <f t="shared" si="63"/>
        <v/>
      </c>
      <c r="AQ61" s="172" t="str">
        <f t="shared" si="63"/>
        <v/>
      </c>
      <c r="AR61" s="172" t="str">
        <f t="shared" si="63"/>
        <v/>
      </c>
      <c r="AS61" s="172" t="str">
        <f t="shared" si="63"/>
        <v/>
      </c>
      <c r="AT61" s="173">
        <f>IF(AT$6="","",IF(AT$3="Maior",iferror(VLOOKUP($R61,Capa!$A:$AJ,AT$5,0),0),IF(ISERROR(1/VLOOKUP($R61,Capa!$A:$AJ,AT$5,0)),0,1/VLOOKUP($R61,Capa!$A:$AJ,AT$5,0))))</f>
        <v>-8.441172979</v>
      </c>
      <c r="AU61" s="174">
        <f>IF(AU$6="","",IF(AU$3="Maior",iferror(VLOOKUP($R61,Capa!$A:$AJ,AU$5,0),0),IF(ISERROR(1/VLOOKUP($R61,Capa!$A:$AJ,AU$5,0)),0,1/VLOOKUP($R61,Capa!$A:$AJ,AU$5,0))))</f>
        <v>8.33</v>
      </c>
      <c r="AV61" s="174" t="str">
        <f>IF(AV$6="","",IF(AV$3="Maior",iferror(VLOOKUP($R61,Capa!$A:$AJ,AV$5,0),0),IF(ISERROR(1/VLOOKUP($R61,Capa!$A:$AJ,AV$5,0)),0,1/VLOOKUP($R61,Capa!$A:$AJ,AV$5,0))))</f>
        <v/>
      </c>
      <c r="AW61" s="174" t="str">
        <f>IF(AW$6="","",IF(AW$3="Maior",iferror(VLOOKUP($R61,Capa!$A:$AJ,AW$5,0),0),IF(ISERROR(1/VLOOKUP($R61,Capa!$A:$AJ,AW$5,0)),0,1/VLOOKUP($R61,Capa!$A:$AJ,AW$5,0))))</f>
        <v/>
      </c>
      <c r="AX61" s="174" t="str">
        <f>IF(AX$6="","",IF(AX$3="Maior",iferror(VLOOKUP($R61,Capa!$A:$AJ,AX$5,0),0),IF(ISERROR(1/VLOOKUP($R61,Capa!$A:$AJ,AX$5,0)),0,1/VLOOKUP($R61,Capa!$A:$AJ,AX$5,0))))</f>
        <v/>
      </c>
      <c r="AY61" s="174" t="str">
        <f>IF(AY$6="","",IF(AY$3="Maior",iferror(VLOOKUP($R61,Capa!$A:$AJ,AY$5,0),0),IF(ISERROR(1/VLOOKUP($R61,Capa!$A:$AJ,AY$5,0)),0,1/VLOOKUP($R61,Capa!$A:$AJ,AY$5,0))))</f>
        <v/>
      </c>
      <c r="AZ61" s="174" t="str">
        <f>IF(AZ$6="","",IF(AZ$3="Maior",iferror(VLOOKUP($R61,Capa!$A:$AJ,AZ$5,0),0),IF(ISERROR(1/VLOOKUP($R61,Capa!$A:$AJ,AZ$5,0)),0,1/VLOOKUP($R61,Capa!$A:$AJ,AZ$5,0))))</f>
        <v/>
      </c>
      <c r="BA61" s="174" t="str">
        <f>IF(BA$6="","",IF(BA$3="Maior",iferror(VLOOKUP($R61,Capa!$A:$AJ,BA$5,0),0),IF(ISERROR(1/VLOOKUP($R61,Capa!$A:$AJ,BA$5,0)),0,1/VLOOKUP($R61,Capa!$A:$AJ,BA$5,0))))</f>
        <v/>
      </c>
      <c r="BB61" s="174" t="str">
        <f>IF(BB$6="","",IF(BB$3="Maior",iferror(VLOOKUP($R61,Capa!$A:$AJ,BB$5,0),0),IF(ISERROR(1/VLOOKUP($R61,Capa!$A:$AJ,BB$5,0)),0,1/VLOOKUP($R61,Capa!$A:$AJ,BB$5,0))))</f>
        <v/>
      </c>
      <c r="BC61" s="174" t="str">
        <f>IF(BC$6="","",IF(BC$3="Maior",iferror(VLOOKUP($R61,Capa!$A:$AJ,BC$5,0),0),IF(ISERROR(1/VLOOKUP($R61,Capa!$A:$AJ,BC$5,0)),0,1/VLOOKUP($R61,Capa!$A:$AJ,BC$5,0))))</f>
        <v/>
      </c>
      <c r="BD61" s="174" t="str">
        <f>IF(BD$6="","",IF(BD$3="Maior",iferror(VLOOKUP($R61,Capa!$A:$AJ,BD$5,0),0),IF(ISERROR(1/VLOOKUP($R61,Capa!$A:$AJ,BD$5,0)),0,1/VLOOKUP($R61,Capa!$A:$AJ,BD$5,0))))</f>
        <v/>
      </c>
      <c r="BE61" s="174" t="str">
        <f>IF(BE$6="","",IF(BE$3="Maior",iferror(VLOOKUP($R61,Capa!$A:$AJ,BE$5,0),0),IF(ISERROR(1/VLOOKUP($R61,Capa!$A:$AJ,BE$5,0)),0,1/VLOOKUP($R61,Capa!$A:$AJ,BE$5,0))))</f>
        <v/>
      </c>
      <c r="BF61" s="174" t="str">
        <f>IF(BF$6="","",IF(BF$3="Maior",iferror(VLOOKUP($R61,Capa!$A:$AJ,BF$5,0),0),IF(ISERROR(1/VLOOKUP($R61,Capa!$A:$AJ,BF$5,0)),0,1/VLOOKUP($R61,Capa!$A:$AJ,BF$5,0))))</f>
        <v/>
      </c>
      <c r="BG61" s="174" t="str">
        <f>IF(BG$6="","",IF(BG$3="Maior",iferror(VLOOKUP($R61,Capa!$A:$AJ,BG$5,0),0),IF(ISERROR(1/VLOOKUP($R61,Capa!$A:$AJ,BG$5,0)),0,1/VLOOKUP($R61,Capa!$A:$AJ,BG$5,0))))</f>
        <v/>
      </c>
      <c r="BH61" s="174" t="str">
        <f>IF(BH$6="","",IF(BH$3="Maior",iferror(VLOOKUP($R61,Capa!$A:$AJ,BH$5,0),0),IF(ISERROR(1/VLOOKUP($R61,Capa!$A:$AJ,BH$5,0)),0,1/VLOOKUP($R61,Capa!$A:$AJ,BH$5,0))))</f>
        <v/>
      </c>
      <c r="BI61" s="174" t="str">
        <f>IF(BI$6="","",IF(BI$3="Maior",iferror(VLOOKUP($R61,Capa!$A:$AJ,BI$5,0),0),IF(ISERROR(1/VLOOKUP($R61,Capa!$A:$AJ,BI$5,0)),0,1/VLOOKUP($R61,Capa!$A:$AJ,BI$5,0))))</f>
        <v/>
      </c>
      <c r="BJ61" s="174" t="str">
        <f>IF(BJ$6="","",IF(BJ$3="Maior",iferror(VLOOKUP($R61,Capa!$A:$AJ,BJ$5,0),0),IF(ISERROR(1/VLOOKUP($R61,Capa!$A:$AJ,BJ$5,0)),0,1/VLOOKUP($R61,Capa!$A:$AJ,BJ$5,0))))</f>
        <v/>
      </c>
      <c r="BK61" s="174" t="str">
        <f>IF(BK$6="","",IF(BK$3="Maior",iferror(VLOOKUP($R61,Capa!$A:$AJ,BK$5,0),0),IF(ISERROR(1/VLOOKUP($R61,Capa!$A:$AJ,BK$5,0)),0,1/VLOOKUP($R61,Capa!$A:$AJ,BK$5,0))))</f>
        <v/>
      </c>
      <c r="BL61" s="174" t="str">
        <f>IF(BL$6="","",IF(BL$3="Maior",iferror(VLOOKUP($R61,Capa!$A:$AJ,BL$5,0),0),IF(ISERROR(1/VLOOKUP($R61,Capa!$A:$AJ,BL$5,0)),0,1/VLOOKUP($R61,Capa!$A:$AJ,BL$5,0))))</f>
        <v/>
      </c>
      <c r="BM61" s="174" t="str">
        <f>IF(BM$6="","",IF(BM$3="Maior",iferror(VLOOKUP($R61,Capa!$A:$AJ,BM$5,0),0),IF(ISERROR(1/VLOOKUP($R61,Capa!$A:$AJ,BM$5,0)),0,1/VLOOKUP($R61,Capa!$A:$AJ,BM$5,0))))</f>
        <v/>
      </c>
      <c r="BN61" s="174" t="str">
        <f>IF(BN$6="","",IF(BN$3="Maior",iferror(VLOOKUP($R61,Capa!$A:$AJ,BN$5,0),0),IF(ISERROR(1/VLOOKUP($R61,Capa!$A:$AJ,BN$5,0)),0,1/VLOOKUP($R61,Capa!$A:$AJ,BN$5,0))))</f>
        <v/>
      </c>
      <c r="BO61" s="174" t="str">
        <f>IF(BO$6="","",IF(BO$3="Maior",iferror(VLOOKUP($R61,Capa!$A:$AJ,BO$5,0),0),IF(ISERROR(1/VLOOKUP($R61,Capa!$A:$AJ,BO$5,0)),0,1/VLOOKUP($R61,Capa!$A:$AJ,BO$5,0))))</f>
        <v/>
      </c>
      <c r="BP61" s="174" t="str">
        <f>IF(BP$6="","",IF(BP$3="Maior",iferror(VLOOKUP($R61,Capa!$A:$AJ,BP$5,0),0),IF(ISERROR(1/VLOOKUP($R61,Capa!$A:$AJ,BP$5,0)),0,1/VLOOKUP($R61,Capa!$A:$AJ,BP$5,0))))</f>
        <v/>
      </c>
      <c r="BQ61" s="174" t="str">
        <f>IF(BQ$6="","",IF(BQ$3="Maior",iferror(VLOOKUP($R61,Capa!$A:$AJ,BQ$5,0),0),IF(ISERROR(1/VLOOKUP($R61,Capa!$A:$AJ,BQ$5,0)),0,1/VLOOKUP($R61,Capa!$A:$AJ,BQ$5,0))))</f>
        <v/>
      </c>
      <c r="BR61" s="175"/>
      <c r="BS61" s="147"/>
    </row>
    <row r="62">
      <c r="G62" s="11"/>
      <c r="H62" s="8">
        <v>56.0</v>
      </c>
      <c r="I62" s="165" t="str">
        <f t="shared" si="6"/>
        <v>CRFB3</v>
      </c>
      <c r="J62" s="166" t="str">
        <f>(VLOOKUP($I62,Capa!$A:$B,2,0))</f>
        <v/>
      </c>
      <c r="K62" s="167" t="str">
        <f>VLOOKUP(left(I62,4),Setor!A:D,3,0)&amp;" | "&amp;VLOOKUP(left(I62,4),Setor!A:D,4,0)</f>
        <v>Consumo não Cíclico | Comércio e Distribuição</v>
      </c>
      <c r="L62" s="168" t="str">
        <f>(VLOOKUP($I62,Capa!$A:$F,6,0))</f>
        <v/>
      </c>
      <c r="M62" s="168">
        <f t="shared" si="7"/>
        <v>122000000</v>
      </c>
      <c r="N62" s="11" t="str">
        <f>(VLOOKUP($I62,Capa!$A:$H,7,0))</f>
        <v/>
      </c>
      <c r="O62" s="169" t="str">
        <f>(VLOOKUP($I62,Capa!$A:$H,8,0))</f>
        <v/>
      </c>
      <c r="P62" s="11" t="str">
        <f>(VLOOKUP($I62,Capa!$A:$J,10,0))</f>
        <v/>
      </c>
      <c r="Q62" s="169" t="str">
        <f>(VLOOKUP($I62,Capa!$A:$K,11,0))</f>
        <v/>
      </c>
      <c r="R62" s="45" t="str">
        <f>'Dados StatusInvest'!A57</f>
        <v>BBML3</v>
      </c>
      <c r="S62" s="170">
        <f t="shared" si="8"/>
        <v>1388.0388</v>
      </c>
      <c r="T62" s="171">
        <f>VLOOKUP(R62,'Dados StatusInvest'!A:Z,26,0)</f>
        <v>0</v>
      </c>
      <c r="U62" s="172">
        <f t="shared" ref="U62:AS62" si="64">IF(AT62="","", RANK(AT62,AT$7:AT$626,0)+RANK(AT62,AT$7:AT$626,0)/10000)</f>
        <v>121.0121</v>
      </c>
      <c r="V62" s="172">
        <f t="shared" si="64"/>
        <v>267.0267</v>
      </c>
      <c r="W62" s="172" t="str">
        <f t="shared" si="64"/>
        <v/>
      </c>
      <c r="X62" s="172" t="str">
        <f t="shared" si="64"/>
        <v/>
      </c>
      <c r="Y62" s="172" t="str">
        <f t="shared" si="64"/>
        <v/>
      </c>
      <c r="Z62" s="172" t="str">
        <f t="shared" si="64"/>
        <v/>
      </c>
      <c r="AA62" s="172" t="str">
        <f t="shared" si="64"/>
        <v/>
      </c>
      <c r="AB62" s="172" t="str">
        <f t="shared" si="64"/>
        <v/>
      </c>
      <c r="AC62" s="172" t="str">
        <f t="shared" si="64"/>
        <v/>
      </c>
      <c r="AD62" s="172" t="str">
        <f t="shared" si="64"/>
        <v/>
      </c>
      <c r="AE62" s="172" t="str">
        <f t="shared" si="64"/>
        <v/>
      </c>
      <c r="AF62" s="172" t="str">
        <f t="shared" si="64"/>
        <v/>
      </c>
      <c r="AG62" s="172" t="str">
        <f t="shared" si="64"/>
        <v/>
      </c>
      <c r="AH62" s="172" t="str">
        <f t="shared" si="64"/>
        <v/>
      </c>
      <c r="AI62" s="172" t="str">
        <f t="shared" si="64"/>
        <v/>
      </c>
      <c r="AJ62" s="172" t="str">
        <f t="shared" si="64"/>
        <v/>
      </c>
      <c r="AK62" s="172" t="str">
        <f t="shared" si="64"/>
        <v/>
      </c>
      <c r="AL62" s="172" t="str">
        <f t="shared" si="64"/>
        <v/>
      </c>
      <c r="AM62" s="172" t="str">
        <f t="shared" si="64"/>
        <v/>
      </c>
      <c r="AN62" s="172" t="str">
        <f t="shared" si="64"/>
        <v/>
      </c>
      <c r="AO62" s="172" t="str">
        <f t="shared" si="64"/>
        <v/>
      </c>
      <c r="AP62" s="172" t="str">
        <f t="shared" si="64"/>
        <v/>
      </c>
      <c r="AQ62" s="172" t="str">
        <f t="shared" si="64"/>
        <v/>
      </c>
      <c r="AR62" s="172" t="str">
        <f t="shared" si="64"/>
        <v/>
      </c>
      <c r="AS62" s="172" t="str">
        <f t="shared" si="64"/>
        <v/>
      </c>
      <c r="AT62" s="173">
        <f>IF(AT$6="","",IF(AT$3="Maior",iferror(VLOOKUP($R62,Capa!$A:$AJ,AT$5,0),0),IF(ISERROR(1/VLOOKUP($R62,Capa!$A:$AJ,AT$5,0)),0,1/VLOOKUP($R62,Capa!$A:$AJ,AT$5,0))))</f>
        <v>-0.01652619402</v>
      </c>
      <c r="AU62" s="174">
        <f>IF(AU$6="","",IF(AU$3="Maior",iferror(VLOOKUP($R62,Capa!$A:$AJ,AU$5,0),0),IF(ISERROR(1/VLOOKUP($R62,Capa!$A:$AJ,AU$5,0)),0,1/VLOOKUP($R62,Capa!$A:$AJ,AU$5,0))))</f>
        <v>0</v>
      </c>
      <c r="AV62" s="174" t="str">
        <f>IF(AV$6="","",IF(AV$3="Maior",iferror(VLOOKUP($R62,Capa!$A:$AJ,AV$5,0),0),IF(ISERROR(1/VLOOKUP($R62,Capa!$A:$AJ,AV$5,0)),0,1/VLOOKUP($R62,Capa!$A:$AJ,AV$5,0))))</f>
        <v/>
      </c>
      <c r="AW62" s="174" t="str">
        <f>IF(AW$6="","",IF(AW$3="Maior",iferror(VLOOKUP($R62,Capa!$A:$AJ,AW$5,0),0),IF(ISERROR(1/VLOOKUP($R62,Capa!$A:$AJ,AW$5,0)),0,1/VLOOKUP($R62,Capa!$A:$AJ,AW$5,0))))</f>
        <v/>
      </c>
      <c r="AX62" s="174" t="str">
        <f>IF(AX$6="","",IF(AX$3="Maior",iferror(VLOOKUP($R62,Capa!$A:$AJ,AX$5,0),0),IF(ISERROR(1/VLOOKUP($R62,Capa!$A:$AJ,AX$5,0)),0,1/VLOOKUP($R62,Capa!$A:$AJ,AX$5,0))))</f>
        <v/>
      </c>
      <c r="AY62" s="174" t="str">
        <f>IF(AY$6="","",IF(AY$3="Maior",iferror(VLOOKUP($R62,Capa!$A:$AJ,AY$5,0),0),IF(ISERROR(1/VLOOKUP($R62,Capa!$A:$AJ,AY$5,0)),0,1/VLOOKUP($R62,Capa!$A:$AJ,AY$5,0))))</f>
        <v/>
      </c>
      <c r="AZ62" s="174" t="str">
        <f>IF(AZ$6="","",IF(AZ$3="Maior",iferror(VLOOKUP($R62,Capa!$A:$AJ,AZ$5,0),0),IF(ISERROR(1/VLOOKUP($R62,Capa!$A:$AJ,AZ$5,0)),0,1/VLOOKUP($R62,Capa!$A:$AJ,AZ$5,0))))</f>
        <v/>
      </c>
      <c r="BA62" s="174" t="str">
        <f>IF(BA$6="","",IF(BA$3="Maior",iferror(VLOOKUP($R62,Capa!$A:$AJ,BA$5,0),0),IF(ISERROR(1/VLOOKUP($R62,Capa!$A:$AJ,BA$5,0)),0,1/VLOOKUP($R62,Capa!$A:$AJ,BA$5,0))))</f>
        <v/>
      </c>
      <c r="BB62" s="174" t="str">
        <f>IF(BB$6="","",IF(BB$3="Maior",iferror(VLOOKUP($R62,Capa!$A:$AJ,BB$5,0),0),IF(ISERROR(1/VLOOKUP($R62,Capa!$A:$AJ,BB$5,0)),0,1/VLOOKUP($R62,Capa!$A:$AJ,BB$5,0))))</f>
        <v/>
      </c>
      <c r="BC62" s="174" t="str">
        <f>IF(BC$6="","",IF(BC$3="Maior",iferror(VLOOKUP($R62,Capa!$A:$AJ,BC$5,0),0),IF(ISERROR(1/VLOOKUP($R62,Capa!$A:$AJ,BC$5,0)),0,1/VLOOKUP($R62,Capa!$A:$AJ,BC$5,0))))</f>
        <v/>
      </c>
      <c r="BD62" s="174" t="str">
        <f>IF(BD$6="","",IF(BD$3="Maior",iferror(VLOOKUP($R62,Capa!$A:$AJ,BD$5,0),0),IF(ISERROR(1/VLOOKUP($R62,Capa!$A:$AJ,BD$5,0)),0,1/VLOOKUP($R62,Capa!$A:$AJ,BD$5,0))))</f>
        <v/>
      </c>
      <c r="BE62" s="174" t="str">
        <f>IF(BE$6="","",IF(BE$3="Maior",iferror(VLOOKUP($R62,Capa!$A:$AJ,BE$5,0),0),IF(ISERROR(1/VLOOKUP($R62,Capa!$A:$AJ,BE$5,0)),0,1/VLOOKUP($R62,Capa!$A:$AJ,BE$5,0))))</f>
        <v/>
      </c>
      <c r="BF62" s="174" t="str">
        <f>IF(BF$6="","",IF(BF$3="Maior",iferror(VLOOKUP($R62,Capa!$A:$AJ,BF$5,0),0),IF(ISERROR(1/VLOOKUP($R62,Capa!$A:$AJ,BF$5,0)),0,1/VLOOKUP($R62,Capa!$A:$AJ,BF$5,0))))</f>
        <v/>
      </c>
      <c r="BG62" s="174" t="str">
        <f>IF(BG$6="","",IF(BG$3="Maior",iferror(VLOOKUP($R62,Capa!$A:$AJ,BG$5,0),0),IF(ISERROR(1/VLOOKUP($R62,Capa!$A:$AJ,BG$5,0)),0,1/VLOOKUP($R62,Capa!$A:$AJ,BG$5,0))))</f>
        <v/>
      </c>
      <c r="BH62" s="174" t="str">
        <f>IF(BH$6="","",IF(BH$3="Maior",iferror(VLOOKUP($R62,Capa!$A:$AJ,BH$5,0),0),IF(ISERROR(1/VLOOKUP($R62,Capa!$A:$AJ,BH$5,0)),0,1/VLOOKUP($R62,Capa!$A:$AJ,BH$5,0))))</f>
        <v/>
      </c>
      <c r="BI62" s="174" t="str">
        <f>IF(BI$6="","",IF(BI$3="Maior",iferror(VLOOKUP($R62,Capa!$A:$AJ,BI$5,0),0),IF(ISERROR(1/VLOOKUP($R62,Capa!$A:$AJ,BI$5,0)),0,1/VLOOKUP($R62,Capa!$A:$AJ,BI$5,0))))</f>
        <v/>
      </c>
      <c r="BJ62" s="174" t="str">
        <f>IF(BJ$6="","",IF(BJ$3="Maior",iferror(VLOOKUP($R62,Capa!$A:$AJ,BJ$5,0),0),IF(ISERROR(1/VLOOKUP($R62,Capa!$A:$AJ,BJ$5,0)),0,1/VLOOKUP($R62,Capa!$A:$AJ,BJ$5,0))))</f>
        <v/>
      </c>
      <c r="BK62" s="174" t="str">
        <f>IF(BK$6="","",IF(BK$3="Maior",iferror(VLOOKUP($R62,Capa!$A:$AJ,BK$5,0),0),IF(ISERROR(1/VLOOKUP($R62,Capa!$A:$AJ,BK$5,0)),0,1/VLOOKUP($R62,Capa!$A:$AJ,BK$5,0))))</f>
        <v/>
      </c>
      <c r="BL62" s="174" t="str">
        <f>IF(BL$6="","",IF(BL$3="Maior",iferror(VLOOKUP($R62,Capa!$A:$AJ,BL$5,0),0),IF(ISERROR(1/VLOOKUP($R62,Capa!$A:$AJ,BL$5,0)),0,1/VLOOKUP($R62,Capa!$A:$AJ,BL$5,0))))</f>
        <v/>
      </c>
      <c r="BM62" s="174" t="str">
        <f>IF(BM$6="","",IF(BM$3="Maior",iferror(VLOOKUP($R62,Capa!$A:$AJ,BM$5,0),0),IF(ISERROR(1/VLOOKUP($R62,Capa!$A:$AJ,BM$5,0)),0,1/VLOOKUP($R62,Capa!$A:$AJ,BM$5,0))))</f>
        <v/>
      </c>
      <c r="BN62" s="174" t="str">
        <f>IF(BN$6="","",IF(BN$3="Maior",iferror(VLOOKUP($R62,Capa!$A:$AJ,BN$5,0),0),IF(ISERROR(1/VLOOKUP($R62,Capa!$A:$AJ,BN$5,0)),0,1/VLOOKUP($R62,Capa!$A:$AJ,BN$5,0))))</f>
        <v/>
      </c>
      <c r="BO62" s="174" t="str">
        <f>IF(BO$6="","",IF(BO$3="Maior",iferror(VLOOKUP($R62,Capa!$A:$AJ,BO$5,0),0),IF(ISERROR(1/VLOOKUP($R62,Capa!$A:$AJ,BO$5,0)),0,1/VLOOKUP($R62,Capa!$A:$AJ,BO$5,0))))</f>
        <v/>
      </c>
      <c r="BP62" s="174" t="str">
        <f>IF(BP$6="","",IF(BP$3="Maior",iferror(VLOOKUP($R62,Capa!$A:$AJ,BP$5,0),0),IF(ISERROR(1/VLOOKUP($R62,Capa!$A:$AJ,BP$5,0)),0,1/VLOOKUP($R62,Capa!$A:$AJ,BP$5,0))))</f>
        <v/>
      </c>
      <c r="BQ62" s="174" t="str">
        <f>IF(BQ$6="","",IF(BQ$3="Maior",iferror(VLOOKUP($R62,Capa!$A:$AJ,BQ$5,0),0),IF(ISERROR(1/VLOOKUP($R62,Capa!$A:$AJ,BQ$5,0)),0,1/VLOOKUP($R62,Capa!$A:$AJ,BQ$5,0))))</f>
        <v/>
      </c>
      <c r="BR62" s="175"/>
      <c r="BS62" s="147"/>
    </row>
    <row r="63">
      <c r="G63" s="11"/>
      <c r="H63" s="8">
        <v>57.0</v>
      </c>
      <c r="I63" s="165" t="str">
        <f t="shared" si="6"/>
        <v>CRFB3</v>
      </c>
      <c r="J63" s="166" t="str">
        <f>(VLOOKUP($I63,Capa!$A:$B,2,0))</f>
        <v/>
      </c>
      <c r="K63" s="167" t="str">
        <f>VLOOKUP(left(I63,4),Setor!A:D,3,0)&amp;" | "&amp;VLOOKUP(left(I63,4),Setor!A:D,4,0)</f>
        <v>Consumo não Cíclico | Comércio e Distribuição</v>
      </c>
      <c r="L63" s="168" t="str">
        <f>(VLOOKUP($I63,Capa!$A:$F,6,0))</f>
        <v/>
      </c>
      <c r="M63" s="168">
        <f t="shared" si="7"/>
        <v>122000000</v>
      </c>
      <c r="N63" s="11" t="str">
        <f>(VLOOKUP($I63,Capa!$A:$H,7,0))</f>
        <v/>
      </c>
      <c r="O63" s="169" t="str">
        <f>(VLOOKUP($I63,Capa!$A:$H,8,0))</f>
        <v/>
      </c>
      <c r="P63" s="11" t="str">
        <f>(VLOOKUP($I63,Capa!$A:$J,10,0))</f>
        <v/>
      </c>
      <c r="Q63" s="169" t="str">
        <f>(VLOOKUP($I63,Capa!$A:$K,11,0))</f>
        <v/>
      </c>
      <c r="R63" s="45" t="str">
        <f>'Dados StatusInvest'!A58</f>
        <v>BBSE3</v>
      </c>
      <c r="S63" s="170">
        <f t="shared" si="8"/>
        <v>400.04</v>
      </c>
      <c r="T63" s="171">
        <f>VLOOKUP(R63,'Dados StatusInvest'!A:Z,26,0)</f>
        <v>309000000</v>
      </c>
      <c r="U63" s="172">
        <f t="shared" ref="U63:AS63" si="65">IF(AT63="","", RANK(AT63,AT$7:AT$626,0)+RANK(AT63,AT$7:AT$626,0)/10000)</f>
        <v>168.0168</v>
      </c>
      <c r="V63" s="172">
        <f t="shared" si="65"/>
        <v>232.0232</v>
      </c>
      <c r="W63" s="172" t="str">
        <f t="shared" si="65"/>
        <v/>
      </c>
      <c r="X63" s="172" t="str">
        <f t="shared" si="65"/>
        <v/>
      </c>
      <c r="Y63" s="172" t="str">
        <f t="shared" si="65"/>
        <v/>
      </c>
      <c r="Z63" s="172" t="str">
        <f t="shared" si="65"/>
        <v/>
      </c>
      <c r="AA63" s="172" t="str">
        <f t="shared" si="65"/>
        <v/>
      </c>
      <c r="AB63" s="172" t="str">
        <f t="shared" si="65"/>
        <v/>
      </c>
      <c r="AC63" s="172" t="str">
        <f t="shared" si="65"/>
        <v/>
      </c>
      <c r="AD63" s="172" t="str">
        <f t="shared" si="65"/>
        <v/>
      </c>
      <c r="AE63" s="172" t="str">
        <f t="shared" si="65"/>
        <v/>
      </c>
      <c r="AF63" s="172" t="str">
        <f t="shared" si="65"/>
        <v/>
      </c>
      <c r="AG63" s="172" t="str">
        <f t="shared" si="65"/>
        <v/>
      </c>
      <c r="AH63" s="172" t="str">
        <f t="shared" si="65"/>
        <v/>
      </c>
      <c r="AI63" s="172" t="str">
        <f t="shared" si="65"/>
        <v/>
      </c>
      <c r="AJ63" s="172" t="str">
        <f t="shared" si="65"/>
        <v/>
      </c>
      <c r="AK63" s="172" t="str">
        <f t="shared" si="65"/>
        <v/>
      </c>
      <c r="AL63" s="172" t="str">
        <f t="shared" si="65"/>
        <v/>
      </c>
      <c r="AM63" s="172" t="str">
        <f t="shared" si="65"/>
        <v/>
      </c>
      <c r="AN63" s="172" t="str">
        <f t="shared" si="65"/>
        <v/>
      </c>
      <c r="AO63" s="172" t="str">
        <f t="shared" si="65"/>
        <v/>
      </c>
      <c r="AP63" s="172" t="str">
        <f t="shared" si="65"/>
        <v/>
      </c>
      <c r="AQ63" s="172" t="str">
        <f t="shared" si="65"/>
        <v/>
      </c>
      <c r="AR63" s="172" t="str">
        <f t="shared" si="65"/>
        <v/>
      </c>
      <c r="AS63" s="172" t="str">
        <f t="shared" si="65"/>
        <v/>
      </c>
      <c r="AT63" s="173">
        <f>IF(AT$6="","",IF(AT$3="Maior",iferror(VLOOKUP($R63,Capa!$A:$AJ,AT$5,0),0),IF(ISERROR(1/VLOOKUP($R63,Capa!$A:$AJ,AT$5,0)),0,1/VLOOKUP($R63,Capa!$A:$AJ,AT$5,0))))</f>
        <v>-0.1765576825</v>
      </c>
      <c r="AU63" s="174">
        <f>IF(AU$6="","",IF(AU$3="Maior",iferror(VLOOKUP($R63,Capa!$A:$AJ,AU$5,0),0),IF(ISERROR(1/VLOOKUP($R63,Capa!$A:$AJ,AU$5,0)),0,1/VLOOKUP($R63,Capa!$A:$AJ,AU$5,0))))</f>
        <v>6.21</v>
      </c>
      <c r="AV63" s="174" t="str">
        <f>IF(AV$6="","",IF(AV$3="Maior",iferror(VLOOKUP($R63,Capa!$A:$AJ,AV$5,0),0),IF(ISERROR(1/VLOOKUP($R63,Capa!$A:$AJ,AV$5,0)),0,1/VLOOKUP($R63,Capa!$A:$AJ,AV$5,0))))</f>
        <v/>
      </c>
      <c r="AW63" s="174" t="str">
        <f>IF(AW$6="","",IF(AW$3="Maior",iferror(VLOOKUP($R63,Capa!$A:$AJ,AW$5,0),0),IF(ISERROR(1/VLOOKUP($R63,Capa!$A:$AJ,AW$5,0)),0,1/VLOOKUP($R63,Capa!$A:$AJ,AW$5,0))))</f>
        <v/>
      </c>
      <c r="AX63" s="174" t="str">
        <f>IF(AX$6="","",IF(AX$3="Maior",iferror(VLOOKUP($R63,Capa!$A:$AJ,AX$5,0),0),IF(ISERROR(1/VLOOKUP($R63,Capa!$A:$AJ,AX$5,0)),0,1/VLOOKUP($R63,Capa!$A:$AJ,AX$5,0))))</f>
        <v/>
      </c>
      <c r="AY63" s="174" t="str">
        <f>IF(AY$6="","",IF(AY$3="Maior",iferror(VLOOKUP($R63,Capa!$A:$AJ,AY$5,0),0),IF(ISERROR(1/VLOOKUP($R63,Capa!$A:$AJ,AY$5,0)),0,1/VLOOKUP($R63,Capa!$A:$AJ,AY$5,0))))</f>
        <v/>
      </c>
      <c r="AZ63" s="174" t="str">
        <f>IF(AZ$6="","",IF(AZ$3="Maior",iferror(VLOOKUP($R63,Capa!$A:$AJ,AZ$5,0),0),IF(ISERROR(1/VLOOKUP($R63,Capa!$A:$AJ,AZ$5,0)),0,1/VLOOKUP($R63,Capa!$A:$AJ,AZ$5,0))))</f>
        <v/>
      </c>
      <c r="BA63" s="174" t="str">
        <f>IF(BA$6="","",IF(BA$3="Maior",iferror(VLOOKUP($R63,Capa!$A:$AJ,BA$5,0),0),IF(ISERROR(1/VLOOKUP($R63,Capa!$A:$AJ,BA$5,0)),0,1/VLOOKUP($R63,Capa!$A:$AJ,BA$5,0))))</f>
        <v/>
      </c>
      <c r="BB63" s="174" t="str">
        <f>IF(BB$6="","",IF(BB$3="Maior",iferror(VLOOKUP($R63,Capa!$A:$AJ,BB$5,0),0),IF(ISERROR(1/VLOOKUP($R63,Capa!$A:$AJ,BB$5,0)),0,1/VLOOKUP($R63,Capa!$A:$AJ,BB$5,0))))</f>
        <v/>
      </c>
      <c r="BC63" s="174" t="str">
        <f>IF(BC$6="","",IF(BC$3="Maior",iferror(VLOOKUP($R63,Capa!$A:$AJ,BC$5,0),0),IF(ISERROR(1/VLOOKUP($R63,Capa!$A:$AJ,BC$5,0)),0,1/VLOOKUP($R63,Capa!$A:$AJ,BC$5,0))))</f>
        <v/>
      </c>
      <c r="BD63" s="174" t="str">
        <f>IF(BD$6="","",IF(BD$3="Maior",iferror(VLOOKUP($R63,Capa!$A:$AJ,BD$5,0),0),IF(ISERROR(1/VLOOKUP($R63,Capa!$A:$AJ,BD$5,0)),0,1/VLOOKUP($R63,Capa!$A:$AJ,BD$5,0))))</f>
        <v/>
      </c>
      <c r="BE63" s="174" t="str">
        <f>IF(BE$6="","",IF(BE$3="Maior",iferror(VLOOKUP($R63,Capa!$A:$AJ,BE$5,0),0),IF(ISERROR(1/VLOOKUP($R63,Capa!$A:$AJ,BE$5,0)),0,1/VLOOKUP($R63,Capa!$A:$AJ,BE$5,0))))</f>
        <v/>
      </c>
      <c r="BF63" s="174" t="str">
        <f>IF(BF$6="","",IF(BF$3="Maior",iferror(VLOOKUP($R63,Capa!$A:$AJ,BF$5,0),0),IF(ISERROR(1/VLOOKUP($R63,Capa!$A:$AJ,BF$5,0)),0,1/VLOOKUP($R63,Capa!$A:$AJ,BF$5,0))))</f>
        <v/>
      </c>
      <c r="BG63" s="174" t="str">
        <f>IF(BG$6="","",IF(BG$3="Maior",iferror(VLOOKUP($R63,Capa!$A:$AJ,BG$5,0),0),IF(ISERROR(1/VLOOKUP($R63,Capa!$A:$AJ,BG$5,0)),0,1/VLOOKUP($R63,Capa!$A:$AJ,BG$5,0))))</f>
        <v/>
      </c>
      <c r="BH63" s="174" t="str">
        <f>IF(BH$6="","",IF(BH$3="Maior",iferror(VLOOKUP($R63,Capa!$A:$AJ,BH$5,0),0),IF(ISERROR(1/VLOOKUP($R63,Capa!$A:$AJ,BH$5,0)),0,1/VLOOKUP($R63,Capa!$A:$AJ,BH$5,0))))</f>
        <v/>
      </c>
      <c r="BI63" s="174" t="str">
        <f>IF(BI$6="","",IF(BI$3="Maior",iferror(VLOOKUP($R63,Capa!$A:$AJ,BI$5,0),0),IF(ISERROR(1/VLOOKUP($R63,Capa!$A:$AJ,BI$5,0)),0,1/VLOOKUP($R63,Capa!$A:$AJ,BI$5,0))))</f>
        <v/>
      </c>
      <c r="BJ63" s="174" t="str">
        <f>IF(BJ$6="","",IF(BJ$3="Maior",iferror(VLOOKUP($R63,Capa!$A:$AJ,BJ$5,0),0),IF(ISERROR(1/VLOOKUP($R63,Capa!$A:$AJ,BJ$5,0)),0,1/VLOOKUP($R63,Capa!$A:$AJ,BJ$5,0))))</f>
        <v/>
      </c>
      <c r="BK63" s="174" t="str">
        <f>IF(BK$6="","",IF(BK$3="Maior",iferror(VLOOKUP($R63,Capa!$A:$AJ,BK$5,0),0),IF(ISERROR(1/VLOOKUP($R63,Capa!$A:$AJ,BK$5,0)),0,1/VLOOKUP($R63,Capa!$A:$AJ,BK$5,0))))</f>
        <v/>
      </c>
      <c r="BL63" s="174" t="str">
        <f>IF(BL$6="","",IF(BL$3="Maior",iferror(VLOOKUP($R63,Capa!$A:$AJ,BL$5,0),0),IF(ISERROR(1/VLOOKUP($R63,Capa!$A:$AJ,BL$5,0)),0,1/VLOOKUP($R63,Capa!$A:$AJ,BL$5,0))))</f>
        <v/>
      </c>
      <c r="BM63" s="174" t="str">
        <f>IF(BM$6="","",IF(BM$3="Maior",iferror(VLOOKUP($R63,Capa!$A:$AJ,BM$5,0),0),IF(ISERROR(1/VLOOKUP($R63,Capa!$A:$AJ,BM$5,0)),0,1/VLOOKUP($R63,Capa!$A:$AJ,BM$5,0))))</f>
        <v/>
      </c>
      <c r="BN63" s="174" t="str">
        <f>IF(BN$6="","",IF(BN$3="Maior",iferror(VLOOKUP($R63,Capa!$A:$AJ,BN$5,0),0),IF(ISERROR(1/VLOOKUP($R63,Capa!$A:$AJ,BN$5,0)),0,1/VLOOKUP($R63,Capa!$A:$AJ,BN$5,0))))</f>
        <v/>
      </c>
      <c r="BO63" s="174" t="str">
        <f>IF(BO$6="","",IF(BO$3="Maior",iferror(VLOOKUP($R63,Capa!$A:$AJ,BO$5,0),0),IF(ISERROR(1/VLOOKUP($R63,Capa!$A:$AJ,BO$5,0)),0,1/VLOOKUP($R63,Capa!$A:$AJ,BO$5,0))))</f>
        <v/>
      </c>
      <c r="BP63" s="174" t="str">
        <f>IF(BP$6="","",IF(BP$3="Maior",iferror(VLOOKUP($R63,Capa!$A:$AJ,BP$5,0),0),IF(ISERROR(1/VLOOKUP($R63,Capa!$A:$AJ,BP$5,0)),0,1/VLOOKUP($R63,Capa!$A:$AJ,BP$5,0))))</f>
        <v/>
      </c>
      <c r="BQ63" s="174" t="str">
        <f>IF(BQ$6="","",IF(BQ$3="Maior",iferror(VLOOKUP($R63,Capa!$A:$AJ,BQ$5,0),0),IF(ISERROR(1/VLOOKUP($R63,Capa!$A:$AJ,BQ$5,0)),0,1/VLOOKUP($R63,Capa!$A:$AJ,BQ$5,0))))</f>
        <v/>
      </c>
      <c r="BR63" s="175"/>
      <c r="BS63" s="147"/>
    </row>
    <row r="64">
      <c r="G64" s="11"/>
      <c r="H64" s="8">
        <v>58.0</v>
      </c>
      <c r="I64" s="165" t="str">
        <f t="shared" si="6"/>
        <v>CRFB3</v>
      </c>
      <c r="J64" s="166" t="str">
        <f>(VLOOKUP($I64,Capa!$A:$B,2,0))</f>
        <v/>
      </c>
      <c r="K64" s="167" t="str">
        <f>VLOOKUP(left(I64,4),Setor!A:D,3,0)&amp;" | "&amp;VLOOKUP(left(I64,4),Setor!A:D,4,0)</f>
        <v>Consumo não Cíclico | Comércio e Distribuição</v>
      </c>
      <c r="L64" s="168" t="str">
        <f>(VLOOKUP($I64,Capa!$A:$F,6,0))</f>
        <v/>
      </c>
      <c r="M64" s="168">
        <f t="shared" si="7"/>
        <v>122000000</v>
      </c>
      <c r="N64" s="11" t="str">
        <f>(VLOOKUP($I64,Capa!$A:$H,7,0))</f>
        <v/>
      </c>
      <c r="O64" s="169" t="str">
        <f>(VLOOKUP($I64,Capa!$A:$H,8,0))</f>
        <v/>
      </c>
      <c r="P64" s="11" t="str">
        <f>(VLOOKUP($I64,Capa!$A:$J,10,0))</f>
        <v/>
      </c>
      <c r="Q64" s="169" t="str">
        <f>(VLOOKUP($I64,Capa!$A:$K,11,0))</f>
        <v/>
      </c>
      <c r="R64" s="45" t="str">
        <f>'Dados StatusInvest'!A59</f>
        <v>BDLL3</v>
      </c>
      <c r="S64" s="170">
        <f t="shared" si="8"/>
        <v>1867.0867</v>
      </c>
      <c r="T64" s="171">
        <f>VLOOKUP(R64,'Dados StatusInvest'!A:Z,26,0)</f>
        <v>448.13</v>
      </c>
      <c r="U64" s="172">
        <f t="shared" ref="U64:AS64" si="66">IF(AT64="","", RANK(AT64,AT$7:AT$626,0)+RANK(AT64,AT$7:AT$626,0)/10000)</f>
        <v>600.06</v>
      </c>
      <c r="V64" s="172">
        <f t="shared" si="66"/>
        <v>267.0267</v>
      </c>
      <c r="W64" s="172" t="str">
        <f t="shared" si="66"/>
        <v/>
      </c>
      <c r="X64" s="172" t="str">
        <f t="shared" si="66"/>
        <v/>
      </c>
      <c r="Y64" s="172" t="str">
        <f t="shared" si="66"/>
        <v/>
      </c>
      <c r="Z64" s="172" t="str">
        <f t="shared" si="66"/>
        <v/>
      </c>
      <c r="AA64" s="172" t="str">
        <f t="shared" si="66"/>
        <v/>
      </c>
      <c r="AB64" s="172" t="str">
        <f t="shared" si="66"/>
        <v/>
      </c>
      <c r="AC64" s="172" t="str">
        <f t="shared" si="66"/>
        <v/>
      </c>
      <c r="AD64" s="172" t="str">
        <f t="shared" si="66"/>
        <v/>
      </c>
      <c r="AE64" s="172" t="str">
        <f t="shared" si="66"/>
        <v/>
      </c>
      <c r="AF64" s="172" t="str">
        <f t="shared" si="66"/>
        <v/>
      </c>
      <c r="AG64" s="172" t="str">
        <f t="shared" si="66"/>
        <v/>
      </c>
      <c r="AH64" s="172" t="str">
        <f t="shared" si="66"/>
        <v/>
      </c>
      <c r="AI64" s="172" t="str">
        <f t="shared" si="66"/>
        <v/>
      </c>
      <c r="AJ64" s="172" t="str">
        <f t="shared" si="66"/>
        <v/>
      </c>
      <c r="AK64" s="172" t="str">
        <f t="shared" si="66"/>
        <v/>
      </c>
      <c r="AL64" s="172" t="str">
        <f t="shared" si="66"/>
        <v/>
      </c>
      <c r="AM64" s="172" t="str">
        <f t="shared" si="66"/>
        <v/>
      </c>
      <c r="AN64" s="172" t="str">
        <f t="shared" si="66"/>
        <v/>
      </c>
      <c r="AO64" s="172" t="str">
        <f t="shared" si="66"/>
        <v/>
      </c>
      <c r="AP64" s="172" t="str">
        <f t="shared" si="66"/>
        <v/>
      </c>
      <c r="AQ64" s="172" t="str">
        <f t="shared" si="66"/>
        <v/>
      </c>
      <c r="AR64" s="172" t="str">
        <f t="shared" si="66"/>
        <v/>
      </c>
      <c r="AS64" s="172" t="str">
        <f t="shared" si="66"/>
        <v/>
      </c>
      <c r="AT64" s="173">
        <f>IF(AT$6="","",IF(AT$3="Maior",iferror(VLOOKUP($R64,Capa!$A:$AJ,AT$5,0),0),IF(ISERROR(1/VLOOKUP($R64,Capa!$A:$AJ,AT$5,0)),0,1/VLOOKUP($R64,Capa!$A:$AJ,AT$5,0))))</f>
        <v>-20</v>
      </c>
      <c r="AU64" s="174">
        <f>IF(AU$6="","",IF(AU$3="Maior",iferror(VLOOKUP($R64,Capa!$A:$AJ,AU$5,0),0),IF(ISERROR(1/VLOOKUP($R64,Capa!$A:$AJ,AU$5,0)),0,1/VLOOKUP($R64,Capa!$A:$AJ,AU$5,0))))</f>
        <v>0</v>
      </c>
      <c r="AV64" s="174" t="str">
        <f>IF(AV$6="","",IF(AV$3="Maior",iferror(VLOOKUP($R64,Capa!$A:$AJ,AV$5,0),0),IF(ISERROR(1/VLOOKUP($R64,Capa!$A:$AJ,AV$5,0)),0,1/VLOOKUP($R64,Capa!$A:$AJ,AV$5,0))))</f>
        <v/>
      </c>
      <c r="AW64" s="174" t="str">
        <f>IF(AW$6="","",IF(AW$3="Maior",iferror(VLOOKUP($R64,Capa!$A:$AJ,AW$5,0),0),IF(ISERROR(1/VLOOKUP($R64,Capa!$A:$AJ,AW$5,0)),0,1/VLOOKUP($R64,Capa!$A:$AJ,AW$5,0))))</f>
        <v/>
      </c>
      <c r="AX64" s="174" t="str">
        <f>IF(AX$6="","",IF(AX$3="Maior",iferror(VLOOKUP($R64,Capa!$A:$AJ,AX$5,0),0),IF(ISERROR(1/VLOOKUP($R64,Capa!$A:$AJ,AX$5,0)),0,1/VLOOKUP($R64,Capa!$A:$AJ,AX$5,0))))</f>
        <v/>
      </c>
      <c r="AY64" s="174" t="str">
        <f>IF(AY$6="","",IF(AY$3="Maior",iferror(VLOOKUP($R64,Capa!$A:$AJ,AY$5,0),0),IF(ISERROR(1/VLOOKUP($R64,Capa!$A:$AJ,AY$5,0)),0,1/VLOOKUP($R64,Capa!$A:$AJ,AY$5,0))))</f>
        <v/>
      </c>
      <c r="AZ64" s="174" t="str">
        <f>IF(AZ$6="","",IF(AZ$3="Maior",iferror(VLOOKUP($R64,Capa!$A:$AJ,AZ$5,0),0),IF(ISERROR(1/VLOOKUP($R64,Capa!$A:$AJ,AZ$5,0)),0,1/VLOOKUP($R64,Capa!$A:$AJ,AZ$5,0))))</f>
        <v/>
      </c>
      <c r="BA64" s="174" t="str">
        <f>IF(BA$6="","",IF(BA$3="Maior",iferror(VLOOKUP($R64,Capa!$A:$AJ,BA$5,0),0),IF(ISERROR(1/VLOOKUP($R64,Capa!$A:$AJ,BA$5,0)),0,1/VLOOKUP($R64,Capa!$A:$AJ,BA$5,0))))</f>
        <v/>
      </c>
      <c r="BB64" s="174" t="str">
        <f>IF(BB$6="","",IF(BB$3="Maior",iferror(VLOOKUP($R64,Capa!$A:$AJ,BB$5,0),0),IF(ISERROR(1/VLOOKUP($R64,Capa!$A:$AJ,BB$5,0)),0,1/VLOOKUP($R64,Capa!$A:$AJ,BB$5,0))))</f>
        <v/>
      </c>
      <c r="BC64" s="174" t="str">
        <f>IF(BC$6="","",IF(BC$3="Maior",iferror(VLOOKUP($R64,Capa!$A:$AJ,BC$5,0),0),IF(ISERROR(1/VLOOKUP($R64,Capa!$A:$AJ,BC$5,0)),0,1/VLOOKUP($R64,Capa!$A:$AJ,BC$5,0))))</f>
        <v/>
      </c>
      <c r="BD64" s="174" t="str">
        <f>IF(BD$6="","",IF(BD$3="Maior",iferror(VLOOKUP($R64,Capa!$A:$AJ,BD$5,0),0),IF(ISERROR(1/VLOOKUP($R64,Capa!$A:$AJ,BD$5,0)),0,1/VLOOKUP($R64,Capa!$A:$AJ,BD$5,0))))</f>
        <v/>
      </c>
      <c r="BE64" s="174" t="str">
        <f>IF(BE$6="","",IF(BE$3="Maior",iferror(VLOOKUP($R64,Capa!$A:$AJ,BE$5,0),0),IF(ISERROR(1/VLOOKUP($R64,Capa!$A:$AJ,BE$5,0)),0,1/VLOOKUP($R64,Capa!$A:$AJ,BE$5,0))))</f>
        <v/>
      </c>
      <c r="BF64" s="174" t="str">
        <f>IF(BF$6="","",IF(BF$3="Maior",iferror(VLOOKUP($R64,Capa!$A:$AJ,BF$5,0),0),IF(ISERROR(1/VLOOKUP($R64,Capa!$A:$AJ,BF$5,0)),0,1/VLOOKUP($R64,Capa!$A:$AJ,BF$5,0))))</f>
        <v/>
      </c>
      <c r="BG64" s="174" t="str">
        <f>IF(BG$6="","",IF(BG$3="Maior",iferror(VLOOKUP($R64,Capa!$A:$AJ,BG$5,0),0),IF(ISERROR(1/VLOOKUP($R64,Capa!$A:$AJ,BG$5,0)),0,1/VLOOKUP($R64,Capa!$A:$AJ,BG$5,0))))</f>
        <v/>
      </c>
      <c r="BH64" s="174" t="str">
        <f>IF(BH$6="","",IF(BH$3="Maior",iferror(VLOOKUP($R64,Capa!$A:$AJ,BH$5,0),0),IF(ISERROR(1/VLOOKUP($R64,Capa!$A:$AJ,BH$5,0)),0,1/VLOOKUP($R64,Capa!$A:$AJ,BH$5,0))))</f>
        <v/>
      </c>
      <c r="BI64" s="174" t="str">
        <f>IF(BI$6="","",IF(BI$3="Maior",iferror(VLOOKUP($R64,Capa!$A:$AJ,BI$5,0),0),IF(ISERROR(1/VLOOKUP($R64,Capa!$A:$AJ,BI$5,0)),0,1/VLOOKUP($R64,Capa!$A:$AJ,BI$5,0))))</f>
        <v/>
      </c>
      <c r="BJ64" s="174" t="str">
        <f>IF(BJ$6="","",IF(BJ$3="Maior",iferror(VLOOKUP($R64,Capa!$A:$AJ,BJ$5,0),0),IF(ISERROR(1/VLOOKUP($R64,Capa!$A:$AJ,BJ$5,0)),0,1/VLOOKUP($R64,Capa!$A:$AJ,BJ$5,0))))</f>
        <v/>
      </c>
      <c r="BK64" s="174" t="str">
        <f>IF(BK$6="","",IF(BK$3="Maior",iferror(VLOOKUP($R64,Capa!$A:$AJ,BK$5,0),0),IF(ISERROR(1/VLOOKUP($R64,Capa!$A:$AJ,BK$5,0)),0,1/VLOOKUP($R64,Capa!$A:$AJ,BK$5,0))))</f>
        <v/>
      </c>
      <c r="BL64" s="174" t="str">
        <f>IF(BL$6="","",IF(BL$3="Maior",iferror(VLOOKUP($R64,Capa!$A:$AJ,BL$5,0),0),IF(ISERROR(1/VLOOKUP($R64,Capa!$A:$AJ,BL$5,0)),0,1/VLOOKUP($R64,Capa!$A:$AJ,BL$5,0))))</f>
        <v/>
      </c>
      <c r="BM64" s="174" t="str">
        <f>IF(BM$6="","",IF(BM$3="Maior",iferror(VLOOKUP($R64,Capa!$A:$AJ,BM$5,0),0),IF(ISERROR(1/VLOOKUP($R64,Capa!$A:$AJ,BM$5,0)),0,1/VLOOKUP($R64,Capa!$A:$AJ,BM$5,0))))</f>
        <v/>
      </c>
      <c r="BN64" s="174" t="str">
        <f>IF(BN$6="","",IF(BN$3="Maior",iferror(VLOOKUP($R64,Capa!$A:$AJ,BN$5,0),0),IF(ISERROR(1/VLOOKUP($R64,Capa!$A:$AJ,BN$5,0)),0,1/VLOOKUP($R64,Capa!$A:$AJ,BN$5,0))))</f>
        <v/>
      </c>
      <c r="BO64" s="174" t="str">
        <f>IF(BO$6="","",IF(BO$3="Maior",iferror(VLOOKUP($R64,Capa!$A:$AJ,BO$5,0),0),IF(ISERROR(1/VLOOKUP($R64,Capa!$A:$AJ,BO$5,0)),0,1/VLOOKUP($R64,Capa!$A:$AJ,BO$5,0))))</f>
        <v/>
      </c>
      <c r="BP64" s="174" t="str">
        <f>IF(BP$6="","",IF(BP$3="Maior",iferror(VLOOKUP($R64,Capa!$A:$AJ,BP$5,0),0),IF(ISERROR(1/VLOOKUP($R64,Capa!$A:$AJ,BP$5,0)),0,1/VLOOKUP($R64,Capa!$A:$AJ,BP$5,0))))</f>
        <v/>
      </c>
      <c r="BQ64" s="174" t="str">
        <f>IF(BQ$6="","",IF(BQ$3="Maior",iferror(VLOOKUP($R64,Capa!$A:$AJ,BQ$5,0),0),IF(ISERROR(1/VLOOKUP($R64,Capa!$A:$AJ,BQ$5,0)),0,1/VLOOKUP($R64,Capa!$A:$AJ,BQ$5,0))))</f>
        <v/>
      </c>
      <c r="BR64" s="175"/>
      <c r="BS64" s="147"/>
    </row>
    <row r="65">
      <c r="G65" s="11"/>
      <c r="H65" s="8">
        <v>59.0</v>
      </c>
      <c r="I65" s="165" t="str">
        <f t="shared" si="6"/>
        <v>LEVE3</v>
      </c>
      <c r="J65" s="166" t="str">
        <f>(VLOOKUP($I65,Capa!$A:$B,2,0))</f>
        <v>Mahle Metal Leve SA</v>
      </c>
      <c r="K65" s="167" t="str">
        <f>VLOOKUP(left(I65,4),Setor!A:D,3,0)&amp;" | "&amp;VLOOKUP(left(I65,4),Setor!A:D,4,0)</f>
        <v>Consumo Cíclico | Automóveis e Motocicletas</v>
      </c>
      <c r="L65" s="168">
        <f>(VLOOKUP($I65,Capa!$A:$F,6,0))</f>
        <v>35.18</v>
      </c>
      <c r="M65" s="168">
        <f t="shared" si="7"/>
        <v>11818236</v>
      </c>
      <c r="N65" s="11" t="str">
        <f>IFERROR(__xludf.DUMMYFUNCTION("(VLOOKUP($I65,Capa!$A:$H,7,0))"),"")</f>
        <v/>
      </c>
      <c r="O65" s="169">
        <f>(VLOOKUP($I65,Capa!$A:$H,8,0))</f>
        <v>0.03167155425</v>
      </c>
      <c r="P65" s="11" t="str">
        <f>IFERROR(__xludf.DUMMYFUNCTION("(VLOOKUP($I65,Capa!$A:$J,10,0))"),"")</f>
        <v/>
      </c>
      <c r="Q65" s="169">
        <f>(VLOOKUP($I65,Capa!$A:$K,11,0))</f>
        <v>0.250177683</v>
      </c>
      <c r="R65" s="45" t="str">
        <f>'Dados StatusInvest'!A60</f>
        <v>BDLL4</v>
      </c>
      <c r="S65" s="170">
        <f t="shared" si="8"/>
        <v>1870.087</v>
      </c>
      <c r="T65" s="171">
        <f>VLOOKUP(R65,'Dados StatusInvest'!A:Z,26,0)</f>
        <v>2010.87</v>
      </c>
      <c r="U65" s="172">
        <f t="shared" ref="U65:AS65" si="67">IF(AT65="","", RANK(AT65,AT$7:AT$626,0)+RANK(AT65,AT$7:AT$626,0)/10000)</f>
        <v>603.0603</v>
      </c>
      <c r="V65" s="172">
        <f t="shared" si="67"/>
        <v>267.0267</v>
      </c>
      <c r="W65" s="172" t="str">
        <f t="shared" si="67"/>
        <v/>
      </c>
      <c r="X65" s="172" t="str">
        <f t="shared" si="67"/>
        <v/>
      </c>
      <c r="Y65" s="172" t="str">
        <f t="shared" si="67"/>
        <v/>
      </c>
      <c r="Z65" s="172" t="str">
        <f t="shared" si="67"/>
        <v/>
      </c>
      <c r="AA65" s="172" t="str">
        <f t="shared" si="67"/>
        <v/>
      </c>
      <c r="AB65" s="172" t="str">
        <f t="shared" si="67"/>
        <v/>
      </c>
      <c r="AC65" s="172" t="str">
        <f t="shared" si="67"/>
        <v/>
      </c>
      <c r="AD65" s="172" t="str">
        <f t="shared" si="67"/>
        <v/>
      </c>
      <c r="AE65" s="172" t="str">
        <f t="shared" si="67"/>
        <v/>
      </c>
      <c r="AF65" s="172" t="str">
        <f t="shared" si="67"/>
        <v/>
      </c>
      <c r="AG65" s="172" t="str">
        <f t="shared" si="67"/>
        <v/>
      </c>
      <c r="AH65" s="172" t="str">
        <f t="shared" si="67"/>
        <v/>
      </c>
      <c r="AI65" s="172" t="str">
        <f t="shared" si="67"/>
        <v/>
      </c>
      <c r="AJ65" s="172" t="str">
        <f t="shared" si="67"/>
        <v/>
      </c>
      <c r="AK65" s="172" t="str">
        <f t="shared" si="67"/>
        <v/>
      </c>
      <c r="AL65" s="172" t="str">
        <f t="shared" si="67"/>
        <v/>
      </c>
      <c r="AM65" s="172" t="str">
        <f t="shared" si="67"/>
        <v/>
      </c>
      <c r="AN65" s="172" t="str">
        <f t="shared" si="67"/>
        <v/>
      </c>
      <c r="AO65" s="172" t="str">
        <f t="shared" si="67"/>
        <v/>
      </c>
      <c r="AP65" s="172" t="str">
        <f t="shared" si="67"/>
        <v/>
      </c>
      <c r="AQ65" s="172" t="str">
        <f t="shared" si="67"/>
        <v/>
      </c>
      <c r="AR65" s="172" t="str">
        <f t="shared" si="67"/>
        <v/>
      </c>
      <c r="AS65" s="172" t="str">
        <f t="shared" si="67"/>
        <v/>
      </c>
      <c r="AT65" s="173">
        <f>IF(AT$6="","",IF(AT$3="Maior",iferror(VLOOKUP($R65,Capa!$A:$AJ,AT$5,0),0),IF(ISERROR(1/VLOOKUP($R65,Capa!$A:$AJ,AT$5,0)),0,1/VLOOKUP($R65,Capa!$A:$AJ,AT$5,0))))</f>
        <v>-25</v>
      </c>
      <c r="AU65" s="174">
        <f>IF(AU$6="","",IF(AU$3="Maior",iferror(VLOOKUP($R65,Capa!$A:$AJ,AU$5,0),0),IF(ISERROR(1/VLOOKUP($R65,Capa!$A:$AJ,AU$5,0)),0,1/VLOOKUP($R65,Capa!$A:$AJ,AU$5,0))))</f>
        <v>0</v>
      </c>
      <c r="AV65" s="174" t="str">
        <f>IF(AV$6="","",IF(AV$3="Maior",iferror(VLOOKUP($R65,Capa!$A:$AJ,AV$5,0),0),IF(ISERROR(1/VLOOKUP($R65,Capa!$A:$AJ,AV$5,0)),0,1/VLOOKUP($R65,Capa!$A:$AJ,AV$5,0))))</f>
        <v/>
      </c>
      <c r="AW65" s="174" t="str">
        <f>IF(AW$6="","",IF(AW$3="Maior",iferror(VLOOKUP($R65,Capa!$A:$AJ,AW$5,0),0),IF(ISERROR(1/VLOOKUP($R65,Capa!$A:$AJ,AW$5,0)),0,1/VLOOKUP($R65,Capa!$A:$AJ,AW$5,0))))</f>
        <v/>
      </c>
      <c r="AX65" s="174" t="str">
        <f>IF(AX$6="","",IF(AX$3="Maior",iferror(VLOOKUP($R65,Capa!$A:$AJ,AX$5,0),0),IF(ISERROR(1/VLOOKUP($R65,Capa!$A:$AJ,AX$5,0)),0,1/VLOOKUP($R65,Capa!$A:$AJ,AX$5,0))))</f>
        <v/>
      </c>
      <c r="AY65" s="174" t="str">
        <f>IF(AY$6="","",IF(AY$3="Maior",iferror(VLOOKUP($R65,Capa!$A:$AJ,AY$5,0),0),IF(ISERROR(1/VLOOKUP($R65,Capa!$A:$AJ,AY$5,0)),0,1/VLOOKUP($R65,Capa!$A:$AJ,AY$5,0))))</f>
        <v/>
      </c>
      <c r="AZ65" s="174" t="str">
        <f>IF(AZ$6="","",IF(AZ$3="Maior",iferror(VLOOKUP($R65,Capa!$A:$AJ,AZ$5,0),0),IF(ISERROR(1/VLOOKUP($R65,Capa!$A:$AJ,AZ$5,0)),0,1/VLOOKUP($R65,Capa!$A:$AJ,AZ$5,0))))</f>
        <v/>
      </c>
      <c r="BA65" s="174" t="str">
        <f>IF(BA$6="","",IF(BA$3="Maior",iferror(VLOOKUP($R65,Capa!$A:$AJ,BA$5,0),0),IF(ISERROR(1/VLOOKUP($R65,Capa!$A:$AJ,BA$5,0)),0,1/VLOOKUP($R65,Capa!$A:$AJ,BA$5,0))))</f>
        <v/>
      </c>
      <c r="BB65" s="174" t="str">
        <f>IF(BB$6="","",IF(BB$3="Maior",iferror(VLOOKUP($R65,Capa!$A:$AJ,BB$5,0),0),IF(ISERROR(1/VLOOKUP($R65,Capa!$A:$AJ,BB$5,0)),0,1/VLOOKUP($R65,Capa!$A:$AJ,BB$5,0))))</f>
        <v/>
      </c>
      <c r="BC65" s="174" t="str">
        <f>IF(BC$6="","",IF(BC$3="Maior",iferror(VLOOKUP($R65,Capa!$A:$AJ,BC$5,0),0),IF(ISERROR(1/VLOOKUP($R65,Capa!$A:$AJ,BC$5,0)),0,1/VLOOKUP($R65,Capa!$A:$AJ,BC$5,0))))</f>
        <v/>
      </c>
      <c r="BD65" s="174" t="str">
        <f>IF(BD$6="","",IF(BD$3="Maior",iferror(VLOOKUP($R65,Capa!$A:$AJ,BD$5,0),0),IF(ISERROR(1/VLOOKUP($R65,Capa!$A:$AJ,BD$5,0)),0,1/VLOOKUP($R65,Capa!$A:$AJ,BD$5,0))))</f>
        <v/>
      </c>
      <c r="BE65" s="174" t="str">
        <f>IF(BE$6="","",IF(BE$3="Maior",iferror(VLOOKUP($R65,Capa!$A:$AJ,BE$5,0),0),IF(ISERROR(1/VLOOKUP($R65,Capa!$A:$AJ,BE$5,0)),0,1/VLOOKUP($R65,Capa!$A:$AJ,BE$5,0))))</f>
        <v/>
      </c>
      <c r="BF65" s="174" t="str">
        <f>IF(BF$6="","",IF(BF$3="Maior",iferror(VLOOKUP($R65,Capa!$A:$AJ,BF$5,0),0),IF(ISERROR(1/VLOOKUP($R65,Capa!$A:$AJ,BF$5,0)),0,1/VLOOKUP($R65,Capa!$A:$AJ,BF$5,0))))</f>
        <v/>
      </c>
      <c r="BG65" s="174" t="str">
        <f>IF(BG$6="","",IF(BG$3="Maior",iferror(VLOOKUP($R65,Capa!$A:$AJ,BG$5,0),0),IF(ISERROR(1/VLOOKUP($R65,Capa!$A:$AJ,BG$5,0)),0,1/VLOOKUP($R65,Capa!$A:$AJ,BG$5,0))))</f>
        <v/>
      </c>
      <c r="BH65" s="174" t="str">
        <f>IF(BH$6="","",IF(BH$3="Maior",iferror(VLOOKUP($R65,Capa!$A:$AJ,BH$5,0),0),IF(ISERROR(1/VLOOKUP($R65,Capa!$A:$AJ,BH$5,0)),0,1/VLOOKUP($R65,Capa!$A:$AJ,BH$5,0))))</f>
        <v/>
      </c>
      <c r="BI65" s="174" t="str">
        <f>IF(BI$6="","",IF(BI$3="Maior",iferror(VLOOKUP($R65,Capa!$A:$AJ,BI$5,0),0),IF(ISERROR(1/VLOOKUP($R65,Capa!$A:$AJ,BI$5,0)),0,1/VLOOKUP($R65,Capa!$A:$AJ,BI$5,0))))</f>
        <v/>
      </c>
      <c r="BJ65" s="174" t="str">
        <f>IF(BJ$6="","",IF(BJ$3="Maior",iferror(VLOOKUP($R65,Capa!$A:$AJ,BJ$5,0),0),IF(ISERROR(1/VLOOKUP($R65,Capa!$A:$AJ,BJ$5,0)),0,1/VLOOKUP($R65,Capa!$A:$AJ,BJ$5,0))))</f>
        <v/>
      </c>
      <c r="BK65" s="174" t="str">
        <f>IF(BK$6="","",IF(BK$3="Maior",iferror(VLOOKUP($R65,Capa!$A:$AJ,BK$5,0),0),IF(ISERROR(1/VLOOKUP($R65,Capa!$A:$AJ,BK$5,0)),0,1/VLOOKUP($R65,Capa!$A:$AJ,BK$5,0))))</f>
        <v/>
      </c>
      <c r="BL65" s="174" t="str">
        <f>IF(BL$6="","",IF(BL$3="Maior",iferror(VLOOKUP($R65,Capa!$A:$AJ,BL$5,0),0),IF(ISERROR(1/VLOOKUP($R65,Capa!$A:$AJ,BL$5,0)),0,1/VLOOKUP($R65,Capa!$A:$AJ,BL$5,0))))</f>
        <v/>
      </c>
      <c r="BM65" s="174" t="str">
        <f>IF(BM$6="","",IF(BM$3="Maior",iferror(VLOOKUP($R65,Capa!$A:$AJ,BM$5,0),0),IF(ISERROR(1/VLOOKUP($R65,Capa!$A:$AJ,BM$5,0)),0,1/VLOOKUP($R65,Capa!$A:$AJ,BM$5,0))))</f>
        <v/>
      </c>
      <c r="BN65" s="174" t="str">
        <f>IF(BN$6="","",IF(BN$3="Maior",iferror(VLOOKUP($R65,Capa!$A:$AJ,BN$5,0),0),IF(ISERROR(1/VLOOKUP($R65,Capa!$A:$AJ,BN$5,0)),0,1/VLOOKUP($R65,Capa!$A:$AJ,BN$5,0))))</f>
        <v/>
      </c>
      <c r="BO65" s="174" t="str">
        <f>IF(BO$6="","",IF(BO$3="Maior",iferror(VLOOKUP($R65,Capa!$A:$AJ,BO$5,0),0),IF(ISERROR(1/VLOOKUP($R65,Capa!$A:$AJ,BO$5,0)),0,1/VLOOKUP($R65,Capa!$A:$AJ,BO$5,0))))</f>
        <v/>
      </c>
      <c r="BP65" s="174" t="str">
        <f>IF(BP$6="","",IF(BP$3="Maior",iferror(VLOOKUP($R65,Capa!$A:$AJ,BP$5,0),0),IF(ISERROR(1/VLOOKUP($R65,Capa!$A:$AJ,BP$5,0)),0,1/VLOOKUP($R65,Capa!$A:$AJ,BP$5,0))))</f>
        <v/>
      </c>
      <c r="BQ65" s="174" t="str">
        <f>IF(BQ$6="","",IF(BQ$3="Maior",iferror(VLOOKUP($R65,Capa!$A:$AJ,BQ$5,0),0),IF(ISERROR(1/VLOOKUP($R65,Capa!$A:$AJ,BQ$5,0)),0,1/VLOOKUP($R65,Capa!$A:$AJ,BQ$5,0))))</f>
        <v/>
      </c>
      <c r="BR65" s="175"/>
      <c r="BS65" s="147"/>
    </row>
    <row r="66">
      <c r="G66" s="11"/>
      <c r="H66" s="8">
        <v>60.0</v>
      </c>
      <c r="I66" s="165" t="str">
        <f t="shared" si="6"/>
        <v>CEAB3</v>
      </c>
      <c r="J66" s="166" t="str">
        <f>(VLOOKUP($I66,Capa!$A:$B,2,0))</f>
        <v>C&amp;A Modas SA</v>
      </c>
      <c r="K66" s="167" t="str">
        <f>VLOOKUP(left(I66,4),Setor!A:D,3,0)&amp;" | "&amp;VLOOKUP(left(I66,4),Setor!A:D,4,0)</f>
        <v>Consumo Cíclico | Comércio</v>
      </c>
      <c r="L66" s="168">
        <f>(VLOOKUP($I66,Capa!$A:$F,6,0))</f>
        <v>12.98</v>
      </c>
      <c r="M66" s="168">
        <f t="shared" si="7"/>
        <v>142000000</v>
      </c>
      <c r="N66" s="11" t="str">
        <f>IFERROR(__xludf.DUMMYFUNCTION("(VLOOKUP($I66,Capa!$A:$H,7,0))"),"")</f>
        <v/>
      </c>
      <c r="O66" s="169">
        <f>(VLOOKUP($I66,Capa!$A:$H,8,0))</f>
        <v>0.1919191919</v>
      </c>
      <c r="P66" s="11" t="str">
        <f>IFERROR(__xludf.DUMMYFUNCTION("(VLOOKUP($I66,Capa!$A:$J,10,0))"),"")</f>
        <v/>
      </c>
      <c r="Q66" s="169">
        <f>(VLOOKUP($I66,Capa!$A:$K,11,0))</f>
        <v>0.298</v>
      </c>
      <c r="R66" s="45" t="str">
        <f>'Dados StatusInvest'!A61</f>
        <v>BEEF3</v>
      </c>
      <c r="S66" s="170">
        <f t="shared" si="8"/>
        <v>763.0763</v>
      </c>
      <c r="T66" s="171">
        <f>VLOOKUP(R66,'Dados StatusInvest'!A:Z,26,0)</f>
        <v>76635501</v>
      </c>
      <c r="U66" s="172">
        <f t="shared" ref="U66:AS66" si="68">IF(AT66="","", RANK(AT66,AT$7:AT$626,0)+RANK(AT66,AT$7:AT$626,0)/10000)</f>
        <v>496.0496</v>
      </c>
      <c r="V66" s="172">
        <f t="shared" si="68"/>
        <v>267.0267</v>
      </c>
      <c r="W66" s="172" t="str">
        <f t="shared" si="68"/>
        <v/>
      </c>
      <c r="X66" s="172" t="str">
        <f t="shared" si="68"/>
        <v/>
      </c>
      <c r="Y66" s="172" t="str">
        <f t="shared" si="68"/>
        <v/>
      </c>
      <c r="Z66" s="172" t="str">
        <f t="shared" si="68"/>
        <v/>
      </c>
      <c r="AA66" s="172" t="str">
        <f t="shared" si="68"/>
        <v/>
      </c>
      <c r="AB66" s="172" t="str">
        <f t="shared" si="68"/>
        <v/>
      </c>
      <c r="AC66" s="172" t="str">
        <f t="shared" si="68"/>
        <v/>
      </c>
      <c r="AD66" s="172" t="str">
        <f t="shared" si="68"/>
        <v/>
      </c>
      <c r="AE66" s="172" t="str">
        <f t="shared" si="68"/>
        <v/>
      </c>
      <c r="AF66" s="172" t="str">
        <f t="shared" si="68"/>
        <v/>
      </c>
      <c r="AG66" s="172" t="str">
        <f t="shared" si="68"/>
        <v/>
      </c>
      <c r="AH66" s="172" t="str">
        <f t="shared" si="68"/>
        <v/>
      </c>
      <c r="AI66" s="172" t="str">
        <f t="shared" si="68"/>
        <v/>
      </c>
      <c r="AJ66" s="172" t="str">
        <f t="shared" si="68"/>
        <v/>
      </c>
      <c r="AK66" s="172" t="str">
        <f t="shared" si="68"/>
        <v/>
      </c>
      <c r="AL66" s="172" t="str">
        <f t="shared" si="68"/>
        <v/>
      </c>
      <c r="AM66" s="172" t="str">
        <f t="shared" si="68"/>
        <v/>
      </c>
      <c r="AN66" s="172" t="str">
        <f t="shared" si="68"/>
        <v/>
      </c>
      <c r="AO66" s="172" t="str">
        <f t="shared" si="68"/>
        <v/>
      </c>
      <c r="AP66" s="172" t="str">
        <f t="shared" si="68"/>
        <v/>
      </c>
      <c r="AQ66" s="172" t="str">
        <f t="shared" si="68"/>
        <v/>
      </c>
      <c r="AR66" s="172" t="str">
        <f t="shared" si="68"/>
        <v/>
      </c>
      <c r="AS66" s="172" t="str">
        <f t="shared" si="68"/>
        <v/>
      </c>
      <c r="AT66" s="173">
        <f>IF(AT$6="","",IF(AT$3="Maior",iferror(VLOOKUP($R66,Capa!$A:$AJ,AT$5,0),0),IF(ISERROR(1/VLOOKUP($R66,Capa!$A:$AJ,AT$5,0)),0,1/VLOOKUP($R66,Capa!$A:$AJ,AT$5,0))))</f>
        <v>-3.005522515</v>
      </c>
      <c r="AU66" s="174">
        <f>IF(AU$6="","",IF(AU$3="Maior",iferror(VLOOKUP($R66,Capa!$A:$AJ,AU$5,0),0),IF(ISERROR(1/VLOOKUP($R66,Capa!$A:$AJ,AU$5,0)),0,1/VLOOKUP($R66,Capa!$A:$AJ,AU$5,0))))</f>
        <v>0</v>
      </c>
      <c r="AV66" s="174" t="str">
        <f>IF(AV$6="","",IF(AV$3="Maior",iferror(VLOOKUP($R66,Capa!$A:$AJ,AV$5,0),0),IF(ISERROR(1/VLOOKUP($R66,Capa!$A:$AJ,AV$5,0)),0,1/VLOOKUP($R66,Capa!$A:$AJ,AV$5,0))))</f>
        <v/>
      </c>
      <c r="AW66" s="174" t="str">
        <f>IF(AW$6="","",IF(AW$3="Maior",iferror(VLOOKUP($R66,Capa!$A:$AJ,AW$5,0),0),IF(ISERROR(1/VLOOKUP($R66,Capa!$A:$AJ,AW$5,0)),0,1/VLOOKUP($R66,Capa!$A:$AJ,AW$5,0))))</f>
        <v/>
      </c>
      <c r="AX66" s="174" t="str">
        <f>IF(AX$6="","",IF(AX$3="Maior",iferror(VLOOKUP($R66,Capa!$A:$AJ,AX$5,0),0),IF(ISERROR(1/VLOOKUP($R66,Capa!$A:$AJ,AX$5,0)),0,1/VLOOKUP($R66,Capa!$A:$AJ,AX$5,0))))</f>
        <v/>
      </c>
      <c r="AY66" s="174" t="str">
        <f>IF(AY$6="","",IF(AY$3="Maior",iferror(VLOOKUP($R66,Capa!$A:$AJ,AY$5,0),0),IF(ISERROR(1/VLOOKUP($R66,Capa!$A:$AJ,AY$5,0)),0,1/VLOOKUP($R66,Capa!$A:$AJ,AY$5,0))))</f>
        <v/>
      </c>
      <c r="AZ66" s="174" t="str">
        <f>IF(AZ$6="","",IF(AZ$3="Maior",iferror(VLOOKUP($R66,Capa!$A:$AJ,AZ$5,0),0),IF(ISERROR(1/VLOOKUP($R66,Capa!$A:$AJ,AZ$5,0)),0,1/VLOOKUP($R66,Capa!$A:$AJ,AZ$5,0))))</f>
        <v/>
      </c>
      <c r="BA66" s="174" t="str">
        <f>IF(BA$6="","",IF(BA$3="Maior",iferror(VLOOKUP($R66,Capa!$A:$AJ,BA$5,0),0),IF(ISERROR(1/VLOOKUP($R66,Capa!$A:$AJ,BA$5,0)),0,1/VLOOKUP($R66,Capa!$A:$AJ,BA$5,0))))</f>
        <v/>
      </c>
      <c r="BB66" s="174" t="str">
        <f>IF(BB$6="","",IF(BB$3="Maior",iferror(VLOOKUP($R66,Capa!$A:$AJ,BB$5,0),0),IF(ISERROR(1/VLOOKUP($R66,Capa!$A:$AJ,BB$5,0)),0,1/VLOOKUP($R66,Capa!$A:$AJ,BB$5,0))))</f>
        <v/>
      </c>
      <c r="BC66" s="174" t="str">
        <f>IF(BC$6="","",IF(BC$3="Maior",iferror(VLOOKUP($R66,Capa!$A:$AJ,BC$5,0),0),IF(ISERROR(1/VLOOKUP($R66,Capa!$A:$AJ,BC$5,0)),0,1/VLOOKUP($R66,Capa!$A:$AJ,BC$5,0))))</f>
        <v/>
      </c>
      <c r="BD66" s="174" t="str">
        <f>IF(BD$6="","",IF(BD$3="Maior",iferror(VLOOKUP($R66,Capa!$A:$AJ,BD$5,0),0),IF(ISERROR(1/VLOOKUP($R66,Capa!$A:$AJ,BD$5,0)),0,1/VLOOKUP($R66,Capa!$A:$AJ,BD$5,0))))</f>
        <v/>
      </c>
      <c r="BE66" s="174" t="str">
        <f>IF(BE$6="","",IF(BE$3="Maior",iferror(VLOOKUP($R66,Capa!$A:$AJ,BE$5,0),0),IF(ISERROR(1/VLOOKUP($R66,Capa!$A:$AJ,BE$5,0)),0,1/VLOOKUP($R66,Capa!$A:$AJ,BE$5,0))))</f>
        <v/>
      </c>
      <c r="BF66" s="174" t="str">
        <f>IF(BF$6="","",IF(BF$3="Maior",iferror(VLOOKUP($R66,Capa!$A:$AJ,BF$5,0),0),IF(ISERROR(1/VLOOKUP($R66,Capa!$A:$AJ,BF$5,0)),0,1/VLOOKUP($R66,Capa!$A:$AJ,BF$5,0))))</f>
        <v/>
      </c>
      <c r="BG66" s="174" t="str">
        <f>IF(BG$6="","",IF(BG$3="Maior",iferror(VLOOKUP($R66,Capa!$A:$AJ,BG$5,0),0),IF(ISERROR(1/VLOOKUP($R66,Capa!$A:$AJ,BG$5,0)),0,1/VLOOKUP($R66,Capa!$A:$AJ,BG$5,0))))</f>
        <v/>
      </c>
      <c r="BH66" s="174" t="str">
        <f>IF(BH$6="","",IF(BH$3="Maior",iferror(VLOOKUP($R66,Capa!$A:$AJ,BH$5,0),0),IF(ISERROR(1/VLOOKUP($R66,Capa!$A:$AJ,BH$5,0)),0,1/VLOOKUP($R66,Capa!$A:$AJ,BH$5,0))))</f>
        <v/>
      </c>
      <c r="BI66" s="174" t="str">
        <f>IF(BI$6="","",IF(BI$3="Maior",iferror(VLOOKUP($R66,Capa!$A:$AJ,BI$5,0),0),IF(ISERROR(1/VLOOKUP($R66,Capa!$A:$AJ,BI$5,0)),0,1/VLOOKUP($R66,Capa!$A:$AJ,BI$5,0))))</f>
        <v/>
      </c>
      <c r="BJ66" s="174" t="str">
        <f>IF(BJ$6="","",IF(BJ$3="Maior",iferror(VLOOKUP($R66,Capa!$A:$AJ,BJ$5,0),0),IF(ISERROR(1/VLOOKUP($R66,Capa!$A:$AJ,BJ$5,0)),0,1/VLOOKUP($R66,Capa!$A:$AJ,BJ$5,0))))</f>
        <v/>
      </c>
      <c r="BK66" s="174" t="str">
        <f>IF(BK$6="","",IF(BK$3="Maior",iferror(VLOOKUP($R66,Capa!$A:$AJ,BK$5,0),0),IF(ISERROR(1/VLOOKUP($R66,Capa!$A:$AJ,BK$5,0)),0,1/VLOOKUP($R66,Capa!$A:$AJ,BK$5,0))))</f>
        <v/>
      </c>
      <c r="BL66" s="174" t="str">
        <f>IF(BL$6="","",IF(BL$3="Maior",iferror(VLOOKUP($R66,Capa!$A:$AJ,BL$5,0),0),IF(ISERROR(1/VLOOKUP($R66,Capa!$A:$AJ,BL$5,0)),0,1/VLOOKUP($R66,Capa!$A:$AJ,BL$5,0))))</f>
        <v/>
      </c>
      <c r="BM66" s="174" t="str">
        <f>IF(BM$6="","",IF(BM$3="Maior",iferror(VLOOKUP($R66,Capa!$A:$AJ,BM$5,0),0),IF(ISERROR(1/VLOOKUP($R66,Capa!$A:$AJ,BM$5,0)),0,1/VLOOKUP($R66,Capa!$A:$AJ,BM$5,0))))</f>
        <v/>
      </c>
      <c r="BN66" s="174" t="str">
        <f>IF(BN$6="","",IF(BN$3="Maior",iferror(VLOOKUP($R66,Capa!$A:$AJ,BN$5,0),0),IF(ISERROR(1/VLOOKUP($R66,Capa!$A:$AJ,BN$5,0)),0,1/VLOOKUP($R66,Capa!$A:$AJ,BN$5,0))))</f>
        <v/>
      </c>
      <c r="BO66" s="174" t="str">
        <f>IF(BO$6="","",IF(BO$3="Maior",iferror(VLOOKUP($R66,Capa!$A:$AJ,BO$5,0),0),IF(ISERROR(1/VLOOKUP($R66,Capa!$A:$AJ,BO$5,0)),0,1/VLOOKUP($R66,Capa!$A:$AJ,BO$5,0))))</f>
        <v/>
      </c>
      <c r="BP66" s="174" t="str">
        <f>IF(BP$6="","",IF(BP$3="Maior",iferror(VLOOKUP($R66,Capa!$A:$AJ,BP$5,0),0),IF(ISERROR(1/VLOOKUP($R66,Capa!$A:$AJ,BP$5,0)),0,1/VLOOKUP($R66,Capa!$A:$AJ,BP$5,0))))</f>
        <v/>
      </c>
      <c r="BQ66" s="174" t="str">
        <f>IF(BQ$6="","",IF(BQ$3="Maior",iferror(VLOOKUP($R66,Capa!$A:$AJ,BQ$5,0),0),IF(ISERROR(1/VLOOKUP($R66,Capa!$A:$AJ,BQ$5,0)),0,1/VLOOKUP($R66,Capa!$A:$AJ,BQ$5,0))))</f>
        <v/>
      </c>
      <c r="BR66" s="175"/>
      <c r="BS66" s="147"/>
    </row>
    <row r="67">
      <c r="G67" s="11"/>
      <c r="H67" s="8">
        <v>61.0</v>
      </c>
      <c r="I67" s="165" t="str">
        <f t="shared" si="6"/>
        <v>UGPA3</v>
      </c>
      <c r="J67" s="166" t="str">
        <f>(VLOOKUP($I67,Capa!$A:$B,2,0))</f>
        <v>Ultrapar Participacoes SA</v>
      </c>
      <c r="K67" s="167" t="str">
        <f>VLOOKUP(left(I67,4),Setor!A:D,3,0)&amp;" | "&amp;VLOOKUP(left(I67,4),Setor!A:D,4,0)</f>
        <v>Petróleo, Gás e Biocombustíveis | Petróleo, Gás e Biocombustíveis</v>
      </c>
      <c r="L67" s="168">
        <f>(VLOOKUP($I67,Capa!$A:$F,6,0))</f>
        <v>27.29</v>
      </c>
      <c r="M67" s="168">
        <f t="shared" si="7"/>
        <v>159000000</v>
      </c>
      <c r="N67" s="177" t="str">
        <f>IFERROR(__xludf.DUMMYFUNCTION("(VLOOKUP($I67,Capa!$A:$H,7,0))"),"")</f>
        <v/>
      </c>
      <c r="O67" s="169">
        <f>(VLOOKUP($I67,Capa!$A:$H,8,0))</f>
        <v>0.1612765957</v>
      </c>
      <c r="P67" s="169" t="str">
        <f>IFERROR(__xludf.DUMMYFUNCTION("(VLOOKUP($I67,Capa!$A:$J,10,0))"),"")</f>
        <v/>
      </c>
      <c r="Q67" s="169">
        <f>(VLOOKUP($I67,Capa!$A:$K,11,0))</f>
        <v>0.6640243902</v>
      </c>
      <c r="R67" s="45" t="str">
        <f>'Dados StatusInvest'!A62</f>
        <v>BEES3</v>
      </c>
      <c r="S67" s="170">
        <f t="shared" si="8"/>
        <v>1795.0795</v>
      </c>
      <c r="T67" s="171">
        <f>VLOOKUP(R67,'Dados StatusInvest'!A:Z,26,0)</f>
        <v>147559.3</v>
      </c>
      <c r="U67" s="172">
        <f t="shared" ref="U67:AS67" si="69">IF(AT67="","", RANK(AT67,AT$7:AT$626,0)+RANK(AT67,AT$7:AT$626,0)/10000)</f>
        <v>586.0586</v>
      </c>
      <c r="V67" s="172">
        <f t="shared" si="69"/>
        <v>209.0209</v>
      </c>
      <c r="W67" s="172" t="str">
        <f t="shared" si="69"/>
        <v/>
      </c>
      <c r="X67" s="172" t="str">
        <f t="shared" si="69"/>
        <v/>
      </c>
      <c r="Y67" s="172" t="str">
        <f t="shared" si="69"/>
        <v/>
      </c>
      <c r="Z67" s="172" t="str">
        <f t="shared" si="69"/>
        <v/>
      </c>
      <c r="AA67" s="172" t="str">
        <f t="shared" si="69"/>
        <v/>
      </c>
      <c r="AB67" s="172" t="str">
        <f t="shared" si="69"/>
        <v/>
      </c>
      <c r="AC67" s="172" t="str">
        <f t="shared" si="69"/>
        <v/>
      </c>
      <c r="AD67" s="172" t="str">
        <f t="shared" si="69"/>
        <v/>
      </c>
      <c r="AE67" s="172" t="str">
        <f t="shared" si="69"/>
        <v/>
      </c>
      <c r="AF67" s="172" t="str">
        <f t="shared" si="69"/>
        <v/>
      </c>
      <c r="AG67" s="172" t="str">
        <f t="shared" si="69"/>
        <v/>
      </c>
      <c r="AH67" s="172" t="str">
        <f t="shared" si="69"/>
        <v/>
      </c>
      <c r="AI67" s="172" t="str">
        <f t="shared" si="69"/>
        <v/>
      </c>
      <c r="AJ67" s="172" t="str">
        <f t="shared" si="69"/>
        <v/>
      </c>
      <c r="AK67" s="172" t="str">
        <f t="shared" si="69"/>
        <v/>
      </c>
      <c r="AL67" s="172" t="str">
        <f t="shared" si="69"/>
        <v/>
      </c>
      <c r="AM67" s="172" t="str">
        <f t="shared" si="69"/>
        <v/>
      </c>
      <c r="AN67" s="172" t="str">
        <f t="shared" si="69"/>
        <v/>
      </c>
      <c r="AO67" s="172" t="str">
        <f t="shared" si="69"/>
        <v/>
      </c>
      <c r="AP67" s="172" t="str">
        <f t="shared" si="69"/>
        <v/>
      </c>
      <c r="AQ67" s="172" t="str">
        <f t="shared" si="69"/>
        <v/>
      </c>
      <c r="AR67" s="172" t="str">
        <f t="shared" si="69"/>
        <v/>
      </c>
      <c r="AS67" s="172" t="str">
        <f t="shared" si="69"/>
        <v/>
      </c>
      <c r="AT67" s="173">
        <f>IF(AT$6="","",IF(AT$3="Maior",iferror(VLOOKUP($R67,Capa!$A:$AJ,AT$5,0),0),IF(ISERROR(1/VLOOKUP($R67,Capa!$A:$AJ,AT$5,0)),0,1/VLOOKUP($R67,Capa!$A:$AJ,AT$5,0))))</f>
        <v>-10.03851709</v>
      </c>
      <c r="AU67" s="174">
        <f>IF(AU$6="","",IF(AU$3="Maior",iferror(VLOOKUP($R67,Capa!$A:$AJ,AU$5,0),0),IF(ISERROR(1/VLOOKUP($R67,Capa!$A:$AJ,AU$5,0)),0,1/VLOOKUP($R67,Capa!$A:$AJ,AU$5,0))))</f>
        <v>9.69</v>
      </c>
      <c r="AV67" s="174" t="str">
        <f>IF(AV$6="","",IF(AV$3="Maior",iferror(VLOOKUP($R67,Capa!$A:$AJ,AV$5,0),0),IF(ISERROR(1/VLOOKUP($R67,Capa!$A:$AJ,AV$5,0)),0,1/VLOOKUP($R67,Capa!$A:$AJ,AV$5,0))))</f>
        <v/>
      </c>
      <c r="AW67" s="174" t="str">
        <f>IF(AW$6="","",IF(AW$3="Maior",iferror(VLOOKUP($R67,Capa!$A:$AJ,AW$5,0),0),IF(ISERROR(1/VLOOKUP($R67,Capa!$A:$AJ,AW$5,0)),0,1/VLOOKUP($R67,Capa!$A:$AJ,AW$5,0))))</f>
        <v/>
      </c>
      <c r="AX67" s="174" t="str">
        <f>IF(AX$6="","",IF(AX$3="Maior",iferror(VLOOKUP($R67,Capa!$A:$AJ,AX$5,0),0),IF(ISERROR(1/VLOOKUP($R67,Capa!$A:$AJ,AX$5,0)),0,1/VLOOKUP($R67,Capa!$A:$AJ,AX$5,0))))</f>
        <v/>
      </c>
      <c r="AY67" s="174" t="str">
        <f>IF(AY$6="","",IF(AY$3="Maior",iferror(VLOOKUP($R67,Capa!$A:$AJ,AY$5,0),0),IF(ISERROR(1/VLOOKUP($R67,Capa!$A:$AJ,AY$5,0)),0,1/VLOOKUP($R67,Capa!$A:$AJ,AY$5,0))))</f>
        <v/>
      </c>
      <c r="AZ67" s="174" t="str">
        <f>IF(AZ$6="","",IF(AZ$3="Maior",iferror(VLOOKUP($R67,Capa!$A:$AJ,AZ$5,0),0),IF(ISERROR(1/VLOOKUP($R67,Capa!$A:$AJ,AZ$5,0)),0,1/VLOOKUP($R67,Capa!$A:$AJ,AZ$5,0))))</f>
        <v/>
      </c>
      <c r="BA67" s="174" t="str">
        <f>IF(BA$6="","",IF(BA$3="Maior",iferror(VLOOKUP($R67,Capa!$A:$AJ,BA$5,0),0),IF(ISERROR(1/VLOOKUP($R67,Capa!$A:$AJ,BA$5,0)),0,1/VLOOKUP($R67,Capa!$A:$AJ,BA$5,0))))</f>
        <v/>
      </c>
      <c r="BB67" s="174" t="str">
        <f>IF(BB$6="","",IF(BB$3="Maior",iferror(VLOOKUP($R67,Capa!$A:$AJ,BB$5,0),0),IF(ISERROR(1/VLOOKUP($R67,Capa!$A:$AJ,BB$5,0)),0,1/VLOOKUP($R67,Capa!$A:$AJ,BB$5,0))))</f>
        <v/>
      </c>
      <c r="BC67" s="174" t="str">
        <f>IF(BC$6="","",IF(BC$3="Maior",iferror(VLOOKUP($R67,Capa!$A:$AJ,BC$5,0),0),IF(ISERROR(1/VLOOKUP($R67,Capa!$A:$AJ,BC$5,0)),0,1/VLOOKUP($R67,Capa!$A:$AJ,BC$5,0))))</f>
        <v/>
      </c>
      <c r="BD67" s="174" t="str">
        <f>IF(BD$6="","",IF(BD$3="Maior",iferror(VLOOKUP($R67,Capa!$A:$AJ,BD$5,0),0),IF(ISERROR(1/VLOOKUP($R67,Capa!$A:$AJ,BD$5,0)),0,1/VLOOKUP($R67,Capa!$A:$AJ,BD$5,0))))</f>
        <v/>
      </c>
      <c r="BE67" s="174" t="str">
        <f>IF(BE$6="","",IF(BE$3="Maior",iferror(VLOOKUP($R67,Capa!$A:$AJ,BE$5,0),0),IF(ISERROR(1/VLOOKUP($R67,Capa!$A:$AJ,BE$5,0)),0,1/VLOOKUP($R67,Capa!$A:$AJ,BE$5,0))))</f>
        <v/>
      </c>
      <c r="BF67" s="174" t="str">
        <f>IF(BF$6="","",IF(BF$3="Maior",iferror(VLOOKUP($R67,Capa!$A:$AJ,BF$5,0),0),IF(ISERROR(1/VLOOKUP($R67,Capa!$A:$AJ,BF$5,0)),0,1/VLOOKUP($R67,Capa!$A:$AJ,BF$5,0))))</f>
        <v/>
      </c>
      <c r="BG67" s="174" t="str">
        <f>IF(BG$6="","",IF(BG$3="Maior",iferror(VLOOKUP($R67,Capa!$A:$AJ,BG$5,0),0),IF(ISERROR(1/VLOOKUP($R67,Capa!$A:$AJ,BG$5,0)),0,1/VLOOKUP($R67,Capa!$A:$AJ,BG$5,0))))</f>
        <v/>
      </c>
      <c r="BH67" s="174" t="str">
        <f>IF(BH$6="","",IF(BH$3="Maior",iferror(VLOOKUP($R67,Capa!$A:$AJ,BH$5,0),0),IF(ISERROR(1/VLOOKUP($R67,Capa!$A:$AJ,BH$5,0)),0,1/VLOOKUP($R67,Capa!$A:$AJ,BH$5,0))))</f>
        <v/>
      </c>
      <c r="BI67" s="174" t="str">
        <f>IF(BI$6="","",IF(BI$3="Maior",iferror(VLOOKUP($R67,Capa!$A:$AJ,BI$5,0),0),IF(ISERROR(1/VLOOKUP($R67,Capa!$A:$AJ,BI$5,0)),0,1/VLOOKUP($R67,Capa!$A:$AJ,BI$5,0))))</f>
        <v/>
      </c>
      <c r="BJ67" s="174" t="str">
        <f>IF(BJ$6="","",IF(BJ$3="Maior",iferror(VLOOKUP($R67,Capa!$A:$AJ,BJ$5,0),0),IF(ISERROR(1/VLOOKUP($R67,Capa!$A:$AJ,BJ$5,0)),0,1/VLOOKUP($R67,Capa!$A:$AJ,BJ$5,0))))</f>
        <v/>
      </c>
      <c r="BK67" s="174" t="str">
        <f>IF(BK$6="","",IF(BK$3="Maior",iferror(VLOOKUP($R67,Capa!$A:$AJ,BK$5,0),0),IF(ISERROR(1/VLOOKUP($R67,Capa!$A:$AJ,BK$5,0)),0,1/VLOOKUP($R67,Capa!$A:$AJ,BK$5,0))))</f>
        <v/>
      </c>
      <c r="BL67" s="174" t="str">
        <f>IF(BL$6="","",IF(BL$3="Maior",iferror(VLOOKUP($R67,Capa!$A:$AJ,BL$5,0),0),IF(ISERROR(1/VLOOKUP($R67,Capa!$A:$AJ,BL$5,0)),0,1/VLOOKUP($R67,Capa!$A:$AJ,BL$5,0))))</f>
        <v/>
      </c>
      <c r="BM67" s="174" t="str">
        <f>IF(BM$6="","",IF(BM$3="Maior",iferror(VLOOKUP($R67,Capa!$A:$AJ,BM$5,0),0),IF(ISERROR(1/VLOOKUP($R67,Capa!$A:$AJ,BM$5,0)),0,1/VLOOKUP($R67,Capa!$A:$AJ,BM$5,0))))</f>
        <v/>
      </c>
      <c r="BN67" s="174" t="str">
        <f>IF(BN$6="","",IF(BN$3="Maior",iferror(VLOOKUP($R67,Capa!$A:$AJ,BN$5,0),0),IF(ISERROR(1/VLOOKUP($R67,Capa!$A:$AJ,BN$5,0)),0,1/VLOOKUP($R67,Capa!$A:$AJ,BN$5,0))))</f>
        <v/>
      </c>
      <c r="BO67" s="174" t="str">
        <f>IF(BO$6="","",IF(BO$3="Maior",iferror(VLOOKUP($R67,Capa!$A:$AJ,BO$5,0),0),IF(ISERROR(1/VLOOKUP($R67,Capa!$A:$AJ,BO$5,0)),0,1/VLOOKUP($R67,Capa!$A:$AJ,BO$5,0))))</f>
        <v/>
      </c>
      <c r="BP67" s="174" t="str">
        <f>IF(BP$6="","",IF(BP$3="Maior",iferror(VLOOKUP($R67,Capa!$A:$AJ,BP$5,0),0),IF(ISERROR(1/VLOOKUP($R67,Capa!$A:$AJ,BP$5,0)),0,1/VLOOKUP($R67,Capa!$A:$AJ,BP$5,0))))</f>
        <v/>
      </c>
      <c r="BQ67" s="174" t="str">
        <f>IF(BQ$6="","",IF(BQ$3="Maior",iferror(VLOOKUP($R67,Capa!$A:$AJ,BQ$5,0),0),IF(ISERROR(1/VLOOKUP($R67,Capa!$A:$AJ,BQ$5,0)),0,1/VLOOKUP($R67,Capa!$A:$AJ,BQ$5,0))))</f>
        <v/>
      </c>
      <c r="BR67" s="175"/>
      <c r="BS67" s="147"/>
    </row>
    <row r="68">
      <c r="G68" s="11"/>
      <c r="H68" s="8">
        <v>62.0</v>
      </c>
      <c r="I68" s="165" t="str">
        <f t="shared" si="6"/>
        <v>ODPV3</v>
      </c>
      <c r="J68" s="166" t="str">
        <f>(VLOOKUP($I68,Capa!$A:$B,2,0))</f>
        <v>Odontoprev SA</v>
      </c>
      <c r="K68" s="167" t="str">
        <f>VLOOKUP(left(I68,4),Setor!A:D,3,0)&amp;" | "&amp;VLOOKUP(left(I68,4),Setor!A:D,4,0)</f>
        <v>Saúde | Análises e Diagnósticos</v>
      </c>
      <c r="L68" s="168">
        <f>(VLOOKUP($I68,Capa!$A:$F,6,0))</f>
        <v>12.29</v>
      </c>
      <c r="M68" s="168">
        <f t="shared" si="7"/>
        <v>21422268</v>
      </c>
      <c r="N68" s="11" t="str">
        <f>IFERROR(__xludf.DUMMYFUNCTION("(VLOOKUP($I68,Capa!$A:$H,7,0))"),"")</f>
        <v/>
      </c>
      <c r="O68" s="169">
        <f>(VLOOKUP($I68,Capa!$A:$H,8,0))</f>
        <v>0.1062106211</v>
      </c>
      <c r="P68" s="11" t="str">
        <f>IFERROR(__xludf.DUMMYFUNCTION("(VLOOKUP($I68,Capa!$A:$J,10,0))"),"")</f>
        <v/>
      </c>
      <c r="Q68" s="169">
        <f>(VLOOKUP($I68,Capa!$A:$K,11,0))</f>
        <v>0.03277310924</v>
      </c>
      <c r="R68" s="45" t="str">
        <f>'Dados StatusInvest'!A63</f>
        <v>BEES4</v>
      </c>
      <c r="S68" s="170">
        <f t="shared" si="8"/>
        <v>1794.0794</v>
      </c>
      <c r="T68" s="171">
        <f>VLOOKUP(R68,'Dados StatusInvest'!A:Z,26,0)</f>
        <v>45167.33</v>
      </c>
      <c r="U68" s="172">
        <f t="shared" ref="U68:AS68" si="70">IF(AT68="","", RANK(AT68,AT$7:AT$626,0)+RANK(AT68,AT$7:AT$626,0)/10000)</f>
        <v>585.0585</v>
      </c>
      <c r="V68" s="172">
        <f t="shared" si="70"/>
        <v>209.0209</v>
      </c>
      <c r="W68" s="172" t="str">
        <f t="shared" si="70"/>
        <v/>
      </c>
      <c r="X68" s="172" t="str">
        <f t="shared" si="70"/>
        <v/>
      </c>
      <c r="Y68" s="172" t="str">
        <f t="shared" si="70"/>
        <v/>
      </c>
      <c r="Z68" s="172" t="str">
        <f t="shared" si="70"/>
        <v/>
      </c>
      <c r="AA68" s="172" t="str">
        <f t="shared" si="70"/>
        <v/>
      </c>
      <c r="AB68" s="172" t="str">
        <f t="shared" si="70"/>
        <v/>
      </c>
      <c r="AC68" s="172" t="str">
        <f t="shared" si="70"/>
        <v/>
      </c>
      <c r="AD68" s="172" t="str">
        <f t="shared" si="70"/>
        <v/>
      </c>
      <c r="AE68" s="172" t="str">
        <f t="shared" si="70"/>
        <v/>
      </c>
      <c r="AF68" s="172" t="str">
        <f t="shared" si="70"/>
        <v/>
      </c>
      <c r="AG68" s="172" t="str">
        <f t="shared" si="70"/>
        <v/>
      </c>
      <c r="AH68" s="172" t="str">
        <f t="shared" si="70"/>
        <v/>
      </c>
      <c r="AI68" s="172" t="str">
        <f t="shared" si="70"/>
        <v/>
      </c>
      <c r="AJ68" s="172" t="str">
        <f t="shared" si="70"/>
        <v/>
      </c>
      <c r="AK68" s="172" t="str">
        <f t="shared" si="70"/>
        <v/>
      </c>
      <c r="AL68" s="172" t="str">
        <f t="shared" si="70"/>
        <v/>
      </c>
      <c r="AM68" s="172" t="str">
        <f t="shared" si="70"/>
        <v/>
      </c>
      <c r="AN68" s="172" t="str">
        <f t="shared" si="70"/>
        <v/>
      </c>
      <c r="AO68" s="172" t="str">
        <f t="shared" si="70"/>
        <v/>
      </c>
      <c r="AP68" s="172" t="str">
        <f t="shared" si="70"/>
        <v/>
      </c>
      <c r="AQ68" s="172" t="str">
        <f t="shared" si="70"/>
        <v/>
      </c>
      <c r="AR68" s="172" t="str">
        <f t="shared" si="70"/>
        <v/>
      </c>
      <c r="AS68" s="172" t="str">
        <f t="shared" si="70"/>
        <v/>
      </c>
      <c r="AT68" s="173">
        <f>IF(AT$6="","",IF(AT$3="Maior",iferror(VLOOKUP($R68,Capa!$A:$AJ,AT$5,0),0),IF(ISERROR(1/VLOOKUP($R68,Capa!$A:$AJ,AT$5,0)),0,1/VLOOKUP($R68,Capa!$A:$AJ,AT$5,0))))</f>
        <v>-10.03814974</v>
      </c>
      <c r="AU68" s="174">
        <f>IF(AU$6="","",IF(AU$3="Maior",iferror(VLOOKUP($R68,Capa!$A:$AJ,AU$5,0),0),IF(ISERROR(1/VLOOKUP($R68,Capa!$A:$AJ,AU$5,0)),0,1/VLOOKUP($R68,Capa!$A:$AJ,AU$5,0))))</f>
        <v>9.69</v>
      </c>
      <c r="AV68" s="174" t="str">
        <f>IF(AV$6="","",IF(AV$3="Maior",iferror(VLOOKUP($R68,Capa!$A:$AJ,AV$5,0),0),IF(ISERROR(1/VLOOKUP($R68,Capa!$A:$AJ,AV$5,0)),0,1/VLOOKUP($R68,Capa!$A:$AJ,AV$5,0))))</f>
        <v/>
      </c>
      <c r="AW68" s="174" t="str">
        <f>IF(AW$6="","",IF(AW$3="Maior",iferror(VLOOKUP($R68,Capa!$A:$AJ,AW$5,0),0),IF(ISERROR(1/VLOOKUP($R68,Capa!$A:$AJ,AW$5,0)),0,1/VLOOKUP($R68,Capa!$A:$AJ,AW$5,0))))</f>
        <v/>
      </c>
      <c r="AX68" s="174" t="str">
        <f>IF(AX$6="","",IF(AX$3="Maior",iferror(VLOOKUP($R68,Capa!$A:$AJ,AX$5,0),0),IF(ISERROR(1/VLOOKUP($R68,Capa!$A:$AJ,AX$5,0)),0,1/VLOOKUP($R68,Capa!$A:$AJ,AX$5,0))))</f>
        <v/>
      </c>
      <c r="AY68" s="174" t="str">
        <f>IF(AY$6="","",IF(AY$3="Maior",iferror(VLOOKUP($R68,Capa!$A:$AJ,AY$5,0),0),IF(ISERROR(1/VLOOKUP($R68,Capa!$A:$AJ,AY$5,0)),0,1/VLOOKUP($R68,Capa!$A:$AJ,AY$5,0))))</f>
        <v/>
      </c>
      <c r="AZ68" s="174" t="str">
        <f>IF(AZ$6="","",IF(AZ$3="Maior",iferror(VLOOKUP($R68,Capa!$A:$AJ,AZ$5,0),0),IF(ISERROR(1/VLOOKUP($R68,Capa!$A:$AJ,AZ$5,0)),0,1/VLOOKUP($R68,Capa!$A:$AJ,AZ$5,0))))</f>
        <v/>
      </c>
      <c r="BA68" s="174" t="str">
        <f>IF(BA$6="","",IF(BA$3="Maior",iferror(VLOOKUP($R68,Capa!$A:$AJ,BA$5,0),0),IF(ISERROR(1/VLOOKUP($R68,Capa!$A:$AJ,BA$5,0)),0,1/VLOOKUP($R68,Capa!$A:$AJ,BA$5,0))))</f>
        <v/>
      </c>
      <c r="BB68" s="174" t="str">
        <f>IF(BB$6="","",IF(BB$3="Maior",iferror(VLOOKUP($R68,Capa!$A:$AJ,BB$5,0),0),IF(ISERROR(1/VLOOKUP($R68,Capa!$A:$AJ,BB$5,0)),0,1/VLOOKUP($R68,Capa!$A:$AJ,BB$5,0))))</f>
        <v/>
      </c>
      <c r="BC68" s="174" t="str">
        <f>IF(BC$6="","",IF(BC$3="Maior",iferror(VLOOKUP($R68,Capa!$A:$AJ,BC$5,0),0),IF(ISERROR(1/VLOOKUP($R68,Capa!$A:$AJ,BC$5,0)),0,1/VLOOKUP($R68,Capa!$A:$AJ,BC$5,0))))</f>
        <v/>
      </c>
      <c r="BD68" s="174" t="str">
        <f>IF(BD$6="","",IF(BD$3="Maior",iferror(VLOOKUP($R68,Capa!$A:$AJ,BD$5,0),0),IF(ISERROR(1/VLOOKUP($R68,Capa!$A:$AJ,BD$5,0)),0,1/VLOOKUP($R68,Capa!$A:$AJ,BD$5,0))))</f>
        <v/>
      </c>
      <c r="BE68" s="174" t="str">
        <f>IF(BE$6="","",IF(BE$3="Maior",iferror(VLOOKUP($R68,Capa!$A:$AJ,BE$5,0),0),IF(ISERROR(1/VLOOKUP($R68,Capa!$A:$AJ,BE$5,0)),0,1/VLOOKUP($R68,Capa!$A:$AJ,BE$5,0))))</f>
        <v/>
      </c>
      <c r="BF68" s="174" t="str">
        <f>IF(BF$6="","",IF(BF$3="Maior",iferror(VLOOKUP($R68,Capa!$A:$AJ,BF$5,0),0),IF(ISERROR(1/VLOOKUP($R68,Capa!$A:$AJ,BF$5,0)),0,1/VLOOKUP($R68,Capa!$A:$AJ,BF$5,0))))</f>
        <v/>
      </c>
      <c r="BG68" s="174" t="str">
        <f>IF(BG$6="","",IF(BG$3="Maior",iferror(VLOOKUP($R68,Capa!$A:$AJ,BG$5,0),0),IF(ISERROR(1/VLOOKUP($R68,Capa!$A:$AJ,BG$5,0)),0,1/VLOOKUP($R68,Capa!$A:$AJ,BG$5,0))))</f>
        <v/>
      </c>
      <c r="BH68" s="174" t="str">
        <f>IF(BH$6="","",IF(BH$3="Maior",iferror(VLOOKUP($R68,Capa!$A:$AJ,BH$5,0),0),IF(ISERROR(1/VLOOKUP($R68,Capa!$A:$AJ,BH$5,0)),0,1/VLOOKUP($R68,Capa!$A:$AJ,BH$5,0))))</f>
        <v/>
      </c>
      <c r="BI68" s="174" t="str">
        <f>IF(BI$6="","",IF(BI$3="Maior",iferror(VLOOKUP($R68,Capa!$A:$AJ,BI$5,0),0),IF(ISERROR(1/VLOOKUP($R68,Capa!$A:$AJ,BI$5,0)),0,1/VLOOKUP($R68,Capa!$A:$AJ,BI$5,0))))</f>
        <v/>
      </c>
      <c r="BJ68" s="174" t="str">
        <f>IF(BJ$6="","",IF(BJ$3="Maior",iferror(VLOOKUP($R68,Capa!$A:$AJ,BJ$5,0),0),IF(ISERROR(1/VLOOKUP($R68,Capa!$A:$AJ,BJ$5,0)),0,1/VLOOKUP($R68,Capa!$A:$AJ,BJ$5,0))))</f>
        <v/>
      </c>
      <c r="BK68" s="174" t="str">
        <f>IF(BK$6="","",IF(BK$3="Maior",iferror(VLOOKUP($R68,Capa!$A:$AJ,BK$5,0),0),IF(ISERROR(1/VLOOKUP($R68,Capa!$A:$AJ,BK$5,0)),0,1/VLOOKUP($R68,Capa!$A:$AJ,BK$5,0))))</f>
        <v/>
      </c>
      <c r="BL68" s="174" t="str">
        <f>IF(BL$6="","",IF(BL$3="Maior",iferror(VLOOKUP($R68,Capa!$A:$AJ,BL$5,0),0),IF(ISERROR(1/VLOOKUP($R68,Capa!$A:$AJ,BL$5,0)),0,1/VLOOKUP($R68,Capa!$A:$AJ,BL$5,0))))</f>
        <v/>
      </c>
      <c r="BM68" s="174" t="str">
        <f>IF(BM$6="","",IF(BM$3="Maior",iferror(VLOOKUP($R68,Capa!$A:$AJ,BM$5,0),0),IF(ISERROR(1/VLOOKUP($R68,Capa!$A:$AJ,BM$5,0)),0,1/VLOOKUP($R68,Capa!$A:$AJ,BM$5,0))))</f>
        <v/>
      </c>
      <c r="BN68" s="174" t="str">
        <f>IF(BN$6="","",IF(BN$3="Maior",iferror(VLOOKUP($R68,Capa!$A:$AJ,BN$5,0),0),IF(ISERROR(1/VLOOKUP($R68,Capa!$A:$AJ,BN$5,0)),0,1/VLOOKUP($R68,Capa!$A:$AJ,BN$5,0))))</f>
        <v/>
      </c>
      <c r="BO68" s="174" t="str">
        <f>IF(BO$6="","",IF(BO$3="Maior",iferror(VLOOKUP($R68,Capa!$A:$AJ,BO$5,0),0),IF(ISERROR(1/VLOOKUP($R68,Capa!$A:$AJ,BO$5,0)),0,1/VLOOKUP($R68,Capa!$A:$AJ,BO$5,0))))</f>
        <v/>
      </c>
      <c r="BP68" s="174" t="str">
        <f>IF(BP$6="","",IF(BP$3="Maior",iferror(VLOOKUP($R68,Capa!$A:$AJ,BP$5,0),0),IF(ISERROR(1/VLOOKUP($R68,Capa!$A:$AJ,BP$5,0)),0,1/VLOOKUP($R68,Capa!$A:$AJ,BP$5,0))))</f>
        <v/>
      </c>
      <c r="BQ68" s="174" t="str">
        <f>IF(BQ$6="","",IF(BQ$3="Maior",iferror(VLOOKUP($R68,Capa!$A:$AJ,BQ$5,0),0),IF(ISERROR(1/VLOOKUP($R68,Capa!$A:$AJ,BQ$5,0)),0,1/VLOOKUP($R68,Capa!$A:$AJ,BQ$5,0))))</f>
        <v/>
      </c>
      <c r="BR68" s="175"/>
      <c r="BS68" s="147"/>
    </row>
    <row r="69">
      <c r="G69" s="11"/>
      <c r="H69" s="8">
        <v>63.0</v>
      </c>
      <c r="I69" s="165" t="str">
        <f t="shared" si="6"/>
        <v>RADL3</v>
      </c>
      <c r="J69" s="166" t="str">
        <f>(VLOOKUP($I69,Capa!$A:$B,2,0))</f>
        <v>Raia Drogasil S/A</v>
      </c>
      <c r="K69" s="167" t="str">
        <f>VLOOKUP(left(I69,4),Setor!A:D,3,0)&amp;" | "&amp;VLOOKUP(left(I69,4),Setor!A:D,4,0)</f>
        <v>Saúde | Comércio e Distribuição</v>
      </c>
      <c r="L69" s="168">
        <f>(VLOOKUP($I69,Capa!$A:$F,6,0))</f>
        <v>25.99</v>
      </c>
      <c r="M69" s="168">
        <f t="shared" si="7"/>
        <v>276000000</v>
      </c>
      <c r="N69" s="11" t="str">
        <f>IFERROR(__xludf.DUMMYFUNCTION("(VLOOKUP($I69,Capa!$A:$H,7,0))"),"")</f>
        <v/>
      </c>
      <c r="O69" s="169">
        <f>(VLOOKUP($I69,Capa!$A:$H,8,0))</f>
        <v>0.01365054602</v>
      </c>
      <c r="P69" s="11" t="str">
        <f>IFERROR(__xludf.DUMMYFUNCTION("(VLOOKUP($I69,Capa!$A:$J,10,0))"),"")</f>
        <v/>
      </c>
      <c r="Q69" s="169">
        <f>(VLOOKUP($I69,Capa!$A:$K,11,0))</f>
        <v>0.3693361433</v>
      </c>
      <c r="R69" s="45" t="str">
        <f>'Dados StatusInvest'!A64</f>
        <v>BFRE11</v>
      </c>
      <c r="S69" s="170">
        <f t="shared" si="8"/>
        <v>1281.0281</v>
      </c>
      <c r="T69" s="171">
        <f>VLOOKUP(R69,'Dados StatusInvest'!A:Z,26,0)</f>
        <v>0</v>
      </c>
      <c r="U69" s="172">
        <f t="shared" ref="U69:AS69" si="71">IF(AT69="","", RANK(AT69,AT$7:AT$626,0)+RANK(AT69,AT$7:AT$626,0)/10000)</f>
        <v>51.0051</v>
      </c>
      <c r="V69" s="172">
        <f t="shared" si="71"/>
        <v>230.023</v>
      </c>
      <c r="W69" s="172" t="str">
        <f t="shared" si="71"/>
        <v/>
      </c>
      <c r="X69" s="172" t="str">
        <f t="shared" si="71"/>
        <v/>
      </c>
      <c r="Y69" s="172" t="str">
        <f t="shared" si="71"/>
        <v/>
      </c>
      <c r="Z69" s="172" t="str">
        <f t="shared" si="71"/>
        <v/>
      </c>
      <c r="AA69" s="172" t="str">
        <f t="shared" si="71"/>
        <v/>
      </c>
      <c r="AB69" s="172" t="str">
        <f t="shared" si="71"/>
        <v/>
      </c>
      <c r="AC69" s="172" t="str">
        <f t="shared" si="71"/>
        <v/>
      </c>
      <c r="AD69" s="172" t="str">
        <f t="shared" si="71"/>
        <v/>
      </c>
      <c r="AE69" s="172" t="str">
        <f t="shared" si="71"/>
        <v/>
      </c>
      <c r="AF69" s="172" t="str">
        <f t="shared" si="71"/>
        <v/>
      </c>
      <c r="AG69" s="172" t="str">
        <f t="shared" si="71"/>
        <v/>
      </c>
      <c r="AH69" s="172" t="str">
        <f t="shared" si="71"/>
        <v/>
      </c>
      <c r="AI69" s="172" t="str">
        <f t="shared" si="71"/>
        <v/>
      </c>
      <c r="AJ69" s="172" t="str">
        <f t="shared" si="71"/>
        <v/>
      </c>
      <c r="AK69" s="172" t="str">
        <f t="shared" si="71"/>
        <v/>
      </c>
      <c r="AL69" s="172" t="str">
        <f t="shared" si="71"/>
        <v/>
      </c>
      <c r="AM69" s="172" t="str">
        <f t="shared" si="71"/>
        <v/>
      </c>
      <c r="AN69" s="172" t="str">
        <f t="shared" si="71"/>
        <v/>
      </c>
      <c r="AO69" s="172" t="str">
        <f t="shared" si="71"/>
        <v/>
      </c>
      <c r="AP69" s="172" t="str">
        <f t="shared" si="71"/>
        <v/>
      </c>
      <c r="AQ69" s="172" t="str">
        <f t="shared" si="71"/>
        <v/>
      </c>
      <c r="AR69" s="172" t="str">
        <f t="shared" si="71"/>
        <v/>
      </c>
      <c r="AS69" s="172" t="str">
        <f t="shared" si="71"/>
        <v/>
      </c>
      <c r="AT69" s="173">
        <f>IF(AT$6="","",IF(AT$3="Maior",iferror(VLOOKUP($R69,Capa!$A:$AJ,AT$5,0),0),IF(ISERROR(1/VLOOKUP($R69,Capa!$A:$AJ,AT$5,0)),0,1/VLOOKUP($R69,Capa!$A:$AJ,AT$5,0))))</f>
        <v>0</v>
      </c>
      <c r="AU69" s="174">
        <f>IF(AU$6="","",IF(AU$3="Maior",iferror(VLOOKUP($R69,Capa!$A:$AJ,AU$5,0),0),IF(ISERROR(1/VLOOKUP($R69,Capa!$A:$AJ,AU$5,0)),0,1/VLOOKUP($R69,Capa!$A:$AJ,AU$5,0))))</f>
        <v>6.26</v>
      </c>
      <c r="AV69" s="174" t="str">
        <f>IF(AV$6="","",IF(AV$3="Maior",iferror(VLOOKUP($R69,Capa!$A:$AJ,AV$5,0),0),IF(ISERROR(1/VLOOKUP($R69,Capa!$A:$AJ,AV$5,0)),0,1/VLOOKUP($R69,Capa!$A:$AJ,AV$5,0))))</f>
        <v/>
      </c>
      <c r="AW69" s="174" t="str">
        <f>IF(AW$6="","",IF(AW$3="Maior",iferror(VLOOKUP($R69,Capa!$A:$AJ,AW$5,0),0),IF(ISERROR(1/VLOOKUP($R69,Capa!$A:$AJ,AW$5,0)),0,1/VLOOKUP($R69,Capa!$A:$AJ,AW$5,0))))</f>
        <v/>
      </c>
      <c r="AX69" s="174" t="str">
        <f>IF(AX$6="","",IF(AX$3="Maior",iferror(VLOOKUP($R69,Capa!$A:$AJ,AX$5,0),0),IF(ISERROR(1/VLOOKUP($R69,Capa!$A:$AJ,AX$5,0)),0,1/VLOOKUP($R69,Capa!$A:$AJ,AX$5,0))))</f>
        <v/>
      </c>
      <c r="AY69" s="174" t="str">
        <f>IF(AY$6="","",IF(AY$3="Maior",iferror(VLOOKUP($R69,Capa!$A:$AJ,AY$5,0),0),IF(ISERROR(1/VLOOKUP($R69,Capa!$A:$AJ,AY$5,0)),0,1/VLOOKUP($R69,Capa!$A:$AJ,AY$5,0))))</f>
        <v/>
      </c>
      <c r="AZ69" s="174" t="str">
        <f>IF(AZ$6="","",IF(AZ$3="Maior",iferror(VLOOKUP($R69,Capa!$A:$AJ,AZ$5,0),0),IF(ISERROR(1/VLOOKUP($R69,Capa!$A:$AJ,AZ$5,0)),0,1/VLOOKUP($R69,Capa!$A:$AJ,AZ$5,0))))</f>
        <v/>
      </c>
      <c r="BA69" s="174" t="str">
        <f>IF(BA$6="","",IF(BA$3="Maior",iferror(VLOOKUP($R69,Capa!$A:$AJ,BA$5,0),0),IF(ISERROR(1/VLOOKUP($R69,Capa!$A:$AJ,BA$5,0)),0,1/VLOOKUP($R69,Capa!$A:$AJ,BA$5,0))))</f>
        <v/>
      </c>
      <c r="BB69" s="174" t="str">
        <f>IF(BB$6="","",IF(BB$3="Maior",iferror(VLOOKUP($R69,Capa!$A:$AJ,BB$5,0),0),IF(ISERROR(1/VLOOKUP($R69,Capa!$A:$AJ,BB$5,0)),0,1/VLOOKUP($R69,Capa!$A:$AJ,BB$5,0))))</f>
        <v/>
      </c>
      <c r="BC69" s="174" t="str">
        <f>IF(BC$6="","",IF(BC$3="Maior",iferror(VLOOKUP($R69,Capa!$A:$AJ,BC$5,0),0),IF(ISERROR(1/VLOOKUP($R69,Capa!$A:$AJ,BC$5,0)),0,1/VLOOKUP($R69,Capa!$A:$AJ,BC$5,0))))</f>
        <v/>
      </c>
      <c r="BD69" s="174" t="str">
        <f>IF(BD$6="","",IF(BD$3="Maior",iferror(VLOOKUP($R69,Capa!$A:$AJ,BD$5,0),0),IF(ISERROR(1/VLOOKUP($R69,Capa!$A:$AJ,BD$5,0)),0,1/VLOOKUP($R69,Capa!$A:$AJ,BD$5,0))))</f>
        <v/>
      </c>
      <c r="BE69" s="174" t="str">
        <f>IF(BE$6="","",IF(BE$3="Maior",iferror(VLOOKUP($R69,Capa!$A:$AJ,BE$5,0),0),IF(ISERROR(1/VLOOKUP($R69,Capa!$A:$AJ,BE$5,0)),0,1/VLOOKUP($R69,Capa!$A:$AJ,BE$5,0))))</f>
        <v/>
      </c>
      <c r="BF69" s="174" t="str">
        <f>IF(BF$6="","",IF(BF$3="Maior",iferror(VLOOKUP($R69,Capa!$A:$AJ,BF$5,0),0),IF(ISERROR(1/VLOOKUP($R69,Capa!$A:$AJ,BF$5,0)),0,1/VLOOKUP($R69,Capa!$A:$AJ,BF$5,0))))</f>
        <v/>
      </c>
      <c r="BG69" s="174" t="str">
        <f>IF(BG$6="","",IF(BG$3="Maior",iferror(VLOOKUP($R69,Capa!$A:$AJ,BG$5,0),0),IF(ISERROR(1/VLOOKUP($R69,Capa!$A:$AJ,BG$5,0)),0,1/VLOOKUP($R69,Capa!$A:$AJ,BG$5,0))))</f>
        <v/>
      </c>
      <c r="BH69" s="174" t="str">
        <f>IF(BH$6="","",IF(BH$3="Maior",iferror(VLOOKUP($R69,Capa!$A:$AJ,BH$5,0),0),IF(ISERROR(1/VLOOKUP($R69,Capa!$A:$AJ,BH$5,0)),0,1/VLOOKUP($R69,Capa!$A:$AJ,BH$5,0))))</f>
        <v/>
      </c>
      <c r="BI69" s="174" t="str">
        <f>IF(BI$6="","",IF(BI$3="Maior",iferror(VLOOKUP($R69,Capa!$A:$AJ,BI$5,0),0),IF(ISERROR(1/VLOOKUP($R69,Capa!$A:$AJ,BI$5,0)),0,1/VLOOKUP($R69,Capa!$A:$AJ,BI$5,0))))</f>
        <v/>
      </c>
      <c r="BJ69" s="174" t="str">
        <f>IF(BJ$6="","",IF(BJ$3="Maior",iferror(VLOOKUP($R69,Capa!$A:$AJ,BJ$5,0),0),IF(ISERROR(1/VLOOKUP($R69,Capa!$A:$AJ,BJ$5,0)),0,1/VLOOKUP($R69,Capa!$A:$AJ,BJ$5,0))))</f>
        <v/>
      </c>
      <c r="BK69" s="174" t="str">
        <f>IF(BK$6="","",IF(BK$3="Maior",iferror(VLOOKUP($R69,Capa!$A:$AJ,BK$5,0),0),IF(ISERROR(1/VLOOKUP($R69,Capa!$A:$AJ,BK$5,0)),0,1/VLOOKUP($R69,Capa!$A:$AJ,BK$5,0))))</f>
        <v/>
      </c>
      <c r="BL69" s="174" t="str">
        <f>IF(BL$6="","",IF(BL$3="Maior",iferror(VLOOKUP($R69,Capa!$A:$AJ,BL$5,0),0),IF(ISERROR(1/VLOOKUP($R69,Capa!$A:$AJ,BL$5,0)),0,1/VLOOKUP($R69,Capa!$A:$AJ,BL$5,0))))</f>
        <v/>
      </c>
      <c r="BM69" s="174" t="str">
        <f>IF(BM$6="","",IF(BM$3="Maior",iferror(VLOOKUP($R69,Capa!$A:$AJ,BM$5,0),0),IF(ISERROR(1/VLOOKUP($R69,Capa!$A:$AJ,BM$5,0)),0,1/VLOOKUP($R69,Capa!$A:$AJ,BM$5,0))))</f>
        <v/>
      </c>
      <c r="BN69" s="174" t="str">
        <f>IF(BN$6="","",IF(BN$3="Maior",iferror(VLOOKUP($R69,Capa!$A:$AJ,BN$5,0),0),IF(ISERROR(1/VLOOKUP($R69,Capa!$A:$AJ,BN$5,0)),0,1/VLOOKUP($R69,Capa!$A:$AJ,BN$5,0))))</f>
        <v/>
      </c>
      <c r="BO69" s="174" t="str">
        <f>IF(BO$6="","",IF(BO$3="Maior",iferror(VLOOKUP($R69,Capa!$A:$AJ,BO$5,0),0),IF(ISERROR(1/VLOOKUP($R69,Capa!$A:$AJ,BO$5,0)),0,1/VLOOKUP($R69,Capa!$A:$AJ,BO$5,0))))</f>
        <v/>
      </c>
      <c r="BP69" s="174" t="str">
        <f>IF(BP$6="","",IF(BP$3="Maior",iferror(VLOOKUP($R69,Capa!$A:$AJ,BP$5,0),0),IF(ISERROR(1/VLOOKUP($R69,Capa!$A:$AJ,BP$5,0)),0,1/VLOOKUP($R69,Capa!$A:$AJ,BP$5,0))))</f>
        <v/>
      </c>
      <c r="BQ69" s="174" t="str">
        <f>IF(BQ$6="","",IF(BQ$3="Maior",iferror(VLOOKUP($R69,Capa!$A:$AJ,BQ$5,0),0),IF(ISERROR(1/VLOOKUP($R69,Capa!$A:$AJ,BQ$5,0)),0,1/VLOOKUP($R69,Capa!$A:$AJ,BQ$5,0))))</f>
        <v/>
      </c>
      <c r="BR69" s="175"/>
      <c r="BS69" s="147"/>
    </row>
    <row r="70">
      <c r="G70" s="11"/>
      <c r="H70" s="8">
        <v>64.0</v>
      </c>
      <c r="I70" s="165" t="str">
        <f t="shared" si="6"/>
        <v>AZUL53</v>
      </c>
      <c r="J70" s="166" t="str">
        <f>(VLOOKUP($I70,Capa!$A:$B,2,0))</f>
        <v>Azul Ord Shs</v>
      </c>
      <c r="K70" s="167" t="str">
        <f>VLOOKUP(left(I70,4),Setor!A:D,3,0)&amp;" | "&amp;VLOOKUP(left(I70,4),Setor!A:D,4,0)</f>
        <v>Bens Industriais | Transporte</v>
      </c>
      <c r="L70" s="168">
        <f>(VLOOKUP($I70,Capa!$A:$F,6,0))</f>
        <v>159.6</v>
      </c>
      <c r="M70" s="168">
        <f t="shared" si="7"/>
        <v>3868102</v>
      </c>
      <c r="N70" s="11" t="str">
        <f>IFERROR(__xludf.DUMMYFUNCTION("(VLOOKUP($I70,Capa!$A:$H,7,0))"),"")</f>
        <v/>
      </c>
      <c r="O70" s="169">
        <f>(VLOOKUP($I70,Capa!$A:$H,8,0))</f>
        <v>-0.8108444444</v>
      </c>
      <c r="P70" s="11" t="str">
        <f>IFERROR(__xludf.DUMMYFUNCTION("(VLOOKUP($I70,Capa!$A:$J,10,0))"),"")</f>
        <v/>
      </c>
      <c r="Q70" s="169" t="str">
        <f>(VLOOKUP($I70,Capa!$A:$K,11,0))</f>
        <v/>
      </c>
      <c r="R70" s="45" t="str">
        <f>'Dados StatusInvest'!A65</f>
        <v>BFRE12</v>
      </c>
      <c r="S70" s="170">
        <f t="shared" si="8"/>
        <v>1281.0281</v>
      </c>
      <c r="T70" s="171">
        <f>VLOOKUP(R70,'Dados StatusInvest'!A:Z,26,0)</f>
        <v>0</v>
      </c>
      <c r="U70" s="172">
        <f t="shared" ref="U70:AS70" si="72">IF(AT70="","", RANK(AT70,AT$7:AT$626,0)+RANK(AT70,AT$7:AT$626,0)/10000)</f>
        <v>51.0051</v>
      </c>
      <c r="V70" s="172">
        <f t="shared" si="72"/>
        <v>230.023</v>
      </c>
      <c r="W70" s="172" t="str">
        <f t="shared" si="72"/>
        <v/>
      </c>
      <c r="X70" s="172" t="str">
        <f t="shared" si="72"/>
        <v/>
      </c>
      <c r="Y70" s="172" t="str">
        <f t="shared" si="72"/>
        <v/>
      </c>
      <c r="Z70" s="172" t="str">
        <f t="shared" si="72"/>
        <v/>
      </c>
      <c r="AA70" s="172" t="str">
        <f t="shared" si="72"/>
        <v/>
      </c>
      <c r="AB70" s="172" t="str">
        <f t="shared" si="72"/>
        <v/>
      </c>
      <c r="AC70" s="172" t="str">
        <f t="shared" si="72"/>
        <v/>
      </c>
      <c r="AD70" s="172" t="str">
        <f t="shared" si="72"/>
        <v/>
      </c>
      <c r="AE70" s="172" t="str">
        <f t="shared" si="72"/>
        <v/>
      </c>
      <c r="AF70" s="172" t="str">
        <f t="shared" si="72"/>
        <v/>
      </c>
      <c r="AG70" s="172" t="str">
        <f t="shared" si="72"/>
        <v/>
      </c>
      <c r="AH70" s="172" t="str">
        <f t="shared" si="72"/>
        <v/>
      </c>
      <c r="AI70" s="172" t="str">
        <f t="shared" si="72"/>
        <v/>
      </c>
      <c r="AJ70" s="172" t="str">
        <f t="shared" si="72"/>
        <v/>
      </c>
      <c r="AK70" s="172" t="str">
        <f t="shared" si="72"/>
        <v/>
      </c>
      <c r="AL70" s="172" t="str">
        <f t="shared" si="72"/>
        <v/>
      </c>
      <c r="AM70" s="172" t="str">
        <f t="shared" si="72"/>
        <v/>
      </c>
      <c r="AN70" s="172" t="str">
        <f t="shared" si="72"/>
        <v/>
      </c>
      <c r="AO70" s="172" t="str">
        <f t="shared" si="72"/>
        <v/>
      </c>
      <c r="AP70" s="172" t="str">
        <f t="shared" si="72"/>
        <v/>
      </c>
      <c r="AQ70" s="172" t="str">
        <f t="shared" si="72"/>
        <v/>
      </c>
      <c r="AR70" s="172" t="str">
        <f t="shared" si="72"/>
        <v/>
      </c>
      <c r="AS70" s="172" t="str">
        <f t="shared" si="72"/>
        <v/>
      </c>
      <c r="AT70" s="173">
        <f>IF(AT$6="","",IF(AT$3="Maior",iferror(VLOOKUP($R70,Capa!$A:$AJ,AT$5,0),0),IF(ISERROR(1/VLOOKUP($R70,Capa!$A:$AJ,AT$5,0)),0,1/VLOOKUP($R70,Capa!$A:$AJ,AT$5,0))))</f>
        <v>0</v>
      </c>
      <c r="AU70" s="174">
        <f>IF(AU$6="","",IF(AU$3="Maior",iferror(VLOOKUP($R70,Capa!$A:$AJ,AU$5,0),0),IF(ISERROR(1/VLOOKUP($R70,Capa!$A:$AJ,AU$5,0)),0,1/VLOOKUP($R70,Capa!$A:$AJ,AU$5,0))))</f>
        <v>6.26</v>
      </c>
      <c r="AV70" s="174" t="str">
        <f>IF(AV$6="","",IF(AV$3="Maior",iferror(VLOOKUP($R70,Capa!$A:$AJ,AV$5,0),0),IF(ISERROR(1/VLOOKUP($R70,Capa!$A:$AJ,AV$5,0)),0,1/VLOOKUP($R70,Capa!$A:$AJ,AV$5,0))))</f>
        <v/>
      </c>
      <c r="AW70" s="174" t="str">
        <f>IF(AW$6="","",IF(AW$3="Maior",iferror(VLOOKUP($R70,Capa!$A:$AJ,AW$5,0),0),IF(ISERROR(1/VLOOKUP($R70,Capa!$A:$AJ,AW$5,0)),0,1/VLOOKUP($R70,Capa!$A:$AJ,AW$5,0))))</f>
        <v/>
      </c>
      <c r="AX70" s="174" t="str">
        <f>IF(AX$6="","",IF(AX$3="Maior",iferror(VLOOKUP($R70,Capa!$A:$AJ,AX$5,0),0),IF(ISERROR(1/VLOOKUP($R70,Capa!$A:$AJ,AX$5,0)),0,1/VLOOKUP($R70,Capa!$A:$AJ,AX$5,0))))</f>
        <v/>
      </c>
      <c r="AY70" s="174" t="str">
        <f>IF(AY$6="","",IF(AY$3="Maior",iferror(VLOOKUP($R70,Capa!$A:$AJ,AY$5,0),0),IF(ISERROR(1/VLOOKUP($R70,Capa!$A:$AJ,AY$5,0)),0,1/VLOOKUP($R70,Capa!$A:$AJ,AY$5,0))))</f>
        <v/>
      </c>
      <c r="AZ70" s="174" t="str">
        <f>IF(AZ$6="","",IF(AZ$3="Maior",iferror(VLOOKUP($R70,Capa!$A:$AJ,AZ$5,0),0),IF(ISERROR(1/VLOOKUP($R70,Capa!$A:$AJ,AZ$5,0)),0,1/VLOOKUP($R70,Capa!$A:$AJ,AZ$5,0))))</f>
        <v/>
      </c>
      <c r="BA70" s="174" t="str">
        <f>IF(BA$6="","",IF(BA$3="Maior",iferror(VLOOKUP($R70,Capa!$A:$AJ,BA$5,0),0),IF(ISERROR(1/VLOOKUP($R70,Capa!$A:$AJ,BA$5,0)),0,1/VLOOKUP($R70,Capa!$A:$AJ,BA$5,0))))</f>
        <v/>
      </c>
      <c r="BB70" s="174" t="str">
        <f>IF(BB$6="","",IF(BB$3="Maior",iferror(VLOOKUP($R70,Capa!$A:$AJ,BB$5,0),0),IF(ISERROR(1/VLOOKUP($R70,Capa!$A:$AJ,BB$5,0)),0,1/VLOOKUP($R70,Capa!$A:$AJ,BB$5,0))))</f>
        <v/>
      </c>
      <c r="BC70" s="174" t="str">
        <f>IF(BC$6="","",IF(BC$3="Maior",iferror(VLOOKUP($R70,Capa!$A:$AJ,BC$5,0),0),IF(ISERROR(1/VLOOKUP($R70,Capa!$A:$AJ,BC$5,0)),0,1/VLOOKUP($R70,Capa!$A:$AJ,BC$5,0))))</f>
        <v/>
      </c>
      <c r="BD70" s="174" t="str">
        <f>IF(BD$6="","",IF(BD$3="Maior",iferror(VLOOKUP($R70,Capa!$A:$AJ,BD$5,0),0),IF(ISERROR(1/VLOOKUP($R70,Capa!$A:$AJ,BD$5,0)),0,1/VLOOKUP($R70,Capa!$A:$AJ,BD$5,0))))</f>
        <v/>
      </c>
      <c r="BE70" s="174" t="str">
        <f>IF(BE$6="","",IF(BE$3="Maior",iferror(VLOOKUP($R70,Capa!$A:$AJ,BE$5,0),0),IF(ISERROR(1/VLOOKUP($R70,Capa!$A:$AJ,BE$5,0)),0,1/VLOOKUP($R70,Capa!$A:$AJ,BE$5,0))))</f>
        <v/>
      </c>
      <c r="BF70" s="174" t="str">
        <f>IF(BF$6="","",IF(BF$3="Maior",iferror(VLOOKUP($R70,Capa!$A:$AJ,BF$5,0),0),IF(ISERROR(1/VLOOKUP($R70,Capa!$A:$AJ,BF$5,0)),0,1/VLOOKUP($R70,Capa!$A:$AJ,BF$5,0))))</f>
        <v/>
      </c>
      <c r="BG70" s="174" t="str">
        <f>IF(BG$6="","",IF(BG$3="Maior",iferror(VLOOKUP($R70,Capa!$A:$AJ,BG$5,0),0),IF(ISERROR(1/VLOOKUP($R70,Capa!$A:$AJ,BG$5,0)),0,1/VLOOKUP($R70,Capa!$A:$AJ,BG$5,0))))</f>
        <v/>
      </c>
      <c r="BH70" s="174" t="str">
        <f>IF(BH$6="","",IF(BH$3="Maior",iferror(VLOOKUP($R70,Capa!$A:$AJ,BH$5,0),0),IF(ISERROR(1/VLOOKUP($R70,Capa!$A:$AJ,BH$5,0)),0,1/VLOOKUP($R70,Capa!$A:$AJ,BH$5,0))))</f>
        <v/>
      </c>
      <c r="BI70" s="174" t="str">
        <f>IF(BI$6="","",IF(BI$3="Maior",iferror(VLOOKUP($R70,Capa!$A:$AJ,BI$5,0),0),IF(ISERROR(1/VLOOKUP($R70,Capa!$A:$AJ,BI$5,0)),0,1/VLOOKUP($R70,Capa!$A:$AJ,BI$5,0))))</f>
        <v/>
      </c>
      <c r="BJ70" s="174" t="str">
        <f>IF(BJ$6="","",IF(BJ$3="Maior",iferror(VLOOKUP($R70,Capa!$A:$AJ,BJ$5,0),0),IF(ISERROR(1/VLOOKUP($R70,Capa!$A:$AJ,BJ$5,0)),0,1/VLOOKUP($R70,Capa!$A:$AJ,BJ$5,0))))</f>
        <v/>
      </c>
      <c r="BK70" s="174" t="str">
        <f>IF(BK$6="","",IF(BK$3="Maior",iferror(VLOOKUP($R70,Capa!$A:$AJ,BK$5,0),0),IF(ISERROR(1/VLOOKUP($R70,Capa!$A:$AJ,BK$5,0)),0,1/VLOOKUP($R70,Capa!$A:$AJ,BK$5,0))))</f>
        <v/>
      </c>
      <c r="BL70" s="174" t="str">
        <f>IF(BL$6="","",IF(BL$3="Maior",iferror(VLOOKUP($R70,Capa!$A:$AJ,BL$5,0),0),IF(ISERROR(1/VLOOKUP($R70,Capa!$A:$AJ,BL$5,0)),0,1/VLOOKUP($R70,Capa!$A:$AJ,BL$5,0))))</f>
        <v/>
      </c>
      <c r="BM70" s="174" t="str">
        <f>IF(BM$6="","",IF(BM$3="Maior",iferror(VLOOKUP($R70,Capa!$A:$AJ,BM$5,0),0),IF(ISERROR(1/VLOOKUP($R70,Capa!$A:$AJ,BM$5,0)),0,1/VLOOKUP($R70,Capa!$A:$AJ,BM$5,0))))</f>
        <v/>
      </c>
      <c r="BN70" s="174" t="str">
        <f>IF(BN$6="","",IF(BN$3="Maior",iferror(VLOOKUP($R70,Capa!$A:$AJ,BN$5,0),0),IF(ISERROR(1/VLOOKUP($R70,Capa!$A:$AJ,BN$5,0)),0,1/VLOOKUP($R70,Capa!$A:$AJ,BN$5,0))))</f>
        <v/>
      </c>
      <c r="BO70" s="174" t="str">
        <f>IF(BO$6="","",IF(BO$3="Maior",iferror(VLOOKUP($R70,Capa!$A:$AJ,BO$5,0),0),IF(ISERROR(1/VLOOKUP($R70,Capa!$A:$AJ,BO$5,0)),0,1/VLOOKUP($R70,Capa!$A:$AJ,BO$5,0))))</f>
        <v/>
      </c>
      <c r="BP70" s="174" t="str">
        <f>IF(BP$6="","",IF(BP$3="Maior",iferror(VLOOKUP($R70,Capa!$A:$AJ,BP$5,0),0),IF(ISERROR(1/VLOOKUP($R70,Capa!$A:$AJ,BP$5,0)),0,1/VLOOKUP($R70,Capa!$A:$AJ,BP$5,0))))</f>
        <v/>
      </c>
      <c r="BQ70" s="174" t="str">
        <f>IF(BQ$6="","",IF(BQ$3="Maior",iferror(VLOOKUP($R70,Capa!$A:$AJ,BQ$5,0),0),IF(ISERROR(1/VLOOKUP($R70,Capa!$A:$AJ,BQ$5,0)),0,1/VLOOKUP($R70,Capa!$A:$AJ,BQ$5,0))))</f>
        <v/>
      </c>
      <c r="BR70" s="175"/>
      <c r="BS70" s="147"/>
    </row>
    <row r="71">
      <c r="G71" s="11"/>
      <c r="H71" s="8">
        <v>65.0</v>
      </c>
      <c r="I71" s="165" t="str">
        <f t="shared" si="6"/>
        <v>CYRE3</v>
      </c>
      <c r="J71" s="166" t="str">
        <f>(VLOOKUP($I71,Capa!$A:$B,2,0))</f>
        <v>Cyrela Brazil Realty SA Emprdts e Prtpcs</v>
      </c>
      <c r="K71" s="167" t="str">
        <f>VLOOKUP(left(I71,4),Setor!A:D,3,0)&amp;" | "&amp;VLOOKUP(left(I71,4),Setor!A:D,4,0)</f>
        <v>Consumo Cíclico | Construção Civil</v>
      </c>
      <c r="L71" s="168">
        <f>(VLOOKUP($I71,Capa!$A:$F,6,0))</f>
        <v>31.32</v>
      </c>
      <c r="M71" s="168">
        <f t="shared" si="7"/>
        <v>161000000</v>
      </c>
      <c r="N71" s="11" t="str">
        <f>IFERROR(__xludf.DUMMYFUNCTION("(VLOOKUP($I71,Capa!$A:$H,7,0))"),"")</f>
        <v/>
      </c>
      <c r="O71" s="169">
        <f>(VLOOKUP($I71,Capa!$A:$H,8,0))</f>
        <v>0.1823329558</v>
      </c>
      <c r="P71" s="11" t="str">
        <f>IFERROR(__xludf.DUMMYFUNCTION("(VLOOKUP($I71,Capa!$A:$J,10,0))"),"")</f>
        <v/>
      </c>
      <c r="Q71" s="169">
        <f>(VLOOKUP($I71,Capa!$A:$K,11,0))</f>
        <v>0.6739711384</v>
      </c>
      <c r="R71" s="45" t="str">
        <f>'Dados StatusInvest'!A66</f>
        <v>BGIP3</v>
      </c>
      <c r="S71" s="170">
        <f t="shared" si="8"/>
        <v>1799.0799</v>
      </c>
      <c r="T71" s="171">
        <f>VLOOKUP(R71,'Dados StatusInvest'!A:Z,26,0)</f>
        <v>15227</v>
      </c>
      <c r="U71" s="172">
        <f t="shared" ref="U71:AS71" si="73">IF(AT71="","", RANK(AT71,AT$7:AT$626,0)+RANK(AT71,AT$7:AT$626,0)/10000)</f>
        <v>588.0588</v>
      </c>
      <c r="V71" s="172">
        <f t="shared" si="73"/>
        <v>211.0211</v>
      </c>
      <c r="W71" s="172" t="str">
        <f t="shared" si="73"/>
        <v/>
      </c>
      <c r="X71" s="172" t="str">
        <f t="shared" si="73"/>
        <v/>
      </c>
      <c r="Y71" s="172" t="str">
        <f t="shared" si="73"/>
        <v/>
      </c>
      <c r="Z71" s="172" t="str">
        <f t="shared" si="73"/>
        <v/>
      </c>
      <c r="AA71" s="172" t="str">
        <f t="shared" si="73"/>
        <v/>
      </c>
      <c r="AB71" s="172" t="str">
        <f t="shared" si="73"/>
        <v/>
      </c>
      <c r="AC71" s="172" t="str">
        <f t="shared" si="73"/>
        <v/>
      </c>
      <c r="AD71" s="172" t="str">
        <f t="shared" si="73"/>
        <v/>
      </c>
      <c r="AE71" s="172" t="str">
        <f t="shared" si="73"/>
        <v/>
      </c>
      <c r="AF71" s="172" t="str">
        <f t="shared" si="73"/>
        <v/>
      </c>
      <c r="AG71" s="172" t="str">
        <f t="shared" si="73"/>
        <v/>
      </c>
      <c r="AH71" s="172" t="str">
        <f t="shared" si="73"/>
        <v/>
      </c>
      <c r="AI71" s="172" t="str">
        <f t="shared" si="73"/>
        <v/>
      </c>
      <c r="AJ71" s="172" t="str">
        <f t="shared" si="73"/>
        <v/>
      </c>
      <c r="AK71" s="172" t="str">
        <f t="shared" si="73"/>
        <v/>
      </c>
      <c r="AL71" s="172" t="str">
        <f t="shared" si="73"/>
        <v/>
      </c>
      <c r="AM71" s="172" t="str">
        <f t="shared" si="73"/>
        <v/>
      </c>
      <c r="AN71" s="172" t="str">
        <f t="shared" si="73"/>
        <v/>
      </c>
      <c r="AO71" s="172" t="str">
        <f t="shared" si="73"/>
        <v/>
      </c>
      <c r="AP71" s="172" t="str">
        <f t="shared" si="73"/>
        <v/>
      </c>
      <c r="AQ71" s="172" t="str">
        <f t="shared" si="73"/>
        <v/>
      </c>
      <c r="AR71" s="172" t="str">
        <f t="shared" si="73"/>
        <v/>
      </c>
      <c r="AS71" s="172" t="str">
        <f t="shared" si="73"/>
        <v/>
      </c>
      <c r="AT71" s="173">
        <f>IF(AT$6="","",IF(AT$3="Maior",iferror(VLOOKUP($R71,Capa!$A:$AJ,AT$5,0),0),IF(ISERROR(1/VLOOKUP($R71,Capa!$A:$AJ,AT$5,0)),0,1/VLOOKUP($R71,Capa!$A:$AJ,AT$5,0))))</f>
        <v>-11.11111111</v>
      </c>
      <c r="AU71" s="174">
        <f>IF(AU$6="","",IF(AU$3="Maior",iferror(VLOOKUP($R71,Capa!$A:$AJ,AU$5,0),0),IF(ISERROR(1/VLOOKUP($R71,Capa!$A:$AJ,AU$5,0)),0,1/VLOOKUP($R71,Capa!$A:$AJ,AU$5,0))))</f>
        <v>9.63</v>
      </c>
      <c r="AV71" s="174" t="str">
        <f>IF(AV$6="","",IF(AV$3="Maior",iferror(VLOOKUP($R71,Capa!$A:$AJ,AV$5,0),0),IF(ISERROR(1/VLOOKUP($R71,Capa!$A:$AJ,AV$5,0)),0,1/VLOOKUP($R71,Capa!$A:$AJ,AV$5,0))))</f>
        <v/>
      </c>
      <c r="AW71" s="174" t="str">
        <f>IF(AW$6="","",IF(AW$3="Maior",iferror(VLOOKUP($R71,Capa!$A:$AJ,AW$5,0),0),IF(ISERROR(1/VLOOKUP($R71,Capa!$A:$AJ,AW$5,0)),0,1/VLOOKUP($R71,Capa!$A:$AJ,AW$5,0))))</f>
        <v/>
      </c>
      <c r="AX71" s="174" t="str">
        <f>IF(AX$6="","",IF(AX$3="Maior",iferror(VLOOKUP($R71,Capa!$A:$AJ,AX$5,0),0),IF(ISERROR(1/VLOOKUP($R71,Capa!$A:$AJ,AX$5,0)),0,1/VLOOKUP($R71,Capa!$A:$AJ,AX$5,0))))</f>
        <v/>
      </c>
      <c r="AY71" s="174" t="str">
        <f>IF(AY$6="","",IF(AY$3="Maior",iferror(VLOOKUP($R71,Capa!$A:$AJ,AY$5,0),0),IF(ISERROR(1/VLOOKUP($R71,Capa!$A:$AJ,AY$5,0)),0,1/VLOOKUP($R71,Capa!$A:$AJ,AY$5,0))))</f>
        <v/>
      </c>
      <c r="AZ71" s="174" t="str">
        <f>IF(AZ$6="","",IF(AZ$3="Maior",iferror(VLOOKUP($R71,Capa!$A:$AJ,AZ$5,0),0),IF(ISERROR(1/VLOOKUP($R71,Capa!$A:$AJ,AZ$5,0)),0,1/VLOOKUP($R71,Capa!$A:$AJ,AZ$5,0))))</f>
        <v/>
      </c>
      <c r="BA71" s="174" t="str">
        <f>IF(BA$6="","",IF(BA$3="Maior",iferror(VLOOKUP($R71,Capa!$A:$AJ,BA$5,0),0),IF(ISERROR(1/VLOOKUP($R71,Capa!$A:$AJ,BA$5,0)),0,1/VLOOKUP($R71,Capa!$A:$AJ,BA$5,0))))</f>
        <v/>
      </c>
      <c r="BB71" s="174" t="str">
        <f>IF(BB$6="","",IF(BB$3="Maior",iferror(VLOOKUP($R71,Capa!$A:$AJ,BB$5,0),0),IF(ISERROR(1/VLOOKUP($R71,Capa!$A:$AJ,BB$5,0)),0,1/VLOOKUP($R71,Capa!$A:$AJ,BB$5,0))))</f>
        <v/>
      </c>
      <c r="BC71" s="174" t="str">
        <f>IF(BC$6="","",IF(BC$3="Maior",iferror(VLOOKUP($R71,Capa!$A:$AJ,BC$5,0),0),IF(ISERROR(1/VLOOKUP($R71,Capa!$A:$AJ,BC$5,0)),0,1/VLOOKUP($R71,Capa!$A:$AJ,BC$5,0))))</f>
        <v/>
      </c>
      <c r="BD71" s="174" t="str">
        <f>IF(BD$6="","",IF(BD$3="Maior",iferror(VLOOKUP($R71,Capa!$A:$AJ,BD$5,0),0),IF(ISERROR(1/VLOOKUP($R71,Capa!$A:$AJ,BD$5,0)),0,1/VLOOKUP($R71,Capa!$A:$AJ,BD$5,0))))</f>
        <v/>
      </c>
      <c r="BE71" s="174" t="str">
        <f>IF(BE$6="","",IF(BE$3="Maior",iferror(VLOOKUP($R71,Capa!$A:$AJ,BE$5,0),0),IF(ISERROR(1/VLOOKUP($R71,Capa!$A:$AJ,BE$5,0)),0,1/VLOOKUP($R71,Capa!$A:$AJ,BE$5,0))))</f>
        <v/>
      </c>
      <c r="BF71" s="174" t="str">
        <f>IF(BF$6="","",IF(BF$3="Maior",iferror(VLOOKUP($R71,Capa!$A:$AJ,BF$5,0),0),IF(ISERROR(1/VLOOKUP($R71,Capa!$A:$AJ,BF$5,0)),0,1/VLOOKUP($R71,Capa!$A:$AJ,BF$5,0))))</f>
        <v/>
      </c>
      <c r="BG71" s="174" t="str">
        <f>IF(BG$6="","",IF(BG$3="Maior",iferror(VLOOKUP($R71,Capa!$A:$AJ,BG$5,0),0),IF(ISERROR(1/VLOOKUP($R71,Capa!$A:$AJ,BG$5,0)),0,1/VLOOKUP($R71,Capa!$A:$AJ,BG$5,0))))</f>
        <v/>
      </c>
      <c r="BH71" s="174" t="str">
        <f>IF(BH$6="","",IF(BH$3="Maior",iferror(VLOOKUP($R71,Capa!$A:$AJ,BH$5,0),0),IF(ISERROR(1/VLOOKUP($R71,Capa!$A:$AJ,BH$5,0)),0,1/VLOOKUP($R71,Capa!$A:$AJ,BH$5,0))))</f>
        <v/>
      </c>
      <c r="BI71" s="174" t="str">
        <f>IF(BI$6="","",IF(BI$3="Maior",iferror(VLOOKUP($R71,Capa!$A:$AJ,BI$5,0),0),IF(ISERROR(1/VLOOKUP($R71,Capa!$A:$AJ,BI$5,0)),0,1/VLOOKUP($R71,Capa!$A:$AJ,BI$5,0))))</f>
        <v/>
      </c>
      <c r="BJ71" s="174" t="str">
        <f>IF(BJ$6="","",IF(BJ$3="Maior",iferror(VLOOKUP($R71,Capa!$A:$AJ,BJ$5,0),0),IF(ISERROR(1/VLOOKUP($R71,Capa!$A:$AJ,BJ$5,0)),0,1/VLOOKUP($R71,Capa!$A:$AJ,BJ$5,0))))</f>
        <v/>
      </c>
      <c r="BK71" s="174" t="str">
        <f>IF(BK$6="","",IF(BK$3="Maior",iferror(VLOOKUP($R71,Capa!$A:$AJ,BK$5,0),0),IF(ISERROR(1/VLOOKUP($R71,Capa!$A:$AJ,BK$5,0)),0,1/VLOOKUP($R71,Capa!$A:$AJ,BK$5,0))))</f>
        <v/>
      </c>
      <c r="BL71" s="174" t="str">
        <f>IF(BL$6="","",IF(BL$3="Maior",iferror(VLOOKUP($R71,Capa!$A:$AJ,BL$5,0),0),IF(ISERROR(1/VLOOKUP($R71,Capa!$A:$AJ,BL$5,0)),0,1/VLOOKUP($R71,Capa!$A:$AJ,BL$5,0))))</f>
        <v/>
      </c>
      <c r="BM71" s="174" t="str">
        <f>IF(BM$6="","",IF(BM$3="Maior",iferror(VLOOKUP($R71,Capa!$A:$AJ,BM$5,0),0),IF(ISERROR(1/VLOOKUP($R71,Capa!$A:$AJ,BM$5,0)),0,1/VLOOKUP($R71,Capa!$A:$AJ,BM$5,0))))</f>
        <v/>
      </c>
      <c r="BN71" s="174" t="str">
        <f>IF(BN$6="","",IF(BN$3="Maior",iferror(VLOOKUP($R71,Capa!$A:$AJ,BN$5,0),0),IF(ISERROR(1/VLOOKUP($R71,Capa!$A:$AJ,BN$5,0)),0,1/VLOOKUP($R71,Capa!$A:$AJ,BN$5,0))))</f>
        <v/>
      </c>
      <c r="BO71" s="174" t="str">
        <f>IF(BO$6="","",IF(BO$3="Maior",iferror(VLOOKUP($R71,Capa!$A:$AJ,BO$5,0),0),IF(ISERROR(1/VLOOKUP($R71,Capa!$A:$AJ,BO$5,0)),0,1/VLOOKUP($R71,Capa!$A:$AJ,BO$5,0))))</f>
        <v/>
      </c>
      <c r="BP71" s="174" t="str">
        <f>IF(BP$6="","",IF(BP$3="Maior",iferror(VLOOKUP($R71,Capa!$A:$AJ,BP$5,0),0),IF(ISERROR(1/VLOOKUP($R71,Capa!$A:$AJ,BP$5,0)),0,1/VLOOKUP($R71,Capa!$A:$AJ,BP$5,0))))</f>
        <v/>
      </c>
      <c r="BQ71" s="174" t="str">
        <f>IF(BQ$6="","",IF(BQ$3="Maior",iferror(VLOOKUP($R71,Capa!$A:$AJ,BQ$5,0),0),IF(ISERROR(1/VLOOKUP($R71,Capa!$A:$AJ,BQ$5,0)),0,1/VLOOKUP($R71,Capa!$A:$AJ,BQ$5,0))))</f>
        <v/>
      </c>
      <c r="BR71" s="175"/>
      <c r="BS71" s="147"/>
    </row>
    <row r="72">
      <c r="G72" s="11"/>
      <c r="H72" s="8">
        <v>66.0</v>
      </c>
      <c r="I72" s="165" t="str">
        <f t="shared" si="6"/>
        <v>GOLL54</v>
      </c>
      <c r="J72" s="166" t="str">
        <f>(VLOOKUP($I72,Capa!$A:$B,2,0))</f>
        <v>Gol Linhas Aereas Inteligentes SA Preference Shares</v>
      </c>
      <c r="K72" s="167" t="str">
        <f>VLOOKUP(left(I72,4),Setor!A:D,3,0)&amp;" | "&amp;VLOOKUP(left(I72,4),Setor!A:D,4,0)</f>
        <v>Bens Industriais | Transporte</v>
      </c>
      <c r="L72" s="168">
        <f>(VLOOKUP($I72,Capa!$A:$F,6,0))</f>
        <v>11.18</v>
      </c>
      <c r="M72" s="168">
        <f t="shared" si="7"/>
        <v>1546805</v>
      </c>
      <c r="N72" s="11" t="str">
        <f>IFERROR(__xludf.DUMMYFUNCTION("(VLOOKUP($I72,Capa!$A:$H,7,0))"),"")</f>
        <v/>
      </c>
      <c r="O72" s="169">
        <f>(VLOOKUP($I72,Capa!$A:$H,8,0))</f>
        <v>0.09607843137</v>
      </c>
      <c r="P72" s="11" t="str">
        <f>IFERROR(__xludf.DUMMYFUNCTION("(VLOOKUP($I72,Capa!$A:$J,10,0))"),"")</f>
        <v/>
      </c>
      <c r="Q72" s="169">
        <f>(VLOOKUP($I72,Capa!$A:$K,11,0))</f>
        <v>558</v>
      </c>
      <c r="R72" s="45" t="str">
        <f>'Dados StatusInvest'!A67</f>
        <v>BGIP4</v>
      </c>
      <c r="S72" s="170">
        <f t="shared" si="8"/>
        <v>1805.0805</v>
      </c>
      <c r="T72" s="171">
        <f>VLOOKUP(R72,'Dados StatusInvest'!A:Z,26,0)</f>
        <v>90723.38</v>
      </c>
      <c r="U72" s="172">
        <f t="shared" ref="U72:AS72" si="74">IF(AT72="","", RANK(AT72,AT$7:AT$626,0)+RANK(AT72,AT$7:AT$626,0)/10000)</f>
        <v>594.0594</v>
      </c>
      <c r="V72" s="172">
        <f t="shared" si="74"/>
        <v>211.0211</v>
      </c>
      <c r="W72" s="172" t="str">
        <f t="shared" si="74"/>
        <v/>
      </c>
      <c r="X72" s="172" t="str">
        <f t="shared" si="74"/>
        <v/>
      </c>
      <c r="Y72" s="172" t="str">
        <f t="shared" si="74"/>
        <v/>
      </c>
      <c r="Z72" s="172" t="str">
        <f t="shared" si="74"/>
        <v/>
      </c>
      <c r="AA72" s="172" t="str">
        <f t="shared" si="74"/>
        <v/>
      </c>
      <c r="AB72" s="172" t="str">
        <f t="shared" si="74"/>
        <v/>
      </c>
      <c r="AC72" s="172" t="str">
        <f t="shared" si="74"/>
        <v/>
      </c>
      <c r="AD72" s="172" t="str">
        <f t="shared" si="74"/>
        <v/>
      </c>
      <c r="AE72" s="172" t="str">
        <f t="shared" si="74"/>
        <v/>
      </c>
      <c r="AF72" s="172" t="str">
        <f t="shared" si="74"/>
        <v/>
      </c>
      <c r="AG72" s="172" t="str">
        <f t="shared" si="74"/>
        <v/>
      </c>
      <c r="AH72" s="172" t="str">
        <f t="shared" si="74"/>
        <v/>
      </c>
      <c r="AI72" s="172" t="str">
        <f t="shared" si="74"/>
        <v/>
      </c>
      <c r="AJ72" s="172" t="str">
        <f t="shared" si="74"/>
        <v/>
      </c>
      <c r="AK72" s="172" t="str">
        <f t="shared" si="74"/>
        <v/>
      </c>
      <c r="AL72" s="172" t="str">
        <f t="shared" si="74"/>
        <v/>
      </c>
      <c r="AM72" s="172" t="str">
        <f t="shared" si="74"/>
        <v/>
      </c>
      <c r="AN72" s="172" t="str">
        <f t="shared" si="74"/>
        <v/>
      </c>
      <c r="AO72" s="172" t="str">
        <f t="shared" si="74"/>
        <v/>
      </c>
      <c r="AP72" s="172" t="str">
        <f t="shared" si="74"/>
        <v/>
      </c>
      <c r="AQ72" s="172" t="str">
        <f t="shared" si="74"/>
        <v/>
      </c>
      <c r="AR72" s="172" t="str">
        <f t="shared" si="74"/>
        <v/>
      </c>
      <c r="AS72" s="172" t="str">
        <f t="shared" si="74"/>
        <v/>
      </c>
      <c r="AT72" s="173">
        <f>IF(AT$6="","",IF(AT$3="Maior",iferror(VLOOKUP($R72,Capa!$A:$AJ,AT$5,0),0),IF(ISERROR(1/VLOOKUP($R72,Capa!$A:$AJ,AT$5,0)),0,1/VLOOKUP($R72,Capa!$A:$AJ,AT$5,0))))</f>
        <v>-15.32314717</v>
      </c>
      <c r="AU72" s="174">
        <f>IF(AU$6="","",IF(AU$3="Maior",iferror(VLOOKUP($R72,Capa!$A:$AJ,AU$5,0),0),IF(ISERROR(1/VLOOKUP($R72,Capa!$A:$AJ,AU$5,0)),0,1/VLOOKUP($R72,Capa!$A:$AJ,AU$5,0))))</f>
        <v>9.63</v>
      </c>
      <c r="AV72" s="174" t="str">
        <f>IF(AV$6="","",IF(AV$3="Maior",iferror(VLOOKUP($R72,Capa!$A:$AJ,AV$5,0),0),IF(ISERROR(1/VLOOKUP($R72,Capa!$A:$AJ,AV$5,0)),0,1/VLOOKUP($R72,Capa!$A:$AJ,AV$5,0))))</f>
        <v/>
      </c>
      <c r="AW72" s="174" t="str">
        <f>IF(AW$6="","",IF(AW$3="Maior",iferror(VLOOKUP($R72,Capa!$A:$AJ,AW$5,0),0),IF(ISERROR(1/VLOOKUP($R72,Capa!$A:$AJ,AW$5,0)),0,1/VLOOKUP($R72,Capa!$A:$AJ,AW$5,0))))</f>
        <v/>
      </c>
      <c r="AX72" s="174" t="str">
        <f>IF(AX$6="","",IF(AX$3="Maior",iferror(VLOOKUP($R72,Capa!$A:$AJ,AX$5,0),0),IF(ISERROR(1/VLOOKUP($R72,Capa!$A:$AJ,AX$5,0)),0,1/VLOOKUP($R72,Capa!$A:$AJ,AX$5,0))))</f>
        <v/>
      </c>
      <c r="AY72" s="174" t="str">
        <f>IF(AY$6="","",IF(AY$3="Maior",iferror(VLOOKUP($R72,Capa!$A:$AJ,AY$5,0),0),IF(ISERROR(1/VLOOKUP($R72,Capa!$A:$AJ,AY$5,0)),0,1/VLOOKUP($R72,Capa!$A:$AJ,AY$5,0))))</f>
        <v/>
      </c>
      <c r="AZ72" s="174" t="str">
        <f>IF(AZ$6="","",IF(AZ$3="Maior",iferror(VLOOKUP($R72,Capa!$A:$AJ,AZ$5,0),0),IF(ISERROR(1/VLOOKUP($R72,Capa!$A:$AJ,AZ$5,0)),0,1/VLOOKUP($R72,Capa!$A:$AJ,AZ$5,0))))</f>
        <v/>
      </c>
      <c r="BA72" s="174" t="str">
        <f>IF(BA$6="","",IF(BA$3="Maior",iferror(VLOOKUP($R72,Capa!$A:$AJ,BA$5,0),0),IF(ISERROR(1/VLOOKUP($R72,Capa!$A:$AJ,BA$5,0)),0,1/VLOOKUP($R72,Capa!$A:$AJ,BA$5,0))))</f>
        <v/>
      </c>
      <c r="BB72" s="174" t="str">
        <f>IF(BB$6="","",IF(BB$3="Maior",iferror(VLOOKUP($R72,Capa!$A:$AJ,BB$5,0),0),IF(ISERROR(1/VLOOKUP($R72,Capa!$A:$AJ,BB$5,0)),0,1/VLOOKUP($R72,Capa!$A:$AJ,BB$5,0))))</f>
        <v/>
      </c>
      <c r="BC72" s="174" t="str">
        <f>IF(BC$6="","",IF(BC$3="Maior",iferror(VLOOKUP($R72,Capa!$A:$AJ,BC$5,0),0),IF(ISERROR(1/VLOOKUP($R72,Capa!$A:$AJ,BC$5,0)),0,1/VLOOKUP($R72,Capa!$A:$AJ,BC$5,0))))</f>
        <v/>
      </c>
      <c r="BD72" s="174" t="str">
        <f>IF(BD$6="","",IF(BD$3="Maior",iferror(VLOOKUP($R72,Capa!$A:$AJ,BD$5,0),0),IF(ISERROR(1/VLOOKUP($R72,Capa!$A:$AJ,BD$5,0)),0,1/VLOOKUP($R72,Capa!$A:$AJ,BD$5,0))))</f>
        <v/>
      </c>
      <c r="BE72" s="174" t="str">
        <f>IF(BE$6="","",IF(BE$3="Maior",iferror(VLOOKUP($R72,Capa!$A:$AJ,BE$5,0),0),IF(ISERROR(1/VLOOKUP($R72,Capa!$A:$AJ,BE$5,0)),0,1/VLOOKUP($R72,Capa!$A:$AJ,BE$5,0))))</f>
        <v/>
      </c>
      <c r="BF72" s="174" t="str">
        <f>IF(BF$6="","",IF(BF$3="Maior",iferror(VLOOKUP($R72,Capa!$A:$AJ,BF$5,0),0),IF(ISERROR(1/VLOOKUP($R72,Capa!$A:$AJ,BF$5,0)),0,1/VLOOKUP($R72,Capa!$A:$AJ,BF$5,0))))</f>
        <v/>
      </c>
      <c r="BG72" s="174" t="str">
        <f>IF(BG$6="","",IF(BG$3="Maior",iferror(VLOOKUP($R72,Capa!$A:$AJ,BG$5,0),0),IF(ISERROR(1/VLOOKUP($R72,Capa!$A:$AJ,BG$5,0)),0,1/VLOOKUP($R72,Capa!$A:$AJ,BG$5,0))))</f>
        <v/>
      </c>
      <c r="BH72" s="174" t="str">
        <f>IF(BH$6="","",IF(BH$3="Maior",iferror(VLOOKUP($R72,Capa!$A:$AJ,BH$5,0),0),IF(ISERROR(1/VLOOKUP($R72,Capa!$A:$AJ,BH$5,0)),0,1/VLOOKUP($R72,Capa!$A:$AJ,BH$5,0))))</f>
        <v/>
      </c>
      <c r="BI72" s="174" t="str">
        <f>IF(BI$6="","",IF(BI$3="Maior",iferror(VLOOKUP($R72,Capa!$A:$AJ,BI$5,0),0),IF(ISERROR(1/VLOOKUP($R72,Capa!$A:$AJ,BI$5,0)),0,1/VLOOKUP($R72,Capa!$A:$AJ,BI$5,0))))</f>
        <v/>
      </c>
      <c r="BJ72" s="174" t="str">
        <f>IF(BJ$6="","",IF(BJ$3="Maior",iferror(VLOOKUP($R72,Capa!$A:$AJ,BJ$5,0),0),IF(ISERROR(1/VLOOKUP($R72,Capa!$A:$AJ,BJ$5,0)),0,1/VLOOKUP($R72,Capa!$A:$AJ,BJ$5,0))))</f>
        <v/>
      </c>
      <c r="BK72" s="174" t="str">
        <f>IF(BK$6="","",IF(BK$3="Maior",iferror(VLOOKUP($R72,Capa!$A:$AJ,BK$5,0),0),IF(ISERROR(1/VLOOKUP($R72,Capa!$A:$AJ,BK$5,0)),0,1/VLOOKUP($R72,Capa!$A:$AJ,BK$5,0))))</f>
        <v/>
      </c>
      <c r="BL72" s="174" t="str">
        <f>IF(BL$6="","",IF(BL$3="Maior",iferror(VLOOKUP($R72,Capa!$A:$AJ,BL$5,0),0),IF(ISERROR(1/VLOOKUP($R72,Capa!$A:$AJ,BL$5,0)),0,1/VLOOKUP($R72,Capa!$A:$AJ,BL$5,0))))</f>
        <v/>
      </c>
      <c r="BM72" s="174" t="str">
        <f>IF(BM$6="","",IF(BM$3="Maior",iferror(VLOOKUP($R72,Capa!$A:$AJ,BM$5,0),0),IF(ISERROR(1/VLOOKUP($R72,Capa!$A:$AJ,BM$5,0)),0,1/VLOOKUP($R72,Capa!$A:$AJ,BM$5,0))))</f>
        <v/>
      </c>
      <c r="BN72" s="174" t="str">
        <f>IF(BN$6="","",IF(BN$3="Maior",iferror(VLOOKUP($R72,Capa!$A:$AJ,BN$5,0),0),IF(ISERROR(1/VLOOKUP($R72,Capa!$A:$AJ,BN$5,0)),0,1/VLOOKUP($R72,Capa!$A:$AJ,BN$5,0))))</f>
        <v/>
      </c>
      <c r="BO72" s="174" t="str">
        <f>IF(BO$6="","",IF(BO$3="Maior",iferror(VLOOKUP($R72,Capa!$A:$AJ,BO$5,0),0),IF(ISERROR(1/VLOOKUP($R72,Capa!$A:$AJ,BO$5,0)),0,1/VLOOKUP($R72,Capa!$A:$AJ,BO$5,0))))</f>
        <v/>
      </c>
      <c r="BP72" s="174" t="str">
        <f>IF(BP$6="","",IF(BP$3="Maior",iferror(VLOOKUP($R72,Capa!$A:$AJ,BP$5,0),0),IF(ISERROR(1/VLOOKUP($R72,Capa!$A:$AJ,BP$5,0)),0,1/VLOOKUP($R72,Capa!$A:$AJ,BP$5,0))))</f>
        <v/>
      </c>
      <c r="BQ72" s="174" t="str">
        <f>IF(BQ$6="","",IF(BQ$3="Maior",iferror(VLOOKUP($R72,Capa!$A:$AJ,BQ$5,0),0),IF(ISERROR(1/VLOOKUP($R72,Capa!$A:$AJ,BQ$5,0)),0,1/VLOOKUP($R72,Capa!$A:$AJ,BQ$5,0))))</f>
        <v/>
      </c>
      <c r="BR72" s="175"/>
      <c r="BS72" s="147"/>
    </row>
    <row r="73">
      <c r="G73" s="11"/>
      <c r="H73" s="8">
        <v>67.0</v>
      </c>
      <c r="I73" s="165" t="str">
        <f t="shared" si="6"/>
        <v>CYRE4</v>
      </c>
      <c r="J73" s="166" t="str">
        <f>(VLOOKUP($I73,Capa!$A:$B,2,0))</f>
        <v>Cyrela Brazil Realty SA Emprdts e Prtpcs Preference Shares</v>
      </c>
      <c r="K73" s="167" t="str">
        <f>VLOOKUP(left(I73,4),Setor!A:D,3,0)&amp;" | "&amp;VLOOKUP(left(I73,4),Setor!A:D,4,0)</f>
        <v>Consumo Cíclico | Construção Civil</v>
      </c>
      <c r="L73" s="168">
        <f>(VLOOKUP($I73,Capa!$A:$F,6,0))</f>
        <v>29.68</v>
      </c>
      <c r="M73" s="168">
        <f t="shared" si="7"/>
        <v>17486544</v>
      </c>
      <c r="N73" s="11" t="str">
        <f>IFERROR(__xludf.DUMMYFUNCTION("(VLOOKUP($I73,Capa!$A:$H,7,0))"),"")</f>
        <v/>
      </c>
      <c r="O73" s="169">
        <f>(VLOOKUP($I73,Capa!$A:$H,8,0))</f>
        <v>0.1749802059</v>
      </c>
      <c r="P73" s="11" t="str">
        <f>IFERROR(__xludf.DUMMYFUNCTION("(VLOOKUP($I73,Capa!$A:$J,10,0))"),"")</f>
        <v/>
      </c>
      <c r="Q73" s="169" t="str">
        <f>(VLOOKUP($I73,Capa!$A:$K,11,0))</f>
        <v/>
      </c>
      <c r="R73" s="45" t="str">
        <f>'Dados StatusInvest'!A68</f>
        <v>BHIA3</v>
      </c>
      <c r="S73" s="170">
        <f t="shared" si="8"/>
        <v>828.0828</v>
      </c>
      <c r="T73" s="171">
        <f>VLOOKUP(R73,'Dados StatusInvest'!A:Z,26,0)</f>
        <v>12991516</v>
      </c>
      <c r="U73" s="172">
        <f t="shared" ref="U73:AS73" si="75">IF(AT73="","", RANK(AT73,AT$7:AT$626,0)+RANK(AT73,AT$7:AT$626,0)/10000)</f>
        <v>561.0561</v>
      </c>
      <c r="V73" s="172">
        <f t="shared" si="75"/>
        <v>267.0267</v>
      </c>
      <c r="W73" s="172" t="str">
        <f t="shared" si="75"/>
        <v/>
      </c>
      <c r="X73" s="172" t="str">
        <f t="shared" si="75"/>
        <v/>
      </c>
      <c r="Y73" s="172" t="str">
        <f t="shared" si="75"/>
        <v/>
      </c>
      <c r="Z73" s="172" t="str">
        <f t="shared" si="75"/>
        <v/>
      </c>
      <c r="AA73" s="172" t="str">
        <f t="shared" si="75"/>
        <v/>
      </c>
      <c r="AB73" s="172" t="str">
        <f t="shared" si="75"/>
        <v/>
      </c>
      <c r="AC73" s="172" t="str">
        <f t="shared" si="75"/>
        <v/>
      </c>
      <c r="AD73" s="172" t="str">
        <f t="shared" si="75"/>
        <v/>
      </c>
      <c r="AE73" s="172" t="str">
        <f t="shared" si="75"/>
        <v/>
      </c>
      <c r="AF73" s="172" t="str">
        <f t="shared" si="75"/>
        <v/>
      </c>
      <c r="AG73" s="172" t="str">
        <f t="shared" si="75"/>
        <v/>
      </c>
      <c r="AH73" s="172" t="str">
        <f t="shared" si="75"/>
        <v/>
      </c>
      <c r="AI73" s="172" t="str">
        <f t="shared" si="75"/>
        <v/>
      </c>
      <c r="AJ73" s="172" t="str">
        <f t="shared" si="75"/>
        <v/>
      </c>
      <c r="AK73" s="172" t="str">
        <f t="shared" si="75"/>
        <v/>
      </c>
      <c r="AL73" s="172" t="str">
        <f t="shared" si="75"/>
        <v/>
      </c>
      <c r="AM73" s="172" t="str">
        <f t="shared" si="75"/>
        <v/>
      </c>
      <c r="AN73" s="172" t="str">
        <f t="shared" si="75"/>
        <v/>
      </c>
      <c r="AO73" s="172" t="str">
        <f t="shared" si="75"/>
        <v/>
      </c>
      <c r="AP73" s="172" t="str">
        <f t="shared" si="75"/>
        <v/>
      </c>
      <c r="AQ73" s="172" t="str">
        <f t="shared" si="75"/>
        <v/>
      </c>
      <c r="AR73" s="172" t="str">
        <f t="shared" si="75"/>
        <v/>
      </c>
      <c r="AS73" s="172" t="str">
        <f t="shared" si="75"/>
        <v/>
      </c>
      <c r="AT73" s="173">
        <f>IF(AT$6="","",IF(AT$3="Maior",iferror(VLOOKUP($R73,Capa!$A:$AJ,AT$5,0),0),IF(ISERROR(1/VLOOKUP($R73,Capa!$A:$AJ,AT$5,0)),0,1/VLOOKUP($R73,Capa!$A:$AJ,AT$5,0))))</f>
        <v>-6.666666667</v>
      </c>
      <c r="AU73" s="174">
        <f>IF(AU$6="","",IF(AU$3="Maior",iferror(VLOOKUP($R73,Capa!$A:$AJ,AU$5,0),0),IF(ISERROR(1/VLOOKUP($R73,Capa!$A:$AJ,AU$5,0)),0,1/VLOOKUP($R73,Capa!$A:$AJ,AU$5,0))))</f>
        <v>0</v>
      </c>
      <c r="AV73" s="174" t="str">
        <f>IF(AV$6="","",IF(AV$3="Maior",iferror(VLOOKUP($R73,Capa!$A:$AJ,AV$5,0),0),IF(ISERROR(1/VLOOKUP($R73,Capa!$A:$AJ,AV$5,0)),0,1/VLOOKUP($R73,Capa!$A:$AJ,AV$5,0))))</f>
        <v/>
      </c>
      <c r="AW73" s="174" t="str">
        <f>IF(AW$6="","",IF(AW$3="Maior",iferror(VLOOKUP($R73,Capa!$A:$AJ,AW$5,0),0),IF(ISERROR(1/VLOOKUP($R73,Capa!$A:$AJ,AW$5,0)),0,1/VLOOKUP($R73,Capa!$A:$AJ,AW$5,0))))</f>
        <v/>
      </c>
      <c r="AX73" s="174" t="str">
        <f>IF(AX$6="","",IF(AX$3="Maior",iferror(VLOOKUP($R73,Capa!$A:$AJ,AX$5,0),0),IF(ISERROR(1/VLOOKUP($R73,Capa!$A:$AJ,AX$5,0)),0,1/VLOOKUP($R73,Capa!$A:$AJ,AX$5,0))))</f>
        <v/>
      </c>
      <c r="AY73" s="174" t="str">
        <f>IF(AY$6="","",IF(AY$3="Maior",iferror(VLOOKUP($R73,Capa!$A:$AJ,AY$5,0),0),IF(ISERROR(1/VLOOKUP($R73,Capa!$A:$AJ,AY$5,0)),0,1/VLOOKUP($R73,Capa!$A:$AJ,AY$5,0))))</f>
        <v/>
      </c>
      <c r="AZ73" s="174" t="str">
        <f>IF(AZ$6="","",IF(AZ$3="Maior",iferror(VLOOKUP($R73,Capa!$A:$AJ,AZ$5,0),0),IF(ISERROR(1/VLOOKUP($R73,Capa!$A:$AJ,AZ$5,0)),0,1/VLOOKUP($R73,Capa!$A:$AJ,AZ$5,0))))</f>
        <v/>
      </c>
      <c r="BA73" s="174" t="str">
        <f>IF(BA$6="","",IF(BA$3="Maior",iferror(VLOOKUP($R73,Capa!$A:$AJ,BA$5,0),0),IF(ISERROR(1/VLOOKUP($R73,Capa!$A:$AJ,BA$5,0)),0,1/VLOOKUP($R73,Capa!$A:$AJ,BA$5,0))))</f>
        <v/>
      </c>
      <c r="BB73" s="174" t="str">
        <f>IF(BB$6="","",IF(BB$3="Maior",iferror(VLOOKUP($R73,Capa!$A:$AJ,BB$5,0),0),IF(ISERROR(1/VLOOKUP($R73,Capa!$A:$AJ,BB$5,0)),0,1/VLOOKUP($R73,Capa!$A:$AJ,BB$5,0))))</f>
        <v/>
      </c>
      <c r="BC73" s="174" t="str">
        <f>IF(BC$6="","",IF(BC$3="Maior",iferror(VLOOKUP($R73,Capa!$A:$AJ,BC$5,0),0),IF(ISERROR(1/VLOOKUP($R73,Capa!$A:$AJ,BC$5,0)),0,1/VLOOKUP($R73,Capa!$A:$AJ,BC$5,0))))</f>
        <v/>
      </c>
      <c r="BD73" s="174" t="str">
        <f>IF(BD$6="","",IF(BD$3="Maior",iferror(VLOOKUP($R73,Capa!$A:$AJ,BD$5,0),0),IF(ISERROR(1/VLOOKUP($R73,Capa!$A:$AJ,BD$5,0)),0,1/VLOOKUP($R73,Capa!$A:$AJ,BD$5,0))))</f>
        <v/>
      </c>
      <c r="BE73" s="174" t="str">
        <f>IF(BE$6="","",IF(BE$3="Maior",iferror(VLOOKUP($R73,Capa!$A:$AJ,BE$5,0),0),IF(ISERROR(1/VLOOKUP($R73,Capa!$A:$AJ,BE$5,0)),0,1/VLOOKUP($R73,Capa!$A:$AJ,BE$5,0))))</f>
        <v/>
      </c>
      <c r="BF73" s="174" t="str">
        <f>IF(BF$6="","",IF(BF$3="Maior",iferror(VLOOKUP($R73,Capa!$A:$AJ,BF$5,0),0),IF(ISERROR(1/VLOOKUP($R73,Capa!$A:$AJ,BF$5,0)),0,1/VLOOKUP($R73,Capa!$A:$AJ,BF$5,0))))</f>
        <v/>
      </c>
      <c r="BG73" s="174" t="str">
        <f>IF(BG$6="","",IF(BG$3="Maior",iferror(VLOOKUP($R73,Capa!$A:$AJ,BG$5,0),0),IF(ISERROR(1/VLOOKUP($R73,Capa!$A:$AJ,BG$5,0)),0,1/VLOOKUP($R73,Capa!$A:$AJ,BG$5,0))))</f>
        <v/>
      </c>
      <c r="BH73" s="174" t="str">
        <f>IF(BH$6="","",IF(BH$3="Maior",iferror(VLOOKUP($R73,Capa!$A:$AJ,BH$5,0),0),IF(ISERROR(1/VLOOKUP($R73,Capa!$A:$AJ,BH$5,0)),0,1/VLOOKUP($R73,Capa!$A:$AJ,BH$5,0))))</f>
        <v/>
      </c>
      <c r="BI73" s="174" t="str">
        <f>IF(BI$6="","",IF(BI$3="Maior",iferror(VLOOKUP($R73,Capa!$A:$AJ,BI$5,0),0),IF(ISERROR(1/VLOOKUP($R73,Capa!$A:$AJ,BI$5,0)),0,1/VLOOKUP($R73,Capa!$A:$AJ,BI$5,0))))</f>
        <v/>
      </c>
      <c r="BJ73" s="174" t="str">
        <f>IF(BJ$6="","",IF(BJ$3="Maior",iferror(VLOOKUP($R73,Capa!$A:$AJ,BJ$5,0),0),IF(ISERROR(1/VLOOKUP($R73,Capa!$A:$AJ,BJ$5,0)),0,1/VLOOKUP($R73,Capa!$A:$AJ,BJ$5,0))))</f>
        <v/>
      </c>
      <c r="BK73" s="174" t="str">
        <f>IF(BK$6="","",IF(BK$3="Maior",iferror(VLOOKUP($R73,Capa!$A:$AJ,BK$5,0),0),IF(ISERROR(1/VLOOKUP($R73,Capa!$A:$AJ,BK$5,0)),0,1/VLOOKUP($R73,Capa!$A:$AJ,BK$5,0))))</f>
        <v/>
      </c>
      <c r="BL73" s="174" t="str">
        <f>IF(BL$6="","",IF(BL$3="Maior",iferror(VLOOKUP($R73,Capa!$A:$AJ,BL$5,0),0),IF(ISERROR(1/VLOOKUP($R73,Capa!$A:$AJ,BL$5,0)),0,1/VLOOKUP($R73,Capa!$A:$AJ,BL$5,0))))</f>
        <v/>
      </c>
      <c r="BM73" s="174" t="str">
        <f>IF(BM$6="","",IF(BM$3="Maior",iferror(VLOOKUP($R73,Capa!$A:$AJ,BM$5,0),0),IF(ISERROR(1/VLOOKUP($R73,Capa!$A:$AJ,BM$5,0)),0,1/VLOOKUP($R73,Capa!$A:$AJ,BM$5,0))))</f>
        <v/>
      </c>
      <c r="BN73" s="174" t="str">
        <f>IF(BN$6="","",IF(BN$3="Maior",iferror(VLOOKUP($R73,Capa!$A:$AJ,BN$5,0),0),IF(ISERROR(1/VLOOKUP($R73,Capa!$A:$AJ,BN$5,0)),0,1/VLOOKUP($R73,Capa!$A:$AJ,BN$5,0))))</f>
        <v/>
      </c>
      <c r="BO73" s="174" t="str">
        <f>IF(BO$6="","",IF(BO$3="Maior",iferror(VLOOKUP($R73,Capa!$A:$AJ,BO$5,0),0),IF(ISERROR(1/VLOOKUP($R73,Capa!$A:$AJ,BO$5,0)),0,1/VLOOKUP($R73,Capa!$A:$AJ,BO$5,0))))</f>
        <v/>
      </c>
      <c r="BP73" s="174" t="str">
        <f>IF(BP$6="","",IF(BP$3="Maior",iferror(VLOOKUP($R73,Capa!$A:$AJ,BP$5,0),0),IF(ISERROR(1/VLOOKUP($R73,Capa!$A:$AJ,BP$5,0)),0,1/VLOOKUP($R73,Capa!$A:$AJ,BP$5,0))))</f>
        <v/>
      </c>
      <c r="BQ73" s="174" t="str">
        <f>IF(BQ$6="","",IF(BQ$3="Maior",iferror(VLOOKUP($R73,Capa!$A:$AJ,BQ$5,0),0),IF(ISERROR(1/VLOOKUP($R73,Capa!$A:$AJ,BQ$5,0)),0,1/VLOOKUP($R73,Capa!$A:$AJ,BQ$5,0))))</f>
        <v/>
      </c>
      <c r="BR73" s="175"/>
      <c r="BS73" s="147"/>
    </row>
    <row r="74">
      <c r="G74" s="11"/>
      <c r="H74" s="8">
        <v>68.0</v>
      </c>
      <c r="I74" s="165" t="str">
        <f t="shared" si="6"/>
        <v>GMAT3</v>
      </c>
      <c r="J74" s="166" t="str">
        <f>(VLOOKUP($I74,Capa!$A:$B,2,0))</f>
        <v>Grupo Mateus SA</v>
      </c>
      <c r="K74" s="167" t="str">
        <f>VLOOKUP(left(I74,4),Setor!A:D,3,0)&amp;" | "&amp;VLOOKUP(left(I74,4),Setor!A:D,4,0)</f>
        <v>Consumo não Cíclico | Comércio e Distribuição</v>
      </c>
      <c r="L74" s="168">
        <f>(VLOOKUP($I74,Capa!$A:$F,6,0))</f>
        <v>5.58</v>
      </c>
      <c r="M74" s="168">
        <f t="shared" si="7"/>
        <v>42505218</v>
      </c>
      <c r="N74" s="11" t="str">
        <f>IFERROR(__xludf.DUMMYFUNCTION("(VLOOKUP($I74,Capa!$A:$H,7,0))"),"")</f>
        <v/>
      </c>
      <c r="O74" s="169">
        <f>(VLOOKUP($I74,Capa!$A:$H,8,0))</f>
        <v>0.1625</v>
      </c>
      <c r="P74" s="11" t="str">
        <f>IFERROR(__xludf.DUMMYFUNCTION("(VLOOKUP($I74,Capa!$A:$J,10,0))"),"")</f>
        <v/>
      </c>
      <c r="Q74" s="169">
        <f>(VLOOKUP($I74,Capa!$A:$K,11,0))</f>
        <v>-0.2062588905</v>
      </c>
      <c r="R74" s="45" t="str">
        <f>'Dados StatusInvest'!A69</f>
        <v>BIDI11</v>
      </c>
      <c r="S74" s="170">
        <f t="shared" si="8"/>
        <v>1792.0792</v>
      </c>
      <c r="T74" s="171">
        <f>VLOOKUP(R74,'Dados StatusInvest'!A:Z,26,0)</f>
        <v>0</v>
      </c>
      <c r="U74" s="172">
        <f t="shared" ref="U74:AS74" si="76">IF(AT74="","", RANK(AT74,AT$7:AT$626,0)+RANK(AT74,AT$7:AT$626,0)/10000)</f>
        <v>525.0525</v>
      </c>
      <c r="V74" s="172">
        <f t="shared" si="76"/>
        <v>267.0267</v>
      </c>
      <c r="W74" s="172" t="str">
        <f t="shared" si="76"/>
        <v/>
      </c>
      <c r="X74" s="172" t="str">
        <f t="shared" si="76"/>
        <v/>
      </c>
      <c r="Y74" s="172" t="str">
        <f t="shared" si="76"/>
        <v/>
      </c>
      <c r="Z74" s="172" t="str">
        <f t="shared" si="76"/>
        <v/>
      </c>
      <c r="AA74" s="172" t="str">
        <f t="shared" si="76"/>
        <v/>
      </c>
      <c r="AB74" s="172" t="str">
        <f t="shared" si="76"/>
        <v/>
      </c>
      <c r="AC74" s="172" t="str">
        <f t="shared" si="76"/>
        <v/>
      </c>
      <c r="AD74" s="172" t="str">
        <f t="shared" si="76"/>
        <v/>
      </c>
      <c r="AE74" s="172" t="str">
        <f t="shared" si="76"/>
        <v/>
      </c>
      <c r="AF74" s="172" t="str">
        <f t="shared" si="76"/>
        <v/>
      </c>
      <c r="AG74" s="172" t="str">
        <f t="shared" si="76"/>
        <v/>
      </c>
      <c r="AH74" s="172" t="str">
        <f t="shared" si="76"/>
        <v/>
      </c>
      <c r="AI74" s="172" t="str">
        <f t="shared" si="76"/>
        <v/>
      </c>
      <c r="AJ74" s="172" t="str">
        <f t="shared" si="76"/>
        <v/>
      </c>
      <c r="AK74" s="172" t="str">
        <f t="shared" si="76"/>
        <v/>
      </c>
      <c r="AL74" s="172" t="str">
        <f t="shared" si="76"/>
        <v/>
      </c>
      <c r="AM74" s="172" t="str">
        <f t="shared" si="76"/>
        <v/>
      </c>
      <c r="AN74" s="172" t="str">
        <f t="shared" si="76"/>
        <v/>
      </c>
      <c r="AO74" s="172" t="str">
        <f t="shared" si="76"/>
        <v/>
      </c>
      <c r="AP74" s="172" t="str">
        <f t="shared" si="76"/>
        <v/>
      </c>
      <c r="AQ74" s="172" t="str">
        <f t="shared" si="76"/>
        <v/>
      </c>
      <c r="AR74" s="172" t="str">
        <f t="shared" si="76"/>
        <v/>
      </c>
      <c r="AS74" s="172" t="str">
        <f t="shared" si="76"/>
        <v/>
      </c>
      <c r="AT74" s="173">
        <f>IF(AT$6="","",IF(AT$3="Maior",iferror(VLOOKUP($R74,Capa!$A:$AJ,AT$5,0),0),IF(ISERROR(1/VLOOKUP($R74,Capa!$A:$AJ,AT$5,0)),0,1/VLOOKUP($R74,Capa!$A:$AJ,AT$5,0))))</f>
        <v>-4.166666667</v>
      </c>
      <c r="AU74" s="174">
        <f>IF(AU$6="","",IF(AU$3="Maior",iferror(VLOOKUP($R74,Capa!$A:$AJ,AU$5,0),0),IF(ISERROR(1/VLOOKUP($R74,Capa!$A:$AJ,AU$5,0)),0,1/VLOOKUP($R74,Capa!$A:$AJ,AU$5,0))))</f>
        <v>0</v>
      </c>
      <c r="AV74" s="174" t="str">
        <f>IF(AV$6="","",IF(AV$3="Maior",iferror(VLOOKUP($R74,Capa!$A:$AJ,AV$5,0),0),IF(ISERROR(1/VLOOKUP($R74,Capa!$A:$AJ,AV$5,0)),0,1/VLOOKUP($R74,Capa!$A:$AJ,AV$5,0))))</f>
        <v/>
      </c>
      <c r="AW74" s="174" t="str">
        <f>IF(AW$6="","",IF(AW$3="Maior",iferror(VLOOKUP($R74,Capa!$A:$AJ,AW$5,0),0),IF(ISERROR(1/VLOOKUP($R74,Capa!$A:$AJ,AW$5,0)),0,1/VLOOKUP($R74,Capa!$A:$AJ,AW$5,0))))</f>
        <v/>
      </c>
      <c r="AX74" s="174" t="str">
        <f>IF(AX$6="","",IF(AX$3="Maior",iferror(VLOOKUP($R74,Capa!$A:$AJ,AX$5,0),0),IF(ISERROR(1/VLOOKUP($R74,Capa!$A:$AJ,AX$5,0)),0,1/VLOOKUP($R74,Capa!$A:$AJ,AX$5,0))))</f>
        <v/>
      </c>
      <c r="AY74" s="174" t="str">
        <f>IF(AY$6="","",IF(AY$3="Maior",iferror(VLOOKUP($R74,Capa!$A:$AJ,AY$5,0),0),IF(ISERROR(1/VLOOKUP($R74,Capa!$A:$AJ,AY$5,0)),0,1/VLOOKUP($R74,Capa!$A:$AJ,AY$5,0))))</f>
        <v/>
      </c>
      <c r="AZ74" s="174" t="str">
        <f>IF(AZ$6="","",IF(AZ$3="Maior",iferror(VLOOKUP($R74,Capa!$A:$AJ,AZ$5,0),0),IF(ISERROR(1/VLOOKUP($R74,Capa!$A:$AJ,AZ$5,0)),0,1/VLOOKUP($R74,Capa!$A:$AJ,AZ$5,0))))</f>
        <v/>
      </c>
      <c r="BA74" s="174" t="str">
        <f>IF(BA$6="","",IF(BA$3="Maior",iferror(VLOOKUP($R74,Capa!$A:$AJ,BA$5,0),0),IF(ISERROR(1/VLOOKUP($R74,Capa!$A:$AJ,BA$5,0)),0,1/VLOOKUP($R74,Capa!$A:$AJ,BA$5,0))))</f>
        <v/>
      </c>
      <c r="BB74" s="174" t="str">
        <f>IF(BB$6="","",IF(BB$3="Maior",iferror(VLOOKUP($R74,Capa!$A:$AJ,BB$5,0),0),IF(ISERROR(1/VLOOKUP($R74,Capa!$A:$AJ,BB$5,0)),0,1/VLOOKUP($R74,Capa!$A:$AJ,BB$5,0))))</f>
        <v/>
      </c>
      <c r="BC74" s="174" t="str">
        <f>IF(BC$6="","",IF(BC$3="Maior",iferror(VLOOKUP($R74,Capa!$A:$AJ,BC$5,0),0),IF(ISERROR(1/VLOOKUP($R74,Capa!$A:$AJ,BC$5,0)),0,1/VLOOKUP($R74,Capa!$A:$AJ,BC$5,0))))</f>
        <v/>
      </c>
      <c r="BD74" s="174" t="str">
        <f>IF(BD$6="","",IF(BD$3="Maior",iferror(VLOOKUP($R74,Capa!$A:$AJ,BD$5,0),0),IF(ISERROR(1/VLOOKUP($R74,Capa!$A:$AJ,BD$5,0)),0,1/VLOOKUP($R74,Capa!$A:$AJ,BD$5,0))))</f>
        <v/>
      </c>
      <c r="BE74" s="174" t="str">
        <f>IF(BE$6="","",IF(BE$3="Maior",iferror(VLOOKUP($R74,Capa!$A:$AJ,BE$5,0),0),IF(ISERROR(1/VLOOKUP($R74,Capa!$A:$AJ,BE$5,0)),0,1/VLOOKUP($R74,Capa!$A:$AJ,BE$5,0))))</f>
        <v/>
      </c>
      <c r="BF74" s="174" t="str">
        <f>IF(BF$6="","",IF(BF$3="Maior",iferror(VLOOKUP($R74,Capa!$A:$AJ,BF$5,0),0),IF(ISERROR(1/VLOOKUP($R74,Capa!$A:$AJ,BF$5,0)),0,1/VLOOKUP($R74,Capa!$A:$AJ,BF$5,0))))</f>
        <v/>
      </c>
      <c r="BG74" s="174" t="str">
        <f>IF(BG$6="","",IF(BG$3="Maior",iferror(VLOOKUP($R74,Capa!$A:$AJ,BG$5,0),0),IF(ISERROR(1/VLOOKUP($R74,Capa!$A:$AJ,BG$5,0)),0,1/VLOOKUP($R74,Capa!$A:$AJ,BG$5,0))))</f>
        <v/>
      </c>
      <c r="BH74" s="174" t="str">
        <f>IF(BH$6="","",IF(BH$3="Maior",iferror(VLOOKUP($R74,Capa!$A:$AJ,BH$5,0),0),IF(ISERROR(1/VLOOKUP($R74,Capa!$A:$AJ,BH$5,0)),0,1/VLOOKUP($R74,Capa!$A:$AJ,BH$5,0))))</f>
        <v/>
      </c>
      <c r="BI74" s="174" t="str">
        <f>IF(BI$6="","",IF(BI$3="Maior",iferror(VLOOKUP($R74,Capa!$A:$AJ,BI$5,0),0),IF(ISERROR(1/VLOOKUP($R74,Capa!$A:$AJ,BI$5,0)),0,1/VLOOKUP($R74,Capa!$A:$AJ,BI$5,0))))</f>
        <v/>
      </c>
      <c r="BJ74" s="174" t="str">
        <f>IF(BJ$6="","",IF(BJ$3="Maior",iferror(VLOOKUP($R74,Capa!$A:$AJ,BJ$5,0),0),IF(ISERROR(1/VLOOKUP($R74,Capa!$A:$AJ,BJ$5,0)),0,1/VLOOKUP($R74,Capa!$A:$AJ,BJ$5,0))))</f>
        <v/>
      </c>
      <c r="BK74" s="174" t="str">
        <f>IF(BK$6="","",IF(BK$3="Maior",iferror(VLOOKUP($R74,Capa!$A:$AJ,BK$5,0),0),IF(ISERROR(1/VLOOKUP($R74,Capa!$A:$AJ,BK$5,0)),0,1/VLOOKUP($R74,Capa!$A:$AJ,BK$5,0))))</f>
        <v/>
      </c>
      <c r="BL74" s="174" t="str">
        <f>IF(BL$6="","",IF(BL$3="Maior",iferror(VLOOKUP($R74,Capa!$A:$AJ,BL$5,0),0),IF(ISERROR(1/VLOOKUP($R74,Capa!$A:$AJ,BL$5,0)),0,1/VLOOKUP($R74,Capa!$A:$AJ,BL$5,0))))</f>
        <v/>
      </c>
      <c r="BM74" s="174" t="str">
        <f>IF(BM$6="","",IF(BM$3="Maior",iferror(VLOOKUP($R74,Capa!$A:$AJ,BM$5,0),0),IF(ISERROR(1/VLOOKUP($R74,Capa!$A:$AJ,BM$5,0)),0,1/VLOOKUP($R74,Capa!$A:$AJ,BM$5,0))))</f>
        <v/>
      </c>
      <c r="BN74" s="174" t="str">
        <f>IF(BN$6="","",IF(BN$3="Maior",iferror(VLOOKUP($R74,Capa!$A:$AJ,BN$5,0),0),IF(ISERROR(1/VLOOKUP($R74,Capa!$A:$AJ,BN$5,0)),0,1/VLOOKUP($R74,Capa!$A:$AJ,BN$5,0))))</f>
        <v/>
      </c>
      <c r="BO74" s="174" t="str">
        <f>IF(BO$6="","",IF(BO$3="Maior",iferror(VLOOKUP($R74,Capa!$A:$AJ,BO$5,0),0),IF(ISERROR(1/VLOOKUP($R74,Capa!$A:$AJ,BO$5,0)),0,1/VLOOKUP($R74,Capa!$A:$AJ,BO$5,0))))</f>
        <v/>
      </c>
      <c r="BP74" s="174" t="str">
        <f>IF(BP$6="","",IF(BP$3="Maior",iferror(VLOOKUP($R74,Capa!$A:$AJ,BP$5,0),0),IF(ISERROR(1/VLOOKUP($R74,Capa!$A:$AJ,BP$5,0)),0,1/VLOOKUP($R74,Capa!$A:$AJ,BP$5,0))))</f>
        <v/>
      </c>
      <c r="BQ74" s="174" t="str">
        <f>IF(BQ$6="","",IF(BQ$3="Maior",iferror(VLOOKUP($R74,Capa!$A:$AJ,BQ$5,0),0),IF(ISERROR(1/VLOOKUP($R74,Capa!$A:$AJ,BQ$5,0)),0,1/VLOOKUP($R74,Capa!$A:$AJ,BQ$5,0))))</f>
        <v/>
      </c>
      <c r="BR74" s="175"/>
      <c r="BS74" s="147"/>
    </row>
    <row r="75">
      <c r="G75" s="11"/>
      <c r="H75" s="8">
        <v>69.0</v>
      </c>
      <c r="I75" s="165" t="str">
        <f t="shared" si="6"/>
        <v>SHUL4</v>
      </c>
      <c r="J75" s="166" t="str">
        <f>(VLOOKUP($I75,Capa!$A:$B,2,0))</f>
        <v>Schulz SA Preference Shares</v>
      </c>
      <c r="K75" s="167" t="str">
        <f>VLOOKUP(left(I75,4),Setor!A:D,3,0)&amp;" | "&amp;VLOOKUP(left(I75,4),Setor!A:D,4,0)</f>
        <v>Bens Industriais | Máquinas e Equipamentos</v>
      </c>
      <c r="L75" s="168">
        <f>(VLOOKUP($I75,Capa!$A:$F,6,0))</f>
        <v>5.48</v>
      </c>
      <c r="M75" s="168">
        <f t="shared" si="7"/>
        <v>2399025</v>
      </c>
      <c r="N75" s="177" t="str">
        <f>IFERROR(__xludf.DUMMYFUNCTION("(VLOOKUP($I75,Capa!$A:$H,7,0))"),"")</f>
        <v/>
      </c>
      <c r="O75" s="169">
        <f>(VLOOKUP($I75,Capa!$A:$H,8,0))</f>
        <v>0.1004016064</v>
      </c>
      <c r="P75" s="169" t="str">
        <f>IFERROR(__xludf.DUMMYFUNCTION("(VLOOKUP($I75,Capa!$A:$J,10,0))"),"")</f>
        <v/>
      </c>
      <c r="Q75" s="169">
        <f>(VLOOKUP($I75,Capa!$A:$K,11,0))</f>
        <v>-0.08053691275</v>
      </c>
      <c r="R75" s="45" t="str">
        <f>'Dados StatusInvest'!A70</f>
        <v>BIDI3</v>
      </c>
      <c r="S75" s="170">
        <f t="shared" si="8"/>
        <v>1792.0792</v>
      </c>
      <c r="T75" s="171">
        <f>VLOOKUP(R75,'Dados StatusInvest'!A:Z,26,0)</f>
        <v>0</v>
      </c>
      <c r="U75" s="172">
        <f t="shared" ref="U75:AS75" si="77">IF(AT75="","", RANK(AT75,AT$7:AT$626,0)+RANK(AT75,AT$7:AT$626,0)/10000)</f>
        <v>525.0525</v>
      </c>
      <c r="V75" s="172">
        <f t="shared" si="77"/>
        <v>267.0267</v>
      </c>
      <c r="W75" s="172" t="str">
        <f t="shared" si="77"/>
        <v/>
      </c>
      <c r="X75" s="172" t="str">
        <f t="shared" si="77"/>
        <v/>
      </c>
      <c r="Y75" s="172" t="str">
        <f t="shared" si="77"/>
        <v/>
      </c>
      <c r="Z75" s="172" t="str">
        <f t="shared" si="77"/>
        <v/>
      </c>
      <c r="AA75" s="172" t="str">
        <f t="shared" si="77"/>
        <v/>
      </c>
      <c r="AB75" s="172" t="str">
        <f t="shared" si="77"/>
        <v/>
      </c>
      <c r="AC75" s="172" t="str">
        <f t="shared" si="77"/>
        <v/>
      </c>
      <c r="AD75" s="172" t="str">
        <f t="shared" si="77"/>
        <v/>
      </c>
      <c r="AE75" s="172" t="str">
        <f t="shared" si="77"/>
        <v/>
      </c>
      <c r="AF75" s="172" t="str">
        <f t="shared" si="77"/>
        <v/>
      </c>
      <c r="AG75" s="172" t="str">
        <f t="shared" si="77"/>
        <v/>
      </c>
      <c r="AH75" s="172" t="str">
        <f t="shared" si="77"/>
        <v/>
      </c>
      <c r="AI75" s="172" t="str">
        <f t="shared" si="77"/>
        <v/>
      </c>
      <c r="AJ75" s="172" t="str">
        <f t="shared" si="77"/>
        <v/>
      </c>
      <c r="AK75" s="172" t="str">
        <f t="shared" si="77"/>
        <v/>
      </c>
      <c r="AL75" s="172" t="str">
        <f t="shared" si="77"/>
        <v/>
      </c>
      <c r="AM75" s="172" t="str">
        <f t="shared" si="77"/>
        <v/>
      </c>
      <c r="AN75" s="172" t="str">
        <f t="shared" si="77"/>
        <v/>
      </c>
      <c r="AO75" s="172" t="str">
        <f t="shared" si="77"/>
        <v/>
      </c>
      <c r="AP75" s="172" t="str">
        <f t="shared" si="77"/>
        <v/>
      </c>
      <c r="AQ75" s="172" t="str">
        <f t="shared" si="77"/>
        <v/>
      </c>
      <c r="AR75" s="172" t="str">
        <f t="shared" si="77"/>
        <v/>
      </c>
      <c r="AS75" s="172" t="str">
        <f t="shared" si="77"/>
        <v/>
      </c>
      <c r="AT75" s="173">
        <f>IF(AT$6="","",IF(AT$3="Maior",iferror(VLOOKUP($R75,Capa!$A:$AJ,AT$5,0),0),IF(ISERROR(1/VLOOKUP($R75,Capa!$A:$AJ,AT$5,0)),0,1/VLOOKUP($R75,Capa!$A:$AJ,AT$5,0))))</f>
        <v>-4.166666667</v>
      </c>
      <c r="AU75" s="174">
        <f>IF(AU$6="","",IF(AU$3="Maior",iferror(VLOOKUP($R75,Capa!$A:$AJ,AU$5,0),0),IF(ISERROR(1/VLOOKUP($R75,Capa!$A:$AJ,AU$5,0)),0,1/VLOOKUP($R75,Capa!$A:$AJ,AU$5,0))))</f>
        <v>0</v>
      </c>
      <c r="AV75" s="174" t="str">
        <f>IF(AV$6="","",IF(AV$3="Maior",iferror(VLOOKUP($R75,Capa!$A:$AJ,AV$5,0),0),IF(ISERROR(1/VLOOKUP($R75,Capa!$A:$AJ,AV$5,0)),0,1/VLOOKUP($R75,Capa!$A:$AJ,AV$5,0))))</f>
        <v/>
      </c>
      <c r="AW75" s="174" t="str">
        <f>IF(AW$6="","",IF(AW$3="Maior",iferror(VLOOKUP($R75,Capa!$A:$AJ,AW$5,0),0),IF(ISERROR(1/VLOOKUP($R75,Capa!$A:$AJ,AW$5,0)),0,1/VLOOKUP($R75,Capa!$A:$AJ,AW$5,0))))</f>
        <v/>
      </c>
      <c r="AX75" s="174" t="str">
        <f>IF(AX$6="","",IF(AX$3="Maior",iferror(VLOOKUP($R75,Capa!$A:$AJ,AX$5,0),0),IF(ISERROR(1/VLOOKUP($R75,Capa!$A:$AJ,AX$5,0)),0,1/VLOOKUP($R75,Capa!$A:$AJ,AX$5,0))))</f>
        <v/>
      </c>
      <c r="AY75" s="174" t="str">
        <f>IF(AY$6="","",IF(AY$3="Maior",iferror(VLOOKUP($R75,Capa!$A:$AJ,AY$5,0),0),IF(ISERROR(1/VLOOKUP($R75,Capa!$A:$AJ,AY$5,0)),0,1/VLOOKUP($R75,Capa!$A:$AJ,AY$5,0))))</f>
        <v/>
      </c>
      <c r="AZ75" s="174" t="str">
        <f>IF(AZ$6="","",IF(AZ$3="Maior",iferror(VLOOKUP($R75,Capa!$A:$AJ,AZ$5,0),0),IF(ISERROR(1/VLOOKUP($R75,Capa!$A:$AJ,AZ$5,0)),0,1/VLOOKUP($R75,Capa!$A:$AJ,AZ$5,0))))</f>
        <v/>
      </c>
      <c r="BA75" s="174" t="str">
        <f>IF(BA$6="","",IF(BA$3="Maior",iferror(VLOOKUP($R75,Capa!$A:$AJ,BA$5,0),0),IF(ISERROR(1/VLOOKUP($R75,Capa!$A:$AJ,BA$5,0)),0,1/VLOOKUP($R75,Capa!$A:$AJ,BA$5,0))))</f>
        <v/>
      </c>
      <c r="BB75" s="174" t="str">
        <f>IF(BB$6="","",IF(BB$3="Maior",iferror(VLOOKUP($R75,Capa!$A:$AJ,BB$5,0),0),IF(ISERROR(1/VLOOKUP($R75,Capa!$A:$AJ,BB$5,0)),0,1/VLOOKUP($R75,Capa!$A:$AJ,BB$5,0))))</f>
        <v/>
      </c>
      <c r="BC75" s="174" t="str">
        <f>IF(BC$6="","",IF(BC$3="Maior",iferror(VLOOKUP($R75,Capa!$A:$AJ,BC$5,0),0),IF(ISERROR(1/VLOOKUP($R75,Capa!$A:$AJ,BC$5,0)),0,1/VLOOKUP($R75,Capa!$A:$AJ,BC$5,0))))</f>
        <v/>
      </c>
      <c r="BD75" s="174" t="str">
        <f>IF(BD$6="","",IF(BD$3="Maior",iferror(VLOOKUP($R75,Capa!$A:$AJ,BD$5,0),0),IF(ISERROR(1/VLOOKUP($R75,Capa!$A:$AJ,BD$5,0)),0,1/VLOOKUP($R75,Capa!$A:$AJ,BD$5,0))))</f>
        <v/>
      </c>
      <c r="BE75" s="174" t="str">
        <f>IF(BE$6="","",IF(BE$3="Maior",iferror(VLOOKUP($R75,Capa!$A:$AJ,BE$5,0),0),IF(ISERROR(1/VLOOKUP($R75,Capa!$A:$AJ,BE$5,0)),0,1/VLOOKUP($R75,Capa!$A:$AJ,BE$5,0))))</f>
        <v/>
      </c>
      <c r="BF75" s="174" t="str">
        <f>IF(BF$6="","",IF(BF$3="Maior",iferror(VLOOKUP($R75,Capa!$A:$AJ,BF$5,0),0),IF(ISERROR(1/VLOOKUP($R75,Capa!$A:$AJ,BF$5,0)),0,1/VLOOKUP($R75,Capa!$A:$AJ,BF$5,0))))</f>
        <v/>
      </c>
      <c r="BG75" s="174" t="str">
        <f>IF(BG$6="","",IF(BG$3="Maior",iferror(VLOOKUP($R75,Capa!$A:$AJ,BG$5,0),0),IF(ISERROR(1/VLOOKUP($R75,Capa!$A:$AJ,BG$5,0)),0,1/VLOOKUP($R75,Capa!$A:$AJ,BG$5,0))))</f>
        <v/>
      </c>
      <c r="BH75" s="174" t="str">
        <f>IF(BH$6="","",IF(BH$3="Maior",iferror(VLOOKUP($R75,Capa!$A:$AJ,BH$5,0),0),IF(ISERROR(1/VLOOKUP($R75,Capa!$A:$AJ,BH$5,0)),0,1/VLOOKUP($R75,Capa!$A:$AJ,BH$5,0))))</f>
        <v/>
      </c>
      <c r="BI75" s="174" t="str">
        <f>IF(BI$6="","",IF(BI$3="Maior",iferror(VLOOKUP($R75,Capa!$A:$AJ,BI$5,0),0),IF(ISERROR(1/VLOOKUP($R75,Capa!$A:$AJ,BI$5,0)),0,1/VLOOKUP($R75,Capa!$A:$AJ,BI$5,0))))</f>
        <v/>
      </c>
      <c r="BJ75" s="174" t="str">
        <f>IF(BJ$6="","",IF(BJ$3="Maior",iferror(VLOOKUP($R75,Capa!$A:$AJ,BJ$5,0),0),IF(ISERROR(1/VLOOKUP($R75,Capa!$A:$AJ,BJ$5,0)),0,1/VLOOKUP($R75,Capa!$A:$AJ,BJ$5,0))))</f>
        <v/>
      </c>
      <c r="BK75" s="174" t="str">
        <f>IF(BK$6="","",IF(BK$3="Maior",iferror(VLOOKUP($R75,Capa!$A:$AJ,BK$5,0),0),IF(ISERROR(1/VLOOKUP($R75,Capa!$A:$AJ,BK$5,0)),0,1/VLOOKUP($R75,Capa!$A:$AJ,BK$5,0))))</f>
        <v/>
      </c>
      <c r="BL75" s="174" t="str">
        <f>IF(BL$6="","",IF(BL$3="Maior",iferror(VLOOKUP($R75,Capa!$A:$AJ,BL$5,0),0),IF(ISERROR(1/VLOOKUP($R75,Capa!$A:$AJ,BL$5,0)),0,1/VLOOKUP($R75,Capa!$A:$AJ,BL$5,0))))</f>
        <v/>
      </c>
      <c r="BM75" s="174" t="str">
        <f>IF(BM$6="","",IF(BM$3="Maior",iferror(VLOOKUP($R75,Capa!$A:$AJ,BM$5,0),0),IF(ISERROR(1/VLOOKUP($R75,Capa!$A:$AJ,BM$5,0)),0,1/VLOOKUP($R75,Capa!$A:$AJ,BM$5,0))))</f>
        <v/>
      </c>
      <c r="BN75" s="174" t="str">
        <f>IF(BN$6="","",IF(BN$3="Maior",iferror(VLOOKUP($R75,Capa!$A:$AJ,BN$5,0),0),IF(ISERROR(1/VLOOKUP($R75,Capa!$A:$AJ,BN$5,0)),0,1/VLOOKUP($R75,Capa!$A:$AJ,BN$5,0))))</f>
        <v/>
      </c>
      <c r="BO75" s="174" t="str">
        <f>IF(BO$6="","",IF(BO$3="Maior",iferror(VLOOKUP($R75,Capa!$A:$AJ,BO$5,0),0),IF(ISERROR(1/VLOOKUP($R75,Capa!$A:$AJ,BO$5,0)),0,1/VLOOKUP($R75,Capa!$A:$AJ,BO$5,0))))</f>
        <v/>
      </c>
      <c r="BP75" s="174" t="str">
        <f>IF(BP$6="","",IF(BP$3="Maior",iferror(VLOOKUP($R75,Capa!$A:$AJ,BP$5,0),0),IF(ISERROR(1/VLOOKUP($R75,Capa!$A:$AJ,BP$5,0)),0,1/VLOOKUP($R75,Capa!$A:$AJ,BP$5,0))))</f>
        <v/>
      </c>
      <c r="BQ75" s="174" t="str">
        <f>IF(BQ$6="","",IF(BQ$3="Maior",iferror(VLOOKUP($R75,Capa!$A:$AJ,BQ$5,0),0),IF(ISERROR(1/VLOOKUP($R75,Capa!$A:$AJ,BQ$5,0)),0,1/VLOOKUP($R75,Capa!$A:$AJ,BQ$5,0))))</f>
        <v/>
      </c>
      <c r="BR75" s="175"/>
      <c r="BS75" s="147"/>
    </row>
    <row r="76">
      <c r="G76" s="11"/>
      <c r="H76" s="8">
        <v>70.0</v>
      </c>
      <c r="I76" s="165" t="str">
        <f t="shared" si="6"/>
        <v>VLID3</v>
      </c>
      <c r="J76" s="166" t="str">
        <f>(VLOOKUP($I76,Capa!$A:$B,2,0))</f>
        <v>Valid Solucoes SA</v>
      </c>
      <c r="K76" s="167" t="str">
        <f>VLOOKUP(left(I76,4),Setor!A:D,3,0)&amp;" | "&amp;VLOOKUP(left(I76,4),Setor!A:D,4,0)</f>
        <v>Bens Industriais | Serviços Diversos</v>
      </c>
      <c r="L76" s="168">
        <f>(VLOOKUP($I76,Capa!$A:$F,6,0))</f>
        <v>22.14</v>
      </c>
      <c r="M76" s="168">
        <f t="shared" si="7"/>
        <v>5950022</v>
      </c>
      <c r="N76" s="177" t="str">
        <f>IFERROR(__xludf.DUMMYFUNCTION("(VLOOKUP($I76,Capa!$A:$H,7,0))"),"")</f>
        <v/>
      </c>
      <c r="O76" s="169">
        <f>(VLOOKUP($I76,Capa!$A:$H,8,0))</f>
        <v>0.04779933743</v>
      </c>
      <c r="P76" s="169" t="str">
        <f>IFERROR(__xludf.DUMMYFUNCTION("(VLOOKUP($I76,Capa!$A:$J,10,0))"),"")</f>
        <v/>
      </c>
      <c r="Q76" s="169">
        <f>(VLOOKUP($I76,Capa!$A:$K,11,0))</f>
        <v>-0.1371784879</v>
      </c>
      <c r="R76" s="45" t="str">
        <f>'Dados StatusInvest'!A71</f>
        <v>BIDI4</v>
      </c>
      <c r="S76" s="170">
        <f t="shared" si="8"/>
        <v>1792.0792</v>
      </c>
      <c r="T76" s="171">
        <f>VLOOKUP(R76,'Dados StatusInvest'!A:Z,26,0)</f>
        <v>0</v>
      </c>
      <c r="U76" s="172">
        <f t="shared" ref="U76:AS76" si="78">IF(AT76="","", RANK(AT76,AT$7:AT$626,0)+RANK(AT76,AT$7:AT$626,0)/10000)</f>
        <v>525.0525</v>
      </c>
      <c r="V76" s="172">
        <f t="shared" si="78"/>
        <v>267.0267</v>
      </c>
      <c r="W76" s="172" t="str">
        <f t="shared" si="78"/>
        <v/>
      </c>
      <c r="X76" s="172" t="str">
        <f t="shared" si="78"/>
        <v/>
      </c>
      <c r="Y76" s="172" t="str">
        <f t="shared" si="78"/>
        <v/>
      </c>
      <c r="Z76" s="172" t="str">
        <f t="shared" si="78"/>
        <v/>
      </c>
      <c r="AA76" s="172" t="str">
        <f t="shared" si="78"/>
        <v/>
      </c>
      <c r="AB76" s="172" t="str">
        <f t="shared" si="78"/>
        <v/>
      </c>
      <c r="AC76" s="172" t="str">
        <f t="shared" si="78"/>
        <v/>
      </c>
      <c r="AD76" s="172" t="str">
        <f t="shared" si="78"/>
        <v/>
      </c>
      <c r="AE76" s="172" t="str">
        <f t="shared" si="78"/>
        <v/>
      </c>
      <c r="AF76" s="172" t="str">
        <f t="shared" si="78"/>
        <v/>
      </c>
      <c r="AG76" s="172" t="str">
        <f t="shared" si="78"/>
        <v/>
      </c>
      <c r="AH76" s="172" t="str">
        <f t="shared" si="78"/>
        <v/>
      </c>
      <c r="AI76" s="172" t="str">
        <f t="shared" si="78"/>
        <v/>
      </c>
      <c r="AJ76" s="172" t="str">
        <f t="shared" si="78"/>
        <v/>
      </c>
      <c r="AK76" s="172" t="str">
        <f t="shared" si="78"/>
        <v/>
      </c>
      <c r="AL76" s="172" t="str">
        <f t="shared" si="78"/>
        <v/>
      </c>
      <c r="AM76" s="172" t="str">
        <f t="shared" si="78"/>
        <v/>
      </c>
      <c r="AN76" s="172" t="str">
        <f t="shared" si="78"/>
        <v/>
      </c>
      <c r="AO76" s="172" t="str">
        <f t="shared" si="78"/>
        <v/>
      </c>
      <c r="AP76" s="172" t="str">
        <f t="shared" si="78"/>
        <v/>
      </c>
      <c r="AQ76" s="172" t="str">
        <f t="shared" si="78"/>
        <v/>
      </c>
      <c r="AR76" s="172" t="str">
        <f t="shared" si="78"/>
        <v/>
      </c>
      <c r="AS76" s="172" t="str">
        <f t="shared" si="78"/>
        <v/>
      </c>
      <c r="AT76" s="173">
        <f>IF(AT$6="","",IF(AT$3="Maior",iferror(VLOOKUP($R76,Capa!$A:$AJ,AT$5,0),0),IF(ISERROR(1/VLOOKUP($R76,Capa!$A:$AJ,AT$5,0)),0,1/VLOOKUP($R76,Capa!$A:$AJ,AT$5,0))))</f>
        <v>-4.166666667</v>
      </c>
      <c r="AU76" s="174">
        <f>IF(AU$6="","",IF(AU$3="Maior",iferror(VLOOKUP($R76,Capa!$A:$AJ,AU$5,0),0),IF(ISERROR(1/VLOOKUP($R76,Capa!$A:$AJ,AU$5,0)),0,1/VLOOKUP($R76,Capa!$A:$AJ,AU$5,0))))</f>
        <v>0</v>
      </c>
      <c r="AV76" s="174" t="str">
        <f>IF(AV$6="","",IF(AV$3="Maior",iferror(VLOOKUP($R76,Capa!$A:$AJ,AV$5,0),0),IF(ISERROR(1/VLOOKUP($R76,Capa!$A:$AJ,AV$5,0)),0,1/VLOOKUP($R76,Capa!$A:$AJ,AV$5,0))))</f>
        <v/>
      </c>
      <c r="AW76" s="174" t="str">
        <f>IF(AW$6="","",IF(AW$3="Maior",iferror(VLOOKUP($R76,Capa!$A:$AJ,AW$5,0),0),IF(ISERROR(1/VLOOKUP($R76,Capa!$A:$AJ,AW$5,0)),0,1/VLOOKUP($R76,Capa!$A:$AJ,AW$5,0))))</f>
        <v/>
      </c>
      <c r="AX76" s="174" t="str">
        <f>IF(AX$6="","",IF(AX$3="Maior",iferror(VLOOKUP($R76,Capa!$A:$AJ,AX$5,0),0),IF(ISERROR(1/VLOOKUP($R76,Capa!$A:$AJ,AX$5,0)),0,1/VLOOKUP($R76,Capa!$A:$AJ,AX$5,0))))</f>
        <v/>
      </c>
      <c r="AY76" s="174" t="str">
        <f>IF(AY$6="","",IF(AY$3="Maior",iferror(VLOOKUP($R76,Capa!$A:$AJ,AY$5,0),0),IF(ISERROR(1/VLOOKUP($R76,Capa!$A:$AJ,AY$5,0)),0,1/VLOOKUP($R76,Capa!$A:$AJ,AY$5,0))))</f>
        <v/>
      </c>
      <c r="AZ76" s="174" t="str">
        <f>IF(AZ$6="","",IF(AZ$3="Maior",iferror(VLOOKUP($R76,Capa!$A:$AJ,AZ$5,0),0),IF(ISERROR(1/VLOOKUP($R76,Capa!$A:$AJ,AZ$5,0)),0,1/VLOOKUP($R76,Capa!$A:$AJ,AZ$5,0))))</f>
        <v/>
      </c>
      <c r="BA76" s="174" t="str">
        <f>IF(BA$6="","",IF(BA$3="Maior",iferror(VLOOKUP($R76,Capa!$A:$AJ,BA$5,0),0),IF(ISERROR(1/VLOOKUP($R76,Capa!$A:$AJ,BA$5,0)),0,1/VLOOKUP($R76,Capa!$A:$AJ,BA$5,0))))</f>
        <v/>
      </c>
      <c r="BB76" s="174" t="str">
        <f>IF(BB$6="","",IF(BB$3="Maior",iferror(VLOOKUP($R76,Capa!$A:$AJ,BB$5,0),0),IF(ISERROR(1/VLOOKUP($R76,Capa!$A:$AJ,BB$5,0)),0,1/VLOOKUP($R76,Capa!$A:$AJ,BB$5,0))))</f>
        <v/>
      </c>
      <c r="BC76" s="174" t="str">
        <f>IF(BC$6="","",IF(BC$3="Maior",iferror(VLOOKUP($R76,Capa!$A:$AJ,BC$5,0),0),IF(ISERROR(1/VLOOKUP($R76,Capa!$A:$AJ,BC$5,0)),0,1/VLOOKUP($R76,Capa!$A:$AJ,BC$5,0))))</f>
        <v/>
      </c>
      <c r="BD76" s="174" t="str">
        <f>IF(BD$6="","",IF(BD$3="Maior",iferror(VLOOKUP($R76,Capa!$A:$AJ,BD$5,0),0),IF(ISERROR(1/VLOOKUP($R76,Capa!$A:$AJ,BD$5,0)),0,1/VLOOKUP($R76,Capa!$A:$AJ,BD$5,0))))</f>
        <v/>
      </c>
      <c r="BE76" s="174" t="str">
        <f>IF(BE$6="","",IF(BE$3="Maior",iferror(VLOOKUP($R76,Capa!$A:$AJ,BE$5,0),0),IF(ISERROR(1/VLOOKUP($R76,Capa!$A:$AJ,BE$5,0)),0,1/VLOOKUP($R76,Capa!$A:$AJ,BE$5,0))))</f>
        <v/>
      </c>
      <c r="BF76" s="174" t="str">
        <f>IF(BF$6="","",IF(BF$3="Maior",iferror(VLOOKUP($R76,Capa!$A:$AJ,BF$5,0),0),IF(ISERROR(1/VLOOKUP($R76,Capa!$A:$AJ,BF$5,0)),0,1/VLOOKUP($R76,Capa!$A:$AJ,BF$5,0))))</f>
        <v/>
      </c>
      <c r="BG76" s="174" t="str">
        <f>IF(BG$6="","",IF(BG$3="Maior",iferror(VLOOKUP($R76,Capa!$A:$AJ,BG$5,0),0),IF(ISERROR(1/VLOOKUP($R76,Capa!$A:$AJ,BG$5,0)),0,1/VLOOKUP($R76,Capa!$A:$AJ,BG$5,0))))</f>
        <v/>
      </c>
      <c r="BH76" s="174" t="str">
        <f>IF(BH$6="","",IF(BH$3="Maior",iferror(VLOOKUP($R76,Capa!$A:$AJ,BH$5,0),0),IF(ISERROR(1/VLOOKUP($R76,Capa!$A:$AJ,BH$5,0)),0,1/VLOOKUP($R76,Capa!$A:$AJ,BH$5,0))))</f>
        <v/>
      </c>
      <c r="BI76" s="174" t="str">
        <f>IF(BI$6="","",IF(BI$3="Maior",iferror(VLOOKUP($R76,Capa!$A:$AJ,BI$5,0),0),IF(ISERROR(1/VLOOKUP($R76,Capa!$A:$AJ,BI$5,0)),0,1/VLOOKUP($R76,Capa!$A:$AJ,BI$5,0))))</f>
        <v/>
      </c>
      <c r="BJ76" s="174" t="str">
        <f>IF(BJ$6="","",IF(BJ$3="Maior",iferror(VLOOKUP($R76,Capa!$A:$AJ,BJ$5,0),0),IF(ISERROR(1/VLOOKUP($R76,Capa!$A:$AJ,BJ$5,0)),0,1/VLOOKUP($R76,Capa!$A:$AJ,BJ$5,0))))</f>
        <v/>
      </c>
      <c r="BK76" s="174" t="str">
        <f>IF(BK$6="","",IF(BK$3="Maior",iferror(VLOOKUP($R76,Capa!$A:$AJ,BK$5,0),0),IF(ISERROR(1/VLOOKUP($R76,Capa!$A:$AJ,BK$5,0)),0,1/VLOOKUP($R76,Capa!$A:$AJ,BK$5,0))))</f>
        <v/>
      </c>
      <c r="BL76" s="174" t="str">
        <f>IF(BL$6="","",IF(BL$3="Maior",iferror(VLOOKUP($R76,Capa!$A:$AJ,BL$5,0),0),IF(ISERROR(1/VLOOKUP($R76,Capa!$A:$AJ,BL$5,0)),0,1/VLOOKUP($R76,Capa!$A:$AJ,BL$5,0))))</f>
        <v/>
      </c>
      <c r="BM76" s="174" t="str">
        <f>IF(BM$6="","",IF(BM$3="Maior",iferror(VLOOKUP($R76,Capa!$A:$AJ,BM$5,0),0),IF(ISERROR(1/VLOOKUP($R76,Capa!$A:$AJ,BM$5,0)),0,1/VLOOKUP($R76,Capa!$A:$AJ,BM$5,0))))</f>
        <v/>
      </c>
      <c r="BN76" s="174" t="str">
        <f>IF(BN$6="","",IF(BN$3="Maior",iferror(VLOOKUP($R76,Capa!$A:$AJ,BN$5,0),0),IF(ISERROR(1/VLOOKUP($R76,Capa!$A:$AJ,BN$5,0)),0,1/VLOOKUP($R76,Capa!$A:$AJ,BN$5,0))))</f>
        <v/>
      </c>
      <c r="BO76" s="174" t="str">
        <f>IF(BO$6="","",IF(BO$3="Maior",iferror(VLOOKUP($R76,Capa!$A:$AJ,BO$5,0),0),IF(ISERROR(1/VLOOKUP($R76,Capa!$A:$AJ,BO$5,0)),0,1/VLOOKUP($R76,Capa!$A:$AJ,BO$5,0))))</f>
        <v/>
      </c>
      <c r="BP76" s="174" t="str">
        <f>IF(BP$6="","",IF(BP$3="Maior",iferror(VLOOKUP($R76,Capa!$A:$AJ,BP$5,0),0),IF(ISERROR(1/VLOOKUP($R76,Capa!$A:$AJ,BP$5,0)),0,1/VLOOKUP($R76,Capa!$A:$AJ,BP$5,0))))</f>
        <v/>
      </c>
      <c r="BQ76" s="174" t="str">
        <f>IF(BQ$6="","",IF(BQ$3="Maior",iferror(VLOOKUP($R76,Capa!$A:$AJ,BQ$5,0),0),IF(ISERROR(1/VLOOKUP($R76,Capa!$A:$AJ,BQ$5,0)),0,1/VLOOKUP($R76,Capa!$A:$AJ,BQ$5,0))))</f>
        <v/>
      </c>
      <c r="BR76" s="175"/>
      <c r="BS76" s="147"/>
    </row>
    <row r="77">
      <c r="G77" s="11"/>
      <c r="H77" s="8">
        <v>71.0</v>
      </c>
      <c r="I77" s="165" t="str">
        <f t="shared" si="6"/>
        <v>OPCT3</v>
      </c>
      <c r="J77" s="166" t="str">
        <f>(VLOOKUP($I77,Capa!$A:$B,2,0))</f>
        <v>Oceanpact Servicos Maritimos Sa</v>
      </c>
      <c r="K77" s="167" t="str">
        <f>VLOOKUP(left(I77,4),Setor!A:D,3,0)&amp;" | "&amp;VLOOKUP(left(I77,4),Setor!A:D,4,0)</f>
        <v>#N/A</v>
      </c>
      <c r="L77" s="168">
        <f>(VLOOKUP($I77,Capa!$A:$F,6,0))</f>
        <v>9.2</v>
      </c>
      <c r="M77" s="168">
        <f t="shared" si="7"/>
        <v>4645977</v>
      </c>
      <c r="N77" s="11" t="str">
        <f>IFERROR(__xludf.DUMMYFUNCTION("(VLOOKUP($I77,Capa!$A:$H,7,0))"),"")</f>
        <v/>
      </c>
      <c r="O77" s="169">
        <f>(VLOOKUP($I77,Capa!$A:$H,8,0))</f>
        <v>0.02793296089</v>
      </c>
      <c r="P77" s="11" t="str">
        <f>IFERROR(__xludf.DUMMYFUNCTION("(VLOOKUP($I77,Capa!$A:$J,10,0))"),"")</f>
        <v/>
      </c>
      <c r="Q77" s="169">
        <f>(VLOOKUP($I77,Capa!$A:$K,11,0))</f>
        <v>0.6399286988</v>
      </c>
      <c r="R77" s="45" t="str">
        <f>'Dados StatusInvest'!A72</f>
        <v>BIOM3</v>
      </c>
      <c r="S77" s="170">
        <f t="shared" si="8"/>
        <v>466.0466</v>
      </c>
      <c r="T77" s="171">
        <f>VLOOKUP(R77,'Dados StatusInvest'!A:Z,26,0)</f>
        <v>624041.3</v>
      </c>
      <c r="U77" s="172">
        <f t="shared" ref="U77:AS77" si="79">IF(AT77="","", RANK(AT77,AT$7:AT$626,0)+RANK(AT77,AT$7:AT$626,0)/10000)</f>
        <v>199.0199</v>
      </c>
      <c r="V77" s="172">
        <f t="shared" si="79"/>
        <v>267.0267</v>
      </c>
      <c r="W77" s="172" t="str">
        <f t="shared" si="79"/>
        <v/>
      </c>
      <c r="X77" s="172" t="str">
        <f t="shared" si="79"/>
        <v/>
      </c>
      <c r="Y77" s="172" t="str">
        <f t="shared" si="79"/>
        <v/>
      </c>
      <c r="Z77" s="172" t="str">
        <f t="shared" si="79"/>
        <v/>
      </c>
      <c r="AA77" s="172" t="str">
        <f t="shared" si="79"/>
        <v/>
      </c>
      <c r="AB77" s="172" t="str">
        <f t="shared" si="79"/>
        <v/>
      </c>
      <c r="AC77" s="172" t="str">
        <f t="shared" si="79"/>
        <v/>
      </c>
      <c r="AD77" s="172" t="str">
        <f t="shared" si="79"/>
        <v/>
      </c>
      <c r="AE77" s="172" t="str">
        <f t="shared" si="79"/>
        <v/>
      </c>
      <c r="AF77" s="172" t="str">
        <f t="shared" si="79"/>
        <v/>
      </c>
      <c r="AG77" s="172" t="str">
        <f t="shared" si="79"/>
        <v/>
      </c>
      <c r="AH77" s="172" t="str">
        <f t="shared" si="79"/>
        <v/>
      </c>
      <c r="AI77" s="172" t="str">
        <f t="shared" si="79"/>
        <v/>
      </c>
      <c r="AJ77" s="172" t="str">
        <f t="shared" si="79"/>
        <v/>
      </c>
      <c r="AK77" s="172" t="str">
        <f t="shared" si="79"/>
        <v/>
      </c>
      <c r="AL77" s="172" t="str">
        <f t="shared" si="79"/>
        <v/>
      </c>
      <c r="AM77" s="172" t="str">
        <f t="shared" si="79"/>
        <v/>
      </c>
      <c r="AN77" s="172" t="str">
        <f t="shared" si="79"/>
        <v/>
      </c>
      <c r="AO77" s="172" t="str">
        <f t="shared" si="79"/>
        <v/>
      </c>
      <c r="AP77" s="172" t="str">
        <f t="shared" si="79"/>
        <v/>
      </c>
      <c r="AQ77" s="172" t="str">
        <f t="shared" si="79"/>
        <v/>
      </c>
      <c r="AR77" s="172" t="str">
        <f t="shared" si="79"/>
        <v/>
      </c>
      <c r="AS77" s="172" t="str">
        <f t="shared" si="79"/>
        <v/>
      </c>
      <c r="AT77" s="173">
        <f>IF(AT$6="","",IF(AT$3="Maior",iferror(VLOOKUP($R77,Capa!$A:$AJ,AT$5,0),0),IF(ISERROR(1/VLOOKUP($R77,Capa!$A:$AJ,AT$5,0)),0,1/VLOOKUP($R77,Capa!$A:$AJ,AT$5,0))))</f>
        <v>-0.2698820354</v>
      </c>
      <c r="AU77" s="174">
        <f>IF(AU$6="","",IF(AU$3="Maior",iferror(VLOOKUP($R77,Capa!$A:$AJ,AU$5,0),0),IF(ISERROR(1/VLOOKUP($R77,Capa!$A:$AJ,AU$5,0)),0,1/VLOOKUP($R77,Capa!$A:$AJ,AU$5,0))))</f>
        <v>0</v>
      </c>
      <c r="AV77" s="174" t="str">
        <f>IF(AV$6="","",IF(AV$3="Maior",iferror(VLOOKUP($R77,Capa!$A:$AJ,AV$5,0),0),IF(ISERROR(1/VLOOKUP($R77,Capa!$A:$AJ,AV$5,0)),0,1/VLOOKUP($R77,Capa!$A:$AJ,AV$5,0))))</f>
        <v/>
      </c>
      <c r="AW77" s="174" t="str">
        <f>IF(AW$6="","",IF(AW$3="Maior",iferror(VLOOKUP($R77,Capa!$A:$AJ,AW$5,0),0),IF(ISERROR(1/VLOOKUP($R77,Capa!$A:$AJ,AW$5,0)),0,1/VLOOKUP($R77,Capa!$A:$AJ,AW$5,0))))</f>
        <v/>
      </c>
      <c r="AX77" s="174" t="str">
        <f>IF(AX$6="","",IF(AX$3="Maior",iferror(VLOOKUP($R77,Capa!$A:$AJ,AX$5,0),0),IF(ISERROR(1/VLOOKUP($R77,Capa!$A:$AJ,AX$5,0)),0,1/VLOOKUP($R77,Capa!$A:$AJ,AX$5,0))))</f>
        <v/>
      </c>
      <c r="AY77" s="174" t="str">
        <f>IF(AY$6="","",IF(AY$3="Maior",iferror(VLOOKUP($R77,Capa!$A:$AJ,AY$5,0),0),IF(ISERROR(1/VLOOKUP($R77,Capa!$A:$AJ,AY$5,0)),0,1/VLOOKUP($R77,Capa!$A:$AJ,AY$5,0))))</f>
        <v/>
      </c>
      <c r="AZ77" s="174" t="str">
        <f>IF(AZ$6="","",IF(AZ$3="Maior",iferror(VLOOKUP($R77,Capa!$A:$AJ,AZ$5,0),0),IF(ISERROR(1/VLOOKUP($R77,Capa!$A:$AJ,AZ$5,0)),0,1/VLOOKUP($R77,Capa!$A:$AJ,AZ$5,0))))</f>
        <v/>
      </c>
      <c r="BA77" s="174" t="str">
        <f>IF(BA$6="","",IF(BA$3="Maior",iferror(VLOOKUP($R77,Capa!$A:$AJ,BA$5,0),0),IF(ISERROR(1/VLOOKUP($R77,Capa!$A:$AJ,BA$5,0)),0,1/VLOOKUP($R77,Capa!$A:$AJ,BA$5,0))))</f>
        <v/>
      </c>
      <c r="BB77" s="174" t="str">
        <f>IF(BB$6="","",IF(BB$3="Maior",iferror(VLOOKUP($R77,Capa!$A:$AJ,BB$5,0),0),IF(ISERROR(1/VLOOKUP($R77,Capa!$A:$AJ,BB$5,0)),0,1/VLOOKUP($R77,Capa!$A:$AJ,BB$5,0))))</f>
        <v/>
      </c>
      <c r="BC77" s="174" t="str">
        <f>IF(BC$6="","",IF(BC$3="Maior",iferror(VLOOKUP($R77,Capa!$A:$AJ,BC$5,0),0),IF(ISERROR(1/VLOOKUP($R77,Capa!$A:$AJ,BC$5,0)),0,1/VLOOKUP($R77,Capa!$A:$AJ,BC$5,0))))</f>
        <v/>
      </c>
      <c r="BD77" s="174" t="str">
        <f>IF(BD$6="","",IF(BD$3="Maior",iferror(VLOOKUP($R77,Capa!$A:$AJ,BD$5,0),0),IF(ISERROR(1/VLOOKUP($R77,Capa!$A:$AJ,BD$5,0)),0,1/VLOOKUP($R77,Capa!$A:$AJ,BD$5,0))))</f>
        <v/>
      </c>
      <c r="BE77" s="174" t="str">
        <f>IF(BE$6="","",IF(BE$3="Maior",iferror(VLOOKUP($R77,Capa!$A:$AJ,BE$5,0),0),IF(ISERROR(1/VLOOKUP($R77,Capa!$A:$AJ,BE$5,0)),0,1/VLOOKUP($R77,Capa!$A:$AJ,BE$5,0))))</f>
        <v/>
      </c>
      <c r="BF77" s="174" t="str">
        <f>IF(BF$6="","",IF(BF$3="Maior",iferror(VLOOKUP($R77,Capa!$A:$AJ,BF$5,0),0),IF(ISERROR(1/VLOOKUP($R77,Capa!$A:$AJ,BF$5,0)),0,1/VLOOKUP($R77,Capa!$A:$AJ,BF$5,0))))</f>
        <v/>
      </c>
      <c r="BG77" s="174" t="str">
        <f>IF(BG$6="","",IF(BG$3="Maior",iferror(VLOOKUP($R77,Capa!$A:$AJ,BG$5,0),0),IF(ISERROR(1/VLOOKUP($R77,Capa!$A:$AJ,BG$5,0)),0,1/VLOOKUP($R77,Capa!$A:$AJ,BG$5,0))))</f>
        <v/>
      </c>
      <c r="BH77" s="174" t="str">
        <f>IF(BH$6="","",IF(BH$3="Maior",iferror(VLOOKUP($R77,Capa!$A:$AJ,BH$5,0),0),IF(ISERROR(1/VLOOKUP($R77,Capa!$A:$AJ,BH$5,0)),0,1/VLOOKUP($R77,Capa!$A:$AJ,BH$5,0))))</f>
        <v/>
      </c>
      <c r="BI77" s="174" t="str">
        <f>IF(BI$6="","",IF(BI$3="Maior",iferror(VLOOKUP($R77,Capa!$A:$AJ,BI$5,0),0),IF(ISERROR(1/VLOOKUP($R77,Capa!$A:$AJ,BI$5,0)),0,1/VLOOKUP($R77,Capa!$A:$AJ,BI$5,0))))</f>
        <v/>
      </c>
      <c r="BJ77" s="174" t="str">
        <f>IF(BJ$6="","",IF(BJ$3="Maior",iferror(VLOOKUP($R77,Capa!$A:$AJ,BJ$5,0),0),IF(ISERROR(1/VLOOKUP($R77,Capa!$A:$AJ,BJ$5,0)),0,1/VLOOKUP($R77,Capa!$A:$AJ,BJ$5,0))))</f>
        <v/>
      </c>
      <c r="BK77" s="174" t="str">
        <f>IF(BK$6="","",IF(BK$3="Maior",iferror(VLOOKUP($R77,Capa!$A:$AJ,BK$5,0),0),IF(ISERROR(1/VLOOKUP($R77,Capa!$A:$AJ,BK$5,0)),0,1/VLOOKUP($R77,Capa!$A:$AJ,BK$5,0))))</f>
        <v/>
      </c>
      <c r="BL77" s="174" t="str">
        <f>IF(BL$6="","",IF(BL$3="Maior",iferror(VLOOKUP($R77,Capa!$A:$AJ,BL$5,0),0),IF(ISERROR(1/VLOOKUP($R77,Capa!$A:$AJ,BL$5,0)),0,1/VLOOKUP($R77,Capa!$A:$AJ,BL$5,0))))</f>
        <v/>
      </c>
      <c r="BM77" s="174" t="str">
        <f>IF(BM$6="","",IF(BM$3="Maior",iferror(VLOOKUP($R77,Capa!$A:$AJ,BM$5,0),0),IF(ISERROR(1/VLOOKUP($R77,Capa!$A:$AJ,BM$5,0)),0,1/VLOOKUP($R77,Capa!$A:$AJ,BM$5,0))))</f>
        <v/>
      </c>
      <c r="BN77" s="174" t="str">
        <f>IF(BN$6="","",IF(BN$3="Maior",iferror(VLOOKUP($R77,Capa!$A:$AJ,BN$5,0),0),IF(ISERROR(1/VLOOKUP($R77,Capa!$A:$AJ,BN$5,0)),0,1/VLOOKUP($R77,Capa!$A:$AJ,BN$5,0))))</f>
        <v/>
      </c>
      <c r="BO77" s="174" t="str">
        <f>IF(BO$6="","",IF(BO$3="Maior",iferror(VLOOKUP($R77,Capa!$A:$AJ,BO$5,0),0),IF(ISERROR(1/VLOOKUP($R77,Capa!$A:$AJ,BO$5,0)),0,1/VLOOKUP($R77,Capa!$A:$AJ,BO$5,0))))</f>
        <v/>
      </c>
      <c r="BP77" s="174" t="str">
        <f>IF(BP$6="","",IF(BP$3="Maior",iferror(VLOOKUP($R77,Capa!$A:$AJ,BP$5,0),0),IF(ISERROR(1/VLOOKUP($R77,Capa!$A:$AJ,BP$5,0)),0,1/VLOOKUP($R77,Capa!$A:$AJ,BP$5,0))))</f>
        <v/>
      </c>
      <c r="BQ77" s="174" t="str">
        <f>IF(BQ$6="","",IF(BQ$3="Maior",iferror(VLOOKUP($R77,Capa!$A:$AJ,BQ$5,0),0),IF(ISERROR(1/VLOOKUP($R77,Capa!$A:$AJ,BQ$5,0)),0,1/VLOOKUP($R77,Capa!$A:$AJ,BQ$5,0))))</f>
        <v/>
      </c>
      <c r="BR77" s="175"/>
      <c r="BS77" s="147"/>
    </row>
    <row r="78">
      <c r="G78" s="11"/>
      <c r="H78" s="8">
        <v>72.0</v>
      </c>
      <c r="I78" s="165" t="str">
        <f t="shared" si="6"/>
        <v>ALOS3</v>
      </c>
      <c r="J78" s="166" t="str">
        <f>(VLOOKUP($I78,Capa!$A:$B,2,0))</f>
        <v>Allos SA</v>
      </c>
      <c r="K78" s="167" t="str">
        <f>VLOOKUP(left(I78,4),Setor!A:D,3,0)&amp;" | "&amp;VLOOKUP(left(I78,4),Setor!A:D,4,0)</f>
        <v>Outros | Comércio</v>
      </c>
      <c r="L78" s="168">
        <f>(VLOOKUP($I78,Capa!$A:$F,6,0))</f>
        <v>31.13</v>
      </c>
      <c r="M78" s="168">
        <f t="shared" si="7"/>
        <v>178000000</v>
      </c>
      <c r="N78" s="11" t="str">
        <f>IFERROR(__xludf.DUMMYFUNCTION("(VLOOKUP($I78,Capa!$A:$H,7,0))"),"")</f>
        <v/>
      </c>
      <c r="O78" s="169">
        <f>(VLOOKUP($I78,Capa!$A:$H,8,0))</f>
        <v>0.06829100892</v>
      </c>
      <c r="P78" s="11" t="str">
        <f>IFERROR(__xludf.DUMMYFUNCTION("(VLOOKUP($I78,Capa!$A:$J,10,0))"),"")</f>
        <v/>
      </c>
      <c r="Q78" s="169">
        <f>(VLOOKUP($I78,Capa!$A:$K,11,0))</f>
        <v>0.6230448384</v>
      </c>
      <c r="R78" s="45" t="str">
        <f>'Dados StatusInvest'!A73</f>
        <v>BLAU3</v>
      </c>
      <c r="S78" s="170">
        <f t="shared" si="8"/>
        <v>502.0502</v>
      </c>
      <c r="T78" s="171">
        <f>VLOOKUP(R78,'Dados StatusInvest'!A:Z,26,0)</f>
        <v>7043886</v>
      </c>
      <c r="U78" s="172">
        <f t="shared" ref="U78:AS78" si="80">IF(AT78="","", RANK(AT78,AT$7:AT$626,0)+RANK(AT78,AT$7:AT$626,0)/10000)</f>
        <v>289.0289</v>
      </c>
      <c r="V78" s="172">
        <f t="shared" si="80"/>
        <v>213.0213</v>
      </c>
      <c r="W78" s="172" t="str">
        <f t="shared" si="80"/>
        <v/>
      </c>
      <c r="X78" s="172" t="str">
        <f t="shared" si="80"/>
        <v/>
      </c>
      <c r="Y78" s="172" t="str">
        <f t="shared" si="80"/>
        <v/>
      </c>
      <c r="Z78" s="172" t="str">
        <f t="shared" si="80"/>
        <v/>
      </c>
      <c r="AA78" s="172" t="str">
        <f t="shared" si="80"/>
        <v/>
      </c>
      <c r="AB78" s="172" t="str">
        <f t="shared" si="80"/>
        <v/>
      </c>
      <c r="AC78" s="172" t="str">
        <f t="shared" si="80"/>
        <v/>
      </c>
      <c r="AD78" s="172" t="str">
        <f t="shared" si="80"/>
        <v/>
      </c>
      <c r="AE78" s="172" t="str">
        <f t="shared" si="80"/>
        <v/>
      </c>
      <c r="AF78" s="172" t="str">
        <f t="shared" si="80"/>
        <v/>
      </c>
      <c r="AG78" s="172" t="str">
        <f t="shared" si="80"/>
        <v/>
      </c>
      <c r="AH78" s="172" t="str">
        <f t="shared" si="80"/>
        <v/>
      </c>
      <c r="AI78" s="172" t="str">
        <f t="shared" si="80"/>
        <v/>
      </c>
      <c r="AJ78" s="172" t="str">
        <f t="shared" si="80"/>
        <v/>
      </c>
      <c r="AK78" s="172" t="str">
        <f t="shared" si="80"/>
        <v/>
      </c>
      <c r="AL78" s="172" t="str">
        <f t="shared" si="80"/>
        <v/>
      </c>
      <c r="AM78" s="172" t="str">
        <f t="shared" si="80"/>
        <v/>
      </c>
      <c r="AN78" s="172" t="str">
        <f t="shared" si="80"/>
        <v/>
      </c>
      <c r="AO78" s="172" t="str">
        <f t="shared" si="80"/>
        <v/>
      </c>
      <c r="AP78" s="172" t="str">
        <f t="shared" si="80"/>
        <v/>
      </c>
      <c r="AQ78" s="172" t="str">
        <f t="shared" si="80"/>
        <v/>
      </c>
      <c r="AR78" s="172" t="str">
        <f t="shared" si="80"/>
        <v/>
      </c>
      <c r="AS78" s="172" t="str">
        <f t="shared" si="80"/>
        <v/>
      </c>
      <c r="AT78" s="173">
        <f>IF(AT$6="","",IF(AT$3="Maior",iferror(VLOOKUP($R78,Capa!$A:$AJ,AT$5,0),0),IF(ISERROR(1/VLOOKUP($R78,Capa!$A:$AJ,AT$5,0)),0,1/VLOOKUP($R78,Capa!$A:$AJ,AT$5,0))))</f>
        <v>-0.6232721511</v>
      </c>
      <c r="AU78" s="174">
        <f>IF(AU$6="","",IF(AU$3="Maior",iferror(VLOOKUP($R78,Capa!$A:$AJ,AU$5,0),0),IF(ISERROR(1/VLOOKUP($R78,Capa!$A:$AJ,AU$5,0)),0,1/VLOOKUP($R78,Capa!$A:$AJ,AU$5,0))))</f>
        <v>9.59</v>
      </c>
      <c r="AV78" s="174" t="str">
        <f>IF(AV$6="","",IF(AV$3="Maior",iferror(VLOOKUP($R78,Capa!$A:$AJ,AV$5,0),0),IF(ISERROR(1/VLOOKUP($R78,Capa!$A:$AJ,AV$5,0)),0,1/VLOOKUP($R78,Capa!$A:$AJ,AV$5,0))))</f>
        <v/>
      </c>
      <c r="AW78" s="174" t="str">
        <f>IF(AW$6="","",IF(AW$3="Maior",iferror(VLOOKUP($R78,Capa!$A:$AJ,AW$5,0),0),IF(ISERROR(1/VLOOKUP($R78,Capa!$A:$AJ,AW$5,0)),0,1/VLOOKUP($R78,Capa!$A:$AJ,AW$5,0))))</f>
        <v/>
      </c>
      <c r="AX78" s="174" t="str">
        <f>IF(AX$6="","",IF(AX$3="Maior",iferror(VLOOKUP($R78,Capa!$A:$AJ,AX$5,0),0),IF(ISERROR(1/VLOOKUP($R78,Capa!$A:$AJ,AX$5,0)),0,1/VLOOKUP($R78,Capa!$A:$AJ,AX$5,0))))</f>
        <v/>
      </c>
      <c r="AY78" s="174" t="str">
        <f>IF(AY$6="","",IF(AY$3="Maior",iferror(VLOOKUP($R78,Capa!$A:$AJ,AY$5,0),0),IF(ISERROR(1/VLOOKUP($R78,Capa!$A:$AJ,AY$5,0)),0,1/VLOOKUP($R78,Capa!$A:$AJ,AY$5,0))))</f>
        <v/>
      </c>
      <c r="AZ78" s="174" t="str">
        <f>IF(AZ$6="","",IF(AZ$3="Maior",iferror(VLOOKUP($R78,Capa!$A:$AJ,AZ$5,0),0),IF(ISERROR(1/VLOOKUP($R78,Capa!$A:$AJ,AZ$5,0)),0,1/VLOOKUP($R78,Capa!$A:$AJ,AZ$5,0))))</f>
        <v/>
      </c>
      <c r="BA78" s="174" t="str">
        <f>IF(BA$6="","",IF(BA$3="Maior",iferror(VLOOKUP($R78,Capa!$A:$AJ,BA$5,0),0),IF(ISERROR(1/VLOOKUP($R78,Capa!$A:$AJ,BA$5,0)),0,1/VLOOKUP($R78,Capa!$A:$AJ,BA$5,0))))</f>
        <v/>
      </c>
      <c r="BB78" s="174" t="str">
        <f>IF(BB$6="","",IF(BB$3="Maior",iferror(VLOOKUP($R78,Capa!$A:$AJ,BB$5,0),0),IF(ISERROR(1/VLOOKUP($R78,Capa!$A:$AJ,BB$5,0)),0,1/VLOOKUP($R78,Capa!$A:$AJ,BB$5,0))))</f>
        <v/>
      </c>
      <c r="BC78" s="174" t="str">
        <f>IF(BC$6="","",IF(BC$3="Maior",iferror(VLOOKUP($R78,Capa!$A:$AJ,BC$5,0),0),IF(ISERROR(1/VLOOKUP($R78,Capa!$A:$AJ,BC$5,0)),0,1/VLOOKUP($R78,Capa!$A:$AJ,BC$5,0))))</f>
        <v/>
      </c>
      <c r="BD78" s="174" t="str">
        <f>IF(BD$6="","",IF(BD$3="Maior",iferror(VLOOKUP($R78,Capa!$A:$AJ,BD$5,0),0),IF(ISERROR(1/VLOOKUP($R78,Capa!$A:$AJ,BD$5,0)),0,1/VLOOKUP($R78,Capa!$A:$AJ,BD$5,0))))</f>
        <v/>
      </c>
      <c r="BE78" s="174" t="str">
        <f>IF(BE$6="","",IF(BE$3="Maior",iferror(VLOOKUP($R78,Capa!$A:$AJ,BE$5,0),0),IF(ISERROR(1/VLOOKUP($R78,Capa!$A:$AJ,BE$5,0)),0,1/VLOOKUP($R78,Capa!$A:$AJ,BE$5,0))))</f>
        <v/>
      </c>
      <c r="BF78" s="174" t="str">
        <f>IF(BF$6="","",IF(BF$3="Maior",iferror(VLOOKUP($R78,Capa!$A:$AJ,BF$5,0),0),IF(ISERROR(1/VLOOKUP($R78,Capa!$A:$AJ,BF$5,0)),0,1/VLOOKUP($R78,Capa!$A:$AJ,BF$5,0))))</f>
        <v/>
      </c>
      <c r="BG78" s="174" t="str">
        <f>IF(BG$6="","",IF(BG$3="Maior",iferror(VLOOKUP($R78,Capa!$A:$AJ,BG$5,0),0),IF(ISERROR(1/VLOOKUP($R78,Capa!$A:$AJ,BG$5,0)),0,1/VLOOKUP($R78,Capa!$A:$AJ,BG$5,0))))</f>
        <v/>
      </c>
      <c r="BH78" s="174" t="str">
        <f>IF(BH$6="","",IF(BH$3="Maior",iferror(VLOOKUP($R78,Capa!$A:$AJ,BH$5,0),0),IF(ISERROR(1/VLOOKUP($R78,Capa!$A:$AJ,BH$5,0)),0,1/VLOOKUP($R78,Capa!$A:$AJ,BH$5,0))))</f>
        <v/>
      </c>
      <c r="BI78" s="174" t="str">
        <f>IF(BI$6="","",IF(BI$3="Maior",iferror(VLOOKUP($R78,Capa!$A:$AJ,BI$5,0),0),IF(ISERROR(1/VLOOKUP($R78,Capa!$A:$AJ,BI$5,0)),0,1/VLOOKUP($R78,Capa!$A:$AJ,BI$5,0))))</f>
        <v/>
      </c>
      <c r="BJ78" s="174" t="str">
        <f>IF(BJ$6="","",IF(BJ$3="Maior",iferror(VLOOKUP($R78,Capa!$A:$AJ,BJ$5,0),0),IF(ISERROR(1/VLOOKUP($R78,Capa!$A:$AJ,BJ$5,0)),0,1/VLOOKUP($R78,Capa!$A:$AJ,BJ$5,0))))</f>
        <v/>
      </c>
      <c r="BK78" s="174" t="str">
        <f>IF(BK$6="","",IF(BK$3="Maior",iferror(VLOOKUP($R78,Capa!$A:$AJ,BK$5,0),0),IF(ISERROR(1/VLOOKUP($R78,Capa!$A:$AJ,BK$5,0)),0,1/VLOOKUP($R78,Capa!$A:$AJ,BK$5,0))))</f>
        <v/>
      </c>
      <c r="BL78" s="174" t="str">
        <f>IF(BL$6="","",IF(BL$3="Maior",iferror(VLOOKUP($R78,Capa!$A:$AJ,BL$5,0),0),IF(ISERROR(1/VLOOKUP($R78,Capa!$A:$AJ,BL$5,0)),0,1/VLOOKUP($R78,Capa!$A:$AJ,BL$5,0))))</f>
        <v/>
      </c>
      <c r="BM78" s="174" t="str">
        <f>IF(BM$6="","",IF(BM$3="Maior",iferror(VLOOKUP($R78,Capa!$A:$AJ,BM$5,0),0),IF(ISERROR(1/VLOOKUP($R78,Capa!$A:$AJ,BM$5,0)),0,1/VLOOKUP($R78,Capa!$A:$AJ,BM$5,0))))</f>
        <v/>
      </c>
      <c r="BN78" s="174" t="str">
        <f>IF(BN$6="","",IF(BN$3="Maior",iferror(VLOOKUP($R78,Capa!$A:$AJ,BN$5,0),0),IF(ISERROR(1/VLOOKUP($R78,Capa!$A:$AJ,BN$5,0)),0,1/VLOOKUP($R78,Capa!$A:$AJ,BN$5,0))))</f>
        <v/>
      </c>
      <c r="BO78" s="174" t="str">
        <f>IF(BO$6="","",IF(BO$3="Maior",iferror(VLOOKUP($R78,Capa!$A:$AJ,BO$5,0),0),IF(ISERROR(1/VLOOKUP($R78,Capa!$A:$AJ,BO$5,0)),0,1/VLOOKUP($R78,Capa!$A:$AJ,BO$5,0))))</f>
        <v/>
      </c>
      <c r="BP78" s="174" t="str">
        <f>IF(BP$6="","",IF(BP$3="Maior",iferror(VLOOKUP($R78,Capa!$A:$AJ,BP$5,0),0),IF(ISERROR(1/VLOOKUP($R78,Capa!$A:$AJ,BP$5,0)),0,1/VLOOKUP($R78,Capa!$A:$AJ,BP$5,0))))</f>
        <v/>
      </c>
      <c r="BQ78" s="174" t="str">
        <f>IF(BQ$6="","",IF(BQ$3="Maior",iferror(VLOOKUP($R78,Capa!$A:$AJ,BQ$5,0),0),IF(ISERROR(1/VLOOKUP($R78,Capa!$A:$AJ,BQ$5,0)),0,1/VLOOKUP($R78,Capa!$A:$AJ,BQ$5,0))))</f>
        <v/>
      </c>
      <c r="BR78" s="175"/>
      <c r="BS78" s="147"/>
    </row>
    <row r="79">
      <c r="G79" s="11"/>
      <c r="H79" s="8">
        <v>73.0</v>
      </c>
      <c r="I79" s="165" t="str">
        <f t="shared" si="6"/>
        <v>BBSE3</v>
      </c>
      <c r="J79" s="166" t="str">
        <f>(VLOOKUP($I79,Capa!$A:$B,2,0))</f>
        <v>BB Seguridade Participacoes SA</v>
      </c>
      <c r="K79" s="167" t="str">
        <f>VLOOKUP(left(I79,4),Setor!A:D,3,0)&amp;" | "&amp;VLOOKUP(left(I79,4),Setor!A:D,4,0)</f>
        <v>Financeiro | Previdência e Seguros</v>
      </c>
      <c r="L79" s="168">
        <f>(VLOOKUP($I79,Capa!$A:$F,6,0))</f>
        <v>33.67</v>
      </c>
      <c r="M79" s="168">
        <f t="shared" si="7"/>
        <v>309000000</v>
      </c>
      <c r="N79" s="11" t="str">
        <f>IFERROR(__xludf.DUMMYFUNCTION("(VLOOKUP($I79,Capa!$A:$H,7,0))"),"")</f>
        <v/>
      </c>
      <c r="O79" s="169">
        <f>(VLOOKUP($I79,Capa!$A:$H,8,0))</f>
        <v>-0.06963249516</v>
      </c>
      <c r="P79" s="11" t="str">
        <f>IFERROR(__xludf.DUMMYFUNCTION("(VLOOKUP($I79,Capa!$A:$J,10,0))"),"")</f>
        <v/>
      </c>
      <c r="Q79" s="169">
        <f>(VLOOKUP($I79,Capa!$A:$K,11,0))</f>
        <v>-0.1552935273</v>
      </c>
      <c r="R79" s="45" t="str">
        <f>'Dados StatusInvest'!A74</f>
        <v>BLUT3</v>
      </c>
      <c r="S79" s="170">
        <f t="shared" si="8"/>
        <v>1279.0279</v>
      </c>
      <c r="T79" s="171">
        <f>VLOOKUP(R79,'Dados StatusInvest'!A:Z,26,0)</f>
        <v>0</v>
      </c>
      <c r="U79" s="172">
        <f t="shared" ref="U79:AS79" si="81">IF(AT79="","", RANK(AT79,AT$7:AT$626,0)+RANK(AT79,AT$7:AT$626,0)/10000)</f>
        <v>12.0012</v>
      </c>
      <c r="V79" s="172">
        <f t="shared" si="81"/>
        <v>267.0267</v>
      </c>
      <c r="W79" s="172" t="str">
        <f t="shared" si="81"/>
        <v/>
      </c>
      <c r="X79" s="172" t="str">
        <f t="shared" si="81"/>
        <v/>
      </c>
      <c r="Y79" s="172" t="str">
        <f t="shared" si="81"/>
        <v/>
      </c>
      <c r="Z79" s="172" t="str">
        <f t="shared" si="81"/>
        <v/>
      </c>
      <c r="AA79" s="172" t="str">
        <f t="shared" si="81"/>
        <v/>
      </c>
      <c r="AB79" s="172" t="str">
        <f t="shared" si="81"/>
        <v/>
      </c>
      <c r="AC79" s="172" t="str">
        <f t="shared" si="81"/>
        <v/>
      </c>
      <c r="AD79" s="172" t="str">
        <f t="shared" si="81"/>
        <v/>
      </c>
      <c r="AE79" s="172" t="str">
        <f t="shared" si="81"/>
        <v/>
      </c>
      <c r="AF79" s="172" t="str">
        <f t="shared" si="81"/>
        <v/>
      </c>
      <c r="AG79" s="172" t="str">
        <f t="shared" si="81"/>
        <v/>
      </c>
      <c r="AH79" s="172" t="str">
        <f t="shared" si="81"/>
        <v/>
      </c>
      <c r="AI79" s="172" t="str">
        <f t="shared" si="81"/>
        <v/>
      </c>
      <c r="AJ79" s="172" t="str">
        <f t="shared" si="81"/>
        <v/>
      </c>
      <c r="AK79" s="172" t="str">
        <f t="shared" si="81"/>
        <v/>
      </c>
      <c r="AL79" s="172" t="str">
        <f t="shared" si="81"/>
        <v/>
      </c>
      <c r="AM79" s="172" t="str">
        <f t="shared" si="81"/>
        <v/>
      </c>
      <c r="AN79" s="172" t="str">
        <f t="shared" si="81"/>
        <v/>
      </c>
      <c r="AO79" s="172" t="str">
        <f t="shared" si="81"/>
        <v/>
      </c>
      <c r="AP79" s="172" t="str">
        <f t="shared" si="81"/>
        <v/>
      </c>
      <c r="AQ79" s="172" t="str">
        <f t="shared" si="81"/>
        <v/>
      </c>
      <c r="AR79" s="172" t="str">
        <f t="shared" si="81"/>
        <v/>
      </c>
      <c r="AS79" s="172" t="str">
        <f t="shared" si="81"/>
        <v/>
      </c>
      <c r="AT79" s="173">
        <f>IF(AT$6="","",IF(AT$3="Maior",iferror(VLOOKUP($R79,Capa!$A:$AJ,AT$5,0),0),IF(ISERROR(1/VLOOKUP($R79,Capa!$A:$AJ,AT$5,0)),0,1/VLOOKUP($R79,Capa!$A:$AJ,AT$5,0))))</f>
        <v>1.612903226</v>
      </c>
      <c r="AU79" s="174">
        <f>IF(AU$6="","",IF(AU$3="Maior",iferror(VLOOKUP($R79,Capa!$A:$AJ,AU$5,0),0),IF(ISERROR(1/VLOOKUP($R79,Capa!$A:$AJ,AU$5,0)),0,1/VLOOKUP($R79,Capa!$A:$AJ,AU$5,0))))</f>
        <v>0</v>
      </c>
      <c r="AV79" s="174" t="str">
        <f>IF(AV$6="","",IF(AV$3="Maior",iferror(VLOOKUP($R79,Capa!$A:$AJ,AV$5,0),0),IF(ISERROR(1/VLOOKUP($R79,Capa!$A:$AJ,AV$5,0)),0,1/VLOOKUP($R79,Capa!$A:$AJ,AV$5,0))))</f>
        <v/>
      </c>
      <c r="AW79" s="174" t="str">
        <f>IF(AW$6="","",IF(AW$3="Maior",iferror(VLOOKUP($R79,Capa!$A:$AJ,AW$5,0),0),IF(ISERROR(1/VLOOKUP($R79,Capa!$A:$AJ,AW$5,0)),0,1/VLOOKUP($R79,Capa!$A:$AJ,AW$5,0))))</f>
        <v/>
      </c>
      <c r="AX79" s="174" t="str">
        <f>IF(AX$6="","",IF(AX$3="Maior",iferror(VLOOKUP($R79,Capa!$A:$AJ,AX$5,0),0),IF(ISERROR(1/VLOOKUP($R79,Capa!$A:$AJ,AX$5,0)),0,1/VLOOKUP($R79,Capa!$A:$AJ,AX$5,0))))</f>
        <v/>
      </c>
      <c r="AY79" s="174" t="str">
        <f>IF(AY$6="","",IF(AY$3="Maior",iferror(VLOOKUP($R79,Capa!$A:$AJ,AY$5,0),0),IF(ISERROR(1/VLOOKUP($R79,Capa!$A:$AJ,AY$5,0)),0,1/VLOOKUP($R79,Capa!$A:$AJ,AY$5,0))))</f>
        <v/>
      </c>
      <c r="AZ79" s="174" t="str">
        <f>IF(AZ$6="","",IF(AZ$3="Maior",iferror(VLOOKUP($R79,Capa!$A:$AJ,AZ$5,0),0),IF(ISERROR(1/VLOOKUP($R79,Capa!$A:$AJ,AZ$5,0)),0,1/VLOOKUP($R79,Capa!$A:$AJ,AZ$5,0))))</f>
        <v/>
      </c>
      <c r="BA79" s="174" t="str">
        <f>IF(BA$6="","",IF(BA$3="Maior",iferror(VLOOKUP($R79,Capa!$A:$AJ,BA$5,0),0),IF(ISERROR(1/VLOOKUP($R79,Capa!$A:$AJ,BA$5,0)),0,1/VLOOKUP($R79,Capa!$A:$AJ,BA$5,0))))</f>
        <v/>
      </c>
      <c r="BB79" s="174" t="str">
        <f>IF(BB$6="","",IF(BB$3="Maior",iferror(VLOOKUP($R79,Capa!$A:$AJ,BB$5,0),0),IF(ISERROR(1/VLOOKUP($R79,Capa!$A:$AJ,BB$5,0)),0,1/VLOOKUP($R79,Capa!$A:$AJ,BB$5,0))))</f>
        <v/>
      </c>
      <c r="BC79" s="174" t="str">
        <f>IF(BC$6="","",IF(BC$3="Maior",iferror(VLOOKUP($R79,Capa!$A:$AJ,BC$5,0),0),IF(ISERROR(1/VLOOKUP($R79,Capa!$A:$AJ,BC$5,0)),0,1/VLOOKUP($R79,Capa!$A:$AJ,BC$5,0))))</f>
        <v/>
      </c>
      <c r="BD79" s="174" t="str">
        <f>IF(BD$6="","",IF(BD$3="Maior",iferror(VLOOKUP($R79,Capa!$A:$AJ,BD$5,0),0),IF(ISERROR(1/VLOOKUP($R79,Capa!$A:$AJ,BD$5,0)),0,1/VLOOKUP($R79,Capa!$A:$AJ,BD$5,0))))</f>
        <v/>
      </c>
      <c r="BE79" s="174" t="str">
        <f>IF(BE$6="","",IF(BE$3="Maior",iferror(VLOOKUP($R79,Capa!$A:$AJ,BE$5,0),0),IF(ISERROR(1/VLOOKUP($R79,Capa!$A:$AJ,BE$5,0)),0,1/VLOOKUP($R79,Capa!$A:$AJ,BE$5,0))))</f>
        <v/>
      </c>
      <c r="BF79" s="174" t="str">
        <f>IF(BF$6="","",IF(BF$3="Maior",iferror(VLOOKUP($R79,Capa!$A:$AJ,BF$5,0),0),IF(ISERROR(1/VLOOKUP($R79,Capa!$A:$AJ,BF$5,0)),0,1/VLOOKUP($R79,Capa!$A:$AJ,BF$5,0))))</f>
        <v/>
      </c>
      <c r="BG79" s="174" t="str">
        <f>IF(BG$6="","",IF(BG$3="Maior",iferror(VLOOKUP($R79,Capa!$A:$AJ,BG$5,0),0),IF(ISERROR(1/VLOOKUP($R79,Capa!$A:$AJ,BG$5,0)),0,1/VLOOKUP($R79,Capa!$A:$AJ,BG$5,0))))</f>
        <v/>
      </c>
      <c r="BH79" s="174" t="str">
        <f>IF(BH$6="","",IF(BH$3="Maior",iferror(VLOOKUP($R79,Capa!$A:$AJ,BH$5,0),0),IF(ISERROR(1/VLOOKUP($R79,Capa!$A:$AJ,BH$5,0)),0,1/VLOOKUP($R79,Capa!$A:$AJ,BH$5,0))))</f>
        <v/>
      </c>
      <c r="BI79" s="174" t="str">
        <f>IF(BI$6="","",IF(BI$3="Maior",iferror(VLOOKUP($R79,Capa!$A:$AJ,BI$5,0),0),IF(ISERROR(1/VLOOKUP($R79,Capa!$A:$AJ,BI$5,0)),0,1/VLOOKUP($R79,Capa!$A:$AJ,BI$5,0))))</f>
        <v/>
      </c>
      <c r="BJ79" s="174" t="str">
        <f>IF(BJ$6="","",IF(BJ$3="Maior",iferror(VLOOKUP($R79,Capa!$A:$AJ,BJ$5,0),0),IF(ISERROR(1/VLOOKUP($R79,Capa!$A:$AJ,BJ$5,0)),0,1/VLOOKUP($R79,Capa!$A:$AJ,BJ$5,0))))</f>
        <v/>
      </c>
      <c r="BK79" s="174" t="str">
        <f>IF(BK$6="","",IF(BK$3="Maior",iferror(VLOOKUP($R79,Capa!$A:$AJ,BK$5,0),0),IF(ISERROR(1/VLOOKUP($R79,Capa!$A:$AJ,BK$5,0)),0,1/VLOOKUP($R79,Capa!$A:$AJ,BK$5,0))))</f>
        <v/>
      </c>
      <c r="BL79" s="174" t="str">
        <f>IF(BL$6="","",IF(BL$3="Maior",iferror(VLOOKUP($R79,Capa!$A:$AJ,BL$5,0),0),IF(ISERROR(1/VLOOKUP($R79,Capa!$A:$AJ,BL$5,0)),0,1/VLOOKUP($R79,Capa!$A:$AJ,BL$5,0))))</f>
        <v/>
      </c>
      <c r="BM79" s="174" t="str">
        <f>IF(BM$6="","",IF(BM$3="Maior",iferror(VLOOKUP($R79,Capa!$A:$AJ,BM$5,0),0),IF(ISERROR(1/VLOOKUP($R79,Capa!$A:$AJ,BM$5,0)),0,1/VLOOKUP($R79,Capa!$A:$AJ,BM$5,0))))</f>
        <v/>
      </c>
      <c r="BN79" s="174" t="str">
        <f>IF(BN$6="","",IF(BN$3="Maior",iferror(VLOOKUP($R79,Capa!$A:$AJ,BN$5,0),0),IF(ISERROR(1/VLOOKUP($R79,Capa!$A:$AJ,BN$5,0)),0,1/VLOOKUP($R79,Capa!$A:$AJ,BN$5,0))))</f>
        <v/>
      </c>
      <c r="BO79" s="174" t="str">
        <f>IF(BO$6="","",IF(BO$3="Maior",iferror(VLOOKUP($R79,Capa!$A:$AJ,BO$5,0),0),IF(ISERROR(1/VLOOKUP($R79,Capa!$A:$AJ,BO$5,0)),0,1/VLOOKUP($R79,Capa!$A:$AJ,BO$5,0))))</f>
        <v/>
      </c>
      <c r="BP79" s="174" t="str">
        <f>IF(BP$6="","",IF(BP$3="Maior",iferror(VLOOKUP($R79,Capa!$A:$AJ,BP$5,0),0),IF(ISERROR(1/VLOOKUP($R79,Capa!$A:$AJ,BP$5,0)),0,1/VLOOKUP($R79,Capa!$A:$AJ,BP$5,0))))</f>
        <v/>
      </c>
      <c r="BQ79" s="174" t="str">
        <f>IF(BQ$6="","",IF(BQ$3="Maior",iferror(VLOOKUP($R79,Capa!$A:$AJ,BQ$5,0),0),IF(ISERROR(1/VLOOKUP($R79,Capa!$A:$AJ,BQ$5,0)),0,1/VLOOKUP($R79,Capa!$A:$AJ,BQ$5,0))))</f>
        <v/>
      </c>
      <c r="BR79" s="175"/>
      <c r="BS79" s="147"/>
    </row>
    <row r="80">
      <c r="G80" s="11"/>
      <c r="H80" s="8">
        <v>74.0</v>
      </c>
      <c r="I80" s="165" t="str">
        <f t="shared" si="6"/>
        <v>CPLE6</v>
      </c>
      <c r="J80" s="166" t="str">
        <f>(VLOOKUP($I80,Capa!$A:$B,2,0))</f>
        <v/>
      </c>
      <c r="K80" s="167" t="str">
        <f>VLOOKUP(left(I80,4),Setor!A:D,3,0)&amp;" | "&amp;VLOOKUP(left(I80,4),Setor!A:D,4,0)</f>
        <v>Utilidade Pública | Energia Elétrica</v>
      </c>
      <c r="L80" s="168" t="str">
        <f>(VLOOKUP($I80,Capa!$A:$F,6,0))</f>
        <v/>
      </c>
      <c r="M80" s="168">
        <f t="shared" si="7"/>
        <v>121000000</v>
      </c>
      <c r="N80" s="11" t="str">
        <f>(VLOOKUP($I80,Capa!$A:$H,7,0))</f>
        <v/>
      </c>
      <c r="O80" s="169" t="str">
        <f>(VLOOKUP($I80,Capa!$A:$H,8,0))</f>
        <v/>
      </c>
      <c r="P80" s="11" t="str">
        <f>(VLOOKUP($I80,Capa!$A:$J,10,0))</f>
        <v/>
      </c>
      <c r="Q80" s="169" t="str">
        <f>(VLOOKUP($I80,Capa!$A:$K,11,0))</f>
        <v/>
      </c>
      <c r="R80" s="45" t="str">
        <f>'Dados StatusInvest'!A75</f>
        <v>BLUT4</v>
      </c>
      <c r="S80" s="170">
        <f t="shared" si="8"/>
        <v>1271.0271</v>
      </c>
      <c r="T80" s="171">
        <f>VLOOKUP(R80,'Dados StatusInvest'!A:Z,26,0)</f>
        <v>0</v>
      </c>
      <c r="U80" s="172">
        <f t="shared" ref="U80:AS80" si="82">IF(AT80="","", RANK(AT80,AT$7:AT$626,0)+RANK(AT80,AT$7:AT$626,0)/10000)</f>
        <v>4.0004</v>
      </c>
      <c r="V80" s="172">
        <f t="shared" si="82"/>
        <v>267.0267</v>
      </c>
      <c r="W80" s="172" t="str">
        <f t="shared" si="82"/>
        <v/>
      </c>
      <c r="X80" s="172" t="str">
        <f t="shared" si="82"/>
        <v/>
      </c>
      <c r="Y80" s="172" t="str">
        <f t="shared" si="82"/>
        <v/>
      </c>
      <c r="Z80" s="172" t="str">
        <f t="shared" si="82"/>
        <v/>
      </c>
      <c r="AA80" s="172" t="str">
        <f t="shared" si="82"/>
        <v/>
      </c>
      <c r="AB80" s="172" t="str">
        <f t="shared" si="82"/>
        <v/>
      </c>
      <c r="AC80" s="172" t="str">
        <f t="shared" si="82"/>
        <v/>
      </c>
      <c r="AD80" s="172" t="str">
        <f t="shared" si="82"/>
        <v/>
      </c>
      <c r="AE80" s="172" t="str">
        <f t="shared" si="82"/>
        <v/>
      </c>
      <c r="AF80" s="172" t="str">
        <f t="shared" si="82"/>
        <v/>
      </c>
      <c r="AG80" s="172" t="str">
        <f t="shared" si="82"/>
        <v/>
      </c>
      <c r="AH80" s="172" t="str">
        <f t="shared" si="82"/>
        <v/>
      </c>
      <c r="AI80" s="172" t="str">
        <f t="shared" si="82"/>
        <v/>
      </c>
      <c r="AJ80" s="172" t="str">
        <f t="shared" si="82"/>
        <v/>
      </c>
      <c r="AK80" s="172" t="str">
        <f t="shared" si="82"/>
        <v/>
      </c>
      <c r="AL80" s="172" t="str">
        <f t="shared" si="82"/>
        <v/>
      </c>
      <c r="AM80" s="172" t="str">
        <f t="shared" si="82"/>
        <v/>
      </c>
      <c r="AN80" s="172" t="str">
        <f t="shared" si="82"/>
        <v/>
      </c>
      <c r="AO80" s="172" t="str">
        <f t="shared" si="82"/>
        <v/>
      </c>
      <c r="AP80" s="172" t="str">
        <f t="shared" si="82"/>
        <v/>
      </c>
      <c r="AQ80" s="172" t="str">
        <f t="shared" si="82"/>
        <v/>
      </c>
      <c r="AR80" s="172" t="str">
        <f t="shared" si="82"/>
        <v/>
      </c>
      <c r="AS80" s="172" t="str">
        <f t="shared" si="82"/>
        <v/>
      </c>
      <c r="AT80" s="173">
        <f>IF(AT$6="","",IF(AT$3="Maior",iferror(VLOOKUP($R80,Capa!$A:$AJ,AT$5,0),0),IF(ISERROR(1/VLOOKUP($R80,Capa!$A:$AJ,AT$5,0)),0,1/VLOOKUP($R80,Capa!$A:$AJ,AT$5,0))))</f>
        <v>5.555555556</v>
      </c>
      <c r="AU80" s="174">
        <f>IF(AU$6="","",IF(AU$3="Maior",iferror(VLOOKUP($R80,Capa!$A:$AJ,AU$5,0),0),IF(ISERROR(1/VLOOKUP($R80,Capa!$A:$AJ,AU$5,0)),0,1/VLOOKUP($R80,Capa!$A:$AJ,AU$5,0))))</f>
        <v>0</v>
      </c>
      <c r="AV80" s="174" t="str">
        <f>IF(AV$6="","",IF(AV$3="Maior",iferror(VLOOKUP($R80,Capa!$A:$AJ,AV$5,0),0),IF(ISERROR(1/VLOOKUP($R80,Capa!$A:$AJ,AV$5,0)),0,1/VLOOKUP($R80,Capa!$A:$AJ,AV$5,0))))</f>
        <v/>
      </c>
      <c r="AW80" s="174" t="str">
        <f>IF(AW$6="","",IF(AW$3="Maior",iferror(VLOOKUP($R80,Capa!$A:$AJ,AW$5,0),0),IF(ISERROR(1/VLOOKUP($R80,Capa!$A:$AJ,AW$5,0)),0,1/VLOOKUP($R80,Capa!$A:$AJ,AW$5,0))))</f>
        <v/>
      </c>
      <c r="AX80" s="174" t="str">
        <f>IF(AX$6="","",IF(AX$3="Maior",iferror(VLOOKUP($R80,Capa!$A:$AJ,AX$5,0),0),IF(ISERROR(1/VLOOKUP($R80,Capa!$A:$AJ,AX$5,0)),0,1/VLOOKUP($R80,Capa!$A:$AJ,AX$5,0))))</f>
        <v/>
      </c>
      <c r="AY80" s="174" t="str">
        <f>IF(AY$6="","",IF(AY$3="Maior",iferror(VLOOKUP($R80,Capa!$A:$AJ,AY$5,0),0),IF(ISERROR(1/VLOOKUP($R80,Capa!$A:$AJ,AY$5,0)),0,1/VLOOKUP($R80,Capa!$A:$AJ,AY$5,0))))</f>
        <v/>
      </c>
      <c r="AZ80" s="174" t="str">
        <f>IF(AZ$6="","",IF(AZ$3="Maior",iferror(VLOOKUP($R80,Capa!$A:$AJ,AZ$5,0),0),IF(ISERROR(1/VLOOKUP($R80,Capa!$A:$AJ,AZ$5,0)),0,1/VLOOKUP($R80,Capa!$A:$AJ,AZ$5,0))))</f>
        <v/>
      </c>
      <c r="BA80" s="174" t="str">
        <f>IF(BA$6="","",IF(BA$3="Maior",iferror(VLOOKUP($R80,Capa!$A:$AJ,BA$5,0),0),IF(ISERROR(1/VLOOKUP($R80,Capa!$A:$AJ,BA$5,0)),0,1/VLOOKUP($R80,Capa!$A:$AJ,BA$5,0))))</f>
        <v/>
      </c>
      <c r="BB80" s="174" t="str">
        <f>IF(BB$6="","",IF(BB$3="Maior",iferror(VLOOKUP($R80,Capa!$A:$AJ,BB$5,0),0),IF(ISERROR(1/VLOOKUP($R80,Capa!$A:$AJ,BB$5,0)),0,1/VLOOKUP($R80,Capa!$A:$AJ,BB$5,0))))</f>
        <v/>
      </c>
      <c r="BC80" s="174" t="str">
        <f>IF(BC$6="","",IF(BC$3="Maior",iferror(VLOOKUP($R80,Capa!$A:$AJ,BC$5,0),0),IF(ISERROR(1/VLOOKUP($R80,Capa!$A:$AJ,BC$5,0)),0,1/VLOOKUP($R80,Capa!$A:$AJ,BC$5,0))))</f>
        <v/>
      </c>
      <c r="BD80" s="174" t="str">
        <f>IF(BD$6="","",IF(BD$3="Maior",iferror(VLOOKUP($R80,Capa!$A:$AJ,BD$5,0),0),IF(ISERROR(1/VLOOKUP($R80,Capa!$A:$AJ,BD$5,0)),0,1/VLOOKUP($R80,Capa!$A:$AJ,BD$5,0))))</f>
        <v/>
      </c>
      <c r="BE80" s="174" t="str">
        <f>IF(BE$6="","",IF(BE$3="Maior",iferror(VLOOKUP($R80,Capa!$A:$AJ,BE$5,0),0),IF(ISERROR(1/VLOOKUP($R80,Capa!$A:$AJ,BE$5,0)),0,1/VLOOKUP($R80,Capa!$A:$AJ,BE$5,0))))</f>
        <v/>
      </c>
      <c r="BF80" s="174" t="str">
        <f>IF(BF$6="","",IF(BF$3="Maior",iferror(VLOOKUP($R80,Capa!$A:$AJ,BF$5,0),0),IF(ISERROR(1/VLOOKUP($R80,Capa!$A:$AJ,BF$5,0)),0,1/VLOOKUP($R80,Capa!$A:$AJ,BF$5,0))))</f>
        <v/>
      </c>
      <c r="BG80" s="174" t="str">
        <f>IF(BG$6="","",IF(BG$3="Maior",iferror(VLOOKUP($R80,Capa!$A:$AJ,BG$5,0),0),IF(ISERROR(1/VLOOKUP($R80,Capa!$A:$AJ,BG$5,0)),0,1/VLOOKUP($R80,Capa!$A:$AJ,BG$5,0))))</f>
        <v/>
      </c>
      <c r="BH80" s="174" t="str">
        <f>IF(BH$6="","",IF(BH$3="Maior",iferror(VLOOKUP($R80,Capa!$A:$AJ,BH$5,0),0),IF(ISERROR(1/VLOOKUP($R80,Capa!$A:$AJ,BH$5,0)),0,1/VLOOKUP($R80,Capa!$A:$AJ,BH$5,0))))</f>
        <v/>
      </c>
      <c r="BI80" s="174" t="str">
        <f>IF(BI$6="","",IF(BI$3="Maior",iferror(VLOOKUP($R80,Capa!$A:$AJ,BI$5,0),0),IF(ISERROR(1/VLOOKUP($R80,Capa!$A:$AJ,BI$5,0)),0,1/VLOOKUP($R80,Capa!$A:$AJ,BI$5,0))))</f>
        <v/>
      </c>
      <c r="BJ80" s="174" t="str">
        <f>IF(BJ$6="","",IF(BJ$3="Maior",iferror(VLOOKUP($R80,Capa!$A:$AJ,BJ$5,0),0),IF(ISERROR(1/VLOOKUP($R80,Capa!$A:$AJ,BJ$5,0)),0,1/VLOOKUP($R80,Capa!$A:$AJ,BJ$5,0))))</f>
        <v/>
      </c>
      <c r="BK80" s="174" t="str">
        <f>IF(BK$6="","",IF(BK$3="Maior",iferror(VLOOKUP($R80,Capa!$A:$AJ,BK$5,0),0),IF(ISERROR(1/VLOOKUP($R80,Capa!$A:$AJ,BK$5,0)),0,1/VLOOKUP($R80,Capa!$A:$AJ,BK$5,0))))</f>
        <v/>
      </c>
      <c r="BL80" s="174" t="str">
        <f>IF(BL$6="","",IF(BL$3="Maior",iferror(VLOOKUP($R80,Capa!$A:$AJ,BL$5,0),0),IF(ISERROR(1/VLOOKUP($R80,Capa!$A:$AJ,BL$5,0)),0,1/VLOOKUP($R80,Capa!$A:$AJ,BL$5,0))))</f>
        <v/>
      </c>
      <c r="BM80" s="174" t="str">
        <f>IF(BM$6="","",IF(BM$3="Maior",iferror(VLOOKUP($R80,Capa!$A:$AJ,BM$5,0),0),IF(ISERROR(1/VLOOKUP($R80,Capa!$A:$AJ,BM$5,0)),0,1/VLOOKUP($R80,Capa!$A:$AJ,BM$5,0))))</f>
        <v/>
      </c>
      <c r="BN80" s="174" t="str">
        <f>IF(BN$6="","",IF(BN$3="Maior",iferror(VLOOKUP($R80,Capa!$A:$AJ,BN$5,0),0),IF(ISERROR(1/VLOOKUP($R80,Capa!$A:$AJ,BN$5,0)),0,1/VLOOKUP($R80,Capa!$A:$AJ,BN$5,0))))</f>
        <v/>
      </c>
      <c r="BO80" s="174" t="str">
        <f>IF(BO$6="","",IF(BO$3="Maior",iferror(VLOOKUP($R80,Capa!$A:$AJ,BO$5,0),0),IF(ISERROR(1/VLOOKUP($R80,Capa!$A:$AJ,BO$5,0)),0,1/VLOOKUP($R80,Capa!$A:$AJ,BO$5,0))))</f>
        <v/>
      </c>
      <c r="BP80" s="174" t="str">
        <f>IF(BP$6="","",IF(BP$3="Maior",iferror(VLOOKUP($R80,Capa!$A:$AJ,BP$5,0),0),IF(ISERROR(1/VLOOKUP($R80,Capa!$A:$AJ,BP$5,0)),0,1/VLOOKUP($R80,Capa!$A:$AJ,BP$5,0))))</f>
        <v/>
      </c>
      <c r="BQ80" s="174" t="str">
        <f>IF(BQ$6="","",IF(BQ$3="Maior",iferror(VLOOKUP($R80,Capa!$A:$AJ,BQ$5,0),0),IF(ISERROR(1/VLOOKUP($R80,Capa!$A:$AJ,BQ$5,0)),0,1/VLOOKUP($R80,Capa!$A:$AJ,BQ$5,0))))</f>
        <v/>
      </c>
      <c r="BR80" s="175"/>
      <c r="BS80" s="147"/>
    </row>
    <row r="81">
      <c r="G81" s="11"/>
      <c r="H81" s="8">
        <v>75.0</v>
      </c>
      <c r="I81" s="165" t="str">
        <f t="shared" si="6"/>
        <v>CPLE5</v>
      </c>
      <c r="J81" s="166" t="str">
        <f>(VLOOKUP($I81,Capa!$A:$B,2,0))</f>
        <v/>
      </c>
      <c r="K81" s="167" t="str">
        <f>VLOOKUP(left(I81,4),Setor!A:D,3,0)&amp;" | "&amp;VLOOKUP(left(I81,4),Setor!A:D,4,0)</f>
        <v>Utilidade Pública | Energia Elétrica</v>
      </c>
      <c r="L81" s="168" t="str">
        <f>(VLOOKUP($I81,Capa!$A:$F,6,0))</f>
        <v/>
      </c>
      <c r="M81" s="168">
        <f t="shared" si="7"/>
        <v>408000000</v>
      </c>
      <c r="N81" s="11" t="str">
        <f>(VLOOKUP($I81,Capa!$A:$H,7,0))</f>
        <v/>
      </c>
      <c r="O81" s="169" t="str">
        <f>(VLOOKUP($I81,Capa!$A:$H,8,0))</f>
        <v/>
      </c>
      <c r="P81" s="11" t="str">
        <f>(VLOOKUP($I81,Capa!$A:$J,10,0))</f>
        <v/>
      </c>
      <c r="Q81" s="169" t="str">
        <f>(VLOOKUP($I81,Capa!$A:$K,11,0))</f>
        <v/>
      </c>
      <c r="R81" s="45" t="str">
        <f>'Dados StatusInvest'!A76</f>
        <v>BMEB3</v>
      </c>
      <c r="S81" s="170">
        <f t="shared" si="8"/>
        <v>1587.0587</v>
      </c>
      <c r="T81" s="171">
        <f>VLOOKUP(R81,'Dados StatusInvest'!A:Z,26,0)</f>
        <v>169413.8</v>
      </c>
      <c r="U81" s="172">
        <f t="shared" ref="U81:AS81" si="83">IF(AT81="","", RANK(AT81,AT$7:AT$626,0)+RANK(AT81,AT$7:AT$626,0)/10000)</f>
        <v>543.0543</v>
      </c>
      <c r="V81" s="172">
        <f t="shared" si="83"/>
        <v>44.0044</v>
      </c>
      <c r="W81" s="172" t="str">
        <f t="shared" si="83"/>
        <v/>
      </c>
      <c r="X81" s="172" t="str">
        <f t="shared" si="83"/>
        <v/>
      </c>
      <c r="Y81" s="172" t="str">
        <f t="shared" si="83"/>
        <v/>
      </c>
      <c r="Z81" s="172" t="str">
        <f t="shared" si="83"/>
        <v/>
      </c>
      <c r="AA81" s="172" t="str">
        <f t="shared" si="83"/>
        <v/>
      </c>
      <c r="AB81" s="172" t="str">
        <f t="shared" si="83"/>
        <v/>
      </c>
      <c r="AC81" s="172" t="str">
        <f t="shared" si="83"/>
        <v/>
      </c>
      <c r="AD81" s="172" t="str">
        <f t="shared" si="83"/>
        <v/>
      </c>
      <c r="AE81" s="172" t="str">
        <f t="shared" si="83"/>
        <v/>
      </c>
      <c r="AF81" s="172" t="str">
        <f t="shared" si="83"/>
        <v/>
      </c>
      <c r="AG81" s="172" t="str">
        <f t="shared" si="83"/>
        <v/>
      </c>
      <c r="AH81" s="172" t="str">
        <f t="shared" si="83"/>
        <v/>
      </c>
      <c r="AI81" s="172" t="str">
        <f t="shared" si="83"/>
        <v/>
      </c>
      <c r="AJ81" s="172" t="str">
        <f t="shared" si="83"/>
        <v/>
      </c>
      <c r="AK81" s="172" t="str">
        <f t="shared" si="83"/>
        <v/>
      </c>
      <c r="AL81" s="172" t="str">
        <f t="shared" si="83"/>
        <v/>
      </c>
      <c r="AM81" s="172" t="str">
        <f t="shared" si="83"/>
        <v/>
      </c>
      <c r="AN81" s="172" t="str">
        <f t="shared" si="83"/>
        <v/>
      </c>
      <c r="AO81" s="172" t="str">
        <f t="shared" si="83"/>
        <v/>
      </c>
      <c r="AP81" s="172" t="str">
        <f t="shared" si="83"/>
        <v/>
      </c>
      <c r="AQ81" s="172" t="str">
        <f t="shared" si="83"/>
        <v/>
      </c>
      <c r="AR81" s="172" t="str">
        <f t="shared" si="83"/>
        <v/>
      </c>
      <c r="AS81" s="172" t="str">
        <f t="shared" si="83"/>
        <v/>
      </c>
      <c r="AT81" s="173">
        <f>IF(AT$6="","",IF(AT$3="Maior",iferror(VLOOKUP($R81,Capa!$A:$AJ,AT$5,0),0),IF(ISERROR(1/VLOOKUP($R81,Capa!$A:$AJ,AT$5,0)),0,1/VLOOKUP($R81,Capa!$A:$AJ,AT$5,0))))</f>
        <v>-4.927408711</v>
      </c>
      <c r="AU81" s="174">
        <f>IF(AU$6="","",IF(AU$3="Maior",iferror(VLOOKUP($R81,Capa!$A:$AJ,AU$5,0),0),IF(ISERROR(1/VLOOKUP($R81,Capa!$A:$AJ,AU$5,0)),0,1/VLOOKUP($R81,Capa!$A:$AJ,AU$5,0))))</f>
        <v>41.2</v>
      </c>
      <c r="AV81" s="174" t="str">
        <f>IF(AV$6="","",IF(AV$3="Maior",iferror(VLOOKUP($R81,Capa!$A:$AJ,AV$5,0),0),IF(ISERROR(1/VLOOKUP($R81,Capa!$A:$AJ,AV$5,0)),0,1/VLOOKUP($R81,Capa!$A:$AJ,AV$5,0))))</f>
        <v/>
      </c>
      <c r="AW81" s="174" t="str">
        <f>IF(AW$6="","",IF(AW$3="Maior",iferror(VLOOKUP($R81,Capa!$A:$AJ,AW$5,0),0),IF(ISERROR(1/VLOOKUP($R81,Capa!$A:$AJ,AW$5,0)),0,1/VLOOKUP($R81,Capa!$A:$AJ,AW$5,0))))</f>
        <v/>
      </c>
      <c r="AX81" s="174" t="str">
        <f>IF(AX$6="","",IF(AX$3="Maior",iferror(VLOOKUP($R81,Capa!$A:$AJ,AX$5,0),0),IF(ISERROR(1/VLOOKUP($R81,Capa!$A:$AJ,AX$5,0)),0,1/VLOOKUP($R81,Capa!$A:$AJ,AX$5,0))))</f>
        <v/>
      </c>
      <c r="AY81" s="174" t="str">
        <f>IF(AY$6="","",IF(AY$3="Maior",iferror(VLOOKUP($R81,Capa!$A:$AJ,AY$5,0),0),IF(ISERROR(1/VLOOKUP($R81,Capa!$A:$AJ,AY$5,0)),0,1/VLOOKUP($R81,Capa!$A:$AJ,AY$5,0))))</f>
        <v/>
      </c>
      <c r="AZ81" s="174" t="str">
        <f>IF(AZ$6="","",IF(AZ$3="Maior",iferror(VLOOKUP($R81,Capa!$A:$AJ,AZ$5,0),0),IF(ISERROR(1/VLOOKUP($R81,Capa!$A:$AJ,AZ$5,0)),0,1/VLOOKUP($R81,Capa!$A:$AJ,AZ$5,0))))</f>
        <v/>
      </c>
      <c r="BA81" s="174" t="str">
        <f>IF(BA$6="","",IF(BA$3="Maior",iferror(VLOOKUP($R81,Capa!$A:$AJ,BA$5,0),0),IF(ISERROR(1/VLOOKUP($R81,Capa!$A:$AJ,BA$5,0)),0,1/VLOOKUP($R81,Capa!$A:$AJ,BA$5,0))))</f>
        <v/>
      </c>
      <c r="BB81" s="174" t="str">
        <f>IF(BB$6="","",IF(BB$3="Maior",iferror(VLOOKUP($R81,Capa!$A:$AJ,BB$5,0),0),IF(ISERROR(1/VLOOKUP($R81,Capa!$A:$AJ,BB$5,0)),0,1/VLOOKUP($R81,Capa!$A:$AJ,BB$5,0))))</f>
        <v/>
      </c>
      <c r="BC81" s="174" t="str">
        <f>IF(BC$6="","",IF(BC$3="Maior",iferror(VLOOKUP($R81,Capa!$A:$AJ,BC$5,0),0),IF(ISERROR(1/VLOOKUP($R81,Capa!$A:$AJ,BC$5,0)),0,1/VLOOKUP($R81,Capa!$A:$AJ,BC$5,0))))</f>
        <v/>
      </c>
      <c r="BD81" s="174" t="str">
        <f>IF(BD$6="","",IF(BD$3="Maior",iferror(VLOOKUP($R81,Capa!$A:$AJ,BD$5,0),0),IF(ISERROR(1/VLOOKUP($R81,Capa!$A:$AJ,BD$5,0)),0,1/VLOOKUP($R81,Capa!$A:$AJ,BD$5,0))))</f>
        <v/>
      </c>
      <c r="BE81" s="174" t="str">
        <f>IF(BE$6="","",IF(BE$3="Maior",iferror(VLOOKUP($R81,Capa!$A:$AJ,BE$5,0),0),IF(ISERROR(1/VLOOKUP($R81,Capa!$A:$AJ,BE$5,0)),0,1/VLOOKUP($R81,Capa!$A:$AJ,BE$5,0))))</f>
        <v/>
      </c>
      <c r="BF81" s="174" t="str">
        <f>IF(BF$6="","",IF(BF$3="Maior",iferror(VLOOKUP($R81,Capa!$A:$AJ,BF$5,0),0),IF(ISERROR(1/VLOOKUP($R81,Capa!$A:$AJ,BF$5,0)),0,1/VLOOKUP($R81,Capa!$A:$AJ,BF$5,0))))</f>
        <v/>
      </c>
      <c r="BG81" s="174" t="str">
        <f>IF(BG$6="","",IF(BG$3="Maior",iferror(VLOOKUP($R81,Capa!$A:$AJ,BG$5,0),0),IF(ISERROR(1/VLOOKUP($R81,Capa!$A:$AJ,BG$5,0)),0,1/VLOOKUP($R81,Capa!$A:$AJ,BG$5,0))))</f>
        <v/>
      </c>
      <c r="BH81" s="174" t="str">
        <f>IF(BH$6="","",IF(BH$3="Maior",iferror(VLOOKUP($R81,Capa!$A:$AJ,BH$5,0),0),IF(ISERROR(1/VLOOKUP($R81,Capa!$A:$AJ,BH$5,0)),0,1/VLOOKUP($R81,Capa!$A:$AJ,BH$5,0))))</f>
        <v/>
      </c>
      <c r="BI81" s="174" t="str">
        <f>IF(BI$6="","",IF(BI$3="Maior",iferror(VLOOKUP($R81,Capa!$A:$AJ,BI$5,0),0),IF(ISERROR(1/VLOOKUP($R81,Capa!$A:$AJ,BI$5,0)),0,1/VLOOKUP($R81,Capa!$A:$AJ,BI$5,0))))</f>
        <v/>
      </c>
      <c r="BJ81" s="174" t="str">
        <f>IF(BJ$6="","",IF(BJ$3="Maior",iferror(VLOOKUP($R81,Capa!$A:$AJ,BJ$5,0),0),IF(ISERROR(1/VLOOKUP($R81,Capa!$A:$AJ,BJ$5,0)),0,1/VLOOKUP($R81,Capa!$A:$AJ,BJ$5,0))))</f>
        <v/>
      </c>
      <c r="BK81" s="174" t="str">
        <f>IF(BK$6="","",IF(BK$3="Maior",iferror(VLOOKUP($R81,Capa!$A:$AJ,BK$5,0),0),IF(ISERROR(1/VLOOKUP($R81,Capa!$A:$AJ,BK$5,0)),0,1/VLOOKUP($R81,Capa!$A:$AJ,BK$5,0))))</f>
        <v/>
      </c>
      <c r="BL81" s="174" t="str">
        <f>IF(BL$6="","",IF(BL$3="Maior",iferror(VLOOKUP($R81,Capa!$A:$AJ,BL$5,0),0),IF(ISERROR(1/VLOOKUP($R81,Capa!$A:$AJ,BL$5,0)),0,1/VLOOKUP($R81,Capa!$A:$AJ,BL$5,0))))</f>
        <v/>
      </c>
      <c r="BM81" s="174" t="str">
        <f>IF(BM$6="","",IF(BM$3="Maior",iferror(VLOOKUP($R81,Capa!$A:$AJ,BM$5,0),0),IF(ISERROR(1/VLOOKUP($R81,Capa!$A:$AJ,BM$5,0)),0,1/VLOOKUP($R81,Capa!$A:$AJ,BM$5,0))))</f>
        <v/>
      </c>
      <c r="BN81" s="174" t="str">
        <f>IF(BN$6="","",IF(BN$3="Maior",iferror(VLOOKUP($R81,Capa!$A:$AJ,BN$5,0),0),IF(ISERROR(1/VLOOKUP($R81,Capa!$A:$AJ,BN$5,0)),0,1/VLOOKUP($R81,Capa!$A:$AJ,BN$5,0))))</f>
        <v/>
      </c>
      <c r="BO81" s="174" t="str">
        <f>IF(BO$6="","",IF(BO$3="Maior",iferror(VLOOKUP($R81,Capa!$A:$AJ,BO$5,0),0),IF(ISERROR(1/VLOOKUP($R81,Capa!$A:$AJ,BO$5,0)),0,1/VLOOKUP($R81,Capa!$A:$AJ,BO$5,0))))</f>
        <v/>
      </c>
      <c r="BP81" s="174" t="str">
        <f>IF(BP$6="","",IF(BP$3="Maior",iferror(VLOOKUP($R81,Capa!$A:$AJ,BP$5,0),0),IF(ISERROR(1/VLOOKUP($R81,Capa!$A:$AJ,BP$5,0)),0,1/VLOOKUP($R81,Capa!$A:$AJ,BP$5,0))))</f>
        <v/>
      </c>
      <c r="BQ81" s="174" t="str">
        <f>IF(BQ$6="","",IF(BQ$3="Maior",iferror(VLOOKUP($R81,Capa!$A:$AJ,BQ$5,0),0),IF(ISERROR(1/VLOOKUP($R81,Capa!$A:$AJ,BQ$5,0)),0,1/VLOOKUP($R81,Capa!$A:$AJ,BQ$5,0))))</f>
        <v/>
      </c>
      <c r="BR81" s="175"/>
      <c r="BS81" s="147"/>
    </row>
    <row r="82">
      <c r="G82" s="11"/>
      <c r="H82" s="8">
        <v>76.0</v>
      </c>
      <c r="I82" s="165" t="str">
        <f t="shared" si="6"/>
        <v>B3SA3</v>
      </c>
      <c r="J82" s="166" t="str">
        <f>(VLOOKUP($I82,Capa!$A:$B,2,0))</f>
        <v>B3 SA Brasil Bolsa Balcao</v>
      </c>
      <c r="K82" s="167" t="str">
        <f>VLOOKUP(left(I82,4),Setor!A:D,3,0)&amp;" | "&amp;VLOOKUP(left(I82,4),Setor!A:D,4,0)</f>
        <v>Financeiro | Serviços Financeiros Diversos</v>
      </c>
      <c r="L82" s="168">
        <f>(VLOOKUP($I82,Capa!$A:$F,6,0))</f>
        <v>17.52</v>
      </c>
      <c r="M82" s="168">
        <f t="shared" si="7"/>
        <v>866000000</v>
      </c>
      <c r="N82" s="11" t="str">
        <f>IFERROR(__xludf.DUMMYFUNCTION("(VLOOKUP($I82,Capa!$A:$H,7,0))"),"")</f>
        <v/>
      </c>
      <c r="O82" s="169">
        <f>(VLOOKUP($I82,Capa!$A:$H,8,0))</f>
        <v>0.1303225806</v>
      </c>
      <c r="P82" s="11" t="str">
        <f>IFERROR(__xludf.DUMMYFUNCTION("(VLOOKUP($I82,Capa!$A:$J,10,0))"),"")</f>
        <v/>
      </c>
      <c r="Q82" s="169">
        <f>(VLOOKUP($I82,Capa!$A:$K,11,0))</f>
        <v>0.5518157662</v>
      </c>
      <c r="R82" s="45" t="str">
        <f>'Dados StatusInvest'!A77</f>
        <v>BMEB4</v>
      </c>
      <c r="S82" s="170">
        <f t="shared" si="8"/>
        <v>552.0552</v>
      </c>
      <c r="T82" s="171">
        <f>VLOOKUP(R82,'Dados StatusInvest'!A:Z,26,0)</f>
        <v>2506846</v>
      </c>
      <c r="U82" s="172">
        <f t="shared" ref="U82:AS82" si="84">IF(AT82="","", RANK(AT82,AT$7:AT$626,0)+RANK(AT82,AT$7:AT$626,0)/10000)</f>
        <v>508.0508</v>
      </c>
      <c r="V82" s="172">
        <f t="shared" si="84"/>
        <v>44.0044</v>
      </c>
      <c r="W82" s="172" t="str">
        <f t="shared" si="84"/>
        <v/>
      </c>
      <c r="X82" s="172" t="str">
        <f t="shared" si="84"/>
        <v/>
      </c>
      <c r="Y82" s="172" t="str">
        <f t="shared" si="84"/>
        <v/>
      </c>
      <c r="Z82" s="172" t="str">
        <f t="shared" si="84"/>
        <v/>
      </c>
      <c r="AA82" s="172" t="str">
        <f t="shared" si="84"/>
        <v/>
      </c>
      <c r="AB82" s="172" t="str">
        <f t="shared" si="84"/>
        <v/>
      </c>
      <c r="AC82" s="172" t="str">
        <f t="shared" si="84"/>
        <v/>
      </c>
      <c r="AD82" s="172" t="str">
        <f t="shared" si="84"/>
        <v/>
      </c>
      <c r="AE82" s="172" t="str">
        <f t="shared" si="84"/>
        <v/>
      </c>
      <c r="AF82" s="172" t="str">
        <f t="shared" si="84"/>
        <v/>
      </c>
      <c r="AG82" s="172" t="str">
        <f t="shared" si="84"/>
        <v/>
      </c>
      <c r="AH82" s="172" t="str">
        <f t="shared" si="84"/>
        <v/>
      </c>
      <c r="AI82" s="172" t="str">
        <f t="shared" si="84"/>
        <v/>
      </c>
      <c r="AJ82" s="172" t="str">
        <f t="shared" si="84"/>
        <v/>
      </c>
      <c r="AK82" s="172" t="str">
        <f t="shared" si="84"/>
        <v/>
      </c>
      <c r="AL82" s="172" t="str">
        <f t="shared" si="84"/>
        <v/>
      </c>
      <c r="AM82" s="172" t="str">
        <f t="shared" si="84"/>
        <v/>
      </c>
      <c r="AN82" s="172" t="str">
        <f t="shared" si="84"/>
        <v/>
      </c>
      <c r="AO82" s="172" t="str">
        <f t="shared" si="84"/>
        <v/>
      </c>
      <c r="AP82" s="172" t="str">
        <f t="shared" si="84"/>
        <v/>
      </c>
      <c r="AQ82" s="172" t="str">
        <f t="shared" si="84"/>
        <v/>
      </c>
      <c r="AR82" s="172" t="str">
        <f t="shared" si="84"/>
        <v/>
      </c>
      <c r="AS82" s="172" t="str">
        <f t="shared" si="84"/>
        <v/>
      </c>
      <c r="AT82" s="173">
        <f>IF(AT$6="","",IF(AT$3="Maior",iferror(VLOOKUP($R82,Capa!$A:$AJ,AT$5,0),0),IF(ISERROR(1/VLOOKUP($R82,Capa!$A:$AJ,AT$5,0)),0,1/VLOOKUP($R82,Capa!$A:$AJ,AT$5,0))))</f>
        <v>-3.569135961</v>
      </c>
      <c r="AU82" s="174">
        <f>IF(AU$6="","",IF(AU$3="Maior",iferror(VLOOKUP($R82,Capa!$A:$AJ,AU$5,0),0),IF(ISERROR(1/VLOOKUP($R82,Capa!$A:$AJ,AU$5,0)),0,1/VLOOKUP($R82,Capa!$A:$AJ,AU$5,0))))</f>
        <v>41.2</v>
      </c>
      <c r="AV82" s="174" t="str">
        <f>IF(AV$6="","",IF(AV$3="Maior",iferror(VLOOKUP($R82,Capa!$A:$AJ,AV$5,0),0),IF(ISERROR(1/VLOOKUP($R82,Capa!$A:$AJ,AV$5,0)),0,1/VLOOKUP($R82,Capa!$A:$AJ,AV$5,0))))</f>
        <v/>
      </c>
      <c r="AW82" s="174" t="str">
        <f>IF(AW$6="","",IF(AW$3="Maior",iferror(VLOOKUP($R82,Capa!$A:$AJ,AW$5,0),0),IF(ISERROR(1/VLOOKUP($R82,Capa!$A:$AJ,AW$5,0)),0,1/VLOOKUP($R82,Capa!$A:$AJ,AW$5,0))))</f>
        <v/>
      </c>
      <c r="AX82" s="174" t="str">
        <f>IF(AX$6="","",IF(AX$3="Maior",iferror(VLOOKUP($R82,Capa!$A:$AJ,AX$5,0),0),IF(ISERROR(1/VLOOKUP($R82,Capa!$A:$AJ,AX$5,0)),0,1/VLOOKUP($R82,Capa!$A:$AJ,AX$5,0))))</f>
        <v/>
      </c>
      <c r="AY82" s="174" t="str">
        <f>IF(AY$6="","",IF(AY$3="Maior",iferror(VLOOKUP($R82,Capa!$A:$AJ,AY$5,0),0),IF(ISERROR(1/VLOOKUP($R82,Capa!$A:$AJ,AY$5,0)),0,1/VLOOKUP($R82,Capa!$A:$AJ,AY$5,0))))</f>
        <v/>
      </c>
      <c r="AZ82" s="174" t="str">
        <f>IF(AZ$6="","",IF(AZ$3="Maior",iferror(VLOOKUP($R82,Capa!$A:$AJ,AZ$5,0),0),IF(ISERROR(1/VLOOKUP($R82,Capa!$A:$AJ,AZ$5,0)),0,1/VLOOKUP($R82,Capa!$A:$AJ,AZ$5,0))))</f>
        <v/>
      </c>
      <c r="BA82" s="174" t="str">
        <f>IF(BA$6="","",IF(BA$3="Maior",iferror(VLOOKUP($R82,Capa!$A:$AJ,BA$5,0),0),IF(ISERROR(1/VLOOKUP($R82,Capa!$A:$AJ,BA$5,0)),0,1/VLOOKUP($R82,Capa!$A:$AJ,BA$5,0))))</f>
        <v/>
      </c>
      <c r="BB82" s="174" t="str">
        <f>IF(BB$6="","",IF(BB$3="Maior",iferror(VLOOKUP($R82,Capa!$A:$AJ,BB$5,0),0),IF(ISERROR(1/VLOOKUP($R82,Capa!$A:$AJ,BB$5,0)),0,1/VLOOKUP($R82,Capa!$A:$AJ,BB$5,0))))</f>
        <v/>
      </c>
      <c r="BC82" s="174" t="str">
        <f>IF(BC$6="","",IF(BC$3="Maior",iferror(VLOOKUP($R82,Capa!$A:$AJ,BC$5,0),0),IF(ISERROR(1/VLOOKUP($R82,Capa!$A:$AJ,BC$5,0)),0,1/VLOOKUP($R82,Capa!$A:$AJ,BC$5,0))))</f>
        <v/>
      </c>
      <c r="BD82" s="174" t="str">
        <f>IF(BD$6="","",IF(BD$3="Maior",iferror(VLOOKUP($R82,Capa!$A:$AJ,BD$5,0),0),IF(ISERROR(1/VLOOKUP($R82,Capa!$A:$AJ,BD$5,0)),0,1/VLOOKUP($R82,Capa!$A:$AJ,BD$5,0))))</f>
        <v/>
      </c>
      <c r="BE82" s="174" t="str">
        <f>IF(BE$6="","",IF(BE$3="Maior",iferror(VLOOKUP($R82,Capa!$A:$AJ,BE$5,0),0),IF(ISERROR(1/VLOOKUP($R82,Capa!$A:$AJ,BE$5,0)),0,1/VLOOKUP($R82,Capa!$A:$AJ,BE$5,0))))</f>
        <v/>
      </c>
      <c r="BF82" s="174" t="str">
        <f>IF(BF$6="","",IF(BF$3="Maior",iferror(VLOOKUP($R82,Capa!$A:$AJ,BF$5,0),0),IF(ISERROR(1/VLOOKUP($R82,Capa!$A:$AJ,BF$5,0)),0,1/VLOOKUP($R82,Capa!$A:$AJ,BF$5,0))))</f>
        <v/>
      </c>
      <c r="BG82" s="174" t="str">
        <f>IF(BG$6="","",IF(BG$3="Maior",iferror(VLOOKUP($R82,Capa!$A:$AJ,BG$5,0),0),IF(ISERROR(1/VLOOKUP($R82,Capa!$A:$AJ,BG$5,0)),0,1/VLOOKUP($R82,Capa!$A:$AJ,BG$5,0))))</f>
        <v/>
      </c>
      <c r="BH82" s="174" t="str">
        <f>IF(BH$6="","",IF(BH$3="Maior",iferror(VLOOKUP($R82,Capa!$A:$AJ,BH$5,0),0),IF(ISERROR(1/VLOOKUP($R82,Capa!$A:$AJ,BH$5,0)),0,1/VLOOKUP($R82,Capa!$A:$AJ,BH$5,0))))</f>
        <v/>
      </c>
      <c r="BI82" s="174" t="str">
        <f>IF(BI$6="","",IF(BI$3="Maior",iferror(VLOOKUP($R82,Capa!$A:$AJ,BI$5,0),0),IF(ISERROR(1/VLOOKUP($R82,Capa!$A:$AJ,BI$5,0)),0,1/VLOOKUP($R82,Capa!$A:$AJ,BI$5,0))))</f>
        <v/>
      </c>
      <c r="BJ82" s="174" t="str">
        <f>IF(BJ$6="","",IF(BJ$3="Maior",iferror(VLOOKUP($R82,Capa!$A:$AJ,BJ$5,0),0),IF(ISERROR(1/VLOOKUP($R82,Capa!$A:$AJ,BJ$5,0)),0,1/VLOOKUP($R82,Capa!$A:$AJ,BJ$5,0))))</f>
        <v/>
      </c>
      <c r="BK82" s="174" t="str">
        <f>IF(BK$6="","",IF(BK$3="Maior",iferror(VLOOKUP($R82,Capa!$A:$AJ,BK$5,0),0),IF(ISERROR(1/VLOOKUP($R82,Capa!$A:$AJ,BK$5,0)),0,1/VLOOKUP($R82,Capa!$A:$AJ,BK$5,0))))</f>
        <v/>
      </c>
      <c r="BL82" s="174" t="str">
        <f>IF(BL$6="","",IF(BL$3="Maior",iferror(VLOOKUP($R82,Capa!$A:$AJ,BL$5,0),0),IF(ISERROR(1/VLOOKUP($R82,Capa!$A:$AJ,BL$5,0)),0,1/VLOOKUP($R82,Capa!$A:$AJ,BL$5,0))))</f>
        <v/>
      </c>
      <c r="BM82" s="174" t="str">
        <f>IF(BM$6="","",IF(BM$3="Maior",iferror(VLOOKUP($R82,Capa!$A:$AJ,BM$5,0),0),IF(ISERROR(1/VLOOKUP($R82,Capa!$A:$AJ,BM$5,0)),0,1/VLOOKUP($R82,Capa!$A:$AJ,BM$5,0))))</f>
        <v/>
      </c>
      <c r="BN82" s="174" t="str">
        <f>IF(BN$6="","",IF(BN$3="Maior",iferror(VLOOKUP($R82,Capa!$A:$AJ,BN$5,0),0),IF(ISERROR(1/VLOOKUP($R82,Capa!$A:$AJ,BN$5,0)),0,1/VLOOKUP($R82,Capa!$A:$AJ,BN$5,0))))</f>
        <v/>
      </c>
      <c r="BO82" s="174" t="str">
        <f>IF(BO$6="","",IF(BO$3="Maior",iferror(VLOOKUP($R82,Capa!$A:$AJ,BO$5,0),0),IF(ISERROR(1/VLOOKUP($R82,Capa!$A:$AJ,BO$5,0)),0,1/VLOOKUP($R82,Capa!$A:$AJ,BO$5,0))))</f>
        <v/>
      </c>
      <c r="BP82" s="174" t="str">
        <f>IF(BP$6="","",IF(BP$3="Maior",iferror(VLOOKUP($R82,Capa!$A:$AJ,BP$5,0),0),IF(ISERROR(1/VLOOKUP($R82,Capa!$A:$AJ,BP$5,0)),0,1/VLOOKUP($R82,Capa!$A:$AJ,BP$5,0))))</f>
        <v/>
      </c>
      <c r="BQ82" s="174" t="str">
        <f>IF(BQ$6="","",IF(BQ$3="Maior",iferror(VLOOKUP($R82,Capa!$A:$AJ,BQ$5,0),0),IF(ISERROR(1/VLOOKUP($R82,Capa!$A:$AJ,BQ$5,0)),0,1/VLOOKUP($R82,Capa!$A:$AJ,BQ$5,0))))</f>
        <v/>
      </c>
      <c r="BR82" s="175"/>
      <c r="BS82" s="147"/>
    </row>
    <row r="83">
      <c r="G83" s="11"/>
      <c r="H83" s="8">
        <v>77.0</v>
      </c>
      <c r="I83" s="165" t="str">
        <f t="shared" si="6"/>
        <v>CLSA3</v>
      </c>
      <c r="J83" s="166" t="str">
        <f>(VLOOKUP($I83,Capa!$A:$B,2,0))</f>
        <v/>
      </c>
      <c r="K83" s="167" t="str">
        <f>VLOOKUP(left(I83,4),Setor!A:D,3,0)&amp;" | "&amp;VLOOKUP(left(I83,4),Setor!A:D,4,0)</f>
        <v>#N/A</v>
      </c>
      <c r="L83" s="168" t="str">
        <f>(VLOOKUP($I83,Capa!$A:$F,6,0))</f>
        <v/>
      </c>
      <c r="M83" s="168">
        <f t="shared" si="7"/>
        <v>57778110</v>
      </c>
      <c r="N83" s="11" t="str">
        <f>(VLOOKUP($I83,Capa!$A:$H,7,0))</f>
        <v/>
      </c>
      <c r="O83" s="169" t="str">
        <f>(VLOOKUP($I83,Capa!$A:$H,8,0))</f>
        <v/>
      </c>
      <c r="P83" s="11" t="str">
        <f>(VLOOKUP($I83,Capa!$A:$J,10,0))</f>
        <v/>
      </c>
      <c r="Q83" s="169" t="str">
        <f>(VLOOKUP($I83,Capa!$A:$K,11,0))</f>
        <v/>
      </c>
      <c r="R83" s="45" t="str">
        <f>'Dados StatusInvest'!A78</f>
        <v>BMGB4</v>
      </c>
      <c r="S83" s="170">
        <f t="shared" si="8"/>
        <v>860.086</v>
      </c>
      <c r="T83" s="171">
        <f>VLOOKUP(R83,'Dados StatusInvest'!A:Z,26,0)</f>
        <v>6577541</v>
      </c>
      <c r="U83" s="172">
        <f t="shared" ref="U83:AS83" si="85">IF(AT83="","", RANK(AT83,AT$7:AT$626,0)+RANK(AT83,AT$7:AT$626,0)/10000)</f>
        <v>597.0597</v>
      </c>
      <c r="V83" s="172">
        <f t="shared" si="85"/>
        <v>263.0263</v>
      </c>
      <c r="W83" s="172" t="str">
        <f t="shared" si="85"/>
        <v/>
      </c>
      <c r="X83" s="172" t="str">
        <f t="shared" si="85"/>
        <v/>
      </c>
      <c r="Y83" s="172" t="str">
        <f t="shared" si="85"/>
        <v/>
      </c>
      <c r="Z83" s="172" t="str">
        <f t="shared" si="85"/>
        <v/>
      </c>
      <c r="AA83" s="172" t="str">
        <f t="shared" si="85"/>
        <v/>
      </c>
      <c r="AB83" s="172" t="str">
        <f t="shared" si="85"/>
        <v/>
      </c>
      <c r="AC83" s="172" t="str">
        <f t="shared" si="85"/>
        <v/>
      </c>
      <c r="AD83" s="172" t="str">
        <f t="shared" si="85"/>
        <v/>
      </c>
      <c r="AE83" s="172" t="str">
        <f t="shared" si="85"/>
        <v/>
      </c>
      <c r="AF83" s="172" t="str">
        <f t="shared" si="85"/>
        <v/>
      </c>
      <c r="AG83" s="172" t="str">
        <f t="shared" si="85"/>
        <v/>
      </c>
      <c r="AH83" s="172" t="str">
        <f t="shared" si="85"/>
        <v/>
      </c>
      <c r="AI83" s="172" t="str">
        <f t="shared" si="85"/>
        <v/>
      </c>
      <c r="AJ83" s="172" t="str">
        <f t="shared" si="85"/>
        <v/>
      </c>
      <c r="AK83" s="172" t="str">
        <f t="shared" si="85"/>
        <v/>
      </c>
      <c r="AL83" s="172" t="str">
        <f t="shared" si="85"/>
        <v/>
      </c>
      <c r="AM83" s="172" t="str">
        <f t="shared" si="85"/>
        <v/>
      </c>
      <c r="AN83" s="172" t="str">
        <f t="shared" si="85"/>
        <v/>
      </c>
      <c r="AO83" s="172" t="str">
        <f t="shared" si="85"/>
        <v/>
      </c>
      <c r="AP83" s="172" t="str">
        <f t="shared" si="85"/>
        <v/>
      </c>
      <c r="AQ83" s="172" t="str">
        <f t="shared" si="85"/>
        <v/>
      </c>
      <c r="AR83" s="172" t="str">
        <f t="shared" si="85"/>
        <v/>
      </c>
      <c r="AS83" s="172" t="str">
        <f t="shared" si="85"/>
        <v/>
      </c>
      <c r="AT83" s="173">
        <f>IF(AT$6="","",IF(AT$3="Maior",iferror(VLOOKUP($R83,Capa!$A:$AJ,AT$5,0),0),IF(ISERROR(1/VLOOKUP($R83,Capa!$A:$AJ,AT$5,0)),0,1/VLOOKUP($R83,Capa!$A:$AJ,AT$5,0))))</f>
        <v>-17.65765766</v>
      </c>
      <c r="AU83" s="174">
        <f>IF(AU$6="","",IF(AU$3="Maior",iferror(VLOOKUP($R83,Capa!$A:$AJ,AU$5,0),0),IF(ISERROR(1/VLOOKUP($R83,Capa!$A:$AJ,AU$5,0)),0,1/VLOOKUP($R83,Capa!$A:$AJ,AU$5,0))))</f>
        <v>0.44</v>
      </c>
      <c r="AV83" s="174" t="str">
        <f>IF(AV$6="","",IF(AV$3="Maior",iferror(VLOOKUP($R83,Capa!$A:$AJ,AV$5,0),0),IF(ISERROR(1/VLOOKUP($R83,Capa!$A:$AJ,AV$5,0)),0,1/VLOOKUP($R83,Capa!$A:$AJ,AV$5,0))))</f>
        <v/>
      </c>
      <c r="AW83" s="174" t="str">
        <f>IF(AW$6="","",IF(AW$3="Maior",iferror(VLOOKUP($R83,Capa!$A:$AJ,AW$5,0),0),IF(ISERROR(1/VLOOKUP($R83,Capa!$A:$AJ,AW$5,0)),0,1/VLOOKUP($R83,Capa!$A:$AJ,AW$5,0))))</f>
        <v/>
      </c>
      <c r="AX83" s="174" t="str">
        <f>IF(AX$6="","",IF(AX$3="Maior",iferror(VLOOKUP($R83,Capa!$A:$AJ,AX$5,0),0),IF(ISERROR(1/VLOOKUP($R83,Capa!$A:$AJ,AX$5,0)),0,1/VLOOKUP($R83,Capa!$A:$AJ,AX$5,0))))</f>
        <v/>
      </c>
      <c r="AY83" s="174" t="str">
        <f>IF(AY$6="","",IF(AY$3="Maior",iferror(VLOOKUP($R83,Capa!$A:$AJ,AY$5,0),0),IF(ISERROR(1/VLOOKUP($R83,Capa!$A:$AJ,AY$5,0)),0,1/VLOOKUP($R83,Capa!$A:$AJ,AY$5,0))))</f>
        <v/>
      </c>
      <c r="AZ83" s="174" t="str">
        <f>IF(AZ$6="","",IF(AZ$3="Maior",iferror(VLOOKUP($R83,Capa!$A:$AJ,AZ$5,0),0),IF(ISERROR(1/VLOOKUP($R83,Capa!$A:$AJ,AZ$5,0)),0,1/VLOOKUP($R83,Capa!$A:$AJ,AZ$5,0))))</f>
        <v/>
      </c>
      <c r="BA83" s="174" t="str">
        <f>IF(BA$6="","",IF(BA$3="Maior",iferror(VLOOKUP($R83,Capa!$A:$AJ,BA$5,0),0),IF(ISERROR(1/VLOOKUP($R83,Capa!$A:$AJ,BA$5,0)),0,1/VLOOKUP($R83,Capa!$A:$AJ,BA$5,0))))</f>
        <v/>
      </c>
      <c r="BB83" s="174" t="str">
        <f>IF(BB$6="","",IF(BB$3="Maior",iferror(VLOOKUP($R83,Capa!$A:$AJ,BB$5,0),0),IF(ISERROR(1/VLOOKUP($R83,Capa!$A:$AJ,BB$5,0)),0,1/VLOOKUP($R83,Capa!$A:$AJ,BB$5,0))))</f>
        <v/>
      </c>
      <c r="BC83" s="174" t="str">
        <f>IF(BC$6="","",IF(BC$3="Maior",iferror(VLOOKUP($R83,Capa!$A:$AJ,BC$5,0),0),IF(ISERROR(1/VLOOKUP($R83,Capa!$A:$AJ,BC$5,0)),0,1/VLOOKUP($R83,Capa!$A:$AJ,BC$5,0))))</f>
        <v/>
      </c>
      <c r="BD83" s="174" t="str">
        <f>IF(BD$6="","",IF(BD$3="Maior",iferror(VLOOKUP($R83,Capa!$A:$AJ,BD$5,0),0),IF(ISERROR(1/VLOOKUP($R83,Capa!$A:$AJ,BD$5,0)),0,1/VLOOKUP($R83,Capa!$A:$AJ,BD$5,0))))</f>
        <v/>
      </c>
      <c r="BE83" s="174" t="str">
        <f>IF(BE$6="","",IF(BE$3="Maior",iferror(VLOOKUP($R83,Capa!$A:$AJ,BE$5,0),0),IF(ISERROR(1/VLOOKUP($R83,Capa!$A:$AJ,BE$5,0)),0,1/VLOOKUP($R83,Capa!$A:$AJ,BE$5,0))))</f>
        <v/>
      </c>
      <c r="BF83" s="174" t="str">
        <f>IF(BF$6="","",IF(BF$3="Maior",iferror(VLOOKUP($R83,Capa!$A:$AJ,BF$5,0),0),IF(ISERROR(1/VLOOKUP($R83,Capa!$A:$AJ,BF$5,0)),0,1/VLOOKUP($R83,Capa!$A:$AJ,BF$5,0))))</f>
        <v/>
      </c>
      <c r="BG83" s="174" t="str">
        <f>IF(BG$6="","",IF(BG$3="Maior",iferror(VLOOKUP($R83,Capa!$A:$AJ,BG$5,0),0),IF(ISERROR(1/VLOOKUP($R83,Capa!$A:$AJ,BG$5,0)),0,1/VLOOKUP($R83,Capa!$A:$AJ,BG$5,0))))</f>
        <v/>
      </c>
      <c r="BH83" s="174" t="str">
        <f>IF(BH$6="","",IF(BH$3="Maior",iferror(VLOOKUP($R83,Capa!$A:$AJ,BH$5,0),0),IF(ISERROR(1/VLOOKUP($R83,Capa!$A:$AJ,BH$5,0)),0,1/VLOOKUP($R83,Capa!$A:$AJ,BH$5,0))))</f>
        <v/>
      </c>
      <c r="BI83" s="174" t="str">
        <f>IF(BI$6="","",IF(BI$3="Maior",iferror(VLOOKUP($R83,Capa!$A:$AJ,BI$5,0),0),IF(ISERROR(1/VLOOKUP($R83,Capa!$A:$AJ,BI$5,0)),0,1/VLOOKUP($R83,Capa!$A:$AJ,BI$5,0))))</f>
        <v/>
      </c>
      <c r="BJ83" s="174" t="str">
        <f>IF(BJ$6="","",IF(BJ$3="Maior",iferror(VLOOKUP($R83,Capa!$A:$AJ,BJ$5,0),0),IF(ISERROR(1/VLOOKUP($R83,Capa!$A:$AJ,BJ$5,0)),0,1/VLOOKUP($R83,Capa!$A:$AJ,BJ$5,0))))</f>
        <v/>
      </c>
      <c r="BK83" s="174" t="str">
        <f>IF(BK$6="","",IF(BK$3="Maior",iferror(VLOOKUP($R83,Capa!$A:$AJ,BK$5,0),0),IF(ISERROR(1/VLOOKUP($R83,Capa!$A:$AJ,BK$5,0)),0,1/VLOOKUP($R83,Capa!$A:$AJ,BK$5,0))))</f>
        <v/>
      </c>
      <c r="BL83" s="174" t="str">
        <f>IF(BL$6="","",IF(BL$3="Maior",iferror(VLOOKUP($R83,Capa!$A:$AJ,BL$5,0),0),IF(ISERROR(1/VLOOKUP($R83,Capa!$A:$AJ,BL$5,0)),0,1/VLOOKUP($R83,Capa!$A:$AJ,BL$5,0))))</f>
        <v/>
      </c>
      <c r="BM83" s="174" t="str">
        <f>IF(BM$6="","",IF(BM$3="Maior",iferror(VLOOKUP($R83,Capa!$A:$AJ,BM$5,0),0),IF(ISERROR(1/VLOOKUP($R83,Capa!$A:$AJ,BM$5,0)),0,1/VLOOKUP($R83,Capa!$A:$AJ,BM$5,0))))</f>
        <v/>
      </c>
      <c r="BN83" s="174" t="str">
        <f>IF(BN$6="","",IF(BN$3="Maior",iferror(VLOOKUP($R83,Capa!$A:$AJ,BN$5,0),0),IF(ISERROR(1/VLOOKUP($R83,Capa!$A:$AJ,BN$5,0)),0,1/VLOOKUP($R83,Capa!$A:$AJ,BN$5,0))))</f>
        <v/>
      </c>
      <c r="BO83" s="174" t="str">
        <f>IF(BO$6="","",IF(BO$3="Maior",iferror(VLOOKUP($R83,Capa!$A:$AJ,BO$5,0),0),IF(ISERROR(1/VLOOKUP($R83,Capa!$A:$AJ,BO$5,0)),0,1/VLOOKUP($R83,Capa!$A:$AJ,BO$5,0))))</f>
        <v/>
      </c>
      <c r="BP83" s="174" t="str">
        <f>IF(BP$6="","",IF(BP$3="Maior",iferror(VLOOKUP($R83,Capa!$A:$AJ,BP$5,0),0),IF(ISERROR(1/VLOOKUP($R83,Capa!$A:$AJ,BP$5,0)),0,1/VLOOKUP($R83,Capa!$A:$AJ,BP$5,0))))</f>
        <v/>
      </c>
      <c r="BQ83" s="174" t="str">
        <f>IF(BQ$6="","",IF(BQ$3="Maior",iferror(VLOOKUP($R83,Capa!$A:$AJ,BQ$5,0),0),IF(ISERROR(1/VLOOKUP($R83,Capa!$A:$AJ,BQ$5,0)),0,1/VLOOKUP($R83,Capa!$A:$AJ,BQ$5,0))))</f>
        <v/>
      </c>
      <c r="BR83" s="175"/>
      <c r="BS83" s="147"/>
    </row>
    <row r="84">
      <c r="G84" s="11"/>
      <c r="H84" s="8">
        <v>78.0</v>
      </c>
      <c r="I84" s="165" t="str">
        <f t="shared" si="6"/>
        <v>TGMA3</v>
      </c>
      <c r="J84" s="166" t="str">
        <f>(VLOOKUP($I84,Capa!$A:$B,2,0))</f>
        <v>Tegma Gestao Logistica SA</v>
      </c>
      <c r="K84" s="167" t="str">
        <f>VLOOKUP(left(I84,4),Setor!A:D,3,0)&amp;" | "&amp;VLOOKUP(left(I84,4),Setor!A:D,4,0)</f>
        <v>Bens Industriais | Transporte</v>
      </c>
      <c r="L84" s="168">
        <f>(VLOOKUP($I84,Capa!$A:$F,6,0))</f>
        <v>39.98</v>
      </c>
      <c r="M84" s="168">
        <f t="shared" si="7"/>
        <v>7915289</v>
      </c>
      <c r="N84" s="177" t="str">
        <f>IFERROR(__xludf.DUMMYFUNCTION("(VLOOKUP($I84,Capa!$A:$H,7,0))"),"")</f>
        <v/>
      </c>
      <c r="O84" s="169">
        <f>(VLOOKUP($I84,Capa!$A:$H,8,0))</f>
        <v>0.1059474412</v>
      </c>
      <c r="P84" s="169" t="str">
        <f>IFERROR(__xludf.DUMMYFUNCTION("(VLOOKUP($I84,Capa!$A:$J,10,0))"),"")</f>
        <v/>
      </c>
      <c r="Q84" s="169">
        <f>(VLOOKUP($I84,Capa!$A:$K,11,0))</f>
        <v>0.199879952</v>
      </c>
      <c r="R84" s="45" t="str">
        <f>'Dados StatusInvest'!A79</f>
        <v>BMIN3</v>
      </c>
      <c r="S84" s="170">
        <f t="shared" si="8"/>
        <v>1641.0641</v>
      </c>
      <c r="T84" s="171">
        <f>VLOOKUP(R84,'Dados StatusInvest'!A:Z,26,0)</f>
        <v>2299</v>
      </c>
      <c r="U84" s="172">
        <f t="shared" ref="U84:AS84" si="86">IF(AT84="","", RANK(AT84,AT$7:AT$626,0)+RANK(AT84,AT$7:AT$626,0)/10000)</f>
        <v>552.0552</v>
      </c>
      <c r="V84" s="172">
        <f t="shared" si="86"/>
        <v>89.0089</v>
      </c>
      <c r="W84" s="172" t="str">
        <f t="shared" si="86"/>
        <v/>
      </c>
      <c r="X84" s="172" t="str">
        <f t="shared" si="86"/>
        <v/>
      </c>
      <c r="Y84" s="172" t="str">
        <f t="shared" si="86"/>
        <v/>
      </c>
      <c r="Z84" s="172" t="str">
        <f t="shared" si="86"/>
        <v/>
      </c>
      <c r="AA84" s="172" t="str">
        <f t="shared" si="86"/>
        <v/>
      </c>
      <c r="AB84" s="172" t="str">
        <f t="shared" si="86"/>
        <v/>
      </c>
      <c r="AC84" s="172" t="str">
        <f t="shared" si="86"/>
        <v/>
      </c>
      <c r="AD84" s="172" t="str">
        <f t="shared" si="86"/>
        <v/>
      </c>
      <c r="AE84" s="172" t="str">
        <f t="shared" si="86"/>
        <v/>
      </c>
      <c r="AF84" s="172" t="str">
        <f t="shared" si="86"/>
        <v/>
      </c>
      <c r="AG84" s="172" t="str">
        <f t="shared" si="86"/>
        <v/>
      </c>
      <c r="AH84" s="172" t="str">
        <f t="shared" si="86"/>
        <v/>
      </c>
      <c r="AI84" s="172" t="str">
        <f t="shared" si="86"/>
        <v/>
      </c>
      <c r="AJ84" s="172" t="str">
        <f t="shared" si="86"/>
        <v/>
      </c>
      <c r="AK84" s="172" t="str">
        <f t="shared" si="86"/>
        <v/>
      </c>
      <c r="AL84" s="172" t="str">
        <f t="shared" si="86"/>
        <v/>
      </c>
      <c r="AM84" s="172" t="str">
        <f t="shared" si="86"/>
        <v/>
      </c>
      <c r="AN84" s="172" t="str">
        <f t="shared" si="86"/>
        <v/>
      </c>
      <c r="AO84" s="172" t="str">
        <f t="shared" si="86"/>
        <v/>
      </c>
      <c r="AP84" s="172" t="str">
        <f t="shared" si="86"/>
        <v/>
      </c>
      <c r="AQ84" s="172" t="str">
        <f t="shared" si="86"/>
        <v/>
      </c>
      <c r="AR84" s="172" t="str">
        <f t="shared" si="86"/>
        <v/>
      </c>
      <c r="AS84" s="172" t="str">
        <f t="shared" si="86"/>
        <v/>
      </c>
      <c r="AT84" s="173">
        <f>IF(AT$6="","",IF(AT$3="Maior",iferror(VLOOKUP($R84,Capa!$A:$AJ,AT$5,0),0),IF(ISERROR(1/VLOOKUP($R84,Capa!$A:$AJ,AT$5,0)),0,1/VLOOKUP($R84,Capa!$A:$AJ,AT$5,0))))</f>
        <v>-5.882352941</v>
      </c>
      <c r="AU84" s="174">
        <f>IF(AU$6="","",IF(AU$3="Maior",iferror(VLOOKUP($R84,Capa!$A:$AJ,AU$5,0),0),IF(ISERROR(1/VLOOKUP($R84,Capa!$A:$AJ,AU$5,0)),0,1/VLOOKUP($R84,Capa!$A:$AJ,AU$5,0))))</f>
        <v>29.3</v>
      </c>
      <c r="AV84" s="174" t="str">
        <f>IF(AV$6="","",IF(AV$3="Maior",iferror(VLOOKUP($R84,Capa!$A:$AJ,AV$5,0),0),IF(ISERROR(1/VLOOKUP($R84,Capa!$A:$AJ,AV$5,0)),0,1/VLOOKUP($R84,Capa!$A:$AJ,AV$5,0))))</f>
        <v/>
      </c>
      <c r="AW84" s="174" t="str">
        <f>IF(AW$6="","",IF(AW$3="Maior",iferror(VLOOKUP($R84,Capa!$A:$AJ,AW$5,0),0),IF(ISERROR(1/VLOOKUP($R84,Capa!$A:$AJ,AW$5,0)),0,1/VLOOKUP($R84,Capa!$A:$AJ,AW$5,0))))</f>
        <v/>
      </c>
      <c r="AX84" s="174" t="str">
        <f>IF(AX$6="","",IF(AX$3="Maior",iferror(VLOOKUP($R84,Capa!$A:$AJ,AX$5,0),0),IF(ISERROR(1/VLOOKUP($R84,Capa!$A:$AJ,AX$5,0)),0,1/VLOOKUP($R84,Capa!$A:$AJ,AX$5,0))))</f>
        <v/>
      </c>
      <c r="AY84" s="174" t="str">
        <f>IF(AY$6="","",IF(AY$3="Maior",iferror(VLOOKUP($R84,Capa!$A:$AJ,AY$5,0),0),IF(ISERROR(1/VLOOKUP($R84,Capa!$A:$AJ,AY$5,0)),0,1/VLOOKUP($R84,Capa!$A:$AJ,AY$5,0))))</f>
        <v/>
      </c>
      <c r="AZ84" s="174" t="str">
        <f>IF(AZ$6="","",IF(AZ$3="Maior",iferror(VLOOKUP($R84,Capa!$A:$AJ,AZ$5,0),0),IF(ISERROR(1/VLOOKUP($R84,Capa!$A:$AJ,AZ$5,0)),0,1/VLOOKUP($R84,Capa!$A:$AJ,AZ$5,0))))</f>
        <v/>
      </c>
      <c r="BA84" s="174" t="str">
        <f>IF(BA$6="","",IF(BA$3="Maior",iferror(VLOOKUP($R84,Capa!$A:$AJ,BA$5,0),0),IF(ISERROR(1/VLOOKUP($R84,Capa!$A:$AJ,BA$5,0)),0,1/VLOOKUP($R84,Capa!$A:$AJ,BA$5,0))))</f>
        <v/>
      </c>
      <c r="BB84" s="174" t="str">
        <f>IF(BB$6="","",IF(BB$3="Maior",iferror(VLOOKUP($R84,Capa!$A:$AJ,BB$5,0),0),IF(ISERROR(1/VLOOKUP($R84,Capa!$A:$AJ,BB$5,0)),0,1/VLOOKUP($R84,Capa!$A:$AJ,BB$5,0))))</f>
        <v/>
      </c>
      <c r="BC84" s="174" t="str">
        <f>IF(BC$6="","",IF(BC$3="Maior",iferror(VLOOKUP($R84,Capa!$A:$AJ,BC$5,0),0),IF(ISERROR(1/VLOOKUP($R84,Capa!$A:$AJ,BC$5,0)),0,1/VLOOKUP($R84,Capa!$A:$AJ,BC$5,0))))</f>
        <v/>
      </c>
      <c r="BD84" s="174" t="str">
        <f>IF(BD$6="","",IF(BD$3="Maior",iferror(VLOOKUP($R84,Capa!$A:$AJ,BD$5,0),0),IF(ISERROR(1/VLOOKUP($R84,Capa!$A:$AJ,BD$5,0)),0,1/VLOOKUP($R84,Capa!$A:$AJ,BD$5,0))))</f>
        <v/>
      </c>
      <c r="BE84" s="174" t="str">
        <f>IF(BE$6="","",IF(BE$3="Maior",iferror(VLOOKUP($R84,Capa!$A:$AJ,BE$5,0),0),IF(ISERROR(1/VLOOKUP($R84,Capa!$A:$AJ,BE$5,0)),0,1/VLOOKUP($R84,Capa!$A:$AJ,BE$5,0))))</f>
        <v/>
      </c>
      <c r="BF84" s="174" t="str">
        <f>IF(BF$6="","",IF(BF$3="Maior",iferror(VLOOKUP($R84,Capa!$A:$AJ,BF$5,0),0),IF(ISERROR(1/VLOOKUP($R84,Capa!$A:$AJ,BF$5,0)),0,1/VLOOKUP($R84,Capa!$A:$AJ,BF$5,0))))</f>
        <v/>
      </c>
      <c r="BG84" s="174" t="str">
        <f>IF(BG$6="","",IF(BG$3="Maior",iferror(VLOOKUP($R84,Capa!$A:$AJ,BG$5,0),0),IF(ISERROR(1/VLOOKUP($R84,Capa!$A:$AJ,BG$5,0)),0,1/VLOOKUP($R84,Capa!$A:$AJ,BG$5,0))))</f>
        <v/>
      </c>
      <c r="BH84" s="174" t="str">
        <f>IF(BH$6="","",IF(BH$3="Maior",iferror(VLOOKUP($R84,Capa!$A:$AJ,BH$5,0),0),IF(ISERROR(1/VLOOKUP($R84,Capa!$A:$AJ,BH$5,0)),0,1/VLOOKUP($R84,Capa!$A:$AJ,BH$5,0))))</f>
        <v/>
      </c>
      <c r="BI84" s="174" t="str">
        <f>IF(BI$6="","",IF(BI$3="Maior",iferror(VLOOKUP($R84,Capa!$A:$AJ,BI$5,0),0),IF(ISERROR(1/VLOOKUP($R84,Capa!$A:$AJ,BI$5,0)),0,1/VLOOKUP($R84,Capa!$A:$AJ,BI$5,0))))</f>
        <v/>
      </c>
      <c r="BJ84" s="174" t="str">
        <f>IF(BJ$6="","",IF(BJ$3="Maior",iferror(VLOOKUP($R84,Capa!$A:$AJ,BJ$5,0),0),IF(ISERROR(1/VLOOKUP($R84,Capa!$A:$AJ,BJ$5,0)),0,1/VLOOKUP($R84,Capa!$A:$AJ,BJ$5,0))))</f>
        <v/>
      </c>
      <c r="BK84" s="174" t="str">
        <f>IF(BK$6="","",IF(BK$3="Maior",iferror(VLOOKUP($R84,Capa!$A:$AJ,BK$5,0),0),IF(ISERROR(1/VLOOKUP($R84,Capa!$A:$AJ,BK$5,0)),0,1/VLOOKUP($R84,Capa!$A:$AJ,BK$5,0))))</f>
        <v/>
      </c>
      <c r="BL84" s="174" t="str">
        <f>IF(BL$6="","",IF(BL$3="Maior",iferror(VLOOKUP($R84,Capa!$A:$AJ,BL$5,0),0),IF(ISERROR(1/VLOOKUP($R84,Capa!$A:$AJ,BL$5,0)),0,1/VLOOKUP($R84,Capa!$A:$AJ,BL$5,0))))</f>
        <v/>
      </c>
      <c r="BM84" s="174" t="str">
        <f>IF(BM$6="","",IF(BM$3="Maior",iferror(VLOOKUP($R84,Capa!$A:$AJ,BM$5,0),0),IF(ISERROR(1/VLOOKUP($R84,Capa!$A:$AJ,BM$5,0)),0,1/VLOOKUP($R84,Capa!$A:$AJ,BM$5,0))))</f>
        <v/>
      </c>
      <c r="BN84" s="174" t="str">
        <f>IF(BN$6="","",IF(BN$3="Maior",iferror(VLOOKUP($R84,Capa!$A:$AJ,BN$5,0),0),IF(ISERROR(1/VLOOKUP($R84,Capa!$A:$AJ,BN$5,0)),0,1/VLOOKUP($R84,Capa!$A:$AJ,BN$5,0))))</f>
        <v/>
      </c>
      <c r="BO84" s="174" t="str">
        <f>IF(BO$6="","",IF(BO$3="Maior",iferror(VLOOKUP($R84,Capa!$A:$AJ,BO$5,0),0),IF(ISERROR(1/VLOOKUP($R84,Capa!$A:$AJ,BO$5,0)),0,1/VLOOKUP($R84,Capa!$A:$AJ,BO$5,0))))</f>
        <v/>
      </c>
      <c r="BP84" s="174" t="str">
        <f>IF(BP$6="","",IF(BP$3="Maior",iferror(VLOOKUP($R84,Capa!$A:$AJ,BP$5,0),0),IF(ISERROR(1/VLOOKUP($R84,Capa!$A:$AJ,BP$5,0)),0,1/VLOOKUP($R84,Capa!$A:$AJ,BP$5,0))))</f>
        <v/>
      </c>
      <c r="BQ84" s="174" t="str">
        <f>IF(BQ$6="","",IF(BQ$3="Maior",iferror(VLOOKUP($R84,Capa!$A:$AJ,BQ$5,0),0),IF(ISERROR(1/VLOOKUP($R84,Capa!$A:$AJ,BQ$5,0)),0,1/VLOOKUP($R84,Capa!$A:$AJ,BQ$5,0))))</f>
        <v/>
      </c>
      <c r="BR84" s="175"/>
      <c r="BS84" s="147"/>
    </row>
    <row r="85">
      <c r="G85" s="11"/>
      <c r="H85" s="8">
        <v>79.0</v>
      </c>
      <c r="I85" s="165" t="str">
        <f t="shared" si="6"/>
        <v>CSMG3</v>
      </c>
      <c r="J85" s="166" t="str">
        <f>(VLOOKUP($I85,Capa!$A:$B,2,0))</f>
        <v>Companhia de Saneamento d Mns Grs CPS MG</v>
      </c>
      <c r="K85" s="167" t="str">
        <f>VLOOKUP(left(I85,4),Setor!A:D,3,0)&amp;" | "&amp;VLOOKUP(left(I85,4),Setor!A:D,4,0)</f>
        <v>Utilidade Pública | Água e Saneamento</v>
      </c>
      <c r="L85" s="168">
        <f>(VLOOKUP($I85,Capa!$A:$F,6,0))</f>
        <v>57.16</v>
      </c>
      <c r="M85" s="168">
        <f t="shared" si="7"/>
        <v>160000000</v>
      </c>
      <c r="N85" s="11" t="str">
        <f>IFERROR(__xludf.DUMMYFUNCTION("(VLOOKUP($I85,Capa!$A:$H,7,0))"),"")</f>
        <v/>
      </c>
      <c r="O85" s="169">
        <f>(VLOOKUP($I85,Capa!$A:$H,8,0))</f>
        <v>0.2190232459</v>
      </c>
      <c r="P85" s="11" t="str">
        <f>IFERROR(__xludf.DUMMYFUNCTION("(VLOOKUP($I85,Capa!$A:$J,10,0))"),"")</f>
        <v/>
      </c>
      <c r="Q85" s="169">
        <f>(VLOOKUP($I85,Capa!$A:$K,11,0))</f>
        <v>1.480902778</v>
      </c>
      <c r="R85" s="45" t="str">
        <f>'Dados StatusInvest'!A80</f>
        <v>BMIN4</v>
      </c>
      <c r="S85" s="170">
        <f t="shared" si="8"/>
        <v>1654.0654</v>
      </c>
      <c r="T85" s="171">
        <f>VLOOKUP(R85,'Dados StatusInvest'!A:Z,26,0)</f>
        <v>3498.5</v>
      </c>
      <c r="U85" s="172">
        <f t="shared" ref="U85:AS85" si="87">IF(AT85="","", RANK(AT85,AT$7:AT$626,0)+RANK(AT85,AT$7:AT$626,0)/10000)</f>
        <v>565.0565</v>
      </c>
      <c r="V85" s="172">
        <f t="shared" si="87"/>
        <v>89.0089</v>
      </c>
      <c r="W85" s="172" t="str">
        <f t="shared" si="87"/>
        <v/>
      </c>
      <c r="X85" s="172" t="str">
        <f t="shared" si="87"/>
        <v/>
      </c>
      <c r="Y85" s="172" t="str">
        <f t="shared" si="87"/>
        <v/>
      </c>
      <c r="Z85" s="172" t="str">
        <f t="shared" si="87"/>
        <v/>
      </c>
      <c r="AA85" s="172" t="str">
        <f t="shared" si="87"/>
        <v/>
      </c>
      <c r="AB85" s="172" t="str">
        <f t="shared" si="87"/>
        <v/>
      </c>
      <c r="AC85" s="172" t="str">
        <f t="shared" si="87"/>
        <v/>
      </c>
      <c r="AD85" s="172" t="str">
        <f t="shared" si="87"/>
        <v/>
      </c>
      <c r="AE85" s="172" t="str">
        <f t="shared" si="87"/>
        <v/>
      </c>
      <c r="AF85" s="172" t="str">
        <f t="shared" si="87"/>
        <v/>
      </c>
      <c r="AG85" s="172" t="str">
        <f t="shared" si="87"/>
        <v/>
      </c>
      <c r="AH85" s="172" t="str">
        <f t="shared" si="87"/>
        <v/>
      </c>
      <c r="AI85" s="172" t="str">
        <f t="shared" si="87"/>
        <v/>
      </c>
      <c r="AJ85" s="172" t="str">
        <f t="shared" si="87"/>
        <v/>
      </c>
      <c r="AK85" s="172" t="str">
        <f t="shared" si="87"/>
        <v/>
      </c>
      <c r="AL85" s="172" t="str">
        <f t="shared" si="87"/>
        <v/>
      </c>
      <c r="AM85" s="172" t="str">
        <f t="shared" si="87"/>
        <v/>
      </c>
      <c r="AN85" s="172" t="str">
        <f t="shared" si="87"/>
        <v/>
      </c>
      <c r="AO85" s="172" t="str">
        <f t="shared" si="87"/>
        <v/>
      </c>
      <c r="AP85" s="172" t="str">
        <f t="shared" si="87"/>
        <v/>
      </c>
      <c r="AQ85" s="172" t="str">
        <f t="shared" si="87"/>
        <v/>
      </c>
      <c r="AR85" s="172" t="str">
        <f t="shared" si="87"/>
        <v/>
      </c>
      <c r="AS85" s="172" t="str">
        <f t="shared" si="87"/>
        <v/>
      </c>
      <c r="AT85" s="173">
        <f>IF(AT$6="","",IF(AT$3="Maior",iferror(VLOOKUP($R85,Capa!$A:$AJ,AT$5,0),0),IF(ISERROR(1/VLOOKUP($R85,Capa!$A:$AJ,AT$5,0)),0,1/VLOOKUP($R85,Capa!$A:$AJ,AT$5,0))))</f>
        <v>-7.142857143</v>
      </c>
      <c r="AU85" s="174">
        <f>IF(AU$6="","",IF(AU$3="Maior",iferror(VLOOKUP($R85,Capa!$A:$AJ,AU$5,0),0),IF(ISERROR(1/VLOOKUP($R85,Capa!$A:$AJ,AU$5,0)),0,1/VLOOKUP($R85,Capa!$A:$AJ,AU$5,0))))</f>
        <v>29.3</v>
      </c>
      <c r="AV85" s="174" t="str">
        <f>IF(AV$6="","",IF(AV$3="Maior",iferror(VLOOKUP($R85,Capa!$A:$AJ,AV$5,0),0),IF(ISERROR(1/VLOOKUP($R85,Capa!$A:$AJ,AV$5,0)),0,1/VLOOKUP($R85,Capa!$A:$AJ,AV$5,0))))</f>
        <v/>
      </c>
      <c r="AW85" s="174" t="str">
        <f>IF(AW$6="","",IF(AW$3="Maior",iferror(VLOOKUP($R85,Capa!$A:$AJ,AW$5,0),0),IF(ISERROR(1/VLOOKUP($R85,Capa!$A:$AJ,AW$5,0)),0,1/VLOOKUP($R85,Capa!$A:$AJ,AW$5,0))))</f>
        <v/>
      </c>
      <c r="AX85" s="174" t="str">
        <f>IF(AX$6="","",IF(AX$3="Maior",iferror(VLOOKUP($R85,Capa!$A:$AJ,AX$5,0),0),IF(ISERROR(1/VLOOKUP($R85,Capa!$A:$AJ,AX$5,0)),0,1/VLOOKUP($R85,Capa!$A:$AJ,AX$5,0))))</f>
        <v/>
      </c>
      <c r="AY85" s="174" t="str">
        <f>IF(AY$6="","",IF(AY$3="Maior",iferror(VLOOKUP($R85,Capa!$A:$AJ,AY$5,0),0),IF(ISERROR(1/VLOOKUP($R85,Capa!$A:$AJ,AY$5,0)),0,1/VLOOKUP($R85,Capa!$A:$AJ,AY$5,0))))</f>
        <v/>
      </c>
      <c r="AZ85" s="174" t="str">
        <f>IF(AZ$6="","",IF(AZ$3="Maior",iferror(VLOOKUP($R85,Capa!$A:$AJ,AZ$5,0),0),IF(ISERROR(1/VLOOKUP($R85,Capa!$A:$AJ,AZ$5,0)),0,1/VLOOKUP($R85,Capa!$A:$AJ,AZ$5,0))))</f>
        <v/>
      </c>
      <c r="BA85" s="174" t="str">
        <f>IF(BA$6="","",IF(BA$3="Maior",iferror(VLOOKUP($R85,Capa!$A:$AJ,BA$5,0),0),IF(ISERROR(1/VLOOKUP($R85,Capa!$A:$AJ,BA$5,0)),0,1/VLOOKUP($R85,Capa!$A:$AJ,BA$5,0))))</f>
        <v/>
      </c>
      <c r="BB85" s="174" t="str">
        <f>IF(BB$6="","",IF(BB$3="Maior",iferror(VLOOKUP($R85,Capa!$A:$AJ,BB$5,0),0),IF(ISERROR(1/VLOOKUP($R85,Capa!$A:$AJ,BB$5,0)),0,1/VLOOKUP($R85,Capa!$A:$AJ,BB$5,0))))</f>
        <v/>
      </c>
      <c r="BC85" s="174" t="str">
        <f>IF(BC$6="","",IF(BC$3="Maior",iferror(VLOOKUP($R85,Capa!$A:$AJ,BC$5,0),0),IF(ISERROR(1/VLOOKUP($R85,Capa!$A:$AJ,BC$5,0)),0,1/VLOOKUP($R85,Capa!$A:$AJ,BC$5,0))))</f>
        <v/>
      </c>
      <c r="BD85" s="174" t="str">
        <f>IF(BD$6="","",IF(BD$3="Maior",iferror(VLOOKUP($R85,Capa!$A:$AJ,BD$5,0),0),IF(ISERROR(1/VLOOKUP($R85,Capa!$A:$AJ,BD$5,0)),0,1/VLOOKUP($R85,Capa!$A:$AJ,BD$5,0))))</f>
        <v/>
      </c>
      <c r="BE85" s="174" t="str">
        <f>IF(BE$6="","",IF(BE$3="Maior",iferror(VLOOKUP($R85,Capa!$A:$AJ,BE$5,0),0),IF(ISERROR(1/VLOOKUP($R85,Capa!$A:$AJ,BE$5,0)),0,1/VLOOKUP($R85,Capa!$A:$AJ,BE$5,0))))</f>
        <v/>
      </c>
      <c r="BF85" s="174" t="str">
        <f>IF(BF$6="","",IF(BF$3="Maior",iferror(VLOOKUP($R85,Capa!$A:$AJ,BF$5,0),0),IF(ISERROR(1/VLOOKUP($R85,Capa!$A:$AJ,BF$5,0)),0,1/VLOOKUP($R85,Capa!$A:$AJ,BF$5,0))))</f>
        <v/>
      </c>
      <c r="BG85" s="174" t="str">
        <f>IF(BG$6="","",IF(BG$3="Maior",iferror(VLOOKUP($R85,Capa!$A:$AJ,BG$5,0),0),IF(ISERROR(1/VLOOKUP($R85,Capa!$A:$AJ,BG$5,0)),0,1/VLOOKUP($R85,Capa!$A:$AJ,BG$5,0))))</f>
        <v/>
      </c>
      <c r="BH85" s="174" t="str">
        <f>IF(BH$6="","",IF(BH$3="Maior",iferror(VLOOKUP($R85,Capa!$A:$AJ,BH$5,0),0),IF(ISERROR(1/VLOOKUP($R85,Capa!$A:$AJ,BH$5,0)),0,1/VLOOKUP($R85,Capa!$A:$AJ,BH$5,0))))</f>
        <v/>
      </c>
      <c r="BI85" s="174" t="str">
        <f>IF(BI$6="","",IF(BI$3="Maior",iferror(VLOOKUP($R85,Capa!$A:$AJ,BI$5,0),0),IF(ISERROR(1/VLOOKUP($R85,Capa!$A:$AJ,BI$5,0)),0,1/VLOOKUP($R85,Capa!$A:$AJ,BI$5,0))))</f>
        <v/>
      </c>
      <c r="BJ85" s="174" t="str">
        <f>IF(BJ$6="","",IF(BJ$3="Maior",iferror(VLOOKUP($R85,Capa!$A:$AJ,BJ$5,0),0),IF(ISERROR(1/VLOOKUP($R85,Capa!$A:$AJ,BJ$5,0)),0,1/VLOOKUP($R85,Capa!$A:$AJ,BJ$5,0))))</f>
        <v/>
      </c>
      <c r="BK85" s="174" t="str">
        <f>IF(BK$6="","",IF(BK$3="Maior",iferror(VLOOKUP($R85,Capa!$A:$AJ,BK$5,0),0),IF(ISERROR(1/VLOOKUP($R85,Capa!$A:$AJ,BK$5,0)),0,1/VLOOKUP($R85,Capa!$A:$AJ,BK$5,0))))</f>
        <v/>
      </c>
      <c r="BL85" s="174" t="str">
        <f>IF(BL$6="","",IF(BL$3="Maior",iferror(VLOOKUP($R85,Capa!$A:$AJ,BL$5,0),0),IF(ISERROR(1/VLOOKUP($R85,Capa!$A:$AJ,BL$5,0)),0,1/VLOOKUP($R85,Capa!$A:$AJ,BL$5,0))))</f>
        <v/>
      </c>
      <c r="BM85" s="174" t="str">
        <f>IF(BM$6="","",IF(BM$3="Maior",iferror(VLOOKUP($R85,Capa!$A:$AJ,BM$5,0),0),IF(ISERROR(1/VLOOKUP($R85,Capa!$A:$AJ,BM$5,0)),0,1/VLOOKUP($R85,Capa!$A:$AJ,BM$5,0))))</f>
        <v/>
      </c>
      <c r="BN85" s="174" t="str">
        <f>IF(BN$6="","",IF(BN$3="Maior",iferror(VLOOKUP($R85,Capa!$A:$AJ,BN$5,0),0),IF(ISERROR(1/VLOOKUP($R85,Capa!$A:$AJ,BN$5,0)),0,1/VLOOKUP($R85,Capa!$A:$AJ,BN$5,0))))</f>
        <v/>
      </c>
      <c r="BO85" s="174" t="str">
        <f>IF(BO$6="","",IF(BO$3="Maior",iferror(VLOOKUP($R85,Capa!$A:$AJ,BO$5,0),0),IF(ISERROR(1/VLOOKUP($R85,Capa!$A:$AJ,BO$5,0)),0,1/VLOOKUP($R85,Capa!$A:$AJ,BO$5,0))))</f>
        <v/>
      </c>
      <c r="BP85" s="174" t="str">
        <f>IF(BP$6="","",IF(BP$3="Maior",iferror(VLOOKUP($R85,Capa!$A:$AJ,BP$5,0),0),IF(ISERROR(1/VLOOKUP($R85,Capa!$A:$AJ,BP$5,0)),0,1/VLOOKUP($R85,Capa!$A:$AJ,BP$5,0))))</f>
        <v/>
      </c>
      <c r="BQ85" s="174" t="str">
        <f>IF(BQ$6="","",IF(BQ$3="Maior",iferror(VLOOKUP($R85,Capa!$A:$AJ,BQ$5,0),0),IF(ISERROR(1/VLOOKUP($R85,Capa!$A:$AJ,BQ$5,0)),0,1/VLOOKUP($R85,Capa!$A:$AJ,BQ$5,0))))</f>
        <v/>
      </c>
      <c r="BR85" s="175"/>
      <c r="BS85" s="147"/>
    </row>
    <row r="86">
      <c r="G86" s="11"/>
      <c r="H86" s="8">
        <v>80.0</v>
      </c>
      <c r="I86" s="165" t="str">
        <f t="shared" si="6"/>
        <v>TRIS3</v>
      </c>
      <c r="J86" s="166" t="str">
        <f>(VLOOKUP($I86,Capa!$A:$B,2,0))</f>
        <v>Trisul SA</v>
      </c>
      <c r="K86" s="167" t="str">
        <f>VLOOKUP(left(I86,4),Setor!A:D,3,0)&amp;" | "&amp;VLOOKUP(left(I86,4),Setor!A:D,4,0)</f>
        <v>Consumo Cíclico | Construção Civil</v>
      </c>
      <c r="L86" s="168">
        <f>(VLOOKUP($I86,Capa!$A:$F,6,0))</f>
        <v>7.22</v>
      </c>
      <c r="M86" s="168">
        <f t="shared" si="7"/>
        <v>2808423</v>
      </c>
      <c r="N86" s="177" t="str">
        <f>IFERROR(__xludf.DUMMYFUNCTION("(VLOOKUP($I86,Capa!$A:$H,7,0))"),"")</f>
        <v/>
      </c>
      <c r="O86" s="169">
        <f>(VLOOKUP($I86,Capa!$A:$H,8,0))</f>
        <v>0.1533546326</v>
      </c>
      <c r="P86" s="169" t="str">
        <f>IFERROR(__xludf.DUMMYFUNCTION("(VLOOKUP($I86,Capa!$A:$J,10,0))"),"")</f>
        <v/>
      </c>
      <c r="Q86" s="169">
        <f>(VLOOKUP($I86,Capa!$A:$K,11,0))</f>
        <v>0.6297968397</v>
      </c>
      <c r="R86" s="45" t="str">
        <f>'Dados StatusInvest'!A81</f>
        <v>BMKS3</v>
      </c>
      <c r="S86" s="170">
        <f t="shared" si="8"/>
        <v>1220.022</v>
      </c>
      <c r="T86" s="171">
        <f>VLOOKUP(R86,'Dados StatusInvest'!A:Z,26,0)</f>
        <v>43088.95</v>
      </c>
      <c r="U86" s="172">
        <f t="shared" ref="U86:AS86" si="88">IF(AT86="","", RANK(AT86,AT$7:AT$626,0)+RANK(AT86,AT$7:AT$626,0)/10000)</f>
        <v>214.0214</v>
      </c>
      <c r="V86" s="172">
        <f t="shared" si="88"/>
        <v>6.0006</v>
      </c>
      <c r="W86" s="172" t="str">
        <f t="shared" si="88"/>
        <v/>
      </c>
      <c r="X86" s="172" t="str">
        <f t="shared" si="88"/>
        <v/>
      </c>
      <c r="Y86" s="172" t="str">
        <f t="shared" si="88"/>
        <v/>
      </c>
      <c r="Z86" s="172" t="str">
        <f t="shared" si="88"/>
        <v/>
      </c>
      <c r="AA86" s="172" t="str">
        <f t="shared" si="88"/>
        <v/>
      </c>
      <c r="AB86" s="172" t="str">
        <f t="shared" si="88"/>
        <v/>
      </c>
      <c r="AC86" s="172" t="str">
        <f t="shared" si="88"/>
        <v/>
      </c>
      <c r="AD86" s="172" t="str">
        <f t="shared" si="88"/>
        <v/>
      </c>
      <c r="AE86" s="172" t="str">
        <f t="shared" si="88"/>
        <v/>
      </c>
      <c r="AF86" s="172" t="str">
        <f t="shared" si="88"/>
        <v/>
      </c>
      <c r="AG86" s="172" t="str">
        <f t="shared" si="88"/>
        <v/>
      </c>
      <c r="AH86" s="172" t="str">
        <f t="shared" si="88"/>
        <v/>
      </c>
      <c r="AI86" s="172" t="str">
        <f t="shared" si="88"/>
        <v/>
      </c>
      <c r="AJ86" s="172" t="str">
        <f t="shared" si="88"/>
        <v/>
      </c>
      <c r="AK86" s="172" t="str">
        <f t="shared" si="88"/>
        <v/>
      </c>
      <c r="AL86" s="172" t="str">
        <f t="shared" si="88"/>
        <v/>
      </c>
      <c r="AM86" s="172" t="str">
        <f t="shared" si="88"/>
        <v/>
      </c>
      <c r="AN86" s="172" t="str">
        <f t="shared" si="88"/>
        <v/>
      </c>
      <c r="AO86" s="172" t="str">
        <f t="shared" si="88"/>
        <v/>
      </c>
      <c r="AP86" s="172" t="str">
        <f t="shared" si="88"/>
        <v/>
      </c>
      <c r="AQ86" s="172" t="str">
        <f t="shared" si="88"/>
        <v/>
      </c>
      <c r="AR86" s="172" t="str">
        <f t="shared" si="88"/>
        <v/>
      </c>
      <c r="AS86" s="172" t="str">
        <f t="shared" si="88"/>
        <v/>
      </c>
      <c r="AT86" s="173">
        <f>IF(AT$6="","",IF(AT$3="Maior",iferror(VLOOKUP($R86,Capa!$A:$AJ,AT$5,0),0),IF(ISERROR(1/VLOOKUP($R86,Capa!$A:$AJ,AT$5,0)),0,1/VLOOKUP($R86,Capa!$A:$AJ,AT$5,0))))</f>
        <v>-0.3056153069</v>
      </c>
      <c r="AU86" s="174">
        <f>IF(AU$6="","",IF(AU$3="Maior",iferror(VLOOKUP($R86,Capa!$A:$AJ,AU$5,0),0),IF(ISERROR(1/VLOOKUP($R86,Capa!$A:$AJ,AU$5,0)),0,1/VLOOKUP($R86,Capa!$A:$AJ,AU$5,0))))</f>
        <v>85.96</v>
      </c>
      <c r="AV86" s="174" t="str">
        <f>IF(AV$6="","",IF(AV$3="Maior",iferror(VLOOKUP($R86,Capa!$A:$AJ,AV$5,0),0),IF(ISERROR(1/VLOOKUP($R86,Capa!$A:$AJ,AV$5,0)),0,1/VLOOKUP($R86,Capa!$A:$AJ,AV$5,0))))</f>
        <v/>
      </c>
      <c r="AW86" s="174" t="str">
        <f>IF(AW$6="","",IF(AW$3="Maior",iferror(VLOOKUP($R86,Capa!$A:$AJ,AW$5,0),0),IF(ISERROR(1/VLOOKUP($R86,Capa!$A:$AJ,AW$5,0)),0,1/VLOOKUP($R86,Capa!$A:$AJ,AW$5,0))))</f>
        <v/>
      </c>
      <c r="AX86" s="174" t="str">
        <f>IF(AX$6="","",IF(AX$3="Maior",iferror(VLOOKUP($R86,Capa!$A:$AJ,AX$5,0),0),IF(ISERROR(1/VLOOKUP($R86,Capa!$A:$AJ,AX$5,0)),0,1/VLOOKUP($R86,Capa!$A:$AJ,AX$5,0))))</f>
        <v/>
      </c>
      <c r="AY86" s="174" t="str">
        <f>IF(AY$6="","",IF(AY$3="Maior",iferror(VLOOKUP($R86,Capa!$A:$AJ,AY$5,0),0),IF(ISERROR(1/VLOOKUP($R86,Capa!$A:$AJ,AY$5,0)),0,1/VLOOKUP($R86,Capa!$A:$AJ,AY$5,0))))</f>
        <v/>
      </c>
      <c r="AZ86" s="174" t="str">
        <f>IF(AZ$6="","",IF(AZ$3="Maior",iferror(VLOOKUP($R86,Capa!$A:$AJ,AZ$5,0),0),IF(ISERROR(1/VLOOKUP($R86,Capa!$A:$AJ,AZ$5,0)),0,1/VLOOKUP($R86,Capa!$A:$AJ,AZ$5,0))))</f>
        <v/>
      </c>
      <c r="BA86" s="174" t="str">
        <f>IF(BA$6="","",IF(BA$3="Maior",iferror(VLOOKUP($R86,Capa!$A:$AJ,BA$5,0),0),IF(ISERROR(1/VLOOKUP($R86,Capa!$A:$AJ,BA$5,0)),0,1/VLOOKUP($R86,Capa!$A:$AJ,BA$5,0))))</f>
        <v/>
      </c>
      <c r="BB86" s="174" t="str">
        <f>IF(BB$6="","",IF(BB$3="Maior",iferror(VLOOKUP($R86,Capa!$A:$AJ,BB$5,0),0),IF(ISERROR(1/VLOOKUP($R86,Capa!$A:$AJ,BB$5,0)),0,1/VLOOKUP($R86,Capa!$A:$AJ,BB$5,0))))</f>
        <v/>
      </c>
      <c r="BC86" s="174" t="str">
        <f>IF(BC$6="","",IF(BC$3="Maior",iferror(VLOOKUP($R86,Capa!$A:$AJ,BC$5,0),0),IF(ISERROR(1/VLOOKUP($R86,Capa!$A:$AJ,BC$5,0)),0,1/VLOOKUP($R86,Capa!$A:$AJ,BC$5,0))))</f>
        <v/>
      </c>
      <c r="BD86" s="174" t="str">
        <f>IF(BD$6="","",IF(BD$3="Maior",iferror(VLOOKUP($R86,Capa!$A:$AJ,BD$5,0),0),IF(ISERROR(1/VLOOKUP($R86,Capa!$A:$AJ,BD$5,0)),0,1/VLOOKUP($R86,Capa!$A:$AJ,BD$5,0))))</f>
        <v/>
      </c>
      <c r="BE86" s="174" t="str">
        <f>IF(BE$6="","",IF(BE$3="Maior",iferror(VLOOKUP($R86,Capa!$A:$AJ,BE$5,0),0),IF(ISERROR(1/VLOOKUP($R86,Capa!$A:$AJ,BE$5,0)),0,1/VLOOKUP($R86,Capa!$A:$AJ,BE$5,0))))</f>
        <v/>
      </c>
      <c r="BF86" s="174" t="str">
        <f>IF(BF$6="","",IF(BF$3="Maior",iferror(VLOOKUP($R86,Capa!$A:$AJ,BF$5,0),0),IF(ISERROR(1/VLOOKUP($R86,Capa!$A:$AJ,BF$5,0)),0,1/VLOOKUP($R86,Capa!$A:$AJ,BF$5,0))))</f>
        <v/>
      </c>
      <c r="BG86" s="174" t="str">
        <f>IF(BG$6="","",IF(BG$3="Maior",iferror(VLOOKUP($R86,Capa!$A:$AJ,BG$5,0),0),IF(ISERROR(1/VLOOKUP($R86,Capa!$A:$AJ,BG$5,0)),0,1/VLOOKUP($R86,Capa!$A:$AJ,BG$5,0))))</f>
        <v/>
      </c>
      <c r="BH86" s="174" t="str">
        <f>IF(BH$6="","",IF(BH$3="Maior",iferror(VLOOKUP($R86,Capa!$A:$AJ,BH$5,0),0),IF(ISERROR(1/VLOOKUP($R86,Capa!$A:$AJ,BH$5,0)),0,1/VLOOKUP($R86,Capa!$A:$AJ,BH$5,0))))</f>
        <v/>
      </c>
      <c r="BI86" s="174" t="str">
        <f>IF(BI$6="","",IF(BI$3="Maior",iferror(VLOOKUP($R86,Capa!$A:$AJ,BI$5,0),0),IF(ISERROR(1/VLOOKUP($R86,Capa!$A:$AJ,BI$5,0)),0,1/VLOOKUP($R86,Capa!$A:$AJ,BI$5,0))))</f>
        <v/>
      </c>
      <c r="BJ86" s="174" t="str">
        <f>IF(BJ$6="","",IF(BJ$3="Maior",iferror(VLOOKUP($R86,Capa!$A:$AJ,BJ$5,0),0),IF(ISERROR(1/VLOOKUP($R86,Capa!$A:$AJ,BJ$5,0)),0,1/VLOOKUP($R86,Capa!$A:$AJ,BJ$5,0))))</f>
        <v/>
      </c>
      <c r="BK86" s="174" t="str">
        <f>IF(BK$6="","",IF(BK$3="Maior",iferror(VLOOKUP($R86,Capa!$A:$AJ,BK$5,0),0),IF(ISERROR(1/VLOOKUP($R86,Capa!$A:$AJ,BK$5,0)),0,1/VLOOKUP($R86,Capa!$A:$AJ,BK$5,0))))</f>
        <v/>
      </c>
      <c r="BL86" s="174" t="str">
        <f>IF(BL$6="","",IF(BL$3="Maior",iferror(VLOOKUP($R86,Capa!$A:$AJ,BL$5,0),0),IF(ISERROR(1/VLOOKUP($R86,Capa!$A:$AJ,BL$5,0)),0,1/VLOOKUP($R86,Capa!$A:$AJ,BL$5,0))))</f>
        <v/>
      </c>
      <c r="BM86" s="174" t="str">
        <f>IF(BM$6="","",IF(BM$3="Maior",iferror(VLOOKUP($R86,Capa!$A:$AJ,BM$5,0),0),IF(ISERROR(1/VLOOKUP($R86,Capa!$A:$AJ,BM$5,0)),0,1/VLOOKUP($R86,Capa!$A:$AJ,BM$5,0))))</f>
        <v/>
      </c>
      <c r="BN86" s="174" t="str">
        <f>IF(BN$6="","",IF(BN$3="Maior",iferror(VLOOKUP($R86,Capa!$A:$AJ,BN$5,0),0),IF(ISERROR(1/VLOOKUP($R86,Capa!$A:$AJ,BN$5,0)),0,1/VLOOKUP($R86,Capa!$A:$AJ,BN$5,0))))</f>
        <v/>
      </c>
      <c r="BO86" s="174" t="str">
        <f>IF(BO$6="","",IF(BO$3="Maior",iferror(VLOOKUP($R86,Capa!$A:$AJ,BO$5,0),0),IF(ISERROR(1/VLOOKUP($R86,Capa!$A:$AJ,BO$5,0)),0,1/VLOOKUP($R86,Capa!$A:$AJ,BO$5,0))))</f>
        <v/>
      </c>
      <c r="BP86" s="174" t="str">
        <f>IF(BP$6="","",IF(BP$3="Maior",iferror(VLOOKUP($R86,Capa!$A:$AJ,BP$5,0),0),IF(ISERROR(1/VLOOKUP($R86,Capa!$A:$AJ,BP$5,0)),0,1/VLOOKUP($R86,Capa!$A:$AJ,BP$5,0))))</f>
        <v/>
      </c>
      <c r="BQ86" s="174" t="str">
        <f>IF(BQ$6="","",IF(BQ$3="Maior",iferror(VLOOKUP($R86,Capa!$A:$AJ,BQ$5,0),0),IF(ISERROR(1/VLOOKUP($R86,Capa!$A:$AJ,BQ$5,0)),0,1/VLOOKUP($R86,Capa!$A:$AJ,BQ$5,0))))</f>
        <v/>
      </c>
      <c r="BR86" s="175"/>
      <c r="BS86" s="147"/>
    </row>
    <row r="87">
      <c r="G87" s="11"/>
      <c r="H87" s="8">
        <v>81.0</v>
      </c>
      <c r="I87" s="165" t="str">
        <f t="shared" si="6"/>
        <v>RCSL4</v>
      </c>
      <c r="J87" s="166" t="str">
        <f>(VLOOKUP($I87,Capa!$A:$B,2,0))</f>
        <v>Recrusul SA Preference Shares</v>
      </c>
      <c r="K87" s="167" t="str">
        <f>VLOOKUP(left(I87,4),Setor!A:D,3,0)&amp;" | "&amp;VLOOKUP(left(I87,4),Setor!A:D,4,0)</f>
        <v>Bens Industriais | Material de Transporte</v>
      </c>
      <c r="L87" s="168">
        <f>(VLOOKUP($I87,Capa!$A:$F,6,0))</f>
        <v>6.92</v>
      </c>
      <c r="M87" s="168">
        <f t="shared" si="7"/>
        <v>36834759</v>
      </c>
      <c r="N87" s="11" t="str">
        <f>IFERROR(__xludf.DUMMYFUNCTION("(VLOOKUP($I87,Capa!$A:$H,7,0))"),"")</f>
        <v/>
      </c>
      <c r="O87" s="169">
        <f>(VLOOKUP($I87,Capa!$A:$H,8,0))</f>
        <v>-0.1692677071</v>
      </c>
      <c r="P87" s="11" t="str">
        <f>IFERROR(__xludf.DUMMYFUNCTION("(VLOOKUP($I87,Capa!$A:$J,10,0))"),"")</f>
        <v/>
      </c>
      <c r="Q87" s="169">
        <f>(VLOOKUP($I87,Capa!$A:$K,11,0))</f>
        <v>8.611111111</v>
      </c>
      <c r="R87" s="45" t="str">
        <f>'Dados StatusInvest'!A82</f>
        <v>BMOB3</v>
      </c>
      <c r="S87" s="170">
        <f t="shared" si="8"/>
        <v>259.0259</v>
      </c>
      <c r="T87" s="171">
        <f>VLOOKUP(R87,'Dados StatusInvest'!A:Z,26,0)</f>
        <v>10326971</v>
      </c>
      <c r="U87" s="172">
        <f t="shared" ref="U87:AS87" si="89">IF(AT87="","", RANK(AT87,AT$7:AT$626,0)+RANK(AT87,AT$7:AT$626,0)/10000)</f>
        <v>189.0189</v>
      </c>
      <c r="V87" s="172">
        <f t="shared" si="89"/>
        <v>70.007</v>
      </c>
      <c r="W87" s="172" t="str">
        <f t="shared" si="89"/>
        <v/>
      </c>
      <c r="X87" s="172" t="str">
        <f t="shared" si="89"/>
        <v/>
      </c>
      <c r="Y87" s="172" t="str">
        <f t="shared" si="89"/>
        <v/>
      </c>
      <c r="Z87" s="172" t="str">
        <f t="shared" si="89"/>
        <v/>
      </c>
      <c r="AA87" s="172" t="str">
        <f t="shared" si="89"/>
        <v/>
      </c>
      <c r="AB87" s="172" t="str">
        <f t="shared" si="89"/>
        <v/>
      </c>
      <c r="AC87" s="172" t="str">
        <f t="shared" si="89"/>
        <v/>
      </c>
      <c r="AD87" s="172" t="str">
        <f t="shared" si="89"/>
        <v/>
      </c>
      <c r="AE87" s="172" t="str">
        <f t="shared" si="89"/>
        <v/>
      </c>
      <c r="AF87" s="172" t="str">
        <f t="shared" si="89"/>
        <v/>
      </c>
      <c r="AG87" s="172" t="str">
        <f t="shared" si="89"/>
        <v/>
      </c>
      <c r="AH87" s="172" t="str">
        <f t="shared" si="89"/>
        <v/>
      </c>
      <c r="AI87" s="172" t="str">
        <f t="shared" si="89"/>
        <v/>
      </c>
      <c r="AJ87" s="172" t="str">
        <f t="shared" si="89"/>
        <v/>
      </c>
      <c r="AK87" s="172" t="str">
        <f t="shared" si="89"/>
        <v/>
      </c>
      <c r="AL87" s="172" t="str">
        <f t="shared" si="89"/>
        <v/>
      </c>
      <c r="AM87" s="172" t="str">
        <f t="shared" si="89"/>
        <v/>
      </c>
      <c r="AN87" s="172" t="str">
        <f t="shared" si="89"/>
        <v/>
      </c>
      <c r="AO87" s="172" t="str">
        <f t="shared" si="89"/>
        <v/>
      </c>
      <c r="AP87" s="172" t="str">
        <f t="shared" si="89"/>
        <v/>
      </c>
      <c r="AQ87" s="172" t="str">
        <f t="shared" si="89"/>
        <v/>
      </c>
      <c r="AR87" s="172" t="str">
        <f t="shared" si="89"/>
        <v/>
      </c>
      <c r="AS87" s="172" t="str">
        <f t="shared" si="89"/>
        <v/>
      </c>
      <c r="AT87" s="173">
        <f>IF(AT$6="","",IF(AT$3="Maior",iferror(VLOOKUP($R87,Capa!$A:$AJ,AT$5,0),0),IF(ISERROR(1/VLOOKUP($R87,Capa!$A:$AJ,AT$5,0)),0,1/VLOOKUP($R87,Capa!$A:$AJ,AT$5,0))))</f>
        <v>-0.2445816543</v>
      </c>
      <c r="AU87" s="174">
        <f>IF(AU$6="","",IF(AU$3="Maior",iferror(VLOOKUP($R87,Capa!$A:$AJ,AU$5,0),0),IF(ISERROR(1/VLOOKUP($R87,Capa!$A:$AJ,AU$5,0)),0,1/VLOOKUP($R87,Capa!$A:$AJ,AU$5,0))))</f>
        <v>32.15</v>
      </c>
      <c r="AV87" s="174" t="str">
        <f>IF(AV$6="","",IF(AV$3="Maior",iferror(VLOOKUP($R87,Capa!$A:$AJ,AV$5,0),0),IF(ISERROR(1/VLOOKUP($R87,Capa!$A:$AJ,AV$5,0)),0,1/VLOOKUP($R87,Capa!$A:$AJ,AV$5,0))))</f>
        <v/>
      </c>
      <c r="AW87" s="174" t="str">
        <f>IF(AW$6="","",IF(AW$3="Maior",iferror(VLOOKUP($R87,Capa!$A:$AJ,AW$5,0),0),IF(ISERROR(1/VLOOKUP($R87,Capa!$A:$AJ,AW$5,0)),0,1/VLOOKUP($R87,Capa!$A:$AJ,AW$5,0))))</f>
        <v/>
      </c>
      <c r="AX87" s="174" t="str">
        <f>IF(AX$6="","",IF(AX$3="Maior",iferror(VLOOKUP($R87,Capa!$A:$AJ,AX$5,0),0),IF(ISERROR(1/VLOOKUP($R87,Capa!$A:$AJ,AX$5,0)),0,1/VLOOKUP($R87,Capa!$A:$AJ,AX$5,0))))</f>
        <v/>
      </c>
      <c r="AY87" s="174" t="str">
        <f>IF(AY$6="","",IF(AY$3="Maior",iferror(VLOOKUP($R87,Capa!$A:$AJ,AY$5,0),0),IF(ISERROR(1/VLOOKUP($R87,Capa!$A:$AJ,AY$5,0)),0,1/VLOOKUP($R87,Capa!$A:$AJ,AY$5,0))))</f>
        <v/>
      </c>
      <c r="AZ87" s="174" t="str">
        <f>IF(AZ$6="","",IF(AZ$3="Maior",iferror(VLOOKUP($R87,Capa!$A:$AJ,AZ$5,0),0),IF(ISERROR(1/VLOOKUP($R87,Capa!$A:$AJ,AZ$5,0)),0,1/VLOOKUP($R87,Capa!$A:$AJ,AZ$5,0))))</f>
        <v/>
      </c>
      <c r="BA87" s="174" t="str">
        <f>IF(BA$6="","",IF(BA$3="Maior",iferror(VLOOKUP($R87,Capa!$A:$AJ,BA$5,0),0),IF(ISERROR(1/VLOOKUP($R87,Capa!$A:$AJ,BA$5,0)),0,1/VLOOKUP($R87,Capa!$A:$AJ,BA$5,0))))</f>
        <v/>
      </c>
      <c r="BB87" s="174" t="str">
        <f>IF(BB$6="","",IF(BB$3="Maior",iferror(VLOOKUP($R87,Capa!$A:$AJ,BB$5,0),0),IF(ISERROR(1/VLOOKUP($R87,Capa!$A:$AJ,BB$5,0)),0,1/VLOOKUP($R87,Capa!$A:$AJ,BB$5,0))))</f>
        <v/>
      </c>
      <c r="BC87" s="174" t="str">
        <f>IF(BC$6="","",IF(BC$3="Maior",iferror(VLOOKUP($R87,Capa!$A:$AJ,BC$5,0),0),IF(ISERROR(1/VLOOKUP($R87,Capa!$A:$AJ,BC$5,0)),0,1/VLOOKUP($R87,Capa!$A:$AJ,BC$5,0))))</f>
        <v/>
      </c>
      <c r="BD87" s="174" t="str">
        <f>IF(BD$6="","",IF(BD$3="Maior",iferror(VLOOKUP($R87,Capa!$A:$AJ,BD$5,0),0),IF(ISERROR(1/VLOOKUP($R87,Capa!$A:$AJ,BD$5,0)),0,1/VLOOKUP($R87,Capa!$A:$AJ,BD$5,0))))</f>
        <v/>
      </c>
      <c r="BE87" s="174" t="str">
        <f>IF(BE$6="","",IF(BE$3="Maior",iferror(VLOOKUP($R87,Capa!$A:$AJ,BE$5,0),0),IF(ISERROR(1/VLOOKUP($R87,Capa!$A:$AJ,BE$5,0)),0,1/VLOOKUP($R87,Capa!$A:$AJ,BE$5,0))))</f>
        <v/>
      </c>
      <c r="BF87" s="174" t="str">
        <f>IF(BF$6="","",IF(BF$3="Maior",iferror(VLOOKUP($R87,Capa!$A:$AJ,BF$5,0),0),IF(ISERROR(1/VLOOKUP($R87,Capa!$A:$AJ,BF$5,0)),0,1/VLOOKUP($R87,Capa!$A:$AJ,BF$5,0))))</f>
        <v/>
      </c>
      <c r="BG87" s="174" t="str">
        <f>IF(BG$6="","",IF(BG$3="Maior",iferror(VLOOKUP($R87,Capa!$A:$AJ,BG$5,0),0),IF(ISERROR(1/VLOOKUP($R87,Capa!$A:$AJ,BG$5,0)),0,1/VLOOKUP($R87,Capa!$A:$AJ,BG$5,0))))</f>
        <v/>
      </c>
      <c r="BH87" s="174" t="str">
        <f>IF(BH$6="","",IF(BH$3="Maior",iferror(VLOOKUP($R87,Capa!$A:$AJ,BH$5,0),0),IF(ISERROR(1/VLOOKUP($R87,Capa!$A:$AJ,BH$5,0)),0,1/VLOOKUP($R87,Capa!$A:$AJ,BH$5,0))))</f>
        <v/>
      </c>
      <c r="BI87" s="174" t="str">
        <f>IF(BI$6="","",IF(BI$3="Maior",iferror(VLOOKUP($R87,Capa!$A:$AJ,BI$5,0),0),IF(ISERROR(1/VLOOKUP($R87,Capa!$A:$AJ,BI$5,0)),0,1/VLOOKUP($R87,Capa!$A:$AJ,BI$5,0))))</f>
        <v/>
      </c>
      <c r="BJ87" s="174" t="str">
        <f>IF(BJ$6="","",IF(BJ$3="Maior",iferror(VLOOKUP($R87,Capa!$A:$AJ,BJ$5,0),0),IF(ISERROR(1/VLOOKUP($R87,Capa!$A:$AJ,BJ$5,0)),0,1/VLOOKUP($R87,Capa!$A:$AJ,BJ$5,0))))</f>
        <v/>
      </c>
      <c r="BK87" s="174" t="str">
        <f>IF(BK$6="","",IF(BK$3="Maior",iferror(VLOOKUP($R87,Capa!$A:$AJ,BK$5,0),0),IF(ISERROR(1/VLOOKUP($R87,Capa!$A:$AJ,BK$5,0)),0,1/VLOOKUP($R87,Capa!$A:$AJ,BK$5,0))))</f>
        <v/>
      </c>
      <c r="BL87" s="174" t="str">
        <f>IF(BL$6="","",IF(BL$3="Maior",iferror(VLOOKUP($R87,Capa!$A:$AJ,BL$5,0),0),IF(ISERROR(1/VLOOKUP($R87,Capa!$A:$AJ,BL$5,0)),0,1/VLOOKUP($R87,Capa!$A:$AJ,BL$5,0))))</f>
        <v/>
      </c>
      <c r="BM87" s="174" t="str">
        <f>IF(BM$6="","",IF(BM$3="Maior",iferror(VLOOKUP($R87,Capa!$A:$AJ,BM$5,0),0),IF(ISERROR(1/VLOOKUP($R87,Capa!$A:$AJ,BM$5,0)),0,1/VLOOKUP($R87,Capa!$A:$AJ,BM$5,0))))</f>
        <v/>
      </c>
      <c r="BN87" s="174" t="str">
        <f>IF(BN$6="","",IF(BN$3="Maior",iferror(VLOOKUP($R87,Capa!$A:$AJ,BN$5,0),0),IF(ISERROR(1/VLOOKUP($R87,Capa!$A:$AJ,BN$5,0)),0,1/VLOOKUP($R87,Capa!$A:$AJ,BN$5,0))))</f>
        <v/>
      </c>
      <c r="BO87" s="174" t="str">
        <f>IF(BO$6="","",IF(BO$3="Maior",iferror(VLOOKUP($R87,Capa!$A:$AJ,BO$5,0),0),IF(ISERROR(1/VLOOKUP($R87,Capa!$A:$AJ,BO$5,0)),0,1/VLOOKUP($R87,Capa!$A:$AJ,BO$5,0))))</f>
        <v/>
      </c>
      <c r="BP87" s="174" t="str">
        <f>IF(BP$6="","",IF(BP$3="Maior",iferror(VLOOKUP($R87,Capa!$A:$AJ,BP$5,0),0),IF(ISERROR(1/VLOOKUP($R87,Capa!$A:$AJ,BP$5,0)),0,1/VLOOKUP($R87,Capa!$A:$AJ,BP$5,0))))</f>
        <v/>
      </c>
      <c r="BQ87" s="174" t="str">
        <f>IF(BQ$6="","",IF(BQ$3="Maior",iferror(VLOOKUP($R87,Capa!$A:$AJ,BQ$5,0),0),IF(ISERROR(1/VLOOKUP($R87,Capa!$A:$AJ,BQ$5,0)),0,1/VLOOKUP($R87,Capa!$A:$AJ,BQ$5,0))))</f>
        <v/>
      </c>
      <c r="BR87" s="175"/>
      <c r="BS87" s="147"/>
    </row>
    <row r="88">
      <c r="G88" s="11"/>
      <c r="H88" s="8">
        <v>82.0</v>
      </c>
      <c r="I88" s="165" t="str">
        <f t="shared" si="6"/>
        <v>JBSS3</v>
      </c>
      <c r="J88" s="166" t="str">
        <f>(VLOOKUP($I88,Capa!$A:$B,2,0))</f>
        <v/>
      </c>
      <c r="K88" s="167" t="str">
        <f>VLOOKUP(left(I88,4),Setor!A:D,3,0)&amp;" | "&amp;VLOOKUP(left(I88,4),Setor!A:D,4,0)</f>
        <v>Consumo não Cíclico | Alimentos Processados</v>
      </c>
      <c r="L88" s="168" t="str">
        <f>(VLOOKUP($I88,Capa!$A:$F,6,0))</f>
        <v/>
      </c>
      <c r="M88" s="168">
        <f t="shared" si="7"/>
        <v>80878878</v>
      </c>
      <c r="N88" s="11" t="str">
        <f>(VLOOKUP($I88,Capa!$A:$H,7,0))</f>
        <v/>
      </c>
      <c r="O88" s="169" t="str">
        <f>(VLOOKUP($I88,Capa!$A:$H,8,0))</f>
        <v/>
      </c>
      <c r="P88" s="11" t="str">
        <f>(VLOOKUP($I88,Capa!$A:$J,10,0))</f>
        <v/>
      </c>
      <c r="Q88" s="169" t="str">
        <f>(VLOOKUP($I88,Capa!$A:$K,11,0))</f>
        <v/>
      </c>
      <c r="R88" s="45" t="str">
        <f>'Dados StatusInvest'!A83</f>
        <v>BNBR3</v>
      </c>
      <c r="S88" s="170">
        <f t="shared" si="8"/>
        <v>1756.0756</v>
      </c>
      <c r="T88" s="171">
        <f>VLOOKUP(R88,'Dados StatusInvest'!A:Z,26,0)</f>
        <v>46197.88</v>
      </c>
      <c r="U88" s="172">
        <f t="shared" ref="U88:AS88" si="90">IF(AT88="","", RANK(AT88,AT$7:AT$626,0)+RANK(AT88,AT$7:AT$626,0)/10000)</f>
        <v>552.0552</v>
      </c>
      <c r="V88" s="172">
        <f t="shared" si="90"/>
        <v>204.0204</v>
      </c>
      <c r="W88" s="172" t="str">
        <f t="shared" si="90"/>
        <v/>
      </c>
      <c r="X88" s="172" t="str">
        <f t="shared" si="90"/>
        <v/>
      </c>
      <c r="Y88" s="172" t="str">
        <f t="shared" si="90"/>
        <v/>
      </c>
      <c r="Z88" s="172" t="str">
        <f t="shared" si="90"/>
        <v/>
      </c>
      <c r="AA88" s="172" t="str">
        <f t="shared" si="90"/>
        <v/>
      </c>
      <c r="AB88" s="172" t="str">
        <f t="shared" si="90"/>
        <v/>
      </c>
      <c r="AC88" s="172" t="str">
        <f t="shared" si="90"/>
        <v/>
      </c>
      <c r="AD88" s="172" t="str">
        <f t="shared" si="90"/>
        <v/>
      </c>
      <c r="AE88" s="172" t="str">
        <f t="shared" si="90"/>
        <v/>
      </c>
      <c r="AF88" s="172" t="str">
        <f t="shared" si="90"/>
        <v/>
      </c>
      <c r="AG88" s="172" t="str">
        <f t="shared" si="90"/>
        <v/>
      </c>
      <c r="AH88" s="172" t="str">
        <f t="shared" si="90"/>
        <v/>
      </c>
      <c r="AI88" s="172" t="str">
        <f t="shared" si="90"/>
        <v/>
      </c>
      <c r="AJ88" s="172" t="str">
        <f t="shared" si="90"/>
        <v/>
      </c>
      <c r="AK88" s="172" t="str">
        <f t="shared" si="90"/>
        <v/>
      </c>
      <c r="AL88" s="172" t="str">
        <f t="shared" si="90"/>
        <v/>
      </c>
      <c r="AM88" s="172" t="str">
        <f t="shared" si="90"/>
        <v/>
      </c>
      <c r="AN88" s="172" t="str">
        <f t="shared" si="90"/>
        <v/>
      </c>
      <c r="AO88" s="172" t="str">
        <f t="shared" si="90"/>
        <v/>
      </c>
      <c r="AP88" s="172" t="str">
        <f t="shared" si="90"/>
        <v/>
      </c>
      <c r="AQ88" s="172" t="str">
        <f t="shared" si="90"/>
        <v/>
      </c>
      <c r="AR88" s="172" t="str">
        <f t="shared" si="90"/>
        <v/>
      </c>
      <c r="AS88" s="172" t="str">
        <f t="shared" si="90"/>
        <v/>
      </c>
      <c r="AT88" s="173">
        <f>IF(AT$6="","",IF(AT$3="Maior",iferror(VLOOKUP($R88,Capa!$A:$AJ,AT$5,0),0),IF(ISERROR(1/VLOOKUP($R88,Capa!$A:$AJ,AT$5,0)),0,1/VLOOKUP($R88,Capa!$A:$AJ,AT$5,0))))</f>
        <v>-5.882352941</v>
      </c>
      <c r="AU88" s="174">
        <f>IF(AU$6="","",IF(AU$3="Maior",iferror(VLOOKUP($R88,Capa!$A:$AJ,AU$5,0),0),IF(ISERROR(1/VLOOKUP($R88,Capa!$A:$AJ,AU$5,0)),0,1/VLOOKUP($R88,Capa!$A:$AJ,AU$5,0))))</f>
        <v>10.2</v>
      </c>
      <c r="AV88" s="174" t="str">
        <f>IF(AV$6="","",IF(AV$3="Maior",iferror(VLOOKUP($R88,Capa!$A:$AJ,AV$5,0),0),IF(ISERROR(1/VLOOKUP($R88,Capa!$A:$AJ,AV$5,0)),0,1/VLOOKUP($R88,Capa!$A:$AJ,AV$5,0))))</f>
        <v/>
      </c>
      <c r="AW88" s="174" t="str">
        <f>IF(AW$6="","",IF(AW$3="Maior",iferror(VLOOKUP($R88,Capa!$A:$AJ,AW$5,0),0),IF(ISERROR(1/VLOOKUP($R88,Capa!$A:$AJ,AW$5,0)),0,1/VLOOKUP($R88,Capa!$A:$AJ,AW$5,0))))</f>
        <v/>
      </c>
      <c r="AX88" s="174" t="str">
        <f>IF(AX$6="","",IF(AX$3="Maior",iferror(VLOOKUP($R88,Capa!$A:$AJ,AX$5,0),0),IF(ISERROR(1/VLOOKUP($R88,Capa!$A:$AJ,AX$5,0)),0,1/VLOOKUP($R88,Capa!$A:$AJ,AX$5,0))))</f>
        <v/>
      </c>
      <c r="AY88" s="174" t="str">
        <f>IF(AY$6="","",IF(AY$3="Maior",iferror(VLOOKUP($R88,Capa!$A:$AJ,AY$5,0),0),IF(ISERROR(1/VLOOKUP($R88,Capa!$A:$AJ,AY$5,0)),0,1/VLOOKUP($R88,Capa!$A:$AJ,AY$5,0))))</f>
        <v/>
      </c>
      <c r="AZ88" s="174" t="str">
        <f>IF(AZ$6="","",IF(AZ$3="Maior",iferror(VLOOKUP($R88,Capa!$A:$AJ,AZ$5,0),0),IF(ISERROR(1/VLOOKUP($R88,Capa!$A:$AJ,AZ$5,0)),0,1/VLOOKUP($R88,Capa!$A:$AJ,AZ$5,0))))</f>
        <v/>
      </c>
      <c r="BA88" s="174" t="str">
        <f>IF(BA$6="","",IF(BA$3="Maior",iferror(VLOOKUP($R88,Capa!$A:$AJ,BA$5,0),0),IF(ISERROR(1/VLOOKUP($R88,Capa!$A:$AJ,BA$5,0)),0,1/VLOOKUP($R88,Capa!$A:$AJ,BA$5,0))))</f>
        <v/>
      </c>
      <c r="BB88" s="174" t="str">
        <f>IF(BB$6="","",IF(BB$3="Maior",iferror(VLOOKUP($R88,Capa!$A:$AJ,BB$5,0),0),IF(ISERROR(1/VLOOKUP($R88,Capa!$A:$AJ,BB$5,0)),0,1/VLOOKUP($R88,Capa!$A:$AJ,BB$5,0))))</f>
        <v/>
      </c>
      <c r="BC88" s="174" t="str">
        <f>IF(BC$6="","",IF(BC$3="Maior",iferror(VLOOKUP($R88,Capa!$A:$AJ,BC$5,0),0),IF(ISERROR(1/VLOOKUP($R88,Capa!$A:$AJ,BC$5,0)),0,1/VLOOKUP($R88,Capa!$A:$AJ,BC$5,0))))</f>
        <v/>
      </c>
      <c r="BD88" s="174" t="str">
        <f>IF(BD$6="","",IF(BD$3="Maior",iferror(VLOOKUP($R88,Capa!$A:$AJ,BD$5,0),0),IF(ISERROR(1/VLOOKUP($R88,Capa!$A:$AJ,BD$5,0)),0,1/VLOOKUP($R88,Capa!$A:$AJ,BD$5,0))))</f>
        <v/>
      </c>
      <c r="BE88" s="174" t="str">
        <f>IF(BE$6="","",IF(BE$3="Maior",iferror(VLOOKUP($R88,Capa!$A:$AJ,BE$5,0),0),IF(ISERROR(1/VLOOKUP($R88,Capa!$A:$AJ,BE$5,0)),0,1/VLOOKUP($R88,Capa!$A:$AJ,BE$5,0))))</f>
        <v/>
      </c>
      <c r="BF88" s="174" t="str">
        <f>IF(BF$6="","",IF(BF$3="Maior",iferror(VLOOKUP($R88,Capa!$A:$AJ,BF$5,0),0),IF(ISERROR(1/VLOOKUP($R88,Capa!$A:$AJ,BF$5,0)),0,1/VLOOKUP($R88,Capa!$A:$AJ,BF$5,0))))</f>
        <v/>
      </c>
      <c r="BG88" s="174" t="str">
        <f>IF(BG$6="","",IF(BG$3="Maior",iferror(VLOOKUP($R88,Capa!$A:$AJ,BG$5,0),0),IF(ISERROR(1/VLOOKUP($R88,Capa!$A:$AJ,BG$5,0)),0,1/VLOOKUP($R88,Capa!$A:$AJ,BG$5,0))))</f>
        <v/>
      </c>
      <c r="BH88" s="174" t="str">
        <f>IF(BH$6="","",IF(BH$3="Maior",iferror(VLOOKUP($R88,Capa!$A:$AJ,BH$5,0),0),IF(ISERROR(1/VLOOKUP($R88,Capa!$A:$AJ,BH$5,0)),0,1/VLOOKUP($R88,Capa!$A:$AJ,BH$5,0))))</f>
        <v/>
      </c>
      <c r="BI88" s="174" t="str">
        <f>IF(BI$6="","",IF(BI$3="Maior",iferror(VLOOKUP($R88,Capa!$A:$AJ,BI$5,0),0),IF(ISERROR(1/VLOOKUP($R88,Capa!$A:$AJ,BI$5,0)),0,1/VLOOKUP($R88,Capa!$A:$AJ,BI$5,0))))</f>
        <v/>
      </c>
      <c r="BJ88" s="174" t="str">
        <f>IF(BJ$6="","",IF(BJ$3="Maior",iferror(VLOOKUP($R88,Capa!$A:$AJ,BJ$5,0),0),IF(ISERROR(1/VLOOKUP($R88,Capa!$A:$AJ,BJ$5,0)),0,1/VLOOKUP($R88,Capa!$A:$AJ,BJ$5,0))))</f>
        <v/>
      </c>
      <c r="BK88" s="174" t="str">
        <f>IF(BK$6="","",IF(BK$3="Maior",iferror(VLOOKUP($R88,Capa!$A:$AJ,BK$5,0),0),IF(ISERROR(1/VLOOKUP($R88,Capa!$A:$AJ,BK$5,0)),0,1/VLOOKUP($R88,Capa!$A:$AJ,BK$5,0))))</f>
        <v/>
      </c>
      <c r="BL88" s="174" t="str">
        <f>IF(BL$6="","",IF(BL$3="Maior",iferror(VLOOKUP($R88,Capa!$A:$AJ,BL$5,0),0),IF(ISERROR(1/VLOOKUP($R88,Capa!$A:$AJ,BL$5,0)),0,1/VLOOKUP($R88,Capa!$A:$AJ,BL$5,0))))</f>
        <v/>
      </c>
      <c r="BM88" s="174" t="str">
        <f>IF(BM$6="","",IF(BM$3="Maior",iferror(VLOOKUP($R88,Capa!$A:$AJ,BM$5,0),0),IF(ISERROR(1/VLOOKUP($R88,Capa!$A:$AJ,BM$5,0)),0,1/VLOOKUP($R88,Capa!$A:$AJ,BM$5,0))))</f>
        <v/>
      </c>
      <c r="BN88" s="174" t="str">
        <f>IF(BN$6="","",IF(BN$3="Maior",iferror(VLOOKUP($R88,Capa!$A:$AJ,BN$5,0),0),IF(ISERROR(1/VLOOKUP($R88,Capa!$A:$AJ,BN$5,0)),0,1/VLOOKUP($R88,Capa!$A:$AJ,BN$5,0))))</f>
        <v/>
      </c>
      <c r="BO88" s="174" t="str">
        <f>IF(BO$6="","",IF(BO$3="Maior",iferror(VLOOKUP($R88,Capa!$A:$AJ,BO$5,0),0),IF(ISERROR(1/VLOOKUP($R88,Capa!$A:$AJ,BO$5,0)),0,1/VLOOKUP($R88,Capa!$A:$AJ,BO$5,0))))</f>
        <v/>
      </c>
      <c r="BP88" s="174" t="str">
        <f>IF(BP$6="","",IF(BP$3="Maior",iferror(VLOOKUP($R88,Capa!$A:$AJ,BP$5,0),0),IF(ISERROR(1/VLOOKUP($R88,Capa!$A:$AJ,BP$5,0)),0,1/VLOOKUP($R88,Capa!$A:$AJ,BP$5,0))))</f>
        <v/>
      </c>
      <c r="BQ88" s="174" t="str">
        <f>IF(BQ$6="","",IF(BQ$3="Maior",iferror(VLOOKUP($R88,Capa!$A:$AJ,BQ$5,0),0),IF(ISERROR(1/VLOOKUP($R88,Capa!$A:$AJ,BQ$5,0)),0,1/VLOOKUP($R88,Capa!$A:$AJ,BQ$5,0))))</f>
        <v/>
      </c>
      <c r="BR88" s="175"/>
      <c r="BS88" s="147"/>
    </row>
    <row r="89">
      <c r="G89" s="11"/>
      <c r="H89" s="8">
        <v>83.0</v>
      </c>
      <c r="I89" s="165" t="str">
        <f t="shared" si="6"/>
        <v>ALPA4</v>
      </c>
      <c r="J89" s="166" t="str">
        <f>(VLOOKUP($I89,Capa!$A:$B,2,0))</f>
        <v>Alpargatas SA Preference Shares</v>
      </c>
      <c r="K89" s="167" t="str">
        <f>VLOOKUP(left(I89,4),Setor!A:D,3,0)&amp;" | "&amp;VLOOKUP(left(I89,4),Setor!A:D,4,0)</f>
        <v>Consumo Cíclico | Tecidos, Vestuário e Calçados</v>
      </c>
      <c r="L89" s="168">
        <f>(VLOOKUP($I89,Capa!$A:$F,6,0))</f>
        <v>14.51</v>
      </c>
      <c r="M89" s="168">
        <f t="shared" si="7"/>
        <v>36061574</v>
      </c>
      <c r="N89" s="11" t="str">
        <f>IFERROR(__xludf.DUMMYFUNCTION("(VLOOKUP($I89,Capa!$A:$H,7,0))"),"")</f>
        <v/>
      </c>
      <c r="O89" s="169">
        <f>(VLOOKUP($I89,Capa!$A:$H,8,0))</f>
        <v>0.1221964424</v>
      </c>
      <c r="P89" s="11" t="str">
        <f>IFERROR(__xludf.DUMMYFUNCTION("(VLOOKUP($I89,Capa!$A:$J,10,0))"),"")</f>
        <v/>
      </c>
      <c r="Q89" s="169">
        <f>(VLOOKUP($I89,Capa!$A:$K,11,0))</f>
        <v>1.11516035</v>
      </c>
      <c r="R89" s="45" t="str">
        <f>'Dados StatusInvest'!A84</f>
        <v>BOAS3</v>
      </c>
      <c r="S89" s="170">
        <f t="shared" si="8"/>
        <v>1167.0167</v>
      </c>
      <c r="T89" s="171">
        <f>VLOOKUP(R89,'Dados StatusInvest'!A:Z,26,0)</f>
        <v>0</v>
      </c>
      <c r="U89" s="172">
        <f t="shared" ref="U89:AS89" si="91">IF(AT89="","", RANK(AT89,AT$7:AT$626,0)+RANK(AT89,AT$7:AT$626,0)/10000)</f>
        <v>158.0158</v>
      </c>
      <c r="V89" s="172">
        <f t="shared" si="91"/>
        <v>9.0009</v>
      </c>
      <c r="W89" s="172" t="str">
        <f t="shared" si="91"/>
        <v/>
      </c>
      <c r="X89" s="172" t="str">
        <f t="shared" si="91"/>
        <v/>
      </c>
      <c r="Y89" s="172" t="str">
        <f t="shared" si="91"/>
        <v/>
      </c>
      <c r="Z89" s="172" t="str">
        <f t="shared" si="91"/>
        <v/>
      </c>
      <c r="AA89" s="172" t="str">
        <f t="shared" si="91"/>
        <v/>
      </c>
      <c r="AB89" s="172" t="str">
        <f t="shared" si="91"/>
        <v/>
      </c>
      <c r="AC89" s="172" t="str">
        <f t="shared" si="91"/>
        <v/>
      </c>
      <c r="AD89" s="172" t="str">
        <f t="shared" si="91"/>
        <v/>
      </c>
      <c r="AE89" s="172" t="str">
        <f t="shared" si="91"/>
        <v/>
      </c>
      <c r="AF89" s="172" t="str">
        <f t="shared" si="91"/>
        <v/>
      </c>
      <c r="AG89" s="172" t="str">
        <f t="shared" si="91"/>
        <v/>
      </c>
      <c r="AH89" s="172" t="str">
        <f t="shared" si="91"/>
        <v/>
      </c>
      <c r="AI89" s="172" t="str">
        <f t="shared" si="91"/>
        <v/>
      </c>
      <c r="AJ89" s="172" t="str">
        <f t="shared" si="91"/>
        <v/>
      </c>
      <c r="AK89" s="172" t="str">
        <f t="shared" si="91"/>
        <v/>
      </c>
      <c r="AL89" s="172" t="str">
        <f t="shared" si="91"/>
        <v/>
      </c>
      <c r="AM89" s="172" t="str">
        <f t="shared" si="91"/>
        <v/>
      </c>
      <c r="AN89" s="172" t="str">
        <f t="shared" si="91"/>
        <v/>
      </c>
      <c r="AO89" s="172" t="str">
        <f t="shared" si="91"/>
        <v/>
      </c>
      <c r="AP89" s="172" t="str">
        <f t="shared" si="91"/>
        <v/>
      </c>
      <c r="AQ89" s="172" t="str">
        <f t="shared" si="91"/>
        <v/>
      </c>
      <c r="AR89" s="172" t="str">
        <f t="shared" si="91"/>
        <v/>
      </c>
      <c r="AS89" s="172" t="str">
        <f t="shared" si="91"/>
        <v/>
      </c>
      <c r="AT89" s="173">
        <f>IF(AT$6="","",IF(AT$3="Maior",iferror(VLOOKUP($R89,Capa!$A:$AJ,AT$5,0),0),IF(ISERROR(1/VLOOKUP($R89,Capa!$A:$AJ,AT$5,0)),0,1/VLOOKUP($R89,Capa!$A:$AJ,AT$5,0))))</f>
        <v>-0.1400560224</v>
      </c>
      <c r="AU89" s="174">
        <f>IF(AU$6="","",IF(AU$3="Maior",iferror(VLOOKUP($R89,Capa!$A:$AJ,AU$5,0),0),IF(ISERROR(1/VLOOKUP($R89,Capa!$A:$AJ,AU$5,0)),0,1/VLOOKUP($R89,Capa!$A:$AJ,AU$5,0))))</f>
        <v>74.34</v>
      </c>
      <c r="AV89" s="174" t="str">
        <f>IF(AV$6="","",IF(AV$3="Maior",iferror(VLOOKUP($R89,Capa!$A:$AJ,AV$5,0),0),IF(ISERROR(1/VLOOKUP($R89,Capa!$A:$AJ,AV$5,0)),0,1/VLOOKUP($R89,Capa!$A:$AJ,AV$5,0))))</f>
        <v/>
      </c>
      <c r="AW89" s="174" t="str">
        <f>IF(AW$6="","",IF(AW$3="Maior",iferror(VLOOKUP($R89,Capa!$A:$AJ,AW$5,0),0),IF(ISERROR(1/VLOOKUP($R89,Capa!$A:$AJ,AW$5,0)),0,1/VLOOKUP($R89,Capa!$A:$AJ,AW$5,0))))</f>
        <v/>
      </c>
      <c r="AX89" s="174" t="str">
        <f>IF(AX$6="","",IF(AX$3="Maior",iferror(VLOOKUP($R89,Capa!$A:$AJ,AX$5,0),0),IF(ISERROR(1/VLOOKUP($R89,Capa!$A:$AJ,AX$5,0)),0,1/VLOOKUP($R89,Capa!$A:$AJ,AX$5,0))))</f>
        <v/>
      </c>
      <c r="AY89" s="174" t="str">
        <f>IF(AY$6="","",IF(AY$3="Maior",iferror(VLOOKUP($R89,Capa!$A:$AJ,AY$5,0),0),IF(ISERROR(1/VLOOKUP($R89,Capa!$A:$AJ,AY$5,0)),0,1/VLOOKUP($R89,Capa!$A:$AJ,AY$5,0))))</f>
        <v/>
      </c>
      <c r="AZ89" s="174" t="str">
        <f>IF(AZ$6="","",IF(AZ$3="Maior",iferror(VLOOKUP($R89,Capa!$A:$AJ,AZ$5,0),0),IF(ISERROR(1/VLOOKUP($R89,Capa!$A:$AJ,AZ$5,0)),0,1/VLOOKUP($R89,Capa!$A:$AJ,AZ$5,0))))</f>
        <v/>
      </c>
      <c r="BA89" s="174" t="str">
        <f>IF(BA$6="","",IF(BA$3="Maior",iferror(VLOOKUP($R89,Capa!$A:$AJ,BA$5,0),0),IF(ISERROR(1/VLOOKUP($R89,Capa!$A:$AJ,BA$5,0)),0,1/VLOOKUP($R89,Capa!$A:$AJ,BA$5,0))))</f>
        <v/>
      </c>
      <c r="BB89" s="174" t="str">
        <f>IF(BB$6="","",IF(BB$3="Maior",iferror(VLOOKUP($R89,Capa!$A:$AJ,BB$5,0),0),IF(ISERROR(1/VLOOKUP($R89,Capa!$A:$AJ,BB$5,0)),0,1/VLOOKUP($R89,Capa!$A:$AJ,BB$5,0))))</f>
        <v/>
      </c>
      <c r="BC89" s="174" t="str">
        <f>IF(BC$6="","",IF(BC$3="Maior",iferror(VLOOKUP($R89,Capa!$A:$AJ,BC$5,0),0),IF(ISERROR(1/VLOOKUP($R89,Capa!$A:$AJ,BC$5,0)),0,1/VLOOKUP($R89,Capa!$A:$AJ,BC$5,0))))</f>
        <v/>
      </c>
      <c r="BD89" s="174" t="str">
        <f>IF(BD$6="","",IF(BD$3="Maior",iferror(VLOOKUP($R89,Capa!$A:$AJ,BD$5,0),0),IF(ISERROR(1/VLOOKUP($R89,Capa!$A:$AJ,BD$5,0)),0,1/VLOOKUP($R89,Capa!$A:$AJ,BD$5,0))))</f>
        <v/>
      </c>
      <c r="BE89" s="174" t="str">
        <f>IF(BE$6="","",IF(BE$3="Maior",iferror(VLOOKUP($R89,Capa!$A:$AJ,BE$5,0),0),IF(ISERROR(1/VLOOKUP($R89,Capa!$A:$AJ,BE$5,0)),0,1/VLOOKUP($R89,Capa!$A:$AJ,BE$5,0))))</f>
        <v/>
      </c>
      <c r="BF89" s="174" t="str">
        <f>IF(BF$6="","",IF(BF$3="Maior",iferror(VLOOKUP($R89,Capa!$A:$AJ,BF$5,0),0),IF(ISERROR(1/VLOOKUP($R89,Capa!$A:$AJ,BF$5,0)),0,1/VLOOKUP($R89,Capa!$A:$AJ,BF$5,0))))</f>
        <v/>
      </c>
      <c r="BG89" s="174" t="str">
        <f>IF(BG$6="","",IF(BG$3="Maior",iferror(VLOOKUP($R89,Capa!$A:$AJ,BG$5,0),0),IF(ISERROR(1/VLOOKUP($R89,Capa!$A:$AJ,BG$5,0)),0,1/VLOOKUP($R89,Capa!$A:$AJ,BG$5,0))))</f>
        <v/>
      </c>
      <c r="BH89" s="174" t="str">
        <f>IF(BH$6="","",IF(BH$3="Maior",iferror(VLOOKUP($R89,Capa!$A:$AJ,BH$5,0),0),IF(ISERROR(1/VLOOKUP($R89,Capa!$A:$AJ,BH$5,0)),0,1/VLOOKUP($R89,Capa!$A:$AJ,BH$5,0))))</f>
        <v/>
      </c>
      <c r="BI89" s="174" t="str">
        <f>IF(BI$6="","",IF(BI$3="Maior",iferror(VLOOKUP($R89,Capa!$A:$AJ,BI$5,0),0),IF(ISERROR(1/VLOOKUP($R89,Capa!$A:$AJ,BI$5,0)),0,1/VLOOKUP($R89,Capa!$A:$AJ,BI$5,0))))</f>
        <v/>
      </c>
      <c r="BJ89" s="174" t="str">
        <f>IF(BJ$6="","",IF(BJ$3="Maior",iferror(VLOOKUP($R89,Capa!$A:$AJ,BJ$5,0),0),IF(ISERROR(1/VLOOKUP($R89,Capa!$A:$AJ,BJ$5,0)),0,1/VLOOKUP($R89,Capa!$A:$AJ,BJ$5,0))))</f>
        <v/>
      </c>
      <c r="BK89" s="174" t="str">
        <f>IF(BK$6="","",IF(BK$3="Maior",iferror(VLOOKUP($R89,Capa!$A:$AJ,BK$5,0),0),IF(ISERROR(1/VLOOKUP($R89,Capa!$A:$AJ,BK$5,0)),0,1/VLOOKUP($R89,Capa!$A:$AJ,BK$5,0))))</f>
        <v/>
      </c>
      <c r="BL89" s="174" t="str">
        <f>IF(BL$6="","",IF(BL$3="Maior",iferror(VLOOKUP($R89,Capa!$A:$AJ,BL$5,0),0),IF(ISERROR(1/VLOOKUP($R89,Capa!$A:$AJ,BL$5,0)),0,1/VLOOKUP($R89,Capa!$A:$AJ,BL$5,0))))</f>
        <v/>
      </c>
      <c r="BM89" s="174" t="str">
        <f>IF(BM$6="","",IF(BM$3="Maior",iferror(VLOOKUP($R89,Capa!$A:$AJ,BM$5,0),0),IF(ISERROR(1/VLOOKUP($R89,Capa!$A:$AJ,BM$5,0)),0,1/VLOOKUP($R89,Capa!$A:$AJ,BM$5,0))))</f>
        <v/>
      </c>
      <c r="BN89" s="174" t="str">
        <f>IF(BN$6="","",IF(BN$3="Maior",iferror(VLOOKUP($R89,Capa!$A:$AJ,BN$5,0),0),IF(ISERROR(1/VLOOKUP($R89,Capa!$A:$AJ,BN$5,0)),0,1/VLOOKUP($R89,Capa!$A:$AJ,BN$5,0))))</f>
        <v/>
      </c>
      <c r="BO89" s="174" t="str">
        <f>IF(BO$6="","",IF(BO$3="Maior",iferror(VLOOKUP($R89,Capa!$A:$AJ,BO$5,0),0),IF(ISERROR(1/VLOOKUP($R89,Capa!$A:$AJ,BO$5,0)),0,1/VLOOKUP($R89,Capa!$A:$AJ,BO$5,0))))</f>
        <v/>
      </c>
      <c r="BP89" s="174" t="str">
        <f>IF(BP$6="","",IF(BP$3="Maior",iferror(VLOOKUP($R89,Capa!$A:$AJ,BP$5,0),0),IF(ISERROR(1/VLOOKUP($R89,Capa!$A:$AJ,BP$5,0)),0,1/VLOOKUP($R89,Capa!$A:$AJ,BP$5,0))))</f>
        <v/>
      </c>
      <c r="BQ89" s="174" t="str">
        <f>IF(BQ$6="","",IF(BQ$3="Maior",iferror(VLOOKUP($R89,Capa!$A:$AJ,BQ$5,0),0),IF(ISERROR(1/VLOOKUP($R89,Capa!$A:$AJ,BQ$5,0)),0,1/VLOOKUP($R89,Capa!$A:$AJ,BQ$5,0))))</f>
        <v/>
      </c>
      <c r="BR89" s="175"/>
      <c r="BS89" s="147"/>
    </row>
    <row r="90">
      <c r="G90" s="11"/>
      <c r="H90" s="8">
        <v>84.0</v>
      </c>
      <c r="I90" s="165" t="str">
        <f t="shared" si="6"/>
        <v>ALPA4</v>
      </c>
      <c r="J90" s="166" t="str">
        <f>(VLOOKUP($I90,Capa!$A:$B,2,0))</f>
        <v>Alpargatas SA Preference Shares</v>
      </c>
      <c r="K90" s="167" t="str">
        <f>VLOOKUP(left(I90,4),Setor!A:D,3,0)&amp;" | "&amp;VLOOKUP(left(I90,4),Setor!A:D,4,0)</f>
        <v>Consumo Cíclico | Tecidos, Vestuário e Calçados</v>
      </c>
      <c r="L90" s="168">
        <f>(VLOOKUP($I90,Capa!$A:$F,6,0))</f>
        <v>14.51</v>
      </c>
      <c r="M90" s="168">
        <f t="shared" si="7"/>
        <v>36061574</v>
      </c>
      <c r="N90" s="11" t="str">
        <f>IFERROR(__xludf.DUMMYFUNCTION("(VLOOKUP($I90,Capa!$A:$H,7,0))"),"")</f>
        <v/>
      </c>
      <c r="O90" s="169">
        <f>(VLOOKUP($I90,Capa!$A:$H,8,0))</f>
        <v>0.1221964424</v>
      </c>
      <c r="P90" s="11" t="str">
        <f>IFERROR(__xludf.DUMMYFUNCTION("(VLOOKUP($I90,Capa!$A:$J,10,0))"),"")</f>
        <v/>
      </c>
      <c r="Q90" s="169">
        <f>(VLOOKUP($I90,Capa!$A:$K,11,0))</f>
        <v>1.11516035</v>
      </c>
      <c r="R90" s="45" t="str">
        <f>'Dados StatusInvest'!A85</f>
        <v>BOBR3</v>
      </c>
      <c r="S90" s="170">
        <f t="shared" si="8"/>
        <v>1286.0286</v>
      </c>
      <c r="T90" s="171">
        <f>VLOOKUP(R90,'Dados StatusInvest'!A:Z,26,0)</f>
        <v>0</v>
      </c>
      <c r="U90" s="172">
        <f t="shared" ref="U90:AS90" si="92">IF(AT90="","", RANK(AT90,AT$7:AT$626,0)+RANK(AT90,AT$7:AT$626,0)/10000)</f>
        <v>19.0019</v>
      </c>
      <c r="V90" s="172">
        <f t="shared" si="92"/>
        <v>267.0267</v>
      </c>
      <c r="W90" s="172" t="str">
        <f t="shared" si="92"/>
        <v/>
      </c>
      <c r="X90" s="172" t="str">
        <f t="shared" si="92"/>
        <v/>
      </c>
      <c r="Y90" s="172" t="str">
        <f t="shared" si="92"/>
        <v/>
      </c>
      <c r="Z90" s="172" t="str">
        <f t="shared" si="92"/>
        <v/>
      </c>
      <c r="AA90" s="172" t="str">
        <f t="shared" si="92"/>
        <v/>
      </c>
      <c r="AB90" s="172" t="str">
        <f t="shared" si="92"/>
        <v/>
      </c>
      <c r="AC90" s="172" t="str">
        <f t="shared" si="92"/>
        <v/>
      </c>
      <c r="AD90" s="172" t="str">
        <f t="shared" si="92"/>
        <v/>
      </c>
      <c r="AE90" s="172" t="str">
        <f t="shared" si="92"/>
        <v/>
      </c>
      <c r="AF90" s="172" t="str">
        <f t="shared" si="92"/>
        <v/>
      </c>
      <c r="AG90" s="172" t="str">
        <f t="shared" si="92"/>
        <v/>
      </c>
      <c r="AH90" s="172" t="str">
        <f t="shared" si="92"/>
        <v/>
      </c>
      <c r="AI90" s="172" t="str">
        <f t="shared" si="92"/>
        <v/>
      </c>
      <c r="AJ90" s="172" t="str">
        <f t="shared" si="92"/>
        <v/>
      </c>
      <c r="AK90" s="172" t="str">
        <f t="shared" si="92"/>
        <v/>
      </c>
      <c r="AL90" s="172" t="str">
        <f t="shared" si="92"/>
        <v/>
      </c>
      <c r="AM90" s="172" t="str">
        <f t="shared" si="92"/>
        <v/>
      </c>
      <c r="AN90" s="172" t="str">
        <f t="shared" si="92"/>
        <v/>
      </c>
      <c r="AO90" s="172" t="str">
        <f t="shared" si="92"/>
        <v/>
      </c>
      <c r="AP90" s="172" t="str">
        <f t="shared" si="92"/>
        <v/>
      </c>
      <c r="AQ90" s="172" t="str">
        <f t="shared" si="92"/>
        <v/>
      </c>
      <c r="AR90" s="172" t="str">
        <f t="shared" si="92"/>
        <v/>
      </c>
      <c r="AS90" s="172" t="str">
        <f t="shared" si="92"/>
        <v/>
      </c>
      <c r="AT90" s="173">
        <f>IF(AT$6="","",IF(AT$3="Maior",iferror(VLOOKUP($R90,Capa!$A:$AJ,AT$5,0),0),IF(ISERROR(1/VLOOKUP($R90,Capa!$A:$AJ,AT$5,0)),0,1/VLOOKUP($R90,Capa!$A:$AJ,AT$5,0))))</f>
        <v>0.2132196162</v>
      </c>
      <c r="AU90" s="174">
        <f>IF(AU$6="","",IF(AU$3="Maior",iferror(VLOOKUP($R90,Capa!$A:$AJ,AU$5,0),0),IF(ISERROR(1/VLOOKUP($R90,Capa!$A:$AJ,AU$5,0)),0,1/VLOOKUP($R90,Capa!$A:$AJ,AU$5,0))))</f>
        <v>0</v>
      </c>
      <c r="AV90" s="174" t="str">
        <f>IF(AV$6="","",IF(AV$3="Maior",iferror(VLOOKUP($R90,Capa!$A:$AJ,AV$5,0),0),IF(ISERROR(1/VLOOKUP($R90,Capa!$A:$AJ,AV$5,0)),0,1/VLOOKUP($R90,Capa!$A:$AJ,AV$5,0))))</f>
        <v/>
      </c>
      <c r="AW90" s="174" t="str">
        <f>IF(AW$6="","",IF(AW$3="Maior",iferror(VLOOKUP($R90,Capa!$A:$AJ,AW$5,0),0),IF(ISERROR(1/VLOOKUP($R90,Capa!$A:$AJ,AW$5,0)),0,1/VLOOKUP($R90,Capa!$A:$AJ,AW$5,0))))</f>
        <v/>
      </c>
      <c r="AX90" s="174" t="str">
        <f>IF(AX$6="","",IF(AX$3="Maior",iferror(VLOOKUP($R90,Capa!$A:$AJ,AX$5,0),0),IF(ISERROR(1/VLOOKUP($R90,Capa!$A:$AJ,AX$5,0)),0,1/VLOOKUP($R90,Capa!$A:$AJ,AX$5,0))))</f>
        <v/>
      </c>
      <c r="AY90" s="174" t="str">
        <f>IF(AY$6="","",IF(AY$3="Maior",iferror(VLOOKUP($R90,Capa!$A:$AJ,AY$5,0),0),IF(ISERROR(1/VLOOKUP($R90,Capa!$A:$AJ,AY$5,0)),0,1/VLOOKUP($R90,Capa!$A:$AJ,AY$5,0))))</f>
        <v/>
      </c>
      <c r="AZ90" s="174" t="str">
        <f>IF(AZ$6="","",IF(AZ$3="Maior",iferror(VLOOKUP($R90,Capa!$A:$AJ,AZ$5,0),0),IF(ISERROR(1/VLOOKUP($R90,Capa!$A:$AJ,AZ$5,0)),0,1/VLOOKUP($R90,Capa!$A:$AJ,AZ$5,0))))</f>
        <v/>
      </c>
      <c r="BA90" s="174" t="str">
        <f>IF(BA$6="","",IF(BA$3="Maior",iferror(VLOOKUP($R90,Capa!$A:$AJ,BA$5,0),0),IF(ISERROR(1/VLOOKUP($R90,Capa!$A:$AJ,BA$5,0)),0,1/VLOOKUP($R90,Capa!$A:$AJ,BA$5,0))))</f>
        <v/>
      </c>
      <c r="BB90" s="174" t="str">
        <f>IF(BB$6="","",IF(BB$3="Maior",iferror(VLOOKUP($R90,Capa!$A:$AJ,BB$5,0),0),IF(ISERROR(1/VLOOKUP($R90,Capa!$A:$AJ,BB$5,0)),0,1/VLOOKUP($R90,Capa!$A:$AJ,BB$5,0))))</f>
        <v/>
      </c>
      <c r="BC90" s="174" t="str">
        <f>IF(BC$6="","",IF(BC$3="Maior",iferror(VLOOKUP($R90,Capa!$A:$AJ,BC$5,0),0),IF(ISERROR(1/VLOOKUP($R90,Capa!$A:$AJ,BC$5,0)),0,1/VLOOKUP($R90,Capa!$A:$AJ,BC$5,0))))</f>
        <v/>
      </c>
      <c r="BD90" s="174" t="str">
        <f>IF(BD$6="","",IF(BD$3="Maior",iferror(VLOOKUP($R90,Capa!$A:$AJ,BD$5,0),0),IF(ISERROR(1/VLOOKUP($R90,Capa!$A:$AJ,BD$5,0)),0,1/VLOOKUP($R90,Capa!$A:$AJ,BD$5,0))))</f>
        <v/>
      </c>
      <c r="BE90" s="174" t="str">
        <f>IF(BE$6="","",IF(BE$3="Maior",iferror(VLOOKUP($R90,Capa!$A:$AJ,BE$5,0),0),IF(ISERROR(1/VLOOKUP($R90,Capa!$A:$AJ,BE$5,0)),0,1/VLOOKUP($R90,Capa!$A:$AJ,BE$5,0))))</f>
        <v/>
      </c>
      <c r="BF90" s="174" t="str">
        <f>IF(BF$6="","",IF(BF$3="Maior",iferror(VLOOKUP($R90,Capa!$A:$AJ,BF$5,0),0),IF(ISERROR(1/VLOOKUP($R90,Capa!$A:$AJ,BF$5,0)),0,1/VLOOKUP($R90,Capa!$A:$AJ,BF$5,0))))</f>
        <v/>
      </c>
      <c r="BG90" s="174" t="str">
        <f>IF(BG$6="","",IF(BG$3="Maior",iferror(VLOOKUP($R90,Capa!$A:$AJ,BG$5,0),0),IF(ISERROR(1/VLOOKUP($R90,Capa!$A:$AJ,BG$5,0)),0,1/VLOOKUP($R90,Capa!$A:$AJ,BG$5,0))))</f>
        <v/>
      </c>
      <c r="BH90" s="174" t="str">
        <f>IF(BH$6="","",IF(BH$3="Maior",iferror(VLOOKUP($R90,Capa!$A:$AJ,BH$5,0),0),IF(ISERROR(1/VLOOKUP($R90,Capa!$A:$AJ,BH$5,0)),0,1/VLOOKUP($R90,Capa!$A:$AJ,BH$5,0))))</f>
        <v/>
      </c>
      <c r="BI90" s="174" t="str">
        <f>IF(BI$6="","",IF(BI$3="Maior",iferror(VLOOKUP($R90,Capa!$A:$AJ,BI$5,0),0),IF(ISERROR(1/VLOOKUP($R90,Capa!$A:$AJ,BI$5,0)),0,1/VLOOKUP($R90,Capa!$A:$AJ,BI$5,0))))</f>
        <v/>
      </c>
      <c r="BJ90" s="174" t="str">
        <f>IF(BJ$6="","",IF(BJ$3="Maior",iferror(VLOOKUP($R90,Capa!$A:$AJ,BJ$5,0),0),IF(ISERROR(1/VLOOKUP($R90,Capa!$A:$AJ,BJ$5,0)),0,1/VLOOKUP($R90,Capa!$A:$AJ,BJ$5,0))))</f>
        <v/>
      </c>
      <c r="BK90" s="174" t="str">
        <f>IF(BK$6="","",IF(BK$3="Maior",iferror(VLOOKUP($R90,Capa!$A:$AJ,BK$5,0),0),IF(ISERROR(1/VLOOKUP($R90,Capa!$A:$AJ,BK$5,0)),0,1/VLOOKUP($R90,Capa!$A:$AJ,BK$5,0))))</f>
        <v/>
      </c>
      <c r="BL90" s="174" t="str">
        <f>IF(BL$6="","",IF(BL$3="Maior",iferror(VLOOKUP($R90,Capa!$A:$AJ,BL$5,0),0),IF(ISERROR(1/VLOOKUP($R90,Capa!$A:$AJ,BL$5,0)),0,1/VLOOKUP($R90,Capa!$A:$AJ,BL$5,0))))</f>
        <v/>
      </c>
      <c r="BM90" s="174" t="str">
        <f>IF(BM$6="","",IF(BM$3="Maior",iferror(VLOOKUP($R90,Capa!$A:$AJ,BM$5,0),0),IF(ISERROR(1/VLOOKUP($R90,Capa!$A:$AJ,BM$5,0)),0,1/VLOOKUP($R90,Capa!$A:$AJ,BM$5,0))))</f>
        <v/>
      </c>
      <c r="BN90" s="174" t="str">
        <f>IF(BN$6="","",IF(BN$3="Maior",iferror(VLOOKUP($R90,Capa!$A:$AJ,BN$5,0),0),IF(ISERROR(1/VLOOKUP($R90,Capa!$A:$AJ,BN$5,0)),0,1/VLOOKUP($R90,Capa!$A:$AJ,BN$5,0))))</f>
        <v/>
      </c>
      <c r="BO90" s="174" t="str">
        <f>IF(BO$6="","",IF(BO$3="Maior",iferror(VLOOKUP($R90,Capa!$A:$AJ,BO$5,0),0),IF(ISERROR(1/VLOOKUP($R90,Capa!$A:$AJ,BO$5,0)),0,1/VLOOKUP($R90,Capa!$A:$AJ,BO$5,0))))</f>
        <v/>
      </c>
      <c r="BP90" s="174" t="str">
        <f>IF(BP$6="","",IF(BP$3="Maior",iferror(VLOOKUP($R90,Capa!$A:$AJ,BP$5,0),0),IF(ISERROR(1/VLOOKUP($R90,Capa!$A:$AJ,BP$5,0)),0,1/VLOOKUP($R90,Capa!$A:$AJ,BP$5,0))))</f>
        <v/>
      </c>
      <c r="BQ90" s="174" t="str">
        <f>IF(BQ$6="","",IF(BQ$3="Maior",iferror(VLOOKUP($R90,Capa!$A:$AJ,BQ$5,0),0),IF(ISERROR(1/VLOOKUP($R90,Capa!$A:$AJ,BQ$5,0)),0,1/VLOOKUP($R90,Capa!$A:$AJ,BQ$5,0))))</f>
        <v/>
      </c>
      <c r="BR90" s="175"/>
      <c r="BS90" s="147"/>
    </row>
    <row r="91">
      <c r="G91" s="11"/>
      <c r="H91" s="8">
        <v>85.0</v>
      </c>
      <c r="I91" s="165" t="str">
        <f t="shared" si="6"/>
        <v>PFRM3</v>
      </c>
      <c r="J91" s="166" t="str">
        <f>(VLOOKUP($I91,Capa!$A:$B,2,0))</f>
        <v>Profarma Distribuidora de Produts Frm SA</v>
      </c>
      <c r="K91" s="167" t="str">
        <f>VLOOKUP(left(I91,4),Setor!A:D,3,0)&amp;" | "&amp;VLOOKUP(left(I91,4),Setor!A:D,4,0)</f>
        <v>Saúde | Comércio e Distribuição</v>
      </c>
      <c r="L91" s="168">
        <f>(VLOOKUP($I91,Capa!$A:$F,6,0))</f>
        <v>8.62</v>
      </c>
      <c r="M91" s="168">
        <f t="shared" si="7"/>
        <v>2113426</v>
      </c>
      <c r="N91" s="11" t="str">
        <f>IFERROR(__xludf.DUMMYFUNCTION("(VLOOKUP($I91,Capa!$A:$H,7,0))"),"")</f>
        <v/>
      </c>
      <c r="O91" s="169">
        <f>(VLOOKUP($I91,Capa!$A:$H,8,0))</f>
        <v>0.04611650485</v>
      </c>
      <c r="P91" s="11" t="str">
        <f>IFERROR(__xludf.DUMMYFUNCTION("(VLOOKUP($I91,Capa!$A:$J,10,0))"),"")</f>
        <v/>
      </c>
      <c r="Q91" s="169">
        <f>(VLOOKUP($I91,Capa!$A:$K,11,0))</f>
        <v>0.2456647399</v>
      </c>
      <c r="R91" s="45" t="str">
        <f>'Dados StatusInvest'!A86</f>
        <v>BOBR4</v>
      </c>
      <c r="S91" s="170">
        <f t="shared" si="8"/>
        <v>1669.0669</v>
      </c>
      <c r="T91" s="171">
        <f>VLOOKUP(R91,'Dados StatusInvest'!A:Z,26,0)</f>
        <v>20796.38</v>
      </c>
      <c r="U91" s="172">
        <f t="shared" ref="U91:AS91" si="93">IF(AT91="","", RANK(AT91,AT$7:AT$626,0)+RANK(AT91,AT$7:AT$626,0)/10000)</f>
        <v>402.0402</v>
      </c>
      <c r="V91" s="172">
        <f t="shared" si="93"/>
        <v>267.0267</v>
      </c>
      <c r="W91" s="172" t="str">
        <f t="shared" si="93"/>
        <v/>
      </c>
      <c r="X91" s="172" t="str">
        <f t="shared" si="93"/>
        <v/>
      </c>
      <c r="Y91" s="172" t="str">
        <f t="shared" si="93"/>
        <v/>
      </c>
      <c r="Z91" s="172" t="str">
        <f t="shared" si="93"/>
        <v/>
      </c>
      <c r="AA91" s="172" t="str">
        <f t="shared" si="93"/>
        <v/>
      </c>
      <c r="AB91" s="172" t="str">
        <f t="shared" si="93"/>
        <v/>
      </c>
      <c r="AC91" s="172" t="str">
        <f t="shared" si="93"/>
        <v/>
      </c>
      <c r="AD91" s="172" t="str">
        <f t="shared" si="93"/>
        <v/>
      </c>
      <c r="AE91" s="172" t="str">
        <f t="shared" si="93"/>
        <v/>
      </c>
      <c r="AF91" s="172" t="str">
        <f t="shared" si="93"/>
        <v/>
      </c>
      <c r="AG91" s="172" t="str">
        <f t="shared" si="93"/>
        <v/>
      </c>
      <c r="AH91" s="172" t="str">
        <f t="shared" si="93"/>
        <v/>
      </c>
      <c r="AI91" s="172" t="str">
        <f t="shared" si="93"/>
        <v/>
      </c>
      <c r="AJ91" s="172" t="str">
        <f t="shared" si="93"/>
        <v/>
      </c>
      <c r="AK91" s="172" t="str">
        <f t="shared" si="93"/>
        <v/>
      </c>
      <c r="AL91" s="172" t="str">
        <f t="shared" si="93"/>
        <v/>
      </c>
      <c r="AM91" s="172" t="str">
        <f t="shared" si="93"/>
        <v/>
      </c>
      <c r="AN91" s="172" t="str">
        <f t="shared" si="93"/>
        <v/>
      </c>
      <c r="AO91" s="172" t="str">
        <f t="shared" si="93"/>
        <v/>
      </c>
      <c r="AP91" s="172" t="str">
        <f t="shared" si="93"/>
        <v/>
      </c>
      <c r="AQ91" s="172" t="str">
        <f t="shared" si="93"/>
        <v/>
      </c>
      <c r="AR91" s="172" t="str">
        <f t="shared" si="93"/>
        <v/>
      </c>
      <c r="AS91" s="172" t="str">
        <f t="shared" si="93"/>
        <v/>
      </c>
      <c r="AT91" s="173">
        <f>IF(AT$6="","",IF(AT$3="Maior",iferror(VLOOKUP($R91,Capa!$A:$AJ,AT$5,0),0),IF(ISERROR(1/VLOOKUP($R91,Capa!$A:$AJ,AT$5,0)),0,1/VLOOKUP($R91,Capa!$A:$AJ,AT$5,0))))</f>
        <v>-1.408450704</v>
      </c>
      <c r="AU91" s="174">
        <f>IF(AU$6="","",IF(AU$3="Maior",iferror(VLOOKUP($R91,Capa!$A:$AJ,AU$5,0),0),IF(ISERROR(1/VLOOKUP($R91,Capa!$A:$AJ,AU$5,0)),0,1/VLOOKUP($R91,Capa!$A:$AJ,AU$5,0))))</f>
        <v>0</v>
      </c>
      <c r="AV91" s="174" t="str">
        <f>IF(AV$6="","",IF(AV$3="Maior",iferror(VLOOKUP($R91,Capa!$A:$AJ,AV$5,0),0),IF(ISERROR(1/VLOOKUP($R91,Capa!$A:$AJ,AV$5,0)),0,1/VLOOKUP($R91,Capa!$A:$AJ,AV$5,0))))</f>
        <v/>
      </c>
      <c r="AW91" s="174" t="str">
        <f>IF(AW$6="","",IF(AW$3="Maior",iferror(VLOOKUP($R91,Capa!$A:$AJ,AW$5,0),0),IF(ISERROR(1/VLOOKUP($R91,Capa!$A:$AJ,AW$5,0)),0,1/VLOOKUP($R91,Capa!$A:$AJ,AW$5,0))))</f>
        <v/>
      </c>
      <c r="AX91" s="174" t="str">
        <f>IF(AX$6="","",IF(AX$3="Maior",iferror(VLOOKUP($R91,Capa!$A:$AJ,AX$5,0),0),IF(ISERROR(1/VLOOKUP($R91,Capa!$A:$AJ,AX$5,0)),0,1/VLOOKUP($R91,Capa!$A:$AJ,AX$5,0))))</f>
        <v/>
      </c>
      <c r="AY91" s="174" t="str">
        <f>IF(AY$6="","",IF(AY$3="Maior",iferror(VLOOKUP($R91,Capa!$A:$AJ,AY$5,0),0),IF(ISERROR(1/VLOOKUP($R91,Capa!$A:$AJ,AY$5,0)),0,1/VLOOKUP($R91,Capa!$A:$AJ,AY$5,0))))</f>
        <v/>
      </c>
      <c r="AZ91" s="174" t="str">
        <f>IF(AZ$6="","",IF(AZ$3="Maior",iferror(VLOOKUP($R91,Capa!$A:$AJ,AZ$5,0),0),IF(ISERROR(1/VLOOKUP($R91,Capa!$A:$AJ,AZ$5,0)),0,1/VLOOKUP($R91,Capa!$A:$AJ,AZ$5,0))))</f>
        <v/>
      </c>
      <c r="BA91" s="174" t="str">
        <f>IF(BA$6="","",IF(BA$3="Maior",iferror(VLOOKUP($R91,Capa!$A:$AJ,BA$5,0),0),IF(ISERROR(1/VLOOKUP($R91,Capa!$A:$AJ,BA$5,0)),0,1/VLOOKUP($R91,Capa!$A:$AJ,BA$5,0))))</f>
        <v/>
      </c>
      <c r="BB91" s="174" t="str">
        <f>IF(BB$6="","",IF(BB$3="Maior",iferror(VLOOKUP($R91,Capa!$A:$AJ,BB$5,0),0),IF(ISERROR(1/VLOOKUP($R91,Capa!$A:$AJ,BB$5,0)),0,1/VLOOKUP($R91,Capa!$A:$AJ,BB$5,0))))</f>
        <v/>
      </c>
      <c r="BC91" s="174" t="str">
        <f>IF(BC$6="","",IF(BC$3="Maior",iferror(VLOOKUP($R91,Capa!$A:$AJ,BC$5,0),0),IF(ISERROR(1/VLOOKUP($R91,Capa!$A:$AJ,BC$5,0)),0,1/VLOOKUP($R91,Capa!$A:$AJ,BC$5,0))))</f>
        <v/>
      </c>
      <c r="BD91" s="174" t="str">
        <f>IF(BD$6="","",IF(BD$3="Maior",iferror(VLOOKUP($R91,Capa!$A:$AJ,BD$5,0),0),IF(ISERROR(1/VLOOKUP($R91,Capa!$A:$AJ,BD$5,0)),0,1/VLOOKUP($R91,Capa!$A:$AJ,BD$5,0))))</f>
        <v/>
      </c>
      <c r="BE91" s="174" t="str">
        <f>IF(BE$6="","",IF(BE$3="Maior",iferror(VLOOKUP($R91,Capa!$A:$AJ,BE$5,0),0),IF(ISERROR(1/VLOOKUP($R91,Capa!$A:$AJ,BE$5,0)),0,1/VLOOKUP($R91,Capa!$A:$AJ,BE$5,0))))</f>
        <v/>
      </c>
      <c r="BF91" s="174" t="str">
        <f>IF(BF$6="","",IF(BF$3="Maior",iferror(VLOOKUP($R91,Capa!$A:$AJ,BF$5,0),0),IF(ISERROR(1/VLOOKUP($R91,Capa!$A:$AJ,BF$5,0)),0,1/VLOOKUP($R91,Capa!$A:$AJ,BF$5,0))))</f>
        <v/>
      </c>
      <c r="BG91" s="174" t="str">
        <f>IF(BG$6="","",IF(BG$3="Maior",iferror(VLOOKUP($R91,Capa!$A:$AJ,BG$5,0),0),IF(ISERROR(1/VLOOKUP($R91,Capa!$A:$AJ,BG$5,0)),0,1/VLOOKUP($R91,Capa!$A:$AJ,BG$5,0))))</f>
        <v/>
      </c>
      <c r="BH91" s="174" t="str">
        <f>IF(BH$6="","",IF(BH$3="Maior",iferror(VLOOKUP($R91,Capa!$A:$AJ,BH$5,0),0),IF(ISERROR(1/VLOOKUP($R91,Capa!$A:$AJ,BH$5,0)),0,1/VLOOKUP($R91,Capa!$A:$AJ,BH$5,0))))</f>
        <v/>
      </c>
      <c r="BI91" s="174" t="str">
        <f>IF(BI$6="","",IF(BI$3="Maior",iferror(VLOOKUP($R91,Capa!$A:$AJ,BI$5,0),0),IF(ISERROR(1/VLOOKUP($R91,Capa!$A:$AJ,BI$5,0)),0,1/VLOOKUP($R91,Capa!$A:$AJ,BI$5,0))))</f>
        <v/>
      </c>
      <c r="BJ91" s="174" t="str">
        <f>IF(BJ$6="","",IF(BJ$3="Maior",iferror(VLOOKUP($R91,Capa!$A:$AJ,BJ$5,0),0),IF(ISERROR(1/VLOOKUP($R91,Capa!$A:$AJ,BJ$5,0)),0,1/VLOOKUP($R91,Capa!$A:$AJ,BJ$5,0))))</f>
        <v/>
      </c>
      <c r="BK91" s="174" t="str">
        <f>IF(BK$6="","",IF(BK$3="Maior",iferror(VLOOKUP($R91,Capa!$A:$AJ,BK$5,0),0),IF(ISERROR(1/VLOOKUP($R91,Capa!$A:$AJ,BK$5,0)),0,1/VLOOKUP($R91,Capa!$A:$AJ,BK$5,0))))</f>
        <v/>
      </c>
      <c r="BL91" s="174" t="str">
        <f>IF(BL$6="","",IF(BL$3="Maior",iferror(VLOOKUP($R91,Capa!$A:$AJ,BL$5,0),0),IF(ISERROR(1/VLOOKUP($R91,Capa!$A:$AJ,BL$5,0)),0,1/VLOOKUP($R91,Capa!$A:$AJ,BL$5,0))))</f>
        <v/>
      </c>
      <c r="BM91" s="174" t="str">
        <f>IF(BM$6="","",IF(BM$3="Maior",iferror(VLOOKUP($R91,Capa!$A:$AJ,BM$5,0),0),IF(ISERROR(1/VLOOKUP($R91,Capa!$A:$AJ,BM$5,0)),0,1/VLOOKUP($R91,Capa!$A:$AJ,BM$5,0))))</f>
        <v/>
      </c>
      <c r="BN91" s="174" t="str">
        <f>IF(BN$6="","",IF(BN$3="Maior",iferror(VLOOKUP($R91,Capa!$A:$AJ,BN$5,0),0),IF(ISERROR(1/VLOOKUP($R91,Capa!$A:$AJ,BN$5,0)),0,1/VLOOKUP($R91,Capa!$A:$AJ,BN$5,0))))</f>
        <v/>
      </c>
      <c r="BO91" s="174" t="str">
        <f>IF(BO$6="","",IF(BO$3="Maior",iferror(VLOOKUP($R91,Capa!$A:$AJ,BO$5,0),0),IF(ISERROR(1/VLOOKUP($R91,Capa!$A:$AJ,BO$5,0)),0,1/VLOOKUP($R91,Capa!$A:$AJ,BO$5,0))))</f>
        <v/>
      </c>
      <c r="BP91" s="174" t="str">
        <f>IF(BP$6="","",IF(BP$3="Maior",iferror(VLOOKUP($R91,Capa!$A:$AJ,BP$5,0),0),IF(ISERROR(1/VLOOKUP($R91,Capa!$A:$AJ,BP$5,0)),0,1/VLOOKUP($R91,Capa!$A:$AJ,BP$5,0))))</f>
        <v/>
      </c>
      <c r="BQ91" s="174" t="str">
        <f>IF(BQ$6="","",IF(BQ$3="Maior",iferror(VLOOKUP($R91,Capa!$A:$AJ,BQ$5,0),0),IF(ISERROR(1/VLOOKUP($R91,Capa!$A:$AJ,BQ$5,0)),0,1/VLOOKUP($R91,Capa!$A:$AJ,BQ$5,0))))</f>
        <v/>
      </c>
      <c r="BR91" s="175"/>
      <c r="BS91" s="147"/>
    </row>
    <row r="92">
      <c r="G92" s="11"/>
      <c r="H92" s="8">
        <v>86.0</v>
      </c>
      <c r="I92" s="165" t="str">
        <f t="shared" si="6"/>
        <v>SEQL3</v>
      </c>
      <c r="J92" s="166" t="str">
        <f>(VLOOKUP($I92,Capa!$A:$B,2,0))</f>
        <v>Sequoia Logistica e Transportes SA</v>
      </c>
      <c r="K92" s="167" t="str">
        <f>VLOOKUP(left(I92,4),Setor!A:D,3,0)&amp;" | "&amp;VLOOKUP(left(I92,4),Setor!A:D,4,0)</f>
        <v>#N/A</v>
      </c>
      <c r="L92" s="168">
        <f>(VLOOKUP($I92,Capa!$A:$F,6,0))</f>
        <v>0.52</v>
      </c>
      <c r="M92" s="168">
        <f t="shared" si="7"/>
        <v>674267.7</v>
      </c>
      <c r="N92" s="177" t="str">
        <f>IFERROR(__xludf.DUMMYFUNCTION("(VLOOKUP($I92,Capa!$A:$H,7,0))"),"")</f>
        <v/>
      </c>
      <c r="O92" s="169">
        <f>(VLOOKUP($I92,Capa!$A:$H,8,0))</f>
        <v>-0.7277486911</v>
      </c>
      <c r="P92" s="169" t="str">
        <f>IFERROR(__xludf.DUMMYFUNCTION("(VLOOKUP($I92,Capa!$A:$J,10,0))"),"")</f>
        <v/>
      </c>
      <c r="Q92" s="169">
        <f>(VLOOKUP($I92,Capa!$A:$K,11,0))</f>
        <v>-0.9984410601</v>
      </c>
      <c r="R92" s="45" t="str">
        <f>'Dados StatusInvest'!A87</f>
        <v>BPAC11</v>
      </c>
      <c r="S92" s="170">
        <f t="shared" si="8"/>
        <v>576.0576</v>
      </c>
      <c r="T92" s="171">
        <f>VLOOKUP(R92,'Dados StatusInvest'!A:Z,26,0)</f>
        <v>694000000</v>
      </c>
      <c r="U92" s="172">
        <f t="shared" ref="U92:AS92" si="94">IF(AT92="","", RANK(AT92,AT$7:AT$626,0)+RANK(AT92,AT$7:AT$626,0)/10000)</f>
        <v>492.0492</v>
      </c>
      <c r="V92" s="172">
        <f t="shared" si="94"/>
        <v>84.0084</v>
      </c>
      <c r="W92" s="172" t="str">
        <f t="shared" si="94"/>
        <v/>
      </c>
      <c r="X92" s="172" t="str">
        <f t="shared" si="94"/>
        <v/>
      </c>
      <c r="Y92" s="172" t="str">
        <f t="shared" si="94"/>
        <v/>
      </c>
      <c r="Z92" s="172" t="str">
        <f t="shared" si="94"/>
        <v/>
      </c>
      <c r="AA92" s="172" t="str">
        <f t="shared" si="94"/>
        <v/>
      </c>
      <c r="AB92" s="172" t="str">
        <f t="shared" si="94"/>
        <v/>
      </c>
      <c r="AC92" s="172" t="str">
        <f t="shared" si="94"/>
        <v/>
      </c>
      <c r="AD92" s="172" t="str">
        <f t="shared" si="94"/>
        <v/>
      </c>
      <c r="AE92" s="172" t="str">
        <f t="shared" si="94"/>
        <v/>
      </c>
      <c r="AF92" s="172" t="str">
        <f t="shared" si="94"/>
        <v/>
      </c>
      <c r="AG92" s="172" t="str">
        <f t="shared" si="94"/>
        <v/>
      </c>
      <c r="AH92" s="172" t="str">
        <f t="shared" si="94"/>
        <v/>
      </c>
      <c r="AI92" s="172" t="str">
        <f t="shared" si="94"/>
        <v/>
      </c>
      <c r="AJ92" s="172" t="str">
        <f t="shared" si="94"/>
        <v/>
      </c>
      <c r="AK92" s="172" t="str">
        <f t="shared" si="94"/>
        <v/>
      </c>
      <c r="AL92" s="172" t="str">
        <f t="shared" si="94"/>
        <v/>
      </c>
      <c r="AM92" s="172" t="str">
        <f t="shared" si="94"/>
        <v/>
      </c>
      <c r="AN92" s="172" t="str">
        <f t="shared" si="94"/>
        <v/>
      </c>
      <c r="AO92" s="172" t="str">
        <f t="shared" si="94"/>
        <v/>
      </c>
      <c r="AP92" s="172" t="str">
        <f t="shared" si="94"/>
        <v/>
      </c>
      <c r="AQ92" s="172" t="str">
        <f t="shared" si="94"/>
        <v/>
      </c>
      <c r="AR92" s="172" t="str">
        <f t="shared" si="94"/>
        <v/>
      </c>
      <c r="AS92" s="172" t="str">
        <f t="shared" si="94"/>
        <v/>
      </c>
      <c r="AT92" s="173">
        <f>IF(AT$6="","",IF(AT$3="Maior",iferror(VLOOKUP($R92,Capa!$A:$AJ,AT$5,0),0),IF(ISERROR(1/VLOOKUP($R92,Capa!$A:$AJ,AT$5,0)),0,1/VLOOKUP($R92,Capa!$A:$AJ,AT$5,0))))</f>
        <v>-2.889133867</v>
      </c>
      <c r="AU92" s="174">
        <f>IF(AU$6="","",IF(AU$3="Maior",iferror(VLOOKUP($R92,Capa!$A:$AJ,AU$5,0),0),IF(ISERROR(1/VLOOKUP($R92,Capa!$A:$AJ,AU$5,0)),0,1/VLOOKUP($R92,Capa!$A:$AJ,AU$5,0))))</f>
        <v>30.46</v>
      </c>
      <c r="AV92" s="174" t="str">
        <f>IF(AV$6="","",IF(AV$3="Maior",iferror(VLOOKUP($R92,Capa!$A:$AJ,AV$5,0),0),IF(ISERROR(1/VLOOKUP($R92,Capa!$A:$AJ,AV$5,0)),0,1/VLOOKUP($R92,Capa!$A:$AJ,AV$5,0))))</f>
        <v/>
      </c>
      <c r="AW92" s="174" t="str">
        <f>IF(AW$6="","",IF(AW$3="Maior",iferror(VLOOKUP($R92,Capa!$A:$AJ,AW$5,0),0),IF(ISERROR(1/VLOOKUP($R92,Capa!$A:$AJ,AW$5,0)),0,1/VLOOKUP($R92,Capa!$A:$AJ,AW$5,0))))</f>
        <v/>
      </c>
      <c r="AX92" s="174" t="str">
        <f>IF(AX$6="","",IF(AX$3="Maior",iferror(VLOOKUP($R92,Capa!$A:$AJ,AX$5,0),0),IF(ISERROR(1/VLOOKUP($R92,Capa!$A:$AJ,AX$5,0)),0,1/VLOOKUP($R92,Capa!$A:$AJ,AX$5,0))))</f>
        <v/>
      </c>
      <c r="AY92" s="174" t="str">
        <f>IF(AY$6="","",IF(AY$3="Maior",iferror(VLOOKUP($R92,Capa!$A:$AJ,AY$5,0),0),IF(ISERROR(1/VLOOKUP($R92,Capa!$A:$AJ,AY$5,0)),0,1/VLOOKUP($R92,Capa!$A:$AJ,AY$5,0))))</f>
        <v/>
      </c>
      <c r="AZ92" s="174" t="str">
        <f>IF(AZ$6="","",IF(AZ$3="Maior",iferror(VLOOKUP($R92,Capa!$A:$AJ,AZ$5,0),0),IF(ISERROR(1/VLOOKUP($R92,Capa!$A:$AJ,AZ$5,0)),0,1/VLOOKUP($R92,Capa!$A:$AJ,AZ$5,0))))</f>
        <v/>
      </c>
      <c r="BA92" s="174" t="str">
        <f>IF(BA$6="","",IF(BA$3="Maior",iferror(VLOOKUP($R92,Capa!$A:$AJ,BA$5,0),0),IF(ISERROR(1/VLOOKUP($R92,Capa!$A:$AJ,BA$5,0)),0,1/VLOOKUP($R92,Capa!$A:$AJ,BA$5,0))))</f>
        <v/>
      </c>
      <c r="BB92" s="174" t="str">
        <f>IF(BB$6="","",IF(BB$3="Maior",iferror(VLOOKUP($R92,Capa!$A:$AJ,BB$5,0),0),IF(ISERROR(1/VLOOKUP($R92,Capa!$A:$AJ,BB$5,0)),0,1/VLOOKUP($R92,Capa!$A:$AJ,BB$5,0))))</f>
        <v/>
      </c>
      <c r="BC92" s="174" t="str">
        <f>IF(BC$6="","",IF(BC$3="Maior",iferror(VLOOKUP($R92,Capa!$A:$AJ,BC$5,0),0),IF(ISERROR(1/VLOOKUP($R92,Capa!$A:$AJ,BC$5,0)),0,1/VLOOKUP($R92,Capa!$A:$AJ,BC$5,0))))</f>
        <v/>
      </c>
      <c r="BD92" s="174" t="str">
        <f>IF(BD$6="","",IF(BD$3="Maior",iferror(VLOOKUP($R92,Capa!$A:$AJ,BD$5,0),0),IF(ISERROR(1/VLOOKUP($R92,Capa!$A:$AJ,BD$5,0)),0,1/VLOOKUP($R92,Capa!$A:$AJ,BD$5,0))))</f>
        <v/>
      </c>
      <c r="BE92" s="174" t="str">
        <f>IF(BE$6="","",IF(BE$3="Maior",iferror(VLOOKUP($R92,Capa!$A:$AJ,BE$5,0),0),IF(ISERROR(1/VLOOKUP($R92,Capa!$A:$AJ,BE$5,0)),0,1/VLOOKUP($R92,Capa!$A:$AJ,BE$5,0))))</f>
        <v/>
      </c>
      <c r="BF92" s="174" t="str">
        <f>IF(BF$6="","",IF(BF$3="Maior",iferror(VLOOKUP($R92,Capa!$A:$AJ,BF$5,0),0),IF(ISERROR(1/VLOOKUP($R92,Capa!$A:$AJ,BF$5,0)),0,1/VLOOKUP($R92,Capa!$A:$AJ,BF$5,0))))</f>
        <v/>
      </c>
      <c r="BG92" s="174" t="str">
        <f>IF(BG$6="","",IF(BG$3="Maior",iferror(VLOOKUP($R92,Capa!$A:$AJ,BG$5,0),0),IF(ISERROR(1/VLOOKUP($R92,Capa!$A:$AJ,BG$5,0)),0,1/VLOOKUP($R92,Capa!$A:$AJ,BG$5,0))))</f>
        <v/>
      </c>
      <c r="BH92" s="174" t="str">
        <f>IF(BH$6="","",IF(BH$3="Maior",iferror(VLOOKUP($R92,Capa!$A:$AJ,BH$5,0),0),IF(ISERROR(1/VLOOKUP($R92,Capa!$A:$AJ,BH$5,0)),0,1/VLOOKUP($R92,Capa!$A:$AJ,BH$5,0))))</f>
        <v/>
      </c>
      <c r="BI92" s="174" t="str">
        <f>IF(BI$6="","",IF(BI$3="Maior",iferror(VLOOKUP($R92,Capa!$A:$AJ,BI$5,0),0),IF(ISERROR(1/VLOOKUP($R92,Capa!$A:$AJ,BI$5,0)),0,1/VLOOKUP($R92,Capa!$A:$AJ,BI$5,0))))</f>
        <v/>
      </c>
      <c r="BJ92" s="174" t="str">
        <f>IF(BJ$6="","",IF(BJ$3="Maior",iferror(VLOOKUP($R92,Capa!$A:$AJ,BJ$5,0),0),IF(ISERROR(1/VLOOKUP($R92,Capa!$A:$AJ,BJ$5,0)),0,1/VLOOKUP($R92,Capa!$A:$AJ,BJ$5,0))))</f>
        <v/>
      </c>
      <c r="BK92" s="174" t="str">
        <f>IF(BK$6="","",IF(BK$3="Maior",iferror(VLOOKUP($R92,Capa!$A:$AJ,BK$5,0),0),IF(ISERROR(1/VLOOKUP($R92,Capa!$A:$AJ,BK$5,0)),0,1/VLOOKUP($R92,Capa!$A:$AJ,BK$5,0))))</f>
        <v/>
      </c>
      <c r="BL92" s="174" t="str">
        <f>IF(BL$6="","",IF(BL$3="Maior",iferror(VLOOKUP($R92,Capa!$A:$AJ,BL$5,0),0),IF(ISERROR(1/VLOOKUP($R92,Capa!$A:$AJ,BL$5,0)),0,1/VLOOKUP($R92,Capa!$A:$AJ,BL$5,0))))</f>
        <v/>
      </c>
      <c r="BM92" s="174" t="str">
        <f>IF(BM$6="","",IF(BM$3="Maior",iferror(VLOOKUP($R92,Capa!$A:$AJ,BM$5,0),0),IF(ISERROR(1/VLOOKUP($R92,Capa!$A:$AJ,BM$5,0)),0,1/VLOOKUP($R92,Capa!$A:$AJ,BM$5,0))))</f>
        <v/>
      </c>
      <c r="BN92" s="174" t="str">
        <f>IF(BN$6="","",IF(BN$3="Maior",iferror(VLOOKUP($R92,Capa!$A:$AJ,BN$5,0),0),IF(ISERROR(1/VLOOKUP($R92,Capa!$A:$AJ,BN$5,0)),0,1/VLOOKUP($R92,Capa!$A:$AJ,BN$5,0))))</f>
        <v/>
      </c>
      <c r="BO92" s="174" t="str">
        <f>IF(BO$6="","",IF(BO$3="Maior",iferror(VLOOKUP($R92,Capa!$A:$AJ,BO$5,0),0),IF(ISERROR(1/VLOOKUP($R92,Capa!$A:$AJ,BO$5,0)),0,1/VLOOKUP($R92,Capa!$A:$AJ,BO$5,0))))</f>
        <v/>
      </c>
      <c r="BP92" s="174" t="str">
        <f>IF(BP$6="","",IF(BP$3="Maior",iferror(VLOOKUP($R92,Capa!$A:$AJ,BP$5,0),0),IF(ISERROR(1/VLOOKUP($R92,Capa!$A:$AJ,BP$5,0)),0,1/VLOOKUP($R92,Capa!$A:$AJ,BP$5,0))))</f>
        <v/>
      </c>
      <c r="BQ92" s="174" t="str">
        <f>IF(BQ$6="","",IF(BQ$3="Maior",iferror(VLOOKUP($R92,Capa!$A:$AJ,BQ$5,0),0),IF(ISERROR(1/VLOOKUP($R92,Capa!$A:$AJ,BQ$5,0)),0,1/VLOOKUP($R92,Capa!$A:$AJ,BQ$5,0))))</f>
        <v/>
      </c>
      <c r="BR92" s="175"/>
      <c r="BS92" s="147"/>
    </row>
    <row r="93">
      <c r="G93" s="11"/>
      <c r="H93" s="8">
        <v>87.0</v>
      </c>
      <c r="I93" s="165" t="str">
        <f t="shared" si="6"/>
        <v>GRND3</v>
      </c>
      <c r="J93" s="166" t="str">
        <f>(VLOOKUP($I93,Capa!$A:$B,2,0))</f>
        <v>Grendene SA</v>
      </c>
      <c r="K93" s="167" t="str">
        <f>VLOOKUP(left(I93,4),Setor!A:D,3,0)&amp;" | "&amp;VLOOKUP(left(I93,4),Setor!A:D,4,0)</f>
        <v>Consumo Cíclico | Tecidos, Vestuário e Calçados</v>
      </c>
      <c r="L93" s="168">
        <f>(VLOOKUP($I93,Capa!$A:$F,6,0))</f>
        <v>4.82</v>
      </c>
      <c r="M93" s="168">
        <f t="shared" si="7"/>
        <v>19559389</v>
      </c>
      <c r="N93" s="11" t="str">
        <f>IFERROR(__xludf.DUMMYFUNCTION("(VLOOKUP($I93,Capa!$A:$H,7,0))"),"")</f>
        <v/>
      </c>
      <c r="O93" s="169">
        <f>(VLOOKUP($I93,Capa!$A:$H,8,0))</f>
        <v>0.03655913978</v>
      </c>
      <c r="P93" s="11" t="str">
        <f>IFERROR(__xludf.DUMMYFUNCTION("(VLOOKUP($I93,Capa!$A:$J,10,0))"),"")</f>
        <v/>
      </c>
      <c r="Q93" s="169">
        <f>(VLOOKUP($I93,Capa!$A:$K,11,0))</f>
        <v>-0.1236363636</v>
      </c>
      <c r="R93" s="45" t="str">
        <f>'Dados StatusInvest'!A88</f>
        <v>BPAC3</v>
      </c>
      <c r="S93" s="170">
        <f t="shared" si="8"/>
        <v>1479.0479</v>
      </c>
      <c r="T93" s="171">
        <f>VLOOKUP(R93,'Dados StatusInvest'!A:Z,26,0)</f>
        <v>366670.2</v>
      </c>
      <c r="U93" s="172">
        <f t="shared" ref="U93:AS93" si="95">IF(AT93="","", RANK(AT93,AT$7:AT$626,0)+RANK(AT93,AT$7:AT$626,0)/10000)</f>
        <v>395.0395</v>
      </c>
      <c r="V93" s="172">
        <f t="shared" si="95"/>
        <v>84.0084</v>
      </c>
      <c r="W93" s="172" t="str">
        <f t="shared" si="95"/>
        <v/>
      </c>
      <c r="X93" s="172" t="str">
        <f t="shared" si="95"/>
        <v/>
      </c>
      <c r="Y93" s="172" t="str">
        <f t="shared" si="95"/>
        <v/>
      </c>
      <c r="Z93" s="172" t="str">
        <f t="shared" si="95"/>
        <v/>
      </c>
      <c r="AA93" s="172" t="str">
        <f t="shared" si="95"/>
        <v/>
      </c>
      <c r="AB93" s="172" t="str">
        <f t="shared" si="95"/>
        <v/>
      </c>
      <c r="AC93" s="172" t="str">
        <f t="shared" si="95"/>
        <v/>
      </c>
      <c r="AD93" s="172" t="str">
        <f t="shared" si="95"/>
        <v/>
      </c>
      <c r="AE93" s="172" t="str">
        <f t="shared" si="95"/>
        <v/>
      </c>
      <c r="AF93" s="172" t="str">
        <f t="shared" si="95"/>
        <v/>
      </c>
      <c r="AG93" s="172" t="str">
        <f t="shared" si="95"/>
        <v/>
      </c>
      <c r="AH93" s="172" t="str">
        <f t="shared" si="95"/>
        <v/>
      </c>
      <c r="AI93" s="172" t="str">
        <f t="shared" si="95"/>
        <v/>
      </c>
      <c r="AJ93" s="172" t="str">
        <f t="shared" si="95"/>
        <v/>
      </c>
      <c r="AK93" s="172" t="str">
        <f t="shared" si="95"/>
        <v/>
      </c>
      <c r="AL93" s="172" t="str">
        <f t="shared" si="95"/>
        <v/>
      </c>
      <c r="AM93" s="172" t="str">
        <f t="shared" si="95"/>
        <v/>
      </c>
      <c r="AN93" s="172" t="str">
        <f t="shared" si="95"/>
        <v/>
      </c>
      <c r="AO93" s="172" t="str">
        <f t="shared" si="95"/>
        <v/>
      </c>
      <c r="AP93" s="172" t="str">
        <f t="shared" si="95"/>
        <v/>
      </c>
      <c r="AQ93" s="172" t="str">
        <f t="shared" si="95"/>
        <v/>
      </c>
      <c r="AR93" s="172" t="str">
        <f t="shared" si="95"/>
        <v/>
      </c>
      <c r="AS93" s="172" t="str">
        <f t="shared" si="95"/>
        <v/>
      </c>
      <c r="AT93" s="173">
        <f>IF(AT$6="","",IF(AT$3="Maior",iferror(VLOOKUP($R93,Capa!$A:$AJ,AT$5,0),0),IF(ISERROR(1/VLOOKUP($R93,Capa!$A:$AJ,AT$5,0)),0,1/VLOOKUP($R93,Capa!$A:$AJ,AT$5,0))))</f>
        <v>-1.331886109</v>
      </c>
      <c r="AU93" s="174">
        <f>IF(AU$6="","",IF(AU$3="Maior",iferror(VLOOKUP($R93,Capa!$A:$AJ,AU$5,0),0),IF(ISERROR(1/VLOOKUP($R93,Capa!$A:$AJ,AU$5,0)),0,1/VLOOKUP($R93,Capa!$A:$AJ,AU$5,0))))</f>
        <v>30.46</v>
      </c>
      <c r="AV93" s="174" t="str">
        <f>IF(AV$6="","",IF(AV$3="Maior",iferror(VLOOKUP($R93,Capa!$A:$AJ,AV$5,0),0),IF(ISERROR(1/VLOOKUP($R93,Capa!$A:$AJ,AV$5,0)),0,1/VLOOKUP($R93,Capa!$A:$AJ,AV$5,0))))</f>
        <v/>
      </c>
      <c r="AW93" s="174" t="str">
        <f>IF(AW$6="","",IF(AW$3="Maior",iferror(VLOOKUP($R93,Capa!$A:$AJ,AW$5,0),0),IF(ISERROR(1/VLOOKUP($R93,Capa!$A:$AJ,AW$5,0)),0,1/VLOOKUP($R93,Capa!$A:$AJ,AW$5,0))))</f>
        <v/>
      </c>
      <c r="AX93" s="174" t="str">
        <f>IF(AX$6="","",IF(AX$3="Maior",iferror(VLOOKUP($R93,Capa!$A:$AJ,AX$5,0),0),IF(ISERROR(1/VLOOKUP($R93,Capa!$A:$AJ,AX$5,0)),0,1/VLOOKUP($R93,Capa!$A:$AJ,AX$5,0))))</f>
        <v/>
      </c>
      <c r="AY93" s="174" t="str">
        <f>IF(AY$6="","",IF(AY$3="Maior",iferror(VLOOKUP($R93,Capa!$A:$AJ,AY$5,0),0),IF(ISERROR(1/VLOOKUP($R93,Capa!$A:$AJ,AY$5,0)),0,1/VLOOKUP($R93,Capa!$A:$AJ,AY$5,0))))</f>
        <v/>
      </c>
      <c r="AZ93" s="174" t="str">
        <f>IF(AZ$6="","",IF(AZ$3="Maior",iferror(VLOOKUP($R93,Capa!$A:$AJ,AZ$5,0),0),IF(ISERROR(1/VLOOKUP($R93,Capa!$A:$AJ,AZ$5,0)),0,1/VLOOKUP($R93,Capa!$A:$AJ,AZ$5,0))))</f>
        <v/>
      </c>
      <c r="BA93" s="174" t="str">
        <f>IF(BA$6="","",IF(BA$3="Maior",iferror(VLOOKUP($R93,Capa!$A:$AJ,BA$5,0),0),IF(ISERROR(1/VLOOKUP($R93,Capa!$A:$AJ,BA$5,0)),0,1/VLOOKUP($R93,Capa!$A:$AJ,BA$5,0))))</f>
        <v/>
      </c>
      <c r="BB93" s="174" t="str">
        <f>IF(BB$6="","",IF(BB$3="Maior",iferror(VLOOKUP($R93,Capa!$A:$AJ,BB$5,0),0),IF(ISERROR(1/VLOOKUP($R93,Capa!$A:$AJ,BB$5,0)),0,1/VLOOKUP($R93,Capa!$A:$AJ,BB$5,0))))</f>
        <v/>
      </c>
      <c r="BC93" s="174" t="str">
        <f>IF(BC$6="","",IF(BC$3="Maior",iferror(VLOOKUP($R93,Capa!$A:$AJ,BC$5,0),0),IF(ISERROR(1/VLOOKUP($R93,Capa!$A:$AJ,BC$5,0)),0,1/VLOOKUP($R93,Capa!$A:$AJ,BC$5,0))))</f>
        <v/>
      </c>
      <c r="BD93" s="174" t="str">
        <f>IF(BD$6="","",IF(BD$3="Maior",iferror(VLOOKUP($R93,Capa!$A:$AJ,BD$5,0),0),IF(ISERROR(1/VLOOKUP($R93,Capa!$A:$AJ,BD$5,0)),0,1/VLOOKUP($R93,Capa!$A:$AJ,BD$5,0))))</f>
        <v/>
      </c>
      <c r="BE93" s="174" t="str">
        <f>IF(BE$6="","",IF(BE$3="Maior",iferror(VLOOKUP($R93,Capa!$A:$AJ,BE$5,0),0),IF(ISERROR(1/VLOOKUP($R93,Capa!$A:$AJ,BE$5,0)),0,1/VLOOKUP($R93,Capa!$A:$AJ,BE$5,0))))</f>
        <v/>
      </c>
      <c r="BF93" s="174" t="str">
        <f>IF(BF$6="","",IF(BF$3="Maior",iferror(VLOOKUP($R93,Capa!$A:$AJ,BF$5,0),0),IF(ISERROR(1/VLOOKUP($R93,Capa!$A:$AJ,BF$5,0)),0,1/VLOOKUP($R93,Capa!$A:$AJ,BF$5,0))))</f>
        <v/>
      </c>
      <c r="BG93" s="174" t="str">
        <f>IF(BG$6="","",IF(BG$3="Maior",iferror(VLOOKUP($R93,Capa!$A:$AJ,BG$5,0),0),IF(ISERROR(1/VLOOKUP($R93,Capa!$A:$AJ,BG$5,0)),0,1/VLOOKUP($R93,Capa!$A:$AJ,BG$5,0))))</f>
        <v/>
      </c>
      <c r="BH93" s="174" t="str">
        <f>IF(BH$6="","",IF(BH$3="Maior",iferror(VLOOKUP($R93,Capa!$A:$AJ,BH$5,0),0),IF(ISERROR(1/VLOOKUP($R93,Capa!$A:$AJ,BH$5,0)),0,1/VLOOKUP($R93,Capa!$A:$AJ,BH$5,0))))</f>
        <v/>
      </c>
      <c r="BI93" s="174" t="str">
        <f>IF(BI$6="","",IF(BI$3="Maior",iferror(VLOOKUP($R93,Capa!$A:$AJ,BI$5,0),0),IF(ISERROR(1/VLOOKUP($R93,Capa!$A:$AJ,BI$5,0)),0,1/VLOOKUP($R93,Capa!$A:$AJ,BI$5,0))))</f>
        <v/>
      </c>
      <c r="BJ93" s="174" t="str">
        <f>IF(BJ$6="","",IF(BJ$3="Maior",iferror(VLOOKUP($R93,Capa!$A:$AJ,BJ$5,0),0),IF(ISERROR(1/VLOOKUP($R93,Capa!$A:$AJ,BJ$5,0)),0,1/VLOOKUP($R93,Capa!$A:$AJ,BJ$5,0))))</f>
        <v/>
      </c>
      <c r="BK93" s="174" t="str">
        <f>IF(BK$6="","",IF(BK$3="Maior",iferror(VLOOKUP($R93,Capa!$A:$AJ,BK$5,0),0),IF(ISERROR(1/VLOOKUP($R93,Capa!$A:$AJ,BK$5,0)),0,1/VLOOKUP($R93,Capa!$A:$AJ,BK$5,0))))</f>
        <v/>
      </c>
      <c r="BL93" s="174" t="str">
        <f>IF(BL$6="","",IF(BL$3="Maior",iferror(VLOOKUP($R93,Capa!$A:$AJ,BL$5,0),0),IF(ISERROR(1/VLOOKUP($R93,Capa!$A:$AJ,BL$5,0)),0,1/VLOOKUP($R93,Capa!$A:$AJ,BL$5,0))))</f>
        <v/>
      </c>
      <c r="BM93" s="174" t="str">
        <f>IF(BM$6="","",IF(BM$3="Maior",iferror(VLOOKUP($R93,Capa!$A:$AJ,BM$5,0),0),IF(ISERROR(1/VLOOKUP($R93,Capa!$A:$AJ,BM$5,0)),0,1/VLOOKUP($R93,Capa!$A:$AJ,BM$5,0))))</f>
        <v/>
      </c>
      <c r="BN93" s="174" t="str">
        <f>IF(BN$6="","",IF(BN$3="Maior",iferror(VLOOKUP($R93,Capa!$A:$AJ,BN$5,0),0),IF(ISERROR(1/VLOOKUP($R93,Capa!$A:$AJ,BN$5,0)),0,1/VLOOKUP($R93,Capa!$A:$AJ,BN$5,0))))</f>
        <v/>
      </c>
      <c r="BO93" s="174" t="str">
        <f>IF(BO$6="","",IF(BO$3="Maior",iferror(VLOOKUP($R93,Capa!$A:$AJ,BO$5,0),0),IF(ISERROR(1/VLOOKUP($R93,Capa!$A:$AJ,BO$5,0)),0,1/VLOOKUP($R93,Capa!$A:$AJ,BO$5,0))))</f>
        <v/>
      </c>
      <c r="BP93" s="174" t="str">
        <f>IF(BP$6="","",IF(BP$3="Maior",iferror(VLOOKUP($R93,Capa!$A:$AJ,BP$5,0),0),IF(ISERROR(1/VLOOKUP($R93,Capa!$A:$AJ,BP$5,0)),0,1/VLOOKUP($R93,Capa!$A:$AJ,BP$5,0))))</f>
        <v/>
      </c>
      <c r="BQ93" s="174" t="str">
        <f>IF(BQ$6="","",IF(BQ$3="Maior",iferror(VLOOKUP($R93,Capa!$A:$AJ,BQ$5,0),0),IF(ISERROR(1/VLOOKUP($R93,Capa!$A:$AJ,BQ$5,0)),0,1/VLOOKUP($R93,Capa!$A:$AJ,BQ$5,0))))</f>
        <v/>
      </c>
      <c r="BR93" s="175"/>
      <c r="BS93" s="147"/>
    </row>
    <row r="94">
      <c r="G94" s="11"/>
      <c r="H94" s="8">
        <v>88.0</v>
      </c>
      <c r="I94" s="165" t="str">
        <f t="shared" si="6"/>
        <v>SOJA3</v>
      </c>
      <c r="J94" s="166" t="str">
        <f>(VLOOKUP($I94,Capa!$A:$B,2,0))</f>
        <v>Boa Safra Sementes SA</v>
      </c>
      <c r="K94" s="167" t="str">
        <f>VLOOKUP(left(I94,4),Setor!A:D,3,0)&amp;" | "&amp;VLOOKUP(left(I94,4),Setor!A:D,4,0)</f>
        <v>Outros | Agropecuária</v>
      </c>
      <c r="L94" s="168">
        <f>(VLOOKUP($I94,Capa!$A:$F,6,0))</f>
        <v>8.3</v>
      </c>
      <c r="M94" s="168">
        <f t="shared" si="7"/>
        <v>7825007</v>
      </c>
      <c r="N94" s="177" t="str">
        <f>IFERROR(__xludf.DUMMYFUNCTION("(VLOOKUP($I94,Capa!$A:$H,7,0))"),"")</f>
        <v/>
      </c>
      <c r="O94" s="169">
        <f>(VLOOKUP($I94,Capa!$A:$H,8,0))</f>
        <v>-0.02696365768</v>
      </c>
      <c r="P94" s="169" t="str">
        <f>IFERROR(__xludf.DUMMYFUNCTION("(VLOOKUP($I94,Capa!$A:$J,10,0))"),"")</f>
        <v/>
      </c>
      <c r="Q94" s="169">
        <f>(VLOOKUP($I94,Capa!$A:$K,11,0))</f>
        <v>-0.1658291457</v>
      </c>
      <c r="R94" s="45" t="str">
        <f>'Dados StatusInvest'!A89</f>
        <v>BPAC5</v>
      </c>
      <c r="S94" s="170">
        <f t="shared" si="8"/>
        <v>1628.0628</v>
      </c>
      <c r="T94" s="171">
        <f>VLOOKUP(R94,'Dados StatusInvest'!A:Z,26,0)</f>
        <v>152157.7</v>
      </c>
      <c r="U94" s="172">
        <f t="shared" ref="U94:AS94" si="96">IF(AT94="","", RANK(AT94,AT$7:AT$626,0)+RANK(AT94,AT$7:AT$626,0)/10000)</f>
        <v>544.0544</v>
      </c>
      <c r="V94" s="172">
        <f t="shared" si="96"/>
        <v>84.0084</v>
      </c>
      <c r="W94" s="172" t="str">
        <f t="shared" si="96"/>
        <v/>
      </c>
      <c r="X94" s="172" t="str">
        <f t="shared" si="96"/>
        <v/>
      </c>
      <c r="Y94" s="172" t="str">
        <f t="shared" si="96"/>
        <v/>
      </c>
      <c r="Z94" s="172" t="str">
        <f t="shared" si="96"/>
        <v/>
      </c>
      <c r="AA94" s="172" t="str">
        <f t="shared" si="96"/>
        <v/>
      </c>
      <c r="AB94" s="172" t="str">
        <f t="shared" si="96"/>
        <v/>
      </c>
      <c r="AC94" s="172" t="str">
        <f t="shared" si="96"/>
        <v/>
      </c>
      <c r="AD94" s="172" t="str">
        <f t="shared" si="96"/>
        <v/>
      </c>
      <c r="AE94" s="172" t="str">
        <f t="shared" si="96"/>
        <v/>
      </c>
      <c r="AF94" s="172" t="str">
        <f t="shared" si="96"/>
        <v/>
      </c>
      <c r="AG94" s="172" t="str">
        <f t="shared" si="96"/>
        <v/>
      </c>
      <c r="AH94" s="172" t="str">
        <f t="shared" si="96"/>
        <v/>
      </c>
      <c r="AI94" s="172" t="str">
        <f t="shared" si="96"/>
        <v/>
      </c>
      <c r="AJ94" s="172" t="str">
        <f t="shared" si="96"/>
        <v/>
      </c>
      <c r="AK94" s="172" t="str">
        <f t="shared" si="96"/>
        <v/>
      </c>
      <c r="AL94" s="172" t="str">
        <f t="shared" si="96"/>
        <v/>
      </c>
      <c r="AM94" s="172" t="str">
        <f t="shared" si="96"/>
        <v/>
      </c>
      <c r="AN94" s="172" t="str">
        <f t="shared" si="96"/>
        <v/>
      </c>
      <c r="AO94" s="172" t="str">
        <f t="shared" si="96"/>
        <v/>
      </c>
      <c r="AP94" s="172" t="str">
        <f t="shared" si="96"/>
        <v/>
      </c>
      <c r="AQ94" s="172" t="str">
        <f t="shared" si="96"/>
        <v/>
      </c>
      <c r="AR94" s="172" t="str">
        <f t="shared" si="96"/>
        <v/>
      </c>
      <c r="AS94" s="172" t="str">
        <f t="shared" si="96"/>
        <v/>
      </c>
      <c r="AT94" s="173">
        <f>IF(AT$6="","",IF(AT$3="Maior",iferror(VLOOKUP($R94,Capa!$A:$AJ,AT$5,0),0),IF(ISERROR(1/VLOOKUP($R94,Capa!$A:$AJ,AT$5,0)),0,1/VLOOKUP($R94,Capa!$A:$AJ,AT$5,0))))</f>
        <v>-4.971775944</v>
      </c>
      <c r="AU94" s="174">
        <f>IF(AU$6="","",IF(AU$3="Maior",iferror(VLOOKUP($R94,Capa!$A:$AJ,AU$5,0),0),IF(ISERROR(1/VLOOKUP($R94,Capa!$A:$AJ,AU$5,0)),0,1/VLOOKUP($R94,Capa!$A:$AJ,AU$5,0))))</f>
        <v>30.46</v>
      </c>
      <c r="AV94" s="174" t="str">
        <f>IF(AV$6="","",IF(AV$3="Maior",iferror(VLOOKUP($R94,Capa!$A:$AJ,AV$5,0),0),IF(ISERROR(1/VLOOKUP($R94,Capa!$A:$AJ,AV$5,0)),0,1/VLOOKUP($R94,Capa!$A:$AJ,AV$5,0))))</f>
        <v/>
      </c>
      <c r="AW94" s="174" t="str">
        <f>IF(AW$6="","",IF(AW$3="Maior",iferror(VLOOKUP($R94,Capa!$A:$AJ,AW$5,0),0),IF(ISERROR(1/VLOOKUP($R94,Capa!$A:$AJ,AW$5,0)),0,1/VLOOKUP($R94,Capa!$A:$AJ,AW$5,0))))</f>
        <v/>
      </c>
      <c r="AX94" s="174" t="str">
        <f>IF(AX$6="","",IF(AX$3="Maior",iferror(VLOOKUP($R94,Capa!$A:$AJ,AX$5,0),0),IF(ISERROR(1/VLOOKUP($R94,Capa!$A:$AJ,AX$5,0)),0,1/VLOOKUP($R94,Capa!$A:$AJ,AX$5,0))))</f>
        <v/>
      </c>
      <c r="AY94" s="174" t="str">
        <f>IF(AY$6="","",IF(AY$3="Maior",iferror(VLOOKUP($R94,Capa!$A:$AJ,AY$5,0),0),IF(ISERROR(1/VLOOKUP($R94,Capa!$A:$AJ,AY$5,0)),0,1/VLOOKUP($R94,Capa!$A:$AJ,AY$5,0))))</f>
        <v/>
      </c>
      <c r="AZ94" s="174" t="str">
        <f>IF(AZ$6="","",IF(AZ$3="Maior",iferror(VLOOKUP($R94,Capa!$A:$AJ,AZ$5,0),0),IF(ISERROR(1/VLOOKUP($R94,Capa!$A:$AJ,AZ$5,0)),0,1/VLOOKUP($R94,Capa!$A:$AJ,AZ$5,0))))</f>
        <v/>
      </c>
      <c r="BA94" s="174" t="str">
        <f>IF(BA$6="","",IF(BA$3="Maior",iferror(VLOOKUP($R94,Capa!$A:$AJ,BA$5,0),0),IF(ISERROR(1/VLOOKUP($R94,Capa!$A:$AJ,BA$5,0)),0,1/VLOOKUP($R94,Capa!$A:$AJ,BA$5,0))))</f>
        <v/>
      </c>
      <c r="BB94" s="174" t="str">
        <f>IF(BB$6="","",IF(BB$3="Maior",iferror(VLOOKUP($R94,Capa!$A:$AJ,BB$5,0),0),IF(ISERROR(1/VLOOKUP($R94,Capa!$A:$AJ,BB$5,0)),0,1/VLOOKUP($R94,Capa!$A:$AJ,BB$5,0))))</f>
        <v/>
      </c>
      <c r="BC94" s="174" t="str">
        <f>IF(BC$6="","",IF(BC$3="Maior",iferror(VLOOKUP($R94,Capa!$A:$AJ,BC$5,0),0),IF(ISERROR(1/VLOOKUP($R94,Capa!$A:$AJ,BC$5,0)),0,1/VLOOKUP($R94,Capa!$A:$AJ,BC$5,0))))</f>
        <v/>
      </c>
      <c r="BD94" s="174" t="str">
        <f>IF(BD$6="","",IF(BD$3="Maior",iferror(VLOOKUP($R94,Capa!$A:$AJ,BD$5,0),0),IF(ISERROR(1/VLOOKUP($R94,Capa!$A:$AJ,BD$5,0)),0,1/VLOOKUP($R94,Capa!$A:$AJ,BD$5,0))))</f>
        <v/>
      </c>
      <c r="BE94" s="174" t="str">
        <f>IF(BE$6="","",IF(BE$3="Maior",iferror(VLOOKUP($R94,Capa!$A:$AJ,BE$5,0),0),IF(ISERROR(1/VLOOKUP($R94,Capa!$A:$AJ,BE$5,0)),0,1/VLOOKUP($R94,Capa!$A:$AJ,BE$5,0))))</f>
        <v/>
      </c>
      <c r="BF94" s="174" t="str">
        <f>IF(BF$6="","",IF(BF$3="Maior",iferror(VLOOKUP($R94,Capa!$A:$AJ,BF$5,0),0),IF(ISERROR(1/VLOOKUP($R94,Capa!$A:$AJ,BF$5,0)),0,1/VLOOKUP($R94,Capa!$A:$AJ,BF$5,0))))</f>
        <v/>
      </c>
      <c r="BG94" s="174" t="str">
        <f>IF(BG$6="","",IF(BG$3="Maior",iferror(VLOOKUP($R94,Capa!$A:$AJ,BG$5,0),0),IF(ISERROR(1/VLOOKUP($R94,Capa!$A:$AJ,BG$5,0)),0,1/VLOOKUP($R94,Capa!$A:$AJ,BG$5,0))))</f>
        <v/>
      </c>
      <c r="BH94" s="174" t="str">
        <f>IF(BH$6="","",IF(BH$3="Maior",iferror(VLOOKUP($R94,Capa!$A:$AJ,BH$5,0),0),IF(ISERROR(1/VLOOKUP($R94,Capa!$A:$AJ,BH$5,0)),0,1/VLOOKUP($R94,Capa!$A:$AJ,BH$5,0))))</f>
        <v/>
      </c>
      <c r="BI94" s="174" t="str">
        <f>IF(BI$6="","",IF(BI$3="Maior",iferror(VLOOKUP($R94,Capa!$A:$AJ,BI$5,0),0),IF(ISERROR(1/VLOOKUP($R94,Capa!$A:$AJ,BI$5,0)),0,1/VLOOKUP($R94,Capa!$A:$AJ,BI$5,0))))</f>
        <v/>
      </c>
      <c r="BJ94" s="174" t="str">
        <f>IF(BJ$6="","",IF(BJ$3="Maior",iferror(VLOOKUP($R94,Capa!$A:$AJ,BJ$5,0),0),IF(ISERROR(1/VLOOKUP($R94,Capa!$A:$AJ,BJ$5,0)),0,1/VLOOKUP($R94,Capa!$A:$AJ,BJ$5,0))))</f>
        <v/>
      </c>
      <c r="BK94" s="174" t="str">
        <f>IF(BK$6="","",IF(BK$3="Maior",iferror(VLOOKUP($R94,Capa!$A:$AJ,BK$5,0),0),IF(ISERROR(1/VLOOKUP($R94,Capa!$A:$AJ,BK$5,0)),0,1/VLOOKUP($R94,Capa!$A:$AJ,BK$5,0))))</f>
        <v/>
      </c>
      <c r="BL94" s="174" t="str">
        <f>IF(BL$6="","",IF(BL$3="Maior",iferror(VLOOKUP($R94,Capa!$A:$AJ,BL$5,0),0),IF(ISERROR(1/VLOOKUP($R94,Capa!$A:$AJ,BL$5,0)),0,1/VLOOKUP($R94,Capa!$A:$AJ,BL$5,0))))</f>
        <v/>
      </c>
      <c r="BM94" s="174" t="str">
        <f>IF(BM$6="","",IF(BM$3="Maior",iferror(VLOOKUP($R94,Capa!$A:$AJ,BM$5,0),0),IF(ISERROR(1/VLOOKUP($R94,Capa!$A:$AJ,BM$5,0)),0,1/VLOOKUP($R94,Capa!$A:$AJ,BM$5,0))))</f>
        <v/>
      </c>
      <c r="BN94" s="174" t="str">
        <f>IF(BN$6="","",IF(BN$3="Maior",iferror(VLOOKUP($R94,Capa!$A:$AJ,BN$5,0),0),IF(ISERROR(1/VLOOKUP($R94,Capa!$A:$AJ,BN$5,0)),0,1/VLOOKUP($R94,Capa!$A:$AJ,BN$5,0))))</f>
        <v/>
      </c>
      <c r="BO94" s="174" t="str">
        <f>IF(BO$6="","",IF(BO$3="Maior",iferror(VLOOKUP($R94,Capa!$A:$AJ,BO$5,0),0),IF(ISERROR(1/VLOOKUP($R94,Capa!$A:$AJ,BO$5,0)),0,1/VLOOKUP($R94,Capa!$A:$AJ,BO$5,0))))</f>
        <v/>
      </c>
      <c r="BP94" s="174" t="str">
        <f>IF(BP$6="","",IF(BP$3="Maior",iferror(VLOOKUP($R94,Capa!$A:$AJ,BP$5,0),0),IF(ISERROR(1/VLOOKUP($R94,Capa!$A:$AJ,BP$5,0)),0,1/VLOOKUP($R94,Capa!$A:$AJ,BP$5,0))))</f>
        <v/>
      </c>
      <c r="BQ94" s="174" t="str">
        <f>IF(BQ$6="","",IF(BQ$3="Maior",iferror(VLOOKUP($R94,Capa!$A:$AJ,BQ$5,0),0),IF(ISERROR(1/VLOOKUP($R94,Capa!$A:$AJ,BQ$5,0)),0,1/VLOOKUP($R94,Capa!$A:$AJ,BQ$5,0))))</f>
        <v/>
      </c>
      <c r="BR94" s="175"/>
      <c r="BS94" s="147"/>
    </row>
    <row r="95">
      <c r="G95" s="11"/>
      <c r="H95" s="8">
        <v>89.0</v>
      </c>
      <c r="I95" s="165" t="str">
        <f t="shared" si="6"/>
        <v>MELK3</v>
      </c>
      <c r="J95" s="166" t="str">
        <f>(VLOOKUP($I95,Capa!$A:$B,2,0))</f>
        <v>Melnick Desenvolvimento Imobiliario SA</v>
      </c>
      <c r="K95" s="167" t="str">
        <f>VLOOKUP(left(I95,4),Setor!A:D,3,0)&amp;" | "&amp;VLOOKUP(left(I95,4),Setor!A:D,4,0)</f>
        <v>Consumo Cíclico | Construção Civil</v>
      </c>
      <c r="L95" s="168">
        <f>(VLOOKUP($I95,Capa!$A:$F,6,0))</f>
        <v>3.95</v>
      </c>
      <c r="M95" s="168">
        <f t="shared" si="7"/>
        <v>2087970</v>
      </c>
      <c r="N95" s="11" t="str">
        <f>IFERROR(__xludf.DUMMYFUNCTION("(VLOOKUP($I95,Capa!$A:$H,7,0))"),"")</f>
        <v/>
      </c>
      <c r="O95" s="169">
        <f>(VLOOKUP($I95,Capa!$A:$H,8,0))</f>
        <v>0.08516483516</v>
      </c>
      <c r="P95" s="11" t="str">
        <f>IFERROR(__xludf.DUMMYFUNCTION("(VLOOKUP($I95,Capa!$A:$J,10,0))"),"")</f>
        <v/>
      </c>
      <c r="Q95" s="169">
        <f>(VLOOKUP($I95,Capa!$A:$K,11,0))</f>
        <v>0.04774535809</v>
      </c>
      <c r="R95" s="45" t="str">
        <f>'Dados StatusInvest'!A90</f>
        <v>BPAN4</v>
      </c>
      <c r="S95" s="170">
        <f t="shared" si="8"/>
        <v>605.0605</v>
      </c>
      <c r="T95" s="171">
        <f>VLOOKUP(R95,'Dados StatusInvest'!A:Z,26,0)</f>
        <v>38432884</v>
      </c>
      <c r="U95" s="172">
        <f t="shared" ref="U95:AS95" si="97">IF(AT95="","", RANK(AT95,AT$7:AT$626,0)+RANK(AT95,AT$7:AT$626,0)/10000)</f>
        <v>38.0038</v>
      </c>
      <c r="V95" s="172">
        <f t="shared" si="97"/>
        <v>567.0567</v>
      </c>
      <c r="W95" s="172" t="str">
        <f t="shared" si="97"/>
        <v/>
      </c>
      <c r="X95" s="172" t="str">
        <f t="shared" si="97"/>
        <v/>
      </c>
      <c r="Y95" s="172" t="str">
        <f t="shared" si="97"/>
        <v/>
      </c>
      <c r="Z95" s="172" t="str">
        <f t="shared" si="97"/>
        <v/>
      </c>
      <c r="AA95" s="172" t="str">
        <f t="shared" si="97"/>
        <v/>
      </c>
      <c r="AB95" s="172" t="str">
        <f t="shared" si="97"/>
        <v/>
      </c>
      <c r="AC95" s="172" t="str">
        <f t="shared" si="97"/>
        <v/>
      </c>
      <c r="AD95" s="172" t="str">
        <f t="shared" si="97"/>
        <v/>
      </c>
      <c r="AE95" s="172" t="str">
        <f t="shared" si="97"/>
        <v/>
      </c>
      <c r="AF95" s="172" t="str">
        <f t="shared" si="97"/>
        <v/>
      </c>
      <c r="AG95" s="172" t="str">
        <f t="shared" si="97"/>
        <v/>
      </c>
      <c r="AH95" s="172" t="str">
        <f t="shared" si="97"/>
        <v/>
      </c>
      <c r="AI95" s="172" t="str">
        <f t="shared" si="97"/>
        <v/>
      </c>
      <c r="AJ95" s="172" t="str">
        <f t="shared" si="97"/>
        <v/>
      </c>
      <c r="AK95" s="172" t="str">
        <f t="shared" si="97"/>
        <v/>
      </c>
      <c r="AL95" s="172" t="str">
        <f t="shared" si="97"/>
        <v/>
      </c>
      <c r="AM95" s="172" t="str">
        <f t="shared" si="97"/>
        <v/>
      </c>
      <c r="AN95" s="172" t="str">
        <f t="shared" si="97"/>
        <v/>
      </c>
      <c r="AO95" s="172" t="str">
        <f t="shared" si="97"/>
        <v/>
      </c>
      <c r="AP95" s="172" t="str">
        <f t="shared" si="97"/>
        <v/>
      </c>
      <c r="AQ95" s="172" t="str">
        <f t="shared" si="97"/>
        <v/>
      </c>
      <c r="AR95" s="172" t="str">
        <f t="shared" si="97"/>
        <v/>
      </c>
      <c r="AS95" s="172" t="str">
        <f t="shared" si="97"/>
        <v/>
      </c>
      <c r="AT95" s="173">
        <f>IF(AT$6="","",IF(AT$3="Maior",iferror(VLOOKUP($R95,Capa!$A:$AJ,AT$5,0),0),IF(ISERROR(1/VLOOKUP($R95,Capa!$A:$AJ,AT$5,0)),0,1/VLOOKUP($R95,Capa!$A:$AJ,AT$5,0))))</f>
        <v>0.00190432663</v>
      </c>
      <c r="AU95" s="174">
        <f>IF(AU$6="","",IF(AU$3="Maior",iferror(VLOOKUP($R95,Capa!$A:$AJ,AU$5,0),0),IF(ISERROR(1/VLOOKUP($R95,Capa!$A:$AJ,AU$5,0)),0,1/VLOOKUP($R95,Capa!$A:$AJ,AU$5,0))))</f>
        <v>-9</v>
      </c>
      <c r="AV95" s="174" t="str">
        <f>IF(AV$6="","",IF(AV$3="Maior",iferror(VLOOKUP($R95,Capa!$A:$AJ,AV$5,0),0),IF(ISERROR(1/VLOOKUP($R95,Capa!$A:$AJ,AV$5,0)),0,1/VLOOKUP($R95,Capa!$A:$AJ,AV$5,0))))</f>
        <v/>
      </c>
      <c r="AW95" s="174" t="str">
        <f>IF(AW$6="","",IF(AW$3="Maior",iferror(VLOOKUP($R95,Capa!$A:$AJ,AW$5,0),0),IF(ISERROR(1/VLOOKUP($R95,Capa!$A:$AJ,AW$5,0)),0,1/VLOOKUP($R95,Capa!$A:$AJ,AW$5,0))))</f>
        <v/>
      </c>
      <c r="AX95" s="174" t="str">
        <f>IF(AX$6="","",IF(AX$3="Maior",iferror(VLOOKUP($R95,Capa!$A:$AJ,AX$5,0),0),IF(ISERROR(1/VLOOKUP($R95,Capa!$A:$AJ,AX$5,0)),0,1/VLOOKUP($R95,Capa!$A:$AJ,AX$5,0))))</f>
        <v/>
      </c>
      <c r="AY95" s="174" t="str">
        <f>IF(AY$6="","",IF(AY$3="Maior",iferror(VLOOKUP($R95,Capa!$A:$AJ,AY$5,0),0),IF(ISERROR(1/VLOOKUP($R95,Capa!$A:$AJ,AY$5,0)),0,1/VLOOKUP($R95,Capa!$A:$AJ,AY$5,0))))</f>
        <v/>
      </c>
      <c r="AZ95" s="174" t="str">
        <f>IF(AZ$6="","",IF(AZ$3="Maior",iferror(VLOOKUP($R95,Capa!$A:$AJ,AZ$5,0),0),IF(ISERROR(1/VLOOKUP($R95,Capa!$A:$AJ,AZ$5,0)),0,1/VLOOKUP($R95,Capa!$A:$AJ,AZ$5,0))))</f>
        <v/>
      </c>
      <c r="BA95" s="174" t="str">
        <f>IF(BA$6="","",IF(BA$3="Maior",iferror(VLOOKUP($R95,Capa!$A:$AJ,BA$5,0),0),IF(ISERROR(1/VLOOKUP($R95,Capa!$A:$AJ,BA$5,0)),0,1/VLOOKUP($R95,Capa!$A:$AJ,BA$5,0))))</f>
        <v/>
      </c>
      <c r="BB95" s="174" t="str">
        <f>IF(BB$6="","",IF(BB$3="Maior",iferror(VLOOKUP($R95,Capa!$A:$AJ,BB$5,0),0),IF(ISERROR(1/VLOOKUP($R95,Capa!$A:$AJ,BB$5,0)),0,1/VLOOKUP($R95,Capa!$A:$AJ,BB$5,0))))</f>
        <v/>
      </c>
      <c r="BC95" s="174" t="str">
        <f>IF(BC$6="","",IF(BC$3="Maior",iferror(VLOOKUP($R95,Capa!$A:$AJ,BC$5,0),0),IF(ISERROR(1/VLOOKUP($R95,Capa!$A:$AJ,BC$5,0)),0,1/VLOOKUP($R95,Capa!$A:$AJ,BC$5,0))))</f>
        <v/>
      </c>
      <c r="BD95" s="174" t="str">
        <f>IF(BD$6="","",IF(BD$3="Maior",iferror(VLOOKUP($R95,Capa!$A:$AJ,BD$5,0),0),IF(ISERROR(1/VLOOKUP($R95,Capa!$A:$AJ,BD$5,0)),0,1/VLOOKUP($R95,Capa!$A:$AJ,BD$5,0))))</f>
        <v/>
      </c>
      <c r="BE95" s="174" t="str">
        <f>IF(BE$6="","",IF(BE$3="Maior",iferror(VLOOKUP($R95,Capa!$A:$AJ,BE$5,0),0),IF(ISERROR(1/VLOOKUP($R95,Capa!$A:$AJ,BE$5,0)),0,1/VLOOKUP($R95,Capa!$A:$AJ,BE$5,0))))</f>
        <v/>
      </c>
      <c r="BF95" s="174" t="str">
        <f>IF(BF$6="","",IF(BF$3="Maior",iferror(VLOOKUP($R95,Capa!$A:$AJ,BF$5,0),0),IF(ISERROR(1/VLOOKUP($R95,Capa!$A:$AJ,BF$5,0)),0,1/VLOOKUP($R95,Capa!$A:$AJ,BF$5,0))))</f>
        <v/>
      </c>
      <c r="BG95" s="174" t="str">
        <f>IF(BG$6="","",IF(BG$3="Maior",iferror(VLOOKUP($R95,Capa!$A:$AJ,BG$5,0),0),IF(ISERROR(1/VLOOKUP($R95,Capa!$A:$AJ,BG$5,0)),0,1/VLOOKUP($R95,Capa!$A:$AJ,BG$5,0))))</f>
        <v/>
      </c>
      <c r="BH95" s="174" t="str">
        <f>IF(BH$6="","",IF(BH$3="Maior",iferror(VLOOKUP($R95,Capa!$A:$AJ,BH$5,0),0),IF(ISERROR(1/VLOOKUP($R95,Capa!$A:$AJ,BH$5,0)),0,1/VLOOKUP($R95,Capa!$A:$AJ,BH$5,0))))</f>
        <v/>
      </c>
      <c r="BI95" s="174" t="str">
        <f>IF(BI$6="","",IF(BI$3="Maior",iferror(VLOOKUP($R95,Capa!$A:$AJ,BI$5,0),0),IF(ISERROR(1/VLOOKUP($R95,Capa!$A:$AJ,BI$5,0)),0,1/VLOOKUP($R95,Capa!$A:$AJ,BI$5,0))))</f>
        <v/>
      </c>
      <c r="BJ95" s="174" t="str">
        <f>IF(BJ$6="","",IF(BJ$3="Maior",iferror(VLOOKUP($R95,Capa!$A:$AJ,BJ$5,0),0),IF(ISERROR(1/VLOOKUP($R95,Capa!$A:$AJ,BJ$5,0)),0,1/VLOOKUP($R95,Capa!$A:$AJ,BJ$5,0))))</f>
        <v/>
      </c>
      <c r="BK95" s="174" t="str">
        <f>IF(BK$6="","",IF(BK$3="Maior",iferror(VLOOKUP($R95,Capa!$A:$AJ,BK$5,0),0),IF(ISERROR(1/VLOOKUP($R95,Capa!$A:$AJ,BK$5,0)),0,1/VLOOKUP($R95,Capa!$A:$AJ,BK$5,0))))</f>
        <v/>
      </c>
      <c r="BL95" s="174" t="str">
        <f>IF(BL$6="","",IF(BL$3="Maior",iferror(VLOOKUP($R95,Capa!$A:$AJ,BL$5,0),0),IF(ISERROR(1/VLOOKUP($R95,Capa!$A:$AJ,BL$5,0)),0,1/VLOOKUP($R95,Capa!$A:$AJ,BL$5,0))))</f>
        <v/>
      </c>
      <c r="BM95" s="174" t="str">
        <f>IF(BM$6="","",IF(BM$3="Maior",iferror(VLOOKUP($R95,Capa!$A:$AJ,BM$5,0),0),IF(ISERROR(1/VLOOKUP($R95,Capa!$A:$AJ,BM$5,0)),0,1/VLOOKUP($R95,Capa!$A:$AJ,BM$5,0))))</f>
        <v/>
      </c>
      <c r="BN95" s="174" t="str">
        <f>IF(BN$6="","",IF(BN$3="Maior",iferror(VLOOKUP($R95,Capa!$A:$AJ,BN$5,0),0),IF(ISERROR(1/VLOOKUP($R95,Capa!$A:$AJ,BN$5,0)),0,1/VLOOKUP($R95,Capa!$A:$AJ,BN$5,0))))</f>
        <v/>
      </c>
      <c r="BO95" s="174" t="str">
        <f>IF(BO$6="","",IF(BO$3="Maior",iferror(VLOOKUP($R95,Capa!$A:$AJ,BO$5,0),0),IF(ISERROR(1/VLOOKUP($R95,Capa!$A:$AJ,BO$5,0)),0,1/VLOOKUP($R95,Capa!$A:$AJ,BO$5,0))))</f>
        <v/>
      </c>
      <c r="BP95" s="174" t="str">
        <f>IF(BP$6="","",IF(BP$3="Maior",iferror(VLOOKUP($R95,Capa!$A:$AJ,BP$5,0),0),IF(ISERROR(1/VLOOKUP($R95,Capa!$A:$AJ,BP$5,0)),0,1/VLOOKUP($R95,Capa!$A:$AJ,BP$5,0))))</f>
        <v/>
      </c>
      <c r="BQ95" s="174" t="str">
        <f>IF(BQ$6="","",IF(BQ$3="Maior",iferror(VLOOKUP($R95,Capa!$A:$AJ,BQ$5,0),0),IF(ISERROR(1/VLOOKUP($R95,Capa!$A:$AJ,BQ$5,0)),0,1/VLOOKUP($R95,Capa!$A:$AJ,BQ$5,0))))</f>
        <v/>
      </c>
      <c r="BR95" s="175"/>
      <c r="BS95" s="147"/>
    </row>
    <row r="96">
      <c r="G96" s="11"/>
      <c r="H96" s="8">
        <v>90.0</v>
      </c>
      <c r="I96" s="165" t="str">
        <f t="shared" si="6"/>
        <v>MELK3</v>
      </c>
      <c r="J96" s="166" t="str">
        <f>(VLOOKUP($I96,Capa!$A:$B,2,0))</f>
        <v>Melnick Desenvolvimento Imobiliario SA</v>
      </c>
      <c r="K96" s="167" t="str">
        <f>VLOOKUP(left(I96,4),Setor!A:D,3,0)&amp;" | "&amp;VLOOKUP(left(I96,4),Setor!A:D,4,0)</f>
        <v>Consumo Cíclico | Construção Civil</v>
      </c>
      <c r="L96" s="168">
        <f>(VLOOKUP($I96,Capa!$A:$F,6,0))</f>
        <v>3.95</v>
      </c>
      <c r="M96" s="168">
        <f t="shared" si="7"/>
        <v>2087970</v>
      </c>
      <c r="N96" s="11" t="str">
        <f>IFERROR(__xludf.DUMMYFUNCTION("(VLOOKUP($I96,Capa!$A:$H,7,0))"),"")</f>
        <v/>
      </c>
      <c r="O96" s="169">
        <f>(VLOOKUP($I96,Capa!$A:$H,8,0))</f>
        <v>0.08516483516</v>
      </c>
      <c r="P96" s="11" t="str">
        <f>IFERROR(__xludf.DUMMYFUNCTION("(VLOOKUP($I96,Capa!$A:$J,10,0))"),"")</f>
        <v/>
      </c>
      <c r="Q96" s="169">
        <f>(VLOOKUP($I96,Capa!$A:$K,11,0))</f>
        <v>0.04774535809</v>
      </c>
      <c r="R96" s="45" t="str">
        <f>'Dados StatusInvest'!A91</f>
        <v>BPAR3</v>
      </c>
      <c r="S96" s="170">
        <f t="shared" si="8"/>
        <v>1739.0739</v>
      </c>
      <c r="T96" s="171">
        <f>VLOOKUP(R96,'Dados StatusInvest'!A:Z,26,0)</f>
        <v>0</v>
      </c>
      <c r="U96" s="172">
        <f t="shared" ref="U96:AS96" si="98">IF(AT96="","", RANK(AT96,AT$7:AT$626,0)+RANK(AT96,AT$7:AT$626,0)/10000)</f>
        <v>184.0184</v>
      </c>
      <c r="V96" s="172">
        <f t="shared" si="98"/>
        <v>555.0555</v>
      </c>
      <c r="W96" s="172" t="str">
        <f t="shared" si="98"/>
        <v/>
      </c>
      <c r="X96" s="172" t="str">
        <f t="shared" si="98"/>
        <v/>
      </c>
      <c r="Y96" s="172" t="str">
        <f t="shared" si="98"/>
        <v/>
      </c>
      <c r="Z96" s="172" t="str">
        <f t="shared" si="98"/>
        <v/>
      </c>
      <c r="AA96" s="172" t="str">
        <f t="shared" si="98"/>
        <v/>
      </c>
      <c r="AB96" s="172" t="str">
        <f t="shared" si="98"/>
        <v/>
      </c>
      <c r="AC96" s="172" t="str">
        <f t="shared" si="98"/>
        <v/>
      </c>
      <c r="AD96" s="172" t="str">
        <f t="shared" si="98"/>
        <v/>
      </c>
      <c r="AE96" s="172" t="str">
        <f t="shared" si="98"/>
        <v/>
      </c>
      <c r="AF96" s="172" t="str">
        <f t="shared" si="98"/>
        <v/>
      </c>
      <c r="AG96" s="172" t="str">
        <f t="shared" si="98"/>
        <v/>
      </c>
      <c r="AH96" s="172" t="str">
        <f t="shared" si="98"/>
        <v/>
      </c>
      <c r="AI96" s="172" t="str">
        <f t="shared" si="98"/>
        <v/>
      </c>
      <c r="AJ96" s="172" t="str">
        <f t="shared" si="98"/>
        <v/>
      </c>
      <c r="AK96" s="172" t="str">
        <f t="shared" si="98"/>
        <v/>
      </c>
      <c r="AL96" s="172" t="str">
        <f t="shared" si="98"/>
        <v/>
      </c>
      <c r="AM96" s="172" t="str">
        <f t="shared" si="98"/>
        <v/>
      </c>
      <c r="AN96" s="172" t="str">
        <f t="shared" si="98"/>
        <v/>
      </c>
      <c r="AO96" s="172" t="str">
        <f t="shared" si="98"/>
        <v/>
      </c>
      <c r="AP96" s="172" t="str">
        <f t="shared" si="98"/>
        <v/>
      </c>
      <c r="AQ96" s="172" t="str">
        <f t="shared" si="98"/>
        <v/>
      </c>
      <c r="AR96" s="172" t="str">
        <f t="shared" si="98"/>
        <v/>
      </c>
      <c r="AS96" s="172" t="str">
        <f t="shared" si="98"/>
        <v/>
      </c>
      <c r="AT96" s="173">
        <f>IF(AT$6="","",IF(AT$3="Maior",iferror(VLOOKUP($R96,Capa!$A:$AJ,AT$5,0),0),IF(ISERROR(1/VLOOKUP($R96,Capa!$A:$AJ,AT$5,0)),0,1/VLOOKUP($R96,Capa!$A:$AJ,AT$5,0))))</f>
        <v>-0.2298850575</v>
      </c>
      <c r="AU96" s="174">
        <f>IF(AU$6="","",IF(AU$3="Maior",iferror(VLOOKUP($R96,Capa!$A:$AJ,AU$5,0),0),IF(ISERROR(1/VLOOKUP($R96,Capa!$A:$AJ,AU$5,0)),0,1/VLOOKUP($R96,Capa!$A:$AJ,AU$5,0))))</f>
        <v>-4.89</v>
      </c>
      <c r="AV96" s="174" t="str">
        <f>IF(AV$6="","",IF(AV$3="Maior",iferror(VLOOKUP($R96,Capa!$A:$AJ,AV$5,0),0),IF(ISERROR(1/VLOOKUP($R96,Capa!$A:$AJ,AV$5,0)),0,1/VLOOKUP($R96,Capa!$A:$AJ,AV$5,0))))</f>
        <v/>
      </c>
      <c r="AW96" s="174" t="str">
        <f>IF(AW$6="","",IF(AW$3="Maior",iferror(VLOOKUP($R96,Capa!$A:$AJ,AW$5,0),0),IF(ISERROR(1/VLOOKUP($R96,Capa!$A:$AJ,AW$5,0)),0,1/VLOOKUP($R96,Capa!$A:$AJ,AW$5,0))))</f>
        <v/>
      </c>
      <c r="AX96" s="174" t="str">
        <f>IF(AX$6="","",IF(AX$3="Maior",iferror(VLOOKUP($R96,Capa!$A:$AJ,AX$5,0),0),IF(ISERROR(1/VLOOKUP($R96,Capa!$A:$AJ,AX$5,0)),0,1/VLOOKUP($R96,Capa!$A:$AJ,AX$5,0))))</f>
        <v/>
      </c>
      <c r="AY96" s="174" t="str">
        <f>IF(AY$6="","",IF(AY$3="Maior",iferror(VLOOKUP($R96,Capa!$A:$AJ,AY$5,0),0),IF(ISERROR(1/VLOOKUP($R96,Capa!$A:$AJ,AY$5,0)),0,1/VLOOKUP($R96,Capa!$A:$AJ,AY$5,0))))</f>
        <v/>
      </c>
      <c r="AZ96" s="174" t="str">
        <f>IF(AZ$6="","",IF(AZ$3="Maior",iferror(VLOOKUP($R96,Capa!$A:$AJ,AZ$5,0),0),IF(ISERROR(1/VLOOKUP($R96,Capa!$A:$AJ,AZ$5,0)),0,1/VLOOKUP($R96,Capa!$A:$AJ,AZ$5,0))))</f>
        <v/>
      </c>
      <c r="BA96" s="174" t="str">
        <f>IF(BA$6="","",IF(BA$3="Maior",iferror(VLOOKUP($R96,Capa!$A:$AJ,BA$5,0),0),IF(ISERROR(1/VLOOKUP($R96,Capa!$A:$AJ,BA$5,0)),0,1/VLOOKUP($R96,Capa!$A:$AJ,BA$5,0))))</f>
        <v/>
      </c>
      <c r="BB96" s="174" t="str">
        <f>IF(BB$6="","",IF(BB$3="Maior",iferror(VLOOKUP($R96,Capa!$A:$AJ,BB$5,0),0),IF(ISERROR(1/VLOOKUP($R96,Capa!$A:$AJ,BB$5,0)),0,1/VLOOKUP($R96,Capa!$A:$AJ,BB$5,0))))</f>
        <v/>
      </c>
      <c r="BC96" s="174" t="str">
        <f>IF(BC$6="","",IF(BC$3="Maior",iferror(VLOOKUP($R96,Capa!$A:$AJ,BC$5,0),0),IF(ISERROR(1/VLOOKUP($R96,Capa!$A:$AJ,BC$5,0)),0,1/VLOOKUP($R96,Capa!$A:$AJ,BC$5,0))))</f>
        <v/>
      </c>
      <c r="BD96" s="174" t="str">
        <f>IF(BD$6="","",IF(BD$3="Maior",iferror(VLOOKUP($R96,Capa!$A:$AJ,BD$5,0),0),IF(ISERROR(1/VLOOKUP($R96,Capa!$A:$AJ,BD$5,0)),0,1/VLOOKUP($R96,Capa!$A:$AJ,BD$5,0))))</f>
        <v/>
      </c>
      <c r="BE96" s="174" t="str">
        <f>IF(BE$6="","",IF(BE$3="Maior",iferror(VLOOKUP($R96,Capa!$A:$AJ,BE$5,0),0),IF(ISERROR(1/VLOOKUP($R96,Capa!$A:$AJ,BE$5,0)),0,1/VLOOKUP($R96,Capa!$A:$AJ,BE$5,0))))</f>
        <v/>
      </c>
      <c r="BF96" s="174" t="str">
        <f>IF(BF$6="","",IF(BF$3="Maior",iferror(VLOOKUP($R96,Capa!$A:$AJ,BF$5,0),0),IF(ISERROR(1/VLOOKUP($R96,Capa!$A:$AJ,BF$5,0)),0,1/VLOOKUP($R96,Capa!$A:$AJ,BF$5,0))))</f>
        <v/>
      </c>
      <c r="BG96" s="174" t="str">
        <f>IF(BG$6="","",IF(BG$3="Maior",iferror(VLOOKUP($R96,Capa!$A:$AJ,BG$5,0),0),IF(ISERROR(1/VLOOKUP($R96,Capa!$A:$AJ,BG$5,0)),0,1/VLOOKUP($R96,Capa!$A:$AJ,BG$5,0))))</f>
        <v/>
      </c>
      <c r="BH96" s="174" t="str">
        <f>IF(BH$6="","",IF(BH$3="Maior",iferror(VLOOKUP($R96,Capa!$A:$AJ,BH$5,0),0),IF(ISERROR(1/VLOOKUP($R96,Capa!$A:$AJ,BH$5,0)),0,1/VLOOKUP($R96,Capa!$A:$AJ,BH$5,0))))</f>
        <v/>
      </c>
      <c r="BI96" s="174" t="str">
        <f>IF(BI$6="","",IF(BI$3="Maior",iferror(VLOOKUP($R96,Capa!$A:$AJ,BI$5,0),0),IF(ISERROR(1/VLOOKUP($R96,Capa!$A:$AJ,BI$5,0)),0,1/VLOOKUP($R96,Capa!$A:$AJ,BI$5,0))))</f>
        <v/>
      </c>
      <c r="BJ96" s="174" t="str">
        <f>IF(BJ$6="","",IF(BJ$3="Maior",iferror(VLOOKUP($R96,Capa!$A:$AJ,BJ$5,0),0),IF(ISERROR(1/VLOOKUP($R96,Capa!$A:$AJ,BJ$5,0)),0,1/VLOOKUP($R96,Capa!$A:$AJ,BJ$5,0))))</f>
        <v/>
      </c>
      <c r="BK96" s="174" t="str">
        <f>IF(BK$6="","",IF(BK$3="Maior",iferror(VLOOKUP($R96,Capa!$A:$AJ,BK$5,0),0),IF(ISERROR(1/VLOOKUP($R96,Capa!$A:$AJ,BK$5,0)),0,1/VLOOKUP($R96,Capa!$A:$AJ,BK$5,0))))</f>
        <v/>
      </c>
      <c r="BL96" s="174" t="str">
        <f>IF(BL$6="","",IF(BL$3="Maior",iferror(VLOOKUP($R96,Capa!$A:$AJ,BL$5,0),0),IF(ISERROR(1/VLOOKUP($R96,Capa!$A:$AJ,BL$5,0)),0,1/VLOOKUP($R96,Capa!$A:$AJ,BL$5,0))))</f>
        <v/>
      </c>
      <c r="BM96" s="174" t="str">
        <f>IF(BM$6="","",IF(BM$3="Maior",iferror(VLOOKUP($R96,Capa!$A:$AJ,BM$5,0),0),IF(ISERROR(1/VLOOKUP($R96,Capa!$A:$AJ,BM$5,0)),0,1/VLOOKUP($R96,Capa!$A:$AJ,BM$5,0))))</f>
        <v/>
      </c>
      <c r="BN96" s="174" t="str">
        <f>IF(BN$6="","",IF(BN$3="Maior",iferror(VLOOKUP($R96,Capa!$A:$AJ,BN$5,0),0),IF(ISERROR(1/VLOOKUP($R96,Capa!$A:$AJ,BN$5,0)),0,1/VLOOKUP($R96,Capa!$A:$AJ,BN$5,0))))</f>
        <v/>
      </c>
      <c r="BO96" s="174" t="str">
        <f>IF(BO$6="","",IF(BO$3="Maior",iferror(VLOOKUP($R96,Capa!$A:$AJ,BO$5,0),0),IF(ISERROR(1/VLOOKUP($R96,Capa!$A:$AJ,BO$5,0)),0,1/VLOOKUP($R96,Capa!$A:$AJ,BO$5,0))))</f>
        <v/>
      </c>
      <c r="BP96" s="174" t="str">
        <f>IF(BP$6="","",IF(BP$3="Maior",iferror(VLOOKUP($R96,Capa!$A:$AJ,BP$5,0),0),IF(ISERROR(1/VLOOKUP($R96,Capa!$A:$AJ,BP$5,0)),0,1/VLOOKUP($R96,Capa!$A:$AJ,BP$5,0))))</f>
        <v/>
      </c>
      <c r="BQ96" s="174" t="str">
        <f>IF(BQ$6="","",IF(BQ$3="Maior",iferror(VLOOKUP($R96,Capa!$A:$AJ,BQ$5,0),0),IF(ISERROR(1/VLOOKUP($R96,Capa!$A:$AJ,BQ$5,0)),0,1/VLOOKUP($R96,Capa!$A:$AJ,BQ$5,0))))</f>
        <v/>
      </c>
      <c r="BR96" s="175"/>
      <c r="BS96" s="147"/>
    </row>
    <row r="97">
      <c r="G97" s="11"/>
      <c r="H97" s="8">
        <v>91.0</v>
      </c>
      <c r="I97" s="165" t="str">
        <f t="shared" si="6"/>
        <v>CASH3</v>
      </c>
      <c r="J97" s="166" t="str">
        <f>(VLOOKUP($I97,Capa!$A:$B,2,0))</f>
        <v>Meliuz SA</v>
      </c>
      <c r="K97" s="167" t="str">
        <f>VLOOKUP(left(I97,4),Setor!A:D,3,0)&amp;" | "&amp;VLOOKUP(left(I97,4),Setor!A:D,4,0)</f>
        <v>Tecnologia da Informação | Programas e Serviços</v>
      </c>
      <c r="L97" s="168">
        <f>(VLOOKUP($I97,Capa!$A:$F,6,0))</f>
        <v>3.43</v>
      </c>
      <c r="M97" s="168">
        <f t="shared" si="7"/>
        <v>6702314</v>
      </c>
      <c r="N97" s="11" t="str">
        <f>IFERROR(__xludf.DUMMYFUNCTION("(VLOOKUP($I97,Capa!$A:$H,7,0))"),"")</f>
        <v/>
      </c>
      <c r="O97" s="169">
        <f>(VLOOKUP($I97,Capa!$A:$H,8,0))</f>
        <v>-0.1381909548</v>
      </c>
      <c r="P97" s="11" t="str">
        <f>IFERROR(__xludf.DUMMYFUNCTION("(VLOOKUP($I97,Capa!$A:$J,10,0))"),"")</f>
        <v/>
      </c>
      <c r="Q97" s="169">
        <f>(VLOOKUP($I97,Capa!$A:$K,11,0))</f>
        <v>0.06191950464</v>
      </c>
      <c r="R97" s="45" t="str">
        <f>'Dados StatusInvest'!A92</f>
        <v>BPAT33</v>
      </c>
      <c r="S97" s="170">
        <f t="shared" si="8"/>
        <v>2170.117</v>
      </c>
      <c r="T97" s="171">
        <f>VLOOKUP(R97,'Dados StatusInvest'!A:Z,26,0)</f>
        <v>0</v>
      </c>
      <c r="U97" s="172">
        <f t="shared" ref="U97:AS97" si="99">IF(AT97="","", RANK(AT97,AT$7:AT$626,0)+RANK(AT97,AT$7:AT$626,0)/10000)</f>
        <v>572.0572</v>
      </c>
      <c r="V97" s="172">
        <f t="shared" si="99"/>
        <v>598.0598</v>
      </c>
      <c r="W97" s="172" t="str">
        <f t="shared" si="99"/>
        <v/>
      </c>
      <c r="X97" s="172" t="str">
        <f t="shared" si="99"/>
        <v/>
      </c>
      <c r="Y97" s="172" t="str">
        <f t="shared" si="99"/>
        <v/>
      </c>
      <c r="Z97" s="172" t="str">
        <f t="shared" si="99"/>
        <v/>
      </c>
      <c r="AA97" s="172" t="str">
        <f t="shared" si="99"/>
        <v/>
      </c>
      <c r="AB97" s="172" t="str">
        <f t="shared" si="99"/>
        <v/>
      </c>
      <c r="AC97" s="172" t="str">
        <f t="shared" si="99"/>
        <v/>
      </c>
      <c r="AD97" s="172" t="str">
        <f t="shared" si="99"/>
        <v/>
      </c>
      <c r="AE97" s="172" t="str">
        <f t="shared" si="99"/>
        <v/>
      </c>
      <c r="AF97" s="172" t="str">
        <f t="shared" si="99"/>
        <v/>
      </c>
      <c r="AG97" s="172" t="str">
        <f t="shared" si="99"/>
        <v/>
      </c>
      <c r="AH97" s="172" t="str">
        <f t="shared" si="99"/>
        <v/>
      </c>
      <c r="AI97" s="172" t="str">
        <f t="shared" si="99"/>
        <v/>
      </c>
      <c r="AJ97" s="172" t="str">
        <f t="shared" si="99"/>
        <v/>
      </c>
      <c r="AK97" s="172" t="str">
        <f t="shared" si="99"/>
        <v/>
      </c>
      <c r="AL97" s="172" t="str">
        <f t="shared" si="99"/>
        <v/>
      </c>
      <c r="AM97" s="172" t="str">
        <f t="shared" si="99"/>
        <v/>
      </c>
      <c r="AN97" s="172" t="str">
        <f t="shared" si="99"/>
        <v/>
      </c>
      <c r="AO97" s="172" t="str">
        <f t="shared" si="99"/>
        <v/>
      </c>
      <c r="AP97" s="172" t="str">
        <f t="shared" si="99"/>
        <v/>
      </c>
      <c r="AQ97" s="172" t="str">
        <f t="shared" si="99"/>
        <v/>
      </c>
      <c r="AR97" s="172" t="str">
        <f t="shared" si="99"/>
        <v/>
      </c>
      <c r="AS97" s="172" t="str">
        <f t="shared" si="99"/>
        <v/>
      </c>
      <c r="AT97" s="173">
        <f>IF(AT$6="","",IF(AT$3="Maior",iferror(VLOOKUP($R97,Capa!$A:$AJ,AT$5,0),0),IF(ISERROR(1/VLOOKUP($R97,Capa!$A:$AJ,AT$5,0)),0,1/VLOOKUP($R97,Capa!$A:$AJ,AT$5,0))))</f>
        <v>-8.333333333</v>
      </c>
      <c r="AU97" s="174">
        <f>IF(AU$6="","",IF(AU$3="Maior",iferror(VLOOKUP($R97,Capa!$A:$AJ,AU$5,0),0),IF(ISERROR(1/VLOOKUP($R97,Capa!$A:$AJ,AU$5,0)),0,1/VLOOKUP($R97,Capa!$A:$AJ,AU$5,0))))</f>
        <v>-18.89</v>
      </c>
      <c r="AV97" s="174" t="str">
        <f>IF(AV$6="","",IF(AV$3="Maior",iferror(VLOOKUP($R97,Capa!$A:$AJ,AV$5,0),0),IF(ISERROR(1/VLOOKUP($R97,Capa!$A:$AJ,AV$5,0)),0,1/VLOOKUP($R97,Capa!$A:$AJ,AV$5,0))))</f>
        <v/>
      </c>
      <c r="AW97" s="174" t="str">
        <f>IF(AW$6="","",IF(AW$3="Maior",iferror(VLOOKUP($R97,Capa!$A:$AJ,AW$5,0),0),IF(ISERROR(1/VLOOKUP($R97,Capa!$A:$AJ,AW$5,0)),0,1/VLOOKUP($R97,Capa!$A:$AJ,AW$5,0))))</f>
        <v/>
      </c>
      <c r="AX97" s="174" t="str">
        <f>IF(AX$6="","",IF(AX$3="Maior",iferror(VLOOKUP($R97,Capa!$A:$AJ,AX$5,0),0),IF(ISERROR(1/VLOOKUP($R97,Capa!$A:$AJ,AX$5,0)),0,1/VLOOKUP($R97,Capa!$A:$AJ,AX$5,0))))</f>
        <v/>
      </c>
      <c r="AY97" s="174" t="str">
        <f>IF(AY$6="","",IF(AY$3="Maior",iferror(VLOOKUP($R97,Capa!$A:$AJ,AY$5,0),0),IF(ISERROR(1/VLOOKUP($R97,Capa!$A:$AJ,AY$5,0)),0,1/VLOOKUP($R97,Capa!$A:$AJ,AY$5,0))))</f>
        <v/>
      </c>
      <c r="AZ97" s="174" t="str">
        <f>IF(AZ$6="","",IF(AZ$3="Maior",iferror(VLOOKUP($R97,Capa!$A:$AJ,AZ$5,0),0),IF(ISERROR(1/VLOOKUP($R97,Capa!$A:$AJ,AZ$5,0)),0,1/VLOOKUP($R97,Capa!$A:$AJ,AZ$5,0))))</f>
        <v/>
      </c>
      <c r="BA97" s="174" t="str">
        <f>IF(BA$6="","",IF(BA$3="Maior",iferror(VLOOKUP($R97,Capa!$A:$AJ,BA$5,0),0),IF(ISERROR(1/VLOOKUP($R97,Capa!$A:$AJ,BA$5,0)),0,1/VLOOKUP($R97,Capa!$A:$AJ,BA$5,0))))</f>
        <v/>
      </c>
      <c r="BB97" s="174" t="str">
        <f>IF(BB$6="","",IF(BB$3="Maior",iferror(VLOOKUP($R97,Capa!$A:$AJ,BB$5,0),0),IF(ISERROR(1/VLOOKUP($R97,Capa!$A:$AJ,BB$5,0)),0,1/VLOOKUP($R97,Capa!$A:$AJ,BB$5,0))))</f>
        <v/>
      </c>
      <c r="BC97" s="174" t="str">
        <f>IF(BC$6="","",IF(BC$3="Maior",iferror(VLOOKUP($R97,Capa!$A:$AJ,BC$5,0),0),IF(ISERROR(1/VLOOKUP($R97,Capa!$A:$AJ,BC$5,0)),0,1/VLOOKUP($R97,Capa!$A:$AJ,BC$5,0))))</f>
        <v/>
      </c>
      <c r="BD97" s="174" t="str">
        <f>IF(BD$6="","",IF(BD$3="Maior",iferror(VLOOKUP($R97,Capa!$A:$AJ,BD$5,0),0),IF(ISERROR(1/VLOOKUP($R97,Capa!$A:$AJ,BD$5,0)),0,1/VLOOKUP($R97,Capa!$A:$AJ,BD$5,0))))</f>
        <v/>
      </c>
      <c r="BE97" s="174" t="str">
        <f>IF(BE$6="","",IF(BE$3="Maior",iferror(VLOOKUP($R97,Capa!$A:$AJ,BE$5,0),0),IF(ISERROR(1/VLOOKUP($R97,Capa!$A:$AJ,BE$5,0)),0,1/VLOOKUP($R97,Capa!$A:$AJ,BE$5,0))))</f>
        <v/>
      </c>
      <c r="BF97" s="174" t="str">
        <f>IF(BF$6="","",IF(BF$3="Maior",iferror(VLOOKUP($R97,Capa!$A:$AJ,BF$5,0),0),IF(ISERROR(1/VLOOKUP($R97,Capa!$A:$AJ,BF$5,0)),0,1/VLOOKUP($R97,Capa!$A:$AJ,BF$5,0))))</f>
        <v/>
      </c>
      <c r="BG97" s="174" t="str">
        <f>IF(BG$6="","",IF(BG$3="Maior",iferror(VLOOKUP($R97,Capa!$A:$AJ,BG$5,0),0),IF(ISERROR(1/VLOOKUP($R97,Capa!$A:$AJ,BG$5,0)),0,1/VLOOKUP($R97,Capa!$A:$AJ,BG$5,0))))</f>
        <v/>
      </c>
      <c r="BH97" s="174" t="str">
        <f>IF(BH$6="","",IF(BH$3="Maior",iferror(VLOOKUP($R97,Capa!$A:$AJ,BH$5,0),0),IF(ISERROR(1/VLOOKUP($R97,Capa!$A:$AJ,BH$5,0)),0,1/VLOOKUP($R97,Capa!$A:$AJ,BH$5,0))))</f>
        <v/>
      </c>
      <c r="BI97" s="174" t="str">
        <f>IF(BI$6="","",IF(BI$3="Maior",iferror(VLOOKUP($R97,Capa!$A:$AJ,BI$5,0),0),IF(ISERROR(1/VLOOKUP($R97,Capa!$A:$AJ,BI$5,0)),0,1/VLOOKUP($R97,Capa!$A:$AJ,BI$5,0))))</f>
        <v/>
      </c>
      <c r="BJ97" s="174" t="str">
        <f>IF(BJ$6="","",IF(BJ$3="Maior",iferror(VLOOKUP($R97,Capa!$A:$AJ,BJ$5,0),0),IF(ISERROR(1/VLOOKUP($R97,Capa!$A:$AJ,BJ$5,0)),0,1/VLOOKUP($R97,Capa!$A:$AJ,BJ$5,0))))</f>
        <v/>
      </c>
      <c r="BK97" s="174" t="str">
        <f>IF(BK$6="","",IF(BK$3="Maior",iferror(VLOOKUP($R97,Capa!$A:$AJ,BK$5,0),0),IF(ISERROR(1/VLOOKUP($R97,Capa!$A:$AJ,BK$5,0)),0,1/VLOOKUP($R97,Capa!$A:$AJ,BK$5,0))))</f>
        <v/>
      </c>
      <c r="BL97" s="174" t="str">
        <f>IF(BL$6="","",IF(BL$3="Maior",iferror(VLOOKUP($R97,Capa!$A:$AJ,BL$5,0),0),IF(ISERROR(1/VLOOKUP($R97,Capa!$A:$AJ,BL$5,0)),0,1/VLOOKUP($R97,Capa!$A:$AJ,BL$5,0))))</f>
        <v/>
      </c>
      <c r="BM97" s="174" t="str">
        <f>IF(BM$6="","",IF(BM$3="Maior",iferror(VLOOKUP($R97,Capa!$A:$AJ,BM$5,0),0),IF(ISERROR(1/VLOOKUP($R97,Capa!$A:$AJ,BM$5,0)),0,1/VLOOKUP($R97,Capa!$A:$AJ,BM$5,0))))</f>
        <v/>
      </c>
      <c r="BN97" s="174" t="str">
        <f>IF(BN$6="","",IF(BN$3="Maior",iferror(VLOOKUP($R97,Capa!$A:$AJ,BN$5,0),0),IF(ISERROR(1/VLOOKUP($R97,Capa!$A:$AJ,BN$5,0)),0,1/VLOOKUP($R97,Capa!$A:$AJ,BN$5,0))))</f>
        <v/>
      </c>
      <c r="BO97" s="174" t="str">
        <f>IF(BO$6="","",IF(BO$3="Maior",iferror(VLOOKUP($R97,Capa!$A:$AJ,BO$5,0),0),IF(ISERROR(1/VLOOKUP($R97,Capa!$A:$AJ,BO$5,0)),0,1/VLOOKUP($R97,Capa!$A:$AJ,BO$5,0))))</f>
        <v/>
      </c>
      <c r="BP97" s="174" t="str">
        <f>IF(BP$6="","",IF(BP$3="Maior",iferror(VLOOKUP($R97,Capa!$A:$AJ,BP$5,0),0),IF(ISERROR(1/VLOOKUP($R97,Capa!$A:$AJ,BP$5,0)),0,1/VLOOKUP($R97,Capa!$A:$AJ,BP$5,0))))</f>
        <v/>
      </c>
      <c r="BQ97" s="174" t="str">
        <f>IF(BQ$6="","",IF(BQ$3="Maior",iferror(VLOOKUP($R97,Capa!$A:$AJ,BQ$5,0),0),IF(ISERROR(1/VLOOKUP($R97,Capa!$A:$AJ,BQ$5,0)),0,1/VLOOKUP($R97,Capa!$A:$AJ,BQ$5,0))))</f>
        <v/>
      </c>
      <c r="BR97" s="175"/>
      <c r="BS97" s="147"/>
    </row>
    <row r="98">
      <c r="G98" s="11"/>
      <c r="H98" s="8">
        <v>92.0</v>
      </c>
      <c r="I98" s="165" t="str">
        <f t="shared" si="6"/>
        <v>CASH3</v>
      </c>
      <c r="J98" s="166" t="str">
        <f>(VLOOKUP($I98,Capa!$A:$B,2,0))</f>
        <v>Meliuz SA</v>
      </c>
      <c r="K98" s="167" t="str">
        <f>VLOOKUP(left(I98,4),Setor!A:D,3,0)&amp;" | "&amp;VLOOKUP(left(I98,4),Setor!A:D,4,0)</f>
        <v>Tecnologia da Informação | Programas e Serviços</v>
      </c>
      <c r="L98" s="168">
        <f>(VLOOKUP($I98,Capa!$A:$F,6,0))</f>
        <v>3.43</v>
      </c>
      <c r="M98" s="168">
        <f t="shared" si="7"/>
        <v>6702314</v>
      </c>
      <c r="N98" s="11" t="str">
        <f>IFERROR(__xludf.DUMMYFUNCTION("(VLOOKUP($I98,Capa!$A:$H,7,0))"),"")</f>
        <v/>
      </c>
      <c r="O98" s="169">
        <f>(VLOOKUP($I98,Capa!$A:$H,8,0))</f>
        <v>-0.1381909548</v>
      </c>
      <c r="P98" s="11" t="str">
        <f>IFERROR(__xludf.DUMMYFUNCTION("(VLOOKUP($I98,Capa!$A:$J,10,0))"),"")</f>
        <v/>
      </c>
      <c r="Q98" s="169">
        <f>(VLOOKUP($I98,Capa!$A:$K,11,0))</f>
        <v>0.06191950464</v>
      </c>
      <c r="R98" s="45" t="str">
        <f>'Dados StatusInvest'!A93</f>
        <v>BPHA3</v>
      </c>
      <c r="S98" s="170">
        <f t="shared" si="8"/>
        <v>1656.0656</v>
      </c>
      <c r="T98" s="171">
        <f>VLOOKUP(R98,'Dados StatusInvest'!A:Z,26,0)</f>
        <v>0</v>
      </c>
      <c r="U98" s="172">
        <f t="shared" ref="U98:AS98" si="100">IF(AT98="","", RANK(AT98,AT$7:AT$626,0)+RANK(AT98,AT$7:AT$626,0)/10000)</f>
        <v>389.0389</v>
      </c>
      <c r="V98" s="172">
        <f t="shared" si="100"/>
        <v>267.0267</v>
      </c>
      <c r="W98" s="172" t="str">
        <f t="shared" si="100"/>
        <v/>
      </c>
      <c r="X98" s="172" t="str">
        <f t="shared" si="100"/>
        <v/>
      </c>
      <c r="Y98" s="172" t="str">
        <f t="shared" si="100"/>
        <v/>
      </c>
      <c r="Z98" s="172" t="str">
        <f t="shared" si="100"/>
        <v/>
      </c>
      <c r="AA98" s="172" t="str">
        <f t="shared" si="100"/>
        <v/>
      </c>
      <c r="AB98" s="172" t="str">
        <f t="shared" si="100"/>
        <v/>
      </c>
      <c r="AC98" s="172" t="str">
        <f t="shared" si="100"/>
        <v/>
      </c>
      <c r="AD98" s="172" t="str">
        <f t="shared" si="100"/>
        <v/>
      </c>
      <c r="AE98" s="172" t="str">
        <f t="shared" si="100"/>
        <v/>
      </c>
      <c r="AF98" s="172" t="str">
        <f t="shared" si="100"/>
        <v/>
      </c>
      <c r="AG98" s="172" t="str">
        <f t="shared" si="100"/>
        <v/>
      </c>
      <c r="AH98" s="172" t="str">
        <f t="shared" si="100"/>
        <v/>
      </c>
      <c r="AI98" s="172" t="str">
        <f t="shared" si="100"/>
        <v/>
      </c>
      <c r="AJ98" s="172" t="str">
        <f t="shared" si="100"/>
        <v/>
      </c>
      <c r="AK98" s="172" t="str">
        <f t="shared" si="100"/>
        <v/>
      </c>
      <c r="AL98" s="172" t="str">
        <f t="shared" si="100"/>
        <v/>
      </c>
      <c r="AM98" s="172" t="str">
        <f t="shared" si="100"/>
        <v/>
      </c>
      <c r="AN98" s="172" t="str">
        <f t="shared" si="100"/>
        <v/>
      </c>
      <c r="AO98" s="172" t="str">
        <f t="shared" si="100"/>
        <v/>
      </c>
      <c r="AP98" s="172" t="str">
        <f t="shared" si="100"/>
        <v/>
      </c>
      <c r="AQ98" s="172" t="str">
        <f t="shared" si="100"/>
        <v/>
      </c>
      <c r="AR98" s="172" t="str">
        <f t="shared" si="100"/>
        <v/>
      </c>
      <c r="AS98" s="172" t="str">
        <f t="shared" si="100"/>
        <v/>
      </c>
      <c r="AT98" s="173">
        <f>IF(AT$6="","",IF(AT$3="Maior",iferror(VLOOKUP($R98,Capa!$A:$AJ,AT$5,0),0),IF(ISERROR(1/VLOOKUP($R98,Capa!$A:$AJ,AT$5,0)),0,1/VLOOKUP($R98,Capa!$A:$AJ,AT$5,0))))</f>
        <v>-1.25</v>
      </c>
      <c r="AU98" s="174">
        <f>IF(AU$6="","",IF(AU$3="Maior",iferror(VLOOKUP($R98,Capa!$A:$AJ,AU$5,0),0),IF(ISERROR(1/VLOOKUP($R98,Capa!$A:$AJ,AU$5,0)),0,1/VLOOKUP($R98,Capa!$A:$AJ,AU$5,0))))</f>
        <v>0</v>
      </c>
      <c r="AV98" s="174" t="str">
        <f>IF(AV$6="","",IF(AV$3="Maior",iferror(VLOOKUP($R98,Capa!$A:$AJ,AV$5,0),0),IF(ISERROR(1/VLOOKUP($R98,Capa!$A:$AJ,AV$5,0)),0,1/VLOOKUP($R98,Capa!$A:$AJ,AV$5,0))))</f>
        <v/>
      </c>
      <c r="AW98" s="174" t="str">
        <f>IF(AW$6="","",IF(AW$3="Maior",iferror(VLOOKUP($R98,Capa!$A:$AJ,AW$5,0),0),IF(ISERROR(1/VLOOKUP($R98,Capa!$A:$AJ,AW$5,0)),0,1/VLOOKUP($R98,Capa!$A:$AJ,AW$5,0))))</f>
        <v/>
      </c>
      <c r="AX98" s="174" t="str">
        <f>IF(AX$6="","",IF(AX$3="Maior",iferror(VLOOKUP($R98,Capa!$A:$AJ,AX$5,0),0),IF(ISERROR(1/VLOOKUP($R98,Capa!$A:$AJ,AX$5,0)),0,1/VLOOKUP($R98,Capa!$A:$AJ,AX$5,0))))</f>
        <v/>
      </c>
      <c r="AY98" s="174" t="str">
        <f>IF(AY$6="","",IF(AY$3="Maior",iferror(VLOOKUP($R98,Capa!$A:$AJ,AY$5,0),0),IF(ISERROR(1/VLOOKUP($R98,Capa!$A:$AJ,AY$5,0)),0,1/VLOOKUP($R98,Capa!$A:$AJ,AY$5,0))))</f>
        <v/>
      </c>
      <c r="AZ98" s="174" t="str">
        <f>IF(AZ$6="","",IF(AZ$3="Maior",iferror(VLOOKUP($R98,Capa!$A:$AJ,AZ$5,0),0),IF(ISERROR(1/VLOOKUP($R98,Capa!$A:$AJ,AZ$5,0)),0,1/VLOOKUP($R98,Capa!$A:$AJ,AZ$5,0))))</f>
        <v/>
      </c>
      <c r="BA98" s="174" t="str">
        <f>IF(BA$6="","",IF(BA$3="Maior",iferror(VLOOKUP($R98,Capa!$A:$AJ,BA$5,0),0),IF(ISERROR(1/VLOOKUP($R98,Capa!$A:$AJ,BA$5,0)),0,1/VLOOKUP($R98,Capa!$A:$AJ,BA$5,0))))</f>
        <v/>
      </c>
      <c r="BB98" s="174" t="str">
        <f>IF(BB$6="","",IF(BB$3="Maior",iferror(VLOOKUP($R98,Capa!$A:$AJ,BB$5,0),0),IF(ISERROR(1/VLOOKUP($R98,Capa!$A:$AJ,BB$5,0)),0,1/VLOOKUP($R98,Capa!$A:$AJ,BB$5,0))))</f>
        <v/>
      </c>
      <c r="BC98" s="174" t="str">
        <f>IF(BC$6="","",IF(BC$3="Maior",iferror(VLOOKUP($R98,Capa!$A:$AJ,BC$5,0),0),IF(ISERROR(1/VLOOKUP($R98,Capa!$A:$AJ,BC$5,0)),0,1/VLOOKUP($R98,Capa!$A:$AJ,BC$5,0))))</f>
        <v/>
      </c>
      <c r="BD98" s="174" t="str">
        <f>IF(BD$6="","",IF(BD$3="Maior",iferror(VLOOKUP($R98,Capa!$A:$AJ,BD$5,0),0),IF(ISERROR(1/VLOOKUP($R98,Capa!$A:$AJ,BD$5,0)),0,1/VLOOKUP($R98,Capa!$A:$AJ,BD$5,0))))</f>
        <v/>
      </c>
      <c r="BE98" s="174" t="str">
        <f>IF(BE$6="","",IF(BE$3="Maior",iferror(VLOOKUP($R98,Capa!$A:$AJ,BE$5,0),0),IF(ISERROR(1/VLOOKUP($R98,Capa!$A:$AJ,BE$5,0)),0,1/VLOOKUP($R98,Capa!$A:$AJ,BE$5,0))))</f>
        <v/>
      </c>
      <c r="BF98" s="174" t="str">
        <f>IF(BF$6="","",IF(BF$3="Maior",iferror(VLOOKUP($R98,Capa!$A:$AJ,BF$5,0),0),IF(ISERROR(1/VLOOKUP($R98,Capa!$A:$AJ,BF$5,0)),0,1/VLOOKUP($R98,Capa!$A:$AJ,BF$5,0))))</f>
        <v/>
      </c>
      <c r="BG98" s="174" t="str">
        <f>IF(BG$6="","",IF(BG$3="Maior",iferror(VLOOKUP($R98,Capa!$A:$AJ,BG$5,0),0),IF(ISERROR(1/VLOOKUP($R98,Capa!$A:$AJ,BG$5,0)),0,1/VLOOKUP($R98,Capa!$A:$AJ,BG$5,0))))</f>
        <v/>
      </c>
      <c r="BH98" s="174" t="str">
        <f>IF(BH$6="","",IF(BH$3="Maior",iferror(VLOOKUP($R98,Capa!$A:$AJ,BH$5,0),0),IF(ISERROR(1/VLOOKUP($R98,Capa!$A:$AJ,BH$5,0)),0,1/VLOOKUP($R98,Capa!$A:$AJ,BH$5,0))))</f>
        <v/>
      </c>
      <c r="BI98" s="174" t="str">
        <f>IF(BI$6="","",IF(BI$3="Maior",iferror(VLOOKUP($R98,Capa!$A:$AJ,BI$5,0),0),IF(ISERROR(1/VLOOKUP($R98,Capa!$A:$AJ,BI$5,0)),0,1/VLOOKUP($R98,Capa!$A:$AJ,BI$5,0))))</f>
        <v/>
      </c>
      <c r="BJ98" s="174" t="str">
        <f>IF(BJ$6="","",IF(BJ$3="Maior",iferror(VLOOKUP($R98,Capa!$A:$AJ,BJ$5,0),0),IF(ISERROR(1/VLOOKUP($R98,Capa!$A:$AJ,BJ$5,0)),0,1/VLOOKUP($R98,Capa!$A:$AJ,BJ$5,0))))</f>
        <v/>
      </c>
      <c r="BK98" s="174" t="str">
        <f>IF(BK$6="","",IF(BK$3="Maior",iferror(VLOOKUP($R98,Capa!$A:$AJ,BK$5,0),0),IF(ISERROR(1/VLOOKUP($R98,Capa!$A:$AJ,BK$5,0)),0,1/VLOOKUP($R98,Capa!$A:$AJ,BK$5,0))))</f>
        <v/>
      </c>
      <c r="BL98" s="174" t="str">
        <f>IF(BL$6="","",IF(BL$3="Maior",iferror(VLOOKUP($R98,Capa!$A:$AJ,BL$5,0),0),IF(ISERROR(1/VLOOKUP($R98,Capa!$A:$AJ,BL$5,0)),0,1/VLOOKUP($R98,Capa!$A:$AJ,BL$5,0))))</f>
        <v/>
      </c>
      <c r="BM98" s="174" t="str">
        <f>IF(BM$6="","",IF(BM$3="Maior",iferror(VLOOKUP($R98,Capa!$A:$AJ,BM$5,0),0),IF(ISERROR(1/VLOOKUP($R98,Capa!$A:$AJ,BM$5,0)),0,1/VLOOKUP($R98,Capa!$A:$AJ,BM$5,0))))</f>
        <v/>
      </c>
      <c r="BN98" s="174" t="str">
        <f>IF(BN$6="","",IF(BN$3="Maior",iferror(VLOOKUP($R98,Capa!$A:$AJ,BN$5,0),0),IF(ISERROR(1/VLOOKUP($R98,Capa!$A:$AJ,BN$5,0)),0,1/VLOOKUP($R98,Capa!$A:$AJ,BN$5,0))))</f>
        <v/>
      </c>
      <c r="BO98" s="174" t="str">
        <f>IF(BO$6="","",IF(BO$3="Maior",iferror(VLOOKUP($R98,Capa!$A:$AJ,BO$5,0),0),IF(ISERROR(1/VLOOKUP($R98,Capa!$A:$AJ,BO$5,0)),0,1/VLOOKUP($R98,Capa!$A:$AJ,BO$5,0))))</f>
        <v/>
      </c>
      <c r="BP98" s="174" t="str">
        <f>IF(BP$6="","",IF(BP$3="Maior",iferror(VLOOKUP($R98,Capa!$A:$AJ,BP$5,0),0),IF(ISERROR(1/VLOOKUP($R98,Capa!$A:$AJ,BP$5,0)),0,1/VLOOKUP($R98,Capa!$A:$AJ,BP$5,0))))</f>
        <v/>
      </c>
      <c r="BQ98" s="174" t="str">
        <f>IF(BQ$6="","",IF(BQ$3="Maior",iferror(VLOOKUP($R98,Capa!$A:$AJ,BQ$5,0),0),IF(ISERROR(1/VLOOKUP($R98,Capa!$A:$AJ,BQ$5,0)),0,1/VLOOKUP($R98,Capa!$A:$AJ,BQ$5,0))))</f>
        <v/>
      </c>
      <c r="BR98" s="175"/>
      <c r="BS98" s="147"/>
    </row>
    <row r="99">
      <c r="G99" s="11"/>
      <c r="H99" s="8">
        <v>93.0</v>
      </c>
      <c r="I99" s="165" t="str">
        <f t="shared" si="6"/>
        <v>BIOM3</v>
      </c>
      <c r="J99" s="166" t="str">
        <f>(VLOOKUP($I99,Capa!$A:$B,2,0))</f>
        <v>Biomm SA</v>
      </c>
      <c r="K99" s="167" t="str">
        <f>VLOOKUP(left(I99,4),Setor!A:D,3,0)&amp;" | "&amp;VLOOKUP(left(I99,4),Setor!A:D,4,0)</f>
        <v>Saúde | Medicamentos e Outros Produtos</v>
      </c>
      <c r="L99" s="168">
        <f>(VLOOKUP($I99,Capa!$A:$F,6,0))</f>
        <v>6.25</v>
      </c>
      <c r="M99" s="168">
        <f t="shared" si="7"/>
        <v>624041.3</v>
      </c>
      <c r="N99" s="11" t="str">
        <f>IFERROR(__xludf.DUMMYFUNCTION("(VLOOKUP($I99,Capa!$A:$H,7,0))"),"")</f>
        <v/>
      </c>
      <c r="O99" s="169">
        <f>(VLOOKUP($I99,Capa!$A:$H,8,0))</f>
        <v>0.0593220339</v>
      </c>
      <c r="P99" s="11" t="str">
        <f>IFERROR(__xludf.DUMMYFUNCTION("(VLOOKUP($I99,Capa!$A:$J,10,0))"),"")</f>
        <v/>
      </c>
      <c r="Q99" s="169">
        <f>(VLOOKUP($I99,Capa!$A:$K,11,0))</f>
        <v>-0.3830207305</v>
      </c>
      <c r="R99" s="45" t="str">
        <f>'Dados StatusInvest'!A94</f>
        <v>BRAP3</v>
      </c>
      <c r="S99" s="170">
        <f t="shared" si="8"/>
        <v>622.0622</v>
      </c>
      <c r="T99" s="171">
        <f>VLOOKUP(R99,'Dados StatusInvest'!A:Z,26,0)</f>
        <v>2234925</v>
      </c>
      <c r="U99" s="172">
        <f t="shared" ref="U99:AS99" si="101">IF(AT99="","", RANK(AT99,AT$7:AT$626,0)+RANK(AT99,AT$7:AT$626,0)/10000)</f>
        <v>355.0355</v>
      </c>
      <c r="V99" s="172">
        <f t="shared" si="101"/>
        <v>267.0267</v>
      </c>
      <c r="W99" s="172" t="str">
        <f t="shared" si="101"/>
        <v/>
      </c>
      <c r="X99" s="172" t="str">
        <f t="shared" si="101"/>
        <v/>
      </c>
      <c r="Y99" s="172" t="str">
        <f t="shared" si="101"/>
        <v/>
      </c>
      <c r="Z99" s="172" t="str">
        <f t="shared" si="101"/>
        <v/>
      </c>
      <c r="AA99" s="172" t="str">
        <f t="shared" si="101"/>
        <v/>
      </c>
      <c r="AB99" s="172" t="str">
        <f t="shared" si="101"/>
        <v/>
      </c>
      <c r="AC99" s="172" t="str">
        <f t="shared" si="101"/>
        <v/>
      </c>
      <c r="AD99" s="172" t="str">
        <f t="shared" si="101"/>
        <v/>
      </c>
      <c r="AE99" s="172" t="str">
        <f t="shared" si="101"/>
        <v/>
      </c>
      <c r="AF99" s="172" t="str">
        <f t="shared" si="101"/>
        <v/>
      </c>
      <c r="AG99" s="172" t="str">
        <f t="shared" si="101"/>
        <v/>
      </c>
      <c r="AH99" s="172" t="str">
        <f t="shared" si="101"/>
        <v/>
      </c>
      <c r="AI99" s="172" t="str">
        <f t="shared" si="101"/>
        <v/>
      </c>
      <c r="AJ99" s="172" t="str">
        <f t="shared" si="101"/>
        <v/>
      </c>
      <c r="AK99" s="172" t="str">
        <f t="shared" si="101"/>
        <v/>
      </c>
      <c r="AL99" s="172" t="str">
        <f t="shared" si="101"/>
        <v/>
      </c>
      <c r="AM99" s="172" t="str">
        <f t="shared" si="101"/>
        <v/>
      </c>
      <c r="AN99" s="172" t="str">
        <f t="shared" si="101"/>
        <v/>
      </c>
      <c r="AO99" s="172" t="str">
        <f t="shared" si="101"/>
        <v/>
      </c>
      <c r="AP99" s="172" t="str">
        <f t="shared" si="101"/>
        <v/>
      </c>
      <c r="AQ99" s="172" t="str">
        <f t="shared" si="101"/>
        <v/>
      </c>
      <c r="AR99" s="172" t="str">
        <f t="shared" si="101"/>
        <v/>
      </c>
      <c r="AS99" s="172" t="str">
        <f t="shared" si="101"/>
        <v/>
      </c>
      <c r="AT99" s="173">
        <f>IF(AT$6="","",IF(AT$3="Maior",iferror(VLOOKUP($R99,Capa!$A:$AJ,AT$5,0),0),IF(ISERROR(1/VLOOKUP($R99,Capa!$A:$AJ,AT$5,0)),0,1/VLOOKUP($R99,Capa!$A:$AJ,AT$5,0))))</f>
        <v>-1.029837969</v>
      </c>
      <c r="AU99" s="174">
        <f>IF(AU$6="","",IF(AU$3="Maior",iferror(VLOOKUP($R99,Capa!$A:$AJ,AU$5,0),0),IF(ISERROR(1/VLOOKUP($R99,Capa!$A:$AJ,AU$5,0)),0,1/VLOOKUP($R99,Capa!$A:$AJ,AU$5,0))))</f>
        <v>0</v>
      </c>
      <c r="AV99" s="174" t="str">
        <f>IF(AV$6="","",IF(AV$3="Maior",iferror(VLOOKUP($R99,Capa!$A:$AJ,AV$5,0),0),IF(ISERROR(1/VLOOKUP($R99,Capa!$A:$AJ,AV$5,0)),0,1/VLOOKUP($R99,Capa!$A:$AJ,AV$5,0))))</f>
        <v/>
      </c>
      <c r="AW99" s="174" t="str">
        <f>IF(AW$6="","",IF(AW$3="Maior",iferror(VLOOKUP($R99,Capa!$A:$AJ,AW$5,0),0),IF(ISERROR(1/VLOOKUP($R99,Capa!$A:$AJ,AW$5,0)),0,1/VLOOKUP($R99,Capa!$A:$AJ,AW$5,0))))</f>
        <v/>
      </c>
      <c r="AX99" s="174" t="str">
        <f>IF(AX$6="","",IF(AX$3="Maior",iferror(VLOOKUP($R99,Capa!$A:$AJ,AX$5,0),0),IF(ISERROR(1/VLOOKUP($R99,Capa!$A:$AJ,AX$5,0)),0,1/VLOOKUP($R99,Capa!$A:$AJ,AX$5,0))))</f>
        <v/>
      </c>
      <c r="AY99" s="174" t="str">
        <f>IF(AY$6="","",IF(AY$3="Maior",iferror(VLOOKUP($R99,Capa!$A:$AJ,AY$5,0),0),IF(ISERROR(1/VLOOKUP($R99,Capa!$A:$AJ,AY$5,0)),0,1/VLOOKUP($R99,Capa!$A:$AJ,AY$5,0))))</f>
        <v/>
      </c>
      <c r="AZ99" s="174" t="str">
        <f>IF(AZ$6="","",IF(AZ$3="Maior",iferror(VLOOKUP($R99,Capa!$A:$AJ,AZ$5,0),0),IF(ISERROR(1/VLOOKUP($R99,Capa!$A:$AJ,AZ$5,0)),0,1/VLOOKUP($R99,Capa!$A:$AJ,AZ$5,0))))</f>
        <v/>
      </c>
      <c r="BA99" s="174" t="str">
        <f>IF(BA$6="","",IF(BA$3="Maior",iferror(VLOOKUP($R99,Capa!$A:$AJ,BA$5,0),0),IF(ISERROR(1/VLOOKUP($R99,Capa!$A:$AJ,BA$5,0)),0,1/VLOOKUP($R99,Capa!$A:$AJ,BA$5,0))))</f>
        <v/>
      </c>
      <c r="BB99" s="174" t="str">
        <f>IF(BB$6="","",IF(BB$3="Maior",iferror(VLOOKUP($R99,Capa!$A:$AJ,BB$5,0),0),IF(ISERROR(1/VLOOKUP($R99,Capa!$A:$AJ,BB$5,0)),0,1/VLOOKUP($R99,Capa!$A:$AJ,BB$5,0))))</f>
        <v/>
      </c>
      <c r="BC99" s="174" t="str">
        <f>IF(BC$6="","",IF(BC$3="Maior",iferror(VLOOKUP($R99,Capa!$A:$AJ,BC$5,0),0),IF(ISERROR(1/VLOOKUP($R99,Capa!$A:$AJ,BC$5,0)),0,1/VLOOKUP($R99,Capa!$A:$AJ,BC$5,0))))</f>
        <v/>
      </c>
      <c r="BD99" s="174" t="str">
        <f>IF(BD$6="","",IF(BD$3="Maior",iferror(VLOOKUP($R99,Capa!$A:$AJ,BD$5,0),0),IF(ISERROR(1/VLOOKUP($R99,Capa!$A:$AJ,BD$5,0)),0,1/VLOOKUP($R99,Capa!$A:$AJ,BD$5,0))))</f>
        <v/>
      </c>
      <c r="BE99" s="174" t="str">
        <f>IF(BE$6="","",IF(BE$3="Maior",iferror(VLOOKUP($R99,Capa!$A:$AJ,BE$5,0),0),IF(ISERROR(1/VLOOKUP($R99,Capa!$A:$AJ,BE$5,0)),0,1/VLOOKUP($R99,Capa!$A:$AJ,BE$5,0))))</f>
        <v/>
      </c>
      <c r="BF99" s="174" t="str">
        <f>IF(BF$6="","",IF(BF$3="Maior",iferror(VLOOKUP($R99,Capa!$A:$AJ,BF$5,0),0),IF(ISERROR(1/VLOOKUP($R99,Capa!$A:$AJ,BF$5,0)),0,1/VLOOKUP($R99,Capa!$A:$AJ,BF$5,0))))</f>
        <v/>
      </c>
      <c r="BG99" s="174" t="str">
        <f>IF(BG$6="","",IF(BG$3="Maior",iferror(VLOOKUP($R99,Capa!$A:$AJ,BG$5,0),0),IF(ISERROR(1/VLOOKUP($R99,Capa!$A:$AJ,BG$5,0)),0,1/VLOOKUP($R99,Capa!$A:$AJ,BG$5,0))))</f>
        <v/>
      </c>
      <c r="BH99" s="174" t="str">
        <f>IF(BH$6="","",IF(BH$3="Maior",iferror(VLOOKUP($R99,Capa!$A:$AJ,BH$5,0),0),IF(ISERROR(1/VLOOKUP($R99,Capa!$A:$AJ,BH$5,0)),0,1/VLOOKUP($R99,Capa!$A:$AJ,BH$5,0))))</f>
        <v/>
      </c>
      <c r="BI99" s="174" t="str">
        <f>IF(BI$6="","",IF(BI$3="Maior",iferror(VLOOKUP($R99,Capa!$A:$AJ,BI$5,0),0),IF(ISERROR(1/VLOOKUP($R99,Capa!$A:$AJ,BI$5,0)),0,1/VLOOKUP($R99,Capa!$A:$AJ,BI$5,0))))</f>
        <v/>
      </c>
      <c r="BJ99" s="174" t="str">
        <f>IF(BJ$6="","",IF(BJ$3="Maior",iferror(VLOOKUP($R99,Capa!$A:$AJ,BJ$5,0),0),IF(ISERROR(1/VLOOKUP($R99,Capa!$A:$AJ,BJ$5,0)),0,1/VLOOKUP($R99,Capa!$A:$AJ,BJ$5,0))))</f>
        <v/>
      </c>
      <c r="BK99" s="174" t="str">
        <f>IF(BK$6="","",IF(BK$3="Maior",iferror(VLOOKUP($R99,Capa!$A:$AJ,BK$5,0),0),IF(ISERROR(1/VLOOKUP($R99,Capa!$A:$AJ,BK$5,0)),0,1/VLOOKUP($R99,Capa!$A:$AJ,BK$5,0))))</f>
        <v/>
      </c>
      <c r="BL99" s="174" t="str">
        <f>IF(BL$6="","",IF(BL$3="Maior",iferror(VLOOKUP($R99,Capa!$A:$AJ,BL$5,0),0),IF(ISERROR(1/VLOOKUP($R99,Capa!$A:$AJ,BL$5,0)),0,1/VLOOKUP($R99,Capa!$A:$AJ,BL$5,0))))</f>
        <v/>
      </c>
      <c r="BM99" s="174" t="str">
        <f>IF(BM$6="","",IF(BM$3="Maior",iferror(VLOOKUP($R99,Capa!$A:$AJ,BM$5,0),0),IF(ISERROR(1/VLOOKUP($R99,Capa!$A:$AJ,BM$5,0)),0,1/VLOOKUP($R99,Capa!$A:$AJ,BM$5,0))))</f>
        <v/>
      </c>
      <c r="BN99" s="174" t="str">
        <f>IF(BN$6="","",IF(BN$3="Maior",iferror(VLOOKUP($R99,Capa!$A:$AJ,BN$5,0),0),IF(ISERROR(1/VLOOKUP($R99,Capa!$A:$AJ,BN$5,0)),0,1/VLOOKUP($R99,Capa!$A:$AJ,BN$5,0))))</f>
        <v/>
      </c>
      <c r="BO99" s="174" t="str">
        <f>IF(BO$6="","",IF(BO$3="Maior",iferror(VLOOKUP($R99,Capa!$A:$AJ,BO$5,0),0),IF(ISERROR(1/VLOOKUP($R99,Capa!$A:$AJ,BO$5,0)),0,1/VLOOKUP($R99,Capa!$A:$AJ,BO$5,0))))</f>
        <v/>
      </c>
      <c r="BP99" s="174" t="str">
        <f>IF(BP$6="","",IF(BP$3="Maior",iferror(VLOOKUP($R99,Capa!$A:$AJ,BP$5,0),0),IF(ISERROR(1/VLOOKUP($R99,Capa!$A:$AJ,BP$5,0)),0,1/VLOOKUP($R99,Capa!$A:$AJ,BP$5,0))))</f>
        <v/>
      </c>
      <c r="BQ99" s="174" t="str">
        <f>IF(BQ$6="","",IF(BQ$3="Maior",iferror(VLOOKUP($R99,Capa!$A:$AJ,BQ$5,0),0),IF(ISERROR(1/VLOOKUP($R99,Capa!$A:$AJ,BQ$5,0)),0,1/VLOOKUP($R99,Capa!$A:$AJ,BQ$5,0))))</f>
        <v/>
      </c>
      <c r="BR99" s="175"/>
      <c r="BS99" s="147"/>
    </row>
    <row r="100">
      <c r="G100" s="11"/>
      <c r="H100" s="8">
        <v>94.0</v>
      </c>
      <c r="I100" s="165" t="str">
        <f t="shared" si="6"/>
        <v>ARML3</v>
      </c>
      <c r="J100" s="166" t="str">
        <f>(VLOOKUP($I100,Capa!$A:$B,2,0))</f>
        <v>Armac Locacao Logistica e Servicos SA</v>
      </c>
      <c r="K100" s="167" t="str">
        <f>VLOOKUP(left(I100,4),Setor!A:D,3,0)&amp;" | "&amp;VLOOKUP(left(I100,4),Setor!A:D,4,0)</f>
        <v>Outros | Transporte</v>
      </c>
      <c r="L100" s="168">
        <f>(VLOOKUP($I100,Capa!$A:$F,6,0))</f>
        <v>5.52</v>
      </c>
      <c r="M100" s="168">
        <f t="shared" si="7"/>
        <v>4126765</v>
      </c>
      <c r="N100" s="11" t="str">
        <f>IFERROR(__xludf.DUMMYFUNCTION("(VLOOKUP($I100,Capa!$A:$H,7,0))"),"")</f>
        <v/>
      </c>
      <c r="O100" s="169">
        <f>(VLOOKUP($I100,Capa!$A:$H,8,0))</f>
        <v>0.2748267898</v>
      </c>
      <c r="P100" s="11" t="str">
        <f>IFERROR(__xludf.DUMMYFUNCTION("(VLOOKUP($I100,Capa!$A:$J,10,0))"),"")</f>
        <v/>
      </c>
      <c r="Q100" s="169">
        <f>(VLOOKUP($I100,Capa!$A:$K,11,0))</f>
        <v>0.2131868132</v>
      </c>
      <c r="R100" s="45" t="str">
        <f>'Dados StatusInvest'!A95</f>
        <v>BRAP4</v>
      </c>
      <c r="S100" s="170">
        <f t="shared" si="8"/>
        <v>585.0585</v>
      </c>
      <c r="T100" s="171">
        <f>VLOOKUP(R100,'Dados StatusInvest'!A:Z,26,0)</f>
        <v>89738896</v>
      </c>
      <c r="U100" s="172">
        <f t="shared" ref="U100:AS100" si="102">IF(AT100="","", RANK(AT100,AT$7:AT$626,0)+RANK(AT100,AT$7:AT$626,0)/10000)</f>
        <v>318.0318</v>
      </c>
      <c r="V100" s="172">
        <f t="shared" si="102"/>
        <v>267.0267</v>
      </c>
      <c r="W100" s="172" t="str">
        <f t="shared" si="102"/>
        <v/>
      </c>
      <c r="X100" s="172" t="str">
        <f t="shared" si="102"/>
        <v/>
      </c>
      <c r="Y100" s="172" t="str">
        <f t="shared" si="102"/>
        <v/>
      </c>
      <c r="Z100" s="172" t="str">
        <f t="shared" si="102"/>
        <v/>
      </c>
      <c r="AA100" s="172" t="str">
        <f t="shared" si="102"/>
        <v/>
      </c>
      <c r="AB100" s="172" t="str">
        <f t="shared" si="102"/>
        <v/>
      </c>
      <c r="AC100" s="172" t="str">
        <f t="shared" si="102"/>
        <v/>
      </c>
      <c r="AD100" s="172" t="str">
        <f t="shared" si="102"/>
        <v/>
      </c>
      <c r="AE100" s="172" t="str">
        <f t="shared" si="102"/>
        <v/>
      </c>
      <c r="AF100" s="172" t="str">
        <f t="shared" si="102"/>
        <v/>
      </c>
      <c r="AG100" s="172" t="str">
        <f t="shared" si="102"/>
        <v/>
      </c>
      <c r="AH100" s="172" t="str">
        <f t="shared" si="102"/>
        <v/>
      </c>
      <c r="AI100" s="172" t="str">
        <f t="shared" si="102"/>
        <v/>
      </c>
      <c r="AJ100" s="172" t="str">
        <f t="shared" si="102"/>
        <v/>
      </c>
      <c r="AK100" s="172" t="str">
        <f t="shared" si="102"/>
        <v/>
      </c>
      <c r="AL100" s="172" t="str">
        <f t="shared" si="102"/>
        <v/>
      </c>
      <c r="AM100" s="172" t="str">
        <f t="shared" si="102"/>
        <v/>
      </c>
      <c r="AN100" s="172" t="str">
        <f t="shared" si="102"/>
        <v/>
      </c>
      <c r="AO100" s="172" t="str">
        <f t="shared" si="102"/>
        <v/>
      </c>
      <c r="AP100" s="172" t="str">
        <f t="shared" si="102"/>
        <v/>
      </c>
      <c r="AQ100" s="172" t="str">
        <f t="shared" si="102"/>
        <v/>
      </c>
      <c r="AR100" s="172" t="str">
        <f t="shared" si="102"/>
        <v/>
      </c>
      <c r="AS100" s="172" t="str">
        <f t="shared" si="102"/>
        <v/>
      </c>
      <c r="AT100" s="173">
        <f>IF(AT$6="","",IF(AT$3="Maior",iferror(VLOOKUP($R100,Capa!$A:$AJ,AT$5,0),0),IF(ISERROR(1/VLOOKUP($R100,Capa!$A:$AJ,AT$5,0)),0,1/VLOOKUP($R100,Capa!$A:$AJ,AT$5,0))))</f>
        <v>-0.7807916537</v>
      </c>
      <c r="AU100" s="174">
        <f>IF(AU$6="","",IF(AU$3="Maior",iferror(VLOOKUP($R100,Capa!$A:$AJ,AU$5,0),0),IF(ISERROR(1/VLOOKUP($R100,Capa!$A:$AJ,AU$5,0)),0,1/VLOOKUP($R100,Capa!$A:$AJ,AU$5,0))))</f>
        <v>0</v>
      </c>
      <c r="AV100" s="174" t="str">
        <f>IF(AV$6="","",IF(AV$3="Maior",iferror(VLOOKUP($R100,Capa!$A:$AJ,AV$5,0),0),IF(ISERROR(1/VLOOKUP($R100,Capa!$A:$AJ,AV$5,0)),0,1/VLOOKUP($R100,Capa!$A:$AJ,AV$5,0))))</f>
        <v/>
      </c>
      <c r="AW100" s="174" t="str">
        <f>IF(AW$6="","",IF(AW$3="Maior",iferror(VLOOKUP($R100,Capa!$A:$AJ,AW$5,0),0),IF(ISERROR(1/VLOOKUP($R100,Capa!$A:$AJ,AW$5,0)),0,1/VLOOKUP($R100,Capa!$A:$AJ,AW$5,0))))</f>
        <v/>
      </c>
      <c r="AX100" s="174" t="str">
        <f>IF(AX$6="","",IF(AX$3="Maior",iferror(VLOOKUP($R100,Capa!$A:$AJ,AX$5,0),0),IF(ISERROR(1/VLOOKUP($R100,Capa!$A:$AJ,AX$5,0)),0,1/VLOOKUP($R100,Capa!$A:$AJ,AX$5,0))))</f>
        <v/>
      </c>
      <c r="AY100" s="174" t="str">
        <f>IF(AY$6="","",IF(AY$3="Maior",iferror(VLOOKUP($R100,Capa!$A:$AJ,AY$5,0),0),IF(ISERROR(1/VLOOKUP($R100,Capa!$A:$AJ,AY$5,0)),0,1/VLOOKUP($R100,Capa!$A:$AJ,AY$5,0))))</f>
        <v/>
      </c>
      <c r="AZ100" s="174" t="str">
        <f>IF(AZ$6="","",IF(AZ$3="Maior",iferror(VLOOKUP($R100,Capa!$A:$AJ,AZ$5,0),0),IF(ISERROR(1/VLOOKUP($R100,Capa!$A:$AJ,AZ$5,0)),0,1/VLOOKUP($R100,Capa!$A:$AJ,AZ$5,0))))</f>
        <v/>
      </c>
      <c r="BA100" s="174" t="str">
        <f>IF(BA$6="","",IF(BA$3="Maior",iferror(VLOOKUP($R100,Capa!$A:$AJ,BA$5,0),0),IF(ISERROR(1/VLOOKUP($R100,Capa!$A:$AJ,BA$5,0)),0,1/VLOOKUP($R100,Capa!$A:$AJ,BA$5,0))))</f>
        <v/>
      </c>
      <c r="BB100" s="174" t="str">
        <f>IF(BB$6="","",IF(BB$3="Maior",iferror(VLOOKUP($R100,Capa!$A:$AJ,BB$5,0),0),IF(ISERROR(1/VLOOKUP($R100,Capa!$A:$AJ,BB$5,0)),0,1/VLOOKUP($R100,Capa!$A:$AJ,BB$5,0))))</f>
        <v/>
      </c>
      <c r="BC100" s="174" t="str">
        <f>IF(BC$6="","",IF(BC$3="Maior",iferror(VLOOKUP($R100,Capa!$A:$AJ,BC$5,0),0),IF(ISERROR(1/VLOOKUP($R100,Capa!$A:$AJ,BC$5,0)),0,1/VLOOKUP($R100,Capa!$A:$AJ,BC$5,0))))</f>
        <v/>
      </c>
      <c r="BD100" s="174" t="str">
        <f>IF(BD$6="","",IF(BD$3="Maior",iferror(VLOOKUP($R100,Capa!$A:$AJ,BD$5,0),0),IF(ISERROR(1/VLOOKUP($R100,Capa!$A:$AJ,BD$5,0)),0,1/VLOOKUP($R100,Capa!$A:$AJ,BD$5,0))))</f>
        <v/>
      </c>
      <c r="BE100" s="174" t="str">
        <f>IF(BE$6="","",IF(BE$3="Maior",iferror(VLOOKUP($R100,Capa!$A:$AJ,BE$5,0),0),IF(ISERROR(1/VLOOKUP($R100,Capa!$A:$AJ,BE$5,0)),0,1/VLOOKUP($R100,Capa!$A:$AJ,BE$5,0))))</f>
        <v/>
      </c>
      <c r="BF100" s="174" t="str">
        <f>IF(BF$6="","",IF(BF$3="Maior",iferror(VLOOKUP($R100,Capa!$A:$AJ,BF$5,0),0),IF(ISERROR(1/VLOOKUP($R100,Capa!$A:$AJ,BF$5,0)),0,1/VLOOKUP($R100,Capa!$A:$AJ,BF$5,0))))</f>
        <v/>
      </c>
      <c r="BG100" s="174" t="str">
        <f>IF(BG$6="","",IF(BG$3="Maior",iferror(VLOOKUP($R100,Capa!$A:$AJ,BG$5,0),0),IF(ISERROR(1/VLOOKUP($R100,Capa!$A:$AJ,BG$5,0)),0,1/VLOOKUP($R100,Capa!$A:$AJ,BG$5,0))))</f>
        <v/>
      </c>
      <c r="BH100" s="174" t="str">
        <f>IF(BH$6="","",IF(BH$3="Maior",iferror(VLOOKUP($R100,Capa!$A:$AJ,BH$5,0),0),IF(ISERROR(1/VLOOKUP($R100,Capa!$A:$AJ,BH$5,0)),0,1/VLOOKUP($R100,Capa!$A:$AJ,BH$5,0))))</f>
        <v/>
      </c>
      <c r="BI100" s="174" t="str">
        <f>IF(BI$6="","",IF(BI$3="Maior",iferror(VLOOKUP($R100,Capa!$A:$AJ,BI$5,0),0),IF(ISERROR(1/VLOOKUP($R100,Capa!$A:$AJ,BI$5,0)),0,1/VLOOKUP($R100,Capa!$A:$AJ,BI$5,0))))</f>
        <v/>
      </c>
      <c r="BJ100" s="174" t="str">
        <f>IF(BJ$6="","",IF(BJ$3="Maior",iferror(VLOOKUP($R100,Capa!$A:$AJ,BJ$5,0),0),IF(ISERROR(1/VLOOKUP($R100,Capa!$A:$AJ,BJ$5,0)),0,1/VLOOKUP($R100,Capa!$A:$AJ,BJ$5,0))))</f>
        <v/>
      </c>
      <c r="BK100" s="174" t="str">
        <f>IF(BK$6="","",IF(BK$3="Maior",iferror(VLOOKUP($R100,Capa!$A:$AJ,BK$5,0),0),IF(ISERROR(1/VLOOKUP($R100,Capa!$A:$AJ,BK$5,0)),0,1/VLOOKUP($R100,Capa!$A:$AJ,BK$5,0))))</f>
        <v/>
      </c>
      <c r="BL100" s="174" t="str">
        <f>IF(BL$6="","",IF(BL$3="Maior",iferror(VLOOKUP($R100,Capa!$A:$AJ,BL$5,0),0),IF(ISERROR(1/VLOOKUP($R100,Capa!$A:$AJ,BL$5,0)),0,1/VLOOKUP($R100,Capa!$A:$AJ,BL$5,0))))</f>
        <v/>
      </c>
      <c r="BM100" s="174" t="str">
        <f>IF(BM$6="","",IF(BM$3="Maior",iferror(VLOOKUP($R100,Capa!$A:$AJ,BM$5,0),0),IF(ISERROR(1/VLOOKUP($R100,Capa!$A:$AJ,BM$5,0)),0,1/VLOOKUP($R100,Capa!$A:$AJ,BM$5,0))))</f>
        <v/>
      </c>
      <c r="BN100" s="174" t="str">
        <f>IF(BN$6="","",IF(BN$3="Maior",iferror(VLOOKUP($R100,Capa!$A:$AJ,BN$5,0),0),IF(ISERROR(1/VLOOKUP($R100,Capa!$A:$AJ,BN$5,0)),0,1/VLOOKUP($R100,Capa!$A:$AJ,BN$5,0))))</f>
        <v/>
      </c>
      <c r="BO100" s="174" t="str">
        <f>IF(BO$6="","",IF(BO$3="Maior",iferror(VLOOKUP($R100,Capa!$A:$AJ,BO$5,0),0),IF(ISERROR(1/VLOOKUP($R100,Capa!$A:$AJ,BO$5,0)),0,1/VLOOKUP($R100,Capa!$A:$AJ,BO$5,0))))</f>
        <v/>
      </c>
      <c r="BP100" s="174" t="str">
        <f>IF(BP$6="","",IF(BP$3="Maior",iferror(VLOOKUP($R100,Capa!$A:$AJ,BP$5,0),0),IF(ISERROR(1/VLOOKUP($R100,Capa!$A:$AJ,BP$5,0)),0,1/VLOOKUP($R100,Capa!$A:$AJ,BP$5,0))))</f>
        <v/>
      </c>
      <c r="BQ100" s="174" t="str">
        <f>IF(BQ$6="","",IF(BQ$3="Maior",iferror(VLOOKUP($R100,Capa!$A:$AJ,BQ$5,0),0),IF(ISERROR(1/VLOOKUP($R100,Capa!$A:$AJ,BQ$5,0)),0,1/VLOOKUP($R100,Capa!$A:$AJ,BQ$5,0))))</f>
        <v/>
      </c>
      <c r="BR100" s="175"/>
      <c r="BS100" s="147"/>
    </row>
    <row r="101">
      <c r="G101" s="11"/>
      <c r="H101" s="8">
        <v>95.0</v>
      </c>
      <c r="I101" s="165" t="str">
        <f t="shared" si="6"/>
        <v>ARML3</v>
      </c>
      <c r="J101" s="166" t="str">
        <f>(VLOOKUP($I101,Capa!$A:$B,2,0))</f>
        <v>Armac Locacao Logistica e Servicos SA</v>
      </c>
      <c r="K101" s="167" t="str">
        <f>VLOOKUP(left(I101,4),Setor!A:D,3,0)&amp;" | "&amp;VLOOKUP(left(I101,4),Setor!A:D,4,0)</f>
        <v>Outros | Transporte</v>
      </c>
      <c r="L101" s="168">
        <f>(VLOOKUP($I101,Capa!$A:$F,6,0))</f>
        <v>5.52</v>
      </c>
      <c r="M101" s="168">
        <f t="shared" si="7"/>
        <v>4126765</v>
      </c>
      <c r="N101" s="11" t="str">
        <f>IFERROR(__xludf.DUMMYFUNCTION("(VLOOKUP($I101,Capa!$A:$H,7,0))"),"")</f>
        <v/>
      </c>
      <c r="O101" s="169">
        <f>(VLOOKUP($I101,Capa!$A:$H,8,0))</f>
        <v>0.2748267898</v>
      </c>
      <c r="P101" s="11" t="str">
        <f>IFERROR(__xludf.DUMMYFUNCTION("(VLOOKUP($I101,Capa!$A:$J,10,0))"),"")</f>
        <v/>
      </c>
      <c r="Q101" s="169">
        <f>(VLOOKUP($I101,Capa!$A:$K,11,0))</f>
        <v>0.2131868132</v>
      </c>
      <c r="R101" s="45" t="str">
        <f>'Dados StatusInvest'!A96</f>
        <v>BRAV3</v>
      </c>
      <c r="S101" s="170">
        <f t="shared" si="8"/>
        <v>782.0782</v>
      </c>
      <c r="T101" s="171">
        <f>VLOOKUP(R101,'Dados StatusInvest'!A:Z,26,0)</f>
        <v>137000000</v>
      </c>
      <c r="U101" s="172">
        <f t="shared" ref="U101:AS101" si="103">IF(AT101="","", RANK(AT101,AT$7:AT$626,0)+RANK(AT101,AT$7:AT$626,0)/10000)</f>
        <v>515.0515</v>
      </c>
      <c r="V101" s="172">
        <f t="shared" si="103"/>
        <v>267.0267</v>
      </c>
      <c r="W101" s="172" t="str">
        <f t="shared" si="103"/>
        <v/>
      </c>
      <c r="X101" s="172" t="str">
        <f t="shared" si="103"/>
        <v/>
      </c>
      <c r="Y101" s="172" t="str">
        <f t="shared" si="103"/>
        <v/>
      </c>
      <c r="Z101" s="172" t="str">
        <f t="shared" si="103"/>
        <v/>
      </c>
      <c r="AA101" s="172" t="str">
        <f t="shared" si="103"/>
        <v/>
      </c>
      <c r="AB101" s="172" t="str">
        <f t="shared" si="103"/>
        <v/>
      </c>
      <c r="AC101" s="172" t="str">
        <f t="shared" si="103"/>
        <v/>
      </c>
      <c r="AD101" s="172" t="str">
        <f t="shared" si="103"/>
        <v/>
      </c>
      <c r="AE101" s="172" t="str">
        <f t="shared" si="103"/>
        <v/>
      </c>
      <c r="AF101" s="172" t="str">
        <f t="shared" si="103"/>
        <v/>
      </c>
      <c r="AG101" s="172" t="str">
        <f t="shared" si="103"/>
        <v/>
      </c>
      <c r="AH101" s="172" t="str">
        <f t="shared" si="103"/>
        <v/>
      </c>
      <c r="AI101" s="172" t="str">
        <f t="shared" si="103"/>
        <v/>
      </c>
      <c r="AJ101" s="172" t="str">
        <f t="shared" si="103"/>
        <v/>
      </c>
      <c r="AK101" s="172" t="str">
        <f t="shared" si="103"/>
        <v/>
      </c>
      <c r="AL101" s="172" t="str">
        <f t="shared" si="103"/>
        <v/>
      </c>
      <c r="AM101" s="172" t="str">
        <f t="shared" si="103"/>
        <v/>
      </c>
      <c r="AN101" s="172" t="str">
        <f t="shared" si="103"/>
        <v/>
      </c>
      <c r="AO101" s="172" t="str">
        <f t="shared" si="103"/>
        <v/>
      </c>
      <c r="AP101" s="172" t="str">
        <f t="shared" si="103"/>
        <v/>
      </c>
      <c r="AQ101" s="172" t="str">
        <f t="shared" si="103"/>
        <v/>
      </c>
      <c r="AR101" s="172" t="str">
        <f t="shared" si="103"/>
        <v/>
      </c>
      <c r="AS101" s="172" t="str">
        <f t="shared" si="103"/>
        <v/>
      </c>
      <c r="AT101" s="173">
        <f>IF(AT$6="","",IF(AT$3="Maior",iferror(VLOOKUP($R101,Capa!$A:$AJ,AT$5,0),0),IF(ISERROR(1/VLOOKUP($R101,Capa!$A:$AJ,AT$5,0)),0,1/VLOOKUP($R101,Capa!$A:$AJ,AT$5,0))))</f>
        <v>-3.788307593</v>
      </c>
      <c r="AU101" s="174">
        <f>IF(AU$6="","",IF(AU$3="Maior",iferror(VLOOKUP($R101,Capa!$A:$AJ,AU$5,0),0),IF(ISERROR(1/VLOOKUP($R101,Capa!$A:$AJ,AU$5,0)),0,1/VLOOKUP($R101,Capa!$A:$AJ,AU$5,0))))</f>
        <v>0</v>
      </c>
      <c r="AV101" s="174" t="str">
        <f>IF(AV$6="","",IF(AV$3="Maior",iferror(VLOOKUP($R101,Capa!$A:$AJ,AV$5,0),0),IF(ISERROR(1/VLOOKUP($R101,Capa!$A:$AJ,AV$5,0)),0,1/VLOOKUP($R101,Capa!$A:$AJ,AV$5,0))))</f>
        <v/>
      </c>
      <c r="AW101" s="174" t="str">
        <f>IF(AW$6="","",IF(AW$3="Maior",iferror(VLOOKUP($R101,Capa!$A:$AJ,AW$5,0),0),IF(ISERROR(1/VLOOKUP($R101,Capa!$A:$AJ,AW$5,0)),0,1/VLOOKUP($R101,Capa!$A:$AJ,AW$5,0))))</f>
        <v/>
      </c>
      <c r="AX101" s="174" t="str">
        <f>IF(AX$6="","",IF(AX$3="Maior",iferror(VLOOKUP($R101,Capa!$A:$AJ,AX$5,0),0),IF(ISERROR(1/VLOOKUP($R101,Capa!$A:$AJ,AX$5,0)),0,1/VLOOKUP($R101,Capa!$A:$AJ,AX$5,0))))</f>
        <v/>
      </c>
      <c r="AY101" s="174" t="str">
        <f>IF(AY$6="","",IF(AY$3="Maior",iferror(VLOOKUP($R101,Capa!$A:$AJ,AY$5,0),0),IF(ISERROR(1/VLOOKUP($R101,Capa!$A:$AJ,AY$5,0)),0,1/VLOOKUP($R101,Capa!$A:$AJ,AY$5,0))))</f>
        <v/>
      </c>
      <c r="AZ101" s="174" t="str">
        <f>IF(AZ$6="","",IF(AZ$3="Maior",iferror(VLOOKUP($R101,Capa!$A:$AJ,AZ$5,0),0),IF(ISERROR(1/VLOOKUP($R101,Capa!$A:$AJ,AZ$5,0)),0,1/VLOOKUP($R101,Capa!$A:$AJ,AZ$5,0))))</f>
        <v/>
      </c>
      <c r="BA101" s="174" t="str">
        <f>IF(BA$6="","",IF(BA$3="Maior",iferror(VLOOKUP($R101,Capa!$A:$AJ,BA$5,0),0),IF(ISERROR(1/VLOOKUP($R101,Capa!$A:$AJ,BA$5,0)),0,1/VLOOKUP($R101,Capa!$A:$AJ,BA$5,0))))</f>
        <v/>
      </c>
      <c r="BB101" s="174" t="str">
        <f>IF(BB$6="","",IF(BB$3="Maior",iferror(VLOOKUP($R101,Capa!$A:$AJ,BB$5,0),0),IF(ISERROR(1/VLOOKUP($R101,Capa!$A:$AJ,BB$5,0)),0,1/VLOOKUP($R101,Capa!$A:$AJ,BB$5,0))))</f>
        <v/>
      </c>
      <c r="BC101" s="174" t="str">
        <f>IF(BC$6="","",IF(BC$3="Maior",iferror(VLOOKUP($R101,Capa!$A:$AJ,BC$5,0),0),IF(ISERROR(1/VLOOKUP($R101,Capa!$A:$AJ,BC$5,0)),0,1/VLOOKUP($R101,Capa!$A:$AJ,BC$5,0))))</f>
        <v/>
      </c>
      <c r="BD101" s="174" t="str">
        <f>IF(BD$6="","",IF(BD$3="Maior",iferror(VLOOKUP($R101,Capa!$A:$AJ,BD$5,0),0),IF(ISERROR(1/VLOOKUP($R101,Capa!$A:$AJ,BD$5,0)),0,1/VLOOKUP($R101,Capa!$A:$AJ,BD$5,0))))</f>
        <v/>
      </c>
      <c r="BE101" s="174" t="str">
        <f>IF(BE$6="","",IF(BE$3="Maior",iferror(VLOOKUP($R101,Capa!$A:$AJ,BE$5,0),0),IF(ISERROR(1/VLOOKUP($R101,Capa!$A:$AJ,BE$5,0)),0,1/VLOOKUP($R101,Capa!$A:$AJ,BE$5,0))))</f>
        <v/>
      </c>
      <c r="BF101" s="174" t="str">
        <f>IF(BF$6="","",IF(BF$3="Maior",iferror(VLOOKUP($R101,Capa!$A:$AJ,BF$5,0),0),IF(ISERROR(1/VLOOKUP($R101,Capa!$A:$AJ,BF$5,0)),0,1/VLOOKUP($R101,Capa!$A:$AJ,BF$5,0))))</f>
        <v/>
      </c>
      <c r="BG101" s="174" t="str">
        <f>IF(BG$6="","",IF(BG$3="Maior",iferror(VLOOKUP($R101,Capa!$A:$AJ,BG$5,0),0),IF(ISERROR(1/VLOOKUP($R101,Capa!$A:$AJ,BG$5,0)),0,1/VLOOKUP($R101,Capa!$A:$AJ,BG$5,0))))</f>
        <v/>
      </c>
      <c r="BH101" s="174" t="str">
        <f>IF(BH$6="","",IF(BH$3="Maior",iferror(VLOOKUP($R101,Capa!$A:$AJ,BH$5,0),0),IF(ISERROR(1/VLOOKUP($R101,Capa!$A:$AJ,BH$5,0)),0,1/VLOOKUP($R101,Capa!$A:$AJ,BH$5,0))))</f>
        <v/>
      </c>
      <c r="BI101" s="174" t="str">
        <f>IF(BI$6="","",IF(BI$3="Maior",iferror(VLOOKUP($R101,Capa!$A:$AJ,BI$5,0),0),IF(ISERROR(1/VLOOKUP($R101,Capa!$A:$AJ,BI$5,0)),0,1/VLOOKUP($R101,Capa!$A:$AJ,BI$5,0))))</f>
        <v/>
      </c>
      <c r="BJ101" s="174" t="str">
        <f>IF(BJ$6="","",IF(BJ$3="Maior",iferror(VLOOKUP($R101,Capa!$A:$AJ,BJ$5,0),0),IF(ISERROR(1/VLOOKUP($R101,Capa!$A:$AJ,BJ$5,0)),0,1/VLOOKUP($R101,Capa!$A:$AJ,BJ$5,0))))</f>
        <v/>
      </c>
      <c r="BK101" s="174" t="str">
        <f>IF(BK$6="","",IF(BK$3="Maior",iferror(VLOOKUP($R101,Capa!$A:$AJ,BK$5,0),0),IF(ISERROR(1/VLOOKUP($R101,Capa!$A:$AJ,BK$5,0)),0,1/VLOOKUP($R101,Capa!$A:$AJ,BK$5,0))))</f>
        <v/>
      </c>
      <c r="BL101" s="174" t="str">
        <f>IF(BL$6="","",IF(BL$3="Maior",iferror(VLOOKUP($R101,Capa!$A:$AJ,BL$5,0),0),IF(ISERROR(1/VLOOKUP($R101,Capa!$A:$AJ,BL$5,0)),0,1/VLOOKUP($R101,Capa!$A:$AJ,BL$5,0))))</f>
        <v/>
      </c>
      <c r="BM101" s="174" t="str">
        <f>IF(BM$6="","",IF(BM$3="Maior",iferror(VLOOKUP($R101,Capa!$A:$AJ,BM$5,0),0),IF(ISERROR(1/VLOOKUP($R101,Capa!$A:$AJ,BM$5,0)),0,1/VLOOKUP($R101,Capa!$A:$AJ,BM$5,0))))</f>
        <v/>
      </c>
      <c r="BN101" s="174" t="str">
        <f>IF(BN$6="","",IF(BN$3="Maior",iferror(VLOOKUP($R101,Capa!$A:$AJ,BN$5,0),0),IF(ISERROR(1/VLOOKUP($R101,Capa!$A:$AJ,BN$5,0)),0,1/VLOOKUP($R101,Capa!$A:$AJ,BN$5,0))))</f>
        <v/>
      </c>
      <c r="BO101" s="174" t="str">
        <f>IF(BO$6="","",IF(BO$3="Maior",iferror(VLOOKUP($R101,Capa!$A:$AJ,BO$5,0),0),IF(ISERROR(1/VLOOKUP($R101,Capa!$A:$AJ,BO$5,0)),0,1/VLOOKUP($R101,Capa!$A:$AJ,BO$5,0))))</f>
        <v/>
      </c>
      <c r="BP101" s="174" t="str">
        <f>IF(BP$6="","",IF(BP$3="Maior",iferror(VLOOKUP($R101,Capa!$A:$AJ,BP$5,0),0),IF(ISERROR(1/VLOOKUP($R101,Capa!$A:$AJ,BP$5,0)),0,1/VLOOKUP($R101,Capa!$A:$AJ,BP$5,0))))</f>
        <v/>
      </c>
      <c r="BQ101" s="174" t="str">
        <f>IF(BQ$6="","",IF(BQ$3="Maior",iferror(VLOOKUP($R101,Capa!$A:$AJ,BQ$5,0),0),IF(ISERROR(1/VLOOKUP($R101,Capa!$A:$AJ,BQ$5,0)),0,1/VLOOKUP($R101,Capa!$A:$AJ,BQ$5,0))))</f>
        <v/>
      </c>
      <c r="BR101" s="175"/>
      <c r="BS101" s="147"/>
    </row>
    <row r="102">
      <c r="G102" s="11"/>
      <c r="H102" s="8">
        <v>96.0</v>
      </c>
      <c r="I102" s="165" t="str">
        <f t="shared" si="6"/>
        <v>ARML3</v>
      </c>
      <c r="J102" s="166" t="str">
        <f>(VLOOKUP($I102,Capa!$A:$B,2,0))</f>
        <v>Armac Locacao Logistica e Servicos SA</v>
      </c>
      <c r="K102" s="167" t="str">
        <f>VLOOKUP(left(I102,4),Setor!A:D,3,0)&amp;" | "&amp;VLOOKUP(left(I102,4),Setor!A:D,4,0)</f>
        <v>Outros | Transporte</v>
      </c>
      <c r="L102" s="168">
        <f>(VLOOKUP($I102,Capa!$A:$F,6,0))</f>
        <v>5.52</v>
      </c>
      <c r="M102" s="168">
        <f t="shared" si="7"/>
        <v>4126765</v>
      </c>
      <c r="N102" s="11" t="str">
        <f>IFERROR(__xludf.DUMMYFUNCTION("(VLOOKUP($I102,Capa!$A:$H,7,0))"),"")</f>
        <v/>
      </c>
      <c r="O102" s="169">
        <f>(VLOOKUP($I102,Capa!$A:$H,8,0))</f>
        <v>0.2748267898</v>
      </c>
      <c r="P102" s="11" t="str">
        <f>IFERROR(__xludf.DUMMYFUNCTION("(VLOOKUP($I102,Capa!$A:$J,10,0))"),"")</f>
        <v/>
      </c>
      <c r="Q102" s="169">
        <f>(VLOOKUP($I102,Capa!$A:$K,11,0))</f>
        <v>0.2131868132</v>
      </c>
      <c r="R102" s="45" t="str">
        <f>'Dados StatusInvest'!A97</f>
        <v>BRBI11</v>
      </c>
      <c r="S102" s="170">
        <f t="shared" si="8"/>
        <v>316.0316</v>
      </c>
      <c r="T102" s="171">
        <f>VLOOKUP(R102,'Dados StatusInvest'!A:Z,26,0)</f>
        <v>7719310</v>
      </c>
      <c r="U102" s="172">
        <f t="shared" ref="U102:AS102" si="104">IF(AT102="","", RANK(AT102,AT$7:AT$626,0)+RANK(AT102,AT$7:AT$626,0)/10000)</f>
        <v>140.014</v>
      </c>
      <c r="V102" s="172">
        <f t="shared" si="104"/>
        <v>176.0176</v>
      </c>
      <c r="W102" s="172" t="str">
        <f t="shared" si="104"/>
        <v/>
      </c>
      <c r="X102" s="172" t="str">
        <f t="shared" si="104"/>
        <v/>
      </c>
      <c r="Y102" s="172" t="str">
        <f t="shared" si="104"/>
        <v/>
      </c>
      <c r="Z102" s="172" t="str">
        <f t="shared" si="104"/>
        <v/>
      </c>
      <c r="AA102" s="172" t="str">
        <f t="shared" si="104"/>
        <v/>
      </c>
      <c r="AB102" s="172" t="str">
        <f t="shared" si="104"/>
        <v/>
      </c>
      <c r="AC102" s="172" t="str">
        <f t="shared" si="104"/>
        <v/>
      </c>
      <c r="AD102" s="172" t="str">
        <f t="shared" si="104"/>
        <v/>
      </c>
      <c r="AE102" s="172" t="str">
        <f t="shared" si="104"/>
        <v/>
      </c>
      <c r="AF102" s="172" t="str">
        <f t="shared" si="104"/>
        <v/>
      </c>
      <c r="AG102" s="172" t="str">
        <f t="shared" si="104"/>
        <v/>
      </c>
      <c r="AH102" s="172" t="str">
        <f t="shared" si="104"/>
        <v/>
      </c>
      <c r="AI102" s="172" t="str">
        <f t="shared" si="104"/>
        <v/>
      </c>
      <c r="AJ102" s="172" t="str">
        <f t="shared" si="104"/>
        <v/>
      </c>
      <c r="AK102" s="172" t="str">
        <f t="shared" si="104"/>
        <v/>
      </c>
      <c r="AL102" s="172" t="str">
        <f t="shared" si="104"/>
        <v/>
      </c>
      <c r="AM102" s="172" t="str">
        <f t="shared" si="104"/>
        <v/>
      </c>
      <c r="AN102" s="172" t="str">
        <f t="shared" si="104"/>
        <v/>
      </c>
      <c r="AO102" s="172" t="str">
        <f t="shared" si="104"/>
        <v/>
      </c>
      <c r="AP102" s="172" t="str">
        <f t="shared" si="104"/>
        <v/>
      </c>
      <c r="AQ102" s="172" t="str">
        <f t="shared" si="104"/>
        <v/>
      </c>
      <c r="AR102" s="172" t="str">
        <f t="shared" si="104"/>
        <v/>
      </c>
      <c r="AS102" s="172" t="str">
        <f t="shared" si="104"/>
        <v/>
      </c>
      <c r="AT102" s="173">
        <f>IF(AT$6="","",IF(AT$3="Maior",iferror(VLOOKUP($R102,Capa!$A:$AJ,AT$5,0),0),IF(ISERROR(1/VLOOKUP($R102,Capa!$A:$AJ,AT$5,0)),0,1/VLOOKUP($R102,Capa!$A:$AJ,AT$5,0))))</f>
        <v>-0.07375634132</v>
      </c>
      <c r="AU102" s="174">
        <f>IF(AU$6="","",IF(AU$3="Maior",iferror(VLOOKUP($R102,Capa!$A:$AJ,AU$5,0),0),IF(ISERROR(1/VLOOKUP($R102,Capa!$A:$AJ,AU$5,0)),0,1/VLOOKUP($R102,Capa!$A:$AJ,AU$5,0))))</f>
        <v>14.56</v>
      </c>
      <c r="AV102" s="174" t="str">
        <f>IF(AV$6="","",IF(AV$3="Maior",iferror(VLOOKUP($R102,Capa!$A:$AJ,AV$5,0),0),IF(ISERROR(1/VLOOKUP($R102,Capa!$A:$AJ,AV$5,0)),0,1/VLOOKUP($R102,Capa!$A:$AJ,AV$5,0))))</f>
        <v/>
      </c>
      <c r="AW102" s="174" t="str">
        <f>IF(AW$6="","",IF(AW$3="Maior",iferror(VLOOKUP($R102,Capa!$A:$AJ,AW$5,0),0),IF(ISERROR(1/VLOOKUP($R102,Capa!$A:$AJ,AW$5,0)),0,1/VLOOKUP($R102,Capa!$A:$AJ,AW$5,0))))</f>
        <v/>
      </c>
      <c r="AX102" s="174" t="str">
        <f>IF(AX$6="","",IF(AX$3="Maior",iferror(VLOOKUP($R102,Capa!$A:$AJ,AX$5,0),0),IF(ISERROR(1/VLOOKUP($R102,Capa!$A:$AJ,AX$5,0)),0,1/VLOOKUP($R102,Capa!$A:$AJ,AX$5,0))))</f>
        <v/>
      </c>
      <c r="AY102" s="174" t="str">
        <f>IF(AY$6="","",IF(AY$3="Maior",iferror(VLOOKUP($R102,Capa!$A:$AJ,AY$5,0),0),IF(ISERROR(1/VLOOKUP($R102,Capa!$A:$AJ,AY$5,0)),0,1/VLOOKUP($R102,Capa!$A:$AJ,AY$5,0))))</f>
        <v/>
      </c>
      <c r="AZ102" s="174" t="str">
        <f>IF(AZ$6="","",IF(AZ$3="Maior",iferror(VLOOKUP($R102,Capa!$A:$AJ,AZ$5,0),0),IF(ISERROR(1/VLOOKUP($R102,Capa!$A:$AJ,AZ$5,0)),0,1/VLOOKUP($R102,Capa!$A:$AJ,AZ$5,0))))</f>
        <v/>
      </c>
      <c r="BA102" s="174" t="str">
        <f>IF(BA$6="","",IF(BA$3="Maior",iferror(VLOOKUP($R102,Capa!$A:$AJ,BA$5,0),0),IF(ISERROR(1/VLOOKUP($R102,Capa!$A:$AJ,BA$5,0)),0,1/VLOOKUP($R102,Capa!$A:$AJ,BA$5,0))))</f>
        <v/>
      </c>
      <c r="BB102" s="174" t="str">
        <f>IF(BB$6="","",IF(BB$3="Maior",iferror(VLOOKUP($R102,Capa!$A:$AJ,BB$5,0),0),IF(ISERROR(1/VLOOKUP($R102,Capa!$A:$AJ,BB$5,0)),0,1/VLOOKUP($R102,Capa!$A:$AJ,BB$5,0))))</f>
        <v/>
      </c>
      <c r="BC102" s="174" t="str">
        <f>IF(BC$6="","",IF(BC$3="Maior",iferror(VLOOKUP($R102,Capa!$A:$AJ,BC$5,0),0),IF(ISERROR(1/VLOOKUP($R102,Capa!$A:$AJ,BC$5,0)),0,1/VLOOKUP($R102,Capa!$A:$AJ,BC$5,0))))</f>
        <v/>
      </c>
      <c r="BD102" s="174" t="str">
        <f>IF(BD$6="","",IF(BD$3="Maior",iferror(VLOOKUP($R102,Capa!$A:$AJ,BD$5,0),0),IF(ISERROR(1/VLOOKUP($R102,Capa!$A:$AJ,BD$5,0)),0,1/VLOOKUP($R102,Capa!$A:$AJ,BD$5,0))))</f>
        <v/>
      </c>
      <c r="BE102" s="174" t="str">
        <f>IF(BE$6="","",IF(BE$3="Maior",iferror(VLOOKUP($R102,Capa!$A:$AJ,BE$5,0),0),IF(ISERROR(1/VLOOKUP($R102,Capa!$A:$AJ,BE$5,0)),0,1/VLOOKUP($R102,Capa!$A:$AJ,BE$5,0))))</f>
        <v/>
      </c>
      <c r="BF102" s="174" t="str">
        <f>IF(BF$6="","",IF(BF$3="Maior",iferror(VLOOKUP($R102,Capa!$A:$AJ,BF$5,0),0),IF(ISERROR(1/VLOOKUP($R102,Capa!$A:$AJ,BF$5,0)),0,1/VLOOKUP($R102,Capa!$A:$AJ,BF$5,0))))</f>
        <v/>
      </c>
      <c r="BG102" s="174" t="str">
        <f>IF(BG$6="","",IF(BG$3="Maior",iferror(VLOOKUP($R102,Capa!$A:$AJ,BG$5,0),0),IF(ISERROR(1/VLOOKUP($R102,Capa!$A:$AJ,BG$5,0)),0,1/VLOOKUP($R102,Capa!$A:$AJ,BG$5,0))))</f>
        <v/>
      </c>
      <c r="BH102" s="174" t="str">
        <f>IF(BH$6="","",IF(BH$3="Maior",iferror(VLOOKUP($R102,Capa!$A:$AJ,BH$5,0),0),IF(ISERROR(1/VLOOKUP($R102,Capa!$A:$AJ,BH$5,0)),0,1/VLOOKUP($R102,Capa!$A:$AJ,BH$5,0))))</f>
        <v/>
      </c>
      <c r="BI102" s="174" t="str">
        <f>IF(BI$6="","",IF(BI$3="Maior",iferror(VLOOKUP($R102,Capa!$A:$AJ,BI$5,0),0),IF(ISERROR(1/VLOOKUP($R102,Capa!$A:$AJ,BI$5,0)),0,1/VLOOKUP($R102,Capa!$A:$AJ,BI$5,0))))</f>
        <v/>
      </c>
      <c r="BJ102" s="174" t="str">
        <f>IF(BJ$6="","",IF(BJ$3="Maior",iferror(VLOOKUP($R102,Capa!$A:$AJ,BJ$5,0),0),IF(ISERROR(1/VLOOKUP($R102,Capa!$A:$AJ,BJ$5,0)),0,1/VLOOKUP($R102,Capa!$A:$AJ,BJ$5,0))))</f>
        <v/>
      </c>
      <c r="BK102" s="174" t="str">
        <f>IF(BK$6="","",IF(BK$3="Maior",iferror(VLOOKUP($R102,Capa!$A:$AJ,BK$5,0),0),IF(ISERROR(1/VLOOKUP($R102,Capa!$A:$AJ,BK$5,0)),0,1/VLOOKUP($R102,Capa!$A:$AJ,BK$5,0))))</f>
        <v/>
      </c>
      <c r="BL102" s="174" t="str">
        <f>IF(BL$6="","",IF(BL$3="Maior",iferror(VLOOKUP($R102,Capa!$A:$AJ,BL$5,0),0),IF(ISERROR(1/VLOOKUP($R102,Capa!$A:$AJ,BL$5,0)),0,1/VLOOKUP($R102,Capa!$A:$AJ,BL$5,0))))</f>
        <v/>
      </c>
      <c r="BM102" s="174" t="str">
        <f>IF(BM$6="","",IF(BM$3="Maior",iferror(VLOOKUP($R102,Capa!$A:$AJ,BM$5,0),0),IF(ISERROR(1/VLOOKUP($R102,Capa!$A:$AJ,BM$5,0)),0,1/VLOOKUP($R102,Capa!$A:$AJ,BM$5,0))))</f>
        <v/>
      </c>
      <c r="BN102" s="174" t="str">
        <f>IF(BN$6="","",IF(BN$3="Maior",iferror(VLOOKUP($R102,Capa!$A:$AJ,BN$5,0),0),IF(ISERROR(1/VLOOKUP($R102,Capa!$A:$AJ,BN$5,0)),0,1/VLOOKUP($R102,Capa!$A:$AJ,BN$5,0))))</f>
        <v/>
      </c>
      <c r="BO102" s="174" t="str">
        <f>IF(BO$6="","",IF(BO$3="Maior",iferror(VLOOKUP($R102,Capa!$A:$AJ,BO$5,0),0),IF(ISERROR(1/VLOOKUP($R102,Capa!$A:$AJ,BO$5,0)),0,1/VLOOKUP($R102,Capa!$A:$AJ,BO$5,0))))</f>
        <v/>
      </c>
      <c r="BP102" s="174" t="str">
        <f>IF(BP$6="","",IF(BP$3="Maior",iferror(VLOOKUP($R102,Capa!$A:$AJ,BP$5,0),0),IF(ISERROR(1/VLOOKUP($R102,Capa!$A:$AJ,BP$5,0)),0,1/VLOOKUP($R102,Capa!$A:$AJ,BP$5,0))))</f>
        <v/>
      </c>
      <c r="BQ102" s="174" t="str">
        <f>IF(BQ$6="","",IF(BQ$3="Maior",iferror(VLOOKUP($R102,Capa!$A:$AJ,BQ$5,0),0),IF(ISERROR(1/VLOOKUP($R102,Capa!$A:$AJ,BQ$5,0)),0,1/VLOOKUP($R102,Capa!$A:$AJ,BQ$5,0))))</f>
        <v/>
      </c>
      <c r="BR102" s="175"/>
      <c r="BS102" s="147"/>
    </row>
    <row r="103">
      <c r="G103" s="11"/>
      <c r="H103" s="8">
        <v>97.0</v>
      </c>
      <c r="I103" s="165" t="str">
        <f t="shared" si="6"/>
        <v>TEND3</v>
      </c>
      <c r="J103" s="166" t="str">
        <f>(VLOOKUP($I103,Capa!$A:$B,2,0))</f>
        <v>Construtora Tenda S/A</v>
      </c>
      <c r="K103" s="167" t="str">
        <f>VLOOKUP(left(I103,4),Setor!A:D,3,0)&amp;" | "&amp;VLOOKUP(left(I103,4),Setor!A:D,4,0)</f>
        <v>Consumo Cíclico | Construção Civil</v>
      </c>
      <c r="L103" s="168">
        <f>(VLOOKUP($I103,Capa!$A:$F,6,0))</f>
        <v>32.87</v>
      </c>
      <c r="M103" s="168">
        <f t="shared" si="7"/>
        <v>63965412</v>
      </c>
      <c r="N103" s="177" t="str">
        <f>IFERROR(__xludf.DUMMYFUNCTION("(VLOOKUP($I103,Capa!$A:$H,7,0))"),"")</f>
        <v/>
      </c>
      <c r="O103" s="169">
        <f>(VLOOKUP($I103,Capa!$A:$H,8,0))</f>
        <v>0.3487894953</v>
      </c>
      <c r="P103" s="169" t="str">
        <f>IFERROR(__xludf.DUMMYFUNCTION("(VLOOKUP($I103,Capa!$A:$J,10,0))"),"")</f>
        <v/>
      </c>
      <c r="Q103" s="169">
        <f>(VLOOKUP($I103,Capa!$A:$K,11,0))</f>
        <v>0.994538835</v>
      </c>
      <c r="R103" s="45" t="str">
        <f>'Dados StatusInvest'!A98</f>
        <v>BRBI3</v>
      </c>
      <c r="S103" s="170">
        <f t="shared" si="8"/>
        <v>1227.0227</v>
      </c>
      <c r="T103" s="171">
        <f>VLOOKUP(R103,'Dados StatusInvest'!A:Z,26,0)</f>
        <v>0</v>
      </c>
      <c r="U103" s="172">
        <f t="shared" ref="U103:AS103" si="105">IF(AT103="","", RANK(AT103,AT$7:AT$626,0)+RANK(AT103,AT$7:AT$626,0)/10000)</f>
        <v>51.0051</v>
      </c>
      <c r="V103" s="172">
        <f t="shared" si="105"/>
        <v>176.0176</v>
      </c>
      <c r="W103" s="172" t="str">
        <f t="shared" si="105"/>
        <v/>
      </c>
      <c r="X103" s="172" t="str">
        <f t="shared" si="105"/>
        <v/>
      </c>
      <c r="Y103" s="172" t="str">
        <f t="shared" si="105"/>
        <v/>
      </c>
      <c r="Z103" s="172" t="str">
        <f t="shared" si="105"/>
        <v/>
      </c>
      <c r="AA103" s="172" t="str">
        <f t="shared" si="105"/>
        <v/>
      </c>
      <c r="AB103" s="172" t="str">
        <f t="shared" si="105"/>
        <v/>
      </c>
      <c r="AC103" s="172" t="str">
        <f t="shared" si="105"/>
        <v/>
      </c>
      <c r="AD103" s="172" t="str">
        <f t="shared" si="105"/>
        <v/>
      </c>
      <c r="AE103" s="172" t="str">
        <f t="shared" si="105"/>
        <v/>
      </c>
      <c r="AF103" s="172" t="str">
        <f t="shared" si="105"/>
        <v/>
      </c>
      <c r="AG103" s="172" t="str">
        <f t="shared" si="105"/>
        <v/>
      </c>
      <c r="AH103" s="172" t="str">
        <f t="shared" si="105"/>
        <v/>
      </c>
      <c r="AI103" s="172" t="str">
        <f t="shared" si="105"/>
        <v/>
      </c>
      <c r="AJ103" s="172" t="str">
        <f t="shared" si="105"/>
        <v/>
      </c>
      <c r="AK103" s="172" t="str">
        <f t="shared" si="105"/>
        <v/>
      </c>
      <c r="AL103" s="172" t="str">
        <f t="shared" si="105"/>
        <v/>
      </c>
      <c r="AM103" s="172" t="str">
        <f t="shared" si="105"/>
        <v/>
      </c>
      <c r="AN103" s="172" t="str">
        <f t="shared" si="105"/>
        <v/>
      </c>
      <c r="AO103" s="172" t="str">
        <f t="shared" si="105"/>
        <v/>
      </c>
      <c r="AP103" s="172" t="str">
        <f t="shared" si="105"/>
        <v/>
      </c>
      <c r="AQ103" s="172" t="str">
        <f t="shared" si="105"/>
        <v/>
      </c>
      <c r="AR103" s="172" t="str">
        <f t="shared" si="105"/>
        <v/>
      </c>
      <c r="AS103" s="172" t="str">
        <f t="shared" si="105"/>
        <v/>
      </c>
      <c r="AT103" s="173">
        <f>IF(AT$6="","",IF(AT$3="Maior",iferror(VLOOKUP($R103,Capa!$A:$AJ,AT$5,0),0),IF(ISERROR(1/VLOOKUP($R103,Capa!$A:$AJ,AT$5,0)),0,1/VLOOKUP($R103,Capa!$A:$AJ,AT$5,0))))</f>
        <v>0</v>
      </c>
      <c r="AU103" s="174">
        <f>IF(AU$6="","",IF(AU$3="Maior",iferror(VLOOKUP($R103,Capa!$A:$AJ,AU$5,0),0),IF(ISERROR(1/VLOOKUP($R103,Capa!$A:$AJ,AU$5,0)),0,1/VLOOKUP($R103,Capa!$A:$AJ,AU$5,0))))</f>
        <v>14.56</v>
      </c>
      <c r="AV103" s="174" t="str">
        <f>IF(AV$6="","",IF(AV$3="Maior",iferror(VLOOKUP($R103,Capa!$A:$AJ,AV$5,0),0),IF(ISERROR(1/VLOOKUP($R103,Capa!$A:$AJ,AV$5,0)),0,1/VLOOKUP($R103,Capa!$A:$AJ,AV$5,0))))</f>
        <v/>
      </c>
      <c r="AW103" s="174" t="str">
        <f>IF(AW$6="","",IF(AW$3="Maior",iferror(VLOOKUP($R103,Capa!$A:$AJ,AW$5,0),0),IF(ISERROR(1/VLOOKUP($R103,Capa!$A:$AJ,AW$5,0)),0,1/VLOOKUP($R103,Capa!$A:$AJ,AW$5,0))))</f>
        <v/>
      </c>
      <c r="AX103" s="174" t="str">
        <f>IF(AX$6="","",IF(AX$3="Maior",iferror(VLOOKUP($R103,Capa!$A:$AJ,AX$5,0),0),IF(ISERROR(1/VLOOKUP($R103,Capa!$A:$AJ,AX$5,0)),0,1/VLOOKUP($R103,Capa!$A:$AJ,AX$5,0))))</f>
        <v/>
      </c>
      <c r="AY103" s="174" t="str">
        <f>IF(AY$6="","",IF(AY$3="Maior",iferror(VLOOKUP($R103,Capa!$A:$AJ,AY$5,0),0),IF(ISERROR(1/VLOOKUP($R103,Capa!$A:$AJ,AY$5,0)),0,1/VLOOKUP($R103,Capa!$A:$AJ,AY$5,0))))</f>
        <v/>
      </c>
      <c r="AZ103" s="174" t="str">
        <f>IF(AZ$6="","",IF(AZ$3="Maior",iferror(VLOOKUP($R103,Capa!$A:$AJ,AZ$5,0),0),IF(ISERROR(1/VLOOKUP($R103,Capa!$A:$AJ,AZ$5,0)),0,1/VLOOKUP($R103,Capa!$A:$AJ,AZ$5,0))))</f>
        <v/>
      </c>
      <c r="BA103" s="174" t="str">
        <f>IF(BA$6="","",IF(BA$3="Maior",iferror(VLOOKUP($R103,Capa!$A:$AJ,BA$5,0),0),IF(ISERROR(1/VLOOKUP($R103,Capa!$A:$AJ,BA$5,0)),0,1/VLOOKUP($R103,Capa!$A:$AJ,BA$5,0))))</f>
        <v/>
      </c>
      <c r="BB103" s="174" t="str">
        <f>IF(BB$6="","",IF(BB$3="Maior",iferror(VLOOKUP($R103,Capa!$A:$AJ,BB$5,0),0),IF(ISERROR(1/VLOOKUP($R103,Capa!$A:$AJ,BB$5,0)),0,1/VLOOKUP($R103,Capa!$A:$AJ,BB$5,0))))</f>
        <v/>
      </c>
      <c r="BC103" s="174" t="str">
        <f>IF(BC$6="","",IF(BC$3="Maior",iferror(VLOOKUP($R103,Capa!$A:$AJ,BC$5,0),0),IF(ISERROR(1/VLOOKUP($R103,Capa!$A:$AJ,BC$5,0)),0,1/VLOOKUP($R103,Capa!$A:$AJ,BC$5,0))))</f>
        <v/>
      </c>
      <c r="BD103" s="174" t="str">
        <f>IF(BD$6="","",IF(BD$3="Maior",iferror(VLOOKUP($R103,Capa!$A:$AJ,BD$5,0),0),IF(ISERROR(1/VLOOKUP($R103,Capa!$A:$AJ,BD$5,0)),0,1/VLOOKUP($R103,Capa!$A:$AJ,BD$5,0))))</f>
        <v/>
      </c>
      <c r="BE103" s="174" t="str">
        <f>IF(BE$6="","",IF(BE$3="Maior",iferror(VLOOKUP($R103,Capa!$A:$AJ,BE$5,0),0),IF(ISERROR(1/VLOOKUP($R103,Capa!$A:$AJ,BE$5,0)),0,1/VLOOKUP($R103,Capa!$A:$AJ,BE$5,0))))</f>
        <v/>
      </c>
      <c r="BF103" s="174" t="str">
        <f>IF(BF$6="","",IF(BF$3="Maior",iferror(VLOOKUP($R103,Capa!$A:$AJ,BF$5,0),0),IF(ISERROR(1/VLOOKUP($R103,Capa!$A:$AJ,BF$5,0)),0,1/VLOOKUP($R103,Capa!$A:$AJ,BF$5,0))))</f>
        <v/>
      </c>
      <c r="BG103" s="174" t="str">
        <f>IF(BG$6="","",IF(BG$3="Maior",iferror(VLOOKUP($R103,Capa!$A:$AJ,BG$5,0),0),IF(ISERROR(1/VLOOKUP($R103,Capa!$A:$AJ,BG$5,0)),0,1/VLOOKUP($R103,Capa!$A:$AJ,BG$5,0))))</f>
        <v/>
      </c>
      <c r="BH103" s="174" t="str">
        <f>IF(BH$6="","",IF(BH$3="Maior",iferror(VLOOKUP($R103,Capa!$A:$AJ,BH$5,0),0),IF(ISERROR(1/VLOOKUP($R103,Capa!$A:$AJ,BH$5,0)),0,1/VLOOKUP($R103,Capa!$A:$AJ,BH$5,0))))</f>
        <v/>
      </c>
      <c r="BI103" s="174" t="str">
        <f>IF(BI$6="","",IF(BI$3="Maior",iferror(VLOOKUP($R103,Capa!$A:$AJ,BI$5,0),0),IF(ISERROR(1/VLOOKUP($R103,Capa!$A:$AJ,BI$5,0)),0,1/VLOOKUP($R103,Capa!$A:$AJ,BI$5,0))))</f>
        <v/>
      </c>
      <c r="BJ103" s="174" t="str">
        <f>IF(BJ$6="","",IF(BJ$3="Maior",iferror(VLOOKUP($R103,Capa!$A:$AJ,BJ$5,0),0),IF(ISERROR(1/VLOOKUP($R103,Capa!$A:$AJ,BJ$5,0)),0,1/VLOOKUP($R103,Capa!$A:$AJ,BJ$5,0))))</f>
        <v/>
      </c>
      <c r="BK103" s="174" t="str">
        <f>IF(BK$6="","",IF(BK$3="Maior",iferror(VLOOKUP($R103,Capa!$A:$AJ,BK$5,0),0),IF(ISERROR(1/VLOOKUP($R103,Capa!$A:$AJ,BK$5,0)),0,1/VLOOKUP($R103,Capa!$A:$AJ,BK$5,0))))</f>
        <v/>
      </c>
      <c r="BL103" s="174" t="str">
        <f>IF(BL$6="","",IF(BL$3="Maior",iferror(VLOOKUP($R103,Capa!$A:$AJ,BL$5,0),0),IF(ISERROR(1/VLOOKUP($R103,Capa!$A:$AJ,BL$5,0)),0,1/VLOOKUP($R103,Capa!$A:$AJ,BL$5,0))))</f>
        <v/>
      </c>
      <c r="BM103" s="174" t="str">
        <f>IF(BM$6="","",IF(BM$3="Maior",iferror(VLOOKUP($R103,Capa!$A:$AJ,BM$5,0),0),IF(ISERROR(1/VLOOKUP($R103,Capa!$A:$AJ,BM$5,0)),0,1/VLOOKUP($R103,Capa!$A:$AJ,BM$5,0))))</f>
        <v/>
      </c>
      <c r="BN103" s="174" t="str">
        <f>IF(BN$6="","",IF(BN$3="Maior",iferror(VLOOKUP($R103,Capa!$A:$AJ,BN$5,0),0),IF(ISERROR(1/VLOOKUP($R103,Capa!$A:$AJ,BN$5,0)),0,1/VLOOKUP($R103,Capa!$A:$AJ,BN$5,0))))</f>
        <v/>
      </c>
      <c r="BO103" s="174" t="str">
        <f>IF(BO$6="","",IF(BO$3="Maior",iferror(VLOOKUP($R103,Capa!$A:$AJ,BO$5,0),0),IF(ISERROR(1/VLOOKUP($R103,Capa!$A:$AJ,BO$5,0)),0,1/VLOOKUP($R103,Capa!$A:$AJ,BO$5,0))))</f>
        <v/>
      </c>
      <c r="BP103" s="174" t="str">
        <f>IF(BP$6="","",IF(BP$3="Maior",iferror(VLOOKUP($R103,Capa!$A:$AJ,BP$5,0),0),IF(ISERROR(1/VLOOKUP($R103,Capa!$A:$AJ,BP$5,0)),0,1/VLOOKUP($R103,Capa!$A:$AJ,BP$5,0))))</f>
        <v/>
      </c>
      <c r="BQ103" s="174" t="str">
        <f>IF(BQ$6="","",IF(BQ$3="Maior",iferror(VLOOKUP($R103,Capa!$A:$AJ,BQ$5,0),0),IF(ISERROR(1/VLOOKUP($R103,Capa!$A:$AJ,BQ$5,0)),0,1/VLOOKUP($R103,Capa!$A:$AJ,BQ$5,0))))</f>
        <v/>
      </c>
      <c r="BR103" s="175"/>
      <c r="BS103" s="147"/>
    </row>
    <row r="104">
      <c r="G104" s="11"/>
      <c r="H104" s="8">
        <v>98.0</v>
      </c>
      <c r="I104" s="165" t="str">
        <f t="shared" si="6"/>
        <v>AZZA3</v>
      </c>
      <c r="J104" s="166" t="str">
        <f>(VLOOKUP($I104,Capa!$A:$B,2,0))</f>
        <v>Azzas 2154 SA</v>
      </c>
      <c r="K104" s="167" t="str">
        <f>VLOOKUP(left(I104,4),Setor!A:D,3,0)&amp;" | "&amp;VLOOKUP(left(I104,4),Setor!A:D,4,0)</f>
        <v>#N/A</v>
      </c>
      <c r="L104" s="168">
        <f>(VLOOKUP($I104,Capa!$A:$F,6,0))</f>
        <v>25.11</v>
      </c>
      <c r="M104" s="168">
        <f t="shared" si="7"/>
        <v>70676079</v>
      </c>
      <c r="N104" s="11" t="str">
        <f>IFERROR(__xludf.DUMMYFUNCTION("(VLOOKUP($I104,Capa!$A:$H,7,0))"),"")</f>
        <v/>
      </c>
      <c r="O104" s="169">
        <f>(VLOOKUP($I104,Capa!$A:$H,8,0))</f>
        <v>0.01454545455</v>
      </c>
      <c r="P104" s="11" t="str">
        <f>IFERROR(__xludf.DUMMYFUNCTION("(VLOOKUP($I104,Capa!$A:$J,10,0))"),"")</f>
        <v/>
      </c>
      <c r="Q104" s="169">
        <f>(VLOOKUP($I104,Capa!$A:$K,11,0))</f>
        <v>-0.2103773585</v>
      </c>
      <c r="R104" s="45" t="str">
        <f>'Dados StatusInvest'!A99</f>
        <v>BRBI4</v>
      </c>
      <c r="S104" s="170">
        <f t="shared" si="8"/>
        <v>1227.0227</v>
      </c>
      <c r="T104" s="171">
        <f>VLOOKUP(R104,'Dados StatusInvest'!A:Z,26,0)</f>
        <v>0</v>
      </c>
      <c r="U104" s="172">
        <f t="shared" ref="U104:AS104" si="106">IF(AT104="","", RANK(AT104,AT$7:AT$626,0)+RANK(AT104,AT$7:AT$626,0)/10000)</f>
        <v>51.0051</v>
      </c>
      <c r="V104" s="172">
        <f t="shared" si="106"/>
        <v>176.0176</v>
      </c>
      <c r="W104" s="172" t="str">
        <f t="shared" si="106"/>
        <v/>
      </c>
      <c r="X104" s="172" t="str">
        <f t="shared" si="106"/>
        <v/>
      </c>
      <c r="Y104" s="172" t="str">
        <f t="shared" si="106"/>
        <v/>
      </c>
      <c r="Z104" s="172" t="str">
        <f t="shared" si="106"/>
        <v/>
      </c>
      <c r="AA104" s="172" t="str">
        <f t="shared" si="106"/>
        <v/>
      </c>
      <c r="AB104" s="172" t="str">
        <f t="shared" si="106"/>
        <v/>
      </c>
      <c r="AC104" s="172" t="str">
        <f t="shared" si="106"/>
        <v/>
      </c>
      <c r="AD104" s="172" t="str">
        <f t="shared" si="106"/>
        <v/>
      </c>
      <c r="AE104" s="172" t="str">
        <f t="shared" si="106"/>
        <v/>
      </c>
      <c r="AF104" s="172" t="str">
        <f t="shared" si="106"/>
        <v/>
      </c>
      <c r="AG104" s="172" t="str">
        <f t="shared" si="106"/>
        <v/>
      </c>
      <c r="AH104" s="172" t="str">
        <f t="shared" si="106"/>
        <v/>
      </c>
      <c r="AI104" s="172" t="str">
        <f t="shared" si="106"/>
        <v/>
      </c>
      <c r="AJ104" s="172" t="str">
        <f t="shared" si="106"/>
        <v/>
      </c>
      <c r="AK104" s="172" t="str">
        <f t="shared" si="106"/>
        <v/>
      </c>
      <c r="AL104" s="172" t="str">
        <f t="shared" si="106"/>
        <v/>
      </c>
      <c r="AM104" s="172" t="str">
        <f t="shared" si="106"/>
        <v/>
      </c>
      <c r="AN104" s="172" t="str">
        <f t="shared" si="106"/>
        <v/>
      </c>
      <c r="AO104" s="172" t="str">
        <f t="shared" si="106"/>
        <v/>
      </c>
      <c r="AP104" s="172" t="str">
        <f t="shared" si="106"/>
        <v/>
      </c>
      <c r="AQ104" s="172" t="str">
        <f t="shared" si="106"/>
        <v/>
      </c>
      <c r="AR104" s="172" t="str">
        <f t="shared" si="106"/>
        <v/>
      </c>
      <c r="AS104" s="172" t="str">
        <f t="shared" si="106"/>
        <v/>
      </c>
      <c r="AT104" s="173">
        <f>IF(AT$6="","",IF(AT$3="Maior",iferror(VLOOKUP($R104,Capa!$A:$AJ,AT$5,0),0),IF(ISERROR(1/VLOOKUP($R104,Capa!$A:$AJ,AT$5,0)),0,1/VLOOKUP($R104,Capa!$A:$AJ,AT$5,0))))</f>
        <v>0</v>
      </c>
      <c r="AU104" s="174">
        <f>IF(AU$6="","",IF(AU$3="Maior",iferror(VLOOKUP($R104,Capa!$A:$AJ,AU$5,0),0),IF(ISERROR(1/VLOOKUP($R104,Capa!$A:$AJ,AU$5,0)),0,1/VLOOKUP($R104,Capa!$A:$AJ,AU$5,0))))</f>
        <v>14.56</v>
      </c>
      <c r="AV104" s="174" t="str">
        <f>IF(AV$6="","",IF(AV$3="Maior",iferror(VLOOKUP($R104,Capa!$A:$AJ,AV$5,0),0),IF(ISERROR(1/VLOOKUP($R104,Capa!$A:$AJ,AV$5,0)),0,1/VLOOKUP($R104,Capa!$A:$AJ,AV$5,0))))</f>
        <v/>
      </c>
      <c r="AW104" s="174" t="str">
        <f>IF(AW$6="","",IF(AW$3="Maior",iferror(VLOOKUP($R104,Capa!$A:$AJ,AW$5,0),0),IF(ISERROR(1/VLOOKUP($R104,Capa!$A:$AJ,AW$5,0)),0,1/VLOOKUP($R104,Capa!$A:$AJ,AW$5,0))))</f>
        <v/>
      </c>
      <c r="AX104" s="174" t="str">
        <f>IF(AX$6="","",IF(AX$3="Maior",iferror(VLOOKUP($R104,Capa!$A:$AJ,AX$5,0),0),IF(ISERROR(1/VLOOKUP($R104,Capa!$A:$AJ,AX$5,0)),0,1/VLOOKUP($R104,Capa!$A:$AJ,AX$5,0))))</f>
        <v/>
      </c>
      <c r="AY104" s="174" t="str">
        <f>IF(AY$6="","",IF(AY$3="Maior",iferror(VLOOKUP($R104,Capa!$A:$AJ,AY$5,0),0),IF(ISERROR(1/VLOOKUP($R104,Capa!$A:$AJ,AY$5,0)),0,1/VLOOKUP($R104,Capa!$A:$AJ,AY$5,0))))</f>
        <v/>
      </c>
      <c r="AZ104" s="174" t="str">
        <f>IF(AZ$6="","",IF(AZ$3="Maior",iferror(VLOOKUP($R104,Capa!$A:$AJ,AZ$5,0),0),IF(ISERROR(1/VLOOKUP($R104,Capa!$A:$AJ,AZ$5,0)),0,1/VLOOKUP($R104,Capa!$A:$AJ,AZ$5,0))))</f>
        <v/>
      </c>
      <c r="BA104" s="174" t="str">
        <f>IF(BA$6="","",IF(BA$3="Maior",iferror(VLOOKUP($R104,Capa!$A:$AJ,BA$5,0),0),IF(ISERROR(1/VLOOKUP($R104,Capa!$A:$AJ,BA$5,0)),0,1/VLOOKUP($R104,Capa!$A:$AJ,BA$5,0))))</f>
        <v/>
      </c>
      <c r="BB104" s="174" t="str">
        <f>IF(BB$6="","",IF(BB$3="Maior",iferror(VLOOKUP($R104,Capa!$A:$AJ,BB$5,0),0),IF(ISERROR(1/VLOOKUP($R104,Capa!$A:$AJ,BB$5,0)),0,1/VLOOKUP($R104,Capa!$A:$AJ,BB$5,0))))</f>
        <v/>
      </c>
      <c r="BC104" s="174" t="str">
        <f>IF(BC$6="","",IF(BC$3="Maior",iferror(VLOOKUP($R104,Capa!$A:$AJ,BC$5,0),0),IF(ISERROR(1/VLOOKUP($R104,Capa!$A:$AJ,BC$5,0)),0,1/VLOOKUP($R104,Capa!$A:$AJ,BC$5,0))))</f>
        <v/>
      </c>
      <c r="BD104" s="174" t="str">
        <f>IF(BD$6="","",IF(BD$3="Maior",iferror(VLOOKUP($R104,Capa!$A:$AJ,BD$5,0),0),IF(ISERROR(1/VLOOKUP($R104,Capa!$A:$AJ,BD$5,0)),0,1/VLOOKUP($R104,Capa!$A:$AJ,BD$5,0))))</f>
        <v/>
      </c>
      <c r="BE104" s="174" t="str">
        <f>IF(BE$6="","",IF(BE$3="Maior",iferror(VLOOKUP($R104,Capa!$A:$AJ,BE$5,0),0),IF(ISERROR(1/VLOOKUP($R104,Capa!$A:$AJ,BE$5,0)),0,1/VLOOKUP($R104,Capa!$A:$AJ,BE$5,0))))</f>
        <v/>
      </c>
      <c r="BF104" s="174" t="str">
        <f>IF(BF$6="","",IF(BF$3="Maior",iferror(VLOOKUP($R104,Capa!$A:$AJ,BF$5,0),0),IF(ISERROR(1/VLOOKUP($R104,Capa!$A:$AJ,BF$5,0)),0,1/VLOOKUP($R104,Capa!$A:$AJ,BF$5,0))))</f>
        <v/>
      </c>
      <c r="BG104" s="174" t="str">
        <f>IF(BG$6="","",IF(BG$3="Maior",iferror(VLOOKUP($R104,Capa!$A:$AJ,BG$5,0),0),IF(ISERROR(1/VLOOKUP($R104,Capa!$A:$AJ,BG$5,0)),0,1/VLOOKUP($R104,Capa!$A:$AJ,BG$5,0))))</f>
        <v/>
      </c>
      <c r="BH104" s="174" t="str">
        <f>IF(BH$6="","",IF(BH$3="Maior",iferror(VLOOKUP($R104,Capa!$A:$AJ,BH$5,0),0),IF(ISERROR(1/VLOOKUP($R104,Capa!$A:$AJ,BH$5,0)),0,1/VLOOKUP($R104,Capa!$A:$AJ,BH$5,0))))</f>
        <v/>
      </c>
      <c r="BI104" s="174" t="str">
        <f>IF(BI$6="","",IF(BI$3="Maior",iferror(VLOOKUP($R104,Capa!$A:$AJ,BI$5,0),0),IF(ISERROR(1/VLOOKUP($R104,Capa!$A:$AJ,BI$5,0)),0,1/VLOOKUP($R104,Capa!$A:$AJ,BI$5,0))))</f>
        <v/>
      </c>
      <c r="BJ104" s="174" t="str">
        <f>IF(BJ$6="","",IF(BJ$3="Maior",iferror(VLOOKUP($R104,Capa!$A:$AJ,BJ$5,0),0),IF(ISERROR(1/VLOOKUP($R104,Capa!$A:$AJ,BJ$5,0)),0,1/VLOOKUP($R104,Capa!$A:$AJ,BJ$5,0))))</f>
        <v/>
      </c>
      <c r="BK104" s="174" t="str">
        <f>IF(BK$6="","",IF(BK$3="Maior",iferror(VLOOKUP($R104,Capa!$A:$AJ,BK$5,0),0),IF(ISERROR(1/VLOOKUP($R104,Capa!$A:$AJ,BK$5,0)),0,1/VLOOKUP($R104,Capa!$A:$AJ,BK$5,0))))</f>
        <v/>
      </c>
      <c r="BL104" s="174" t="str">
        <f>IF(BL$6="","",IF(BL$3="Maior",iferror(VLOOKUP($R104,Capa!$A:$AJ,BL$5,0),0),IF(ISERROR(1/VLOOKUP($R104,Capa!$A:$AJ,BL$5,0)),0,1/VLOOKUP($R104,Capa!$A:$AJ,BL$5,0))))</f>
        <v/>
      </c>
      <c r="BM104" s="174" t="str">
        <f>IF(BM$6="","",IF(BM$3="Maior",iferror(VLOOKUP($R104,Capa!$A:$AJ,BM$5,0),0),IF(ISERROR(1/VLOOKUP($R104,Capa!$A:$AJ,BM$5,0)),0,1/VLOOKUP($R104,Capa!$A:$AJ,BM$5,0))))</f>
        <v/>
      </c>
      <c r="BN104" s="174" t="str">
        <f>IF(BN$6="","",IF(BN$3="Maior",iferror(VLOOKUP($R104,Capa!$A:$AJ,BN$5,0),0),IF(ISERROR(1/VLOOKUP($R104,Capa!$A:$AJ,BN$5,0)),0,1/VLOOKUP($R104,Capa!$A:$AJ,BN$5,0))))</f>
        <v/>
      </c>
      <c r="BO104" s="174" t="str">
        <f>IF(BO$6="","",IF(BO$3="Maior",iferror(VLOOKUP($R104,Capa!$A:$AJ,BO$5,0),0),IF(ISERROR(1/VLOOKUP($R104,Capa!$A:$AJ,BO$5,0)),0,1/VLOOKUP($R104,Capa!$A:$AJ,BO$5,0))))</f>
        <v/>
      </c>
      <c r="BP104" s="174" t="str">
        <f>IF(BP$6="","",IF(BP$3="Maior",iferror(VLOOKUP($R104,Capa!$A:$AJ,BP$5,0),0),IF(ISERROR(1/VLOOKUP($R104,Capa!$A:$AJ,BP$5,0)),0,1/VLOOKUP($R104,Capa!$A:$AJ,BP$5,0))))</f>
        <v/>
      </c>
      <c r="BQ104" s="174" t="str">
        <f>IF(BQ$6="","",IF(BQ$3="Maior",iferror(VLOOKUP($R104,Capa!$A:$AJ,BQ$5,0),0),IF(ISERROR(1/VLOOKUP($R104,Capa!$A:$AJ,BQ$5,0)),0,1/VLOOKUP($R104,Capa!$A:$AJ,BQ$5,0))))</f>
        <v/>
      </c>
      <c r="BR104" s="175"/>
      <c r="BS104" s="147"/>
    </row>
    <row r="105">
      <c r="G105" s="11"/>
      <c r="H105" s="8">
        <v>99.0</v>
      </c>
      <c r="I105" s="165" t="str">
        <f t="shared" si="6"/>
        <v>EUCA4</v>
      </c>
      <c r="J105" s="166" t="str">
        <f>(VLOOKUP($I105,Capa!$A:$B,2,0))</f>
        <v>Eucatex SA Industria e Comercio Preference Shares</v>
      </c>
      <c r="K105" s="167" t="str">
        <f>VLOOKUP(left(I105,4),Setor!A:D,3,0)&amp;" | "&amp;VLOOKUP(left(I105,4),Setor!A:D,4,0)</f>
        <v>Materiais Básicos | Madeira e Papel</v>
      </c>
      <c r="L105" s="168">
        <f>(VLOOKUP($I105,Capa!$A:$F,6,0))</f>
        <v>21.96</v>
      </c>
      <c r="M105" s="168">
        <f t="shared" si="7"/>
        <v>991438.6</v>
      </c>
      <c r="N105" s="11" t="str">
        <f>IFERROR(__xludf.DUMMYFUNCTION("(VLOOKUP($I105,Capa!$A:$H,7,0))"),"")</f>
        <v/>
      </c>
      <c r="O105" s="169">
        <f>(VLOOKUP($I105,Capa!$A:$H,8,0))</f>
        <v>0.1699520511</v>
      </c>
      <c r="P105" s="11" t="str">
        <f>IFERROR(__xludf.DUMMYFUNCTION("(VLOOKUP($I105,Capa!$A:$J,10,0))"),"")</f>
        <v/>
      </c>
      <c r="Q105" s="169">
        <f>(VLOOKUP($I105,Capa!$A:$K,11,0))</f>
        <v>0.6375838926</v>
      </c>
      <c r="R105" s="45" t="str">
        <f>'Dados StatusInvest'!A100</f>
        <v>BRFS3</v>
      </c>
      <c r="S105" s="170">
        <f t="shared" si="8"/>
        <v>195.0195</v>
      </c>
      <c r="T105" s="171">
        <f>VLOOKUP(R105,'Dados StatusInvest'!A:Z,26,0)</f>
        <v>378000000</v>
      </c>
      <c r="U105" s="172">
        <f t="shared" ref="U105:AS105" si="107">IF(AT105="","", RANK(AT105,AT$7:AT$626,0)+RANK(AT105,AT$7:AT$626,0)/10000)</f>
        <v>182.0182</v>
      </c>
      <c r="V105" s="172">
        <f t="shared" si="107"/>
        <v>13.0013</v>
      </c>
      <c r="W105" s="172" t="str">
        <f t="shared" si="107"/>
        <v/>
      </c>
      <c r="X105" s="172" t="str">
        <f t="shared" si="107"/>
        <v/>
      </c>
      <c r="Y105" s="172" t="str">
        <f t="shared" si="107"/>
        <v/>
      </c>
      <c r="Z105" s="172" t="str">
        <f t="shared" si="107"/>
        <v/>
      </c>
      <c r="AA105" s="172" t="str">
        <f t="shared" si="107"/>
        <v/>
      </c>
      <c r="AB105" s="172" t="str">
        <f t="shared" si="107"/>
        <v/>
      </c>
      <c r="AC105" s="172" t="str">
        <f t="shared" si="107"/>
        <v/>
      </c>
      <c r="AD105" s="172" t="str">
        <f t="shared" si="107"/>
        <v/>
      </c>
      <c r="AE105" s="172" t="str">
        <f t="shared" si="107"/>
        <v/>
      </c>
      <c r="AF105" s="172" t="str">
        <f t="shared" si="107"/>
        <v/>
      </c>
      <c r="AG105" s="172" t="str">
        <f t="shared" si="107"/>
        <v/>
      </c>
      <c r="AH105" s="172" t="str">
        <f t="shared" si="107"/>
        <v/>
      </c>
      <c r="AI105" s="172" t="str">
        <f t="shared" si="107"/>
        <v/>
      </c>
      <c r="AJ105" s="172" t="str">
        <f t="shared" si="107"/>
        <v/>
      </c>
      <c r="AK105" s="172" t="str">
        <f t="shared" si="107"/>
        <v/>
      </c>
      <c r="AL105" s="172" t="str">
        <f t="shared" si="107"/>
        <v/>
      </c>
      <c r="AM105" s="172" t="str">
        <f t="shared" si="107"/>
        <v/>
      </c>
      <c r="AN105" s="172" t="str">
        <f t="shared" si="107"/>
        <v/>
      </c>
      <c r="AO105" s="172" t="str">
        <f t="shared" si="107"/>
        <v/>
      </c>
      <c r="AP105" s="172" t="str">
        <f t="shared" si="107"/>
        <v/>
      </c>
      <c r="AQ105" s="172" t="str">
        <f t="shared" si="107"/>
        <v/>
      </c>
      <c r="AR105" s="172" t="str">
        <f t="shared" si="107"/>
        <v/>
      </c>
      <c r="AS105" s="172" t="str">
        <f t="shared" si="107"/>
        <v/>
      </c>
      <c r="AT105" s="173">
        <f>IF(AT$6="","",IF(AT$3="Maior",iferror(VLOOKUP($R105,Capa!$A:$AJ,AT$5,0),0),IF(ISERROR(1/VLOOKUP($R105,Capa!$A:$AJ,AT$5,0)),0,1/VLOOKUP($R105,Capa!$A:$AJ,AT$5,0))))</f>
        <v>-0.2227171492</v>
      </c>
      <c r="AU105" s="174">
        <f>IF(AU$6="","",IF(AU$3="Maior",iferror(VLOOKUP($R105,Capa!$A:$AJ,AU$5,0),0),IF(ISERROR(1/VLOOKUP($R105,Capa!$A:$AJ,AU$5,0)),0,1/VLOOKUP($R105,Capa!$A:$AJ,AU$5,0))))</f>
        <v>62.44</v>
      </c>
      <c r="AV105" s="174" t="str">
        <f>IF(AV$6="","",IF(AV$3="Maior",iferror(VLOOKUP($R105,Capa!$A:$AJ,AV$5,0),0),IF(ISERROR(1/VLOOKUP($R105,Capa!$A:$AJ,AV$5,0)),0,1/VLOOKUP($R105,Capa!$A:$AJ,AV$5,0))))</f>
        <v/>
      </c>
      <c r="AW105" s="174" t="str">
        <f>IF(AW$6="","",IF(AW$3="Maior",iferror(VLOOKUP($R105,Capa!$A:$AJ,AW$5,0),0),IF(ISERROR(1/VLOOKUP($R105,Capa!$A:$AJ,AW$5,0)),0,1/VLOOKUP($R105,Capa!$A:$AJ,AW$5,0))))</f>
        <v/>
      </c>
      <c r="AX105" s="174" t="str">
        <f>IF(AX$6="","",IF(AX$3="Maior",iferror(VLOOKUP($R105,Capa!$A:$AJ,AX$5,0),0),IF(ISERROR(1/VLOOKUP($R105,Capa!$A:$AJ,AX$5,0)),0,1/VLOOKUP($R105,Capa!$A:$AJ,AX$5,0))))</f>
        <v/>
      </c>
      <c r="AY105" s="174" t="str">
        <f>IF(AY$6="","",IF(AY$3="Maior",iferror(VLOOKUP($R105,Capa!$A:$AJ,AY$5,0),0),IF(ISERROR(1/VLOOKUP($R105,Capa!$A:$AJ,AY$5,0)),0,1/VLOOKUP($R105,Capa!$A:$AJ,AY$5,0))))</f>
        <v/>
      </c>
      <c r="AZ105" s="174" t="str">
        <f>IF(AZ$6="","",IF(AZ$3="Maior",iferror(VLOOKUP($R105,Capa!$A:$AJ,AZ$5,0),0),IF(ISERROR(1/VLOOKUP($R105,Capa!$A:$AJ,AZ$5,0)),0,1/VLOOKUP($R105,Capa!$A:$AJ,AZ$5,0))))</f>
        <v/>
      </c>
      <c r="BA105" s="174" t="str">
        <f>IF(BA$6="","",IF(BA$3="Maior",iferror(VLOOKUP($R105,Capa!$A:$AJ,BA$5,0),0),IF(ISERROR(1/VLOOKUP($R105,Capa!$A:$AJ,BA$5,0)),0,1/VLOOKUP($R105,Capa!$A:$AJ,BA$5,0))))</f>
        <v/>
      </c>
      <c r="BB105" s="174" t="str">
        <f>IF(BB$6="","",IF(BB$3="Maior",iferror(VLOOKUP($R105,Capa!$A:$AJ,BB$5,0),0),IF(ISERROR(1/VLOOKUP($R105,Capa!$A:$AJ,BB$5,0)),0,1/VLOOKUP($R105,Capa!$A:$AJ,BB$5,0))))</f>
        <v/>
      </c>
      <c r="BC105" s="174" t="str">
        <f>IF(BC$6="","",IF(BC$3="Maior",iferror(VLOOKUP($R105,Capa!$A:$AJ,BC$5,0),0),IF(ISERROR(1/VLOOKUP($R105,Capa!$A:$AJ,BC$5,0)),0,1/VLOOKUP($R105,Capa!$A:$AJ,BC$5,0))))</f>
        <v/>
      </c>
      <c r="BD105" s="174" t="str">
        <f>IF(BD$6="","",IF(BD$3="Maior",iferror(VLOOKUP($R105,Capa!$A:$AJ,BD$5,0),0),IF(ISERROR(1/VLOOKUP($R105,Capa!$A:$AJ,BD$5,0)),0,1/VLOOKUP($R105,Capa!$A:$AJ,BD$5,0))))</f>
        <v/>
      </c>
      <c r="BE105" s="174" t="str">
        <f>IF(BE$6="","",IF(BE$3="Maior",iferror(VLOOKUP($R105,Capa!$A:$AJ,BE$5,0),0),IF(ISERROR(1/VLOOKUP($R105,Capa!$A:$AJ,BE$5,0)),0,1/VLOOKUP($R105,Capa!$A:$AJ,BE$5,0))))</f>
        <v/>
      </c>
      <c r="BF105" s="174" t="str">
        <f>IF(BF$6="","",IF(BF$3="Maior",iferror(VLOOKUP($R105,Capa!$A:$AJ,BF$5,0),0),IF(ISERROR(1/VLOOKUP($R105,Capa!$A:$AJ,BF$5,0)),0,1/VLOOKUP($R105,Capa!$A:$AJ,BF$5,0))))</f>
        <v/>
      </c>
      <c r="BG105" s="174" t="str">
        <f>IF(BG$6="","",IF(BG$3="Maior",iferror(VLOOKUP($R105,Capa!$A:$AJ,BG$5,0),0),IF(ISERROR(1/VLOOKUP($R105,Capa!$A:$AJ,BG$5,0)),0,1/VLOOKUP($R105,Capa!$A:$AJ,BG$5,0))))</f>
        <v/>
      </c>
      <c r="BH105" s="174" t="str">
        <f>IF(BH$6="","",IF(BH$3="Maior",iferror(VLOOKUP($R105,Capa!$A:$AJ,BH$5,0),0),IF(ISERROR(1/VLOOKUP($R105,Capa!$A:$AJ,BH$5,0)),0,1/VLOOKUP($R105,Capa!$A:$AJ,BH$5,0))))</f>
        <v/>
      </c>
      <c r="BI105" s="174" t="str">
        <f>IF(BI$6="","",IF(BI$3="Maior",iferror(VLOOKUP($R105,Capa!$A:$AJ,BI$5,0),0),IF(ISERROR(1/VLOOKUP($R105,Capa!$A:$AJ,BI$5,0)),0,1/VLOOKUP($R105,Capa!$A:$AJ,BI$5,0))))</f>
        <v/>
      </c>
      <c r="BJ105" s="174" t="str">
        <f>IF(BJ$6="","",IF(BJ$3="Maior",iferror(VLOOKUP($R105,Capa!$A:$AJ,BJ$5,0),0),IF(ISERROR(1/VLOOKUP($R105,Capa!$A:$AJ,BJ$5,0)),0,1/VLOOKUP($R105,Capa!$A:$AJ,BJ$5,0))))</f>
        <v/>
      </c>
      <c r="BK105" s="174" t="str">
        <f>IF(BK$6="","",IF(BK$3="Maior",iferror(VLOOKUP($R105,Capa!$A:$AJ,BK$5,0),0),IF(ISERROR(1/VLOOKUP($R105,Capa!$A:$AJ,BK$5,0)),0,1/VLOOKUP($R105,Capa!$A:$AJ,BK$5,0))))</f>
        <v/>
      </c>
      <c r="BL105" s="174" t="str">
        <f>IF(BL$6="","",IF(BL$3="Maior",iferror(VLOOKUP($R105,Capa!$A:$AJ,BL$5,0),0),IF(ISERROR(1/VLOOKUP($R105,Capa!$A:$AJ,BL$5,0)),0,1/VLOOKUP($R105,Capa!$A:$AJ,BL$5,0))))</f>
        <v/>
      </c>
      <c r="BM105" s="174" t="str">
        <f>IF(BM$6="","",IF(BM$3="Maior",iferror(VLOOKUP($R105,Capa!$A:$AJ,BM$5,0),0),IF(ISERROR(1/VLOOKUP($R105,Capa!$A:$AJ,BM$5,0)),0,1/VLOOKUP($R105,Capa!$A:$AJ,BM$5,0))))</f>
        <v/>
      </c>
      <c r="BN105" s="174" t="str">
        <f>IF(BN$6="","",IF(BN$3="Maior",iferror(VLOOKUP($R105,Capa!$A:$AJ,BN$5,0),0),IF(ISERROR(1/VLOOKUP($R105,Capa!$A:$AJ,BN$5,0)),0,1/VLOOKUP($R105,Capa!$A:$AJ,BN$5,0))))</f>
        <v/>
      </c>
      <c r="BO105" s="174" t="str">
        <f>IF(BO$6="","",IF(BO$3="Maior",iferror(VLOOKUP($R105,Capa!$A:$AJ,BO$5,0),0),IF(ISERROR(1/VLOOKUP($R105,Capa!$A:$AJ,BO$5,0)),0,1/VLOOKUP($R105,Capa!$A:$AJ,BO$5,0))))</f>
        <v/>
      </c>
      <c r="BP105" s="174" t="str">
        <f>IF(BP$6="","",IF(BP$3="Maior",iferror(VLOOKUP($R105,Capa!$A:$AJ,BP$5,0),0),IF(ISERROR(1/VLOOKUP($R105,Capa!$A:$AJ,BP$5,0)),0,1/VLOOKUP($R105,Capa!$A:$AJ,BP$5,0))))</f>
        <v/>
      </c>
      <c r="BQ105" s="174" t="str">
        <f>IF(BQ$6="","",IF(BQ$3="Maior",iferror(VLOOKUP($R105,Capa!$A:$AJ,BQ$5,0),0),IF(ISERROR(1/VLOOKUP($R105,Capa!$A:$AJ,BQ$5,0)),0,1/VLOOKUP($R105,Capa!$A:$AJ,BQ$5,0))))</f>
        <v/>
      </c>
      <c r="BR105" s="175"/>
      <c r="BS105" s="147"/>
    </row>
    <row r="106">
      <c r="G106" s="11"/>
      <c r="H106" s="8">
        <v>100.0</v>
      </c>
      <c r="I106" s="165" t="str">
        <f t="shared" si="6"/>
        <v>ENAT3</v>
      </c>
      <c r="J106" s="166" t="str">
        <f>(VLOOKUP($I106,Capa!$A:$B,2,0))</f>
        <v/>
      </c>
      <c r="K106" s="167" t="str">
        <f>VLOOKUP(left(I106,4),Setor!A:D,3,0)&amp;" | "&amp;VLOOKUP(left(I106,4),Setor!A:D,4,0)</f>
        <v>Petróleo, Gás e Biocombustíveis | Petróleo, Gás e Biocombustíveis</v>
      </c>
      <c r="L106" s="168" t="str">
        <f>(VLOOKUP($I106,Capa!$A:$F,6,0))</f>
        <v/>
      </c>
      <c r="M106" s="168">
        <f t="shared" si="7"/>
        <v>202000000</v>
      </c>
      <c r="N106" s="11" t="str">
        <f>(VLOOKUP($I106,Capa!$A:$H,7,0))</f>
        <v/>
      </c>
      <c r="O106" s="169" t="str">
        <f>(VLOOKUP($I106,Capa!$A:$H,8,0))</f>
        <v/>
      </c>
      <c r="P106" s="11" t="str">
        <f>(VLOOKUP($I106,Capa!$A:$J,10,0))</f>
        <v/>
      </c>
      <c r="Q106" s="169" t="str">
        <f>(VLOOKUP($I106,Capa!$A:$K,11,0))</f>
        <v/>
      </c>
      <c r="R106" s="45" t="str">
        <f>'Dados StatusInvest'!A101</f>
        <v>BRGE11</v>
      </c>
      <c r="S106" s="170">
        <f t="shared" si="8"/>
        <v>1863.0863</v>
      </c>
      <c r="T106" s="171">
        <f>VLOOKUP(R106,'Dados StatusInvest'!A:Z,26,0)</f>
        <v>0</v>
      </c>
      <c r="U106" s="172">
        <f t="shared" ref="U106:AS106" si="108">IF(AT106="","", RANK(AT106,AT$7:AT$626,0)+RANK(AT106,AT$7:AT$626,0)/10000)</f>
        <v>291.0291</v>
      </c>
      <c r="V106" s="172">
        <f t="shared" si="108"/>
        <v>572.0572</v>
      </c>
      <c r="W106" s="172" t="str">
        <f t="shared" si="108"/>
        <v/>
      </c>
      <c r="X106" s="172" t="str">
        <f t="shared" si="108"/>
        <v/>
      </c>
      <c r="Y106" s="172" t="str">
        <f t="shared" si="108"/>
        <v/>
      </c>
      <c r="Z106" s="172" t="str">
        <f t="shared" si="108"/>
        <v/>
      </c>
      <c r="AA106" s="172" t="str">
        <f t="shared" si="108"/>
        <v/>
      </c>
      <c r="AB106" s="172" t="str">
        <f t="shared" si="108"/>
        <v/>
      </c>
      <c r="AC106" s="172" t="str">
        <f t="shared" si="108"/>
        <v/>
      </c>
      <c r="AD106" s="172" t="str">
        <f t="shared" si="108"/>
        <v/>
      </c>
      <c r="AE106" s="172" t="str">
        <f t="shared" si="108"/>
        <v/>
      </c>
      <c r="AF106" s="172" t="str">
        <f t="shared" si="108"/>
        <v/>
      </c>
      <c r="AG106" s="172" t="str">
        <f t="shared" si="108"/>
        <v/>
      </c>
      <c r="AH106" s="172" t="str">
        <f t="shared" si="108"/>
        <v/>
      </c>
      <c r="AI106" s="172" t="str">
        <f t="shared" si="108"/>
        <v/>
      </c>
      <c r="AJ106" s="172" t="str">
        <f t="shared" si="108"/>
        <v/>
      </c>
      <c r="AK106" s="172" t="str">
        <f t="shared" si="108"/>
        <v/>
      </c>
      <c r="AL106" s="172" t="str">
        <f t="shared" si="108"/>
        <v/>
      </c>
      <c r="AM106" s="172" t="str">
        <f t="shared" si="108"/>
        <v/>
      </c>
      <c r="AN106" s="172" t="str">
        <f t="shared" si="108"/>
        <v/>
      </c>
      <c r="AO106" s="172" t="str">
        <f t="shared" si="108"/>
        <v/>
      </c>
      <c r="AP106" s="172" t="str">
        <f t="shared" si="108"/>
        <v/>
      </c>
      <c r="AQ106" s="172" t="str">
        <f t="shared" si="108"/>
        <v/>
      </c>
      <c r="AR106" s="172" t="str">
        <f t="shared" si="108"/>
        <v/>
      </c>
      <c r="AS106" s="172" t="str">
        <f t="shared" si="108"/>
        <v/>
      </c>
      <c r="AT106" s="173">
        <f>IF(AT$6="","",IF(AT$3="Maior",iferror(VLOOKUP($R106,Capa!$A:$AJ,AT$5,0),0),IF(ISERROR(1/VLOOKUP($R106,Capa!$A:$AJ,AT$5,0)),0,1/VLOOKUP($R106,Capa!$A:$AJ,AT$5,0))))</f>
        <v>-0.625</v>
      </c>
      <c r="AU106" s="174">
        <f>IF(AU$6="","",IF(AU$3="Maior",iferror(VLOOKUP($R106,Capa!$A:$AJ,AU$5,0),0),IF(ISERROR(1/VLOOKUP($R106,Capa!$A:$AJ,AU$5,0)),0,1/VLOOKUP($R106,Capa!$A:$AJ,AU$5,0))))</f>
        <v>-11.18</v>
      </c>
      <c r="AV106" s="174" t="str">
        <f>IF(AV$6="","",IF(AV$3="Maior",iferror(VLOOKUP($R106,Capa!$A:$AJ,AV$5,0),0),IF(ISERROR(1/VLOOKUP($R106,Capa!$A:$AJ,AV$5,0)),0,1/VLOOKUP($R106,Capa!$A:$AJ,AV$5,0))))</f>
        <v/>
      </c>
      <c r="AW106" s="174" t="str">
        <f>IF(AW$6="","",IF(AW$3="Maior",iferror(VLOOKUP($R106,Capa!$A:$AJ,AW$5,0),0),IF(ISERROR(1/VLOOKUP($R106,Capa!$A:$AJ,AW$5,0)),0,1/VLOOKUP($R106,Capa!$A:$AJ,AW$5,0))))</f>
        <v/>
      </c>
      <c r="AX106" s="174" t="str">
        <f>IF(AX$6="","",IF(AX$3="Maior",iferror(VLOOKUP($R106,Capa!$A:$AJ,AX$5,0),0),IF(ISERROR(1/VLOOKUP($R106,Capa!$A:$AJ,AX$5,0)),0,1/VLOOKUP($R106,Capa!$A:$AJ,AX$5,0))))</f>
        <v/>
      </c>
      <c r="AY106" s="174" t="str">
        <f>IF(AY$6="","",IF(AY$3="Maior",iferror(VLOOKUP($R106,Capa!$A:$AJ,AY$5,0),0),IF(ISERROR(1/VLOOKUP($R106,Capa!$A:$AJ,AY$5,0)),0,1/VLOOKUP($R106,Capa!$A:$AJ,AY$5,0))))</f>
        <v/>
      </c>
      <c r="AZ106" s="174" t="str">
        <f>IF(AZ$6="","",IF(AZ$3="Maior",iferror(VLOOKUP($R106,Capa!$A:$AJ,AZ$5,0),0),IF(ISERROR(1/VLOOKUP($R106,Capa!$A:$AJ,AZ$5,0)),0,1/VLOOKUP($R106,Capa!$A:$AJ,AZ$5,0))))</f>
        <v/>
      </c>
      <c r="BA106" s="174" t="str">
        <f>IF(BA$6="","",IF(BA$3="Maior",iferror(VLOOKUP($R106,Capa!$A:$AJ,BA$5,0),0),IF(ISERROR(1/VLOOKUP($R106,Capa!$A:$AJ,BA$5,0)),0,1/VLOOKUP($R106,Capa!$A:$AJ,BA$5,0))))</f>
        <v/>
      </c>
      <c r="BB106" s="174" t="str">
        <f>IF(BB$6="","",IF(BB$3="Maior",iferror(VLOOKUP($R106,Capa!$A:$AJ,BB$5,0),0),IF(ISERROR(1/VLOOKUP($R106,Capa!$A:$AJ,BB$5,0)),0,1/VLOOKUP($R106,Capa!$A:$AJ,BB$5,0))))</f>
        <v/>
      </c>
      <c r="BC106" s="174" t="str">
        <f>IF(BC$6="","",IF(BC$3="Maior",iferror(VLOOKUP($R106,Capa!$A:$AJ,BC$5,0),0),IF(ISERROR(1/VLOOKUP($R106,Capa!$A:$AJ,BC$5,0)),0,1/VLOOKUP($R106,Capa!$A:$AJ,BC$5,0))))</f>
        <v/>
      </c>
      <c r="BD106" s="174" t="str">
        <f>IF(BD$6="","",IF(BD$3="Maior",iferror(VLOOKUP($R106,Capa!$A:$AJ,BD$5,0),0),IF(ISERROR(1/VLOOKUP($R106,Capa!$A:$AJ,BD$5,0)),0,1/VLOOKUP($R106,Capa!$A:$AJ,BD$5,0))))</f>
        <v/>
      </c>
      <c r="BE106" s="174" t="str">
        <f>IF(BE$6="","",IF(BE$3="Maior",iferror(VLOOKUP($R106,Capa!$A:$AJ,BE$5,0),0),IF(ISERROR(1/VLOOKUP($R106,Capa!$A:$AJ,BE$5,0)),0,1/VLOOKUP($R106,Capa!$A:$AJ,BE$5,0))))</f>
        <v/>
      </c>
      <c r="BF106" s="174" t="str">
        <f>IF(BF$6="","",IF(BF$3="Maior",iferror(VLOOKUP($R106,Capa!$A:$AJ,BF$5,0),0),IF(ISERROR(1/VLOOKUP($R106,Capa!$A:$AJ,BF$5,0)),0,1/VLOOKUP($R106,Capa!$A:$AJ,BF$5,0))))</f>
        <v/>
      </c>
      <c r="BG106" s="174" t="str">
        <f>IF(BG$6="","",IF(BG$3="Maior",iferror(VLOOKUP($R106,Capa!$A:$AJ,BG$5,0),0),IF(ISERROR(1/VLOOKUP($R106,Capa!$A:$AJ,BG$5,0)),0,1/VLOOKUP($R106,Capa!$A:$AJ,BG$5,0))))</f>
        <v/>
      </c>
      <c r="BH106" s="174" t="str">
        <f>IF(BH$6="","",IF(BH$3="Maior",iferror(VLOOKUP($R106,Capa!$A:$AJ,BH$5,0),0),IF(ISERROR(1/VLOOKUP($R106,Capa!$A:$AJ,BH$5,0)),0,1/VLOOKUP($R106,Capa!$A:$AJ,BH$5,0))))</f>
        <v/>
      </c>
      <c r="BI106" s="174" t="str">
        <f>IF(BI$6="","",IF(BI$3="Maior",iferror(VLOOKUP($R106,Capa!$A:$AJ,BI$5,0),0),IF(ISERROR(1/VLOOKUP($R106,Capa!$A:$AJ,BI$5,0)),0,1/VLOOKUP($R106,Capa!$A:$AJ,BI$5,0))))</f>
        <v/>
      </c>
      <c r="BJ106" s="174" t="str">
        <f>IF(BJ$6="","",IF(BJ$3="Maior",iferror(VLOOKUP($R106,Capa!$A:$AJ,BJ$5,0),0),IF(ISERROR(1/VLOOKUP($R106,Capa!$A:$AJ,BJ$5,0)),0,1/VLOOKUP($R106,Capa!$A:$AJ,BJ$5,0))))</f>
        <v/>
      </c>
      <c r="BK106" s="174" t="str">
        <f>IF(BK$6="","",IF(BK$3="Maior",iferror(VLOOKUP($R106,Capa!$A:$AJ,BK$5,0),0),IF(ISERROR(1/VLOOKUP($R106,Capa!$A:$AJ,BK$5,0)),0,1/VLOOKUP($R106,Capa!$A:$AJ,BK$5,0))))</f>
        <v/>
      </c>
      <c r="BL106" s="174" t="str">
        <f>IF(BL$6="","",IF(BL$3="Maior",iferror(VLOOKUP($R106,Capa!$A:$AJ,BL$5,0),0),IF(ISERROR(1/VLOOKUP($R106,Capa!$A:$AJ,BL$5,0)),0,1/VLOOKUP($R106,Capa!$A:$AJ,BL$5,0))))</f>
        <v/>
      </c>
      <c r="BM106" s="174" t="str">
        <f>IF(BM$6="","",IF(BM$3="Maior",iferror(VLOOKUP($R106,Capa!$A:$AJ,BM$5,0),0),IF(ISERROR(1/VLOOKUP($R106,Capa!$A:$AJ,BM$5,0)),0,1/VLOOKUP($R106,Capa!$A:$AJ,BM$5,0))))</f>
        <v/>
      </c>
      <c r="BN106" s="174" t="str">
        <f>IF(BN$6="","",IF(BN$3="Maior",iferror(VLOOKUP($R106,Capa!$A:$AJ,BN$5,0),0),IF(ISERROR(1/VLOOKUP($R106,Capa!$A:$AJ,BN$5,0)),0,1/VLOOKUP($R106,Capa!$A:$AJ,BN$5,0))))</f>
        <v/>
      </c>
      <c r="BO106" s="174" t="str">
        <f>IF(BO$6="","",IF(BO$3="Maior",iferror(VLOOKUP($R106,Capa!$A:$AJ,BO$5,0),0),IF(ISERROR(1/VLOOKUP($R106,Capa!$A:$AJ,BO$5,0)),0,1/VLOOKUP($R106,Capa!$A:$AJ,BO$5,0))))</f>
        <v/>
      </c>
      <c r="BP106" s="174" t="str">
        <f>IF(BP$6="","",IF(BP$3="Maior",iferror(VLOOKUP($R106,Capa!$A:$AJ,BP$5,0),0),IF(ISERROR(1/VLOOKUP($R106,Capa!$A:$AJ,BP$5,0)),0,1/VLOOKUP($R106,Capa!$A:$AJ,BP$5,0))))</f>
        <v/>
      </c>
      <c r="BQ106" s="174" t="str">
        <f>IF(BQ$6="","",IF(BQ$3="Maior",iferror(VLOOKUP($R106,Capa!$A:$AJ,BQ$5,0),0),IF(ISERROR(1/VLOOKUP($R106,Capa!$A:$AJ,BQ$5,0)),0,1/VLOOKUP($R106,Capa!$A:$AJ,BQ$5,0))))</f>
        <v/>
      </c>
      <c r="BR106" s="175"/>
      <c r="BS106" s="147"/>
    </row>
    <row r="107">
      <c r="G107" s="11"/>
      <c r="H107" s="8">
        <v>101.0</v>
      </c>
      <c r="I107" s="165" t="str">
        <f t="shared" si="6"/>
        <v>ITSA4</v>
      </c>
      <c r="J107" s="166" t="str">
        <f>(VLOOKUP($I107,Capa!$A:$B,2,0))</f>
        <v>Itausa SA Preference Shares</v>
      </c>
      <c r="K107" s="167" t="str">
        <f>VLOOKUP(left(I107,4),Setor!A:D,3,0)&amp;" | "&amp;VLOOKUP(left(I107,4),Setor!A:D,4,0)</f>
        <v>Financeiro | Intermediários Financeiros</v>
      </c>
      <c r="L107" s="168">
        <f>(VLOOKUP($I107,Capa!$A:$F,6,0))</f>
        <v>14.72</v>
      </c>
      <c r="M107" s="168">
        <f t="shared" si="7"/>
        <v>515000000</v>
      </c>
      <c r="N107" s="11" t="str">
        <f>IFERROR(__xludf.DUMMYFUNCTION("(VLOOKUP($I107,Capa!$A:$H,7,0))"),"")</f>
        <v/>
      </c>
      <c r="O107" s="169">
        <f>(VLOOKUP($I107,Capa!$A:$H,8,0))</f>
        <v>0.1572327044</v>
      </c>
      <c r="P107" s="11" t="str">
        <f>IFERROR(__xludf.DUMMYFUNCTION("(VLOOKUP($I107,Capa!$A:$J,10,0))"),"")</f>
        <v/>
      </c>
      <c r="Q107" s="169">
        <f>(VLOOKUP($I107,Capa!$A:$K,11,0))</f>
        <v>0.6520763187</v>
      </c>
      <c r="R107" s="45" t="str">
        <f>'Dados StatusInvest'!A102</f>
        <v>BRGE12</v>
      </c>
      <c r="S107" s="170">
        <f t="shared" si="8"/>
        <v>1855.0855</v>
      </c>
      <c r="T107" s="171">
        <f>VLOOKUP(R107,'Dados StatusInvest'!A:Z,26,0)</f>
        <v>0</v>
      </c>
      <c r="U107" s="172">
        <f t="shared" ref="U107:AS107" si="109">IF(AT107="","", RANK(AT107,AT$7:AT$626,0)+RANK(AT107,AT$7:AT$626,0)/10000)</f>
        <v>283.0283</v>
      </c>
      <c r="V107" s="172">
        <f t="shared" si="109"/>
        <v>572.0572</v>
      </c>
      <c r="W107" s="172" t="str">
        <f t="shared" si="109"/>
        <v/>
      </c>
      <c r="X107" s="172" t="str">
        <f t="shared" si="109"/>
        <v/>
      </c>
      <c r="Y107" s="172" t="str">
        <f t="shared" si="109"/>
        <v/>
      </c>
      <c r="Z107" s="172" t="str">
        <f t="shared" si="109"/>
        <v/>
      </c>
      <c r="AA107" s="172" t="str">
        <f t="shared" si="109"/>
        <v/>
      </c>
      <c r="AB107" s="172" t="str">
        <f t="shared" si="109"/>
        <v/>
      </c>
      <c r="AC107" s="172" t="str">
        <f t="shared" si="109"/>
        <v/>
      </c>
      <c r="AD107" s="172" t="str">
        <f t="shared" si="109"/>
        <v/>
      </c>
      <c r="AE107" s="172" t="str">
        <f t="shared" si="109"/>
        <v/>
      </c>
      <c r="AF107" s="172" t="str">
        <f t="shared" si="109"/>
        <v/>
      </c>
      <c r="AG107" s="172" t="str">
        <f t="shared" si="109"/>
        <v/>
      </c>
      <c r="AH107" s="172" t="str">
        <f t="shared" si="109"/>
        <v/>
      </c>
      <c r="AI107" s="172" t="str">
        <f t="shared" si="109"/>
        <v/>
      </c>
      <c r="AJ107" s="172" t="str">
        <f t="shared" si="109"/>
        <v/>
      </c>
      <c r="AK107" s="172" t="str">
        <f t="shared" si="109"/>
        <v/>
      </c>
      <c r="AL107" s="172" t="str">
        <f t="shared" si="109"/>
        <v/>
      </c>
      <c r="AM107" s="172" t="str">
        <f t="shared" si="109"/>
        <v/>
      </c>
      <c r="AN107" s="172" t="str">
        <f t="shared" si="109"/>
        <v/>
      </c>
      <c r="AO107" s="172" t="str">
        <f t="shared" si="109"/>
        <v/>
      </c>
      <c r="AP107" s="172" t="str">
        <f t="shared" si="109"/>
        <v/>
      </c>
      <c r="AQ107" s="172" t="str">
        <f t="shared" si="109"/>
        <v/>
      </c>
      <c r="AR107" s="172" t="str">
        <f t="shared" si="109"/>
        <v/>
      </c>
      <c r="AS107" s="172" t="str">
        <f t="shared" si="109"/>
        <v/>
      </c>
      <c r="AT107" s="173">
        <f>IF(AT$6="","",IF(AT$3="Maior",iferror(VLOOKUP($R107,Capa!$A:$AJ,AT$5,0),0),IF(ISERROR(1/VLOOKUP($R107,Capa!$A:$AJ,AT$5,0)),0,1/VLOOKUP($R107,Capa!$A:$AJ,AT$5,0))))</f>
        <v>-0.6097560976</v>
      </c>
      <c r="AU107" s="174">
        <f>IF(AU$6="","",IF(AU$3="Maior",iferror(VLOOKUP($R107,Capa!$A:$AJ,AU$5,0),0),IF(ISERROR(1/VLOOKUP($R107,Capa!$A:$AJ,AU$5,0)),0,1/VLOOKUP($R107,Capa!$A:$AJ,AU$5,0))))</f>
        <v>-11.18</v>
      </c>
      <c r="AV107" s="174" t="str">
        <f>IF(AV$6="","",IF(AV$3="Maior",iferror(VLOOKUP($R107,Capa!$A:$AJ,AV$5,0),0),IF(ISERROR(1/VLOOKUP($R107,Capa!$A:$AJ,AV$5,0)),0,1/VLOOKUP($R107,Capa!$A:$AJ,AV$5,0))))</f>
        <v/>
      </c>
      <c r="AW107" s="174" t="str">
        <f>IF(AW$6="","",IF(AW$3="Maior",iferror(VLOOKUP($R107,Capa!$A:$AJ,AW$5,0),0),IF(ISERROR(1/VLOOKUP($R107,Capa!$A:$AJ,AW$5,0)),0,1/VLOOKUP($R107,Capa!$A:$AJ,AW$5,0))))</f>
        <v/>
      </c>
      <c r="AX107" s="174" t="str">
        <f>IF(AX$6="","",IF(AX$3="Maior",iferror(VLOOKUP($R107,Capa!$A:$AJ,AX$5,0),0),IF(ISERROR(1/VLOOKUP($R107,Capa!$A:$AJ,AX$5,0)),0,1/VLOOKUP($R107,Capa!$A:$AJ,AX$5,0))))</f>
        <v/>
      </c>
      <c r="AY107" s="174" t="str">
        <f>IF(AY$6="","",IF(AY$3="Maior",iferror(VLOOKUP($R107,Capa!$A:$AJ,AY$5,0),0),IF(ISERROR(1/VLOOKUP($R107,Capa!$A:$AJ,AY$5,0)),0,1/VLOOKUP($R107,Capa!$A:$AJ,AY$5,0))))</f>
        <v/>
      </c>
      <c r="AZ107" s="174" t="str">
        <f>IF(AZ$6="","",IF(AZ$3="Maior",iferror(VLOOKUP($R107,Capa!$A:$AJ,AZ$5,0),0),IF(ISERROR(1/VLOOKUP($R107,Capa!$A:$AJ,AZ$5,0)),0,1/VLOOKUP($R107,Capa!$A:$AJ,AZ$5,0))))</f>
        <v/>
      </c>
      <c r="BA107" s="174" t="str">
        <f>IF(BA$6="","",IF(BA$3="Maior",iferror(VLOOKUP($R107,Capa!$A:$AJ,BA$5,0),0),IF(ISERROR(1/VLOOKUP($R107,Capa!$A:$AJ,BA$5,0)),0,1/VLOOKUP($R107,Capa!$A:$AJ,BA$5,0))))</f>
        <v/>
      </c>
      <c r="BB107" s="174" t="str">
        <f>IF(BB$6="","",IF(BB$3="Maior",iferror(VLOOKUP($R107,Capa!$A:$AJ,BB$5,0),0),IF(ISERROR(1/VLOOKUP($R107,Capa!$A:$AJ,BB$5,0)),0,1/VLOOKUP($R107,Capa!$A:$AJ,BB$5,0))))</f>
        <v/>
      </c>
      <c r="BC107" s="174" t="str">
        <f>IF(BC$6="","",IF(BC$3="Maior",iferror(VLOOKUP($R107,Capa!$A:$AJ,BC$5,0),0),IF(ISERROR(1/VLOOKUP($R107,Capa!$A:$AJ,BC$5,0)),0,1/VLOOKUP($R107,Capa!$A:$AJ,BC$5,0))))</f>
        <v/>
      </c>
      <c r="BD107" s="174" t="str">
        <f>IF(BD$6="","",IF(BD$3="Maior",iferror(VLOOKUP($R107,Capa!$A:$AJ,BD$5,0),0),IF(ISERROR(1/VLOOKUP($R107,Capa!$A:$AJ,BD$5,0)),0,1/VLOOKUP($R107,Capa!$A:$AJ,BD$5,0))))</f>
        <v/>
      </c>
      <c r="BE107" s="174" t="str">
        <f>IF(BE$6="","",IF(BE$3="Maior",iferror(VLOOKUP($R107,Capa!$A:$AJ,BE$5,0),0),IF(ISERROR(1/VLOOKUP($R107,Capa!$A:$AJ,BE$5,0)),0,1/VLOOKUP($R107,Capa!$A:$AJ,BE$5,0))))</f>
        <v/>
      </c>
      <c r="BF107" s="174" t="str">
        <f>IF(BF$6="","",IF(BF$3="Maior",iferror(VLOOKUP($R107,Capa!$A:$AJ,BF$5,0),0),IF(ISERROR(1/VLOOKUP($R107,Capa!$A:$AJ,BF$5,0)),0,1/VLOOKUP($R107,Capa!$A:$AJ,BF$5,0))))</f>
        <v/>
      </c>
      <c r="BG107" s="174" t="str">
        <f>IF(BG$6="","",IF(BG$3="Maior",iferror(VLOOKUP($R107,Capa!$A:$AJ,BG$5,0),0),IF(ISERROR(1/VLOOKUP($R107,Capa!$A:$AJ,BG$5,0)),0,1/VLOOKUP($R107,Capa!$A:$AJ,BG$5,0))))</f>
        <v/>
      </c>
      <c r="BH107" s="174" t="str">
        <f>IF(BH$6="","",IF(BH$3="Maior",iferror(VLOOKUP($R107,Capa!$A:$AJ,BH$5,0),0),IF(ISERROR(1/VLOOKUP($R107,Capa!$A:$AJ,BH$5,0)),0,1/VLOOKUP($R107,Capa!$A:$AJ,BH$5,0))))</f>
        <v/>
      </c>
      <c r="BI107" s="174" t="str">
        <f>IF(BI$6="","",IF(BI$3="Maior",iferror(VLOOKUP($R107,Capa!$A:$AJ,BI$5,0),0),IF(ISERROR(1/VLOOKUP($R107,Capa!$A:$AJ,BI$5,0)),0,1/VLOOKUP($R107,Capa!$A:$AJ,BI$5,0))))</f>
        <v/>
      </c>
      <c r="BJ107" s="174" t="str">
        <f>IF(BJ$6="","",IF(BJ$3="Maior",iferror(VLOOKUP($R107,Capa!$A:$AJ,BJ$5,0),0),IF(ISERROR(1/VLOOKUP($R107,Capa!$A:$AJ,BJ$5,0)),0,1/VLOOKUP($R107,Capa!$A:$AJ,BJ$5,0))))</f>
        <v/>
      </c>
      <c r="BK107" s="174" t="str">
        <f>IF(BK$6="","",IF(BK$3="Maior",iferror(VLOOKUP($R107,Capa!$A:$AJ,BK$5,0),0),IF(ISERROR(1/VLOOKUP($R107,Capa!$A:$AJ,BK$5,0)),0,1/VLOOKUP($R107,Capa!$A:$AJ,BK$5,0))))</f>
        <v/>
      </c>
      <c r="BL107" s="174" t="str">
        <f>IF(BL$6="","",IF(BL$3="Maior",iferror(VLOOKUP($R107,Capa!$A:$AJ,BL$5,0),0),IF(ISERROR(1/VLOOKUP($R107,Capa!$A:$AJ,BL$5,0)),0,1/VLOOKUP($R107,Capa!$A:$AJ,BL$5,0))))</f>
        <v/>
      </c>
      <c r="BM107" s="174" t="str">
        <f>IF(BM$6="","",IF(BM$3="Maior",iferror(VLOOKUP($R107,Capa!$A:$AJ,BM$5,0),0),IF(ISERROR(1/VLOOKUP($R107,Capa!$A:$AJ,BM$5,0)),0,1/VLOOKUP($R107,Capa!$A:$AJ,BM$5,0))))</f>
        <v/>
      </c>
      <c r="BN107" s="174" t="str">
        <f>IF(BN$6="","",IF(BN$3="Maior",iferror(VLOOKUP($R107,Capa!$A:$AJ,BN$5,0),0),IF(ISERROR(1/VLOOKUP($R107,Capa!$A:$AJ,BN$5,0)),0,1/VLOOKUP($R107,Capa!$A:$AJ,BN$5,0))))</f>
        <v/>
      </c>
      <c r="BO107" s="174" t="str">
        <f>IF(BO$6="","",IF(BO$3="Maior",iferror(VLOOKUP($R107,Capa!$A:$AJ,BO$5,0),0),IF(ISERROR(1/VLOOKUP($R107,Capa!$A:$AJ,BO$5,0)),0,1/VLOOKUP($R107,Capa!$A:$AJ,BO$5,0))))</f>
        <v/>
      </c>
      <c r="BP107" s="174" t="str">
        <f>IF(BP$6="","",IF(BP$3="Maior",iferror(VLOOKUP($R107,Capa!$A:$AJ,BP$5,0),0),IF(ISERROR(1/VLOOKUP($R107,Capa!$A:$AJ,BP$5,0)),0,1/VLOOKUP($R107,Capa!$A:$AJ,BP$5,0))))</f>
        <v/>
      </c>
      <c r="BQ107" s="174" t="str">
        <f>IF(BQ$6="","",IF(BQ$3="Maior",iferror(VLOOKUP($R107,Capa!$A:$AJ,BQ$5,0),0),IF(ISERROR(1/VLOOKUP($R107,Capa!$A:$AJ,BQ$5,0)),0,1/VLOOKUP($R107,Capa!$A:$AJ,BQ$5,0))))</f>
        <v/>
      </c>
      <c r="BR107" s="175"/>
      <c r="BS107" s="147"/>
    </row>
    <row r="108">
      <c r="G108" s="11"/>
      <c r="H108" s="8">
        <v>102.0</v>
      </c>
      <c r="I108" s="165" t="str">
        <f t="shared" si="6"/>
        <v>JHSF3</v>
      </c>
      <c r="J108" s="166" t="str">
        <f>(VLOOKUP($I108,Capa!$A:$B,2,0))</f>
        <v>JHSF Participacoes SA</v>
      </c>
      <c r="K108" s="167" t="str">
        <f>VLOOKUP(left(I108,4),Setor!A:D,3,0)&amp;" | "&amp;VLOOKUP(left(I108,4),Setor!A:D,4,0)</f>
        <v>Consumo Cíclico | Construção Civil</v>
      </c>
      <c r="L108" s="168">
        <f>(VLOOKUP($I108,Capa!$A:$F,6,0))</f>
        <v>9.83</v>
      </c>
      <c r="M108" s="168">
        <f t="shared" si="7"/>
        <v>42543084</v>
      </c>
      <c r="N108" s="11" t="str">
        <f>IFERROR(__xludf.DUMMYFUNCTION("(VLOOKUP($I108,Capa!$A:$H,7,0))"),"")</f>
        <v/>
      </c>
      <c r="O108" s="169">
        <f>(VLOOKUP($I108,Capa!$A:$H,8,0))</f>
        <v>0.0861878453</v>
      </c>
      <c r="P108" s="11" t="str">
        <f>IFERROR(__xludf.DUMMYFUNCTION("(VLOOKUP($I108,Capa!$A:$J,10,0))"),"")</f>
        <v/>
      </c>
      <c r="Q108" s="169">
        <f>(VLOOKUP($I108,Capa!$A:$K,11,0))</f>
        <v>1.533505155</v>
      </c>
      <c r="R108" s="45" t="str">
        <f>'Dados StatusInvest'!A103</f>
        <v>BRGE3</v>
      </c>
      <c r="S108" s="170">
        <f t="shared" si="8"/>
        <v>1855.0855</v>
      </c>
      <c r="T108" s="171">
        <f>VLOOKUP(R108,'Dados StatusInvest'!A:Z,26,0)</f>
        <v>0</v>
      </c>
      <c r="U108" s="172">
        <f t="shared" ref="U108:AS108" si="110">IF(AT108="","", RANK(AT108,AT$7:AT$626,0)+RANK(AT108,AT$7:AT$626,0)/10000)</f>
        <v>283.0283</v>
      </c>
      <c r="V108" s="172">
        <f t="shared" si="110"/>
        <v>572.0572</v>
      </c>
      <c r="W108" s="172" t="str">
        <f t="shared" si="110"/>
        <v/>
      </c>
      <c r="X108" s="172" t="str">
        <f t="shared" si="110"/>
        <v/>
      </c>
      <c r="Y108" s="172" t="str">
        <f t="shared" si="110"/>
        <v/>
      </c>
      <c r="Z108" s="172" t="str">
        <f t="shared" si="110"/>
        <v/>
      </c>
      <c r="AA108" s="172" t="str">
        <f t="shared" si="110"/>
        <v/>
      </c>
      <c r="AB108" s="172" t="str">
        <f t="shared" si="110"/>
        <v/>
      </c>
      <c r="AC108" s="172" t="str">
        <f t="shared" si="110"/>
        <v/>
      </c>
      <c r="AD108" s="172" t="str">
        <f t="shared" si="110"/>
        <v/>
      </c>
      <c r="AE108" s="172" t="str">
        <f t="shared" si="110"/>
        <v/>
      </c>
      <c r="AF108" s="172" t="str">
        <f t="shared" si="110"/>
        <v/>
      </c>
      <c r="AG108" s="172" t="str">
        <f t="shared" si="110"/>
        <v/>
      </c>
      <c r="AH108" s="172" t="str">
        <f t="shared" si="110"/>
        <v/>
      </c>
      <c r="AI108" s="172" t="str">
        <f t="shared" si="110"/>
        <v/>
      </c>
      <c r="AJ108" s="172" t="str">
        <f t="shared" si="110"/>
        <v/>
      </c>
      <c r="AK108" s="172" t="str">
        <f t="shared" si="110"/>
        <v/>
      </c>
      <c r="AL108" s="172" t="str">
        <f t="shared" si="110"/>
        <v/>
      </c>
      <c r="AM108" s="172" t="str">
        <f t="shared" si="110"/>
        <v/>
      </c>
      <c r="AN108" s="172" t="str">
        <f t="shared" si="110"/>
        <v/>
      </c>
      <c r="AO108" s="172" t="str">
        <f t="shared" si="110"/>
        <v/>
      </c>
      <c r="AP108" s="172" t="str">
        <f t="shared" si="110"/>
        <v/>
      </c>
      <c r="AQ108" s="172" t="str">
        <f t="shared" si="110"/>
        <v/>
      </c>
      <c r="AR108" s="172" t="str">
        <f t="shared" si="110"/>
        <v/>
      </c>
      <c r="AS108" s="172" t="str">
        <f t="shared" si="110"/>
        <v/>
      </c>
      <c r="AT108" s="173">
        <f>IF(AT$6="","",IF(AT$3="Maior",iferror(VLOOKUP($R108,Capa!$A:$AJ,AT$5,0),0),IF(ISERROR(1/VLOOKUP($R108,Capa!$A:$AJ,AT$5,0)),0,1/VLOOKUP($R108,Capa!$A:$AJ,AT$5,0))))</f>
        <v>-0.6097560976</v>
      </c>
      <c r="AU108" s="174">
        <f>IF(AU$6="","",IF(AU$3="Maior",iferror(VLOOKUP($R108,Capa!$A:$AJ,AU$5,0),0),IF(ISERROR(1/VLOOKUP($R108,Capa!$A:$AJ,AU$5,0)),0,1/VLOOKUP($R108,Capa!$A:$AJ,AU$5,0))))</f>
        <v>-11.18</v>
      </c>
      <c r="AV108" s="174" t="str">
        <f>IF(AV$6="","",IF(AV$3="Maior",iferror(VLOOKUP($R108,Capa!$A:$AJ,AV$5,0),0),IF(ISERROR(1/VLOOKUP($R108,Capa!$A:$AJ,AV$5,0)),0,1/VLOOKUP($R108,Capa!$A:$AJ,AV$5,0))))</f>
        <v/>
      </c>
      <c r="AW108" s="174" t="str">
        <f>IF(AW$6="","",IF(AW$3="Maior",iferror(VLOOKUP($R108,Capa!$A:$AJ,AW$5,0),0),IF(ISERROR(1/VLOOKUP($R108,Capa!$A:$AJ,AW$5,0)),0,1/VLOOKUP($R108,Capa!$A:$AJ,AW$5,0))))</f>
        <v/>
      </c>
      <c r="AX108" s="174" t="str">
        <f>IF(AX$6="","",IF(AX$3="Maior",iferror(VLOOKUP($R108,Capa!$A:$AJ,AX$5,0),0),IF(ISERROR(1/VLOOKUP($R108,Capa!$A:$AJ,AX$5,0)),0,1/VLOOKUP($R108,Capa!$A:$AJ,AX$5,0))))</f>
        <v/>
      </c>
      <c r="AY108" s="174" t="str">
        <f>IF(AY$6="","",IF(AY$3="Maior",iferror(VLOOKUP($R108,Capa!$A:$AJ,AY$5,0),0),IF(ISERROR(1/VLOOKUP($R108,Capa!$A:$AJ,AY$5,0)),0,1/VLOOKUP($R108,Capa!$A:$AJ,AY$5,0))))</f>
        <v/>
      </c>
      <c r="AZ108" s="174" t="str">
        <f>IF(AZ$6="","",IF(AZ$3="Maior",iferror(VLOOKUP($R108,Capa!$A:$AJ,AZ$5,0),0),IF(ISERROR(1/VLOOKUP($R108,Capa!$A:$AJ,AZ$5,0)),0,1/VLOOKUP($R108,Capa!$A:$AJ,AZ$5,0))))</f>
        <v/>
      </c>
      <c r="BA108" s="174" t="str">
        <f>IF(BA$6="","",IF(BA$3="Maior",iferror(VLOOKUP($R108,Capa!$A:$AJ,BA$5,0),0),IF(ISERROR(1/VLOOKUP($R108,Capa!$A:$AJ,BA$5,0)),0,1/VLOOKUP($R108,Capa!$A:$AJ,BA$5,0))))</f>
        <v/>
      </c>
      <c r="BB108" s="174" t="str">
        <f>IF(BB$6="","",IF(BB$3="Maior",iferror(VLOOKUP($R108,Capa!$A:$AJ,BB$5,0),0),IF(ISERROR(1/VLOOKUP($R108,Capa!$A:$AJ,BB$5,0)),0,1/VLOOKUP($R108,Capa!$A:$AJ,BB$5,0))))</f>
        <v/>
      </c>
      <c r="BC108" s="174" t="str">
        <f>IF(BC$6="","",IF(BC$3="Maior",iferror(VLOOKUP($R108,Capa!$A:$AJ,BC$5,0),0),IF(ISERROR(1/VLOOKUP($R108,Capa!$A:$AJ,BC$5,0)),0,1/VLOOKUP($R108,Capa!$A:$AJ,BC$5,0))))</f>
        <v/>
      </c>
      <c r="BD108" s="174" t="str">
        <f>IF(BD$6="","",IF(BD$3="Maior",iferror(VLOOKUP($R108,Capa!$A:$AJ,BD$5,0),0),IF(ISERROR(1/VLOOKUP($R108,Capa!$A:$AJ,BD$5,0)),0,1/VLOOKUP($R108,Capa!$A:$AJ,BD$5,0))))</f>
        <v/>
      </c>
      <c r="BE108" s="174" t="str">
        <f>IF(BE$6="","",IF(BE$3="Maior",iferror(VLOOKUP($R108,Capa!$A:$AJ,BE$5,0),0),IF(ISERROR(1/VLOOKUP($R108,Capa!$A:$AJ,BE$5,0)),0,1/VLOOKUP($R108,Capa!$A:$AJ,BE$5,0))))</f>
        <v/>
      </c>
      <c r="BF108" s="174" t="str">
        <f>IF(BF$6="","",IF(BF$3="Maior",iferror(VLOOKUP($R108,Capa!$A:$AJ,BF$5,0),0),IF(ISERROR(1/VLOOKUP($R108,Capa!$A:$AJ,BF$5,0)),0,1/VLOOKUP($R108,Capa!$A:$AJ,BF$5,0))))</f>
        <v/>
      </c>
      <c r="BG108" s="174" t="str">
        <f>IF(BG$6="","",IF(BG$3="Maior",iferror(VLOOKUP($R108,Capa!$A:$AJ,BG$5,0),0),IF(ISERROR(1/VLOOKUP($R108,Capa!$A:$AJ,BG$5,0)),0,1/VLOOKUP($R108,Capa!$A:$AJ,BG$5,0))))</f>
        <v/>
      </c>
      <c r="BH108" s="174" t="str">
        <f>IF(BH$6="","",IF(BH$3="Maior",iferror(VLOOKUP($R108,Capa!$A:$AJ,BH$5,0),0),IF(ISERROR(1/VLOOKUP($R108,Capa!$A:$AJ,BH$5,0)),0,1/VLOOKUP($R108,Capa!$A:$AJ,BH$5,0))))</f>
        <v/>
      </c>
      <c r="BI108" s="174" t="str">
        <f>IF(BI$6="","",IF(BI$3="Maior",iferror(VLOOKUP($R108,Capa!$A:$AJ,BI$5,0),0),IF(ISERROR(1/VLOOKUP($R108,Capa!$A:$AJ,BI$5,0)),0,1/VLOOKUP($R108,Capa!$A:$AJ,BI$5,0))))</f>
        <v/>
      </c>
      <c r="BJ108" s="174" t="str">
        <f>IF(BJ$6="","",IF(BJ$3="Maior",iferror(VLOOKUP($R108,Capa!$A:$AJ,BJ$5,0),0),IF(ISERROR(1/VLOOKUP($R108,Capa!$A:$AJ,BJ$5,0)),0,1/VLOOKUP($R108,Capa!$A:$AJ,BJ$5,0))))</f>
        <v/>
      </c>
      <c r="BK108" s="174" t="str">
        <f>IF(BK$6="","",IF(BK$3="Maior",iferror(VLOOKUP($R108,Capa!$A:$AJ,BK$5,0),0),IF(ISERROR(1/VLOOKUP($R108,Capa!$A:$AJ,BK$5,0)),0,1/VLOOKUP($R108,Capa!$A:$AJ,BK$5,0))))</f>
        <v/>
      </c>
      <c r="BL108" s="174" t="str">
        <f>IF(BL$6="","",IF(BL$3="Maior",iferror(VLOOKUP($R108,Capa!$A:$AJ,BL$5,0),0),IF(ISERROR(1/VLOOKUP($R108,Capa!$A:$AJ,BL$5,0)),0,1/VLOOKUP($R108,Capa!$A:$AJ,BL$5,0))))</f>
        <v/>
      </c>
      <c r="BM108" s="174" t="str">
        <f>IF(BM$6="","",IF(BM$3="Maior",iferror(VLOOKUP($R108,Capa!$A:$AJ,BM$5,0),0),IF(ISERROR(1/VLOOKUP($R108,Capa!$A:$AJ,BM$5,0)),0,1/VLOOKUP($R108,Capa!$A:$AJ,BM$5,0))))</f>
        <v/>
      </c>
      <c r="BN108" s="174" t="str">
        <f>IF(BN$6="","",IF(BN$3="Maior",iferror(VLOOKUP($R108,Capa!$A:$AJ,BN$5,0),0),IF(ISERROR(1/VLOOKUP($R108,Capa!$A:$AJ,BN$5,0)),0,1/VLOOKUP($R108,Capa!$A:$AJ,BN$5,0))))</f>
        <v/>
      </c>
      <c r="BO108" s="174" t="str">
        <f>IF(BO$6="","",IF(BO$3="Maior",iferror(VLOOKUP($R108,Capa!$A:$AJ,BO$5,0),0),IF(ISERROR(1/VLOOKUP($R108,Capa!$A:$AJ,BO$5,0)),0,1/VLOOKUP($R108,Capa!$A:$AJ,BO$5,0))))</f>
        <v/>
      </c>
      <c r="BP108" s="174" t="str">
        <f>IF(BP$6="","",IF(BP$3="Maior",iferror(VLOOKUP($R108,Capa!$A:$AJ,BP$5,0),0),IF(ISERROR(1/VLOOKUP($R108,Capa!$A:$AJ,BP$5,0)),0,1/VLOOKUP($R108,Capa!$A:$AJ,BP$5,0))))</f>
        <v/>
      </c>
      <c r="BQ108" s="174" t="str">
        <f>IF(BQ$6="","",IF(BQ$3="Maior",iferror(VLOOKUP($R108,Capa!$A:$AJ,BQ$5,0),0),IF(ISERROR(1/VLOOKUP($R108,Capa!$A:$AJ,BQ$5,0)),0,1/VLOOKUP($R108,Capa!$A:$AJ,BQ$5,0))))</f>
        <v/>
      </c>
      <c r="BR108" s="175"/>
      <c r="BS108" s="147"/>
    </row>
    <row r="109">
      <c r="G109" s="11"/>
      <c r="H109" s="8">
        <v>103.0</v>
      </c>
      <c r="I109" s="165" t="str">
        <f t="shared" si="6"/>
        <v>NTCO3</v>
      </c>
      <c r="J109" s="166" t="str">
        <f>(VLOOKUP($I109,Capa!$A:$B,2,0))</f>
        <v/>
      </c>
      <c r="K109" s="167" t="str">
        <f>VLOOKUP(left(I109,4),Setor!A:D,3,0)&amp;" | "&amp;VLOOKUP(left(I109,4),Setor!A:D,4,0)</f>
        <v>Consumo não Cíclico | Produtos de Uso Pessoal e de Limpeza</v>
      </c>
      <c r="L109" s="168" t="str">
        <f>(VLOOKUP($I109,Capa!$A:$F,6,0))</f>
        <v/>
      </c>
      <c r="M109" s="168">
        <f t="shared" si="7"/>
        <v>76344659</v>
      </c>
      <c r="N109" s="11" t="str">
        <f>(VLOOKUP($I109,Capa!$A:$H,7,0))</f>
        <v/>
      </c>
      <c r="O109" s="169" t="str">
        <f>(VLOOKUP($I109,Capa!$A:$H,8,0))</f>
        <v/>
      </c>
      <c r="P109" s="11" t="str">
        <f>(VLOOKUP($I109,Capa!$A:$J,10,0))</f>
        <v/>
      </c>
      <c r="Q109" s="169" t="str">
        <f>(VLOOKUP($I109,Capa!$A:$K,11,0))</f>
        <v/>
      </c>
      <c r="R109" s="45" t="str">
        <f>'Dados StatusInvest'!A104</f>
        <v>BRGE5</v>
      </c>
      <c r="S109" s="170">
        <f t="shared" si="8"/>
        <v>1863.0863</v>
      </c>
      <c r="T109" s="171">
        <f>VLOOKUP(R109,'Dados StatusInvest'!A:Z,26,0)</f>
        <v>0</v>
      </c>
      <c r="U109" s="172">
        <f t="shared" ref="U109:AS109" si="111">IF(AT109="","", RANK(AT109,AT$7:AT$626,0)+RANK(AT109,AT$7:AT$626,0)/10000)</f>
        <v>291.0291</v>
      </c>
      <c r="V109" s="172">
        <f t="shared" si="111"/>
        <v>572.0572</v>
      </c>
      <c r="W109" s="172" t="str">
        <f t="shared" si="111"/>
        <v/>
      </c>
      <c r="X109" s="172" t="str">
        <f t="shared" si="111"/>
        <v/>
      </c>
      <c r="Y109" s="172" t="str">
        <f t="shared" si="111"/>
        <v/>
      </c>
      <c r="Z109" s="172" t="str">
        <f t="shared" si="111"/>
        <v/>
      </c>
      <c r="AA109" s="172" t="str">
        <f t="shared" si="111"/>
        <v/>
      </c>
      <c r="AB109" s="172" t="str">
        <f t="shared" si="111"/>
        <v/>
      </c>
      <c r="AC109" s="172" t="str">
        <f t="shared" si="111"/>
        <v/>
      </c>
      <c r="AD109" s="172" t="str">
        <f t="shared" si="111"/>
        <v/>
      </c>
      <c r="AE109" s="172" t="str">
        <f t="shared" si="111"/>
        <v/>
      </c>
      <c r="AF109" s="172" t="str">
        <f t="shared" si="111"/>
        <v/>
      </c>
      <c r="AG109" s="172" t="str">
        <f t="shared" si="111"/>
        <v/>
      </c>
      <c r="AH109" s="172" t="str">
        <f t="shared" si="111"/>
        <v/>
      </c>
      <c r="AI109" s="172" t="str">
        <f t="shared" si="111"/>
        <v/>
      </c>
      <c r="AJ109" s="172" t="str">
        <f t="shared" si="111"/>
        <v/>
      </c>
      <c r="AK109" s="172" t="str">
        <f t="shared" si="111"/>
        <v/>
      </c>
      <c r="AL109" s="172" t="str">
        <f t="shared" si="111"/>
        <v/>
      </c>
      <c r="AM109" s="172" t="str">
        <f t="shared" si="111"/>
        <v/>
      </c>
      <c r="AN109" s="172" t="str">
        <f t="shared" si="111"/>
        <v/>
      </c>
      <c r="AO109" s="172" t="str">
        <f t="shared" si="111"/>
        <v/>
      </c>
      <c r="AP109" s="172" t="str">
        <f t="shared" si="111"/>
        <v/>
      </c>
      <c r="AQ109" s="172" t="str">
        <f t="shared" si="111"/>
        <v/>
      </c>
      <c r="AR109" s="172" t="str">
        <f t="shared" si="111"/>
        <v/>
      </c>
      <c r="AS109" s="172" t="str">
        <f t="shared" si="111"/>
        <v/>
      </c>
      <c r="AT109" s="173">
        <f>IF(AT$6="","",IF(AT$3="Maior",iferror(VLOOKUP($R109,Capa!$A:$AJ,AT$5,0),0),IF(ISERROR(1/VLOOKUP($R109,Capa!$A:$AJ,AT$5,0)),0,1/VLOOKUP($R109,Capa!$A:$AJ,AT$5,0))))</f>
        <v>-0.625</v>
      </c>
      <c r="AU109" s="174">
        <f>IF(AU$6="","",IF(AU$3="Maior",iferror(VLOOKUP($R109,Capa!$A:$AJ,AU$5,0),0),IF(ISERROR(1/VLOOKUP($R109,Capa!$A:$AJ,AU$5,0)),0,1/VLOOKUP($R109,Capa!$A:$AJ,AU$5,0))))</f>
        <v>-11.18</v>
      </c>
      <c r="AV109" s="174" t="str">
        <f>IF(AV$6="","",IF(AV$3="Maior",iferror(VLOOKUP($R109,Capa!$A:$AJ,AV$5,0),0),IF(ISERROR(1/VLOOKUP($R109,Capa!$A:$AJ,AV$5,0)),0,1/VLOOKUP($R109,Capa!$A:$AJ,AV$5,0))))</f>
        <v/>
      </c>
      <c r="AW109" s="174" t="str">
        <f>IF(AW$6="","",IF(AW$3="Maior",iferror(VLOOKUP($R109,Capa!$A:$AJ,AW$5,0),0),IF(ISERROR(1/VLOOKUP($R109,Capa!$A:$AJ,AW$5,0)),0,1/VLOOKUP($R109,Capa!$A:$AJ,AW$5,0))))</f>
        <v/>
      </c>
      <c r="AX109" s="174" t="str">
        <f>IF(AX$6="","",IF(AX$3="Maior",iferror(VLOOKUP($R109,Capa!$A:$AJ,AX$5,0),0),IF(ISERROR(1/VLOOKUP($R109,Capa!$A:$AJ,AX$5,0)),0,1/VLOOKUP($R109,Capa!$A:$AJ,AX$5,0))))</f>
        <v/>
      </c>
      <c r="AY109" s="174" t="str">
        <f>IF(AY$6="","",IF(AY$3="Maior",iferror(VLOOKUP($R109,Capa!$A:$AJ,AY$5,0),0),IF(ISERROR(1/VLOOKUP($R109,Capa!$A:$AJ,AY$5,0)),0,1/VLOOKUP($R109,Capa!$A:$AJ,AY$5,0))))</f>
        <v/>
      </c>
      <c r="AZ109" s="174" t="str">
        <f>IF(AZ$6="","",IF(AZ$3="Maior",iferror(VLOOKUP($R109,Capa!$A:$AJ,AZ$5,0),0),IF(ISERROR(1/VLOOKUP($R109,Capa!$A:$AJ,AZ$5,0)),0,1/VLOOKUP($R109,Capa!$A:$AJ,AZ$5,0))))</f>
        <v/>
      </c>
      <c r="BA109" s="174" t="str">
        <f>IF(BA$6="","",IF(BA$3="Maior",iferror(VLOOKUP($R109,Capa!$A:$AJ,BA$5,0),0),IF(ISERROR(1/VLOOKUP($R109,Capa!$A:$AJ,BA$5,0)),0,1/VLOOKUP($R109,Capa!$A:$AJ,BA$5,0))))</f>
        <v/>
      </c>
      <c r="BB109" s="174" t="str">
        <f>IF(BB$6="","",IF(BB$3="Maior",iferror(VLOOKUP($R109,Capa!$A:$AJ,BB$5,0),0),IF(ISERROR(1/VLOOKUP($R109,Capa!$A:$AJ,BB$5,0)),0,1/VLOOKUP($R109,Capa!$A:$AJ,BB$5,0))))</f>
        <v/>
      </c>
      <c r="BC109" s="174" t="str">
        <f>IF(BC$6="","",IF(BC$3="Maior",iferror(VLOOKUP($R109,Capa!$A:$AJ,BC$5,0),0),IF(ISERROR(1/VLOOKUP($R109,Capa!$A:$AJ,BC$5,0)),0,1/VLOOKUP($R109,Capa!$A:$AJ,BC$5,0))))</f>
        <v/>
      </c>
      <c r="BD109" s="174" t="str">
        <f>IF(BD$6="","",IF(BD$3="Maior",iferror(VLOOKUP($R109,Capa!$A:$AJ,BD$5,0),0),IF(ISERROR(1/VLOOKUP($R109,Capa!$A:$AJ,BD$5,0)),0,1/VLOOKUP($R109,Capa!$A:$AJ,BD$5,0))))</f>
        <v/>
      </c>
      <c r="BE109" s="174" t="str">
        <f>IF(BE$6="","",IF(BE$3="Maior",iferror(VLOOKUP($R109,Capa!$A:$AJ,BE$5,0),0),IF(ISERROR(1/VLOOKUP($R109,Capa!$A:$AJ,BE$5,0)),0,1/VLOOKUP($R109,Capa!$A:$AJ,BE$5,0))))</f>
        <v/>
      </c>
      <c r="BF109" s="174" t="str">
        <f>IF(BF$6="","",IF(BF$3="Maior",iferror(VLOOKUP($R109,Capa!$A:$AJ,BF$5,0),0),IF(ISERROR(1/VLOOKUP($R109,Capa!$A:$AJ,BF$5,0)),0,1/VLOOKUP($R109,Capa!$A:$AJ,BF$5,0))))</f>
        <v/>
      </c>
      <c r="BG109" s="174" t="str">
        <f>IF(BG$6="","",IF(BG$3="Maior",iferror(VLOOKUP($R109,Capa!$A:$AJ,BG$5,0),0),IF(ISERROR(1/VLOOKUP($R109,Capa!$A:$AJ,BG$5,0)),0,1/VLOOKUP($R109,Capa!$A:$AJ,BG$5,0))))</f>
        <v/>
      </c>
      <c r="BH109" s="174" t="str">
        <f>IF(BH$6="","",IF(BH$3="Maior",iferror(VLOOKUP($R109,Capa!$A:$AJ,BH$5,0),0),IF(ISERROR(1/VLOOKUP($R109,Capa!$A:$AJ,BH$5,0)),0,1/VLOOKUP($R109,Capa!$A:$AJ,BH$5,0))))</f>
        <v/>
      </c>
      <c r="BI109" s="174" t="str">
        <f>IF(BI$6="","",IF(BI$3="Maior",iferror(VLOOKUP($R109,Capa!$A:$AJ,BI$5,0),0),IF(ISERROR(1/VLOOKUP($R109,Capa!$A:$AJ,BI$5,0)),0,1/VLOOKUP($R109,Capa!$A:$AJ,BI$5,0))))</f>
        <v/>
      </c>
      <c r="BJ109" s="174" t="str">
        <f>IF(BJ$6="","",IF(BJ$3="Maior",iferror(VLOOKUP($R109,Capa!$A:$AJ,BJ$5,0),0),IF(ISERROR(1/VLOOKUP($R109,Capa!$A:$AJ,BJ$5,0)),0,1/VLOOKUP($R109,Capa!$A:$AJ,BJ$5,0))))</f>
        <v/>
      </c>
      <c r="BK109" s="174" t="str">
        <f>IF(BK$6="","",IF(BK$3="Maior",iferror(VLOOKUP($R109,Capa!$A:$AJ,BK$5,0),0),IF(ISERROR(1/VLOOKUP($R109,Capa!$A:$AJ,BK$5,0)),0,1/VLOOKUP($R109,Capa!$A:$AJ,BK$5,0))))</f>
        <v/>
      </c>
      <c r="BL109" s="174" t="str">
        <f>IF(BL$6="","",IF(BL$3="Maior",iferror(VLOOKUP($R109,Capa!$A:$AJ,BL$5,0),0),IF(ISERROR(1/VLOOKUP($R109,Capa!$A:$AJ,BL$5,0)),0,1/VLOOKUP($R109,Capa!$A:$AJ,BL$5,0))))</f>
        <v/>
      </c>
      <c r="BM109" s="174" t="str">
        <f>IF(BM$6="","",IF(BM$3="Maior",iferror(VLOOKUP($R109,Capa!$A:$AJ,BM$5,0),0),IF(ISERROR(1/VLOOKUP($R109,Capa!$A:$AJ,BM$5,0)),0,1/VLOOKUP($R109,Capa!$A:$AJ,BM$5,0))))</f>
        <v/>
      </c>
      <c r="BN109" s="174" t="str">
        <f>IF(BN$6="","",IF(BN$3="Maior",iferror(VLOOKUP($R109,Capa!$A:$AJ,BN$5,0),0),IF(ISERROR(1/VLOOKUP($R109,Capa!$A:$AJ,BN$5,0)),0,1/VLOOKUP($R109,Capa!$A:$AJ,BN$5,0))))</f>
        <v/>
      </c>
      <c r="BO109" s="174" t="str">
        <f>IF(BO$6="","",IF(BO$3="Maior",iferror(VLOOKUP($R109,Capa!$A:$AJ,BO$5,0),0),IF(ISERROR(1/VLOOKUP($R109,Capa!$A:$AJ,BO$5,0)),0,1/VLOOKUP($R109,Capa!$A:$AJ,BO$5,0))))</f>
        <v/>
      </c>
      <c r="BP109" s="174" t="str">
        <f>IF(BP$6="","",IF(BP$3="Maior",iferror(VLOOKUP($R109,Capa!$A:$AJ,BP$5,0),0),IF(ISERROR(1/VLOOKUP($R109,Capa!$A:$AJ,BP$5,0)),0,1/VLOOKUP($R109,Capa!$A:$AJ,BP$5,0))))</f>
        <v/>
      </c>
      <c r="BQ109" s="174" t="str">
        <f>IF(BQ$6="","",IF(BQ$3="Maior",iferror(VLOOKUP($R109,Capa!$A:$AJ,BQ$5,0),0),IF(ISERROR(1/VLOOKUP($R109,Capa!$A:$AJ,BQ$5,0)),0,1/VLOOKUP($R109,Capa!$A:$AJ,BQ$5,0))))</f>
        <v/>
      </c>
      <c r="BR109" s="175"/>
      <c r="BS109" s="147"/>
    </row>
    <row r="110">
      <c r="G110" s="11"/>
      <c r="H110" s="8">
        <v>104.0</v>
      </c>
      <c r="I110" s="165" t="str">
        <f t="shared" si="6"/>
        <v>ENGI11</v>
      </c>
      <c r="J110" s="166" t="str">
        <f>(VLOOKUP($I110,Capa!$A:$B,2,0))</f>
        <v>Energisa SA Unit</v>
      </c>
      <c r="K110" s="167" t="str">
        <f>VLOOKUP(left(I110,4),Setor!A:D,3,0)&amp;" | "&amp;VLOOKUP(left(I110,4),Setor!A:D,4,0)</f>
        <v>Utilidade Pública | Energia Elétrica</v>
      </c>
      <c r="L110" s="168">
        <f>(VLOOKUP($I110,Capa!$A:$F,6,0))</f>
        <v>52.2</v>
      </c>
      <c r="M110" s="168">
        <f t="shared" si="7"/>
        <v>149000000</v>
      </c>
      <c r="N110" s="11" t="str">
        <f>IFERROR(__xludf.DUMMYFUNCTION("(VLOOKUP($I110,Capa!$A:$H,7,0))"),"")</f>
        <v/>
      </c>
      <c r="O110" s="169">
        <f>(VLOOKUP($I110,Capa!$A:$H,8,0))</f>
        <v>0.06704824203</v>
      </c>
      <c r="P110" s="11" t="str">
        <f>IFERROR(__xludf.DUMMYFUNCTION("(VLOOKUP($I110,Capa!$A:$J,10,0))"),"")</f>
        <v/>
      </c>
      <c r="Q110" s="169">
        <f>(VLOOKUP($I110,Capa!$A:$K,11,0))</f>
        <v>0.3987138264</v>
      </c>
      <c r="R110" s="45" t="str">
        <f>'Dados StatusInvest'!A105</f>
        <v>BRGE6</v>
      </c>
      <c r="S110" s="170">
        <f t="shared" si="8"/>
        <v>1869.0869</v>
      </c>
      <c r="T110" s="171">
        <f>VLOOKUP(R110,'Dados StatusInvest'!A:Z,26,0)</f>
        <v>0</v>
      </c>
      <c r="U110" s="172">
        <f t="shared" ref="U110:AS110" si="112">IF(AT110="","", RANK(AT110,AT$7:AT$626,0)+RANK(AT110,AT$7:AT$626,0)/10000)</f>
        <v>297.0297</v>
      </c>
      <c r="V110" s="172">
        <f t="shared" si="112"/>
        <v>572.0572</v>
      </c>
      <c r="W110" s="172" t="str">
        <f t="shared" si="112"/>
        <v/>
      </c>
      <c r="X110" s="172" t="str">
        <f t="shared" si="112"/>
        <v/>
      </c>
      <c r="Y110" s="172" t="str">
        <f t="shared" si="112"/>
        <v/>
      </c>
      <c r="Z110" s="172" t="str">
        <f t="shared" si="112"/>
        <v/>
      </c>
      <c r="AA110" s="172" t="str">
        <f t="shared" si="112"/>
        <v/>
      </c>
      <c r="AB110" s="172" t="str">
        <f t="shared" si="112"/>
        <v/>
      </c>
      <c r="AC110" s="172" t="str">
        <f t="shared" si="112"/>
        <v/>
      </c>
      <c r="AD110" s="172" t="str">
        <f t="shared" si="112"/>
        <v/>
      </c>
      <c r="AE110" s="172" t="str">
        <f t="shared" si="112"/>
        <v/>
      </c>
      <c r="AF110" s="172" t="str">
        <f t="shared" si="112"/>
        <v/>
      </c>
      <c r="AG110" s="172" t="str">
        <f t="shared" si="112"/>
        <v/>
      </c>
      <c r="AH110" s="172" t="str">
        <f t="shared" si="112"/>
        <v/>
      </c>
      <c r="AI110" s="172" t="str">
        <f t="shared" si="112"/>
        <v/>
      </c>
      <c r="AJ110" s="172" t="str">
        <f t="shared" si="112"/>
        <v/>
      </c>
      <c r="AK110" s="172" t="str">
        <f t="shared" si="112"/>
        <v/>
      </c>
      <c r="AL110" s="172" t="str">
        <f t="shared" si="112"/>
        <v/>
      </c>
      <c r="AM110" s="172" t="str">
        <f t="shared" si="112"/>
        <v/>
      </c>
      <c r="AN110" s="172" t="str">
        <f t="shared" si="112"/>
        <v/>
      </c>
      <c r="AO110" s="172" t="str">
        <f t="shared" si="112"/>
        <v/>
      </c>
      <c r="AP110" s="172" t="str">
        <f t="shared" si="112"/>
        <v/>
      </c>
      <c r="AQ110" s="172" t="str">
        <f t="shared" si="112"/>
        <v/>
      </c>
      <c r="AR110" s="172" t="str">
        <f t="shared" si="112"/>
        <v/>
      </c>
      <c r="AS110" s="172" t="str">
        <f t="shared" si="112"/>
        <v/>
      </c>
      <c r="AT110" s="173">
        <f>IF(AT$6="","",IF(AT$3="Maior",iferror(VLOOKUP($R110,Capa!$A:$AJ,AT$5,0),0),IF(ISERROR(1/VLOOKUP($R110,Capa!$A:$AJ,AT$5,0)),0,1/VLOOKUP($R110,Capa!$A:$AJ,AT$5,0))))</f>
        <v>-0.6369426752</v>
      </c>
      <c r="AU110" s="174">
        <f>IF(AU$6="","",IF(AU$3="Maior",iferror(VLOOKUP($R110,Capa!$A:$AJ,AU$5,0),0),IF(ISERROR(1/VLOOKUP($R110,Capa!$A:$AJ,AU$5,0)),0,1/VLOOKUP($R110,Capa!$A:$AJ,AU$5,0))))</f>
        <v>-11.18</v>
      </c>
      <c r="AV110" s="174" t="str">
        <f>IF(AV$6="","",IF(AV$3="Maior",iferror(VLOOKUP($R110,Capa!$A:$AJ,AV$5,0),0),IF(ISERROR(1/VLOOKUP($R110,Capa!$A:$AJ,AV$5,0)),0,1/VLOOKUP($R110,Capa!$A:$AJ,AV$5,0))))</f>
        <v/>
      </c>
      <c r="AW110" s="174" t="str">
        <f>IF(AW$6="","",IF(AW$3="Maior",iferror(VLOOKUP($R110,Capa!$A:$AJ,AW$5,0),0),IF(ISERROR(1/VLOOKUP($R110,Capa!$A:$AJ,AW$5,0)),0,1/VLOOKUP($R110,Capa!$A:$AJ,AW$5,0))))</f>
        <v/>
      </c>
      <c r="AX110" s="174" t="str">
        <f>IF(AX$6="","",IF(AX$3="Maior",iferror(VLOOKUP($R110,Capa!$A:$AJ,AX$5,0),0),IF(ISERROR(1/VLOOKUP($R110,Capa!$A:$AJ,AX$5,0)),0,1/VLOOKUP($R110,Capa!$A:$AJ,AX$5,0))))</f>
        <v/>
      </c>
      <c r="AY110" s="174" t="str">
        <f>IF(AY$6="","",IF(AY$3="Maior",iferror(VLOOKUP($R110,Capa!$A:$AJ,AY$5,0),0),IF(ISERROR(1/VLOOKUP($R110,Capa!$A:$AJ,AY$5,0)),0,1/VLOOKUP($R110,Capa!$A:$AJ,AY$5,0))))</f>
        <v/>
      </c>
      <c r="AZ110" s="174" t="str">
        <f>IF(AZ$6="","",IF(AZ$3="Maior",iferror(VLOOKUP($R110,Capa!$A:$AJ,AZ$5,0),0),IF(ISERROR(1/VLOOKUP($R110,Capa!$A:$AJ,AZ$5,0)),0,1/VLOOKUP($R110,Capa!$A:$AJ,AZ$5,0))))</f>
        <v/>
      </c>
      <c r="BA110" s="174" t="str">
        <f>IF(BA$6="","",IF(BA$3="Maior",iferror(VLOOKUP($R110,Capa!$A:$AJ,BA$5,0),0),IF(ISERROR(1/VLOOKUP($R110,Capa!$A:$AJ,BA$5,0)),0,1/VLOOKUP($R110,Capa!$A:$AJ,BA$5,0))))</f>
        <v/>
      </c>
      <c r="BB110" s="174" t="str">
        <f>IF(BB$6="","",IF(BB$3="Maior",iferror(VLOOKUP($R110,Capa!$A:$AJ,BB$5,0),0),IF(ISERROR(1/VLOOKUP($R110,Capa!$A:$AJ,BB$5,0)),0,1/VLOOKUP($R110,Capa!$A:$AJ,BB$5,0))))</f>
        <v/>
      </c>
      <c r="BC110" s="174" t="str">
        <f>IF(BC$6="","",IF(BC$3="Maior",iferror(VLOOKUP($R110,Capa!$A:$AJ,BC$5,0),0),IF(ISERROR(1/VLOOKUP($R110,Capa!$A:$AJ,BC$5,0)),0,1/VLOOKUP($R110,Capa!$A:$AJ,BC$5,0))))</f>
        <v/>
      </c>
      <c r="BD110" s="174" t="str">
        <f>IF(BD$6="","",IF(BD$3="Maior",iferror(VLOOKUP($R110,Capa!$A:$AJ,BD$5,0),0),IF(ISERROR(1/VLOOKUP($R110,Capa!$A:$AJ,BD$5,0)),0,1/VLOOKUP($R110,Capa!$A:$AJ,BD$5,0))))</f>
        <v/>
      </c>
      <c r="BE110" s="174" t="str">
        <f>IF(BE$6="","",IF(BE$3="Maior",iferror(VLOOKUP($R110,Capa!$A:$AJ,BE$5,0),0),IF(ISERROR(1/VLOOKUP($R110,Capa!$A:$AJ,BE$5,0)),0,1/VLOOKUP($R110,Capa!$A:$AJ,BE$5,0))))</f>
        <v/>
      </c>
      <c r="BF110" s="174" t="str">
        <f>IF(BF$6="","",IF(BF$3="Maior",iferror(VLOOKUP($R110,Capa!$A:$AJ,BF$5,0),0),IF(ISERROR(1/VLOOKUP($R110,Capa!$A:$AJ,BF$5,0)),0,1/VLOOKUP($R110,Capa!$A:$AJ,BF$5,0))))</f>
        <v/>
      </c>
      <c r="BG110" s="174" t="str">
        <f>IF(BG$6="","",IF(BG$3="Maior",iferror(VLOOKUP($R110,Capa!$A:$AJ,BG$5,0),0),IF(ISERROR(1/VLOOKUP($R110,Capa!$A:$AJ,BG$5,0)),0,1/VLOOKUP($R110,Capa!$A:$AJ,BG$5,0))))</f>
        <v/>
      </c>
      <c r="BH110" s="174" t="str">
        <f>IF(BH$6="","",IF(BH$3="Maior",iferror(VLOOKUP($R110,Capa!$A:$AJ,BH$5,0),0),IF(ISERROR(1/VLOOKUP($R110,Capa!$A:$AJ,BH$5,0)),0,1/VLOOKUP($R110,Capa!$A:$AJ,BH$5,0))))</f>
        <v/>
      </c>
      <c r="BI110" s="174" t="str">
        <f>IF(BI$6="","",IF(BI$3="Maior",iferror(VLOOKUP($R110,Capa!$A:$AJ,BI$5,0),0),IF(ISERROR(1/VLOOKUP($R110,Capa!$A:$AJ,BI$5,0)),0,1/VLOOKUP($R110,Capa!$A:$AJ,BI$5,0))))</f>
        <v/>
      </c>
      <c r="BJ110" s="174" t="str">
        <f>IF(BJ$6="","",IF(BJ$3="Maior",iferror(VLOOKUP($R110,Capa!$A:$AJ,BJ$5,0),0),IF(ISERROR(1/VLOOKUP($R110,Capa!$A:$AJ,BJ$5,0)),0,1/VLOOKUP($R110,Capa!$A:$AJ,BJ$5,0))))</f>
        <v/>
      </c>
      <c r="BK110" s="174" t="str">
        <f>IF(BK$6="","",IF(BK$3="Maior",iferror(VLOOKUP($R110,Capa!$A:$AJ,BK$5,0),0),IF(ISERROR(1/VLOOKUP($R110,Capa!$A:$AJ,BK$5,0)),0,1/VLOOKUP($R110,Capa!$A:$AJ,BK$5,0))))</f>
        <v/>
      </c>
      <c r="BL110" s="174" t="str">
        <f>IF(BL$6="","",IF(BL$3="Maior",iferror(VLOOKUP($R110,Capa!$A:$AJ,BL$5,0),0),IF(ISERROR(1/VLOOKUP($R110,Capa!$A:$AJ,BL$5,0)),0,1/VLOOKUP($R110,Capa!$A:$AJ,BL$5,0))))</f>
        <v/>
      </c>
      <c r="BM110" s="174" t="str">
        <f>IF(BM$6="","",IF(BM$3="Maior",iferror(VLOOKUP($R110,Capa!$A:$AJ,BM$5,0),0),IF(ISERROR(1/VLOOKUP($R110,Capa!$A:$AJ,BM$5,0)),0,1/VLOOKUP($R110,Capa!$A:$AJ,BM$5,0))))</f>
        <v/>
      </c>
      <c r="BN110" s="174" t="str">
        <f>IF(BN$6="","",IF(BN$3="Maior",iferror(VLOOKUP($R110,Capa!$A:$AJ,BN$5,0),0),IF(ISERROR(1/VLOOKUP($R110,Capa!$A:$AJ,BN$5,0)),0,1/VLOOKUP($R110,Capa!$A:$AJ,BN$5,0))))</f>
        <v/>
      </c>
      <c r="BO110" s="174" t="str">
        <f>IF(BO$6="","",IF(BO$3="Maior",iferror(VLOOKUP($R110,Capa!$A:$AJ,BO$5,0),0),IF(ISERROR(1/VLOOKUP($R110,Capa!$A:$AJ,BO$5,0)),0,1/VLOOKUP($R110,Capa!$A:$AJ,BO$5,0))))</f>
        <v/>
      </c>
      <c r="BP110" s="174" t="str">
        <f>IF(BP$6="","",IF(BP$3="Maior",iferror(VLOOKUP($R110,Capa!$A:$AJ,BP$5,0),0),IF(ISERROR(1/VLOOKUP($R110,Capa!$A:$AJ,BP$5,0)),0,1/VLOOKUP($R110,Capa!$A:$AJ,BP$5,0))))</f>
        <v/>
      </c>
      <c r="BQ110" s="174" t="str">
        <f>IF(BQ$6="","",IF(BQ$3="Maior",iferror(VLOOKUP($R110,Capa!$A:$AJ,BQ$5,0),0),IF(ISERROR(1/VLOOKUP($R110,Capa!$A:$AJ,BQ$5,0)),0,1/VLOOKUP($R110,Capa!$A:$AJ,BQ$5,0))))</f>
        <v/>
      </c>
      <c r="BR110" s="175"/>
      <c r="BS110" s="147"/>
    </row>
    <row r="111">
      <c r="G111" s="11"/>
      <c r="H111" s="8">
        <v>105.0</v>
      </c>
      <c r="I111" s="165" t="str">
        <f t="shared" si="6"/>
        <v>MBRF3</v>
      </c>
      <c r="J111" s="166" t="str">
        <f>(VLOOKUP($I111,Capa!$A:$B,2,0))</f>
        <v>Marfrig Global Foods SA</v>
      </c>
      <c r="K111" s="167" t="str">
        <f>VLOOKUP(left(I111,4),Setor!A:D,3,0)&amp;" | "&amp;VLOOKUP(left(I111,4),Setor!A:D,4,0)</f>
        <v>#N/A</v>
      </c>
      <c r="L111" s="168">
        <f>(VLOOKUP($I111,Capa!$A:$F,6,0))</f>
        <v>18.51</v>
      </c>
      <c r="M111" s="168">
        <f t="shared" si="7"/>
        <v>140000000</v>
      </c>
      <c r="N111" s="11" t="str">
        <f>IFERROR(__xludf.DUMMYFUNCTION("(VLOOKUP($I111,Capa!$A:$H,7,0))"),"")</f>
        <v/>
      </c>
      <c r="O111" s="169">
        <f>(VLOOKUP($I111,Capa!$A:$H,8,0))</f>
        <v>-0.05753564155</v>
      </c>
      <c r="P111" s="11" t="str">
        <f>IFERROR(__xludf.DUMMYFUNCTION("(VLOOKUP($I111,Capa!$A:$J,10,0))"),"")</f>
        <v/>
      </c>
      <c r="Q111" s="169">
        <f>(VLOOKUP($I111,Capa!$A:$K,11,0))</f>
        <v>0.3640383198</v>
      </c>
      <c r="R111" s="45" t="str">
        <f>'Dados StatusInvest'!A106</f>
        <v>BRGE7</v>
      </c>
      <c r="S111" s="170">
        <f t="shared" si="8"/>
        <v>1867.0867</v>
      </c>
      <c r="T111" s="171">
        <f>VLOOKUP(R111,'Dados StatusInvest'!A:Z,26,0)</f>
        <v>0</v>
      </c>
      <c r="U111" s="172">
        <f t="shared" ref="U111:AS111" si="113">IF(AT111="","", RANK(AT111,AT$7:AT$626,0)+RANK(AT111,AT$7:AT$626,0)/10000)</f>
        <v>295.0295</v>
      </c>
      <c r="V111" s="172">
        <f t="shared" si="113"/>
        <v>572.0572</v>
      </c>
      <c r="W111" s="172" t="str">
        <f t="shared" si="113"/>
        <v/>
      </c>
      <c r="X111" s="172" t="str">
        <f t="shared" si="113"/>
        <v/>
      </c>
      <c r="Y111" s="172" t="str">
        <f t="shared" si="113"/>
        <v/>
      </c>
      <c r="Z111" s="172" t="str">
        <f t="shared" si="113"/>
        <v/>
      </c>
      <c r="AA111" s="172" t="str">
        <f t="shared" si="113"/>
        <v/>
      </c>
      <c r="AB111" s="172" t="str">
        <f t="shared" si="113"/>
        <v/>
      </c>
      <c r="AC111" s="172" t="str">
        <f t="shared" si="113"/>
        <v/>
      </c>
      <c r="AD111" s="172" t="str">
        <f t="shared" si="113"/>
        <v/>
      </c>
      <c r="AE111" s="172" t="str">
        <f t="shared" si="113"/>
        <v/>
      </c>
      <c r="AF111" s="172" t="str">
        <f t="shared" si="113"/>
        <v/>
      </c>
      <c r="AG111" s="172" t="str">
        <f t="shared" si="113"/>
        <v/>
      </c>
      <c r="AH111" s="172" t="str">
        <f t="shared" si="113"/>
        <v/>
      </c>
      <c r="AI111" s="172" t="str">
        <f t="shared" si="113"/>
        <v/>
      </c>
      <c r="AJ111" s="172" t="str">
        <f t="shared" si="113"/>
        <v/>
      </c>
      <c r="AK111" s="172" t="str">
        <f t="shared" si="113"/>
        <v/>
      </c>
      <c r="AL111" s="172" t="str">
        <f t="shared" si="113"/>
        <v/>
      </c>
      <c r="AM111" s="172" t="str">
        <f t="shared" si="113"/>
        <v/>
      </c>
      <c r="AN111" s="172" t="str">
        <f t="shared" si="113"/>
        <v/>
      </c>
      <c r="AO111" s="172" t="str">
        <f t="shared" si="113"/>
        <v/>
      </c>
      <c r="AP111" s="172" t="str">
        <f t="shared" si="113"/>
        <v/>
      </c>
      <c r="AQ111" s="172" t="str">
        <f t="shared" si="113"/>
        <v/>
      </c>
      <c r="AR111" s="172" t="str">
        <f t="shared" si="113"/>
        <v/>
      </c>
      <c r="AS111" s="172" t="str">
        <f t="shared" si="113"/>
        <v/>
      </c>
      <c r="AT111" s="173">
        <f>IF(AT$6="","",IF(AT$3="Maior",iferror(VLOOKUP($R111,Capa!$A:$AJ,AT$5,0),0),IF(ISERROR(1/VLOOKUP($R111,Capa!$A:$AJ,AT$5,0)),0,1/VLOOKUP($R111,Capa!$A:$AJ,AT$5,0))))</f>
        <v>-0.6329113924</v>
      </c>
      <c r="AU111" s="174">
        <f>IF(AU$6="","",IF(AU$3="Maior",iferror(VLOOKUP($R111,Capa!$A:$AJ,AU$5,0),0),IF(ISERROR(1/VLOOKUP($R111,Capa!$A:$AJ,AU$5,0)),0,1/VLOOKUP($R111,Capa!$A:$AJ,AU$5,0))))</f>
        <v>-11.18</v>
      </c>
      <c r="AV111" s="174" t="str">
        <f>IF(AV$6="","",IF(AV$3="Maior",iferror(VLOOKUP($R111,Capa!$A:$AJ,AV$5,0),0),IF(ISERROR(1/VLOOKUP($R111,Capa!$A:$AJ,AV$5,0)),0,1/VLOOKUP($R111,Capa!$A:$AJ,AV$5,0))))</f>
        <v/>
      </c>
      <c r="AW111" s="174" t="str">
        <f>IF(AW$6="","",IF(AW$3="Maior",iferror(VLOOKUP($R111,Capa!$A:$AJ,AW$5,0),0),IF(ISERROR(1/VLOOKUP($R111,Capa!$A:$AJ,AW$5,0)),0,1/VLOOKUP($R111,Capa!$A:$AJ,AW$5,0))))</f>
        <v/>
      </c>
      <c r="AX111" s="174" t="str">
        <f>IF(AX$6="","",IF(AX$3="Maior",iferror(VLOOKUP($R111,Capa!$A:$AJ,AX$5,0),0),IF(ISERROR(1/VLOOKUP($R111,Capa!$A:$AJ,AX$5,0)),0,1/VLOOKUP($R111,Capa!$A:$AJ,AX$5,0))))</f>
        <v/>
      </c>
      <c r="AY111" s="174" t="str">
        <f>IF(AY$6="","",IF(AY$3="Maior",iferror(VLOOKUP($R111,Capa!$A:$AJ,AY$5,0),0),IF(ISERROR(1/VLOOKUP($R111,Capa!$A:$AJ,AY$5,0)),0,1/VLOOKUP($R111,Capa!$A:$AJ,AY$5,0))))</f>
        <v/>
      </c>
      <c r="AZ111" s="174" t="str">
        <f>IF(AZ$6="","",IF(AZ$3="Maior",iferror(VLOOKUP($R111,Capa!$A:$AJ,AZ$5,0),0),IF(ISERROR(1/VLOOKUP($R111,Capa!$A:$AJ,AZ$5,0)),0,1/VLOOKUP($R111,Capa!$A:$AJ,AZ$5,0))))</f>
        <v/>
      </c>
      <c r="BA111" s="174" t="str">
        <f>IF(BA$6="","",IF(BA$3="Maior",iferror(VLOOKUP($R111,Capa!$A:$AJ,BA$5,0),0),IF(ISERROR(1/VLOOKUP($R111,Capa!$A:$AJ,BA$5,0)),0,1/VLOOKUP($R111,Capa!$A:$AJ,BA$5,0))))</f>
        <v/>
      </c>
      <c r="BB111" s="174" t="str">
        <f>IF(BB$6="","",IF(BB$3="Maior",iferror(VLOOKUP($R111,Capa!$A:$AJ,BB$5,0),0),IF(ISERROR(1/VLOOKUP($R111,Capa!$A:$AJ,BB$5,0)),0,1/VLOOKUP($R111,Capa!$A:$AJ,BB$5,0))))</f>
        <v/>
      </c>
      <c r="BC111" s="174" t="str">
        <f>IF(BC$6="","",IF(BC$3="Maior",iferror(VLOOKUP($R111,Capa!$A:$AJ,BC$5,0),0),IF(ISERROR(1/VLOOKUP($R111,Capa!$A:$AJ,BC$5,0)),0,1/VLOOKUP($R111,Capa!$A:$AJ,BC$5,0))))</f>
        <v/>
      </c>
      <c r="BD111" s="174" t="str">
        <f>IF(BD$6="","",IF(BD$3="Maior",iferror(VLOOKUP($R111,Capa!$A:$AJ,BD$5,0),0),IF(ISERROR(1/VLOOKUP($R111,Capa!$A:$AJ,BD$5,0)),0,1/VLOOKUP($R111,Capa!$A:$AJ,BD$5,0))))</f>
        <v/>
      </c>
      <c r="BE111" s="174" t="str">
        <f>IF(BE$6="","",IF(BE$3="Maior",iferror(VLOOKUP($R111,Capa!$A:$AJ,BE$5,0),0),IF(ISERROR(1/VLOOKUP($R111,Capa!$A:$AJ,BE$5,0)),0,1/VLOOKUP($R111,Capa!$A:$AJ,BE$5,0))))</f>
        <v/>
      </c>
      <c r="BF111" s="174" t="str">
        <f>IF(BF$6="","",IF(BF$3="Maior",iferror(VLOOKUP($R111,Capa!$A:$AJ,BF$5,0),0),IF(ISERROR(1/VLOOKUP($R111,Capa!$A:$AJ,BF$5,0)),0,1/VLOOKUP($R111,Capa!$A:$AJ,BF$5,0))))</f>
        <v/>
      </c>
      <c r="BG111" s="174" t="str">
        <f>IF(BG$6="","",IF(BG$3="Maior",iferror(VLOOKUP($R111,Capa!$A:$AJ,BG$5,0),0),IF(ISERROR(1/VLOOKUP($R111,Capa!$A:$AJ,BG$5,0)),0,1/VLOOKUP($R111,Capa!$A:$AJ,BG$5,0))))</f>
        <v/>
      </c>
      <c r="BH111" s="174" t="str">
        <f>IF(BH$6="","",IF(BH$3="Maior",iferror(VLOOKUP($R111,Capa!$A:$AJ,BH$5,0),0),IF(ISERROR(1/VLOOKUP($R111,Capa!$A:$AJ,BH$5,0)),0,1/VLOOKUP($R111,Capa!$A:$AJ,BH$5,0))))</f>
        <v/>
      </c>
      <c r="BI111" s="174" t="str">
        <f>IF(BI$6="","",IF(BI$3="Maior",iferror(VLOOKUP($R111,Capa!$A:$AJ,BI$5,0),0),IF(ISERROR(1/VLOOKUP($R111,Capa!$A:$AJ,BI$5,0)),0,1/VLOOKUP($R111,Capa!$A:$AJ,BI$5,0))))</f>
        <v/>
      </c>
      <c r="BJ111" s="174" t="str">
        <f>IF(BJ$6="","",IF(BJ$3="Maior",iferror(VLOOKUP($R111,Capa!$A:$AJ,BJ$5,0),0),IF(ISERROR(1/VLOOKUP($R111,Capa!$A:$AJ,BJ$5,0)),0,1/VLOOKUP($R111,Capa!$A:$AJ,BJ$5,0))))</f>
        <v/>
      </c>
      <c r="BK111" s="174" t="str">
        <f>IF(BK$6="","",IF(BK$3="Maior",iferror(VLOOKUP($R111,Capa!$A:$AJ,BK$5,0),0),IF(ISERROR(1/VLOOKUP($R111,Capa!$A:$AJ,BK$5,0)),0,1/VLOOKUP($R111,Capa!$A:$AJ,BK$5,0))))</f>
        <v/>
      </c>
      <c r="BL111" s="174" t="str">
        <f>IF(BL$6="","",IF(BL$3="Maior",iferror(VLOOKUP($R111,Capa!$A:$AJ,BL$5,0),0),IF(ISERROR(1/VLOOKUP($R111,Capa!$A:$AJ,BL$5,0)),0,1/VLOOKUP($R111,Capa!$A:$AJ,BL$5,0))))</f>
        <v/>
      </c>
      <c r="BM111" s="174" t="str">
        <f>IF(BM$6="","",IF(BM$3="Maior",iferror(VLOOKUP($R111,Capa!$A:$AJ,BM$5,0),0),IF(ISERROR(1/VLOOKUP($R111,Capa!$A:$AJ,BM$5,0)),0,1/VLOOKUP($R111,Capa!$A:$AJ,BM$5,0))))</f>
        <v/>
      </c>
      <c r="BN111" s="174" t="str">
        <f>IF(BN$6="","",IF(BN$3="Maior",iferror(VLOOKUP($R111,Capa!$A:$AJ,BN$5,0),0),IF(ISERROR(1/VLOOKUP($R111,Capa!$A:$AJ,BN$5,0)),0,1/VLOOKUP($R111,Capa!$A:$AJ,BN$5,0))))</f>
        <v/>
      </c>
      <c r="BO111" s="174" t="str">
        <f>IF(BO$6="","",IF(BO$3="Maior",iferror(VLOOKUP($R111,Capa!$A:$AJ,BO$5,0),0),IF(ISERROR(1/VLOOKUP($R111,Capa!$A:$AJ,BO$5,0)),0,1/VLOOKUP($R111,Capa!$A:$AJ,BO$5,0))))</f>
        <v/>
      </c>
      <c r="BP111" s="174" t="str">
        <f>IF(BP$6="","",IF(BP$3="Maior",iferror(VLOOKUP($R111,Capa!$A:$AJ,BP$5,0),0),IF(ISERROR(1/VLOOKUP($R111,Capa!$A:$AJ,BP$5,0)),0,1/VLOOKUP($R111,Capa!$A:$AJ,BP$5,0))))</f>
        <v/>
      </c>
      <c r="BQ111" s="174" t="str">
        <f>IF(BQ$6="","",IF(BQ$3="Maior",iferror(VLOOKUP($R111,Capa!$A:$AJ,BQ$5,0),0),IF(ISERROR(1/VLOOKUP($R111,Capa!$A:$AJ,BQ$5,0)),0,1/VLOOKUP($R111,Capa!$A:$AJ,BQ$5,0))))</f>
        <v/>
      </c>
      <c r="BR111" s="175"/>
      <c r="BS111" s="147"/>
    </row>
    <row r="112">
      <c r="G112" s="11"/>
      <c r="H112" s="8">
        <v>106.0</v>
      </c>
      <c r="I112" s="165" t="str">
        <f t="shared" si="6"/>
        <v>ALLD3</v>
      </c>
      <c r="J112" s="166" t="str">
        <f>(VLOOKUP($I112,Capa!$A:$B,2,0))</f>
        <v>Allied Tecnologia SA</v>
      </c>
      <c r="K112" s="167" t="str">
        <f>VLOOKUP(left(I112,4),Setor!A:D,3,0)&amp;" | "&amp;VLOOKUP(left(I112,4),Setor!A:D,4,0)</f>
        <v>#N/A</v>
      </c>
      <c r="L112" s="168">
        <f>(VLOOKUP($I112,Capa!$A:$F,6,0))</f>
        <v>7.48</v>
      </c>
      <c r="M112" s="168">
        <f t="shared" si="7"/>
        <v>5234240</v>
      </c>
      <c r="N112" s="11" t="str">
        <f>IFERROR(__xludf.DUMMYFUNCTION("(VLOOKUP($I112,Capa!$A:$H,7,0))"),"")</f>
        <v/>
      </c>
      <c r="O112" s="169">
        <f>(VLOOKUP($I112,Capa!$A:$H,8,0))</f>
        <v>-0.1126927639</v>
      </c>
      <c r="P112" s="11" t="str">
        <f>IFERROR(__xludf.DUMMYFUNCTION("(VLOOKUP($I112,Capa!$A:$J,10,0))"),"")</f>
        <v/>
      </c>
      <c r="Q112" s="169">
        <f>(VLOOKUP($I112,Capa!$A:$K,11,0))</f>
        <v>0.05649717514</v>
      </c>
      <c r="R112" s="45" t="str">
        <f>'Dados StatusInvest'!A107</f>
        <v>BRGE8</v>
      </c>
      <c r="S112" s="170">
        <f t="shared" si="8"/>
        <v>1863.0863</v>
      </c>
      <c r="T112" s="171">
        <f>VLOOKUP(R112,'Dados StatusInvest'!A:Z,26,0)</f>
        <v>0</v>
      </c>
      <c r="U112" s="172">
        <f t="shared" ref="U112:AS112" si="114">IF(AT112="","", RANK(AT112,AT$7:AT$626,0)+RANK(AT112,AT$7:AT$626,0)/10000)</f>
        <v>291.0291</v>
      </c>
      <c r="V112" s="172">
        <f t="shared" si="114"/>
        <v>572.0572</v>
      </c>
      <c r="W112" s="172" t="str">
        <f t="shared" si="114"/>
        <v/>
      </c>
      <c r="X112" s="172" t="str">
        <f t="shared" si="114"/>
        <v/>
      </c>
      <c r="Y112" s="172" t="str">
        <f t="shared" si="114"/>
        <v/>
      </c>
      <c r="Z112" s="172" t="str">
        <f t="shared" si="114"/>
        <v/>
      </c>
      <c r="AA112" s="172" t="str">
        <f t="shared" si="114"/>
        <v/>
      </c>
      <c r="AB112" s="172" t="str">
        <f t="shared" si="114"/>
        <v/>
      </c>
      <c r="AC112" s="172" t="str">
        <f t="shared" si="114"/>
        <v/>
      </c>
      <c r="AD112" s="172" t="str">
        <f t="shared" si="114"/>
        <v/>
      </c>
      <c r="AE112" s="172" t="str">
        <f t="shared" si="114"/>
        <v/>
      </c>
      <c r="AF112" s="172" t="str">
        <f t="shared" si="114"/>
        <v/>
      </c>
      <c r="AG112" s="172" t="str">
        <f t="shared" si="114"/>
        <v/>
      </c>
      <c r="AH112" s="172" t="str">
        <f t="shared" si="114"/>
        <v/>
      </c>
      <c r="AI112" s="172" t="str">
        <f t="shared" si="114"/>
        <v/>
      </c>
      <c r="AJ112" s="172" t="str">
        <f t="shared" si="114"/>
        <v/>
      </c>
      <c r="AK112" s="172" t="str">
        <f t="shared" si="114"/>
        <v/>
      </c>
      <c r="AL112" s="172" t="str">
        <f t="shared" si="114"/>
        <v/>
      </c>
      <c r="AM112" s="172" t="str">
        <f t="shared" si="114"/>
        <v/>
      </c>
      <c r="AN112" s="172" t="str">
        <f t="shared" si="114"/>
        <v/>
      </c>
      <c r="AO112" s="172" t="str">
        <f t="shared" si="114"/>
        <v/>
      </c>
      <c r="AP112" s="172" t="str">
        <f t="shared" si="114"/>
        <v/>
      </c>
      <c r="AQ112" s="172" t="str">
        <f t="shared" si="114"/>
        <v/>
      </c>
      <c r="AR112" s="172" t="str">
        <f t="shared" si="114"/>
        <v/>
      </c>
      <c r="AS112" s="172" t="str">
        <f t="shared" si="114"/>
        <v/>
      </c>
      <c r="AT112" s="173">
        <f>IF(AT$6="","",IF(AT$3="Maior",iferror(VLOOKUP($R112,Capa!$A:$AJ,AT$5,0),0),IF(ISERROR(1/VLOOKUP($R112,Capa!$A:$AJ,AT$5,0)),0,1/VLOOKUP($R112,Capa!$A:$AJ,AT$5,0))))</f>
        <v>-0.625</v>
      </c>
      <c r="AU112" s="174">
        <f>IF(AU$6="","",IF(AU$3="Maior",iferror(VLOOKUP($R112,Capa!$A:$AJ,AU$5,0),0),IF(ISERROR(1/VLOOKUP($R112,Capa!$A:$AJ,AU$5,0)),0,1/VLOOKUP($R112,Capa!$A:$AJ,AU$5,0))))</f>
        <v>-11.18</v>
      </c>
      <c r="AV112" s="174" t="str">
        <f>IF(AV$6="","",IF(AV$3="Maior",iferror(VLOOKUP($R112,Capa!$A:$AJ,AV$5,0),0),IF(ISERROR(1/VLOOKUP($R112,Capa!$A:$AJ,AV$5,0)),0,1/VLOOKUP($R112,Capa!$A:$AJ,AV$5,0))))</f>
        <v/>
      </c>
      <c r="AW112" s="174" t="str">
        <f>IF(AW$6="","",IF(AW$3="Maior",iferror(VLOOKUP($R112,Capa!$A:$AJ,AW$5,0),0),IF(ISERROR(1/VLOOKUP($R112,Capa!$A:$AJ,AW$5,0)),0,1/VLOOKUP($R112,Capa!$A:$AJ,AW$5,0))))</f>
        <v/>
      </c>
      <c r="AX112" s="174" t="str">
        <f>IF(AX$6="","",IF(AX$3="Maior",iferror(VLOOKUP($R112,Capa!$A:$AJ,AX$5,0),0),IF(ISERROR(1/VLOOKUP($R112,Capa!$A:$AJ,AX$5,0)),0,1/VLOOKUP($R112,Capa!$A:$AJ,AX$5,0))))</f>
        <v/>
      </c>
      <c r="AY112" s="174" t="str">
        <f>IF(AY$6="","",IF(AY$3="Maior",iferror(VLOOKUP($R112,Capa!$A:$AJ,AY$5,0),0),IF(ISERROR(1/VLOOKUP($R112,Capa!$A:$AJ,AY$5,0)),0,1/VLOOKUP($R112,Capa!$A:$AJ,AY$5,0))))</f>
        <v/>
      </c>
      <c r="AZ112" s="174" t="str">
        <f>IF(AZ$6="","",IF(AZ$3="Maior",iferror(VLOOKUP($R112,Capa!$A:$AJ,AZ$5,0),0),IF(ISERROR(1/VLOOKUP($R112,Capa!$A:$AJ,AZ$5,0)),0,1/VLOOKUP($R112,Capa!$A:$AJ,AZ$5,0))))</f>
        <v/>
      </c>
      <c r="BA112" s="174" t="str">
        <f>IF(BA$6="","",IF(BA$3="Maior",iferror(VLOOKUP($R112,Capa!$A:$AJ,BA$5,0),0),IF(ISERROR(1/VLOOKUP($R112,Capa!$A:$AJ,BA$5,0)),0,1/VLOOKUP($R112,Capa!$A:$AJ,BA$5,0))))</f>
        <v/>
      </c>
      <c r="BB112" s="174" t="str">
        <f>IF(BB$6="","",IF(BB$3="Maior",iferror(VLOOKUP($R112,Capa!$A:$AJ,BB$5,0),0),IF(ISERROR(1/VLOOKUP($R112,Capa!$A:$AJ,BB$5,0)),0,1/VLOOKUP($R112,Capa!$A:$AJ,BB$5,0))))</f>
        <v/>
      </c>
      <c r="BC112" s="174" t="str">
        <f>IF(BC$6="","",IF(BC$3="Maior",iferror(VLOOKUP($R112,Capa!$A:$AJ,BC$5,0),0),IF(ISERROR(1/VLOOKUP($R112,Capa!$A:$AJ,BC$5,0)),0,1/VLOOKUP($R112,Capa!$A:$AJ,BC$5,0))))</f>
        <v/>
      </c>
      <c r="BD112" s="174" t="str">
        <f>IF(BD$6="","",IF(BD$3="Maior",iferror(VLOOKUP($R112,Capa!$A:$AJ,BD$5,0),0),IF(ISERROR(1/VLOOKUP($R112,Capa!$A:$AJ,BD$5,0)),0,1/VLOOKUP($R112,Capa!$A:$AJ,BD$5,0))))</f>
        <v/>
      </c>
      <c r="BE112" s="174" t="str">
        <f>IF(BE$6="","",IF(BE$3="Maior",iferror(VLOOKUP($R112,Capa!$A:$AJ,BE$5,0),0),IF(ISERROR(1/VLOOKUP($R112,Capa!$A:$AJ,BE$5,0)),0,1/VLOOKUP($R112,Capa!$A:$AJ,BE$5,0))))</f>
        <v/>
      </c>
      <c r="BF112" s="174" t="str">
        <f>IF(BF$6="","",IF(BF$3="Maior",iferror(VLOOKUP($R112,Capa!$A:$AJ,BF$5,0),0),IF(ISERROR(1/VLOOKUP($R112,Capa!$A:$AJ,BF$5,0)),0,1/VLOOKUP($R112,Capa!$A:$AJ,BF$5,0))))</f>
        <v/>
      </c>
      <c r="BG112" s="174" t="str">
        <f>IF(BG$6="","",IF(BG$3="Maior",iferror(VLOOKUP($R112,Capa!$A:$AJ,BG$5,0),0),IF(ISERROR(1/VLOOKUP($R112,Capa!$A:$AJ,BG$5,0)),0,1/VLOOKUP($R112,Capa!$A:$AJ,BG$5,0))))</f>
        <v/>
      </c>
      <c r="BH112" s="174" t="str">
        <f>IF(BH$6="","",IF(BH$3="Maior",iferror(VLOOKUP($R112,Capa!$A:$AJ,BH$5,0),0),IF(ISERROR(1/VLOOKUP($R112,Capa!$A:$AJ,BH$5,0)),0,1/VLOOKUP($R112,Capa!$A:$AJ,BH$5,0))))</f>
        <v/>
      </c>
      <c r="BI112" s="174" t="str">
        <f>IF(BI$6="","",IF(BI$3="Maior",iferror(VLOOKUP($R112,Capa!$A:$AJ,BI$5,0),0),IF(ISERROR(1/VLOOKUP($R112,Capa!$A:$AJ,BI$5,0)),0,1/VLOOKUP($R112,Capa!$A:$AJ,BI$5,0))))</f>
        <v/>
      </c>
      <c r="BJ112" s="174" t="str">
        <f>IF(BJ$6="","",IF(BJ$3="Maior",iferror(VLOOKUP($R112,Capa!$A:$AJ,BJ$5,0),0),IF(ISERROR(1/VLOOKUP($R112,Capa!$A:$AJ,BJ$5,0)),0,1/VLOOKUP($R112,Capa!$A:$AJ,BJ$5,0))))</f>
        <v/>
      </c>
      <c r="BK112" s="174" t="str">
        <f>IF(BK$6="","",IF(BK$3="Maior",iferror(VLOOKUP($R112,Capa!$A:$AJ,BK$5,0),0),IF(ISERROR(1/VLOOKUP($R112,Capa!$A:$AJ,BK$5,0)),0,1/VLOOKUP($R112,Capa!$A:$AJ,BK$5,0))))</f>
        <v/>
      </c>
      <c r="BL112" s="174" t="str">
        <f>IF(BL$6="","",IF(BL$3="Maior",iferror(VLOOKUP($R112,Capa!$A:$AJ,BL$5,0),0),IF(ISERROR(1/VLOOKUP($R112,Capa!$A:$AJ,BL$5,0)),0,1/VLOOKUP($R112,Capa!$A:$AJ,BL$5,0))))</f>
        <v/>
      </c>
      <c r="BM112" s="174" t="str">
        <f>IF(BM$6="","",IF(BM$3="Maior",iferror(VLOOKUP($R112,Capa!$A:$AJ,BM$5,0),0),IF(ISERROR(1/VLOOKUP($R112,Capa!$A:$AJ,BM$5,0)),0,1/VLOOKUP($R112,Capa!$A:$AJ,BM$5,0))))</f>
        <v/>
      </c>
      <c r="BN112" s="174" t="str">
        <f>IF(BN$6="","",IF(BN$3="Maior",iferror(VLOOKUP($R112,Capa!$A:$AJ,BN$5,0),0),IF(ISERROR(1/VLOOKUP($R112,Capa!$A:$AJ,BN$5,0)),0,1/VLOOKUP($R112,Capa!$A:$AJ,BN$5,0))))</f>
        <v/>
      </c>
      <c r="BO112" s="174" t="str">
        <f>IF(BO$6="","",IF(BO$3="Maior",iferror(VLOOKUP($R112,Capa!$A:$AJ,BO$5,0),0),IF(ISERROR(1/VLOOKUP($R112,Capa!$A:$AJ,BO$5,0)),0,1/VLOOKUP($R112,Capa!$A:$AJ,BO$5,0))))</f>
        <v/>
      </c>
      <c r="BP112" s="174" t="str">
        <f>IF(BP$6="","",IF(BP$3="Maior",iferror(VLOOKUP($R112,Capa!$A:$AJ,BP$5,0),0),IF(ISERROR(1/VLOOKUP($R112,Capa!$A:$AJ,BP$5,0)),0,1/VLOOKUP($R112,Capa!$A:$AJ,BP$5,0))))</f>
        <v/>
      </c>
      <c r="BQ112" s="174" t="str">
        <f>IF(BQ$6="","",IF(BQ$3="Maior",iferror(VLOOKUP($R112,Capa!$A:$AJ,BQ$5,0),0),IF(ISERROR(1/VLOOKUP($R112,Capa!$A:$AJ,BQ$5,0)),0,1/VLOOKUP($R112,Capa!$A:$AJ,BQ$5,0))))</f>
        <v/>
      </c>
      <c r="BR112" s="175"/>
      <c r="BS112" s="147"/>
    </row>
    <row r="113">
      <c r="G113" s="11"/>
      <c r="H113" s="8">
        <v>107.0</v>
      </c>
      <c r="I113" s="165" t="str">
        <f t="shared" si="6"/>
        <v>EMBJ3</v>
      </c>
      <c r="J113" s="166" t="str">
        <f>(VLOOKUP($I113,Capa!$A:$B,2,0))</f>
        <v>Embraer SA</v>
      </c>
      <c r="K113" s="167" t="str">
        <f>VLOOKUP(left(I113,4),Setor!A:D,3,0)&amp;" | "&amp;VLOOKUP(left(I113,4),Setor!A:D,4,0)</f>
        <v>#N/A</v>
      </c>
      <c r="L113" s="168">
        <f>(VLOOKUP($I113,Capa!$A:$F,6,0))</f>
        <v>93.9</v>
      </c>
      <c r="M113" s="168">
        <f t="shared" si="7"/>
        <v>396000000</v>
      </c>
      <c r="N113" s="11" t="str">
        <f>IFERROR(__xludf.DUMMYFUNCTION("(VLOOKUP($I113,Capa!$A:$H,7,0))"),"")</f>
        <v/>
      </c>
      <c r="O113" s="169">
        <f>(VLOOKUP($I113,Capa!$A:$H,8,0))</f>
        <v>-0.05808004815</v>
      </c>
      <c r="P113" s="11" t="str">
        <f>IFERROR(__xludf.DUMMYFUNCTION("(VLOOKUP($I113,Capa!$A:$J,10,0))"),"")</f>
        <v/>
      </c>
      <c r="Q113" s="169">
        <f>(VLOOKUP($I113,Capa!$A:$K,11,0))</f>
        <v>0.5335619794</v>
      </c>
      <c r="R113" s="45" t="str">
        <f>'Dados StatusInvest'!A108</f>
        <v>BRIV3</v>
      </c>
      <c r="S113" s="170">
        <f t="shared" si="8"/>
        <v>1853.0853</v>
      </c>
      <c r="T113" s="171">
        <f>VLOOKUP(R113,'Dados StatusInvest'!A:Z,26,0)</f>
        <v>0</v>
      </c>
      <c r="U113" s="172">
        <f t="shared" ref="U113:AS113" si="115">IF(AT113="","", RANK(AT113,AT$7:AT$626,0)+RANK(AT113,AT$7:AT$626,0)/10000)</f>
        <v>238.0238</v>
      </c>
      <c r="V113" s="172">
        <f t="shared" si="115"/>
        <v>615.0615</v>
      </c>
      <c r="W113" s="172" t="str">
        <f t="shared" si="115"/>
        <v/>
      </c>
      <c r="X113" s="172" t="str">
        <f t="shared" si="115"/>
        <v/>
      </c>
      <c r="Y113" s="172" t="str">
        <f t="shared" si="115"/>
        <v/>
      </c>
      <c r="Z113" s="172" t="str">
        <f t="shared" si="115"/>
        <v/>
      </c>
      <c r="AA113" s="172" t="str">
        <f t="shared" si="115"/>
        <v/>
      </c>
      <c r="AB113" s="172" t="str">
        <f t="shared" si="115"/>
        <v/>
      </c>
      <c r="AC113" s="172" t="str">
        <f t="shared" si="115"/>
        <v/>
      </c>
      <c r="AD113" s="172" t="str">
        <f t="shared" si="115"/>
        <v/>
      </c>
      <c r="AE113" s="172" t="str">
        <f t="shared" si="115"/>
        <v/>
      </c>
      <c r="AF113" s="172" t="str">
        <f t="shared" si="115"/>
        <v/>
      </c>
      <c r="AG113" s="172" t="str">
        <f t="shared" si="115"/>
        <v/>
      </c>
      <c r="AH113" s="172" t="str">
        <f t="shared" si="115"/>
        <v/>
      </c>
      <c r="AI113" s="172" t="str">
        <f t="shared" si="115"/>
        <v/>
      </c>
      <c r="AJ113" s="172" t="str">
        <f t="shared" si="115"/>
        <v/>
      </c>
      <c r="AK113" s="172" t="str">
        <f t="shared" si="115"/>
        <v/>
      </c>
      <c r="AL113" s="172" t="str">
        <f t="shared" si="115"/>
        <v/>
      </c>
      <c r="AM113" s="172" t="str">
        <f t="shared" si="115"/>
        <v/>
      </c>
      <c r="AN113" s="172" t="str">
        <f t="shared" si="115"/>
        <v/>
      </c>
      <c r="AO113" s="172" t="str">
        <f t="shared" si="115"/>
        <v/>
      </c>
      <c r="AP113" s="172" t="str">
        <f t="shared" si="115"/>
        <v/>
      </c>
      <c r="AQ113" s="172" t="str">
        <f t="shared" si="115"/>
        <v/>
      </c>
      <c r="AR113" s="172" t="str">
        <f t="shared" si="115"/>
        <v/>
      </c>
      <c r="AS113" s="172" t="str">
        <f t="shared" si="115"/>
        <v/>
      </c>
      <c r="AT113" s="173">
        <f>IF(AT$6="","",IF(AT$3="Maior",iferror(VLOOKUP($R113,Capa!$A:$AJ,AT$5,0),0),IF(ISERROR(1/VLOOKUP($R113,Capa!$A:$AJ,AT$5,0)),0,1/VLOOKUP($R113,Capa!$A:$AJ,AT$5,0))))</f>
        <v>-0.4484304933</v>
      </c>
      <c r="AU113" s="174">
        <f>IF(AU$6="","",IF(AU$3="Maior",iferror(VLOOKUP($R113,Capa!$A:$AJ,AU$5,0),0),IF(ISERROR(1/VLOOKUP($R113,Capa!$A:$AJ,AU$5,0)),0,1/VLOOKUP($R113,Capa!$A:$AJ,AU$5,0))))</f>
        <v>-43.98</v>
      </c>
      <c r="AV113" s="174" t="str">
        <f>IF(AV$6="","",IF(AV$3="Maior",iferror(VLOOKUP($R113,Capa!$A:$AJ,AV$5,0),0),IF(ISERROR(1/VLOOKUP($R113,Capa!$A:$AJ,AV$5,0)),0,1/VLOOKUP($R113,Capa!$A:$AJ,AV$5,0))))</f>
        <v/>
      </c>
      <c r="AW113" s="174" t="str">
        <f>IF(AW$6="","",IF(AW$3="Maior",iferror(VLOOKUP($R113,Capa!$A:$AJ,AW$5,0),0),IF(ISERROR(1/VLOOKUP($R113,Capa!$A:$AJ,AW$5,0)),0,1/VLOOKUP($R113,Capa!$A:$AJ,AW$5,0))))</f>
        <v/>
      </c>
      <c r="AX113" s="174" t="str">
        <f>IF(AX$6="","",IF(AX$3="Maior",iferror(VLOOKUP($R113,Capa!$A:$AJ,AX$5,0),0),IF(ISERROR(1/VLOOKUP($R113,Capa!$A:$AJ,AX$5,0)),0,1/VLOOKUP($R113,Capa!$A:$AJ,AX$5,0))))</f>
        <v/>
      </c>
      <c r="AY113" s="174" t="str">
        <f>IF(AY$6="","",IF(AY$3="Maior",iferror(VLOOKUP($R113,Capa!$A:$AJ,AY$5,0),0),IF(ISERROR(1/VLOOKUP($R113,Capa!$A:$AJ,AY$5,0)),0,1/VLOOKUP($R113,Capa!$A:$AJ,AY$5,0))))</f>
        <v/>
      </c>
      <c r="AZ113" s="174" t="str">
        <f>IF(AZ$6="","",IF(AZ$3="Maior",iferror(VLOOKUP($R113,Capa!$A:$AJ,AZ$5,0),0),IF(ISERROR(1/VLOOKUP($R113,Capa!$A:$AJ,AZ$5,0)),0,1/VLOOKUP($R113,Capa!$A:$AJ,AZ$5,0))))</f>
        <v/>
      </c>
      <c r="BA113" s="174" t="str">
        <f>IF(BA$6="","",IF(BA$3="Maior",iferror(VLOOKUP($R113,Capa!$A:$AJ,BA$5,0),0),IF(ISERROR(1/VLOOKUP($R113,Capa!$A:$AJ,BA$5,0)),0,1/VLOOKUP($R113,Capa!$A:$AJ,BA$5,0))))</f>
        <v/>
      </c>
      <c r="BB113" s="174" t="str">
        <f>IF(BB$6="","",IF(BB$3="Maior",iferror(VLOOKUP($R113,Capa!$A:$AJ,BB$5,0),0),IF(ISERROR(1/VLOOKUP($R113,Capa!$A:$AJ,BB$5,0)),0,1/VLOOKUP($R113,Capa!$A:$AJ,BB$5,0))))</f>
        <v/>
      </c>
      <c r="BC113" s="174" t="str">
        <f>IF(BC$6="","",IF(BC$3="Maior",iferror(VLOOKUP($R113,Capa!$A:$AJ,BC$5,0),0),IF(ISERROR(1/VLOOKUP($R113,Capa!$A:$AJ,BC$5,0)),0,1/VLOOKUP($R113,Capa!$A:$AJ,BC$5,0))))</f>
        <v/>
      </c>
      <c r="BD113" s="174" t="str">
        <f>IF(BD$6="","",IF(BD$3="Maior",iferror(VLOOKUP($R113,Capa!$A:$AJ,BD$5,0),0),IF(ISERROR(1/VLOOKUP($R113,Capa!$A:$AJ,BD$5,0)),0,1/VLOOKUP($R113,Capa!$A:$AJ,BD$5,0))))</f>
        <v/>
      </c>
      <c r="BE113" s="174" t="str">
        <f>IF(BE$6="","",IF(BE$3="Maior",iferror(VLOOKUP($R113,Capa!$A:$AJ,BE$5,0),0),IF(ISERROR(1/VLOOKUP($R113,Capa!$A:$AJ,BE$5,0)),0,1/VLOOKUP($R113,Capa!$A:$AJ,BE$5,0))))</f>
        <v/>
      </c>
      <c r="BF113" s="174" t="str">
        <f>IF(BF$6="","",IF(BF$3="Maior",iferror(VLOOKUP($R113,Capa!$A:$AJ,BF$5,0),0),IF(ISERROR(1/VLOOKUP($R113,Capa!$A:$AJ,BF$5,0)),0,1/VLOOKUP($R113,Capa!$A:$AJ,BF$5,0))))</f>
        <v/>
      </c>
      <c r="BG113" s="174" t="str">
        <f>IF(BG$6="","",IF(BG$3="Maior",iferror(VLOOKUP($R113,Capa!$A:$AJ,BG$5,0),0),IF(ISERROR(1/VLOOKUP($R113,Capa!$A:$AJ,BG$5,0)),0,1/VLOOKUP($R113,Capa!$A:$AJ,BG$5,0))))</f>
        <v/>
      </c>
      <c r="BH113" s="174" t="str">
        <f>IF(BH$6="","",IF(BH$3="Maior",iferror(VLOOKUP($R113,Capa!$A:$AJ,BH$5,0),0),IF(ISERROR(1/VLOOKUP($R113,Capa!$A:$AJ,BH$5,0)),0,1/VLOOKUP($R113,Capa!$A:$AJ,BH$5,0))))</f>
        <v/>
      </c>
      <c r="BI113" s="174" t="str">
        <f>IF(BI$6="","",IF(BI$3="Maior",iferror(VLOOKUP($R113,Capa!$A:$AJ,BI$5,0),0),IF(ISERROR(1/VLOOKUP($R113,Capa!$A:$AJ,BI$5,0)),0,1/VLOOKUP($R113,Capa!$A:$AJ,BI$5,0))))</f>
        <v/>
      </c>
      <c r="BJ113" s="174" t="str">
        <f>IF(BJ$6="","",IF(BJ$3="Maior",iferror(VLOOKUP($R113,Capa!$A:$AJ,BJ$5,0),0),IF(ISERROR(1/VLOOKUP($R113,Capa!$A:$AJ,BJ$5,0)),0,1/VLOOKUP($R113,Capa!$A:$AJ,BJ$5,0))))</f>
        <v/>
      </c>
      <c r="BK113" s="174" t="str">
        <f>IF(BK$6="","",IF(BK$3="Maior",iferror(VLOOKUP($R113,Capa!$A:$AJ,BK$5,0),0),IF(ISERROR(1/VLOOKUP($R113,Capa!$A:$AJ,BK$5,0)),0,1/VLOOKUP($R113,Capa!$A:$AJ,BK$5,0))))</f>
        <v/>
      </c>
      <c r="BL113" s="174" t="str">
        <f>IF(BL$6="","",IF(BL$3="Maior",iferror(VLOOKUP($R113,Capa!$A:$AJ,BL$5,0),0),IF(ISERROR(1/VLOOKUP($R113,Capa!$A:$AJ,BL$5,0)),0,1/VLOOKUP($R113,Capa!$A:$AJ,BL$5,0))))</f>
        <v/>
      </c>
      <c r="BM113" s="174" t="str">
        <f>IF(BM$6="","",IF(BM$3="Maior",iferror(VLOOKUP($R113,Capa!$A:$AJ,BM$5,0),0),IF(ISERROR(1/VLOOKUP($R113,Capa!$A:$AJ,BM$5,0)),0,1/VLOOKUP($R113,Capa!$A:$AJ,BM$5,0))))</f>
        <v/>
      </c>
      <c r="BN113" s="174" t="str">
        <f>IF(BN$6="","",IF(BN$3="Maior",iferror(VLOOKUP($R113,Capa!$A:$AJ,BN$5,0),0),IF(ISERROR(1/VLOOKUP($R113,Capa!$A:$AJ,BN$5,0)),0,1/VLOOKUP($R113,Capa!$A:$AJ,BN$5,0))))</f>
        <v/>
      </c>
      <c r="BO113" s="174" t="str">
        <f>IF(BO$6="","",IF(BO$3="Maior",iferror(VLOOKUP($R113,Capa!$A:$AJ,BO$5,0),0),IF(ISERROR(1/VLOOKUP($R113,Capa!$A:$AJ,BO$5,0)),0,1/VLOOKUP($R113,Capa!$A:$AJ,BO$5,0))))</f>
        <v/>
      </c>
      <c r="BP113" s="174" t="str">
        <f>IF(BP$6="","",IF(BP$3="Maior",iferror(VLOOKUP($R113,Capa!$A:$AJ,BP$5,0),0),IF(ISERROR(1/VLOOKUP($R113,Capa!$A:$AJ,BP$5,0)),0,1/VLOOKUP($R113,Capa!$A:$AJ,BP$5,0))))</f>
        <v/>
      </c>
      <c r="BQ113" s="174" t="str">
        <f>IF(BQ$6="","",IF(BQ$3="Maior",iferror(VLOOKUP($R113,Capa!$A:$AJ,BQ$5,0),0),IF(ISERROR(1/VLOOKUP($R113,Capa!$A:$AJ,BQ$5,0)),0,1/VLOOKUP($R113,Capa!$A:$AJ,BQ$5,0))))</f>
        <v/>
      </c>
      <c r="BR113" s="175"/>
      <c r="BS113" s="147"/>
    </row>
    <row r="114">
      <c r="G114" s="11"/>
      <c r="H114" s="8">
        <v>108.0</v>
      </c>
      <c r="I114" s="165" t="str">
        <f t="shared" si="6"/>
        <v>BLAU3</v>
      </c>
      <c r="J114" s="166" t="str">
        <f>(VLOOKUP($I114,Capa!$A:$B,2,0))</f>
        <v>Blau Farmaceutica SA</v>
      </c>
      <c r="K114" s="167" t="str">
        <f>VLOOKUP(left(I114,4),Setor!A:D,3,0)&amp;" | "&amp;VLOOKUP(left(I114,4),Setor!A:D,4,0)</f>
        <v>Consumo Cíclico | Medicamentos e Outros Produtos</v>
      </c>
      <c r="L114" s="168">
        <f>(VLOOKUP($I114,Capa!$A:$F,6,0))</f>
        <v>11.17</v>
      </c>
      <c r="M114" s="168">
        <f t="shared" si="7"/>
        <v>7043886</v>
      </c>
      <c r="N114" s="11" t="str">
        <f>IFERROR(__xludf.DUMMYFUNCTION("(VLOOKUP($I114,Capa!$A:$H,7,0))"),"")</f>
        <v/>
      </c>
      <c r="O114" s="169">
        <f>(VLOOKUP($I114,Capa!$A:$H,8,0))</f>
        <v>0.2397336293</v>
      </c>
      <c r="P114" s="11" t="str">
        <f>IFERROR(__xludf.DUMMYFUNCTION("(VLOOKUP($I114,Capa!$A:$J,10,0))"),"")</f>
        <v/>
      </c>
      <c r="Q114" s="169">
        <f>(VLOOKUP($I114,Capa!$A:$K,11,0))</f>
        <v>0.1882978723</v>
      </c>
      <c r="R114" s="45" t="str">
        <f>'Dados StatusInvest'!A109</f>
        <v>BRIV4</v>
      </c>
      <c r="S114" s="170">
        <f t="shared" si="8"/>
        <v>1858.0858</v>
      </c>
      <c r="T114" s="171">
        <f>VLOOKUP(R114,'Dados StatusInvest'!A:Z,26,0)</f>
        <v>0</v>
      </c>
      <c r="U114" s="172">
        <f t="shared" ref="U114:AS114" si="116">IF(AT114="","", RANK(AT114,AT$7:AT$626,0)+RANK(AT114,AT$7:AT$626,0)/10000)</f>
        <v>243.0243</v>
      </c>
      <c r="V114" s="172">
        <f t="shared" si="116"/>
        <v>615.0615</v>
      </c>
      <c r="W114" s="172" t="str">
        <f t="shared" si="116"/>
        <v/>
      </c>
      <c r="X114" s="172" t="str">
        <f t="shared" si="116"/>
        <v/>
      </c>
      <c r="Y114" s="172" t="str">
        <f t="shared" si="116"/>
        <v/>
      </c>
      <c r="Z114" s="172" t="str">
        <f t="shared" si="116"/>
        <v/>
      </c>
      <c r="AA114" s="172" t="str">
        <f t="shared" si="116"/>
        <v/>
      </c>
      <c r="AB114" s="172" t="str">
        <f t="shared" si="116"/>
        <v/>
      </c>
      <c r="AC114" s="172" t="str">
        <f t="shared" si="116"/>
        <v/>
      </c>
      <c r="AD114" s="172" t="str">
        <f t="shared" si="116"/>
        <v/>
      </c>
      <c r="AE114" s="172" t="str">
        <f t="shared" si="116"/>
        <v/>
      </c>
      <c r="AF114" s="172" t="str">
        <f t="shared" si="116"/>
        <v/>
      </c>
      <c r="AG114" s="172" t="str">
        <f t="shared" si="116"/>
        <v/>
      </c>
      <c r="AH114" s="172" t="str">
        <f t="shared" si="116"/>
        <v/>
      </c>
      <c r="AI114" s="172" t="str">
        <f t="shared" si="116"/>
        <v/>
      </c>
      <c r="AJ114" s="172" t="str">
        <f t="shared" si="116"/>
        <v/>
      </c>
      <c r="AK114" s="172" t="str">
        <f t="shared" si="116"/>
        <v/>
      </c>
      <c r="AL114" s="172" t="str">
        <f t="shared" si="116"/>
        <v/>
      </c>
      <c r="AM114" s="172" t="str">
        <f t="shared" si="116"/>
        <v/>
      </c>
      <c r="AN114" s="172" t="str">
        <f t="shared" si="116"/>
        <v/>
      </c>
      <c r="AO114" s="172" t="str">
        <f t="shared" si="116"/>
        <v/>
      </c>
      <c r="AP114" s="172" t="str">
        <f t="shared" si="116"/>
        <v/>
      </c>
      <c r="AQ114" s="172" t="str">
        <f t="shared" si="116"/>
        <v/>
      </c>
      <c r="AR114" s="172" t="str">
        <f t="shared" si="116"/>
        <v/>
      </c>
      <c r="AS114" s="172" t="str">
        <f t="shared" si="116"/>
        <v/>
      </c>
      <c r="AT114" s="173">
        <f>IF(AT$6="","",IF(AT$3="Maior",iferror(VLOOKUP($R114,Capa!$A:$AJ,AT$5,0),0),IF(ISERROR(1/VLOOKUP($R114,Capa!$A:$AJ,AT$5,0)),0,1/VLOOKUP($R114,Capa!$A:$AJ,AT$5,0))))</f>
        <v>-0.4587155963</v>
      </c>
      <c r="AU114" s="174">
        <f>IF(AU$6="","",IF(AU$3="Maior",iferror(VLOOKUP($R114,Capa!$A:$AJ,AU$5,0),0),IF(ISERROR(1/VLOOKUP($R114,Capa!$A:$AJ,AU$5,0)),0,1/VLOOKUP($R114,Capa!$A:$AJ,AU$5,0))))</f>
        <v>-43.98</v>
      </c>
      <c r="AV114" s="174" t="str">
        <f>IF(AV$6="","",IF(AV$3="Maior",iferror(VLOOKUP($R114,Capa!$A:$AJ,AV$5,0),0),IF(ISERROR(1/VLOOKUP($R114,Capa!$A:$AJ,AV$5,0)),0,1/VLOOKUP($R114,Capa!$A:$AJ,AV$5,0))))</f>
        <v/>
      </c>
      <c r="AW114" s="174" t="str">
        <f>IF(AW$6="","",IF(AW$3="Maior",iferror(VLOOKUP($R114,Capa!$A:$AJ,AW$5,0),0),IF(ISERROR(1/VLOOKUP($R114,Capa!$A:$AJ,AW$5,0)),0,1/VLOOKUP($R114,Capa!$A:$AJ,AW$5,0))))</f>
        <v/>
      </c>
      <c r="AX114" s="174" t="str">
        <f>IF(AX$6="","",IF(AX$3="Maior",iferror(VLOOKUP($R114,Capa!$A:$AJ,AX$5,0),0),IF(ISERROR(1/VLOOKUP($R114,Capa!$A:$AJ,AX$5,0)),0,1/VLOOKUP($R114,Capa!$A:$AJ,AX$5,0))))</f>
        <v/>
      </c>
      <c r="AY114" s="174" t="str">
        <f>IF(AY$6="","",IF(AY$3="Maior",iferror(VLOOKUP($R114,Capa!$A:$AJ,AY$5,0),0),IF(ISERROR(1/VLOOKUP($R114,Capa!$A:$AJ,AY$5,0)),0,1/VLOOKUP($R114,Capa!$A:$AJ,AY$5,0))))</f>
        <v/>
      </c>
      <c r="AZ114" s="174" t="str">
        <f>IF(AZ$6="","",IF(AZ$3="Maior",iferror(VLOOKUP($R114,Capa!$A:$AJ,AZ$5,0),0),IF(ISERROR(1/VLOOKUP($R114,Capa!$A:$AJ,AZ$5,0)),0,1/VLOOKUP($R114,Capa!$A:$AJ,AZ$5,0))))</f>
        <v/>
      </c>
      <c r="BA114" s="174" t="str">
        <f>IF(BA$6="","",IF(BA$3="Maior",iferror(VLOOKUP($R114,Capa!$A:$AJ,BA$5,0),0),IF(ISERROR(1/VLOOKUP($R114,Capa!$A:$AJ,BA$5,0)),0,1/VLOOKUP($R114,Capa!$A:$AJ,BA$5,0))))</f>
        <v/>
      </c>
      <c r="BB114" s="174" t="str">
        <f>IF(BB$6="","",IF(BB$3="Maior",iferror(VLOOKUP($R114,Capa!$A:$AJ,BB$5,0),0),IF(ISERROR(1/VLOOKUP($R114,Capa!$A:$AJ,BB$5,0)),0,1/VLOOKUP($R114,Capa!$A:$AJ,BB$5,0))))</f>
        <v/>
      </c>
      <c r="BC114" s="174" t="str">
        <f>IF(BC$6="","",IF(BC$3="Maior",iferror(VLOOKUP($R114,Capa!$A:$AJ,BC$5,0),0),IF(ISERROR(1/VLOOKUP($R114,Capa!$A:$AJ,BC$5,0)),0,1/VLOOKUP($R114,Capa!$A:$AJ,BC$5,0))))</f>
        <v/>
      </c>
      <c r="BD114" s="174" t="str">
        <f>IF(BD$6="","",IF(BD$3="Maior",iferror(VLOOKUP($R114,Capa!$A:$AJ,BD$5,0),0),IF(ISERROR(1/VLOOKUP($R114,Capa!$A:$AJ,BD$5,0)),0,1/VLOOKUP($R114,Capa!$A:$AJ,BD$5,0))))</f>
        <v/>
      </c>
      <c r="BE114" s="174" t="str">
        <f>IF(BE$6="","",IF(BE$3="Maior",iferror(VLOOKUP($R114,Capa!$A:$AJ,BE$5,0),0),IF(ISERROR(1/VLOOKUP($R114,Capa!$A:$AJ,BE$5,0)),0,1/VLOOKUP($R114,Capa!$A:$AJ,BE$5,0))))</f>
        <v/>
      </c>
      <c r="BF114" s="174" t="str">
        <f>IF(BF$6="","",IF(BF$3="Maior",iferror(VLOOKUP($R114,Capa!$A:$AJ,BF$5,0),0),IF(ISERROR(1/VLOOKUP($R114,Capa!$A:$AJ,BF$5,0)),0,1/VLOOKUP($R114,Capa!$A:$AJ,BF$5,0))))</f>
        <v/>
      </c>
      <c r="BG114" s="174" t="str">
        <f>IF(BG$6="","",IF(BG$3="Maior",iferror(VLOOKUP($R114,Capa!$A:$AJ,BG$5,0),0),IF(ISERROR(1/VLOOKUP($R114,Capa!$A:$AJ,BG$5,0)),0,1/VLOOKUP($R114,Capa!$A:$AJ,BG$5,0))))</f>
        <v/>
      </c>
      <c r="BH114" s="174" t="str">
        <f>IF(BH$6="","",IF(BH$3="Maior",iferror(VLOOKUP($R114,Capa!$A:$AJ,BH$5,0),0),IF(ISERROR(1/VLOOKUP($R114,Capa!$A:$AJ,BH$5,0)),0,1/VLOOKUP($R114,Capa!$A:$AJ,BH$5,0))))</f>
        <v/>
      </c>
      <c r="BI114" s="174" t="str">
        <f>IF(BI$6="","",IF(BI$3="Maior",iferror(VLOOKUP($R114,Capa!$A:$AJ,BI$5,0),0),IF(ISERROR(1/VLOOKUP($R114,Capa!$A:$AJ,BI$5,0)),0,1/VLOOKUP($R114,Capa!$A:$AJ,BI$5,0))))</f>
        <v/>
      </c>
      <c r="BJ114" s="174" t="str">
        <f>IF(BJ$6="","",IF(BJ$3="Maior",iferror(VLOOKUP($R114,Capa!$A:$AJ,BJ$5,0),0),IF(ISERROR(1/VLOOKUP($R114,Capa!$A:$AJ,BJ$5,0)),0,1/VLOOKUP($R114,Capa!$A:$AJ,BJ$5,0))))</f>
        <v/>
      </c>
      <c r="BK114" s="174" t="str">
        <f>IF(BK$6="","",IF(BK$3="Maior",iferror(VLOOKUP($R114,Capa!$A:$AJ,BK$5,0),0),IF(ISERROR(1/VLOOKUP($R114,Capa!$A:$AJ,BK$5,0)),0,1/VLOOKUP($R114,Capa!$A:$AJ,BK$5,0))))</f>
        <v/>
      </c>
      <c r="BL114" s="174" t="str">
        <f>IF(BL$6="","",IF(BL$3="Maior",iferror(VLOOKUP($R114,Capa!$A:$AJ,BL$5,0),0),IF(ISERROR(1/VLOOKUP($R114,Capa!$A:$AJ,BL$5,0)),0,1/VLOOKUP($R114,Capa!$A:$AJ,BL$5,0))))</f>
        <v/>
      </c>
      <c r="BM114" s="174" t="str">
        <f>IF(BM$6="","",IF(BM$3="Maior",iferror(VLOOKUP($R114,Capa!$A:$AJ,BM$5,0),0),IF(ISERROR(1/VLOOKUP($R114,Capa!$A:$AJ,BM$5,0)),0,1/VLOOKUP($R114,Capa!$A:$AJ,BM$5,0))))</f>
        <v/>
      </c>
      <c r="BN114" s="174" t="str">
        <f>IF(BN$6="","",IF(BN$3="Maior",iferror(VLOOKUP($R114,Capa!$A:$AJ,BN$5,0),0),IF(ISERROR(1/VLOOKUP($R114,Capa!$A:$AJ,BN$5,0)),0,1/VLOOKUP($R114,Capa!$A:$AJ,BN$5,0))))</f>
        <v/>
      </c>
      <c r="BO114" s="174" t="str">
        <f>IF(BO$6="","",IF(BO$3="Maior",iferror(VLOOKUP($R114,Capa!$A:$AJ,BO$5,0),0),IF(ISERROR(1/VLOOKUP($R114,Capa!$A:$AJ,BO$5,0)),0,1/VLOOKUP($R114,Capa!$A:$AJ,BO$5,0))))</f>
        <v/>
      </c>
      <c r="BP114" s="174" t="str">
        <f>IF(BP$6="","",IF(BP$3="Maior",iferror(VLOOKUP($R114,Capa!$A:$AJ,BP$5,0),0),IF(ISERROR(1/VLOOKUP($R114,Capa!$A:$AJ,BP$5,0)),0,1/VLOOKUP($R114,Capa!$A:$AJ,BP$5,0))))</f>
        <v/>
      </c>
      <c r="BQ114" s="174" t="str">
        <f>IF(BQ$6="","",IF(BQ$3="Maior",iferror(VLOOKUP($R114,Capa!$A:$AJ,BQ$5,0),0),IF(ISERROR(1/VLOOKUP($R114,Capa!$A:$AJ,BQ$5,0)),0,1/VLOOKUP($R114,Capa!$A:$AJ,BQ$5,0))))</f>
        <v/>
      </c>
      <c r="BR114" s="175"/>
      <c r="BS114" s="147"/>
    </row>
    <row r="115">
      <c r="G115" s="11"/>
      <c r="H115" s="8">
        <v>109.0</v>
      </c>
      <c r="I115" s="165" t="str">
        <f t="shared" si="6"/>
        <v>BLAU3</v>
      </c>
      <c r="J115" s="166" t="str">
        <f>(VLOOKUP($I115,Capa!$A:$B,2,0))</f>
        <v>Blau Farmaceutica SA</v>
      </c>
      <c r="K115" s="167" t="str">
        <f>VLOOKUP(left(I115,4),Setor!A:D,3,0)&amp;" | "&amp;VLOOKUP(left(I115,4),Setor!A:D,4,0)</f>
        <v>Consumo Cíclico | Medicamentos e Outros Produtos</v>
      </c>
      <c r="L115" s="168">
        <f>(VLOOKUP($I115,Capa!$A:$F,6,0))</f>
        <v>11.17</v>
      </c>
      <c r="M115" s="168">
        <f t="shared" si="7"/>
        <v>7043886</v>
      </c>
      <c r="N115" s="11" t="str">
        <f>IFERROR(__xludf.DUMMYFUNCTION("(VLOOKUP($I115,Capa!$A:$H,7,0))"),"")</f>
        <v/>
      </c>
      <c r="O115" s="169">
        <f>(VLOOKUP($I115,Capa!$A:$H,8,0))</f>
        <v>0.2397336293</v>
      </c>
      <c r="P115" s="11" t="str">
        <f>IFERROR(__xludf.DUMMYFUNCTION("(VLOOKUP($I115,Capa!$A:$J,10,0))"),"")</f>
        <v/>
      </c>
      <c r="Q115" s="169">
        <f>(VLOOKUP($I115,Capa!$A:$K,11,0))</f>
        <v>0.1882978723</v>
      </c>
      <c r="R115" s="45" t="str">
        <f>'Dados StatusInvest'!A110</f>
        <v>BRKM3</v>
      </c>
      <c r="S115" s="170">
        <f t="shared" si="8"/>
        <v>1843.0843</v>
      </c>
      <c r="T115" s="171">
        <f>VLOOKUP(R115,'Dados StatusInvest'!A:Z,26,0)</f>
        <v>453130.5</v>
      </c>
      <c r="U115" s="172">
        <f t="shared" ref="U115:AS115" si="117">IF(AT115="","", RANK(AT115,AT$7:AT$626,0)+RANK(AT115,AT$7:AT$626,0)/10000)</f>
        <v>576.0576</v>
      </c>
      <c r="V115" s="172">
        <f t="shared" si="117"/>
        <v>267.0267</v>
      </c>
      <c r="W115" s="172" t="str">
        <f t="shared" si="117"/>
        <v/>
      </c>
      <c r="X115" s="172" t="str">
        <f t="shared" si="117"/>
        <v/>
      </c>
      <c r="Y115" s="172" t="str">
        <f t="shared" si="117"/>
        <v/>
      </c>
      <c r="Z115" s="172" t="str">
        <f t="shared" si="117"/>
        <v/>
      </c>
      <c r="AA115" s="172" t="str">
        <f t="shared" si="117"/>
        <v/>
      </c>
      <c r="AB115" s="172" t="str">
        <f t="shared" si="117"/>
        <v/>
      </c>
      <c r="AC115" s="172" t="str">
        <f t="shared" si="117"/>
        <v/>
      </c>
      <c r="AD115" s="172" t="str">
        <f t="shared" si="117"/>
        <v/>
      </c>
      <c r="AE115" s="172" t="str">
        <f t="shared" si="117"/>
        <v/>
      </c>
      <c r="AF115" s="172" t="str">
        <f t="shared" si="117"/>
        <v/>
      </c>
      <c r="AG115" s="172" t="str">
        <f t="shared" si="117"/>
        <v/>
      </c>
      <c r="AH115" s="172" t="str">
        <f t="shared" si="117"/>
        <v/>
      </c>
      <c r="AI115" s="172" t="str">
        <f t="shared" si="117"/>
        <v/>
      </c>
      <c r="AJ115" s="172" t="str">
        <f t="shared" si="117"/>
        <v/>
      </c>
      <c r="AK115" s="172" t="str">
        <f t="shared" si="117"/>
        <v/>
      </c>
      <c r="AL115" s="172" t="str">
        <f t="shared" si="117"/>
        <v/>
      </c>
      <c r="AM115" s="172" t="str">
        <f t="shared" si="117"/>
        <v/>
      </c>
      <c r="AN115" s="172" t="str">
        <f t="shared" si="117"/>
        <v/>
      </c>
      <c r="AO115" s="172" t="str">
        <f t="shared" si="117"/>
        <v/>
      </c>
      <c r="AP115" s="172" t="str">
        <f t="shared" si="117"/>
        <v/>
      </c>
      <c r="AQ115" s="172" t="str">
        <f t="shared" si="117"/>
        <v/>
      </c>
      <c r="AR115" s="172" t="str">
        <f t="shared" si="117"/>
        <v/>
      </c>
      <c r="AS115" s="172" t="str">
        <f t="shared" si="117"/>
        <v/>
      </c>
      <c r="AT115" s="173">
        <f>IF(AT$6="","",IF(AT$3="Maior",iferror(VLOOKUP($R115,Capa!$A:$AJ,AT$5,0),0),IF(ISERROR(1/VLOOKUP($R115,Capa!$A:$AJ,AT$5,0)),0,1/VLOOKUP($R115,Capa!$A:$AJ,AT$5,0))))</f>
        <v>-8.938120703</v>
      </c>
      <c r="AU115" s="174">
        <f>IF(AU$6="","",IF(AU$3="Maior",iferror(VLOOKUP($R115,Capa!$A:$AJ,AU$5,0),0),IF(ISERROR(1/VLOOKUP($R115,Capa!$A:$AJ,AU$5,0)),0,1/VLOOKUP($R115,Capa!$A:$AJ,AU$5,0))))</f>
        <v>0</v>
      </c>
      <c r="AV115" s="174" t="str">
        <f>IF(AV$6="","",IF(AV$3="Maior",iferror(VLOOKUP($R115,Capa!$A:$AJ,AV$5,0),0),IF(ISERROR(1/VLOOKUP($R115,Capa!$A:$AJ,AV$5,0)),0,1/VLOOKUP($R115,Capa!$A:$AJ,AV$5,0))))</f>
        <v/>
      </c>
      <c r="AW115" s="174" t="str">
        <f>IF(AW$6="","",IF(AW$3="Maior",iferror(VLOOKUP($R115,Capa!$A:$AJ,AW$5,0),0),IF(ISERROR(1/VLOOKUP($R115,Capa!$A:$AJ,AW$5,0)),0,1/VLOOKUP($R115,Capa!$A:$AJ,AW$5,0))))</f>
        <v/>
      </c>
      <c r="AX115" s="174" t="str">
        <f>IF(AX$6="","",IF(AX$3="Maior",iferror(VLOOKUP($R115,Capa!$A:$AJ,AX$5,0),0),IF(ISERROR(1/VLOOKUP($R115,Capa!$A:$AJ,AX$5,0)),0,1/VLOOKUP($R115,Capa!$A:$AJ,AX$5,0))))</f>
        <v/>
      </c>
      <c r="AY115" s="174" t="str">
        <f>IF(AY$6="","",IF(AY$3="Maior",iferror(VLOOKUP($R115,Capa!$A:$AJ,AY$5,0),0),IF(ISERROR(1/VLOOKUP($R115,Capa!$A:$AJ,AY$5,0)),0,1/VLOOKUP($R115,Capa!$A:$AJ,AY$5,0))))</f>
        <v/>
      </c>
      <c r="AZ115" s="174" t="str">
        <f>IF(AZ$6="","",IF(AZ$3="Maior",iferror(VLOOKUP($R115,Capa!$A:$AJ,AZ$5,0),0),IF(ISERROR(1/VLOOKUP($R115,Capa!$A:$AJ,AZ$5,0)),0,1/VLOOKUP($R115,Capa!$A:$AJ,AZ$5,0))))</f>
        <v/>
      </c>
      <c r="BA115" s="174" t="str">
        <f>IF(BA$6="","",IF(BA$3="Maior",iferror(VLOOKUP($R115,Capa!$A:$AJ,BA$5,0),0),IF(ISERROR(1/VLOOKUP($R115,Capa!$A:$AJ,BA$5,0)),0,1/VLOOKUP($R115,Capa!$A:$AJ,BA$5,0))))</f>
        <v/>
      </c>
      <c r="BB115" s="174" t="str">
        <f>IF(BB$6="","",IF(BB$3="Maior",iferror(VLOOKUP($R115,Capa!$A:$AJ,BB$5,0),0),IF(ISERROR(1/VLOOKUP($R115,Capa!$A:$AJ,BB$5,0)),0,1/VLOOKUP($R115,Capa!$A:$AJ,BB$5,0))))</f>
        <v/>
      </c>
      <c r="BC115" s="174" t="str">
        <f>IF(BC$6="","",IF(BC$3="Maior",iferror(VLOOKUP($R115,Capa!$A:$AJ,BC$5,0),0),IF(ISERROR(1/VLOOKUP($R115,Capa!$A:$AJ,BC$5,0)),0,1/VLOOKUP($R115,Capa!$A:$AJ,BC$5,0))))</f>
        <v/>
      </c>
      <c r="BD115" s="174" t="str">
        <f>IF(BD$6="","",IF(BD$3="Maior",iferror(VLOOKUP($R115,Capa!$A:$AJ,BD$5,0),0),IF(ISERROR(1/VLOOKUP($R115,Capa!$A:$AJ,BD$5,0)),0,1/VLOOKUP($R115,Capa!$A:$AJ,BD$5,0))))</f>
        <v/>
      </c>
      <c r="BE115" s="174" t="str">
        <f>IF(BE$6="","",IF(BE$3="Maior",iferror(VLOOKUP($R115,Capa!$A:$AJ,BE$5,0),0),IF(ISERROR(1/VLOOKUP($R115,Capa!$A:$AJ,BE$5,0)),0,1/VLOOKUP($R115,Capa!$A:$AJ,BE$5,0))))</f>
        <v/>
      </c>
      <c r="BF115" s="174" t="str">
        <f>IF(BF$6="","",IF(BF$3="Maior",iferror(VLOOKUP($R115,Capa!$A:$AJ,BF$5,0),0),IF(ISERROR(1/VLOOKUP($R115,Capa!$A:$AJ,BF$5,0)),0,1/VLOOKUP($R115,Capa!$A:$AJ,BF$5,0))))</f>
        <v/>
      </c>
      <c r="BG115" s="174" t="str">
        <f>IF(BG$6="","",IF(BG$3="Maior",iferror(VLOOKUP($R115,Capa!$A:$AJ,BG$5,0),0),IF(ISERROR(1/VLOOKUP($R115,Capa!$A:$AJ,BG$5,0)),0,1/VLOOKUP($R115,Capa!$A:$AJ,BG$5,0))))</f>
        <v/>
      </c>
      <c r="BH115" s="174" t="str">
        <f>IF(BH$6="","",IF(BH$3="Maior",iferror(VLOOKUP($R115,Capa!$A:$AJ,BH$5,0),0),IF(ISERROR(1/VLOOKUP($R115,Capa!$A:$AJ,BH$5,0)),0,1/VLOOKUP($R115,Capa!$A:$AJ,BH$5,0))))</f>
        <v/>
      </c>
      <c r="BI115" s="174" t="str">
        <f>IF(BI$6="","",IF(BI$3="Maior",iferror(VLOOKUP($R115,Capa!$A:$AJ,BI$5,0),0),IF(ISERROR(1/VLOOKUP($R115,Capa!$A:$AJ,BI$5,0)),0,1/VLOOKUP($R115,Capa!$A:$AJ,BI$5,0))))</f>
        <v/>
      </c>
      <c r="BJ115" s="174" t="str">
        <f>IF(BJ$6="","",IF(BJ$3="Maior",iferror(VLOOKUP($R115,Capa!$A:$AJ,BJ$5,0),0),IF(ISERROR(1/VLOOKUP($R115,Capa!$A:$AJ,BJ$5,0)),0,1/VLOOKUP($R115,Capa!$A:$AJ,BJ$5,0))))</f>
        <v/>
      </c>
      <c r="BK115" s="174" t="str">
        <f>IF(BK$6="","",IF(BK$3="Maior",iferror(VLOOKUP($R115,Capa!$A:$AJ,BK$5,0),0),IF(ISERROR(1/VLOOKUP($R115,Capa!$A:$AJ,BK$5,0)),0,1/VLOOKUP($R115,Capa!$A:$AJ,BK$5,0))))</f>
        <v/>
      </c>
      <c r="BL115" s="174" t="str">
        <f>IF(BL$6="","",IF(BL$3="Maior",iferror(VLOOKUP($R115,Capa!$A:$AJ,BL$5,0),0),IF(ISERROR(1/VLOOKUP($R115,Capa!$A:$AJ,BL$5,0)),0,1/VLOOKUP($R115,Capa!$A:$AJ,BL$5,0))))</f>
        <v/>
      </c>
      <c r="BM115" s="174" t="str">
        <f>IF(BM$6="","",IF(BM$3="Maior",iferror(VLOOKUP($R115,Capa!$A:$AJ,BM$5,0),0),IF(ISERROR(1/VLOOKUP($R115,Capa!$A:$AJ,BM$5,0)),0,1/VLOOKUP($R115,Capa!$A:$AJ,BM$5,0))))</f>
        <v/>
      </c>
      <c r="BN115" s="174" t="str">
        <f>IF(BN$6="","",IF(BN$3="Maior",iferror(VLOOKUP($R115,Capa!$A:$AJ,BN$5,0),0),IF(ISERROR(1/VLOOKUP($R115,Capa!$A:$AJ,BN$5,0)),0,1/VLOOKUP($R115,Capa!$A:$AJ,BN$5,0))))</f>
        <v/>
      </c>
      <c r="BO115" s="174" t="str">
        <f>IF(BO$6="","",IF(BO$3="Maior",iferror(VLOOKUP($R115,Capa!$A:$AJ,BO$5,0),0),IF(ISERROR(1/VLOOKUP($R115,Capa!$A:$AJ,BO$5,0)),0,1/VLOOKUP($R115,Capa!$A:$AJ,BO$5,0))))</f>
        <v/>
      </c>
      <c r="BP115" s="174" t="str">
        <f>IF(BP$6="","",IF(BP$3="Maior",iferror(VLOOKUP($R115,Capa!$A:$AJ,BP$5,0),0),IF(ISERROR(1/VLOOKUP($R115,Capa!$A:$AJ,BP$5,0)),0,1/VLOOKUP($R115,Capa!$A:$AJ,BP$5,0))))</f>
        <v/>
      </c>
      <c r="BQ115" s="174" t="str">
        <f>IF(BQ$6="","",IF(BQ$3="Maior",iferror(VLOOKUP($R115,Capa!$A:$AJ,BQ$5,0),0),IF(ISERROR(1/VLOOKUP($R115,Capa!$A:$AJ,BQ$5,0)),0,1/VLOOKUP($R115,Capa!$A:$AJ,BQ$5,0))))</f>
        <v/>
      </c>
      <c r="BR115" s="175"/>
      <c r="BS115" s="147"/>
    </row>
    <row r="116">
      <c r="G116" s="11"/>
      <c r="H116" s="8">
        <v>110.0</v>
      </c>
      <c r="I116" s="165" t="str">
        <f t="shared" si="6"/>
        <v>BLAU3</v>
      </c>
      <c r="J116" s="166" t="str">
        <f>(VLOOKUP($I116,Capa!$A:$B,2,0))</f>
        <v>Blau Farmaceutica SA</v>
      </c>
      <c r="K116" s="167" t="str">
        <f>VLOOKUP(left(I116,4),Setor!A:D,3,0)&amp;" | "&amp;VLOOKUP(left(I116,4),Setor!A:D,4,0)</f>
        <v>Consumo Cíclico | Medicamentos e Outros Produtos</v>
      </c>
      <c r="L116" s="168">
        <f>(VLOOKUP($I116,Capa!$A:$F,6,0))</f>
        <v>11.17</v>
      </c>
      <c r="M116" s="168">
        <f t="shared" si="7"/>
        <v>7043886</v>
      </c>
      <c r="N116" s="11" t="str">
        <f>IFERROR(__xludf.DUMMYFUNCTION("(VLOOKUP($I116,Capa!$A:$H,7,0))"),"")</f>
        <v/>
      </c>
      <c r="O116" s="169">
        <f>(VLOOKUP($I116,Capa!$A:$H,8,0))</f>
        <v>0.2397336293</v>
      </c>
      <c r="P116" s="11" t="str">
        <f>IFERROR(__xludf.DUMMYFUNCTION("(VLOOKUP($I116,Capa!$A:$J,10,0))"),"")</f>
        <v/>
      </c>
      <c r="Q116" s="169">
        <f>(VLOOKUP($I116,Capa!$A:$K,11,0))</f>
        <v>0.1882978723</v>
      </c>
      <c r="R116" s="45" t="str">
        <f>'Dados StatusInvest'!A111</f>
        <v>BRKM5</v>
      </c>
      <c r="S116" s="170">
        <f t="shared" si="8"/>
        <v>816.0816</v>
      </c>
      <c r="T116" s="171">
        <f>VLOOKUP(R116,'Dados StatusInvest'!A:Z,26,0)</f>
        <v>41769222</v>
      </c>
      <c r="U116" s="172">
        <f t="shared" ref="U116:AS116" si="118">IF(AT116="","", RANK(AT116,AT$7:AT$626,0)+RANK(AT116,AT$7:AT$626,0)/10000)</f>
        <v>549.0549</v>
      </c>
      <c r="V116" s="172">
        <f t="shared" si="118"/>
        <v>267.0267</v>
      </c>
      <c r="W116" s="172" t="str">
        <f t="shared" si="118"/>
        <v/>
      </c>
      <c r="X116" s="172" t="str">
        <f t="shared" si="118"/>
        <v/>
      </c>
      <c r="Y116" s="172" t="str">
        <f t="shared" si="118"/>
        <v/>
      </c>
      <c r="Z116" s="172" t="str">
        <f t="shared" si="118"/>
        <v/>
      </c>
      <c r="AA116" s="172" t="str">
        <f t="shared" si="118"/>
        <v/>
      </c>
      <c r="AB116" s="172" t="str">
        <f t="shared" si="118"/>
        <v/>
      </c>
      <c r="AC116" s="172" t="str">
        <f t="shared" si="118"/>
        <v/>
      </c>
      <c r="AD116" s="172" t="str">
        <f t="shared" si="118"/>
        <v/>
      </c>
      <c r="AE116" s="172" t="str">
        <f t="shared" si="118"/>
        <v/>
      </c>
      <c r="AF116" s="172" t="str">
        <f t="shared" si="118"/>
        <v/>
      </c>
      <c r="AG116" s="172" t="str">
        <f t="shared" si="118"/>
        <v/>
      </c>
      <c r="AH116" s="172" t="str">
        <f t="shared" si="118"/>
        <v/>
      </c>
      <c r="AI116" s="172" t="str">
        <f t="shared" si="118"/>
        <v/>
      </c>
      <c r="AJ116" s="172" t="str">
        <f t="shared" si="118"/>
        <v/>
      </c>
      <c r="AK116" s="172" t="str">
        <f t="shared" si="118"/>
        <v/>
      </c>
      <c r="AL116" s="172" t="str">
        <f t="shared" si="118"/>
        <v/>
      </c>
      <c r="AM116" s="172" t="str">
        <f t="shared" si="118"/>
        <v/>
      </c>
      <c r="AN116" s="172" t="str">
        <f t="shared" si="118"/>
        <v/>
      </c>
      <c r="AO116" s="172" t="str">
        <f t="shared" si="118"/>
        <v/>
      </c>
      <c r="AP116" s="172" t="str">
        <f t="shared" si="118"/>
        <v/>
      </c>
      <c r="AQ116" s="172" t="str">
        <f t="shared" si="118"/>
        <v/>
      </c>
      <c r="AR116" s="172" t="str">
        <f t="shared" si="118"/>
        <v/>
      </c>
      <c r="AS116" s="172" t="str">
        <f t="shared" si="118"/>
        <v/>
      </c>
      <c r="AT116" s="173">
        <f>IF(AT$6="","",IF(AT$3="Maior",iferror(VLOOKUP($R116,Capa!$A:$AJ,AT$5,0),0),IF(ISERROR(1/VLOOKUP($R116,Capa!$A:$AJ,AT$5,0)),0,1/VLOOKUP($R116,Capa!$A:$AJ,AT$5,0))))</f>
        <v>-5.786996688</v>
      </c>
      <c r="AU116" s="174">
        <f>IF(AU$6="","",IF(AU$3="Maior",iferror(VLOOKUP($R116,Capa!$A:$AJ,AU$5,0),0),IF(ISERROR(1/VLOOKUP($R116,Capa!$A:$AJ,AU$5,0)),0,1/VLOOKUP($R116,Capa!$A:$AJ,AU$5,0))))</f>
        <v>0</v>
      </c>
      <c r="AV116" s="174" t="str">
        <f>IF(AV$6="","",IF(AV$3="Maior",iferror(VLOOKUP($R116,Capa!$A:$AJ,AV$5,0),0),IF(ISERROR(1/VLOOKUP($R116,Capa!$A:$AJ,AV$5,0)),0,1/VLOOKUP($R116,Capa!$A:$AJ,AV$5,0))))</f>
        <v/>
      </c>
      <c r="AW116" s="174" t="str">
        <f>IF(AW$6="","",IF(AW$3="Maior",iferror(VLOOKUP($R116,Capa!$A:$AJ,AW$5,0),0),IF(ISERROR(1/VLOOKUP($R116,Capa!$A:$AJ,AW$5,0)),0,1/VLOOKUP($R116,Capa!$A:$AJ,AW$5,0))))</f>
        <v/>
      </c>
      <c r="AX116" s="174" t="str">
        <f>IF(AX$6="","",IF(AX$3="Maior",iferror(VLOOKUP($R116,Capa!$A:$AJ,AX$5,0),0),IF(ISERROR(1/VLOOKUP($R116,Capa!$A:$AJ,AX$5,0)),0,1/VLOOKUP($R116,Capa!$A:$AJ,AX$5,0))))</f>
        <v/>
      </c>
      <c r="AY116" s="174" t="str">
        <f>IF(AY$6="","",IF(AY$3="Maior",iferror(VLOOKUP($R116,Capa!$A:$AJ,AY$5,0),0),IF(ISERROR(1/VLOOKUP($R116,Capa!$A:$AJ,AY$5,0)),0,1/VLOOKUP($R116,Capa!$A:$AJ,AY$5,0))))</f>
        <v/>
      </c>
      <c r="AZ116" s="174" t="str">
        <f>IF(AZ$6="","",IF(AZ$3="Maior",iferror(VLOOKUP($R116,Capa!$A:$AJ,AZ$5,0),0),IF(ISERROR(1/VLOOKUP($R116,Capa!$A:$AJ,AZ$5,0)),0,1/VLOOKUP($R116,Capa!$A:$AJ,AZ$5,0))))</f>
        <v/>
      </c>
      <c r="BA116" s="174" t="str">
        <f>IF(BA$6="","",IF(BA$3="Maior",iferror(VLOOKUP($R116,Capa!$A:$AJ,BA$5,0),0),IF(ISERROR(1/VLOOKUP($R116,Capa!$A:$AJ,BA$5,0)),0,1/VLOOKUP($R116,Capa!$A:$AJ,BA$5,0))))</f>
        <v/>
      </c>
      <c r="BB116" s="174" t="str">
        <f>IF(BB$6="","",IF(BB$3="Maior",iferror(VLOOKUP($R116,Capa!$A:$AJ,BB$5,0),0),IF(ISERROR(1/VLOOKUP($R116,Capa!$A:$AJ,BB$5,0)),0,1/VLOOKUP($R116,Capa!$A:$AJ,BB$5,0))))</f>
        <v/>
      </c>
      <c r="BC116" s="174" t="str">
        <f>IF(BC$6="","",IF(BC$3="Maior",iferror(VLOOKUP($R116,Capa!$A:$AJ,BC$5,0),0),IF(ISERROR(1/VLOOKUP($R116,Capa!$A:$AJ,BC$5,0)),0,1/VLOOKUP($R116,Capa!$A:$AJ,BC$5,0))))</f>
        <v/>
      </c>
      <c r="BD116" s="174" t="str">
        <f>IF(BD$6="","",IF(BD$3="Maior",iferror(VLOOKUP($R116,Capa!$A:$AJ,BD$5,0),0),IF(ISERROR(1/VLOOKUP($R116,Capa!$A:$AJ,BD$5,0)),0,1/VLOOKUP($R116,Capa!$A:$AJ,BD$5,0))))</f>
        <v/>
      </c>
      <c r="BE116" s="174" t="str">
        <f>IF(BE$6="","",IF(BE$3="Maior",iferror(VLOOKUP($R116,Capa!$A:$AJ,BE$5,0),0),IF(ISERROR(1/VLOOKUP($R116,Capa!$A:$AJ,BE$5,0)),0,1/VLOOKUP($R116,Capa!$A:$AJ,BE$5,0))))</f>
        <v/>
      </c>
      <c r="BF116" s="174" t="str">
        <f>IF(BF$6="","",IF(BF$3="Maior",iferror(VLOOKUP($R116,Capa!$A:$AJ,BF$5,0),0),IF(ISERROR(1/VLOOKUP($R116,Capa!$A:$AJ,BF$5,0)),0,1/VLOOKUP($R116,Capa!$A:$AJ,BF$5,0))))</f>
        <v/>
      </c>
      <c r="BG116" s="174" t="str">
        <f>IF(BG$6="","",IF(BG$3="Maior",iferror(VLOOKUP($R116,Capa!$A:$AJ,BG$5,0),0),IF(ISERROR(1/VLOOKUP($R116,Capa!$A:$AJ,BG$5,0)),0,1/VLOOKUP($R116,Capa!$A:$AJ,BG$5,0))))</f>
        <v/>
      </c>
      <c r="BH116" s="174" t="str">
        <f>IF(BH$6="","",IF(BH$3="Maior",iferror(VLOOKUP($R116,Capa!$A:$AJ,BH$5,0),0),IF(ISERROR(1/VLOOKUP($R116,Capa!$A:$AJ,BH$5,0)),0,1/VLOOKUP($R116,Capa!$A:$AJ,BH$5,0))))</f>
        <v/>
      </c>
      <c r="BI116" s="174" t="str">
        <f>IF(BI$6="","",IF(BI$3="Maior",iferror(VLOOKUP($R116,Capa!$A:$AJ,BI$5,0),0),IF(ISERROR(1/VLOOKUP($R116,Capa!$A:$AJ,BI$5,0)),0,1/VLOOKUP($R116,Capa!$A:$AJ,BI$5,0))))</f>
        <v/>
      </c>
      <c r="BJ116" s="174" t="str">
        <f>IF(BJ$6="","",IF(BJ$3="Maior",iferror(VLOOKUP($R116,Capa!$A:$AJ,BJ$5,0),0),IF(ISERROR(1/VLOOKUP($R116,Capa!$A:$AJ,BJ$5,0)),0,1/VLOOKUP($R116,Capa!$A:$AJ,BJ$5,0))))</f>
        <v/>
      </c>
      <c r="BK116" s="174" t="str">
        <f>IF(BK$6="","",IF(BK$3="Maior",iferror(VLOOKUP($R116,Capa!$A:$AJ,BK$5,0),0),IF(ISERROR(1/VLOOKUP($R116,Capa!$A:$AJ,BK$5,0)),0,1/VLOOKUP($R116,Capa!$A:$AJ,BK$5,0))))</f>
        <v/>
      </c>
      <c r="BL116" s="174" t="str">
        <f>IF(BL$6="","",IF(BL$3="Maior",iferror(VLOOKUP($R116,Capa!$A:$AJ,BL$5,0),0),IF(ISERROR(1/VLOOKUP($R116,Capa!$A:$AJ,BL$5,0)),0,1/VLOOKUP($R116,Capa!$A:$AJ,BL$5,0))))</f>
        <v/>
      </c>
      <c r="BM116" s="174" t="str">
        <f>IF(BM$6="","",IF(BM$3="Maior",iferror(VLOOKUP($R116,Capa!$A:$AJ,BM$5,0),0),IF(ISERROR(1/VLOOKUP($R116,Capa!$A:$AJ,BM$5,0)),0,1/VLOOKUP($R116,Capa!$A:$AJ,BM$5,0))))</f>
        <v/>
      </c>
      <c r="BN116" s="174" t="str">
        <f>IF(BN$6="","",IF(BN$3="Maior",iferror(VLOOKUP($R116,Capa!$A:$AJ,BN$5,0),0),IF(ISERROR(1/VLOOKUP($R116,Capa!$A:$AJ,BN$5,0)),0,1/VLOOKUP($R116,Capa!$A:$AJ,BN$5,0))))</f>
        <v/>
      </c>
      <c r="BO116" s="174" t="str">
        <f>IF(BO$6="","",IF(BO$3="Maior",iferror(VLOOKUP($R116,Capa!$A:$AJ,BO$5,0),0),IF(ISERROR(1/VLOOKUP($R116,Capa!$A:$AJ,BO$5,0)),0,1/VLOOKUP($R116,Capa!$A:$AJ,BO$5,0))))</f>
        <v/>
      </c>
      <c r="BP116" s="174" t="str">
        <f>IF(BP$6="","",IF(BP$3="Maior",iferror(VLOOKUP($R116,Capa!$A:$AJ,BP$5,0),0),IF(ISERROR(1/VLOOKUP($R116,Capa!$A:$AJ,BP$5,0)),0,1/VLOOKUP($R116,Capa!$A:$AJ,BP$5,0))))</f>
        <v/>
      </c>
      <c r="BQ116" s="174" t="str">
        <f>IF(BQ$6="","",IF(BQ$3="Maior",iferror(VLOOKUP($R116,Capa!$A:$AJ,BQ$5,0),0),IF(ISERROR(1/VLOOKUP($R116,Capa!$A:$AJ,BQ$5,0)),0,1/VLOOKUP($R116,Capa!$A:$AJ,BQ$5,0))))</f>
        <v/>
      </c>
      <c r="BR116" s="175"/>
      <c r="BS116" s="147"/>
    </row>
    <row r="117">
      <c r="G117" s="11"/>
      <c r="H117" s="8">
        <v>111.0</v>
      </c>
      <c r="I117" s="165" t="str">
        <f t="shared" si="6"/>
        <v>SAPR3</v>
      </c>
      <c r="J117" s="166" t="str">
        <f>(VLOOKUP($I117,Capa!$A:$B,2,0))</f>
        <v>Companhia de Saneamento Parana SANEPAR</v>
      </c>
      <c r="K117" s="167" t="str">
        <f>VLOOKUP(left(I117,4),Setor!A:D,3,0)&amp;" | "&amp;VLOOKUP(left(I117,4),Setor!A:D,4,0)</f>
        <v>Utilidade Pública | Água e Saneamento</v>
      </c>
      <c r="L117" s="168">
        <f>(VLOOKUP($I117,Capa!$A:$F,6,0))</f>
        <v>11.04</v>
      </c>
      <c r="M117" s="168">
        <f t="shared" si="7"/>
        <v>2301775</v>
      </c>
      <c r="N117" s="177" t="str">
        <f>IFERROR(__xludf.DUMMYFUNCTION("(VLOOKUP($I117,Capa!$A:$H,7,0))"),"")</f>
        <v/>
      </c>
      <c r="O117" s="169">
        <f>(VLOOKUP($I117,Capa!$A:$H,8,0))</f>
        <v>0.09415262636</v>
      </c>
      <c r="P117" s="169" t="str">
        <f>IFERROR(__xludf.DUMMYFUNCTION("(VLOOKUP($I117,Capa!$A:$J,10,0))"),"")</f>
        <v/>
      </c>
      <c r="Q117" s="169">
        <f>(VLOOKUP($I117,Capa!$A:$K,11,0))</f>
        <v>0.9334500876</v>
      </c>
      <c r="R117" s="45" t="str">
        <f>'Dados StatusInvest'!A112</f>
        <v>BRKM6</v>
      </c>
      <c r="S117" s="170">
        <f t="shared" si="8"/>
        <v>1844.0844</v>
      </c>
      <c r="T117" s="171">
        <f>VLOOKUP(R117,'Dados StatusInvest'!A:Z,26,0)</f>
        <v>1401.5</v>
      </c>
      <c r="U117" s="172">
        <f t="shared" ref="U117:AS117" si="119">IF(AT117="","", RANK(AT117,AT$7:AT$626,0)+RANK(AT117,AT$7:AT$626,0)/10000)</f>
        <v>577.0577</v>
      </c>
      <c r="V117" s="172">
        <f t="shared" si="119"/>
        <v>267.0267</v>
      </c>
      <c r="W117" s="172" t="str">
        <f t="shared" si="119"/>
        <v/>
      </c>
      <c r="X117" s="172" t="str">
        <f t="shared" si="119"/>
        <v/>
      </c>
      <c r="Y117" s="172" t="str">
        <f t="shared" si="119"/>
        <v/>
      </c>
      <c r="Z117" s="172" t="str">
        <f t="shared" si="119"/>
        <v/>
      </c>
      <c r="AA117" s="172" t="str">
        <f t="shared" si="119"/>
        <v/>
      </c>
      <c r="AB117" s="172" t="str">
        <f t="shared" si="119"/>
        <v/>
      </c>
      <c r="AC117" s="172" t="str">
        <f t="shared" si="119"/>
        <v/>
      </c>
      <c r="AD117" s="172" t="str">
        <f t="shared" si="119"/>
        <v/>
      </c>
      <c r="AE117" s="172" t="str">
        <f t="shared" si="119"/>
        <v/>
      </c>
      <c r="AF117" s="172" t="str">
        <f t="shared" si="119"/>
        <v/>
      </c>
      <c r="AG117" s="172" t="str">
        <f t="shared" si="119"/>
        <v/>
      </c>
      <c r="AH117" s="172" t="str">
        <f t="shared" si="119"/>
        <v/>
      </c>
      <c r="AI117" s="172" t="str">
        <f t="shared" si="119"/>
        <v/>
      </c>
      <c r="AJ117" s="172" t="str">
        <f t="shared" si="119"/>
        <v/>
      </c>
      <c r="AK117" s="172" t="str">
        <f t="shared" si="119"/>
        <v/>
      </c>
      <c r="AL117" s="172" t="str">
        <f t="shared" si="119"/>
        <v/>
      </c>
      <c r="AM117" s="172" t="str">
        <f t="shared" si="119"/>
        <v/>
      </c>
      <c r="AN117" s="172" t="str">
        <f t="shared" si="119"/>
        <v/>
      </c>
      <c r="AO117" s="172" t="str">
        <f t="shared" si="119"/>
        <v/>
      </c>
      <c r="AP117" s="172" t="str">
        <f t="shared" si="119"/>
        <v/>
      </c>
      <c r="AQ117" s="172" t="str">
        <f t="shared" si="119"/>
        <v/>
      </c>
      <c r="AR117" s="172" t="str">
        <f t="shared" si="119"/>
        <v/>
      </c>
      <c r="AS117" s="172" t="str">
        <f t="shared" si="119"/>
        <v/>
      </c>
      <c r="AT117" s="173">
        <f>IF(AT$6="","",IF(AT$3="Maior",iferror(VLOOKUP($R117,Capa!$A:$AJ,AT$5,0),0),IF(ISERROR(1/VLOOKUP($R117,Capa!$A:$AJ,AT$5,0)),0,1/VLOOKUP($R117,Capa!$A:$AJ,AT$5,0))))</f>
        <v>-9.090909091</v>
      </c>
      <c r="AU117" s="174">
        <f>IF(AU$6="","",IF(AU$3="Maior",iferror(VLOOKUP($R117,Capa!$A:$AJ,AU$5,0),0),IF(ISERROR(1/VLOOKUP($R117,Capa!$A:$AJ,AU$5,0)),0,1/VLOOKUP($R117,Capa!$A:$AJ,AU$5,0))))</f>
        <v>0</v>
      </c>
      <c r="AV117" s="174" t="str">
        <f>IF(AV$6="","",IF(AV$3="Maior",iferror(VLOOKUP($R117,Capa!$A:$AJ,AV$5,0),0),IF(ISERROR(1/VLOOKUP($R117,Capa!$A:$AJ,AV$5,0)),0,1/VLOOKUP($R117,Capa!$A:$AJ,AV$5,0))))</f>
        <v/>
      </c>
      <c r="AW117" s="174" t="str">
        <f>IF(AW$6="","",IF(AW$3="Maior",iferror(VLOOKUP($R117,Capa!$A:$AJ,AW$5,0),0),IF(ISERROR(1/VLOOKUP($R117,Capa!$A:$AJ,AW$5,0)),0,1/VLOOKUP($R117,Capa!$A:$AJ,AW$5,0))))</f>
        <v/>
      </c>
      <c r="AX117" s="174" t="str">
        <f>IF(AX$6="","",IF(AX$3="Maior",iferror(VLOOKUP($R117,Capa!$A:$AJ,AX$5,0),0),IF(ISERROR(1/VLOOKUP($R117,Capa!$A:$AJ,AX$5,0)),0,1/VLOOKUP($R117,Capa!$A:$AJ,AX$5,0))))</f>
        <v/>
      </c>
      <c r="AY117" s="174" t="str">
        <f>IF(AY$6="","",IF(AY$3="Maior",iferror(VLOOKUP($R117,Capa!$A:$AJ,AY$5,0),0),IF(ISERROR(1/VLOOKUP($R117,Capa!$A:$AJ,AY$5,0)),0,1/VLOOKUP($R117,Capa!$A:$AJ,AY$5,0))))</f>
        <v/>
      </c>
      <c r="AZ117" s="174" t="str">
        <f>IF(AZ$6="","",IF(AZ$3="Maior",iferror(VLOOKUP($R117,Capa!$A:$AJ,AZ$5,0),0),IF(ISERROR(1/VLOOKUP($R117,Capa!$A:$AJ,AZ$5,0)),0,1/VLOOKUP($R117,Capa!$A:$AJ,AZ$5,0))))</f>
        <v/>
      </c>
      <c r="BA117" s="174" t="str">
        <f>IF(BA$6="","",IF(BA$3="Maior",iferror(VLOOKUP($R117,Capa!$A:$AJ,BA$5,0),0),IF(ISERROR(1/VLOOKUP($R117,Capa!$A:$AJ,BA$5,0)),0,1/VLOOKUP($R117,Capa!$A:$AJ,BA$5,0))))</f>
        <v/>
      </c>
      <c r="BB117" s="174" t="str">
        <f>IF(BB$6="","",IF(BB$3="Maior",iferror(VLOOKUP($R117,Capa!$A:$AJ,BB$5,0),0),IF(ISERROR(1/VLOOKUP($R117,Capa!$A:$AJ,BB$5,0)),0,1/VLOOKUP($R117,Capa!$A:$AJ,BB$5,0))))</f>
        <v/>
      </c>
      <c r="BC117" s="174" t="str">
        <f>IF(BC$6="","",IF(BC$3="Maior",iferror(VLOOKUP($R117,Capa!$A:$AJ,BC$5,0),0),IF(ISERROR(1/VLOOKUP($R117,Capa!$A:$AJ,BC$5,0)),0,1/VLOOKUP($R117,Capa!$A:$AJ,BC$5,0))))</f>
        <v/>
      </c>
      <c r="BD117" s="174" t="str">
        <f>IF(BD$6="","",IF(BD$3="Maior",iferror(VLOOKUP($R117,Capa!$A:$AJ,BD$5,0),0),IF(ISERROR(1/VLOOKUP($R117,Capa!$A:$AJ,BD$5,0)),0,1/VLOOKUP($R117,Capa!$A:$AJ,BD$5,0))))</f>
        <v/>
      </c>
      <c r="BE117" s="174" t="str">
        <f>IF(BE$6="","",IF(BE$3="Maior",iferror(VLOOKUP($R117,Capa!$A:$AJ,BE$5,0),0),IF(ISERROR(1/VLOOKUP($R117,Capa!$A:$AJ,BE$5,0)),0,1/VLOOKUP($R117,Capa!$A:$AJ,BE$5,0))))</f>
        <v/>
      </c>
      <c r="BF117" s="174" t="str">
        <f>IF(BF$6="","",IF(BF$3="Maior",iferror(VLOOKUP($R117,Capa!$A:$AJ,BF$5,0),0),IF(ISERROR(1/VLOOKUP($R117,Capa!$A:$AJ,BF$5,0)),0,1/VLOOKUP($R117,Capa!$A:$AJ,BF$5,0))))</f>
        <v/>
      </c>
      <c r="BG117" s="174" t="str">
        <f>IF(BG$6="","",IF(BG$3="Maior",iferror(VLOOKUP($R117,Capa!$A:$AJ,BG$5,0),0),IF(ISERROR(1/VLOOKUP($R117,Capa!$A:$AJ,BG$5,0)),0,1/VLOOKUP($R117,Capa!$A:$AJ,BG$5,0))))</f>
        <v/>
      </c>
      <c r="BH117" s="174" t="str">
        <f>IF(BH$6="","",IF(BH$3="Maior",iferror(VLOOKUP($R117,Capa!$A:$AJ,BH$5,0),0),IF(ISERROR(1/VLOOKUP($R117,Capa!$A:$AJ,BH$5,0)),0,1/VLOOKUP($R117,Capa!$A:$AJ,BH$5,0))))</f>
        <v/>
      </c>
      <c r="BI117" s="174" t="str">
        <f>IF(BI$6="","",IF(BI$3="Maior",iferror(VLOOKUP($R117,Capa!$A:$AJ,BI$5,0),0),IF(ISERROR(1/VLOOKUP($R117,Capa!$A:$AJ,BI$5,0)),0,1/VLOOKUP($R117,Capa!$A:$AJ,BI$5,0))))</f>
        <v/>
      </c>
      <c r="BJ117" s="174" t="str">
        <f>IF(BJ$6="","",IF(BJ$3="Maior",iferror(VLOOKUP($R117,Capa!$A:$AJ,BJ$5,0),0),IF(ISERROR(1/VLOOKUP($R117,Capa!$A:$AJ,BJ$5,0)),0,1/VLOOKUP($R117,Capa!$A:$AJ,BJ$5,0))))</f>
        <v/>
      </c>
      <c r="BK117" s="174" t="str">
        <f>IF(BK$6="","",IF(BK$3="Maior",iferror(VLOOKUP($R117,Capa!$A:$AJ,BK$5,0),0),IF(ISERROR(1/VLOOKUP($R117,Capa!$A:$AJ,BK$5,0)),0,1/VLOOKUP($R117,Capa!$A:$AJ,BK$5,0))))</f>
        <v/>
      </c>
      <c r="BL117" s="174" t="str">
        <f>IF(BL$6="","",IF(BL$3="Maior",iferror(VLOOKUP($R117,Capa!$A:$AJ,BL$5,0),0),IF(ISERROR(1/VLOOKUP($R117,Capa!$A:$AJ,BL$5,0)),0,1/VLOOKUP($R117,Capa!$A:$AJ,BL$5,0))))</f>
        <v/>
      </c>
      <c r="BM117" s="174" t="str">
        <f>IF(BM$6="","",IF(BM$3="Maior",iferror(VLOOKUP($R117,Capa!$A:$AJ,BM$5,0),0),IF(ISERROR(1/VLOOKUP($R117,Capa!$A:$AJ,BM$5,0)),0,1/VLOOKUP($R117,Capa!$A:$AJ,BM$5,0))))</f>
        <v/>
      </c>
      <c r="BN117" s="174" t="str">
        <f>IF(BN$6="","",IF(BN$3="Maior",iferror(VLOOKUP($R117,Capa!$A:$AJ,BN$5,0),0),IF(ISERROR(1/VLOOKUP($R117,Capa!$A:$AJ,BN$5,0)),0,1/VLOOKUP($R117,Capa!$A:$AJ,BN$5,0))))</f>
        <v/>
      </c>
      <c r="BO117" s="174" t="str">
        <f>IF(BO$6="","",IF(BO$3="Maior",iferror(VLOOKUP($R117,Capa!$A:$AJ,BO$5,0),0),IF(ISERROR(1/VLOOKUP($R117,Capa!$A:$AJ,BO$5,0)),0,1/VLOOKUP($R117,Capa!$A:$AJ,BO$5,0))))</f>
        <v/>
      </c>
      <c r="BP117" s="174" t="str">
        <f>IF(BP$6="","",IF(BP$3="Maior",iferror(VLOOKUP($R117,Capa!$A:$AJ,BP$5,0),0),IF(ISERROR(1/VLOOKUP($R117,Capa!$A:$AJ,BP$5,0)),0,1/VLOOKUP($R117,Capa!$A:$AJ,BP$5,0))))</f>
        <v/>
      </c>
      <c r="BQ117" s="174" t="str">
        <f>IF(BQ$6="","",IF(BQ$3="Maior",iferror(VLOOKUP($R117,Capa!$A:$AJ,BQ$5,0),0),IF(ISERROR(1/VLOOKUP($R117,Capa!$A:$AJ,BQ$5,0)),0,1/VLOOKUP($R117,Capa!$A:$AJ,BQ$5,0))))</f>
        <v/>
      </c>
      <c r="BR117" s="175"/>
      <c r="BS117" s="147"/>
    </row>
    <row r="118">
      <c r="G118" s="11"/>
      <c r="H118" s="8">
        <v>112.0</v>
      </c>
      <c r="I118" s="165" t="str">
        <f t="shared" si="6"/>
        <v>ITSA3</v>
      </c>
      <c r="J118" s="166" t="str">
        <f>(VLOOKUP($I118,Capa!$A:$B,2,0))</f>
        <v>Itausa SA</v>
      </c>
      <c r="K118" s="167" t="str">
        <f>VLOOKUP(left(I118,4),Setor!A:D,3,0)&amp;" | "&amp;VLOOKUP(left(I118,4),Setor!A:D,4,0)</f>
        <v>Financeiro | Intermediários Financeiros</v>
      </c>
      <c r="L118" s="168">
        <f>(VLOOKUP($I118,Capa!$A:$F,6,0))</f>
        <v>14.57</v>
      </c>
      <c r="M118" s="168">
        <f t="shared" si="7"/>
        <v>2495359</v>
      </c>
      <c r="N118" s="11" t="str">
        <f>IFERROR(__xludf.DUMMYFUNCTION("(VLOOKUP($I118,Capa!$A:$H,7,0))"),"")</f>
        <v/>
      </c>
      <c r="O118" s="169">
        <f>(VLOOKUP($I118,Capa!$A:$H,8,0))</f>
        <v>0.1454402516</v>
      </c>
      <c r="P118" s="11" t="str">
        <f>IFERROR(__xludf.DUMMYFUNCTION("(VLOOKUP($I118,Capa!$A:$J,10,0))"),"")</f>
        <v/>
      </c>
      <c r="Q118" s="169">
        <f>(VLOOKUP($I118,Capa!$A:$K,11,0))</f>
        <v>0.5975877193</v>
      </c>
      <c r="R118" s="45" t="str">
        <f>'Dados StatusInvest'!A113</f>
        <v>BRML3</v>
      </c>
      <c r="S118" s="170">
        <f t="shared" si="8"/>
        <v>1743.0743</v>
      </c>
      <c r="T118" s="171">
        <f>VLOOKUP(R118,'Dados StatusInvest'!A:Z,26,0)</f>
        <v>0</v>
      </c>
      <c r="U118" s="172">
        <f t="shared" ref="U118:AS118" si="120">IF(AT118="","", RANK(AT118,AT$7:AT$626,0)+RANK(AT118,AT$7:AT$626,0)/10000)</f>
        <v>159.0159</v>
      </c>
      <c r="V118" s="172">
        <f t="shared" si="120"/>
        <v>584.0584</v>
      </c>
      <c r="W118" s="172" t="str">
        <f t="shared" si="120"/>
        <v/>
      </c>
      <c r="X118" s="172" t="str">
        <f t="shared" si="120"/>
        <v/>
      </c>
      <c r="Y118" s="172" t="str">
        <f t="shared" si="120"/>
        <v/>
      </c>
      <c r="Z118" s="172" t="str">
        <f t="shared" si="120"/>
        <v/>
      </c>
      <c r="AA118" s="172" t="str">
        <f t="shared" si="120"/>
        <v/>
      </c>
      <c r="AB118" s="172" t="str">
        <f t="shared" si="120"/>
        <v/>
      </c>
      <c r="AC118" s="172" t="str">
        <f t="shared" si="120"/>
        <v/>
      </c>
      <c r="AD118" s="172" t="str">
        <f t="shared" si="120"/>
        <v/>
      </c>
      <c r="AE118" s="172" t="str">
        <f t="shared" si="120"/>
        <v/>
      </c>
      <c r="AF118" s="172" t="str">
        <f t="shared" si="120"/>
        <v/>
      </c>
      <c r="AG118" s="172" t="str">
        <f t="shared" si="120"/>
        <v/>
      </c>
      <c r="AH118" s="172" t="str">
        <f t="shared" si="120"/>
        <v/>
      </c>
      <c r="AI118" s="172" t="str">
        <f t="shared" si="120"/>
        <v/>
      </c>
      <c r="AJ118" s="172" t="str">
        <f t="shared" si="120"/>
        <v/>
      </c>
      <c r="AK118" s="172" t="str">
        <f t="shared" si="120"/>
        <v/>
      </c>
      <c r="AL118" s="172" t="str">
        <f t="shared" si="120"/>
        <v/>
      </c>
      <c r="AM118" s="172" t="str">
        <f t="shared" si="120"/>
        <v/>
      </c>
      <c r="AN118" s="172" t="str">
        <f t="shared" si="120"/>
        <v/>
      </c>
      <c r="AO118" s="172" t="str">
        <f t="shared" si="120"/>
        <v/>
      </c>
      <c r="AP118" s="172" t="str">
        <f t="shared" si="120"/>
        <v/>
      </c>
      <c r="AQ118" s="172" t="str">
        <f t="shared" si="120"/>
        <v/>
      </c>
      <c r="AR118" s="172" t="str">
        <f t="shared" si="120"/>
        <v/>
      </c>
      <c r="AS118" s="172" t="str">
        <f t="shared" si="120"/>
        <v/>
      </c>
      <c r="AT118" s="173">
        <f>IF(AT$6="","",IF(AT$3="Maior",iferror(VLOOKUP($R118,Capa!$A:$AJ,AT$5,0),0),IF(ISERROR(1/VLOOKUP($R118,Capa!$A:$AJ,AT$5,0)),0,1/VLOOKUP($R118,Capa!$A:$AJ,AT$5,0))))</f>
        <v>-0.143472023</v>
      </c>
      <c r="AU118" s="174">
        <f>IF(AU$6="","",IF(AU$3="Maior",iferror(VLOOKUP($R118,Capa!$A:$AJ,AU$5,0),0),IF(ISERROR(1/VLOOKUP($R118,Capa!$A:$AJ,AU$5,0)),0,1/VLOOKUP($R118,Capa!$A:$AJ,AU$5,0))))</f>
        <v>-15.44</v>
      </c>
      <c r="AV118" s="174" t="str">
        <f>IF(AV$6="","",IF(AV$3="Maior",iferror(VLOOKUP($R118,Capa!$A:$AJ,AV$5,0),0),IF(ISERROR(1/VLOOKUP($R118,Capa!$A:$AJ,AV$5,0)),0,1/VLOOKUP($R118,Capa!$A:$AJ,AV$5,0))))</f>
        <v/>
      </c>
      <c r="AW118" s="174" t="str">
        <f>IF(AW$6="","",IF(AW$3="Maior",iferror(VLOOKUP($R118,Capa!$A:$AJ,AW$5,0),0),IF(ISERROR(1/VLOOKUP($R118,Capa!$A:$AJ,AW$5,0)),0,1/VLOOKUP($R118,Capa!$A:$AJ,AW$5,0))))</f>
        <v/>
      </c>
      <c r="AX118" s="174" t="str">
        <f>IF(AX$6="","",IF(AX$3="Maior",iferror(VLOOKUP($R118,Capa!$A:$AJ,AX$5,0),0),IF(ISERROR(1/VLOOKUP($R118,Capa!$A:$AJ,AX$5,0)),0,1/VLOOKUP($R118,Capa!$A:$AJ,AX$5,0))))</f>
        <v/>
      </c>
      <c r="AY118" s="174" t="str">
        <f>IF(AY$6="","",IF(AY$3="Maior",iferror(VLOOKUP($R118,Capa!$A:$AJ,AY$5,0),0),IF(ISERROR(1/VLOOKUP($R118,Capa!$A:$AJ,AY$5,0)),0,1/VLOOKUP($R118,Capa!$A:$AJ,AY$5,0))))</f>
        <v/>
      </c>
      <c r="AZ118" s="174" t="str">
        <f>IF(AZ$6="","",IF(AZ$3="Maior",iferror(VLOOKUP($R118,Capa!$A:$AJ,AZ$5,0),0),IF(ISERROR(1/VLOOKUP($R118,Capa!$A:$AJ,AZ$5,0)),0,1/VLOOKUP($R118,Capa!$A:$AJ,AZ$5,0))))</f>
        <v/>
      </c>
      <c r="BA118" s="174" t="str">
        <f>IF(BA$6="","",IF(BA$3="Maior",iferror(VLOOKUP($R118,Capa!$A:$AJ,BA$5,0),0),IF(ISERROR(1/VLOOKUP($R118,Capa!$A:$AJ,BA$5,0)),0,1/VLOOKUP($R118,Capa!$A:$AJ,BA$5,0))))</f>
        <v/>
      </c>
      <c r="BB118" s="174" t="str">
        <f>IF(BB$6="","",IF(BB$3="Maior",iferror(VLOOKUP($R118,Capa!$A:$AJ,BB$5,0),0),IF(ISERROR(1/VLOOKUP($R118,Capa!$A:$AJ,BB$5,0)),0,1/VLOOKUP($R118,Capa!$A:$AJ,BB$5,0))))</f>
        <v/>
      </c>
      <c r="BC118" s="174" t="str">
        <f>IF(BC$6="","",IF(BC$3="Maior",iferror(VLOOKUP($R118,Capa!$A:$AJ,BC$5,0),0),IF(ISERROR(1/VLOOKUP($R118,Capa!$A:$AJ,BC$5,0)),0,1/VLOOKUP($R118,Capa!$A:$AJ,BC$5,0))))</f>
        <v/>
      </c>
      <c r="BD118" s="174" t="str">
        <f>IF(BD$6="","",IF(BD$3="Maior",iferror(VLOOKUP($R118,Capa!$A:$AJ,BD$5,0),0),IF(ISERROR(1/VLOOKUP($R118,Capa!$A:$AJ,BD$5,0)),0,1/VLOOKUP($R118,Capa!$A:$AJ,BD$5,0))))</f>
        <v/>
      </c>
      <c r="BE118" s="174" t="str">
        <f>IF(BE$6="","",IF(BE$3="Maior",iferror(VLOOKUP($R118,Capa!$A:$AJ,BE$5,0),0),IF(ISERROR(1/VLOOKUP($R118,Capa!$A:$AJ,BE$5,0)),0,1/VLOOKUP($R118,Capa!$A:$AJ,BE$5,0))))</f>
        <v/>
      </c>
      <c r="BF118" s="174" t="str">
        <f>IF(BF$6="","",IF(BF$3="Maior",iferror(VLOOKUP($R118,Capa!$A:$AJ,BF$5,0),0),IF(ISERROR(1/VLOOKUP($R118,Capa!$A:$AJ,BF$5,0)),0,1/VLOOKUP($R118,Capa!$A:$AJ,BF$5,0))))</f>
        <v/>
      </c>
      <c r="BG118" s="174" t="str">
        <f>IF(BG$6="","",IF(BG$3="Maior",iferror(VLOOKUP($R118,Capa!$A:$AJ,BG$5,0),0),IF(ISERROR(1/VLOOKUP($R118,Capa!$A:$AJ,BG$5,0)),0,1/VLOOKUP($R118,Capa!$A:$AJ,BG$5,0))))</f>
        <v/>
      </c>
      <c r="BH118" s="174" t="str">
        <f>IF(BH$6="","",IF(BH$3="Maior",iferror(VLOOKUP($R118,Capa!$A:$AJ,BH$5,0),0),IF(ISERROR(1/VLOOKUP($R118,Capa!$A:$AJ,BH$5,0)),0,1/VLOOKUP($R118,Capa!$A:$AJ,BH$5,0))))</f>
        <v/>
      </c>
      <c r="BI118" s="174" t="str">
        <f>IF(BI$6="","",IF(BI$3="Maior",iferror(VLOOKUP($R118,Capa!$A:$AJ,BI$5,0),0),IF(ISERROR(1/VLOOKUP($R118,Capa!$A:$AJ,BI$5,0)),0,1/VLOOKUP($R118,Capa!$A:$AJ,BI$5,0))))</f>
        <v/>
      </c>
      <c r="BJ118" s="174" t="str">
        <f>IF(BJ$6="","",IF(BJ$3="Maior",iferror(VLOOKUP($R118,Capa!$A:$AJ,BJ$5,0),0),IF(ISERROR(1/VLOOKUP($R118,Capa!$A:$AJ,BJ$5,0)),0,1/VLOOKUP($R118,Capa!$A:$AJ,BJ$5,0))))</f>
        <v/>
      </c>
      <c r="BK118" s="174" t="str">
        <f>IF(BK$6="","",IF(BK$3="Maior",iferror(VLOOKUP($R118,Capa!$A:$AJ,BK$5,0),0),IF(ISERROR(1/VLOOKUP($R118,Capa!$A:$AJ,BK$5,0)),0,1/VLOOKUP($R118,Capa!$A:$AJ,BK$5,0))))</f>
        <v/>
      </c>
      <c r="BL118" s="174" t="str">
        <f>IF(BL$6="","",IF(BL$3="Maior",iferror(VLOOKUP($R118,Capa!$A:$AJ,BL$5,0),0),IF(ISERROR(1/VLOOKUP($R118,Capa!$A:$AJ,BL$5,0)),0,1/VLOOKUP($R118,Capa!$A:$AJ,BL$5,0))))</f>
        <v/>
      </c>
      <c r="BM118" s="174" t="str">
        <f>IF(BM$6="","",IF(BM$3="Maior",iferror(VLOOKUP($R118,Capa!$A:$AJ,BM$5,0),0),IF(ISERROR(1/VLOOKUP($R118,Capa!$A:$AJ,BM$5,0)),0,1/VLOOKUP($R118,Capa!$A:$AJ,BM$5,0))))</f>
        <v/>
      </c>
      <c r="BN118" s="174" t="str">
        <f>IF(BN$6="","",IF(BN$3="Maior",iferror(VLOOKUP($R118,Capa!$A:$AJ,BN$5,0),0),IF(ISERROR(1/VLOOKUP($R118,Capa!$A:$AJ,BN$5,0)),0,1/VLOOKUP($R118,Capa!$A:$AJ,BN$5,0))))</f>
        <v/>
      </c>
      <c r="BO118" s="174" t="str">
        <f>IF(BO$6="","",IF(BO$3="Maior",iferror(VLOOKUP($R118,Capa!$A:$AJ,BO$5,0),0),IF(ISERROR(1/VLOOKUP($R118,Capa!$A:$AJ,BO$5,0)),0,1/VLOOKUP($R118,Capa!$A:$AJ,BO$5,0))))</f>
        <v/>
      </c>
      <c r="BP118" s="174" t="str">
        <f>IF(BP$6="","",IF(BP$3="Maior",iferror(VLOOKUP($R118,Capa!$A:$AJ,BP$5,0),0),IF(ISERROR(1/VLOOKUP($R118,Capa!$A:$AJ,BP$5,0)),0,1/VLOOKUP($R118,Capa!$A:$AJ,BP$5,0))))</f>
        <v/>
      </c>
      <c r="BQ118" s="174" t="str">
        <f>IF(BQ$6="","",IF(BQ$3="Maior",iferror(VLOOKUP($R118,Capa!$A:$AJ,BQ$5,0),0),IF(ISERROR(1/VLOOKUP($R118,Capa!$A:$AJ,BQ$5,0)),0,1/VLOOKUP($R118,Capa!$A:$AJ,BQ$5,0))))</f>
        <v/>
      </c>
      <c r="BR118" s="175"/>
      <c r="BS118" s="147"/>
    </row>
    <row r="119">
      <c r="G119" s="11"/>
      <c r="H119" s="8">
        <v>113.0</v>
      </c>
      <c r="I119" s="165" t="str">
        <f t="shared" si="6"/>
        <v>BRST3</v>
      </c>
      <c r="J119" s="166" t="str">
        <f>(VLOOKUP($I119,Capa!$A:$B,2,0))</f>
        <v>Brisanet Participacoes SA</v>
      </c>
      <c r="K119" s="167" t="str">
        <f>VLOOKUP(left(I119,4),Setor!A:D,3,0)&amp;" | "&amp;VLOOKUP(left(I119,4),Setor!A:D,4,0)</f>
        <v>#N/A</v>
      </c>
      <c r="L119" s="168">
        <f>(VLOOKUP($I119,Capa!$A:$F,6,0))</f>
        <v>3.04</v>
      </c>
      <c r="M119" s="168">
        <f t="shared" si="7"/>
        <v>1124777</v>
      </c>
      <c r="N119" s="11" t="str">
        <f>IFERROR(__xludf.DUMMYFUNCTION("(VLOOKUP($I119,Capa!$A:$H,7,0))"),"")</f>
        <v/>
      </c>
      <c r="O119" s="169">
        <f>(VLOOKUP($I119,Capa!$A:$H,8,0))</f>
        <v>-0.1239193084</v>
      </c>
      <c r="P119" s="11" t="str">
        <f>IFERROR(__xludf.DUMMYFUNCTION("(VLOOKUP($I119,Capa!$A:$J,10,0))"),"")</f>
        <v/>
      </c>
      <c r="Q119" s="169">
        <f>(VLOOKUP($I119,Capa!$A:$K,11,0))</f>
        <v>0.009966777409</v>
      </c>
      <c r="R119" s="45" t="str">
        <f>'Dados StatusInvest'!A114</f>
        <v>BRPR3</v>
      </c>
      <c r="S119" s="170">
        <f t="shared" si="8"/>
        <v>1535.0535</v>
      </c>
      <c r="T119" s="171">
        <f>VLOOKUP(R119,'Dados StatusInvest'!A:Z,26,0)</f>
        <v>0</v>
      </c>
      <c r="U119" s="172">
        <f t="shared" ref="U119:AS119" si="121">IF(AT119="","", RANK(AT119,AT$7:AT$626,0)+RANK(AT119,AT$7:AT$626,0)/10000)</f>
        <v>268.0268</v>
      </c>
      <c r="V119" s="172">
        <f t="shared" si="121"/>
        <v>267.0267</v>
      </c>
      <c r="W119" s="172" t="str">
        <f t="shared" si="121"/>
        <v/>
      </c>
      <c r="X119" s="172" t="str">
        <f t="shared" si="121"/>
        <v/>
      </c>
      <c r="Y119" s="172" t="str">
        <f t="shared" si="121"/>
        <v/>
      </c>
      <c r="Z119" s="172" t="str">
        <f t="shared" si="121"/>
        <v/>
      </c>
      <c r="AA119" s="172" t="str">
        <f t="shared" si="121"/>
        <v/>
      </c>
      <c r="AB119" s="172" t="str">
        <f t="shared" si="121"/>
        <v/>
      </c>
      <c r="AC119" s="172" t="str">
        <f t="shared" si="121"/>
        <v/>
      </c>
      <c r="AD119" s="172" t="str">
        <f t="shared" si="121"/>
        <v/>
      </c>
      <c r="AE119" s="172" t="str">
        <f t="shared" si="121"/>
        <v/>
      </c>
      <c r="AF119" s="172" t="str">
        <f t="shared" si="121"/>
        <v/>
      </c>
      <c r="AG119" s="172" t="str">
        <f t="shared" si="121"/>
        <v/>
      </c>
      <c r="AH119" s="172" t="str">
        <f t="shared" si="121"/>
        <v/>
      </c>
      <c r="AI119" s="172" t="str">
        <f t="shared" si="121"/>
        <v/>
      </c>
      <c r="AJ119" s="172" t="str">
        <f t="shared" si="121"/>
        <v/>
      </c>
      <c r="AK119" s="172" t="str">
        <f t="shared" si="121"/>
        <v/>
      </c>
      <c r="AL119" s="172" t="str">
        <f t="shared" si="121"/>
        <v/>
      </c>
      <c r="AM119" s="172" t="str">
        <f t="shared" si="121"/>
        <v/>
      </c>
      <c r="AN119" s="172" t="str">
        <f t="shared" si="121"/>
        <v/>
      </c>
      <c r="AO119" s="172" t="str">
        <f t="shared" si="121"/>
        <v/>
      </c>
      <c r="AP119" s="172" t="str">
        <f t="shared" si="121"/>
        <v/>
      </c>
      <c r="AQ119" s="172" t="str">
        <f t="shared" si="121"/>
        <v/>
      </c>
      <c r="AR119" s="172" t="str">
        <f t="shared" si="121"/>
        <v/>
      </c>
      <c r="AS119" s="172" t="str">
        <f t="shared" si="121"/>
        <v/>
      </c>
      <c r="AT119" s="173">
        <f>IF(AT$6="","",IF(AT$3="Maior",iferror(VLOOKUP($R119,Capa!$A:$AJ,AT$5,0),0),IF(ISERROR(1/VLOOKUP($R119,Capa!$A:$AJ,AT$5,0)),0,1/VLOOKUP($R119,Capa!$A:$AJ,AT$5,0))))</f>
        <v>-0.5617977528</v>
      </c>
      <c r="AU119" s="174">
        <f>IF(AU$6="","",IF(AU$3="Maior",iferror(VLOOKUP($R119,Capa!$A:$AJ,AU$5,0),0),IF(ISERROR(1/VLOOKUP($R119,Capa!$A:$AJ,AU$5,0)),0,1/VLOOKUP($R119,Capa!$A:$AJ,AU$5,0))))</f>
        <v>0</v>
      </c>
      <c r="AV119" s="174" t="str">
        <f>IF(AV$6="","",IF(AV$3="Maior",iferror(VLOOKUP($R119,Capa!$A:$AJ,AV$5,0),0),IF(ISERROR(1/VLOOKUP($R119,Capa!$A:$AJ,AV$5,0)),0,1/VLOOKUP($R119,Capa!$A:$AJ,AV$5,0))))</f>
        <v/>
      </c>
      <c r="AW119" s="174" t="str">
        <f>IF(AW$6="","",IF(AW$3="Maior",iferror(VLOOKUP($R119,Capa!$A:$AJ,AW$5,0),0),IF(ISERROR(1/VLOOKUP($R119,Capa!$A:$AJ,AW$5,0)),0,1/VLOOKUP($R119,Capa!$A:$AJ,AW$5,0))))</f>
        <v/>
      </c>
      <c r="AX119" s="174" t="str">
        <f>IF(AX$6="","",IF(AX$3="Maior",iferror(VLOOKUP($R119,Capa!$A:$AJ,AX$5,0),0),IF(ISERROR(1/VLOOKUP($R119,Capa!$A:$AJ,AX$5,0)),0,1/VLOOKUP($R119,Capa!$A:$AJ,AX$5,0))))</f>
        <v/>
      </c>
      <c r="AY119" s="174" t="str">
        <f>IF(AY$6="","",IF(AY$3="Maior",iferror(VLOOKUP($R119,Capa!$A:$AJ,AY$5,0),0),IF(ISERROR(1/VLOOKUP($R119,Capa!$A:$AJ,AY$5,0)),0,1/VLOOKUP($R119,Capa!$A:$AJ,AY$5,0))))</f>
        <v/>
      </c>
      <c r="AZ119" s="174" t="str">
        <f>IF(AZ$6="","",IF(AZ$3="Maior",iferror(VLOOKUP($R119,Capa!$A:$AJ,AZ$5,0),0),IF(ISERROR(1/VLOOKUP($R119,Capa!$A:$AJ,AZ$5,0)),0,1/VLOOKUP($R119,Capa!$A:$AJ,AZ$5,0))))</f>
        <v/>
      </c>
      <c r="BA119" s="174" t="str">
        <f>IF(BA$6="","",IF(BA$3="Maior",iferror(VLOOKUP($R119,Capa!$A:$AJ,BA$5,0),0),IF(ISERROR(1/VLOOKUP($R119,Capa!$A:$AJ,BA$5,0)),0,1/VLOOKUP($R119,Capa!$A:$AJ,BA$5,0))))</f>
        <v/>
      </c>
      <c r="BB119" s="174" t="str">
        <f>IF(BB$6="","",IF(BB$3="Maior",iferror(VLOOKUP($R119,Capa!$A:$AJ,BB$5,0),0),IF(ISERROR(1/VLOOKUP($R119,Capa!$A:$AJ,BB$5,0)),0,1/VLOOKUP($R119,Capa!$A:$AJ,BB$5,0))))</f>
        <v/>
      </c>
      <c r="BC119" s="174" t="str">
        <f>IF(BC$6="","",IF(BC$3="Maior",iferror(VLOOKUP($R119,Capa!$A:$AJ,BC$5,0),0),IF(ISERROR(1/VLOOKUP($R119,Capa!$A:$AJ,BC$5,0)),0,1/VLOOKUP($R119,Capa!$A:$AJ,BC$5,0))))</f>
        <v/>
      </c>
      <c r="BD119" s="174" t="str">
        <f>IF(BD$6="","",IF(BD$3="Maior",iferror(VLOOKUP($R119,Capa!$A:$AJ,BD$5,0),0),IF(ISERROR(1/VLOOKUP($R119,Capa!$A:$AJ,BD$5,0)),0,1/VLOOKUP($R119,Capa!$A:$AJ,BD$5,0))))</f>
        <v/>
      </c>
      <c r="BE119" s="174" t="str">
        <f>IF(BE$6="","",IF(BE$3="Maior",iferror(VLOOKUP($R119,Capa!$A:$AJ,BE$5,0),0),IF(ISERROR(1/VLOOKUP($R119,Capa!$A:$AJ,BE$5,0)),0,1/VLOOKUP($R119,Capa!$A:$AJ,BE$5,0))))</f>
        <v/>
      </c>
      <c r="BF119" s="174" t="str">
        <f>IF(BF$6="","",IF(BF$3="Maior",iferror(VLOOKUP($R119,Capa!$A:$AJ,BF$5,0),0),IF(ISERROR(1/VLOOKUP($R119,Capa!$A:$AJ,BF$5,0)),0,1/VLOOKUP($R119,Capa!$A:$AJ,BF$5,0))))</f>
        <v/>
      </c>
      <c r="BG119" s="174" t="str">
        <f>IF(BG$6="","",IF(BG$3="Maior",iferror(VLOOKUP($R119,Capa!$A:$AJ,BG$5,0),0),IF(ISERROR(1/VLOOKUP($R119,Capa!$A:$AJ,BG$5,0)),0,1/VLOOKUP($R119,Capa!$A:$AJ,BG$5,0))))</f>
        <v/>
      </c>
      <c r="BH119" s="174" t="str">
        <f>IF(BH$6="","",IF(BH$3="Maior",iferror(VLOOKUP($R119,Capa!$A:$AJ,BH$5,0),0),IF(ISERROR(1/VLOOKUP($R119,Capa!$A:$AJ,BH$5,0)),0,1/VLOOKUP($R119,Capa!$A:$AJ,BH$5,0))))</f>
        <v/>
      </c>
      <c r="BI119" s="174" t="str">
        <f>IF(BI$6="","",IF(BI$3="Maior",iferror(VLOOKUP($R119,Capa!$A:$AJ,BI$5,0),0),IF(ISERROR(1/VLOOKUP($R119,Capa!$A:$AJ,BI$5,0)),0,1/VLOOKUP($R119,Capa!$A:$AJ,BI$5,0))))</f>
        <v/>
      </c>
      <c r="BJ119" s="174" t="str">
        <f>IF(BJ$6="","",IF(BJ$3="Maior",iferror(VLOOKUP($R119,Capa!$A:$AJ,BJ$5,0),0),IF(ISERROR(1/VLOOKUP($R119,Capa!$A:$AJ,BJ$5,0)),0,1/VLOOKUP($R119,Capa!$A:$AJ,BJ$5,0))))</f>
        <v/>
      </c>
      <c r="BK119" s="174" t="str">
        <f>IF(BK$6="","",IF(BK$3="Maior",iferror(VLOOKUP($R119,Capa!$A:$AJ,BK$5,0),0),IF(ISERROR(1/VLOOKUP($R119,Capa!$A:$AJ,BK$5,0)),0,1/VLOOKUP($R119,Capa!$A:$AJ,BK$5,0))))</f>
        <v/>
      </c>
      <c r="BL119" s="174" t="str">
        <f>IF(BL$6="","",IF(BL$3="Maior",iferror(VLOOKUP($R119,Capa!$A:$AJ,BL$5,0),0),IF(ISERROR(1/VLOOKUP($R119,Capa!$A:$AJ,BL$5,0)),0,1/VLOOKUP($R119,Capa!$A:$AJ,BL$5,0))))</f>
        <v/>
      </c>
      <c r="BM119" s="174" t="str">
        <f>IF(BM$6="","",IF(BM$3="Maior",iferror(VLOOKUP($R119,Capa!$A:$AJ,BM$5,0),0),IF(ISERROR(1/VLOOKUP($R119,Capa!$A:$AJ,BM$5,0)),0,1/VLOOKUP($R119,Capa!$A:$AJ,BM$5,0))))</f>
        <v/>
      </c>
      <c r="BN119" s="174" t="str">
        <f>IF(BN$6="","",IF(BN$3="Maior",iferror(VLOOKUP($R119,Capa!$A:$AJ,BN$5,0),0),IF(ISERROR(1/VLOOKUP($R119,Capa!$A:$AJ,BN$5,0)),0,1/VLOOKUP($R119,Capa!$A:$AJ,BN$5,0))))</f>
        <v/>
      </c>
      <c r="BO119" s="174" t="str">
        <f>IF(BO$6="","",IF(BO$3="Maior",iferror(VLOOKUP($R119,Capa!$A:$AJ,BO$5,0),0),IF(ISERROR(1/VLOOKUP($R119,Capa!$A:$AJ,BO$5,0)),0,1/VLOOKUP($R119,Capa!$A:$AJ,BO$5,0))))</f>
        <v/>
      </c>
      <c r="BP119" s="174" t="str">
        <f>IF(BP$6="","",IF(BP$3="Maior",iferror(VLOOKUP($R119,Capa!$A:$AJ,BP$5,0),0),IF(ISERROR(1/VLOOKUP($R119,Capa!$A:$AJ,BP$5,0)),0,1/VLOOKUP($R119,Capa!$A:$AJ,BP$5,0))))</f>
        <v/>
      </c>
      <c r="BQ119" s="174" t="str">
        <f>IF(BQ$6="","",IF(BQ$3="Maior",iferror(VLOOKUP($R119,Capa!$A:$AJ,BQ$5,0),0),IF(ISERROR(1/VLOOKUP($R119,Capa!$A:$AJ,BQ$5,0)),0,1/VLOOKUP($R119,Capa!$A:$AJ,BQ$5,0))))</f>
        <v/>
      </c>
      <c r="BR119" s="175"/>
      <c r="BS119" s="147"/>
    </row>
    <row r="120">
      <c r="G120" s="11"/>
      <c r="H120" s="8">
        <v>114.0</v>
      </c>
      <c r="I120" s="165" t="str">
        <f t="shared" si="6"/>
        <v>RENT4</v>
      </c>
      <c r="J120" s="166" t="str">
        <f>(VLOOKUP($I120,Capa!$A:$B,2,0))</f>
        <v>Localiza Rent A Car Prf Shs</v>
      </c>
      <c r="K120" s="167" t="str">
        <f>VLOOKUP(left(I120,4),Setor!A:D,3,0)&amp;" | "&amp;VLOOKUP(left(I120,4),Setor!A:D,4,0)</f>
        <v>Consumo Cíclico | Diversos</v>
      </c>
      <c r="L120" s="168">
        <f>(VLOOKUP($I120,Capa!$A:$F,6,0))</f>
        <v>50.29</v>
      </c>
      <c r="M120" s="168">
        <f t="shared" si="7"/>
        <v>13411857</v>
      </c>
      <c r="N120" s="11" t="str">
        <f>IFERROR(__xludf.DUMMYFUNCTION("(VLOOKUP($I120,Capa!$A:$H,7,0))"),"")</f>
        <v/>
      </c>
      <c r="O120" s="169">
        <f>(VLOOKUP($I120,Capa!$A:$H,8,0))</f>
        <v>0.2036859742</v>
      </c>
      <c r="P120" s="11" t="str">
        <f>IFERROR(__xludf.DUMMYFUNCTION("(VLOOKUP($I120,Capa!$A:$J,10,0))"),"")</f>
        <v/>
      </c>
      <c r="Q120" s="169" t="str">
        <f>(VLOOKUP($I120,Capa!$A:$K,11,0))</f>
        <v/>
      </c>
      <c r="R120" s="45" t="str">
        <f>'Dados StatusInvest'!A115</f>
        <v>BRQB3</v>
      </c>
      <c r="S120" s="170">
        <f t="shared" si="8"/>
        <v>1207.0207</v>
      </c>
      <c r="T120" s="171">
        <f>VLOOKUP(R120,'Dados StatusInvest'!A:Z,26,0)</f>
        <v>0</v>
      </c>
      <c r="U120" s="172">
        <f t="shared" ref="U120:AS120" si="122">IF(AT120="","", RANK(AT120,AT$7:AT$626,0)+RANK(AT120,AT$7:AT$626,0)/10000)</f>
        <v>51.0051</v>
      </c>
      <c r="V120" s="172">
        <f t="shared" si="122"/>
        <v>156.0156</v>
      </c>
      <c r="W120" s="172" t="str">
        <f t="shared" si="122"/>
        <v/>
      </c>
      <c r="X120" s="172" t="str">
        <f t="shared" si="122"/>
        <v/>
      </c>
      <c r="Y120" s="172" t="str">
        <f t="shared" si="122"/>
        <v/>
      </c>
      <c r="Z120" s="172" t="str">
        <f t="shared" si="122"/>
        <v/>
      </c>
      <c r="AA120" s="172" t="str">
        <f t="shared" si="122"/>
        <v/>
      </c>
      <c r="AB120" s="172" t="str">
        <f t="shared" si="122"/>
        <v/>
      </c>
      <c r="AC120" s="172" t="str">
        <f t="shared" si="122"/>
        <v/>
      </c>
      <c r="AD120" s="172" t="str">
        <f t="shared" si="122"/>
        <v/>
      </c>
      <c r="AE120" s="172" t="str">
        <f t="shared" si="122"/>
        <v/>
      </c>
      <c r="AF120" s="172" t="str">
        <f t="shared" si="122"/>
        <v/>
      </c>
      <c r="AG120" s="172" t="str">
        <f t="shared" si="122"/>
        <v/>
      </c>
      <c r="AH120" s="172" t="str">
        <f t="shared" si="122"/>
        <v/>
      </c>
      <c r="AI120" s="172" t="str">
        <f t="shared" si="122"/>
        <v/>
      </c>
      <c r="AJ120" s="172" t="str">
        <f t="shared" si="122"/>
        <v/>
      </c>
      <c r="AK120" s="172" t="str">
        <f t="shared" si="122"/>
        <v/>
      </c>
      <c r="AL120" s="172" t="str">
        <f t="shared" si="122"/>
        <v/>
      </c>
      <c r="AM120" s="172" t="str">
        <f t="shared" si="122"/>
        <v/>
      </c>
      <c r="AN120" s="172" t="str">
        <f t="shared" si="122"/>
        <v/>
      </c>
      <c r="AO120" s="172" t="str">
        <f t="shared" si="122"/>
        <v/>
      </c>
      <c r="AP120" s="172" t="str">
        <f t="shared" si="122"/>
        <v/>
      </c>
      <c r="AQ120" s="172" t="str">
        <f t="shared" si="122"/>
        <v/>
      </c>
      <c r="AR120" s="172" t="str">
        <f t="shared" si="122"/>
        <v/>
      </c>
      <c r="AS120" s="172" t="str">
        <f t="shared" si="122"/>
        <v/>
      </c>
      <c r="AT120" s="173">
        <f>IF(AT$6="","",IF(AT$3="Maior",iferror(VLOOKUP($R120,Capa!$A:$AJ,AT$5,0),0),IF(ISERROR(1/VLOOKUP($R120,Capa!$A:$AJ,AT$5,0)),0,1/VLOOKUP($R120,Capa!$A:$AJ,AT$5,0))))</f>
        <v>0</v>
      </c>
      <c r="AU120" s="174">
        <f>IF(AU$6="","",IF(AU$3="Maior",iferror(VLOOKUP($R120,Capa!$A:$AJ,AU$5,0),0),IF(ISERROR(1/VLOOKUP($R120,Capa!$A:$AJ,AU$5,0)),0,1/VLOOKUP($R120,Capa!$A:$AJ,AU$5,0))))</f>
        <v>17.62</v>
      </c>
      <c r="AV120" s="174" t="str">
        <f>IF(AV$6="","",IF(AV$3="Maior",iferror(VLOOKUP($R120,Capa!$A:$AJ,AV$5,0),0),IF(ISERROR(1/VLOOKUP($R120,Capa!$A:$AJ,AV$5,0)),0,1/VLOOKUP($R120,Capa!$A:$AJ,AV$5,0))))</f>
        <v/>
      </c>
      <c r="AW120" s="174" t="str">
        <f>IF(AW$6="","",IF(AW$3="Maior",iferror(VLOOKUP($R120,Capa!$A:$AJ,AW$5,0),0),IF(ISERROR(1/VLOOKUP($R120,Capa!$A:$AJ,AW$5,0)),0,1/VLOOKUP($R120,Capa!$A:$AJ,AW$5,0))))</f>
        <v/>
      </c>
      <c r="AX120" s="174" t="str">
        <f>IF(AX$6="","",IF(AX$3="Maior",iferror(VLOOKUP($R120,Capa!$A:$AJ,AX$5,0),0),IF(ISERROR(1/VLOOKUP($R120,Capa!$A:$AJ,AX$5,0)),0,1/VLOOKUP($R120,Capa!$A:$AJ,AX$5,0))))</f>
        <v/>
      </c>
      <c r="AY120" s="174" t="str">
        <f>IF(AY$6="","",IF(AY$3="Maior",iferror(VLOOKUP($R120,Capa!$A:$AJ,AY$5,0),0),IF(ISERROR(1/VLOOKUP($R120,Capa!$A:$AJ,AY$5,0)),0,1/VLOOKUP($R120,Capa!$A:$AJ,AY$5,0))))</f>
        <v/>
      </c>
      <c r="AZ120" s="174" t="str">
        <f>IF(AZ$6="","",IF(AZ$3="Maior",iferror(VLOOKUP($R120,Capa!$A:$AJ,AZ$5,0),0),IF(ISERROR(1/VLOOKUP($R120,Capa!$A:$AJ,AZ$5,0)),0,1/VLOOKUP($R120,Capa!$A:$AJ,AZ$5,0))))</f>
        <v/>
      </c>
      <c r="BA120" s="174" t="str">
        <f>IF(BA$6="","",IF(BA$3="Maior",iferror(VLOOKUP($R120,Capa!$A:$AJ,BA$5,0),0),IF(ISERROR(1/VLOOKUP($R120,Capa!$A:$AJ,BA$5,0)),0,1/VLOOKUP($R120,Capa!$A:$AJ,BA$5,0))))</f>
        <v/>
      </c>
      <c r="BB120" s="174" t="str">
        <f>IF(BB$6="","",IF(BB$3="Maior",iferror(VLOOKUP($R120,Capa!$A:$AJ,BB$5,0),0),IF(ISERROR(1/VLOOKUP($R120,Capa!$A:$AJ,BB$5,0)),0,1/VLOOKUP($R120,Capa!$A:$AJ,BB$5,0))))</f>
        <v/>
      </c>
      <c r="BC120" s="174" t="str">
        <f>IF(BC$6="","",IF(BC$3="Maior",iferror(VLOOKUP($R120,Capa!$A:$AJ,BC$5,0),0),IF(ISERROR(1/VLOOKUP($R120,Capa!$A:$AJ,BC$5,0)),0,1/VLOOKUP($R120,Capa!$A:$AJ,BC$5,0))))</f>
        <v/>
      </c>
      <c r="BD120" s="174" t="str">
        <f>IF(BD$6="","",IF(BD$3="Maior",iferror(VLOOKUP($R120,Capa!$A:$AJ,BD$5,0),0),IF(ISERROR(1/VLOOKUP($R120,Capa!$A:$AJ,BD$5,0)),0,1/VLOOKUP($R120,Capa!$A:$AJ,BD$5,0))))</f>
        <v/>
      </c>
      <c r="BE120" s="174" t="str">
        <f>IF(BE$6="","",IF(BE$3="Maior",iferror(VLOOKUP($R120,Capa!$A:$AJ,BE$5,0),0),IF(ISERROR(1/VLOOKUP($R120,Capa!$A:$AJ,BE$5,0)),0,1/VLOOKUP($R120,Capa!$A:$AJ,BE$5,0))))</f>
        <v/>
      </c>
      <c r="BF120" s="174" t="str">
        <f>IF(BF$6="","",IF(BF$3="Maior",iferror(VLOOKUP($R120,Capa!$A:$AJ,BF$5,0),0),IF(ISERROR(1/VLOOKUP($R120,Capa!$A:$AJ,BF$5,0)),0,1/VLOOKUP($R120,Capa!$A:$AJ,BF$5,0))))</f>
        <v/>
      </c>
      <c r="BG120" s="174" t="str">
        <f>IF(BG$6="","",IF(BG$3="Maior",iferror(VLOOKUP($R120,Capa!$A:$AJ,BG$5,0),0),IF(ISERROR(1/VLOOKUP($R120,Capa!$A:$AJ,BG$5,0)),0,1/VLOOKUP($R120,Capa!$A:$AJ,BG$5,0))))</f>
        <v/>
      </c>
      <c r="BH120" s="174" t="str">
        <f>IF(BH$6="","",IF(BH$3="Maior",iferror(VLOOKUP($R120,Capa!$A:$AJ,BH$5,0),0),IF(ISERROR(1/VLOOKUP($R120,Capa!$A:$AJ,BH$5,0)),0,1/VLOOKUP($R120,Capa!$A:$AJ,BH$5,0))))</f>
        <v/>
      </c>
      <c r="BI120" s="174" t="str">
        <f>IF(BI$6="","",IF(BI$3="Maior",iferror(VLOOKUP($R120,Capa!$A:$AJ,BI$5,0),0),IF(ISERROR(1/VLOOKUP($R120,Capa!$A:$AJ,BI$5,0)),0,1/VLOOKUP($R120,Capa!$A:$AJ,BI$5,0))))</f>
        <v/>
      </c>
      <c r="BJ120" s="174" t="str">
        <f>IF(BJ$6="","",IF(BJ$3="Maior",iferror(VLOOKUP($R120,Capa!$A:$AJ,BJ$5,0),0),IF(ISERROR(1/VLOOKUP($R120,Capa!$A:$AJ,BJ$5,0)),0,1/VLOOKUP($R120,Capa!$A:$AJ,BJ$5,0))))</f>
        <v/>
      </c>
      <c r="BK120" s="174" t="str">
        <f>IF(BK$6="","",IF(BK$3="Maior",iferror(VLOOKUP($R120,Capa!$A:$AJ,BK$5,0),0),IF(ISERROR(1/VLOOKUP($R120,Capa!$A:$AJ,BK$5,0)),0,1/VLOOKUP($R120,Capa!$A:$AJ,BK$5,0))))</f>
        <v/>
      </c>
      <c r="BL120" s="174" t="str">
        <f>IF(BL$6="","",IF(BL$3="Maior",iferror(VLOOKUP($R120,Capa!$A:$AJ,BL$5,0),0),IF(ISERROR(1/VLOOKUP($R120,Capa!$A:$AJ,BL$5,0)),0,1/VLOOKUP($R120,Capa!$A:$AJ,BL$5,0))))</f>
        <v/>
      </c>
      <c r="BM120" s="174" t="str">
        <f>IF(BM$6="","",IF(BM$3="Maior",iferror(VLOOKUP($R120,Capa!$A:$AJ,BM$5,0),0),IF(ISERROR(1/VLOOKUP($R120,Capa!$A:$AJ,BM$5,0)),0,1/VLOOKUP($R120,Capa!$A:$AJ,BM$5,0))))</f>
        <v/>
      </c>
      <c r="BN120" s="174" t="str">
        <f>IF(BN$6="","",IF(BN$3="Maior",iferror(VLOOKUP($R120,Capa!$A:$AJ,BN$5,0),0),IF(ISERROR(1/VLOOKUP($R120,Capa!$A:$AJ,BN$5,0)),0,1/VLOOKUP($R120,Capa!$A:$AJ,BN$5,0))))</f>
        <v/>
      </c>
      <c r="BO120" s="174" t="str">
        <f>IF(BO$6="","",IF(BO$3="Maior",iferror(VLOOKUP($R120,Capa!$A:$AJ,BO$5,0),0),IF(ISERROR(1/VLOOKUP($R120,Capa!$A:$AJ,BO$5,0)),0,1/VLOOKUP($R120,Capa!$A:$AJ,BO$5,0))))</f>
        <v/>
      </c>
      <c r="BP120" s="174" t="str">
        <f>IF(BP$6="","",IF(BP$3="Maior",iferror(VLOOKUP($R120,Capa!$A:$AJ,BP$5,0),0),IF(ISERROR(1/VLOOKUP($R120,Capa!$A:$AJ,BP$5,0)),0,1/VLOOKUP($R120,Capa!$A:$AJ,BP$5,0))))</f>
        <v/>
      </c>
      <c r="BQ120" s="174" t="str">
        <f>IF(BQ$6="","",IF(BQ$3="Maior",iferror(VLOOKUP($R120,Capa!$A:$AJ,BQ$5,0),0),IF(ISERROR(1/VLOOKUP($R120,Capa!$A:$AJ,BQ$5,0)),0,1/VLOOKUP($R120,Capa!$A:$AJ,BQ$5,0))))</f>
        <v/>
      </c>
      <c r="BR120" s="175"/>
      <c r="BS120" s="147"/>
    </row>
    <row r="121">
      <c r="G121" s="11"/>
      <c r="H121" s="8">
        <v>115.0</v>
      </c>
      <c r="I121" s="165" t="str">
        <f t="shared" si="6"/>
        <v>FLRY3</v>
      </c>
      <c r="J121" s="166" t="str">
        <f>(VLOOKUP($I121,Capa!$A:$B,2,0))</f>
        <v>Fleury SA</v>
      </c>
      <c r="K121" s="167" t="str">
        <f>VLOOKUP(left(I121,4),Setor!A:D,3,0)&amp;" | "&amp;VLOOKUP(left(I121,4),Setor!A:D,4,0)</f>
        <v>Saúde | Análises e Diagnósticos</v>
      </c>
      <c r="L121" s="168">
        <f>(VLOOKUP($I121,Capa!$A:$F,6,0))</f>
        <v>17.81</v>
      </c>
      <c r="M121" s="168">
        <f t="shared" si="7"/>
        <v>55006614</v>
      </c>
      <c r="N121" s="11" t="str">
        <f>IFERROR(__xludf.DUMMYFUNCTION("(VLOOKUP($I121,Capa!$A:$H,7,0))"),"")</f>
        <v/>
      </c>
      <c r="O121" s="169">
        <f>(VLOOKUP($I121,Capa!$A:$H,8,0))</f>
        <v>0.1117353308</v>
      </c>
      <c r="P121" s="11" t="str">
        <f>IFERROR(__xludf.DUMMYFUNCTION("(VLOOKUP($I121,Capa!$A:$J,10,0))"),"")</f>
        <v/>
      </c>
      <c r="Q121" s="169">
        <f>(VLOOKUP($I121,Capa!$A:$K,11,0))</f>
        <v>0.4991582492</v>
      </c>
      <c r="R121" s="45" t="str">
        <f>'Dados StatusInvest'!A116</f>
        <v>BRSR3</v>
      </c>
      <c r="S121" s="170">
        <f t="shared" si="8"/>
        <v>1784.0784</v>
      </c>
      <c r="T121" s="171">
        <f>VLOOKUP(R121,'Dados StatusInvest'!A:Z,26,0)</f>
        <v>200454</v>
      </c>
      <c r="U121" s="172">
        <f t="shared" ref="U121:AS121" si="123">IF(AT121="","", RANK(AT121,AT$7:AT$626,0)+RANK(AT121,AT$7:AT$626,0)/10000)</f>
        <v>520.052</v>
      </c>
      <c r="V121" s="172">
        <f t="shared" si="123"/>
        <v>264.0264</v>
      </c>
      <c r="W121" s="172" t="str">
        <f t="shared" si="123"/>
        <v/>
      </c>
      <c r="X121" s="172" t="str">
        <f t="shared" si="123"/>
        <v/>
      </c>
      <c r="Y121" s="172" t="str">
        <f t="shared" si="123"/>
        <v/>
      </c>
      <c r="Z121" s="172" t="str">
        <f t="shared" si="123"/>
        <v/>
      </c>
      <c r="AA121" s="172" t="str">
        <f t="shared" si="123"/>
        <v/>
      </c>
      <c r="AB121" s="172" t="str">
        <f t="shared" si="123"/>
        <v/>
      </c>
      <c r="AC121" s="172" t="str">
        <f t="shared" si="123"/>
        <v/>
      </c>
      <c r="AD121" s="172" t="str">
        <f t="shared" si="123"/>
        <v/>
      </c>
      <c r="AE121" s="172" t="str">
        <f t="shared" si="123"/>
        <v/>
      </c>
      <c r="AF121" s="172" t="str">
        <f t="shared" si="123"/>
        <v/>
      </c>
      <c r="AG121" s="172" t="str">
        <f t="shared" si="123"/>
        <v/>
      </c>
      <c r="AH121" s="172" t="str">
        <f t="shared" si="123"/>
        <v/>
      </c>
      <c r="AI121" s="172" t="str">
        <f t="shared" si="123"/>
        <v/>
      </c>
      <c r="AJ121" s="172" t="str">
        <f t="shared" si="123"/>
        <v/>
      </c>
      <c r="AK121" s="172" t="str">
        <f t="shared" si="123"/>
        <v/>
      </c>
      <c r="AL121" s="172" t="str">
        <f t="shared" si="123"/>
        <v/>
      </c>
      <c r="AM121" s="172" t="str">
        <f t="shared" si="123"/>
        <v/>
      </c>
      <c r="AN121" s="172" t="str">
        <f t="shared" si="123"/>
        <v/>
      </c>
      <c r="AO121" s="172" t="str">
        <f t="shared" si="123"/>
        <v/>
      </c>
      <c r="AP121" s="172" t="str">
        <f t="shared" si="123"/>
        <v/>
      </c>
      <c r="AQ121" s="172" t="str">
        <f t="shared" si="123"/>
        <v/>
      </c>
      <c r="AR121" s="172" t="str">
        <f t="shared" si="123"/>
        <v/>
      </c>
      <c r="AS121" s="172" t="str">
        <f t="shared" si="123"/>
        <v/>
      </c>
      <c r="AT121" s="173">
        <f>IF(AT$6="","",IF(AT$3="Maior",iferror(VLOOKUP($R121,Capa!$A:$AJ,AT$5,0),0),IF(ISERROR(1/VLOOKUP($R121,Capa!$A:$AJ,AT$5,0)),0,1/VLOOKUP($R121,Capa!$A:$AJ,AT$5,0))))</f>
        <v>-3.918631717</v>
      </c>
      <c r="AU121" s="174">
        <f>IF(AU$6="","",IF(AU$3="Maior",iferror(VLOOKUP($R121,Capa!$A:$AJ,AU$5,0),0),IF(ISERROR(1/VLOOKUP($R121,Capa!$A:$AJ,AU$5,0)),0,1/VLOOKUP($R121,Capa!$A:$AJ,AU$5,0))))</f>
        <v>0.02</v>
      </c>
      <c r="AV121" s="174" t="str">
        <f>IF(AV$6="","",IF(AV$3="Maior",iferror(VLOOKUP($R121,Capa!$A:$AJ,AV$5,0),0),IF(ISERROR(1/VLOOKUP($R121,Capa!$A:$AJ,AV$5,0)),0,1/VLOOKUP($R121,Capa!$A:$AJ,AV$5,0))))</f>
        <v/>
      </c>
      <c r="AW121" s="174" t="str">
        <f>IF(AW$6="","",IF(AW$3="Maior",iferror(VLOOKUP($R121,Capa!$A:$AJ,AW$5,0),0),IF(ISERROR(1/VLOOKUP($R121,Capa!$A:$AJ,AW$5,0)),0,1/VLOOKUP($R121,Capa!$A:$AJ,AW$5,0))))</f>
        <v/>
      </c>
      <c r="AX121" s="174" t="str">
        <f>IF(AX$6="","",IF(AX$3="Maior",iferror(VLOOKUP($R121,Capa!$A:$AJ,AX$5,0),0),IF(ISERROR(1/VLOOKUP($R121,Capa!$A:$AJ,AX$5,0)),0,1/VLOOKUP($R121,Capa!$A:$AJ,AX$5,0))))</f>
        <v/>
      </c>
      <c r="AY121" s="174" t="str">
        <f>IF(AY$6="","",IF(AY$3="Maior",iferror(VLOOKUP($R121,Capa!$A:$AJ,AY$5,0),0),IF(ISERROR(1/VLOOKUP($R121,Capa!$A:$AJ,AY$5,0)),0,1/VLOOKUP($R121,Capa!$A:$AJ,AY$5,0))))</f>
        <v/>
      </c>
      <c r="AZ121" s="174" t="str">
        <f>IF(AZ$6="","",IF(AZ$3="Maior",iferror(VLOOKUP($R121,Capa!$A:$AJ,AZ$5,0),0),IF(ISERROR(1/VLOOKUP($R121,Capa!$A:$AJ,AZ$5,0)),0,1/VLOOKUP($R121,Capa!$A:$AJ,AZ$5,0))))</f>
        <v/>
      </c>
      <c r="BA121" s="174" t="str">
        <f>IF(BA$6="","",IF(BA$3="Maior",iferror(VLOOKUP($R121,Capa!$A:$AJ,BA$5,0),0),IF(ISERROR(1/VLOOKUP($R121,Capa!$A:$AJ,BA$5,0)),0,1/VLOOKUP($R121,Capa!$A:$AJ,BA$5,0))))</f>
        <v/>
      </c>
      <c r="BB121" s="174" t="str">
        <f>IF(BB$6="","",IF(BB$3="Maior",iferror(VLOOKUP($R121,Capa!$A:$AJ,BB$5,0),0),IF(ISERROR(1/VLOOKUP($R121,Capa!$A:$AJ,BB$5,0)),0,1/VLOOKUP($R121,Capa!$A:$AJ,BB$5,0))))</f>
        <v/>
      </c>
      <c r="BC121" s="174" t="str">
        <f>IF(BC$6="","",IF(BC$3="Maior",iferror(VLOOKUP($R121,Capa!$A:$AJ,BC$5,0),0),IF(ISERROR(1/VLOOKUP($R121,Capa!$A:$AJ,BC$5,0)),0,1/VLOOKUP($R121,Capa!$A:$AJ,BC$5,0))))</f>
        <v/>
      </c>
      <c r="BD121" s="174" t="str">
        <f>IF(BD$6="","",IF(BD$3="Maior",iferror(VLOOKUP($R121,Capa!$A:$AJ,BD$5,0),0),IF(ISERROR(1/VLOOKUP($R121,Capa!$A:$AJ,BD$5,0)),0,1/VLOOKUP($R121,Capa!$A:$AJ,BD$5,0))))</f>
        <v/>
      </c>
      <c r="BE121" s="174" t="str">
        <f>IF(BE$6="","",IF(BE$3="Maior",iferror(VLOOKUP($R121,Capa!$A:$AJ,BE$5,0),0),IF(ISERROR(1/VLOOKUP($R121,Capa!$A:$AJ,BE$5,0)),0,1/VLOOKUP($R121,Capa!$A:$AJ,BE$5,0))))</f>
        <v/>
      </c>
      <c r="BF121" s="174" t="str">
        <f>IF(BF$6="","",IF(BF$3="Maior",iferror(VLOOKUP($R121,Capa!$A:$AJ,BF$5,0),0),IF(ISERROR(1/VLOOKUP($R121,Capa!$A:$AJ,BF$5,0)),0,1/VLOOKUP($R121,Capa!$A:$AJ,BF$5,0))))</f>
        <v/>
      </c>
      <c r="BG121" s="174" t="str">
        <f>IF(BG$6="","",IF(BG$3="Maior",iferror(VLOOKUP($R121,Capa!$A:$AJ,BG$5,0),0),IF(ISERROR(1/VLOOKUP($R121,Capa!$A:$AJ,BG$5,0)),0,1/VLOOKUP($R121,Capa!$A:$AJ,BG$5,0))))</f>
        <v/>
      </c>
      <c r="BH121" s="174" t="str">
        <f>IF(BH$6="","",IF(BH$3="Maior",iferror(VLOOKUP($R121,Capa!$A:$AJ,BH$5,0),0),IF(ISERROR(1/VLOOKUP($R121,Capa!$A:$AJ,BH$5,0)),0,1/VLOOKUP($R121,Capa!$A:$AJ,BH$5,0))))</f>
        <v/>
      </c>
      <c r="BI121" s="174" t="str">
        <f>IF(BI$6="","",IF(BI$3="Maior",iferror(VLOOKUP($R121,Capa!$A:$AJ,BI$5,0),0),IF(ISERROR(1/VLOOKUP($R121,Capa!$A:$AJ,BI$5,0)),0,1/VLOOKUP($R121,Capa!$A:$AJ,BI$5,0))))</f>
        <v/>
      </c>
      <c r="BJ121" s="174" t="str">
        <f>IF(BJ$6="","",IF(BJ$3="Maior",iferror(VLOOKUP($R121,Capa!$A:$AJ,BJ$5,0),0),IF(ISERROR(1/VLOOKUP($R121,Capa!$A:$AJ,BJ$5,0)),0,1/VLOOKUP($R121,Capa!$A:$AJ,BJ$5,0))))</f>
        <v/>
      </c>
      <c r="BK121" s="174" t="str">
        <f>IF(BK$6="","",IF(BK$3="Maior",iferror(VLOOKUP($R121,Capa!$A:$AJ,BK$5,0),0),IF(ISERROR(1/VLOOKUP($R121,Capa!$A:$AJ,BK$5,0)),0,1/VLOOKUP($R121,Capa!$A:$AJ,BK$5,0))))</f>
        <v/>
      </c>
      <c r="BL121" s="174" t="str">
        <f>IF(BL$6="","",IF(BL$3="Maior",iferror(VLOOKUP($R121,Capa!$A:$AJ,BL$5,0),0),IF(ISERROR(1/VLOOKUP($R121,Capa!$A:$AJ,BL$5,0)),0,1/VLOOKUP($R121,Capa!$A:$AJ,BL$5,0))))</f>
        <v/>
      </c>
      <c r="BM121" s="174" t="str">
        <f>IF(BM$6="","",IF(BM$3="Maior",iferror(VLOOKUP($R121,Capa!$A:$AJ,BM$5,0),0),IF(ISERROR(1/VLOOKUP($R121,Capa!$A:$AJ,BM$5,0)),0,1/VLOOKUP($R121,Capa!$A:$AJ,BM$5,0))))</f>
        <v/>
      </c>
      <c r="BN121" s="174" t="str">
        <f>IF(BN$6="","",IF(BN$3="Maior",iferror(VLOOKUP($R121,Capa!$A:$AJ,BN$5,0),0),IF(ISERROR(1/VLOOKUP($R121,Capa!$A:$AJ,BN$5,0)),0,1/VLOOKUP($R121,Capa!$A:$AJ,BN$5,0))))</f>
        <v/>
      </c>
      <c r="BO121" s="174" t="str">
        <f>IF(BO$6="","",IF(BO$3="Maior",iferror(VLOOKUP($R121,Capa!$A:$AJ,BO$5,0),0),IF(ISERROR(1/VLOOKUP($R121,Capa!$A:$AJ,BO$5,0)),0,1/VLOOKUP($R121,Capa!$A:$AJ,BO$5,0))))</f>
        <v/>
      </c>
      <c r="BP121" s="174" t="str">
        <f>IF(BP$6="","",IF(BP$3="Maior",iferror(VLOOKUP($R121,Capa!$A:$AJ,BP$5,0),0),IF(ISERROR(1/VLOOKUP($R121,Capa!$A:$AJ,BP$5,0)),0,1/VLOOKUP($R121,Capa!$A:$AJ,BP$5,0))))</f>
        <v/>
      </c>
      <c r="BQ121" s="174" t="str">
        <f>IF(BQ$6="","",IF(BQ$3="Maior",iferror(VLOOKUP($R121,Capa!$A:$AJ,BQ$5,0),0),IF(ISERROR(1/VLOOKUP($R121,Capa!$A:$AJ,BQ$5,0)),0,1/VLOOKUP($R121,Capa!$A:$AJ,BQ$5,0))))</f>
        <v/>
      </c>
      <c r="BR121" s="175"/>
      <c r="BS121" s="147"/>
    </row>
    <row r="122">
      <c r="G122" s="11"/>
      <c r="H122" s="8">
        <v>116.0</v>
      </c>
      <c r="I122" s="165" t="str">
        <f t="shared" si="6"/>
        <v>EZTC3</v>
      </c>
      <c r="J122" s="166" t="str">
        <f>(VLOOKUP($I122,Capa!$A:$B,2,0))</f>
        <v>EZ TEC Empreendimentos e Participaces SA</v>
      </c>
      <c r="K122" s="167" t="str">
        <f>VLOOKUP(left(I122,4),Setor!A:D,3,0)&amp;" | "&amp;VLOOKUP(left(I122,4),Setor!A:D,4,0)</f>
        <v>Consumo Cíclico | Construção Civil</v>
      </c>
      <c r="L122" s="168">
        <f>(VLOOKUP($I122,Capa!$A:$F,6,0))</f>
        <v>15.57</v>
      </c>
      <c r="M122" s="168">
        <f t="shared" si="7"/>
        <v>30563739</v>
      </c>
      <c r="N122" s="11" t="str">
        <f>IFERROR(__xludf.DUMMYFUNCTION("(VLOOKUP($I122,Capa!$A:$H,7,0))"),"")</f>
        <v/>
      </c>
      <c r="O122" s="169">
        <f>(VLOOKUP($I122,Capa!$A:$H,8,0))</f>
        <v>0.1034727144</v>
      </c>
      <c r="P122" s="11" t="str">
        <f>IFERROR(__xludf.DUMMYFUNCTION("(VLOOKUP($I122,Capa!$A:$J,10,0))"),"")</f>
        <v/>
      </c>
      <c r="Q122" s="169">
        <f>(VLOOKUP($I122,Capa!$A:$K,11,0))</f>
        <v>0.4592314902</v>
      </c>
      <c r="R122" s="45" t="str">
        <f>'Dados StatusInvest'!A117</f>
        <v>BRSR5</v>
      </c>
      <c r="S122" s="170">
        <f t="shared" si="8"/>
        <v>1862.0862</v>
      </c>
      <c r="T122" s="171">
        <f>VLOOKUP(R122,'Dados StatusInvest'!A:Z,26,0)</f>
        <v>4641.75</v>
      </c>
      <c r="U122" s="172">
        <f t="shared" ref="U122:AS122" si="124">IF(AT122="","", RANK(AT122,AT$7:AT$626,0)+RANK(AT122,AT$7:AT$626,0)/10000)</f>
        <v>598.0598</v>
      </c>
      <c r="V122" s="172">
        <f t="shared" si="124"/>
        <v>264.0264</v>
      </c>
      <c r="W122" s="172" t="str">
        <f t="shared" si="124"/>
        <v/>
      </c>
      <c r="X122" s="172" t="str">
        <f t="shared" si="124"/>
        <v/>
      </c>
      <c r="Y122" s="172" t="str">
        <f t="shared" si="124"/>
        <v/>
      </c>
      <c r="Z122" s="172" t="str">
        <f t="shared" si="124"/>
        <v/>
      </c>
      <c r="AA122" s="172" t="str">
        <f t="shared" si="124"/>
        <v/>
      </c>
      <c r="AB122" s="172" t="str">
        <f t="shared" si="124"/>
        <v/>
      </c>
      <c r="AC122" s="172" t="str">
        <f t="shared" si="124"/>
        <v/>
      </c>
      <c r="AD122" s="172" t="str">
        <f t="shared" si="124"/>
        <v/>
      </c>
      <c r="AE122" s="172" t="str">
        <f t="shared" si="124"/>
        <v/>
      </c>
      <c r="AF122" s="172" t="str">
        <f t="shared" si="124"/>
        <v/>
      </c>
      <c r="AG122" s="172" t="str">
        <f t="shared" si="124"/>
        <v/>
      </c>
      <c r="AH122" s="172" t="str">
        <f t="shared" si="124"/>
        <v/>
      </c>
      <c r="AI122" s="172" t="str">
        <f t="shared" si="124"/>
        <v/>
      </c>
      <c r="AJ122" s="172" t="str">
        <f t="shared" si="124"/>
        <v/>
      </c>
      <c r="AK122" s="172" t="str">
        <f t="shared" si="124"/>
        <v/>
      </c>
      <c r="AL122" s="172" t="str">
        <f t="shared" si="124"/>
        <v/>
      </c>
      <c r="AM122" s="172" t="str">
        <f t="shared" si="124"/>
        <v/>
      </c>
      <c r="AN122" s="172" t="str">
        <f t="shared" si="124"/>
        <v/>
      </c>
      <c r="AO122" s="172" t="str">
        <f t="shared" si="124"/>
        <v/>
      </c>
      <c r="AP122" s="172" t="str">
        <f t="shared" si="124"/>
        <v/>
      </c>
      <c r="AQ122" s="172" t="str">
        <f t="shared" si="124"/>
        <v/>
      </c>
      <c r="AR122" s="172" t="str">
        <f t="shared" si="124"/>
        <v/>
      </c>
      <c r="AS122" s="172" t="str">
        <f t="shared" si="124"/>
        <v/>
      </c>
      <c r="AT122" s="173">
        <f>IF(AT$6="","",IF(AT$3="Maior",iferror(VLOOKUP($R122,Capa!$A:$AJ,AT$5,0),0),IF(ISERROR(1/VLOOKUP($R122,Capa!$A:$AJ,AT$5,0)),0,1/VLOOKUP($R122,Capa!$A:$AJ,AT$5,0))))</f>
        <v>-20</v>
      </c>
      <c r="AU122" s="174">
        <f>IF(AU$6="","",IF(AU$3="Maior",iferror(VLOOKUP($R122,Capa!$A:$AJ,AU$5,0),0),IF(ISERROR(1/VLOOKUP($R122,Capa!$A:$AJ,AU$5,0)),0,1/VLOOKUP($R122,Capa!$A:$AJ,AU$5,0))))</f>
        <v>0.02</v>
      </c>
      <c r="AV122" s="174" t="str">
        <f>IF(AV$6="","",IF(AV$3="Maior",iferror(VLOOKUP($R122,Capa!$A:$AJ,AV$5,0),0),IF(ISERROR(1/VLOOKUP($R122,Capa!$A:$AJ,AV$5,0)),0,1/VLOOKUP($R122,Capa!$A:$AJ,AV$5,0))))</f>
        <v/>
      </c>
      <c r="AW122" s="174" t="str">
        <f>IF(AW$6="","",IF(AW$3="Maior",iferror(VLOOKUP($R122,Capa!$A:$AJ,AW$5,0),0),IF(ISERROR(1/VLOOKUP($R122,Capa!$A:$AJ,AW$5,0)),0,1/VLOOKUP($R122,Capa!$A:$AJ,AW$5,0))))</f>
        <v/>
      </c>
      <c r="AX122" s="174" t="str">
        <f>IF(AX$6="","",IF(AX$3="Maior",iferror(VLOOKUP($R122,Capa!$A:$AJ,AX$5,0),0),IF(ISERROR(1/VLOOKUP($R122,Capa!$A:$AJ,AX$5,0)),0,1/VLOOKUP($R122,Capa!$A:$AJ,AX$5,0))))</f>
        <v/>
      </c>
      <c r="AY122" s="174" t="str">
        <f>IF(AY$6="","",IF(AY$3="Maior",iferror(VLOOKUP($R122,Capa!$A:$AJ,AY$5,0),0),IF(ISERROR(1/VLOOKUP($R122,Capa!$A:$AJ,AY$5,0)),0,1/VLOOKUP($R122,Capa!$A:$AJ,AY$5,0))))</f>
        <v/>
      </c>
      <c r="AZ122" s="174" t="str">
        <f>IF(AZ$6="","",IF(AZ$3="Maior",iferror(VLOOKUP($R122,Capa!$A:$AJ,AZ$5,0),0),IF(ISERROR(1/VLOOKUP($R122,Capa!$A:$AJ,AZ$5,0)),0,1/VLOOKUP($R122,Capa!$A:$AJ,AZ$5,0))))</f>
        <v/>
      </c>
      <c r="BA122" s="174" t="str">
        <f>IF(BA$6="","",IF(BA$3="Maior",iferror(VLOOKUP($R122,Capa!$A:$AJ,BA$5,0),0),IF(ISERROR(1/VLOOKUP($R122,Capa!$A:$AJ,BA$5,0)),0,1/VLOOKUP($R122,Capa!$A:$AJ,BA$5,0))))</f>
        <v/>
      </c>
      <c r="BB122" s="174" t="str">
        <f>IF(BB$6="","",IF(BB$3="Maior",iferror(VLOOKUP($R122,Capa!$A:$AJ,BB$5,0),0),IF(ISERROR(1/VLOOKUP($R122,Capa!$A:$AJ,BB$5,0)),0,1/VLOOKUP($R122,Capa!$A:$AJ,BB$5,0))))</f>
        <v/>
      </c>
      <c r="BC122" s="174" t="str">
        <f>IF(BC$6="","",IF(BC$3="Maior",iferror(VLOOKUP($R122,Capa!$A:$AJ,BC$5,0),0),IF(ISERROR(1/VLOOKUP($R122,Capa!$A:$AJ,BC$5,0)),0,1/VLOOKUP($R122,Capa!$A:$AJ,BC$5,0))))</f>
        <v/>
      </c>
      <c r="BD122" s="174" t="str">
        <f>IF(BD$6="","",IF(BD$3="Maior",iferror(VLOOKUP($R122,Capa!$A:$AJ,BD$5,0),0),IF(ISERROR(1/VLOOKUP($R122,Capa!$A:$AJ,BD$5,0)),0,1/VLOOKUP($R122,Capa!$A:$AJ,BD$5,0))))</f>
        <v/>
      </c>
      <c r="BE122" s="174" t="str">
        <f>IF(BE$6="","",IF(BE$3="Maior",iferror(VLOOKUP($R122,Capa!$A:$AJ,BE$5,0),0),IF(ISERROR(1/VLOOKUP($R122,Capa!$A:$AJ,BE$5,0)),0,1/VLOOKUP($R122,Capa!$A:$AJ,BE$5,0))))</f>
        <v/>
      </c>
      <c r="BF122" s="174" t="str">
        <f>IF(BF$6="","",IF(BF$3="Maior",iferror(VLOOKUP($R122,Capa!$A:$AJ,BF$5,0),0),IF(ISERROR(1/VLOOKUP($R122,Capa!$A:$AJ,BF$5,0)),0,1/VLOOKUP($R122,Capa!$A:$AJ,BF$5,0))))</f>
        <v/>
      </c>
      <c r="BG122" s="174" t="str">
        <f>IF(BG$6="","",IF(BG$3="Maior",iferror(VLOOKUP($R122,Capa!$A:$AJ,BG$5,0),0),IF(ISERROR(1/VLOOKUP($R122,Capa!$A:$AJ,BG$5,0)),0,1/VLOOKUP($R122,Capa!$A:$AJ,BG$5,0))))</f>
        <v/>
      </c>
      <c r="BH122" s="174" t="str">
        <f>IF(BH$6="","",IF(BH$3="Maior",iferror(VLOOKUP($R122,Capa!$A:$AJ,BH$5,0),0),IF(ISERROR(1/VLOOKUP($R122,Capa!$A:$AJ,BH$5,0)),0,1/VLOOKUP($R122,Capa!$A:$AJ,BH$5,0))))</f>
        <v/>
      </c>
      <c r="BI122" s="174" t="str">
        <f>IF(BI$6="","",IF(BI$3="Maior",iferror(VLOOKUP($R122,Capa!$A:$AJ,BI$5,0),0),IF(ISERROR(1/VLOOKUP($R122,Capa!$A:$AJ,BI$5,0)),0,1/VLOOKUP($R122,Capa!$A:$AJ,BI$5,0))))</f>
        <v/>
      </c>
      <c r="BJ122" s="174" t="str">
        <f>IF(BJ$6="","",IF(BJ$3="Maior",iferror(VLOOKUP($R122,Capa!$A:$AJ,BJ$5,0),0),IF(ISERROR(1/VLOOKUP($R122,Capa!$A:$AJ,BJ$5,0)),0,1/VLOOKUP($R122,Capa!$A:$AJ,BJ$5,0))))</f>
        <v/>
      </c>
      <c r="BK122" s="174" t="str">
        <f>IF(BK$6="","",IF(BK$3="Maior",iferror(VLOOKUP($R122,Capa!$A:$AJ,BK$5,0),0),IF(ISERROR(1/VLOOKUP($R122,Capa!$A:$AJ,BK$5,0)),0,1/VLOOKUP($R122,Capa!$A:$AJ,BK$5,0))))</f>
        <v/>
      </c>
      <c r="BL122" s="174" t="str">
        <f>IF(BL$6="","",IF(BL$3="Maior",iferror(VLOOKUP($R122,Capa!$A:$AJ,BL$5,0),0),IF(ISERROR(1/VLOOKUP($R122,Capa!$A:$AJ,BL$5,0)),0,1/VLOOKUP($R122,Capa!$A:$AJ,BL$5,0))))</f>
        <v/>
      </c>
      <c r="BM122" s="174" t="str">
        <f>IF(BM$6="","",IF(BM$3="Maior",iferror(VLOOKUP($R122,Capa!$A:$AJ,BM$5,0),0),IF(ISERROR(1/VLOOKUP($R122,Capa!$A:$AJ,BM$5,0)),0,1/VLOOKUP($R122,Capa!$A:$AJ,BM$5,0))))</f>
        <v/>
      </c>
      <c r="BN122" s="174" t="str">
        <f>IF(BN$6="","",IF(BN$3="Maior",iferror(VLOOKUP($R122,Capa!$A:$AJ,BN$5,0),0),IF(ISERROR(1/VLOOKUP($R122,Capa!$A:$AJ,BN$5,0)),0,1/VLOOKUP($R122,Capa!$A:$AJ,BN$5,0))))</f>
        <v/>
      </c>
      <c r="BO122" s="174" t="str">
        <f>IF(BO$6="","",IF(BO$3="Maior",iferror(VLOOKUP($R122,Capa!$A:$AJ,BO$5,0),0),IF(ISERROR(1/VLOOKUP($R122,Capa!$A:$AJ,BO$5,0)),0,1/VLOOKUP($R122,Capa!$A:$AJ,BO$5,0))))</f>
        <v/>
      </c>
      <c r="BP122" s="174" t="str">
        <f>IF(BP$6="","",IF(BP$3="Maior",iferror(VLOOKUP($R122,Capa!$A:$AJ,BP$5,0),0),IF(ISERROR(1/VLOOKUP($R122,Capa!$A:$AJ,BP$5,0)),0,1/VLOOKUP($R122,Capa!$A:$AJ,BP$5,0))))</f>
        <v/>
      </c>
      <c r="BQ122" s="174" t="str">
        <f>IF(BQ$6="","",IF(BQ$3="Maior",iferror(VLOOKUP($R122,Capa!$A:$AJ,BQ$5,0),0),IF(ISERROR(1/VLOOKUP($R122,Capa!$A:$AJ,BQ$5,0)),0,1/VLOOKUP($R122,Capa!$A:$AJ,BQ$5,0))))</f>
        <v/>
      </c>
      <c r="BR122" s="175"/>
      <c r="BS122" s="147"/>
    </row>
    <row r="123">
      <c r="G123" s="11"/>
      <c r="H123" s="8">
        <v>117.0</v>
      </c>
      <c r="I123" s="165" t="str">
        <f t="shared" si="6"/>
        <v>EZTC3</v>
      </c>
      <c r="J123" s="166" t="str">
        <f>(VLOOKUP($I123,Capa!$A:$B,2,0))</f>
        <v>EZ TEC Empreendimentos e Participaces SA</v>
      </c>
      <c r="K123" s="167" t="str">
        <f>VLOOKUP(left(I123,4),Setor!A:D,3,0)&amp;" | "&amp;VLOOKUP(left(I123,4),Setor!A:D,4,0)</f>
        <v>Consumo Cíclico | Construção Civil</v>
      </c>
      <c r="L123" s="168">
        <f>(VLOOKUP($I123,Capa!$A:$F,6,0))</f>
        <v>15.57</v>
      </c>
      <c r="M123" s="168">
        <f t="shared" si="7"/>
        <v>30563739</v>
      </c>
      <c r="N123" s="11" t="str">
        <f>IFERROR(__xludf.DUMMYFUNCTION("(VLOOKUP($I123,Capa!$A:$H,7,0))"),"")</f>
        <v/>
      </c>
      <c r="O123" s="169">
        <f>(VLOOKUP($I123,Capa!$A:$H,8,0))</f>
        <v>0.1034727144</v>
      </c>
      <c r="P123" s="11" t="str">
        <f>IFERROR(__xludf.DUMMYFUNCTION("(VLOOKUP($I123,Capa!$A:$J,10,0))"),"")</f>
        <v/>
      </c>
      <c r="Q123" s="169">
        <f>(VLOOKUP($I123,Capa!$A:$K,11,0))</f>
        <v>0.4592314902</v>
      </c>
      <c r="R123" s="45" t="str">
        <f>'Dados StatusInvest'!A118</f>
        <v>BRSR6</v>
      </c>
      <c r="S123" s="170">
        <f t="shared" si="8"/>
        <v>811.0811</v>
      </c>
      <c r="T123" s="171">
        <f>VLOOKUP(R123,'Dados StatusInvest'!A:Z,26,0)</f>
        <v>32073916</v>
      </c>
      <c r="U123" s="172">
        <f t="shared" ref="U123:AS123" si="125">IF(AT123="","", RANK(AT123,AT$7:AT$626,0)+RANK(AT123,AT$7:AT$626,0)/10000)</f>
        <v>547.0547</v>
      </c>
      <c r="V123" s="172">
        <f t="shared" si="125"/>
        <v>264.0264</v>
      </c>
      <c r="W123" s="172" t="str">
        <f t="shared" si="125"/>
        <v/>
      </c>
      <c r="X123" s="172" t="str">
        <f t="shared" si="125"/>
        <v/>
      </c>
      <c r="Y123" s="172" t="str">
        <f t="shared" si="125"/>
        <v/>
      </c>
      <c r="Z123" s="172" t="str">
        <f t="shared" si="125"/>
        <v/>
      </c>
      <c r="AA123" s="172" t="str">
        <f t="shared" si="125"/>
        <v/>
      </c>
      <c r="AB123" s="172" t="str">
        <f t="shared" si="125"/>
        <v/>
      </c>
      <c r="AC123" s="172" t="str">
        <f t="shared" si="125"/>
        <v/>
      </c>
      <c r="AD123" s="172" t="str">
        <f t="shared" si="125"/>
        <v/>
      </c>
      <c r="AE123" s="172" t="str">
        <f t="shared" si="125"/>
        <v/>
      </c>
      <c r="AF123" s="172" t="str">
        <f t="shared" si="125"/>
        <v/>
      </c>
      <c r="AG123" s="172" t="str">
        <f t="shared" si="125"/>
        <v/>
      </c>
      <c r="AH123" s="172" t="str">
        <f t="shared" si="125"/>
        <v/>
      </c>
      <c r="AI123" s="172" t="str">
        <f t="shared" si="125"/>
        <v/>
      </c>
      <c r="AJ123" s="172" t="str">
        <f t="shared" si="125"/>
        <v/>
      </c>
      <c r="AK123" s="172" t="str">
        <f t="shared" si="125"/>
        <v/>
      </c>
      <c r="AL123" s="172" t="str">
        <f t="shared" si="125"/>
        <v/>
      </c>
      <c r="AM123" s="172" t="str">
        <f t="shared" si="125"/>
        <v/>
      </c>
      <c r="AN123" s="172" t="str">
        <f t="shared" si="125"/>
        <v/>
      </c>
      <c r="AO123" s="172" t="str">
        <f t="shared" si="125"/>
        <v/>
      </c>
      <c r="AP123" s="172" t="str">
        <f t="shared" si="125"/>
        <v/>
      </c>
      <c r="AQ123" s="172" t="str">
        <f t="shared" si="125"/>
        <v/>
      </c>
      <c r="AR123" s="172" t="str">
        <f t="shared" si="125"/>
        <v/>
      </c>
      <c r="AS123" s="172" t="str">
        <f t="shared" si="125"/>
        <v/>
      </c>
      <c r="AT123" s="173">
        <f>IF(AT$6="","",IF(AT$3="Maior",iferror(VLOOKUP($R123,Capa!$A:$AJ,AT$5,0),0),IF(ISERROR(1/VLOOKUP($R123,Capa!$A:$AJ,AT$5,0)),0,1/VLOOKUP($R123,Capa!$A:$AJ,AT$5,0))))</f>
        <v>-5.276823855</v>
      </c>
      <c r="AU123" s="174">
        <f>IF(AU$6="","",IF(AU$3="Maior",iferror(VLOOKUP($R123,Capa!$A:$AJ,AU$5,0),0),IF(ISERROR(1/VLOOKUP($R123,Capa!$A:$AJ,AU$5,0)),0,1/VLOOKUP($R123,Capa!$A:$AJ,AU$5,0))))</f>
        <v>0.02</v>
      </c>
      <c r="AV123" s="174" t="str">
        <f>IF(AV$6="","",IF(AV$3="Maior",iferror(VLOOKUP($R123,Capa!$A:$AJ,AV$5,0),0),IF(ISERROR(1/VLOOKUP($R123,Capa!$A:$AJ,AV$5,0)),0,1/VLOOKUP($R123,Capa!$A:$AJ,AV$5,0))))</f>
        <v/>
      </c>
      <c r="AW123" s="174" t="str">
        <f>IF(AW$6="","",IF(AW$3="Maior",iferror(VLOOKUP($R123,Capa!$A:$AJ,AW$5,0),0),IF(ISERROR(1/VLOOKUP($R123,Capa!$A:$AJ,AW$5,0)),0,1/VLOOKUP($R123,Capa!$A:$AJ,AW$5,0))))</f>
        <v/>
      </c>
      <c r="AX123" s="174" t="str">
        <f>IF(AX$6="","",IF(AX$3="Maior",iferror(VLOOKUP($R123,Capa!$A:$AJ,AX$5,0),0),IF(ISERROR(1/VLOOKUP($R123,Capa!$A:$AJ,AX$5,0)),0,1/VLOOKUP($R123,Capa!$A:$AJ,AX$5,0))))</f>
        <v/>
      </c>
      <c r="AY123" s="174" t="str">
        <f>IF(AY$6="","",IF(AY$3="Maior",iferror(VLOOKUP($R123,Capa!$A:$AJ,AY$5,0),0),IF(ISERROR(1/VLOOKUP($R123,Capa!$A:$AJ,AY$5,0)),0,1/VLOOKUP($R123,Capa!$A:$AJ,AY$5,0))))</f>
        <v/>
      </c>
      <c r="AZ123" s="174" t="str">
        <f>IF(AZ$6="","",IF(AZ$3="Maior",iferror(VLOOKUP($R123,Capa!$A:$AJ,AZ$5,0),0),IF(ISERROR(1/VLOOKUP($R123,Capa!$A:$AJ,AZ$5,0)),0,1/VLOOKUP($R123,Capa!$A:$AJ,AZ$5,0))))</f>
        <v/>
      </c>
      <c r="BA123" s="174" t="str">
        <f>IF(BA$6="","",IF(BA$3="Maior",iferror(VLOOKUP($R123,Capa!$A:$AJ,BA$5,0),0),IF(ISERROR(1/VLOOKUP($R123,Capa!$A:$AJ,BA$5,0)),0,1/VLOOKUP($R123,Capa!$A:$AJ,BA$5,0))))</f>
        <v/>
      </c>
      <c r="BB123" s="174" t="str">
        <f>IF(BB$6="","",IF(BB$3="Maior",iferror(VLOOKUP($R123,Capa!$A:$AJ,BB$5,0),0),IF(ISERROR(1/VLOOKUP($R123,Capa!$A:$AJ,BB$5,0)),0,1/VLOOKUP($R123,Capa!$A:$AJ,BB$5,0))))</f>
        <v/>
      </c>
      <c r="BC123" s="174" t="str">
        <f>IF(BC$6="","",IF(BC$3="Maior",iferror(VLOOKUP($R123,Capa!$A:$AJ,BC$5,0),0),IF(ISERROR(1/VLOOKUP($R123,Capa!$A:$AJ,BC$5,0)),0,1/VLOOKUP($R123,Capa!$A:$AJ,BC$5,0))))</f>
        <v/>
      </c>
      <c r="BD123" s="174" t="str">
        <f>IF(BD$6="","",IF(BD$3="Maior",iferror(VLOOKUP($R123,Capa!$A:$AJ,BD$5,0),0),IF(ISERROR(1/VLOOKUP($R123,Capa!$A:$AJ,BD$5,0)),0,1/VLOOKUP($R123,Capa!$A:$AJ,BD$5,0))))</f>
        <v/>
      </c>
      <c r="BE123" s="174" t="str">
        <f>IF(BE$6="","",IF(BE$3="Maior",iferror(VLOOKUP($R123,Capa!$A:$AJ,BE$5,0),0),IF(ISERROR(1/VLOOKUP($R123,Capa!$A:$AJ,BE$5,0)),0,1/VLOOKUP($R123,Capa!$A:$AJ,BE$5,0))))</f>
        <v/>
      </c>
      <c r="BF123" s="174" t="str">
        <f>IF(BF$6="","",IF(BF$3="Maior",iferror(VLOOKUP($R123,Capa!$A:$AJ,BF$5,0),0),IF(ISERROR(1/VLOOKUP($R123,Capa!$A:$AJ,BF$5,0)),0,1/VLOOKUP($R123,Capa!$A:$AJ,BF$5,0))))</f>
        <v/>
      </c>
      <c r="BG123" s="174" t="str">
        <f>IF(BG$6="","",IF(BG$3="Maior",iferror(VLOOKUP($R123,Capa!$A:$AJ,BG$5,0),0),IF(ISERROR(1/VLOOKUP($R123,Capa!$A:$AJ,BG$5,0)),0,1/VLOOKUP($R123,Capa!$A:$AJ,BG$5,0))))</f>
        <v/>
      </c>
      <c r="BH123" s="174" t="str">
        <f>IF(BH$6="","",IF(BH$3="Maior",iferror(VLOOKUP($R123,Capa!$A:$AJ,BH$5,0),0),IF(ISERROR(1/VLOOKUP($R123,Capa!$A:$AJ,BH$5,0)),0,1/VLOOKUP($R123,Capa!$A:$AJ,BH$5,0))))</f>
        <v/>
      </c>
      <c r="BI123" s="174" t="str">
        <f>IF(BI$6="","",IF(BI$3="Maior",iferror(VLOOKUP($R123,Capa!$A:$AJ,BI$5,0),0),IF(ISERROR(1/VLOOKUP($R123,Capa!$A:$AJ,BI$5,0)),0,1/VLOOKUP($R123,Capa!$A:$AJ,BI$5,0))))</f>
        <v/>
      </c>
      <c r="BJ123" s="174" t="str">
        <f>IF(BJ$6="","",IF(BJ$3="Maior",iferror(VLOOKUP($R123,Capa!$A:$AJ,BJ$5,0),0),IF(ISERROR(1/VLOOKUP($R123,Capa!$A:$AJ,BJ$5,0)),0,1/VLOOKUP($R123,Capa!$A:$AJ,BJ$5,0))))</f>
        <v/>
      </c>
      <c r="BK123" s="174" t="str">
        <f>IF(BK$6="","",IF(BK$3="Maior",iferror(VLOOKUP($R123,Capa!$A:$AJ,BK$5,0),0),IF(ISERROR(1/VLOOKUP($R123,Capa!$A:$AJ,BK$5,0)),0,1/VLOOKUP($R123,Capa!$A:$AJ,BK$5,0))))</f>
        <v/>
      </c>
      <c r="BL123" s="174" t="str">
        <f>IF(BL$6="","",IF(BL$3="Maior",iferror(VLOOKUP($R123,Capa!$A:$AJ,BL$5,0),0),IF(ISERROR(1/VLOOKUP($R123,Capa!$A:$AJ,BL$5,0)),0,1/VLOOKUP($R123,Capa!$A:$AJ,BL$5,0))))</f>
        <v/>
      </c>
      <c r="BM123" s="174" t="str">
        <f>IF(BM$6="","",IF(BM$3="Maior",iferror(VLOOKUP($R123,Capa!$A:$AJ,BM$5,0),0),IF(ISERROR(1/VLOOKUP($R123,Capa!$A:$AJ,BM$5,0)),0,1/VLOOKUP($R123,Capa!$A:$AJ,BM$5,0))))</f>
        <v/>
      </c>
      <c r="BN123" s="174" t="str">
        <f>IF(BN$6="","",IF(BN$3="Maior",iferror(VLOOKUP($R123,Capa!$A:$AJ,BN$5,0),0),IF(ISERROR(1/VLOOKUP($R123,Capa!$A:$AJ,BN$5,0)),0,1/VLOOKUP($R123,Capa!$A:$AJ,BN$5,0))))</f>
        <v/>
      </c>
      <c r="BO123" s="174" t="str">
        <f>IF(BO$6="","",IF(BO$3="Maior",iferror(VLOOKUP($R123,Capa!$A:$AJ,BO$5,0),0),IF(ISERROR(1/VLOOKUP($R123,Capa!$A:$AJ,BO$5,0)),0,1/VLOOKUP($R123,Capa!$A:$AJ,BO$5,0))))</f>
        <v/>
      </c>
      <c r="BP123" s="174" t="str">
        <f>IF(BP$6="","",IF(BP$3="Maior",iferror(VLOOKUP($R123,Capa!$A:$AJ,BP$5,0),0),IF(ISERROR(1/VLOOKUP($R123,Capa!$A:$AJ,BP$5,0)),0,1/VLOOKUP($R123,Capa!$A:$AJ,BP$5,0))))</f>
        <v/>
      </c>
      <c r="BQ123" s="174" t="str">
        <f>IF(BQ$6="","",IF(BQ$3="Maior",iferror(VLOOKUP($R123,Capa!$A:$AJ,BQ$5,0),0),IF(ISERROR(1/VLOOKUP($R123,Capa!$A:$AJ,BQ$5,0)),0,1/VLOOKUP($R123,Capa!$A:$AJ,BQ$5,0))))</f>
        <v/>
      </c>
      <c r="BR123" s="175"/>
      <c r="BS123" s="147"/>
    </row>
    <row r="124">
      <c r="G124" s="11"/>
      <c r="H124" s="8">
        <v>118.0</v>
      </c>
      <c r="I124" s="165" t="str">
        <f t="shared" si="6"/>
        <v>PRNR3</v>
      </c>
      <c r="J124" s="166" t="str">
        <f>(VLOOKUP($I124,Capa!$A:$B,2,0))</f>
        <v>Priner Servicos Industriais SA</v>
      </c>
      <c r="K124" s="167" t="str">
        <f>VLOOKUP(left(I124,4),Setor!A:D,3,0)&amp;" | "&amp;VLOOKUP(left(I124,4),Setor!A:D,4,0)</f>
        <v>Bens Industriais | Serviços Diversos</v>
      </c>
      <c r="L124" s="168">
        <f>(VLOOKUP($I124,Capa!$A:$F,6,0))</f>
        <v>21.5</v>
      </c>
      <c r="M124" s="168">
        <f t="shared" si="7"/>
        <v>9836445</v>
      </c>
      <c r="N124" s="11" t="str">
        <f>IFERROR(__xludf.DUMMYFUNCTION("(VLOOKUP($I124,Capa!$A:$H,7,0))"),"")</f>
        <v/>
      </c>
      <c r="O124" s="169">
        <f>(VLOOKUP($I124,Capa!$A:$H,8,0))</f>
        <v>0.3214505224</v>
      </c>
      <c r="P124" s="11" t="str">
        <f>IFERROR(__xludf.DUMMYFUNCTION("(VLOOKUP($I124,Capa!$A:$J,10,0))"),"")</f>
        <v/>
      </c>
      <c r="Q124" s="169">
        <f>(VLOOKUP($I124,Capa!$A:$K,11,0))</f>
        <v>0.2573099415</v>
      </c>
      <c r="R124" s="45" t="str">
        <f>'Dados StatusInvest'!A119</f>
        <v>BRST3</v>
      </c>
      <c r="S124" s="170">
        <f t="shared" si="8"/>
        <v>506.0506</v>
      </c>
      <c r="T124" s="171">
        <f>VLOOKUP(R124,'Dados StatusInvest'!A:Z,26,0)</f>
        <v>1124777</v>
      </c>
      <c r="U124" s="172">
        <f t="shared" ref="U124:AS124" si="126">IF(AT124="","", RANK(AT124,AT$7:AT$626,0)+RANK(AT124,AT$7:AT$626,0)/10000)</f>
        <v>456.0456</v>
      </c>
      <c r="V124" s="172">
        <f t="shared" si="126"/>
        <v>50.005</v>
      </c>
      <c r="W124" s="172" t="str">
        <f t="shared" si="126"/>
        <v/>
      </c>
      <c r="X124" s="172" t="str">
        <f t="shared" si="126"/>
        <v/>
      </c>
      <c r="Y124" s="172" t="str">
        <f t="shared" si="126"/>
        <v/>
      </c>
      <c r="Z124" s="172" t="str">
        <f t="shared" si="126"/>
        <v/>
      </c>
      <c r="AA124" s="172" t="str">
        <f t="shared" si="126"/>
        <v/>
      </c>
      <c r="AB124" s="172" t="str">
        <f t="shared" si="126"/>
        <v/>
      </c>
      <c r="AC124" s="172" t="str">
        <f t="shared" si="126"/>
        <v/>
      </c>
      <c r="AD124" s="172" t="str">
        <f t="shared" si="126"/>
        <v/>
      </c>
      <c r="AE124" s="172" t="str">
        <f t="shared" si="126"/>
        <v/>
      </c>
      <c r="AF124" s="172" t="str">
        <f t="shared" si="126"/>
        <v/>
      </c>
      <c r="AG124" s="172" t="str">
        <f t="shared" si="126"/>
        <v/>
      </c>
      <c r="AH124" s="172" t="str">
        <f t="shared" si="126"/>
        <v/>
      </c>
      <c r="AI124" s="172" t="str">
        <f t="shared" si="126"/>
        <v/>
      </c>
      <c r="AJ124" s="172" t="str">
        <f t="shared" si="126"/>
        <v/>
      </c>
      <c r="AK124" s="172" t="str">
        <f t="shared" si="126"/>
        <v/>
      </c>
      <c r="AL124" s="172" t="str">
        <f t="shared" si="126"/>
        <v/>
      </c>
      <c r="AM124" s="172" t="str">
        <f t="shared" si="126"/>
        <v/>
      </c>
      <c r="AN124" s="172" t="str">
        <f t="shared" si="126"/>
        <v/>
      </c>
      <c r="AO124" s="172" t="str">
        <f t="shared" si="126"/>
        <v/>
      </c>
      <c r="AP124" s="172" t="str">
        <f t="shared" si="126"/>
        <v/>
      </c>
      <c r="AQ124" s="172" t="str">
        <f t="shared" si="126"/>
        <v/>
      </c>
      <c r="AR124" s="172" t="str">
        <f t="shared" si="126"/>
        <v/>
      </c>
      <c r="AS124" s="172" t="str">
        <f t="shared" si="126"/>
        <v/>
      </c>
      <c r="AT124" s="173">
        <f>IF(AT$6="","",IF(AT$3="Maior",iferror(VLOOKUP($R124,Capa!$A:$AJ,AT$5,0),0),IF(ISERROR(1/VLOOKUP($R124,Capa!$A:$AJ,AT$5,0)),0,1/VLOOKUP($R124,Capa!$A:$AJ,AT$5,0))))</f>
        <v>-2.173913043</v>
      </c>
      <c r="AU124" s="174">
        <f>IF(AU$6="","",IF(AU$3="Maior",iferror(VLOOKUP($R124,Capa!$A:$AJ,AU$5,0),0),IF(ISERROR(1/VLOOKUP($R124,Capa!$A:$AJ,AU$5,0)),0,1/VLOOKUP($R124,Capa!$A:$AJ,AU$5,0))))</f>
        <v>35.66</v>
      </c>
      <c r="AV124" s="174" t="str">
        <f>IF(AV$6="","",IF(AV$3="Maior",iferror(VLOOKUP($R124,Capa!$A:$AJ,AV$5,0),0),IF(ISERROR(1/VLOOKUP($R124,Capa!$A:$AJ,AV$5,0)),0,1/VLOOKUP($R124,Capa!$A:$AJ,AV$5,0))))</f>
        <v/>
      </c>
      <c r="AW124" s="174" t="str">
        <f>IF(AW$6="","",IF(AW$3="Maior",iferror(VLOOKUP($R124,Capa!$A:$AJ,AW$5,0),0),IF(ISERROR(1/VLOOKUP($R124,Capa!$A:$AJ,AW$5,0)),0,1/VLOOKUP($R124,Capa!$A:$AJ,AW$5,0))))</f>
        <v/>
      </c>
      <c r="AX124" s="174" t="str">
        <f>IF(AX$6="","",IF(AX$3="Maior",iferror(VLOOKUP($R124,Capa!$A:$AJ,AX$5,0),0),IF(ISERROR(1/VLOOKUP($R124,Capa!$A:$AJ,AX$5,0)),0,1/VLOOKUP($R124,Capa!$A:$AJ,AX$5,0))))</f>
        <v/>
      </c>
      <c r="AY124" s="174" t="str">
        <f>IF(AY$6="","",IF(AY$3="Maior",iferror(VLOOKUP($R124,Capa!$A:$AJ,AY$5,0),0),IF(ISERROR(1/VLOOKUP($R124,Capa!$A:$AJ,AY$5,0)),0,1/VLOOKUP($R124,Capa!$A:$AJ,AY$5,0))))</f>
        <v/>
      </c>
      <c r="AZ124" s="174" t="str">
        <f>IF(AZ$6="","",IF(AZ$3="Maior",iferror(VLOOKUP($R124,Capa!$A:$AJ,AZ$5,0),0),IF(ISERROR(1/VLOOKUP($R124,Capa!$A:$AJ,AZ$5,0)),0,1/VLOOKUP($R124,Capa!$A:$AJ,AZ$5,0))))</f>
        <v/>
      </c>
      <c r="BA124" s="174" t="str">
        <f>IF(BA$6="","",IF(BA$3="Maior",iferror(VLOOKUP($R124,Capa!$A:$AJ,BA$5,0),0),IF(ISERROR(1/VLOOKUP($R124,Capa!$A:$AJ,BA$5,0)),0,1/VLOOKUP($R124,Capa!$A:$AJ,BA$5,0))))</f>
        <v/>
      </c>
      <c r="BB124" s="174" t="str">
        <f>IF(BB$6="","",IF(BB$3="Maior",iferror(VLOOKUP($R124,Capa!$A:$AJ,BB$5,0),0),IF(ISERROR(1/VLOOKUP($R124,Capa!$A:$AJ,BB$5,0)),0,1/VLOOKUP($R124,Capa!$A:$AJ,BB$5,0))))</f>
        <v/>
      </c>
      <c r="BC124" s="174" t="str">
        <f>IF(BC$6="","",IF(BC$3="Maior",iferror(VLOOKUP($R124,Capa!$A:$AJ,BC$5,0),0),IF(ISERROR(1/VLOOKUP($R124,Capa!$A:$AJ,BC$5,0)),0,1/VLOOKUP($R124,Capa!$A:$AJ,BC$5,0))))</f>
        <v/>
      </c>
      <c r="BD124" s="174" t="str">
        <f>IF(BD$6="","",IF(BD$3="Maior",iferror(VLOOKUP($R124,Capa!$A:$AJ,BD$5,0),0),IF(ISERROR(1/VLOOKUP($R124,Capa!$A:$AJ,BD$5,0)),0,1/VLOOKUP($R124,Capa!$A:$AJ,BD$5,0))))</f>
        <v/>
      </c>
      <c r="BE124" s="174" t="str">
        <f>IF(BE$6="","",IF(BE$3="Maior",iferror(VLOOKUP($R124,Capa!$A:$AJ,BE$5,0),0),IF(ISERROR(1/VLOOKUP($R124,Capa!$A:$AJ,BE$5,0)),0,1/VLOOKUP($R124,Capa!$A:$AJ,BE$5,0))))</f>
        <v/>
      </c>
      <c r="BF124" s="174" t="str">
        <f>IF(BF$6="","",IF(BF$3="Maior",iferror(VLOOKUP($R124,Capa!$A:$AJ,BF$5,0),0),IF(ISERROR(1/VLOOKUP($R124,Capa!$A:$AJ,BF$5,0)),0,1/VLOOKUP($R124,Capa!$A:$AJ,BF$5,0))))</f>
        <v/>
      </c>
      <c r="BG124" s="174" t="str">
        <f>IF(BG$6="","",IF(BG$3="Maior",iferror(VLOOKUP($R124,Capa!$A:$AJ,BG$5,0),0),IF(ISERROR(1/VLOOKUP($R124,Capa!$A:$AJ,BG$5,0)),0,1/VLOOKUP($R124,Capa!$A:$AJ,BG$5,0))))</f>
        <v/>
      </c>
      <c r="BH124" s="174" t="str">
        <f>IF(BH$6="","",IF(BH$3="Maior",iferror(VLOOKUP($R124,Capa!$A:$AJ,BH$5,0),0),IF(ISERROR(1/VLOOKUP($R124,Capa!$A:$AJ,BH$5,0)),0,1/VLOOKUP($R124,Capa!$A:$AJ,BH$5,0))))</f>
        <v/>
      </c>
      <c r="BI124" s="174" t="str">
        <f>IF(BI$6="","",IF(BI$3="Maior",iferror(VLOOKUP($R124,Capa!$A:$AJ,BI$5,0),0),IF(ISERROR(1/VLOOKUP($R124,Capa!$A:$AJ,BI$5,0)),0,1/VLOOKUP($R124,Capa!$A:$AJ,BI$5,0))))</f>
        <v/>
      </c>
      <c r="BJ124" s="174" t="str">
        <f>IF(BJ$6="","",IF(BJ$3="Maior",iferror(VLOOKUP($R124,Capa!$A:$AJ,BJ$5,0),0),IF(ISERROR(1/VLOOKUP($R124,Capa!$A:$AJ,BJ$5,0)),0,1/VLOOKUP($R124,Capa!$A:$AJ,BJ$5,0))))</f>
        <v/>
      </c>
      <c r="BK124" s="174" t="str">
        <f>IF(BK$6="","",IF(BK$3="Maior",iferror(VLOOKUP($R124,Capa!$A:$AJ,BK$5,0),0),IF(ISERROR(1/VLOOKUP($R124,Capa!$A:$AJ,BK$5,0)),0,1/VLOOKUP($R124,Capa!$A:$AJ,BK$5,0))))</f>
        <v/>
      </c>
      <c r="BL124" s="174" t="str">
        <f>IF(BL$6="","",IF(BL$3="Maior",iferror(VLOOKUP($R124,Capa!$A:$AJ,BL$5,0),0),IF(ISERROR(1/VLOOKUP($R124,Capa!$A:$AJ,BL$5,0)),0,1/VLOOKUP($R124,Capa!$A:$AJ,BL$5,0))))</f>
        <v/>
      </c>
      <c r="BM124" s="174" t="str">
        <f>IF(BM$6="","",IF(BM$3="Maior",iferror(VLOOKUP($R124,Capa!$A:$AJ,BM$5,0),0),IF(ISERROR(1/VLOOKUP($R124,Capa!$A:$AJ,BM$5,0)),0,1/VLOOKUP($R124,Capa!$A:$AJ,BM$5,0))))</f>
        <v/>
      </c>
      <c r="BN124" s="174" t="str">
        <f>IF(BN$6="","",IF(BN$3="Maior",iferror(VLOOKUP($R124,Capa!$A:$AJ,BN$5,0),0),IF(ISERROR(1/VLOOKUP($R124,Capa!$A:$AJ,BN$5,0)),0,1/VLOOKUP($R124,Capa!$A:$AJ,BN$5,0))))</f>
        <v/>
      </c>
      <c r="BO124" s="174" t="str">
        <f>IF(BO$6="","",IF(BO$3="Maior",iferror(VLOOKUP($R124,Capa!$A:$AJ,BO$5,0),0),IF(ISERROR(1/VLOOKUP($R124,Capa!$A:$AJ,BO$5,0)),0,1/VLOOKUP($R124,Capa!$A:$AJ,BO$5,0))))</f>
        <v/>
      </c>
      <c r="BP124" s="174" t="str">
        <f>IF(BP$6="","",IF(BP$3="Maior",iferror(VLOOKUP($R124,Capa!$A:$AJ,BP$5,0),0),IF(ISERROR(1/VLOOKUP($R124,Capa!$A:$AJ,BP$5,0)),0,1/VLOOKUP($R124,Capa!$A:$AJ,BP$5,0))))</f>
        <v/>
      </c>
      <c r="BQ124" s="174" t="str">
        <f>IF(BQ$6="","",IF(BQ$3="Maior",iferror(VLOOKUP($R124,Capa!$A:$AJ,BQ$5,0),0),IF(ISERROR(1/VLOOKUP($R124,Capa!$A:$AJ,BQ$5,0)),0,1/VLOOKUP($R124,Capa!$A:$AJ,BQ$5,0))))</f>
        <v/>
      </c>
      <c r="BR124" s="175"/>
      <c r="BS124" s="147"/>
    </row>
    <row r="125">
      <c r="G125" s="11"/>
      <c r="H125" s="8">
        <v>119.0</v>
      </c>
      <c r="I125" s="165" t="str">
        <f t="shared" si="6"/>
        <v>EGIE3</v>
      </c>
      <c r="J125" s="166" t="str">
        <f>(VLOOKUP($I125,Capa!$A:$B,2,0))</f>
        <v>Engie Brasil Energia SA</v>
      </c>
      <c r="K125" s="167" t="str">
        <f>VLOOKUP(left(I125,4),Setor!A:D,3,0)&amp;" | "&amp;VLOOKUP(left(I125,4),Setor!A:D,4,0)</f>
        <v>Utilidade Pública | Energia Elétrica</v>
      </c>
      <c r="L125" s="168">
        <f>(VLOOKUP($I125,Capa!$A:$F,6,0))</f>
        <v>33.28</v>
      </c>
      <c r="M125" s="168">
        <f t="shared" si="7"/>
        <v>63572354</v>
      </c>
      <c r="N125" s="11" t="str">
        <f>IFERROR(__xludf.DUMMYFUNCTION("(VLOOKUP($I125,Capa!$A:$H,7,0))"),"")</f>
        <v/>
      </c>
      <c r="O125" s="169">
        <f>(VLOOKUP($I125,Capa!$A:$H,8,0))</f>
        <v>0.03002166512</v>
      </c>
      <c r="P125" s="11" t="str">
        <f>IFERROR(__xludf.DUMMYFUNCTION("(VLOOKUP($I125,Capa!$A:$J,10,0))"),"")</f>
        <v/>
      </c>
      <c r="Q125" s="169">
        <f>(VLOOKUP($I125,Capa!$A:$K,11,0))</f>
        <v>0.2755845151</v>
      </c>
      <c r="R125" s="45" t="str">
        <f>'Dados StatusInvest'!A120</f>
        <v>BSEV3</v>
      </c>
      <c r="S125" s="170">
        <f t="shared" si="8"/>
        <v>1278.0278</v>
      </c>
      <c r="T125" s="171">
        <f>VLOOKUP(R125,'Dados StatusInvest'!A:Z,26,0)</f>
        <v>0</v>
      </c>
      <c r="U125" s="172">
        <f t="shared" ref="U125:AS125" si="127">IF(AT125="","", RANK(AT125,AT$7:AT$626,0)+RANK(AT125,AT$7:AT$626,0)/10000)</f>
        <v>11.0011</v>
      </c>
      <c r="V125" s="172">
        <f t="shared" si="127"/>
        <v>267.0267</v>
      </c>
      <c r="W125" s="172" t="str">
        <f t="shared" si="127"/>
        <v/>
      </c>
      <c r="X125" s="172" t="str">
        <f t="shared" si="127"/>
        <v/>
      </c>
      <c r="Y125" s="172" t="str">
        <f t="shared" si="127"/>
        <v/>
      </c>
      <c r="Z125" s="172" t="str">
        <f t="shared" si="127"/>
        <v/>
      </c>
      <c r="AA125" s="172" t="str">
        <f t="shared" si="127"/>
        <v/>
      </c>
      <c r="AB125" s="172" t="str">
        <f t="shared" si="127"/>
        <v/>
      </c>
      <c r="AC125" s="172" t="str">
        <f t="shared" si="127"/>
        <v/>
      </c>
      <c r="AD125" s="172" t="str">
        <f t="shared" si="127"/>
        <v/>
      </c>
      <c r="AE125" s="172" t="str">
        <f t="shared" si="127"/>
        <v/>
      </c>
      <c r="AF125" s="172" t="str">
        <f t="shared" si="127"/>
        <v/>
      </c>
      <c r="AG125" s="172" t="str">
        <f t="shared" si="127"/>
        <v/>
      </c>
      <c r="AH125" s="172" t="str">
        <f t="shared" si="127"/>
        <v/>
      </c>
      <c r="AI125" s="172" t="str">
        <f t="shared" si="127"/>
        <v/>
      </c>
      <c r="AJ125" s="172" t="str">
        <f t="shared" si="127"/>
        <v/>
      </c>
      <c r="AK125" s="172" t="str">
        <f t="shared" si="127"/>
        <v/>
      </c>
      <c r="AL125" s="172" t="str">
        <f t="shared" si="127"/>
        <v/>
      </c>
      <c r="AM125" s="172" t="str">
        <f t="shared" si="127"/>
        <v/>
      </c>
      <c r="AN125" s="172" t="str">
        <f t="shared" si="127"/>
        <v/>
      </c>
      <c r="AO125" s="172" t="str">
        <f t="shared" si="127"/>
        <v/>
      </c>
      <c r="AP125" s="172" t="str">
        <f t="shared" si="127"/>
        <v/>
      </c>
      <c r="AQ125" s="172" t="str">
        <f t="shared" si="127"/>
        <v/>
      </c>
      <c r="AR125" s="172" t="str">
        <f t="shared" si="127"/>
        <v/>
      </c>
      <c r="AS125" s="172" t="str">
        <f t="shared" si="127"/>
        <v/>
      </c>
      <c r="AT125" s="173">
        <f>IF(AT$6="","",IF(AT$3="Maior",iferror(VLOOKUP($R125,Capa!$A:$AJ,AT$5,0),0),IF(ISERROR(1/VLOOKUP($R125,Capa!$A:$AJ,AT$5,0)),0,1/VLOOKUP($R125,Capa!$A:$AJ,AT$5,0))))</f>
        <v>2.173913043</v>
      </c>
      <c r="AU125" s="174">
        <f>IF(AU$6="","",IF(AU$3="Maior",iferror(VLOOKUP($R125,Capa!$A:$AJ,AU$5,0),0),IF(ISERROR(1/VLOOKUP($R125,Capa!$A:$AJ,AU$5,0)),0,1/VLOOKUP($R125,Capa!$A:$AJ,AU$5,0))))</f>
        <v>0</v>
      </c>
      <c r="AV125" s="174" t="str">
        <f>IF(AV$6="","",IF(AV$3="Maior",iferror(VLOOKUP($R125,Capa!$A:$AJ,AV$5,0),0),IF(ISERROR(1/VLOOKUP($R125,Capa!$A:$AJ,AV$5,0)),0,1/VLOOKUP($R125,Capa!$A:$AJ,AV$5,0))))</f>
        <v/>
      </c>
      <c r="AW125" s="174" t="str">
        <f>IF(AW$6="","",IF(AW$3="Maior",iferror(VLOOKUP($R125,Capa!$A:$AJ,AW$5,0),0),IF(ISERROR(1/VLOOKUP($R125,Capa!$A:$AJ,AW$5,0)),0,1/VLOOKUP($R125,Capa!$A:$AJ,AW$5,0))))</f>
        <v/>
      </c>
      <c r="AX125" s="174" t="str">
        <f>IF(AX$6="","",IF(AX$3="Maior",iferror(VLOOKUP($R125,Capa!$A:$AJ,AX$5,0),0),IF(ISERROR(1/VLOOKUP($R125,Capa!$A:$AJ,AX$5,0)),0,1/VLOOKUP($R125,Capa!$A:$AJ,AX$5,0))))</f>
        <v/>
      </c>
      <c r="AY125" s="174" t="str">
        <f>IF(AY$6="","",IF(AY$3="Maior",iferror(VLOOKUP($R125,Capa!$A:$AJ,AY$5,0),0),IF(ISERROR(1/VLOOKUP($R125,Capa!$A:$AJ,AY$5,0)),0,1/VLOOKUP($R125,Capa!$A:$AJ,AY$5,0))))</f>
        <v/>
      </c>
      <c r="AZ125" s="174" t="str">
        <f>IF(AZ$6="","",IF(AZ$3="Maior",iferror(VLOOKUP($R125,Capa!$A:$AJ,AZ$5,0),0),IF(ISERROR(1/VLOOKUP($R125,Capa!$A:$AJ,AZ$5,0)),0,1/VLOOKUP($R125,Capa!$A:$AJ,AZ$5,0))))</f>
        <v/>
      </c>
      <c r="BA125" s="174" t="str">
        <f>IF(BA$6="","",IF(BA$3="Maior",iferror(VLOOKUP($R125,Capa!$A:$AJ,BA$5,0),0),IF(ISERROR(1/VLOOKUP($R125,Capa!$A:$AJ,BA$5,0)),0,1/VLOOKUP($R125,Capa!$A:$AJ,BA$5,0))))</f>
        <v/>
      </c>
      <c r="BB125" s="174" t="str">
        <f>IF(BB$6="","",IF(BB$3="Maior",iferror(VLOOKUP($R125,Capa!$A:$AJ,BB$5,0),0),IF(ISERROR(1/VLOOKUP($R125,Capa!$A:$AJ,BB$5,0)),0,1/VLOOKUP($R125,Capa!$A:$AJ,BB$5,0))))</f>
        <v/>
      </c>
      <c r="BC125" s="174" t="str">
        <f>IF(BC$6="","",IF(BC$3="Maior",iferror(VLOOKUP($R125,Capa!$A:$AJ,BC$5,0),0),IF(ISERROR(1/VLOOKUP($R125,Capa!$A:$AJ,BC$5,0)),0,1/VLOOKUP($R125,Capa!$A:$AJ,BC$5,0))))</f>
        <v/>
      </c>
      <c r="BD125" s="174" t="str">
        <f>IF(BD$6="","",IF(BD$3="Maior",iferror(VLOOKUP($R125,Capa!$A:$AJ,BD$5,0),0),IF(ISERROR(1/VLOOKUP($R125,Capa!$A:$AJ,BD$5,0)),0,1/VLOOKUP($R125,Capa!$A:$AJ,BD$5,0))))</f>
        <v/>
      </c>
      <c r="BE125" s="174" t="str">
        <f>IF(BE$6="","",IF(BE$3="Maior",iferror(VLOOKUP($R125,Capa!$A:$AJ,BE$5,0),0),IF(ISERROR(1/VLOOKUP($R125,Capa!$A:$AJ,BE$5,0)),0,1/VLOOKUP($R125,Capa!$A:$AJ,BE$5,0))))</f>
        <v/>
      </c>
      <c r="BF125" s="174" t="str">
        <f>IF(BF$6="","",IF(BF$3="Maior",iferror(VLOOKUP($R125,Capa!$A:$AJ,BF$5,0),0),IF(ISERROR(1/VLOOKUP($R125,Capa!$A:$AJ,BF$5,0)),0,1/VLOOKUP($R125,Capa!$A:$AJ,BF$5,0))))</f>
        <v/>
      </c>
      <c r="BG125" s="174" t="str">
        <f>IF(BG$6="","",IF(BG$3="Maior",iferror(VLOOKUP($R125,Capa!$A:$AJ,BG$5,0),0),IF(ISERROR(1/VLOOKUP($R125,Capa!$A:$AJ,BG$5,0)),0,1/VLOOKUP($R125,Capa!$A:$AJ,BG$5,0))))</f>
        <v/>
      </c>
      <c r="BH125" s="174" t="str">
        <f>IF(BH$6="","",IF(BH$3="Maior",iferror(VLOOKUP($R125,Capa!$A:$AJ,BH$5,0),0),IF(ISERROR(1/VLOOKUP($R125,Capa!$A:$AJ,BH$5,0)),0,1/VLOOKUP($R125,Capa!$A:$AJ,BH$5,0))))</f>
        <v/>
      </c>
      <c r="BI125" s="174" t="str">
        <f>IF(BI$6="","",IF(BI$3="Maior",iferror(VLOOKUP($R125,Capa!$A:$AJ,BI$5,0),0),IF(ISERROR(1/VLOOKUP($R125,Capa!$A:$AJ,BI$5,0)),0,1/VLOOKUP($R125,Capa!$A:$AJ,BI$5,0))))</f>
        <v/>
      </c>
      <c r="BJ125" s="174" t="str">
        <f>IF(BJ$6="","",IF(BJ$3="Maior",iferror(VLOOKUP($R125,Capa!$A:$AJ,BJ$5,0),0),IF(ISERROR(1/VLOOKUP($R125,Capa!$A:$AJ,BJ$5,0)),0,1/VLOOKUP($R125,Capa!$A:$AJ,BJ$5,0))))</f>
        <v/>
      </c>
      <c r="BK125" s="174" t="str">
        <f>IF(BK$6="","",IF(BK$3="Maior",iferror(VLOOKUP($R125,Capa!$A:$AJ,BK$5,0),0),IF(ISERROR(1/VLOOKUP($R125,Capa!$A:$AJ,BK$5,0)),0,1/VLOOKUP($R125,Capa!$A:$AJ,BK$5,0))))</f>
        <v/>
      </c>
      <c r="BL125" s="174" t="str">
        <f>IF(BL$6="","",IF(BL$3="Maior",iferror(VLOOKUP($R125,Capa!$A:$AJ,BL$5,0),0),IF(ISERROR(1/VLOOKUP($R125,Capa!$A:$AJ,BL$5,0)),0,1/VLOOKUP($R125,Capa!$A:$AJ,BL$5,0))))</f>
        <v/>
      </c>
      <c r="BM125" s="174" t="str">
        <f>IF(BM$6="","",IF(BM$3="Maior",iferror(VLOOKUP($R125,Capa!$A:$AJ,BM$5,0),0),IF(ISERROR(1/VLOOKUP($R125,Capa!$A:$AJ,BM$5,0)),0,1/VLOOKUP($R125,Capa!$A:$AJ,BM$5,0))))</f>
        <v/>
      </c>
      <c r="BN125" s="174" t="str">
        <f>IF(BN$6="","",IF(BN$3="Maior",iferror(VLOOKUP($R125,Capa!$A:$AJ,BN$5,0),0),IF(ISERROR(1/VLOOKUP($R125,Capa!$A:$AJ,BN$5,0)),0,1/VLOOKUP($R125,Capa!$A:$AJ,BN$5,0))))</f>
        <v/>
      </c>
      <c r="BO125" s="174" t="str">
        <f>IF(BO$6="","",IF(BO$3="Maior",iferror(VLOOKUP($R125,Capa!$A:$AJ,BO$5,0),0),IF(ISERROR(1/VLOOKUP($R125,Capa!$A:$AJ,BO$5,0)),0,1/VLOOKUP($R125,Capa!$A:$AJ,BO$5,0))))</f>
        <v/>
      </c>
      <c r="BP125" s="174" t="str">
        <f>IF(BP$6="","",IF(BP$3="Maior",iferror(VLOOKUP($R125,Capa!$A:$AJ,BP$5,0),0),IF(ISERROR(1/VLOOKUP($R125,Capa!$A:$AJ,BP$5,0)),0,1/VLOOKUP($R125,Capa!$A:$AJ,BP$5,0))))</f>
        <v/>
      </c>
      <c r="BQ125" s="174" t="str">
        <f>IF(BQ$6="","",IF(BQ$3="Maior",iferror(VLOOKUP($R125,Capa!$A:$AJ,BQ$5,0),0),IF(ISERROR(1/VLOOKUP($R125,Capa!$A:$AJ,BQ$5,0)),0,1/VLOOKUP($R125,Capa!$A:$AJ,BQ$5,0))))</f>
        <v/>
      </c>
      <c r="BR125" s="175"/>
      <c r="BS125" s="147"/>
    </row>
    <row r="126">
      <c r="G126" s="11"/>
      <c r="H126" s="8">
        <v>120.0</v>
      </c>
      <c r="I126" s="165" t="str">
        <f t="shared" si="6"/>
        <v>COGN3</v>
      </c>
      <c r="J126" s="166" t="str">
        <f>(VLOOKUP($I126,Capa!$A:$B,2,0))</f>
        <v>Cogna Educacao SA</v>
      </c>
      <c r="K126" s="167" t="str">
        <f>VLOOKUP(left(I126,4),Setor!A:D,3,0)&amp;" | "&amp;VLOOKUP(left(I126,4),Setor!A:D,4,0)</f>
        <v>Consumo Cíclico | Diversos</v>
      </c>
      <c r="L126" s="168">
        <f>(VLOOKUP($I126,Capa!$A:$F,6,0))</f>
        <v>3.6</v>
      </c>
      <c r="M126" s="168">
        <f t="shared" si="7"/>
        <v>169000000</v>
      </c>
      <c r="N126" s="11" t="str">
        <f>IFERROR(__xludf.DUMMYFUNCTION("(VLOOKUP($I126,Capa!$A:$H,7,0))"),"")</f>
        <v/>
      </c>
      <c r="O126" s="169">
        <f>(VLOOKUP($I126,Capa!$A:$H,8,0))</f>
        <v>-0.1111111111</v>
      </c>
      <c r="P126" s="11" t="str">
        <f>IFERROR(__xludf.DUMMYFUNCTION("(VLOOKUP($I126,Capa!$A:$J,10,0))"),"")</f>
        <v/>
      </c>
      <c r="Q126" s="169">
        <f>(VLOOKUP($I126,Capa!$A:$K,11,0))</f>
        <v>1.322580645</v>
      </c>
      <c r="R126" s="45" t="str">
        <f>'Dados StatusInvest'!A121</f>
        <v>BSLI3</v>
      </c>
      <c r="S126" s="170">
        <f t="shared" si="8"/>
        <v>1763.0763</v>
      </c>
      <c r="T126" s="171">
        <f>VLOOKUP(R126,'Dados StatusInvest'!A:Z,26,0)</f>
        <v>271538.4</v>
      </c>
      <c r="U126" s="172">
        <f t="shared" ref="U126:AS126" si="128">IF(AT126="","", RANK(AT126,AT$7:AT$626,0)+RANK(AT126,AT$7:AT$626,0)/10000)</f>
        <v>602.0602</v>
      </c>
      <c r="V126" s="172">
        <f t="shared" si="128"/>
        <v>161.0161</v>
      </c>
      <c r="W126" s="172" t="str">
        <f t="shared" si="128"/>
        <v/>
      </c>
      <c r="X126" s="172" t="str">
        <f t="shared" si="128"/>
        <v/>
      </c>
      <c r="Y126" s="172" t="str">
        <f t="shared" si="128"/>
        <v/>
      </c>
      <c r="Z126" s="172" t="str">
        <f t="shared" si="128"/>
        <v/>
      </c>
      <c r="AA126" s="172" t="str">
        <f t="shared" si="128"/>
        <v/>
      </c>
      <c r="AB126" s="172" t="str">
        <f t="shared" si="128"/>
        <v/>
      </c>
      <c r="AC126" s="172" t="str">
        <f t="shared" si="128"/>
        <v/>
      </c>
      <c r="AD126" s="172" t="str">
        <f t="shared" si="128"/>
        <v/>
      </c>
      <c r="AE126" s="172" t="str">
        <f t="shared" si="128"/>
        <v/>
      </c>
      <c r="AF126" s="172" t="str">
        <f t="shared" si="128"/>
        <v/>
      </c>
      <c r="AG126" s="172" t="str">
        <f t="shared" si="128"/>
        <v/>
      </c>
      <c r="AH126" s="172" t="str">
        <f t="shared" si="128"/>
        <v/>
      </c>
      <c r="AI126" s="172" t="str">
        <f t="shared" si="128"/>
        <v/>
      </c>
      <c r="AJ126" s="172" t="str">
        <f t="shared" si="128"/>
        <v/>
      </c>
      <c r="AK126" s="172" t="str">
        <f t="shared" si="128"/>
        <v/>
      </c>
      <c r="AL126" s="172" t="str">
        <f t="shared" si="128"/>
        <v/>
      </c>
      <c r="AM126" s="172" t="str">
        <f t="shared" si="128"/>
        <v/>
      </c>
      <c r="AN126" s="172" t="str">
        <f t="shared" si="128"/>
        <v/>
      </c>
      <c r="AO126" s="172" t="str">
        <f t="shared" si="128"/>
        <v/>
      </c>
      <c r="AP126" s="172" t="str">
        <f t="shared" si="128"/>
        <v/>
      </c>
      <c r="AQ126" s="172" t="str">
        <f t="shared" si="128"/>
        <v/>
      </c>
      <c r="AR126" s="172" t="str">
        <f t="shared" si="128"/>
        <v/>
      </c>
      <c r="AS126" s="172" t="str">
        <f t="shared" si="128"/>
        <v/>
      </c>
      <c r="AT126" s="173">
        <f>IF(AT$6="","",IF(AT$3="Maior",iferror(VLOOKUP($R126,Capa!$A:$AJ,AT$5,0),0),IF(ISERROR(1/VLOOKUP($R126,Capa!$A:$AJ,AT$5,0)),0,1/VLOOKUP($R126,Capa!$A:$AJ,AT$5,0))))</f>
        <v>-25</v>
      </c>
      <c r="AU126" s="174">
        <f>IF(AU$6="","",IF(AU$3="Maior",iferror(VLOOKUP($R126,Capa!$A:$AJ,AU$5,0),0),IF(ISERROR(1/VLOOKUP($R126,Capa!$A:$AJ,AU$5,0)),0,1/VLOOKUP($R126,Capa!$A:$AJ,AU$5,0))))</f>
        <v>15.97</v>
      </c>
      <c r="AV126" s="174" t="str">
        <f>IF(AV$6="","",IF(AV$3="Maior",iferror(VLOOKUP($R126,Capa!$A:$AJ,AV$5,0),0),IF(ISERROR(1/VLOOKUP($R126,Capa!$A:$AJ,AV$5,0)),0,1/VLOOKUP($R126,Capa!$A:$AJ,AV$5,0))))</f>
        <v/>
      </c>
      <c r="AW126" s="174" t="str">
        <f>IF(AW$6="","",IF(AW$3="Maior",iferror(VLOOKUP($R126,Capa!$A:$AJ,AW$5,0),0),IF(ISERROR(1/VLOOKUP($R126,Capa!$A:$AJ,AW$5,0)),0,1/VLOOKUP($R126,Capa!$A:$AJ,AW$5,0))))</f>
        <v/>
      </c>
      <c r="AX126" s="174" t="str">
        <f>IF(AX$6="","",IF(AX$3="Maior",iferror(VLOOKUP($R126,Capa!$A:$AJ,AX$5,0),0),IF(ISERROR(1/VLOOKUP($R126,Capa!$A:$AJ,AX$5,0)),0,1/VLOOKUP($R126,Capa!$A:$AJ,AX$5,0))))</f>
        <v/>
      </c>
      <c r="AY126" s="174" t="str">
        <f>IF(AY$6="","",IF(AY$3="Maior",iferror(VLOOKUP($R126,Capa!$A:$AJ,AY$5,0),0),IF(ISERROR(1/VLOOKUP($R126,Capa!$A:$AJ,AY$5,0)),0,1/VLOOKUP($R126,Capa!$A:$AJ,AY$5,0))))</f>
        <v/>
      </c>
      <c r="AZ126" s="174" t="str">
        <f>IF(AZ$6="","",IF(AZ$3="Maior",iferror(VLOOKUP($R126,Capa!$A:$AJ,AZ$5,0),0),IF(ISERROR(1/VLOOKUP($R126,Capa!$A:$AJ,AZ$5,0)),0,1/VLOOKUP($R126,Capa!$A:$AJ,AZ$5,0))))</f>
        <v/>
      </c>
      <c r="BA126" s="174" t="str">
        <f>IF(BA$6="","",IF(BA$3="Maior",iferror(VLOOKUP($R126,Capa!$A:$AJ,BA$5,0),0),IF(ISERROR(1/VLOOKUP($R126,Capa!$A:$AJ,BA$5,0)),0,1/VLOOKUP($R126,Capa!$A:$AJ,BA$5,0))))</f>
        <v/>
      </c>
      <c r="BB126" s="174" t="str">
        <f>IF(BB$6="","",IF(BB$3="Maior",iferror(VLOOKUP($R126,Capa!$A:$AJ,BB$5,0),0),IF(ISERROR(1/VLOOKUP($R126,Capa!$A:$AJ,BB$5,0)),0,1/VLOOKUP($R126,Capa!$A:$AJ,BB$5,0))))</f>
        <v/>
      </c>
      <c r="BC126" s="174" t="str">
        <f>IF(BC$6="","",IF(BC$3="Maior",iferror(VLOOKUP($R126,Capa!$A:$AJ,BC$5,0),0),IF(ISERROR(1/VLOOKUP($R126,Capa!$A:$AJ,BC$5,0)),0,1/VLOOKUP($R126,Capa!$A:$AJ,BC$5,0))))</f>
        <v/>
      </c>
      <c r="BD126" s="174" t="str">
        <f>IF(BD$6="","",IF(BD$3="Maior",iferror(VLOOKUP($R126,Capa!$A:$AJ,BD$5,0),0),IF(ISERROR(1/VLOOKUP($R126,Capa!$A:$AJ,BD$5,0)),0,1/VLOOKUP($R126,Capa!$A:$AJ,BD$5,0))))</f>
        <v/>
      </c>
      <c r="BE126" s="174" t="str">
        <f>IF(BE$6="","",IF(BE$3="Maior",iferror(VLOOKUP($R126,Capa!$A:$AJ,BE$5,0),0),IF(ISERROR(1/VLOOKUP($R126,Capa!$A:$AJ,BE$5,0)),0,1/VLOOKUP($R126,Capa!$A:$AJ,BE$5,0))))</f>
        <v/>
      </c>
      <c r="BF126" s="174" t="str">
        <f>IF(BF$6="","",IF(BF$3="Maior",iferror(VLOOKUP($R126,Capa!$A:$AJ,BF$5,0),0),IF(ISERROR(1/VLOOKUP($R126,Capa!$A:$AJ,BF$5,0)),0,1/VLOOKUP($R126,Capa!$A:$AJ,BF$5,0))))</f>
        <v/>
      </c>
      <c r="BG126" s="174" t="str">
        <f>IF(BG$6="","",IF(BG$3="Maior",iferror(VLOOKUP($R126,Capa!$A:$AJ,BG$5,0),0),IF(ISERROR(1/VLOOKUP($R126,Capa!$A:$AJ,BG$5,0)),0,1/VLOOKUP($R126,Capa!$A:$AJ,BG$5,0))))</f>
        <v/>
      </c>
      <c r="BH126" s="174" t="str">
        <f>IF(BH$6="","",IF(BH$3="Maior",iferror(VLOOKUP($R126,Capa!$A:$AJ,BH$5,0),0),IF(ISERROR(1/VLOOKUP($R126,Capa!$A:$AJ,BH$5,0)),0,1/VLOOKUP($R126,Capa!$A:$AJ,BH$5,0))))</f>
        <v/>
      </c>
      <c r="BI126" s="174" t="str">
        <f>IF(BI$6="","",IF(BI$3="Maior",iferror(VLOOKUP($R126,Capa!$A:$AJ,BI$5,0),0),IF(ISERROR(1/VLOOKUP($R126,Capa!$A:$AJ,BI$5,0)),0,1/VLOOKUP($R126,Capa!$A:$AJ,BI$5,0))))</f>
        <v/>
      </c>
      <c r="BJ126" s="174" t="str">
        <f>IF(BJ$6="","",IF(BJ$3="Maior",iferror(VLOOKUP($R126,Capa!$A:$AJ,BJ$5,0),0),IF(ISERROR(1/VLOOKUP($R126,Capa!$A:$AJ,BJ$5,0)),0,1/VLOOKUP($R126,Capa!$A:$AJ,BJ$5,0))))</f>
        <v/>
      </c>
      <c r="BK126" s="174" t="str">
        <f>IF(BK$6="","",IF(BK$3="Maior",iferror(VLOOKUP($R126,Capa!$A:$AJ,BK$5,0),0),IF(ISERROR(1/VLOOKUP($R126,Capa!$A:$AJ,BK$5,0)),0,1/VLOOKUP($R126,Capa!$A:$AJ,BK$5,0))))</f>
        <v/>
      </c>
      <c r="BL126" s="174" t="str">
        <f>IF(BL$6="","",IF(BL$3="Maior",iferror(VLOOKUP($R126,Capa!$A:$AJ,BL$5,0),0),IF(ISERROR(1/VLOOKUP($R126,Capa!$A:$AJ,BL$5,0)),0,1/VLOOKUP($R126,Capa!$A:$AJ,BL$5,0))))</f>
        <v/>
      </c>
      <c r="BM126" s="174" t="str">
        <f>IF(BM$6="","",IF(BM$3="Maior",iferror(VLOOKUP($R126,Capa!$A:$AJ,BM$5,0),0),IF(ISERROR(1/VLOOKUP($R126,Capa!$A:$AJ,BM$5,0)),0,1/VLOOKUP($R126,Capa!$A:$AJ,BM$5,0))))</f>
        <v/>
      </c>
      <c r="BN126" s="174" t="str">
        <f>IF(BN$6="","",IF(BN$3="Maior",iferror(VLOOKUP($R126,Capa!$A:$AJ,BN$5,0),0),IF(ISERROR(1/VLOOKUP($R126,Capa!$A:$AJ,BN$5,0)),0,1/VLOOKUP($R126,Capa!$A:$AJ,BN$5,0))))</f>
        <v/>
      </c>
      <c r="BO126" s="174" t="str">
        <f>IF(BO$6="","",IF(BO$3="Maior",iferror(VLOOKUP($R126,Capa!$A:$AJ,BO$5,0),0),IF(ISERROR(1/VLOOKUP($R126,Capa!$A:$AJ,BO$5,0)),0,1/VLOOKUP($R126,Capa!$A:$AJ,BO$5,0))))</f>
        <v/>
      </c>
      <c r="BP126" s="174" t="str">
        <f>IF(BP$6="","",IF(BP$3="Maior",iferror(VLOOKUP($R126,Capa!$A:$AJ,BP$5,0),0),IF(ISERROR(1/VLOOKUP($R126,Capa!$A:$AJ,BP$5,0)),0,1/VLOOKUP($R126,Capa!$A:$AJ,BP$5,0))))</f>
        <v/>
      </c>
      <c r="BQ126" s="174" t="str">
        <f>IF(BQ$6="","",IF(BQ$3="Maior",iferror(VLOOKUP($R126,Capa!$A:$AJ,BQ$5,0),0),IF(ISERROR(1/VLOOKUP($R126,Capa!$A:$AJ,BQ$5,0)),0,1/VLOOKUP($R126,Capa!$A:$AJ,BQ$5,0))))</f>
        <v/>
      </c>
      <c r="BR126" s="175"/>
      <c r="BS126" s="147"/>
    </row>
    <row r="127">
      <c r="G127" s="11"/>
      <c r="H127" s="8">
        <v>121.0</v>
      </c>
      <c r="I127" s="165" t="str">
        <f t="shared" si="6"/>
        <v>COGN3</v>
      </c>
      <c r="J127" s="166" t="str">
        <f>(VLOOKUP($I127,Capa!$A:$B,2,0))</f>
        <v>Cogna Educacao SA</v>
      </c>
      <c r="K127" s="167" t="str">
        <f>VLOOKUP(left(I127,4),Setor!A:D,3,0)&amp;" | "&amp;VLOOKUP(left(I127,4),Setor!A:D,4,0)</f>
        <v>Consumo Cíclico | Diversos</v>
      </c>
      <c r="L127" s="168">
        <f>(VLOOKUP($I127,Capa!$A:$F,6,0))</f>
        <v>3.6</v>
      </c>
      <c r="M127" s="168">
        <f t="shared" si="7"/>
        <v>169000000</v>
      </c>
      <c r="N127" s="11" t="str">
        <f>IFERROR(__xludf.DUMMYFUNCTION("(VLOOKUP($I127,Capa!$A:$H,7,0))"),"")</f>
        <v/>
      </c>
      <c r="O127" s="169">
        <f>(VLOOKUP($I127,Capa!$A:$H,8,0))</f>
        <v>-0.1111111111</v>
      </c>
      <c r="P127" s="11" t="str">
        <f>IFERROR(__xludf.DUMMYFUNCTION("(VLOOKUP($I127,Capa!$A:$J,10,0))"),"")</f>
        <v/>
      </c>
      <c r="Q127" s="169">
        <f>(VLOOKUP($I127,Capa!$A:$K,11,0))</f>
        <v>1.322580645</v>
      </c>
      <c r="R127" s="45" t="str">
        <f>'Dados StatusInvest'!A122</f>
        <v>BSLI4</v>
      </c>
      <c r="S127" s="170">
        <f t="shared" si="8"/>
        <v>1762.0762</v>
      </c>
      <c r="T127" s="171">
        <f>VLOOKUP(R127,'Dados StatusInvest'!A:Z,26,0)</f>
        <v>115045.1</v>
      </c>
      <c r="U127" s="172">
        <f t="shared" ref="U127:AS127" si="129">IF(AT127="","", RANK(AT127,AT$7:AT$626,0)+RANK(AT127,AT$7:AT$626,0)/10000)</f>
        <v>601.0601</v>
      </c>
      <c r="V127" s="172">
        <f t="shared" si="129"/>
        <v>161.0161</v>
      </c>
      <c r="W127" s="172" t="str">
        <f t="shared" si="129"/>
        <v/>
      </c>
      <c r="X127" s="172" t="str">
        <f t="shared" si="129"/>
        <v/>
      </c>
      <c r="Y127" s="172" t="str">
        <f t="shared" si="129"/>
        <v/>
      </c>
      <c r="Z127" s="172" t="str">
        <f t="shared" si="129"/>
        <v/>
      </c>
      <c r="AA127" s="172" t="str">
        <f t="shared" si="129"/>
        <v/>
      </c>
      <c r="AB127" s="172" t="str">
        <f t="shared" si="129"/>
        <v/>
      </c>
      <c r="AC127" s="172" t="str">
        <f t="shared" si="129"/>
        <v/>
      </c>
      <c r="AD127" s="172" t="str">
        <f t="shared" si="129"/>
        <v/>
      </c>
      <c r="AE127" s="172" t="str">
        <f t="shared" si="129"/>
        <v/>
      </c>
      <c r="AF127" s="172" t="str">
        <f t="shared" si="129"/>
        <v/>
      </c>
      <c r="AG127" s="172" t="str">
        <f t="shared" si="129"/>
        <v/>
      </c>
      <c r="AH127" s="172" t="str">
        <f t="shared" si="129"/>
        <v/>
      </c>
      <c r="AI127" s="172" t="str">
        <f t="shared" si="129"/>
        <v/>
      </c>
      <c r="AJ127" s="172" t="str">
        <f t="shared" si="129"/>
        <v/>
      </c>
      <c r="AK127" s="172" t="str">
        <f t="shared" si="129"/>
        <v/>
      </c>
      <c r="AL127" s="172" t="str">
        <f t="shared" si="129"/>
        <v/>
      </c>
      <c r="AM127" s="172" t="str">
        <f t="shared" si="129"/>
        <v/>
      </c>
      <c r="AN127" s="172" t="str">
        <f t="shared" si="129"/>
        <v/>
      </c>
      <c r="AO127" s="172" t="str">
        <f t="shared" si="129"/>
        <v/>
      </c>
      <c r="AP127" s="172" t="str">
        <f t="shared" si="129"/>
        <v/>
      </c>
      <c r="AQ127" s="172" t="str">
        <f t="shared" si="129"/>
        <v/>
      </c>
      <c r="AR127" s="172" t="str">
        <f t="shared" si="129"/>
        <v/>
      </c>
      <c r="AS127" s="172" t="str">
        <f t="shared" si="129"/>
        <v/>
      </c>
      <c r="AT127" s="173">
        <f>IF(AT$6="","",IF(AT$3="Maior",iferror(VLOOKUP($R127,Capa!$A:$AJ,AT$5,0),0),IF(ISERROR(1/VLOOKUP($R127,Capa!$A:$AJ,AT$5,0)),0,1/VLOOKUP($R127,Capa!$A:$AJ,AT$5,0))))</f>
        <v>-23.61733931</v>
      </c>
      <c r="AU127" s="174">
        <f>IF(AU$6="","",IF(AU$3="Maior",iferror(VLOOKUP($R127,Capa!$A:$AJ,AU$5,0),0),IF(ISERROR(1/VLOOKUP($R127,Capa!$A:$AJ,AU$5,0)),0,1/VLOOKUP($R127,Capa!$A:$AJ,AU$5,0))))</f>
        <v>15.97</v>
      </c>
      <c r="AV127" s="174" t="str">
        <f>IF(AV$6="","",IF(AV$3="Maior",iferror(VLOOKUP($R127,Capa!$A:$AJ,AV$5,0),0),IF(ISERROR(1/VLOOKUP($R127,Capa!$A:$AJ,AV$5,0)),0,1/VLOOKUP($R127,Capa!$A:$AJ,AV$5,0))))</f>
        <v/>
      </c>
      <c r="AW127" s="174" t="str">
        <f>IF(AW$6="","",IF(AW$3="Maior",iferror(VLOOKUP($R127,Capa!$A:$AJ,AW$5,0),0),IF(ISERROR(1/VLOOKUP($R127,Capa!$A:$AJ,AW$5,0)),0,1/VLOOKUP($R127,Capa!$A:$AJ,AW$5,0))))</f>
        <v/>
      </c>
      <c r="AX127" s="174" t="str">
        <f>IF(AX$6="","",IF(AX$3="Maior",iferror(VLOOKUP($R127,Capa!$A:$AJ,AX$5,0),0),IF(ISERROR(1/VLOOKUP($R127,Capa!$A:$AJ,AX$5,0)),0,1/VLOOKUP($R127,Capa!$A:$AJ,AX$5,0))))</f>
        <v/>
      </c>
      <c r="AY127" s="174" t="str">
        <f>IF(AY$6="","",IF(AY$3="Maior",iferror(VLOOKUP($R127,Capa!$A:$AJ,AY$5,0),0),IF(ISERROR(1/VLOOKUP($R127,Capa!$A:$AJ,AY$5,0)),0,1/VLOOKUP($R127,Capa!$A:$AJ,AY$5,0))))</f>
        <v/>
      </c>
      <c r="AZ127" s="174" t="str">
        <f>IF(AZ$6="","",IF(AZ$3="Maior",iferror(VLOOKUP($R127,Capa!$A:$AJ,AZ$5,0),0),IF(ISERROR(1/VLOOKUP($R127,Capa!$A:$AJ,AZ$5,0)),0,1/VLOOKUP($R127,Capa!$A:$AJ,AZ$5,0))))</f>
        <v/>
      </c>
      <c r="BA127" s="174" t="str">
        <f>IF(BA$6="","",IF(BA$3="Maior",iferror(VLOOKUP($R127,Capa!$A:$AJ,BA$5,0),0),IF(ISERROR(1/VLOOKUP($R127,Capa!$A:$AJ,BA$5,0)),0,1/VLOOKUP($R127,Capa!$A:$AJ,BA$5,0))))</f>
        <v/>
      </c>
      <c r="BB127" s="174" t="str">
        <f>IF(BB$6="","",IF(BB$3="Maior",iferror(VLOOKUP($R127,Capa!$A:$AJ,BB$5,0),0),IF(ISERROR(1/VLOOKUP($R127,Capa!$A:$AJ,BB$5,0)),0,1/VLOOKUP($R127,Capa!$A:$AJ,BB$5,0))))</f>
        <v/>
      </c>
      <c r="BC127" s="174" t="str">
        <f>IF(BC$6="","",IF(BC$3="Maior",iferror(VLOOKUP($R127,Capa!$A:$AJ,BC$5,0),0),IF(ISERROR(1/VLOOKUP($R127,Capa!$A:$AJ,BC$5,0)),0,1/VLOOKUP($R127,Capa!$A:$AJ,BC$5,0))))</f>
        <v/>
      </c>
      <c r="BD127" s="174" t="str">
        <f>IF(BD$6="","",IF(BD$3="Maior",iferror(VLOOKUP($R127,Capa!$A:$AJ,BD$5,0),0),IF(ISERROR(1/VLOOKUP($R127,Capa!$A:$AJ,BD$5,0)),0,1/VLOOKUP($R127,Capa!$A:$AJ,BD$5,0))))</f>
        <v/>
      </c>
      <c r="BE127" s="174" t="str">
        <f>IF(BE$6="","",IF(BE$3="Maior",iferror(VLOOKUP($R127,Capa!$A:$AJ,BE$5,0),0),IF(ISERROR(1/VLOOKUP($R127,Capa!$A:$AJ,BE$5,0)),0,1/VLOOKUP($R127,Capa!$A:$AJ,BE$5,0))))</f>
        <v/>
      </c>
      <c r="BF127" s="174" t="str">
        <f>IF(BF$6="","",IF(BF$3="Maior",iferror(VLOOKUP($R127,Capa!$A:$AJ,BF$5,0),0),IF(ISERROR(1/VLOOKUP($R127,Capa!$A:$AJ,BF$5,0)),0,1/VLOOKUP($R127,Capa!$A:$AJ,BF$5,0))))</f>
        <v/>
      </c>
      <c r="BG127" s="174" t="str">
        <f>IF(BG$6="","",IF(BG$3="Maior",iferror(VLOOKUP($R127,Capa!$A:$AJ,BG$5,0),0),IF(ISERROR(1/VLOOKUP($R127,Capa!$A:$AJ,BG$5,0)),0,1/VLOOKUP($R127,Capa!$A:$AJ,BG$5,0))))</f>
        <v/>
      </c>
      <c r="BH127" s="174" t="str">
        <f>IF(BH$6="","",IF(BH$3="Maior",iferror(VLOOKUP($R127,Capa!$A:$AJ,BH$5,0),0),IF(ISERROR(1/VLOOKUP($R127,Capa!$A:$AJ,BH$5,0)),0,1/VLOOKUP($R127,Capa!$A:$AJ,BH$5,0))))</f>
        <v/>
      </c>
      <c r="BI127" s="174" t="str">
        <f>IF(BI$6="","",IF(BI$3="Maior",iferror(VLOOKUP($R127,Capa!$A:$AJ,BI$5,0),0),IF(ISERROR(1/VLOOKUP($R127,Capa!$A:$AJ,BI$5,0)),0,1/VLOOKUP($R127,Capa!$A:$AJ,BI$5,0))))</f>
        <v/>
      </c>
      <c r="BJ127" s="174" t="str">
        <f>IF(BJ$6="","",IF(BJ$3="Maior",iferror(VLOOKUP($R127,Capa!$A:$AJ,BJ$5,0),0),IF(ISERROR(1/VLOOKUP($R127,Capa!$A:$AJ,BJ$5,0)),0,1/VLOOKUP($R127,Capa!$A:$AJ,BJ$5,0))))</f>
        <v/>
      </c>
      <c r="BK127" s="174" t="str">
        <f>IF(BK$6="","",IF(BK$3="Maior",iferror(VLOOKUP($R127,Capa!$A:$AJ,BK$5,0),0),IF(ISERROR(1/VLOOKUP($R127,Capa!$A:$AJ,BK$5,0)),0,1/VLOOKUP($R127,Capa!$A:$AJ,BK$5,0))))</f>
        <v/>
      </c>
      <c r="BL127" s="174" t="str">
        <f>IF(BL$6="","",IF(BL$3="Maior",iferror(VLOOKUP($R127,Capa!$A:$AJ,BL$5,0),0),IF(ISERROR(1/VLOOKUP($R127,Capa!$A:$AJ,BL$5,0)),0,1/VLOOKUP($R127,Capa!$A:$AJ,BL$5,0))))</f>
        <v/>
      </c>
      <c r="BM127" s="174" t="str">
        <f>IF(BM$6="","",IF(BM$3="Maior",iferror(VLOOKUP($R127,Capa!$A:$AJ,BM$5,0),0),IF(ISERROR(1/VLOOKUP($R127,Capa!$A:$AJ,BM$5,0)),0,1/VLOOKUP($R127,Capa!$A:$AJ,BM$5,0))))</f>
        <v/>
      </c>
      <c r="BN127" s="174" t="str">
        <f>IF(BN$6="","",IF(BN$3="Maior",iferror(VLOOKUP($R127,Capa!$A:$AJ,BN$5,0),0),IF(ISERROR(1/VLOOKUP($R127,Capa!$A:$AJ,BN$5,0)),0,1/VLOOKUP($R127,Capa!$A:$AJ,BN$5,0))))</f>
        <v/>
      </c>
      <c r="BO127" s="174" t="str">
        <f>IF(BO$6="","",IF(BO$3="Maior",iferror(VLOOKUP($R127,Capa!$A:$AJ,BO$5,0),0),IF(ISERROR(1/VLOOKUP($R127,Capa!$A:$AJ,BO$5,0)),0,1/VLOOKUP($R127,Capa!$A:$AJ,BO$5,0))))</f>
        <v/>
      </c>
      <c r="BP127" s="174" t="str">
        <f>IF(BP$6="","",IF(BP$3="Maior",iferror(VLOOKUP($R127,Capa!$A:$AJ,BP$5,0),0),IF(ISERROR(1/VLOOKUP($R127,Capa!$A:$AJ,BP$5,0)),0,1/VLOOKUP($R127,Capa!$A:$AJ,BP$5,0))))</f>
        <v/>
      </c>
      <c r="BQ127" s="174" t="str">
        <f>IF(BQ$6="","",IF(BQ$3="Maior",iferror(VLOOKUP($R127,Capa!$A:$AJ,BQ$5,0),0),IF(ISERROR(1/VLOOKUP($R127,Capa!$A:$AJ,BQ$5,0)),0,1/VLOOKUP($R127,Capa!$A:$AJ,BQ$5,0))))</f>
        <v/>
      </c>
      <c r="BR127" s="175"/>
      <c r="BS127" s="147"/>
    </row>
    <row r="128">
      <c r="G128" s="11"/>
      <c r="H128" s="8">
        <v>122.0</v>
      </c>
      <c r="I128" s="165" t="str">
        <f t="shared" si="6"/>
        <v>TASA4</v>
      </c>
      <c r="J128" s="166" t="str">
        <f>(VLOOKUP($I128,Capa!$A:$B,2,0))</f>
        <v>Taurus Armas SA Preference Shares</v>
      </c>
      <c r="K128" s="167" t="str">
        <f>VLOOKUP(left(I128,4),Setor!A:D,3,0)&amp;" | "&amp;VLOOKUP(left(I128,4),Setor!A:D,4,0)</f>
        <v>Bens Industriais | Máquinas e Equipamentos</v>
      </c>
      <c r="L128" s="168">
        <f>(VLOOKUP($I128,Capa!$A:$F,6,0))</f>
        <v>5.17</v>
      </c>
      <c r="M128" s="168">
        <f t="shared" si="7"/>
        <v>2096716</v>
      </c>
      <c r="N128" s="177" t="str">
        <f>IFERROR(__xludf.DUMMYFUNCTION("(VLOOKUP($I128,Capa!$A:$H,7,0))"),"")</f>
        <v/>
      </c>
      <c r="O128" s="169">
        <f>(VLOOKUP($I128,Capa!$A:$H,8,0))</f>
        <v>-0.03001876173</v>
      </c>
      <c r="P128" s="169" t="str">
        <f>IFERROR(__xludf.DUMMYFUNCTION("(VLOOKUP($I128,Capa!$A:$J,10,0))"),"")</f>
        <v/>
      </c>
      <c r="Q128" s="169">
        <f>(VLOOKUP($I128,Capa!$A:$K,11,0))</f>
        <v>-0.3060402685</v>
      </c>
      <c r="R128" s="45" t="str">
        <f>'Dados StatusInvest'!A123</f>
        <v>BTTL4</v>
      </c>
      <c r="S128" s="170">
        <f t="shared" si="8"/>
        <v>1673.0673</v>
      </c>
      <c r="T128" s="171">
        <f>VLOOKUP(R128,'Dados StatusInvest'!A:Z,26,0)</f>
        <v>0</v>
      </c>
      <c r="U128" s="172">
        <f t="shared" ref="U128:AS128" si="130">IF(AT128="","", RANK(AT128,AT$7:AT$626,0)+RANK(AT128,AT$7:AT$626,0)/10000)</f>
        <v>105.0105</v>
      </c>
      <c r="V128" s="172">
        <f t="shared" si="130"/>
        <v>568.0568</v>
      </c>
      <c r="W128" s="172" t="str">
        <f t="shared" si="130"/>
        <v/>
      </c>
      <c r="X128" s="172" t="str">
        <f t="shared" si="130"/>
        <v/>
      </c>
      <c r="Y128" s="172" t="str">
        <f t="shared" si="130"/>
        <v/>
      </c>
      <c r="Z128" s="172" t="str">
        <f t="shared" si="130"/>
        <v/>
      </c>
      <c r="AA128" s="172" t="str">
        <f t="shared" si="130"/>
        <v/>
      </c>
      <c r="AB128" s="172" t="str">
        <f t="shared" si="130"/>
        <v/>
      </c>
      <c r="AC128" s="172" t="str">
        <f t="shared" si="130"/>
        <v/>
      </c>
      <c r="AD128" s="172" t="str">
        <f t="shared" si="130"/>
        <v/>
      </c>
      <c r="AE128" s="172" t="str">
        <f t="shared" si="130"/>
        <v/>
      </c>
      <c r="AF128" s="172" t="str">
        <f t="shared" si="130"/>
        <v/>
      </c>
      <c r="AG128" s="172" t="str">
        <f t="shared" si="130"/>
        <v/>
      </c>
      <c r="AH128" s="172" t="str">
        <f t="shared" si="130"/>
        <v/>
      </c>
      <c r="AI128" s="172" t="str">
        <f t="shared" si="130"/>
        <v/>
      </c>
      <c r="AJ128" s="172" t="str">
        <f t="shared" si="130"/>
        <v/>
      </c>
      <c r="AK128" s="172" t="str">
        <f t="shared" si="130"/>
        <v/>
      </c>
      <c r="AL128" s="172" t="str">
        <f t="shared" si="130"/>
        <v/>
      </c>
      <c r="AM128" s="172" t="str">
        <f t="shared" si="130"/>
        <v/>
      </c>
      <c r="AN128" s="172" t="str">
        <f t="shared" si="130"/>
        <v/>
      </c>
      <c r="AO128" s="172" t="str">
        <f t="shared" si="130"/>
        <v/>
      </c>
      <c r="AP128" s="172" t="str">
        <f t="shared" si="130"/>
        <v/>
      </c>
      <c r="AQ128" s="172" t="str">
        <f t="shared" si="130"/>
        <v/>
      </c>
      <c r="AR128" s="172" t="str">
        <f t="shared" si="130"/>
        <v/>
      </c>
      <c r="AS128" s="172" t="str">
        <f t="shared" si="130"/>
        <v/>
      </c>
      <c r="AT128" s="173">
        <f>IF(AT$6="","",IF(AT$3="Maior",iferror(VLOOKUP($R128,Capa!$A:$AJ,AT$5,0),0),IF(ISERROR(1/VLOOKUP($R128,Capa!$A:$AJ,AT$5,0)),0,1/VLOOKUP($R128,Capa!$A:$AJ,AT$5,0))))</f>
        <v>-0.00003582022403</v>
      </c>
      <c r="AU128" s="174">
        <f>IF(AU$6="","",IF(AU$3="Maior",iferror(VLOOKUP($R128,Capa!$A:$AJ,AU$5,0),0),IF(ISERROR(1/VLOOKUP($R128,Capa!$A:$AJ,AU$5,0)),0,1/VLOOKUP($R128,Capa!$A:$AJ,AU$5,0))))</f>
        <v>-9.58</v>
      </c>
      <c r="AV128" s="174" t="str">
        <f>IF(AV$6="","",IF(AV$3="Maior",iferror(VLOOKUP($R128,Capa!$A:$AJ,AV$5,0),0),IF(ISERROR(1/VLOOKUP($R128,Capa!$A:$AJ,AV$5,0)),0,1/VLOOKUP($R128,Capa!$A:$AJ,AV$5,0))))</f>
        <v/>
      </c>
      <c r="AW128" s="174" t="str">
        <f>IF(AW$6="","",IF(AW$3="Maior",iferror(VLOOKUP($R128,Capa!$A:$AJ,AW$5,0),0),IF(ISERROR(1/VLOOKUP($R128,Capa!$A:$AJ,AW$5,0)),0,1/VLOOKUP($R128,Capa!$A:$AJ,AW$5,0))))</f>
        <v/>
      </c>
      <c r="AX128" s="174" t="str">
        <f>IF(AX$6="","",IF(AX$3="Maior",iferror(VLOOKUP($R128,Capa!$A:$AJ,AX$5,0),0),IF(ISERROR(1/VLOOKUP($R128,Capa!$A:$AJ,AX$5,0)),0,1/VLOOKUP($R128,Capa!$A:$AJ,AX$5,0))))</f>
        <v/>
      </c>
      <c r="AY128" s="174" t="str">
        <f>IF(AY$6="","",IF(AY$3="Maior",iferror(VLOOKUP($R128,Capa!$A:$AJ,AY$5,0),0),IF(ISERROR(1/VLOOKUP($R128,Capa!$A:$AJ,AY$5,0)),0,1/VLOOKUP($R128,Capa!$A:$AJ,AY$5,0))))</f>
        <v/>
      </c>
      <c r="AZ128" s="174" t="str">
        <f>IF(AZ$6="","",IF(AZ$3="Maior",iferror(VLOOKUP($R128,Capa!$A:$AJ,AZ$5,0),0),IF(ISERROR(1/VLOOKUP($R128,Capa!$A:$AJ,AZ$5,0)),0,1/VLOOKUP($R128,Capa!$A:$AJ,AZ$5,0))))</f>
        <v/>
      </c>
      <c r="BA128" s="174" t="str">
        <f>IF(BA$6="","",IF(BA$3="Maior",iferror(VLOOKUP($R128,Capa!$A:$AJ,BA$5,0),0),IF(ISERROR(1/VLOOKUP($R128,Capa!$A:$AJ,BA$5,0)),0,1/VLOOKUP($R128,Capa!$A:$AJ,BA$5,0))))</f>
        <v/>
      </c>
      <c r="BB128" s="174" t="str">
        <f>IF(BB$6="","",IF(BB$3="Maior",iferror(VLOOKUP($R128,Capa!$A:$AJ,BB$5,0),0),IF(ISERROR(1/VLOOKUP($R128,Capa!$A:$AJ,BB$5,0)),0,1/VLOOKUP($R128,Capa!$A:$AJ,BB$5,0))))</f>
        <v/>
      </c>
      <c r="BC128" s="174" t="str">
        <f>IF(BC$6="","",IF(BC$3="Maior",iferror(VLOOKUP($R128,Capa!$A:$AJ,BC$5,0),0),IF(ISERROR(1/VLOOKUP($R128,Capa!$A:$AJ,BC$5,0)),0,1/VLOOKUP($R128,Capa!$A:$AJ,BC$5,0))))</f>
        <v/>
      </c>
      <c r="BD128" s="174" t="str">
        <f>IF(BD$6="","",IF(BD$3="Maior",iferror(VLOOKUP($R128,Capa!$A:$AJ,BD$5,0),0),IF(ISERROR(1/VLOOKUP($R128,Capa!$A:$AJ,BD$5,0)),0,1/VLOOKUP($R128,Capa!$A:$AJ,BD$5,0))))</f>
        <v/>
      </c>
      <c r="BE128" s="174" t="str">
        <f>IF(BE$6="","",IF(BE$3="Maior",iferror(VLOOKUP($R128,Capa!$A:$AJ,BE$5,0),0),IF(ISERROR(1/VLOOKUP($R128,Capa!$A:$AJ,BE$5,0)),0,1/VLOOKUP($R128,Capa!$A:$AJ,BE$5,0))))</f>
        <v/>
      </c>
      <c r="BF128" s="174" t="str">
        <f>IF(BF$6="","",IF(BF$3="Maior",iferror(VLOOKUP($R128,Capa!$A:$AJ,BF$5,0),0),IF(ISERROR(1/VLOOKUP($R128,Capa!$A:$AJ,BF$5,0)),0,1/VLOOKUP($R128,Capa!$A:$AJ,BF$5,0))))</f>
        <v/>
      </c>
      <c r="BG128" s="174" t="str">
        <f>IF(BG$6="","",IF(BG$3="Maior",iferror(VLOOKUP($R128,Capa!$A:$AJ,BG$5,0),0),IF(ISERROR(1/VLOOKUP($R128,Capa!$A:$AJ,BG$5,0)),0,1/VLOOKUP($R128,Capa!$A:$AJ,BG$5,0))))</f>
        <v/>
      </c>
      <c r="BH128" s="174" t="str">
        <f>IF(BH$6="","",IF(BH$3="Maior",iferror(VLOOKUP($R128,Capa!$A:$AJ,BH$5,0),0),IF(ISERROR(1/VLOOKUP($R128,Capa!$A:$AJ,BH$5,0)),0,1/VLOOKUP($R128,Capa!$A:$AJ,BH$5,0))))</f>
        <v/>
      </c>
      <c r="BI128" s="174" t="str">
        <f>IF(BI$6="","",IF(BI$3="Maior",iferror(VLOOKUP($R128,Capa!$A:$AJ,BI$5,0),0),IF(ISERROR(1/VLOOKUP($R128,Capa!$A:$AJ,BI$5,0)),0,1/VLOOKUP($R128,Capa!$A:$AJ,BI$5,0))))</f>
        <v/>
      </c>
      <c r="BJ128" s="174" t="str">
        <f>IF(BJ$6="","",IF(BJ$3="Maior",iferror(VLOOKUP($R128,Capa!$A:$AJ,BJ$5,0),0),IF(ISERROR(1/VLOOKUP($R128,Capa!$A:$AJ,BJ$5,0)),0,1/VLOOKUP($R128,Capa!$A:$AJ,BJ$5,0))))</f>
        <v/>
      </c>
      <c r="BK128" s="174" t="str">
        <f>IF(BK$6="","",IF(BK$3="Maior",iferror(VLOOKUP($R128,Capa!$A:$AJ,BK$5,0),0),IF(ISERROR(1/VLOOKUP($R128,Capa!$A:$AJ,BK$5,0)),0,1/VLOOKUP($R128,Capa!$A:$AJ,BK$5,0))))</f>
        <v/>
      </c>
      <c r="BL128" s="174" t="str">
        <f>IF(BL$6="","",IF(BL$3="Maior",iferror(VLOOKUP($R128,Capa!$A:$AJ,BL$5,0),0),IF(ISERROR(1/VLOOKUP($R128,Capa!$A:$AJ,BL$5,0)),0,1/VLOOKUP($R128,Capa!$A:$AJ,BL$5,0))))</f>
        <v/>
      </c>
      <c r="BM128" s="174" t="str">
        <f>IF(BM$6="","",IF(BM$3="Maior",iferror(VLOOKUP($R128,Capa!$A:$AJ,BM$5,0),0),IF(ISERROR(1/VLOOKUP($R128,Capa!$A:$AJ,BM$5,0)),0,1/VLOOKUP($R128,Capa!$A:$AJ,BM$5,0))))</f>
        <v/>
      </c>
      <c r="BN128" s="174" t="str">
        <f>IF(BN$6="","",IF(BN$3="Maior",iferror(VLOOKUP($R128,Capa!$A:$AJ,BN$5,0),0),IF(ISERROR(1/VLOOKUP($R128,Capa!$A:$AJ,BN$5,0)),0,1/VLOOKUP($R128,Capa!$A:$AJ,BN$5,0))))</f>
        <v/>
      </c>
      <c r="BO128" s="174" t="str">
        <f>IF(BO$6="","",IF(BO$3="Maior",iferror(VLOOKUP($R128,Capa!$A:$AJ,BO$5,0),0),IF(ISERROR(1/VLOOKUP($R128,Capa!$A:$AJ,BO$5,0)),0,1/VLOOKUP($R128,Capa!$A:$AJ,BO$5,0))))</f>
        <v/>
      </c>
      <c r="BP128" s="174" t="str">
        <f>IF(BP$6="","",IF(BP$3="Maior",iferror(VLOOKUP($R128,Capa!$A:$AJ,BP$5,0),0),IF(ISERROR(1/VLOOKUP($R128,Capa!$A:$AJ,BP$5,0)),0,1/VLOOKUP($R128,Capa!$A:$AJ,BP$5,0))))</f>
        <v/>
      </c>
      <c r="BQ128" s="174" t="str">
        <f>IF(BQ$6="","",IF(BQ$3="Maior",iferror(VLOOKUP($R128,Capa!$A:$AJ,BQ$5,0),0),IF(ISERROR(1/VLOOKUP($R128,Capa!$A:$AJ,BQ$5,0)),0,1/VLOOKUP($R128,Capa!$A:$AJ,BQ$5,0))))</f>
        <v/>
      </c>
      <c r="BR128" s="175"/>
      <c r="BS128" s="147"/>
    </row>
    <row r="129">
      <c r="G129" s="11"/>
      <c r="H129" s="8">
        <v>123.0</v>
      </c>
      <c r="I129" s="165" t="str">
        <f t="shared" si="6"/>
        <v>SAPR11</v>
      </c>
      <c r="J129" s="166" t="str">
        <f>(VLOOKUP($I129,Capa!$A:$B,2,0))</f>
        <v>Companhia de Saneamento Parana SANEPAR Unit</v>
      </c>
      <c r="K129" s="167" t="str">
        <f>VLOOKUP(left(I129,4),Setor!A:D,3,0)&amp;" | "&amp;VLOOKUP(left(I129,4),Setor!A:D,4,0)</f>
        <v>Utilidade Pública | Água e Saneamento</v>
      </c>
      <c r="L129" s="168">
        <f>(VLOOKUP($I129,Capa!$A:$F,6,0))</f>
        <v>45.91</v>
      </c>
      <c r="M129" s="168">
        <f t="shared" si="7"/>
        <v>61269908</v>
      </c>
      <c r="N129" s="177" t="str">
        <f>IFERROR(__xludf.DUMMYFUNCTION("(VLOOKUP($I129,Capa!$A:$H,7,0))"),"")</f>
        <v/>
      </c>
      <c r="O129" s="169">
        <f>(VLOOKUP($I129,Capa!$A:$H,8,0))</f>
        <v>0.03962862319</v>
      </c>
      <c r="P129" s="169" t="str">
        <f>IFERROR(__xludf.DUMMYFUNCTION("(VLOOKUP($I129,Capa!$A:$J,10,0))"),"")</f>
        <v/>
      </c>
      <c r="Q129" s="169">
        <f>(VLOOKUP($I129,Capa!$A:$K,11,0))</f>
        <v>0.6652158143</v>
      </c>
      <c r="R129" s="45" t="str">
        <f>'Dados StatusInvest'!A124</f>
        <v>CALI3</v>
      </c>
      <c r="S129" s="170">
        <f t="shared" si="8"/>
        <v>1699.0699</v>
      </c>
      <c r="T129" s="171">
        <f>VLOOKUP(R129,'Dados StatusInvest'!A:Z,26,0)</f>
        <v>9354.83</v>
      </c>
      <c r="U129" s="172">
        <f t="shared" ref="U129:AS129" si="131">IF(AT129="","", RANK(AT129,AT$7:AT$626,0)+RANK(AT129,AT$7:AT$626,0)/10000)</f>
        <v>432.0432</v>
      </c>
      <c r="V129" s="172">
        <f t="shared" si="131"/>
        <v>267.0267</v>
      </c>
      <c r="W129" s="172" t="str">
        <f t="shared" si="131"/>
        <v/>
      </c>
      <c r="X129" s="172" t="str">
        <f t="shared" si="131"/>
        <v/>
      </c>
      <c r="Y129" s="172" t="str">
        <f t="shared" si="131"/>
        <v/>
      </c>
      <c r="Z129" s="172" t="str">
        <f t="shared" si="131"/>
        <v/>
      </c>
      <c r="AA129" s="172" t="str">
        <f t="shared" si="131"/>
        <v/>
      </c>
      <c r="AB129" s="172" t="str">
        <f t="shared" si="131"/>
        <v/>
      </c>
      <c r="AC129" s="172" t="str">
        <f t="shared" si="131"/>
        <v/>
      </c>
      <c r="AD129" s="172" t="str">
        <f t="shared" si="131"/>
        <v/>
      </c>
      <c r="AE129" s="172" t="str">
        <f t="shared" si="131"/>
        <v/>
      </c>
      <c r="AF129" s="172" t="str">
        <f t="shared" si="131"/>
        <v/>
      </c>
      <c r="AG129" s="172" t="str">
        <f t="shared" si="131"/>
        <v/>
      </c>
      <c r="AH129" s="172" t="str">
        <f t="shared" si="131"/>
        <v/>
      </c>
      <c r="AI129" s="172" t="str">
        <f t="shared" si="131"/>
        <v/>
      </c>
      <c r="AJ129" s="172" t="str">
        <f t="shared" si="131"/>
        <v/>
      </c>
      <c r="AK129" s="172" t="str">
        <f t="shared" si="131"/>
        <v/>
      </c>
      <c r="AL129" s="172" t="str">
        <f t="shared" si="131"/>
        <v/>
      </c>
      <c r="AM129" s="172" t="str">
        <f t="shared" si="131"/>
        <v/>
      </c>
      <c r="AN129" s="172" t="str">
        <f t="shared" si="131"/>
        <v/>
      </c>
      <c r="AO129" s="172" t="str">
        <f t="shared" si="131"/>
        <v/>
      </c>
      <c r="AP129" s="172" t="str">
        <f t="shared" si="131"/>
        <v/>
      </c>
      <c r="AQ129" s="172" t="str">
        <f t="shared" si="131"/>
        <v/>
      </c>
      <c r="AR129" s="172" t="str">
        <f t="shared" si="131"/>
        <v/>
      </c>
      <c r="AS129" s="172" t="str">
        <f t="shared" si="131"/>
        <v/>
      </c>
      <c r="AT129" s="173">
        <f>IF(AT$6="","",IF(AT$3="Maior",iferror(VLOOKUP($R129,Capa!$A:$AJ,AT$5,0),0),IF(ISERROR(1/VLOOKUP($R129,Capa!$A:$AJ,AT$5,0)),0,1/VLOOKUP($R129,Capa!$A:$AJ,AT$5,0))))</f>
        <v>-1.639344262</v>
      </c>
      <c r="AU129" s="174">
        <f>IF(AU$6="","",IF(AU$3="Maior",iferror(VLOOKUP($R129,Capa!$A:$AJ,AU$5,0),0),IF(ISERROR(1/VLOOKUP($R129,Capa!$A:$AJ,AU$5,0)),0,1/VLOOKUP($R129,Capa!$A:$AJ,AU$5,0))))</f>
        <v>0</v>
      </c>
      <c r="AV129" s="174" t="str">
        <f>IF(AV$6="","",IF(AV$3="Maior",iferror(VLOOKUP($R129,Capa!$A:$AJ,AV$5,0),0),IF(ISERROR(1/VLOOKUP($R129,Capa!$A:$AJ,AV$5,0)),0,1/VLOOKUP($R129,Capa!$A:$AJ,AV$5,0))))</f>
        <v/>
      </c>
      <c r="AW129" s="174" t="str">
        <f>IF(AW$6="","",IF(AW$3="Maior",iferror(VLOOKUP($R129,Capa!$A:$AJ,AW$5,0),0),IF(ISERROR(1/VLOOKUP($R129,Capa!$A:$AJ,AW$5,0)),0,1/VLOOKUP($R129,Capa!$A:$AJ,AW$5,0))))</f>
        <v/>
      </c>
      <c r="AX129" s="174" t="str">
        <f>IF(AX$6="","",IF(AX$3="Maior",iferror(VLOOKUP($R129,Capa!$A:$AJ,AX$5,0),0),IF(ISERROR(1/VLOOKUP($R129,Capa!$A:$AJ,AX$5,0)),0,1/VLOOKUP($R129,Capa!$A:$AJ,AX$5,0))))</f>
        <v/>
      </c>
      <c r="AY129" s="174" t="str">
        <f>IF(AY$6="","",IF(AY$3="Maior",iferror(VLOOKUP($R129,Capa!$A:$AJ,AY$5,0),0),IF(ISERROR(1/VLOOKUP($R129,Capa!$A:$AJ,AY$5,0)),0,1/VLOOKUP($R129,Capa!$A:$AJ,AY$5,0))))</f>
        <v/>
      </c>
      <c r="AZ129" s="174" t="str">
        <f>IF(AZ$6="","",IF(AZ$3="Maior",iferror(VLOOKUP($R129,Capa!$A:$AJ,AZ$5,0),0),IF(ISERROR(1/VLOOKUP($R129,Capa!$A:$AJ,AZ$5,0)),0,1/VLOOKUP($R129,Capa!$A:$AJ,AZ$5,0))))</f>
        <v/>
      </c>
      <c r="BA129" s="174" t="str">
        <f>IF(BA$6="","",IF(BA$3="Maior",iferror(VLOOKUP($R129,Capa!$A:$AJ,BA$5,0),0),IF(ISERROR(1/VLOOKUP($R129,Capa!$A:$AJ,BA$5,0)),0,1/VLOOKUP($R129,Capa!$A:$AJ,BA$5,0))))</f>
        <v/>
      </c>
      <c r="BB129" s="174" t="str">
        <f>IF(BB$6="","",IF(BB$3="Maior",iferror(VLOOKUP($R129,Capa!$A:$AJ,BB$5,0),0),IF(ISERROR(1/VLOOKUP($R129,Capa!$A:$AJ,BB$5,0)),0,1/VLOOKUP($R129,Capa!$A:$AJ,BB$5,0))))</f>
        <v/>
      </c>
      <c r="BC129" s="174" t="str">
        <f>IF(BC$6="","",IF(BC$3="Maior",iferror(VLOOKUP($R129,Capa!$A:$AJ,BC$5,0),0),IF(ISERROR(1/VLOOKUP($R129,Capa!$A:$AJ,BC$5,0)),0,1/VLOOKUP($R129,Capa!$A:$AJ,BC$5,0))))</f>
        <v/>
      </c>
      <c r="BD129" s="174" t="str">
        <f>IF(BD$6="","",IF(BD$3="Maior",iferror(VLOOKUP($R129,Capa!$A:$AJ,BD$5,0),0),IF(ISERROR(1/VLOOKUP($R129,Capa!$A:$AJ,BD$5,0)),0,1/VLOOKUP($R129,Capa!$A:$AJ,BD$5,0))))</f>
        <v/>
      </c>
      <c r="BE129" s="174" t="str">
        <f>IF(BE$6="","",IF(BE$3="Maior",iferror(VLOOKUP($R129,Capa!$A:$AJ,BE$5,0),0),IF(ISERROR(1/VLOOKUP($R129,Capa!$A:$AJ,BE$5,0)),0,1/VLOOKUP($R129,Capa!$A:$AJ,BE$5,0))))</f>
        <v/>
      </c>
      <c r="BF129" s="174" t="str">
        <f>IF(BF$6="","",IF(BF$3="Maior",iferror(VLOOKUP($R129,Capa!$A:$AJ,BF$5,0),0),IF(ISERROR(1/VLOOKUP($R129,Capa!$A:$AJ,BF$5,0)),0,1/VLOOKUP($R129,Capa!$A:$AJ,BF$5,0))))</f>
        <v/>
      </c>
      <c r="BG129" s="174" t="str">
        <f>IF(BG$6="","",IF(BG$3="Maior",iferror(VLOOKUP($R129,Capa!$A:$AJ,BG$5,0),0),IF(ISERROR(1/VLOOKUP($R129,Capa!$A:$AJ,BG$5,0)),0,1/VLOOKUP($R129,Capa!$A:$AJ,BG$5,0))))</f>
        <v/>
      </c>
      <c r="BH129" s="174" t="str">
        <f>IF(BH$6="","",IF(BH$3="Maior",iferror(VLOOKUP($R129,Capa!$A:$AJ,BH$5,0),0),IF(ISERROR(1/VLOOKUP($R129,Capa!$A:$AJ,BH$5,0)),0,1/VLOOKUP($R129,Capa!$A:$AJ,BH$5,0))))</f>
        <v/>
      </c>
      <c r="BI129" s="174" t="str">
        <f>IF(BI$6="","",IF(BI$3="Maior",iferror(VLOOKUP($R129,Capa!$A:$AJ,BI$5,0),0),IF(ISERROR(1/VLOOKUP($R129,Capa!$A:$AJ,BI$5,0)),0,1/VLOOKUP($R129,Capa!$A:$AJ,BI$5,0))))</f>
        <v/>
      </c>
      <c r="BJ129" s="174" t="str">
        <f>IF(BJ$6="","",IF(BJ$3="Maior",iferror(VLOOKUP($R129,Capa!$A:$AJ,BJ$5,0),0),IF(ISERROR(1/VLOOKUP($R129,Capa!$A:$AJ,BJ$5,0)),0,1/VLOOKUP($R129,Capa!$A:$AJ,BJ$5,0))))</f>
        <v/>
      </c>
      <c r="BK129" s="174" t="str">
        <f>IF(BK$6="","",IF(BK$3="Maior",iferror(VLOOKUP($R129,Capa!$A:$AJ,BK$5,0),0),IF(ISERROR(1/VLOOKUP($R129,Capa!$A:$AJ,BK$5,0)),0,1/VLOOKUP($R129,Capa!$A:$AJ,BK$5,0))))</f>
        <v/>
      </c>
      <c r="BL129" s="174" t="str">
        <f>IF(BL$6="","",IF(BL$3="Maior",iferror(VLOOKUP($R129,Capa!$A:$AJ,BL$5,0),0),IF(ISERROR(1/VLOOKUP($R129,Capa!$A:$AJ,BL$5,0)),0,1/VLOOKUP($R129,Capa!$A:$AJ,BL$5,0))))</f>
        <v/>
      </c>
      <c r="BM129" s="174" t="str">
        <f>IF(BM$6="","",IF(BM$3="Maior",iferror(VLOOKUP($R129,Capa!$A:$AJ,BM$5,0),0),IF(ISERROR(1/VLOOKUP($R129,Capa!$A:$AJ,BM$5,0)),0,1/VLOOKUP($R129,Capa!$A:$AJ,BM$5,0))))</f>
        <v/>
      </c>
      <c r="BN129" s="174" t="str">
        <f>IF(BN$6="","",IF(BN$3="Maior",iferror(VLOOKUP($R129,Capa!$A:$AJ,BN$5,0),0),IF(ISERROR(1/VLOOKUP($R129,Capa!$A:$AJ,BN$5,0)),0,1/VLOOKUP($R129,Capa!$A:$AJ,BN$5,0))))</f>
        <v/>
      </c>
      <c r="BO129" s="174" t="str">
        <f>IF(BO$6="","",IF(BO$3="Maior",iferror(VLOOKUP($R129,Capa!$A:$AJ,BO$5,0),0),IF(ISERROR(1/VLOOKUP($R129,Capa!$A:$AJ,BO$5,0)),0,1/VLOOKUP($R129,Capa!$A:$AJ,BO$5,0))))</f>
        <v/>
      </c>
      <c r="BP129" s="174" t="str">
        <f>IF(BP$6="","",IF(BP$3="Maior",iferror(VLOOKUP($R129,Capa!$A:$AJ,BP$5,0),0),IF(ISERROR(1/VLOOKUP($R129,Capa!$A:$AJ,BP$5,0)),0,1/VLOOKUP($R129,Capa!$A:$AJ,BP$5,0))))</f>
        <v/>
      </c>
      <c r="BQ129" s="174" t="str">
        <f>IF(BQ$6="","",IF(BQ$3="Maior",iferror(VLOOKUP($R129,Capa!$A:$AJ,BQ$5,0),0),IF(ISERROR(1/VLOOKUP($R129,Capa!$A:$AJ,BQ$5,0)),0,1/VLOOKUP($R129,Capa!$A:$AJ,BQ$5,0))))</f>
        <v/>
      </c>
      <c r="BR129" s="175"/>
      <c r="BS129" s="147"/>
    </row>
    <row r="130">
      <c r="G130" s="11"/>
      <c r="H130" s="8">
        <v>124.0</v>
      </c>
      <c r="I130" s="165" t="str">
        <f t="shared" si="6"/>
        <v>VITT3</v>
      </c>
      <c r="J130" s="166" t="str">
        <f>(VLOOKUP($I130,Capa!$A:$B,2,0))</f>
        <v>Vittia SA</v>
      </c>
      <c r="K130" s="167" t="str">
        <f>VLOOKUP(left(I130,4),Setor!A:D,3,0)&amp;" | "&amp;VLOOKUP(left(I130,4),Setor!A:D,4,0)</f>
        <v>Outros | Químicos</v>
      </c>
      <c r="L130" s="168">
        <f>(VLOOKUP($I130,Capa!$A:$F,6,0))</f>
        <v>4.14</v>
      </c>
      <c r="M130" s="168">
        <f t="shared" si="7"/>
        <v>1148546</v>
      </c>
      <c r="N130" s="177" t="str">
        <f>IFERROR(__xludf.DUMMYFUNCTION("(VLOOKUP($I130,Capa!$A:$H,7,0))"),"")</f>
        <v/>
      </c>
      <c r="O130" s="169">
        <f>(VLOOKUP($I130,Capa!$A:$H,8,0))</f>
        <v>-0.08</v>
      </c>
      <c r="P130" s="169" t="str">
        <f>IFERROR(__xludf.DUMMYFUNCTION("(VLOOKUP($I130,Capa!$A:$J,10,0))"),"")</f>
        <v/>
      </c>
      <c r="Q130" s="169">
        <f>(VLOOKUP($I130,Capa!$A:$K,11,0))</f>
        <v>-0.2527075812</v>
      </c>
      <c r="R130" s="45" t="str">
        <f>'Dados StatusInvest'!A125</f>
        <v>CALI4</v>
      </c>
      <c r="S130" s="170">
        <f t="shared" si="8"/>
        <v>1494.0494</v>
      </c>
      <c r="T130" s="171">
        <f>VLOOKUP(R130,'Dados StatusInvest'!A:Z,26,0)</f>
        <v>0</v>
      </c>
      <c r="U130" s="172">
        <f t="shared" ref="U130:AS130" si="132">IF(AT130="","", RANK(AT130,AT$7:AT$626,0)+RANK(AT130,AT$7:AT$626,0)/10000)</f>
        <v>227.0227</v>
      </c>
      <c r="V130" s="172">
        <f t="shared" si="132"/>
        <v>267.0267</v>
      </c>
      <c r="W130" s="172" t="str">
        <f t="shared" si="132"/>
        <v/>
      </c>
      <c r="X130" s="172" t="str">
        <f t="shared" si="132"/>
        <v/>
      </c>
      <c r="Y130" s="172" t="str">
        <f t="shared" si="132"/>
        <v/>
      </c>
      <c r="Z130" s="172" t="str">
        <f t="shared" si="132"/>
        <v/>
      </c>
      <c r="AA130" s="172" t="str">
        <f t="shared" si="132"/>
        <v/>
      </c>
      <c r="AB130" s="172" t="str">
        <f t="shared" si="132"/>
        <v/>
      </c>
      <c r="AC130" s="172" t="str">
        <f t="shared" si="132"/>
        <v/>
      </c>
      <c r="AD130" s="172" t="str">
        <f t="shared" si="132"/>
        <v/>
      </c>
      <c r="AE130" s="172" t="str">
        <f t="shared" si="132"/>
        <v/>
      </c>
      <c r="AF130" s="172" t="str">
        <f t="shared" si="132"/>
        <v/>
      </c>
      <c r="AG130" s="172" t="str">
        <f t="shared" si="132"/>
        <v/>
      </c>
      <c r="AH130" s="172" t="str">
        <f t="shared" si="132"/>
        <v/>
      </c>
      <c r="AI130" s="172" t="str">
        <f t="shared" si="132"/>
        <v/>
      </c>
      <c r="AJ130" s="172" t="str">
        <f t="shared" si="132"/>
        <v/>
      </c>
      <c r="AK130" s="172" t="str">
        <f t="shared" si="132"/>
        <v/>
      </c>
      <c r="AL130" s="172" t="str">
        <f t="shared" si="132"/>
        <v/>
      </c>
      <c r="AM130" s="172" t="str">
        <f t="shared" si="132"/>
        <v/>
      </c>
      <c r="AN130" s="172" t="str">
        <f t="shared" si="132"/>
        <v/>
      </c>
      <c r="AO130" s="172" t="str">
        <f t="shared" si="132"/>
        <v/>
      </c>
      <c r="AP130" s="172" t="str">
        <f t="shared" si="132"/>
        <v/>
      </c>
      <c r="AQ130" s="172" t="str">
        <f t="shared" si="132"/>
        <v/>
      </c>
      <c r="AR130" s="172" t="str">
        <f t="shared" si="132"/>
        <v/>
      </c>
      <c r="AS130" s="172" t="str">
        <f t="shared" si="132"/>
        <v/>
      </c>
      <c r="AT130" s="173">
        <f>IF(AT$6="","",IF(AT$3="Maior",iferror(VLOOKUP($R130,Capa!$A:$AJ,AT$5,0),0),IF(ISERROR(1/VLOOKUP($R130,Capa!$A:$AJ,AT$5,0)),0,1/VLOOKUP($R130,Capa!$A:$AJ,AT$5,0))))</f>
        <v>-0.3802281369</v>
      </c>
      <c r="AU130" s="174">
        <f>IF(AU$6="","",IF(AU$3="Maior",iferror(VLOOKUP($R130,Capa!$A:$AJ,AU$5,0),0),IF(ISERROR(1/VLOOKUP($R130,Capa!$A:$AJ,AU$5,0)),0,1/VLOOKUP($R130,Capa!$A:$AJ,AU$5,0))))</f>
        <v>0</v>
      </c>
      <c r="AV130" s="174" t="str">
        <f>IF(AV$6="","",IF(AV$3="Maior",iferror(VLOOKUP($R130,Capa!$A:$AJ,AV$5,0),0),IF(ISERROR(1/VLOOKUP($R130,Capa!$A:$AJ,AV$5,0)),0,1/VLOOKUP($R130,Capa!$A:$AJ,AV$5,0))))</f>
        <v/>
      </c>
      <c r="AW130" s="174" t="str">
        <f>IF(AW$6="","",IF(AW$3="Maior",iferror(VLOOKUP($R130,Capa!$A:$AJ,AW$5,0),0),IF(ISERROR(1/VLOOKUP($R130,Capa!$A:$AJ,AW$5,0)),0,1/VLOOKUP($R130,Capa!$A:$AJ,AW$5,0))))</f>
        <v/>
      </c>
      <c r="AX130" s="174" t="str">
        <f>IF(AX$6="","",IF(AX$3="Maior",iferror(VLOOKUP($R130,Capa!$A:$AJ,AX$5,0),0),IF(ISERROR(1/VLOOKUP($R130,Capa!$A:$AJ,AX$5,0)),0,1/VLOOKUP($R130,Capa!$A:$AJ,AX$5,0))))</f>
        <v/>
      </c>
      <c r="AY130" s="174" t="str">
        <f>IF(AY$6="","",IF(AY$3="Maior",iferror(VLOOKUP($R130,Capa!$A:$AJ,AY$5,0),0),IF(ISERROR(1/VLOOKUP($R130,Capa!$A:$AJ,AY$5,0)),0,1/VLOOKUP($R130,Capa!$A:$AJ,AY$5,0))))</f>
        <v/>
      </c>
      <c r="AZ130" s="174" t="str">
        <f>IF(AZ$6="","",IF(AZ$3="Maior",iferror(VLOOKUP($R130,Capa!$A:$AJ,AZ$5,0),0),IF(ISERROR(1/VLOOKUP($R130,Capa!$A:$AJ,AZ$5,0)),0,1/VLOOKUP($R130,Capa!$A:$AJ,AZ$5,0))))</f>
        <v/>
      </c>
      <c r="BA130" s="174" t="str">
        <f>IF(BA$6="","",IF(BA$3="Maior",iferror(VLOOKUP($R130,Capa!$A:$AJ,BA$5,0),0),IF(ISERROR(1/VLOOKUP($R130,Capa!$A:$AJ,BA$5,0)),0,1/VLOOKUP($R130,Capa!$A:$AJ,BA$5,0))))</f>
        <v/>
      </c>
      <c r="BB130" s="174" t="str">
        <f>IF(BB$6="","",IF(BB$3="Maior",iferror(VLOOKUP($R130,Capa!$A:$AJ,BB$5,0),0),IF(ISERROR(1/VLOOKUP($R130,Capa!$A:$AJ,BB$5,0)),0,1/VLOOKUP($R130,Capa!$A:$AJ,BB$5,0))))</f>
        <v/>
      </c>
      <c r="BC130" s="174" t="str">
        <f>IF(BC$6="","",IF(BC$3="Maior",iferror(VLOOKUP($R130,Capa!$A:$AJ,BC$5,0),0),IF(ISERROR(1/VLOOKUP($R130,Capa!$A:$AJ,BC$5,0)),0,1/VLOOKUP($R130,Capa!$A:$AJ,BC$5,0))))</f>
        <v/>
      </c>
      <c r="BD130" s="174" t="str">
        <f>IF(BD$6="","",IF(BD$3="Maior",iferror(VLOOKUP($R130,Capa!$A:$AJ,BD$5,0),0),IF(ISERROR(1/VLOOKUP($R130,Capa!$A:$AJ,BD$5,0)),0,1/VLOOKUP($R130,Capa!$A:$AJ,BD$5,0))))</f>
        <v/>
      </c>
      <c r="BE130" s="174" t="str">
        <f>IF(BE$6="","",IF(BE$3="Maior",iferror(VLOOKUP($R130,Capa!$A:$AJ,BE$5,0),0),IF(ISERROR(1/VLOOKUP($R130,Capa!$A:$AJ,BE$5,0)),0,1/VLOOKUP($R130,Capa!$A:$AJ,BE$5,0))))</f>
        <v/>
      </c>
      <c r="BF130" s="174" t="str">
        <f>IF(BF$6="","",IF(BF$3="Maior",iferror(VLOOKUP($R130,Capa!$A:$AJ,BF$5,0),0),IF(ISERROR(1/VLOOKUP($R130,Capa!$A:$AJ,BF$5,0)),0,1/VLOOKUP($R130,Capa!$A:$AJ,BF$5,0))))</f>
        <v/>
      </c>
      <c r="BG130" s="174" t="str">
        <f>IF(BG$6="","",IF(BG$3="Maior",iferror(VLOOKUP($R130,Capa!$A:$AJ,BG$5,0),0),IF(ISERROR(1/VLOOKUP($R130,Capa!$A:$AJ,BG$5,0)),0,1/VLOOKUP($R130,Capa!$A:$AJ,BG$5,0))))</f>
        <v/>
      </c>
      <c r="BH130" s="174" t="str">
        <f>IF(BH$6="","",IF(BH$3="Maior",iferror(VLOOKUP($R130,Capa!$A:$AJ,BH$5,0),0),IF(ISERROR(1/VLOOKUP($R130,Capa!$A:$AJ,BH$5,0)),0,1/VLOOKUP($R130,Capa!$A:$AJ,BH$5,0))))</f>
        <v/>
      </c>
      <c r="BI130" s="174" t="str">
        <f>IF(BI$6="","",IF(BI$3="Maior",iferror(VLOOKUP($R130,Capa!$A:$AJ,BI$5,0),0),IF(ISERROR(1/VLOOKUP($R130,Capa!$A:$AJ,BI$5,0)),0,1/VLOOKUP($R130,Capa!$A:$AJ,BI$5,0))))</f>
        <v/>
      </c>
      <c r="BJ130" s="174" t="str">
        <f>IF(BJ$6="","",IF(BJ$3="Maior",iferror(VLOOKUP($R130,Capa!$A:$AJ,BJ$5,0),0),IF(ISERROR(1/VLOOKUP($R130,Capa!$A:$AJ,BJ$5,0)),0,1/VLOOKUP($R130,Capa!$A:$AJ,BJ$5,0))))</f>
        <v/>
      </c>
      <c r="BK130" s="174" t="str">
        <f>IF(BK$6="","",IF(BK$3="Maior",iferror(VLOOKUP($R130,Capa!$A:$AJ,BK$5,0),0),IF(ISERROR(1/VLOOKUP($R130,Capa!$A:$AJ,BK$5,0)),0,1/VLOOKUP($R130,Capa!$A:$AJ,BK$5,0))))</f>
        <v/>
      </c>
      <c r="BL130" s="174" t="str">
        <f>IF(BL$6="","",IF(BL$3="Maior",iferror(VLOOKUP($R130,Capa!$A:$AJ,BL$5,0),0),IF(ISERROR(1/VLOOKUP($R130,Capa!$A:$AJ,BL$5,0)),0,1/VLOOKUP($R130,Capa!$A:$AJ,BL$5,0))))</f>
        <v/>
      </c>
      <c r="BM130" s="174" t="str">
        <f>IF(BM$6="","",IF(BM$3="Maior",iferror(VLOOKUP($R130,Capa!$A:$AJ,BM$5,0),0),IF(ISERROR(1/VLOOKUP($R130,Capa!$A:$AJ,BM$5,0)),0,1/VLOOKUP($R130,Capa!$A:$AJ,BM$5,0))))</f>
        <v/>
      </c>
      <c r="BN130" s="174" t="str">
        <f>IF(BN$6="","",IF(BN$3="Maior",iferror(VLOOKUP($R130,Capa!$A:$AJ,BN$5,0),0),IF(ISERROR(1/VLOOKUP($R130,Capa!$A:$AJ,BN$5,0)),0,1/VLOOKUP($R130,Capa!$A:$AJ,BN$5,0))))</f>
        <v/>
      </c>
      <c r="BO130" s="174" t="str">
        <f>IF(BO$6="","",IF(BO$3="Maior",iferror(VLOOKUP($R130,Capa!$A:$AJ,BO$5,0),0),IF(ISERROR(1/VLOOKUP($R130,Capa!$A:$AJ,BO$5,0)),0,1/VLOOKUP($R130,Capa!$A:$AJ,BO$5,0))))</f>
        <v/>
      </c>
      <c r="BP130" s="174" t="str">
        <f>IF(BP$6="","",IF(BP$3="Maior",iferror(VLOOKUP($R130,Capa!$A:$AJ,BP$5,0),0),IF(ISERROR(1/VLOOKUP($R130,Capa!$A:$AJ,BP$5,0)),0,1/VLOOKUP($R130,Capa!$A:$AJ,BP$5,0))))</f>
        <v/>
      </c>
      <c r="BQ130" s="174" t="str">
        <f>IF(BQ$6="","",IF(BQ$3="Maior",iferror(VLOOKUP($R130,Capa!$A:$AJ,BQ$5,0),0),IF(ISERROR(1/VLOOKUP($R130,Capa!$A:$AJ,BQ$5,0)),0,1/VLOOKUP($R130,Capa!$A:$AJ,BQ$5,0))))</f>
        <v/>
      </c>
      <c r="BR130" s="175"/>
      <c r="BS130" s="147"/>
    </row>
    <row r="131">
      <c r="G131" s="11"/>
      <c r="H131" s="8">
        <v>125.0</v>
      </c>
      <c r="I131" s="165" t="str">
        <f t="shared" si="6"/>
        <v>GGBR3</v>
      </c>
      <c r="J131" s="166" t="str">
        <f>(VLOOKUP($I131,Capa!$A:$B,2,0))</f>
        <v>Gerdau SA</v>
      </c>
      <c r="K131" s="167" t="str">
        <f>VLOOKUP(left(I131,4),Setor!A:D,3,0)&amp;" | "&amp;VLOOKUP(left(I131,4),Setor!A:D,4,0)</f>
        <v>Materiais Básicos | Siderurgia e Metalurgia</v>
      </c>
      <c r="L131" s="168">
        <f>(VLOOKUP($I131,Capa!$A:$F,6,0))</f>
        <v>18.46</v>
      </c>
      <c r="M131" s="168">
        <f t="shared" si="7"/>
        <v>1010966</v>
      </c>
      <c r="N131" s="11" t="str">
        <f>IFERROR(__xludf.DUMMYFUNCTION("(VLOOKUP($I131,Capa!$A:$H,7,0))"),"")</f>
        <v/>
      </c>
      <c r="O131" s="169">
        <f>(VLOOKUP($I131,Capa!$A:$H,8,0))</f>
        <v>-0.03854166667</v>
      </c>
      <c r="P131" s="11" t="str">
        <f>IFERROR(__xludf.DUMMYFUNCTION("(VLOOKUP($I131,Capa!$A:$J,10,0))"),"")</f>
        <v/>
      </c>
      <c r="Q131" s="169">
        <f>(VLOOKUP($I131,Capa!$A:$K,11,0))</f>
        <v>0.1848523748</v>
      </c>
      <c r="R131" s="45" t="str">
        <f>'Dados StatusInvest'!A126</f>
        <v>CAMB3</v>
      </c>
      <c r="S131" s="170">
        <f t="shared" si="8"/>
        <v>1351.0351</v>
      </c>
      <c r="T131" s="171">
        <f>VLOOKUP(R131,'Dados StatusInvest'!A:Z,26,0)</f>
        <v>331092.6</v>
      </c>
      <c r="U131" s="172">
        <f t="shared" ref="U131:AS131" si="133">IF(AT131="","", RANK(AT131,AT$7:AT$626,0)+RANK(AT131,AT$7:AT$626,0)/10000)</f>
        <v>247.0247</v>
      </c>
      <c r="V131" s="172">
        <f t="shared" si="133"/>
        <v>104.0104</v>
      </c>
      <c r="W131" s="172" t="str">
        <f t="shared" si="133"/>
        <v/>
      </c>
      <c r="X131" s="172" t="str">
        <f t="shared" si="133"/>
        <v/>
      </c>
      <c r="Y131" s="172" t="str">
        <f t="shared" si="133"/>
        <v/>
      </c>
      <c r="Z131" s="172" t="str">
        <f t="shared" si="133"/>
        <v/>
      </c>
      <c r="AA131" s="172" t="str">
        <f t="shared" si="133"/>
        <v/>
      </c>
      <c r="AB131" s="172" t="str">
        <f t="shared" si="133"/>
        <v/>
      </c>
      <c r="AC131" s="172" t="str">
        <f t="shared" si="133"/>
        <v/>
      </c>
      <c r="AD131" s="172" t="str">
        <f t="shared" si="133"/>
        <v/>
      </c>
      <c r="AE131" s="172" t="str">
        <f t="shared" si="133"/>
        <v/>
      </c>
      <c r="AF131" s="172" t="str">
        <f t="shared" si="133"/>
        <v/>
      </c>
      <c r="AG131" s="172" t="str">
        <f t="shared" si="133"/>
        <v/>
      </c>
      <c r="AH131" s="172" t="str">
        <f t="shared" si="133"/>
        <v/>
      </c>
      <c r="AI131" s="172" t="str">
        <f t="shared" si="133"/>
        <v/>
      </c>
      <c r="AJ131" s="172" t="str">
        <f t="shared" si="133"/>
        <v/>
      </c>
      <c r="AK131" s="172" t="str">
        <f t="shared" si="133"/>
        <v/>
      </c>
      <c r="AL131" s="172" t="str">
        <f t="shared" si="133"/>
        <v/>
      </c>
      <c r="AM131" s="172" t="str">
        <f t="shared" si="133"/>
        <v/>
      </c>
      <c r="AN131" s="172" t="str">
        <f t="shared" si="133"/>
        <v/>
      </c>
      <c r="AO131" s="172" t="str">
        <f t="shared" si="133"/>
        <v/>
      </c>
      <c r="AP131" s="172" t="str">
        <f t="shared" si="133"/>
        <v/>
      </c>
      <c r="AQ131" s="172" t="str">
        <f t="shared" si="133"/>
        <v/>
      </c>
      <c r="AR131" s="172" t="str">
        <f t="shared" si="133"/>
        <v/>
      </c>
      <c r="AS131" s="172" t="str">
        <f t="shared" si="133"/>
        <v/>
      </c>
      <c r="AT131" s="173">
        <f>IF(AT$6="","",IF(AT$3="Maior",iferror(VLOOKUP($R131,Capa!$A:$AJ,AT$5,0),0),IF(ISERROR(1/VLOOKUP($R131,Capa!$A:$AJ,AT$5,0)),0,1/VLOOKUP($R131,Capa!$A:$AJ,AT$5,0))))</f>
        <v>-0.4696489374</v>
      </c>
      <c r="AU131" s="174">
        <f>IF(AU$6="","",IF(AU$3="Maior",iferror(VLOOKUP($R131,Capa!$A:$AJ,AU$5,0),0),IF(ISERROR(1/VLOOKUP($R131,Capa!$A:$AJ,AU$5,0)),0,1/VLOOKUP($R131,Capa!$A:$AJ,AU$5,0))))</f>
        <v>26.72</v>
      </c>
      <c r="AV131" s="174" t="str">
        <f>IF(AV$6="","",IF(AV$3="Maior",iferror(VLOOKUP($R131,Capa!$A:$AJ,AV$5,0),0),IF(ISERROR(1/VLOOKUP($R131,Capa!$A:$AJ,AV$5,0)),0,1/VLOOKUP($R131,Capa!$A:$AJ,AV$5,0))))</f>
        <v/>
      </c>
      <c r="AW131" s="174" t="str">
        <f>IF(AW$6="","",IF(AW$3="Maior",iferror(VLOOKUP($R131,Capa!$A:$AJ,AW$5,0),0),IF(ISERROR(1/VLOOKUP($R131,Capa!$A:$AJ,AW$5,0)),0,1/VLOOKUP($R131,Capa!$A:$AJ,AW$5,0))))</f>
        <v/>
      </c>
      <c r="AX131" s="174" t="str">
        <f>IF(AX$6="","",IF(AX$3="Maior",iferror(VLOOKUP($R131,Capa!$A:$AJ,AX$5,0),0),IF(ISERROR(1/VLOOKUP($R131,Capa!$A:$AJ,AX$5,0)),0,1/VLOOKUP($R131,Capa!$A:$AJ,AX$5,0))))</f>
        <v/>
      </c>
      <c r="AY131" s="174" t="str">
        <f>IF(AY$6="","",IF(AY$3="Maior",iferror(VLOOKUP($R131,Capa!$A:$AJ,AY$5,0),0),IF(ISERROR(1/VLOOKUP($R131,Capa!$A:$AJ,AY$5,0)),0,1/VLOOKUP($R131,Capa!$A:$AJ,AY$5,0))))</f>
        <v/>
      </c>
      <c r="AZ131" s="174" t="str">
        <f>IF(AZ$6="","",IF(AZ$3="Maior",iferror(VLOOKUP($R131,Capa!$A:$AJ,AZ$5,0),0),IF(ISERROR(1/VLOOKUP($R131,Capa!$A:$AJ,AZ$5,0)),0,1/VLOOKUP($R131,Capa!$A:$AJ,AZ$5,0))))</f>
        <v/>
      </c>
      <c r="BA131" s="174" t="str">
        <f>IF(BA$6="","",IF(BA$3="Maior",iferror(VLOOKUP($R131,Capa!$A:$AJ,BA$5,0),0),IF(ISERROR(1/VLOOKUP($R131,Capa!$A:$AJ,BA$5,0)),0,1/VLOOKUP($R131,Capa!$A:$AJ,BA$5,0))))</f>
        <v/>
      </c>
      <c r="BB131" s="174" t="str">
        <f>IF(BB$6="","",IF(BB$3="Maior",iferror(VLOOKUP($R131,Capa!$A:$AJ,BB$5,0),0),IF(ISERROR(1/VLOOKUP($R131,Capa!$A:$AJ,BB$5,0)),0,1/VLOOKUP($R131,Capa!$A:$AJ,BB$5,0))))</f>
        <v/>
      </c>
      <c r="BC131" s="174" t="str">
        <f>IF(BC$6="","",IF(BC$3="Maior",iferror(VLOOKUP($R131,Capa!$A:$AJ,BC$5,0),0),IF(ISERROR(1/VLOOKUP($R131,Capa!$A:$AJ,BC$5,0)),0,1/VLOOKUP($R131,Capa!$A:$AJ,BC$5,0))))</f>
        <v/>
      </c>
      <c r="BD131" s="174" t="str">
        <f>IF(BD$6="","",IF(BD$3="Maior",iferror(VLOOKUP($R131,Capa!$A:$AJ,BD$5,0),0),IF(ISERROR(1/VLOOKUP($R131,Capa!$A:$AJ,BD$5,0)),0,1/VLOOKUP($R131,Capa!$A:$AJ,BD$5,0))))</f>
        <v/>
      </c>
      <c r="BE131" s="174" t="str">
        <f>IF(BE$6="","",IF(BE$3="Maior",iferror(VLOOKUP($R131,Capa!$A:$AJ,BE$5,0),0),IF(ISERROR(1/VLOOKUP($R131,Capa!$A:$AJ,BE$5,0)),0,1/VLOOKUP($R131,Capa!$A:$AJ,BE$5,0))))</f>
        <v/>
      </c>
      <c r="BF131" s="174" t="str">
        <f>IF(BF$6="","",IF(BF$3="Maior",iferror(VLOOKUP($R131,Capa!$A:$AJ,BF$5,0),0),IF(ISERROR(1/VLOOKUP($R131,Capa!$A:$AJ,BF$5,0)),0,1/VLOOKUP($R131,Capa!$A:$AJ,BF$5,0))))</f>
        <v/>
      </c>
      <c r="BG131" s="174" t="str">
        <f>IF(BG$6="","",IF(BG$3="Maior",iferror(VLOOKUP($R131,Capa!$A:$AJ,BG$5,0),0),IF(ISERROR(1/VLOOKUP($R131,Capa!$A:$AJ,BG$5,0)),0,1/VLOOKUP($R131,Capa!$A:$AJ,BG$5,0))))</f>
        <v/>
      </c>
      <c r="BH131" s="174" t="str">
        <f>IF(BH$6="","",IF(BH$3="Maior",iferror(VLOOKUP($R131,Capa!$A:$AJ,BH$5,0),0),IF(ISERROR(1/VLOOKUP($R131,Capa!$A:$AJ,BH$5,0)),0,1/VLOOKUP($R131,Capa!$A:$AJ,BH$5,0))))</f>
        <v/>
      </c>
      <c r="BI131" s="174" t="str">
        <f>IF(BI$6="","",IF(BI$3="Maior",iferror(VLOOKUP($R131,Capa!$A:$AJ,BI$5,0),0),IF(ISERROR(1/VLOOKUP($R131,Capa!$A:$AJ,BI$5,0)),0,1/VLOOKUP($R131,Capa!$A:$AJ,BI$5,0))))</f>
        <v/>
      </c>
      <c r="BJ131" s="174" t="str">
        <f>IF(BJ$6="","",IF(BJ$3="Maior",iferror(VLOOKUP($R131,Capa!$A:$AJ,BJ$5,0),0),IF(ISERROR(1/VLOOKUP($R131,Capa!$A:$AJ,BJ$5,0)),0,1/VLOOKUP($R131,Capa!$A:$AJ,BJ$5,0))))</f>
        <v/>
      </c>
      <c r="BK131" s="174" t="str">
        <f>IF(BK$6="","",IF(BK$3="Maior",iferror(VLOOKUP($R131,Capa!$A:$AJ,BK$5,0),0),IF(ISERROR(1/VLOOKUP($R131,Capa!$A:$AJ,BK$5,0)),0,1/VLOOKUP($R131,Capa!$A:$AJ,BK$5,0))))</f>
        <v/>
      </c>
      <c r="BL131" s="174" t="str">
        <f>IF(BL$6="","",IF(BL$3="Maior",iferror(VLOOKUP($R131,Capa!$A:$AJ,BL$5,0),0),IF(ISERROR(1/VLOOKUP($R131,Capa!$A:$AJ,BL$5,0)),0,1/VLOOKUP($R131,Capa!$A:$AJ,BL$5,0))))</f>
        <v/>
      </c>
      <c r="BM131" s="174" t="str">
        <f>IF(BM$6="","",IF(BM$3="Maior",iferror(VLOOKUP($R131,Capa!$A:$AJ,BM$5,0),0),IF(ISERROR(1/VLOOKUP($R131,Capa!$A:$AJ,BM$5,0)),0,1/VLOOKUP($R131,Capa!$A:$AJ,BM$5,0))))</f>
        <v/>
      </c>
      <c r="BN131" s="174" t="str">
        <f>IF(BN$6="","",IF(BN$3="Maior",iferror(VLOOKUP($R131,Capa!$A:$AJ,BN$5,0),0),IF(ISERROR(1/VLOOKUP($R131,Capa!$A:$AJ,BN$5,0)),0,1/VLOOKUP($R131,Capa!$A:$AJ,BN$5,0))))</f>
        <v/>
      </c>
      <c r="BO131" s="174" t="str">
        <f>IF(BO$6="","",IF(BO$3="Maior",iferror(VLOOKUP($R131,Capa!$A:$AJ,BO$5,0),0),IF(ISERROR(1/VLOOKUP($R131,Capa!$A:$AJ,BO$5,0)),0,1/VLOOKUP($R131,Capa!$A:$AJ,BO$5,0))))</f>
        <v/>
      </c>
      <c r="BP131" s="174" t="str">
        <f>IF(BP$6="","",IF(BP$3="Maior",iferror(VLOOKUP($R131,Capa!$A:$AJ,BP$5,0),0),IF(ISERROR(1/VLOOKUP($R131,Capa!$A:$AJ,BP$5,0)),0,1/VLOOKUP($R131,Capa!$A:$AJ,BP$5,0))))</f>
        <v/>
      </c>
      <c r="BQ131" s="174" t="str">
        <f>IF(BQ$6="","",IF(BQ$3="Maior",iferror(VLOOKUP($R131,Capa!$A:$AJ,BQ$5,0),0),IF(ISERROR(1/VLOOKUP($R131,Capa!$A:$AJ,BQ$5,0)),0,1/VLOOKUP($R131,Capa!$A:$AJ,BQ$5,0))))</f>
        <v/>
      </c>
      <c r="BR131" s="175"/>
      <c r="BS131" s="147"/>
    </row>
    <row r="132">
      <c r="G132" s="11"/>
      <c r="H132" s="8">
        <v>126.0</v>
      </c>
      <c r="I132" s="165" t="str">
        <f t="shared" si="6"/>
        <v>EVEN3</v>
      </c>
      <c r="J132" s="166" t="str">
        <f>(VLOOKUP($I132,Capa!$A:$B,2,0))</f>
        <v>Even Construtora E Incorporadora SA</v>
      </c>
      <c r="K132" s="167" t="str">
        <f>VLOOKUP(left(I132,4),Setor!A:D,3,0)&amp;" | "&amp;VLOOKUP(left(I132,4),Setor!A:D,4,0)</f>
        <v>Consumo Cíclico | Construção Civil</v>
      </c>
      <c r="L132" s="168">
        <f>(VLOOKUP($I132,Capa!$A:$F,6,0))</f>
        <v>8.4</v>
      </c>
      <c r="M132" s="168">
        <f t="shared" si="7"/>
        <v>4954211</v>
      </c>
      <c r="N132" s="11" t="str">
        <f>IFERROR(__xludf.DUMMYFUNCTION("(VLOOKUP($I132,Capa!$A:$H,7,0))"),"")</f>
        <v/>
      </c>
      <c r="O132" s="169">
        <f>(VLOOKUP($I132,Capa!$A:$H,8,0))</f>
        <v>0.1586206897</v>
      </c>
      <c r="P132" s="11" t="str">
        <f>IFERROR(__xludf.DUMMYFUNCTION("(VLOOKUP($I132,Capa!$A:$J,10,0))"),"")</f>
        <v/>
      </c>
      <c r="Q132" s="169">
        <f>(VLOOKUP($I132,Capa!$A:$K,11,0))</f>
        <v>0.4023372287</v>
      </c>
      <c r="R132" s="45" t="str">
        <f>'Dados StatusInvest'!A127</f>
        <v>CAMB4</v>
      </c>
      <c r="S132" s="170">
        <f t="shared" si="8"/>
        <v>1317.0317</v>
      </c>
      <c r="T132" s="171">
        <f>VLOOKUP(R132,'Dados StatusInvest'!A:Z,26,0)</f>
        <v>0</v>
      </c>
      <c r="U132" s="172">
        <f t="shared" ref="U132:AS132" si="134">IF(AT132="","", RANK(AT132,AT$7:AT$626,0)+RANK(AT132,AT$7:AT$626,0)/10000)</f>
        <v>213.0213</v>
      </c>
      <c r="V132" s="172">
        <f t="shared" si="134"/>
        <v>104.0104</v>
      </c>
      <c r="W132" s="172" t="str">
        <f t="shared" si="134"/>
        <v/>
      </c>
      <c r="X132" s="172" t="str">
        <f t="shared" si="134"/>
        <v/>
      </c>
      <c r="Y132" s="172" t="str">
        <f t="shared" si="134"/>
        <v/>
      </c>
      <c r="Z132" s="172" t="str">
        <f t="shared" si="134"/>
        <v/>
      </c>
      <c r="AA132" s="172" t="str">
        <f t="shared" si="134"/>
        <v/>
      </c>
      <c r="AB132" s="172" t="str">
        <f t="shared" si="134"/>
        <v/>
      </c>
      <c r="AC132" s="172" t="str">
        <f t="shared" si="134"/>
        <v/>
      </c>
      <c r="AD132" s="172" t="str">
        <f t="shared" si="134"/>
        <v/>
      </c>
      <c r="AE132" s="172" t="str">
        <f t="shared" si="134"/>
        <v/>
      </c>
      <c r="AF132" s="172" t="str">
        <f t="shared" si="134"/>
        <v/>
      </c>
      <c r="AG132" s="172" t="str">
        <f t="shared" si="134"/>
        <v/>
      </c>
      <c r="AH132" s="172" t="str">
        <f t="shared" si="134"/>
        <v/>
      </c>
      <c r="AI132" s="172" t="str">
        <f t="shared" si="134"/>
        <v/>
      </c>
      <c r="AJ132" s="172" t="str">
        <f t="shared" si="134"/>
        <v/>
      </c>
      <c r="AK132" s="172" t="str">
        <f t="shared" si="134"/>
        <v/>
      </c>
      <c r="AL132" s="172" t="str">
        <f t="shared" si="134"/>
        <v/>
      </c>
      <c r="AM132" s="172" t="str">
        <f t="shared" si="134"/>
        <v/>
      </c>
      <c r="AN132" s="172" t="str">
        <f t="shared" si="134"/>
        <v/>
      </c>
      <c r="AO132" s="172" t="str">
        <f t="shared" si="134"/>
        <v/>
      </c>
      <c r="AP132" s="172" t="str">
        <f t="shared" si="134"/>
        <v/>
      </c>
      <c r="AQ132" s="172" t="str">
        <f t="shared" si="134"/>
        <v/>
      </c>
      <c r="AR132" s="172" t="str">
        <f t="shared" si="134"/>
        <v/>
      </c>
      <c r="AS132" s="172" t="str">
        <f t="shared" si="134"/>
        <v/>
      </c>
      <c r="AT132" s="173">
        <f>IF(AT$6="","",IF(AT$3="Maior",iferror(VLOOKUP($R132,Capa!$A:$AJ,AT$5,0),0),IF(ISERROR(1/VLOOKUP($R132,Capa!$A:$AJ,AT$5,0)),0,1/VLOOKUP($R132,Capa!$A:$AJ,AT$5,0))))</f>
        <v>-0.303030303</v>
      </c>
      <c r="AU132" s="174">
        <f>IF(AU$6="","",IF(AU$3="Maior",iferror(VLOOKUP($R132,Capa!$A:$AJ,AU$5,0),0),IF(ISERROR(1/VLOOKUP($R132,Capa!$A:$AJ,AU$5,0)),0,1/VLOOKUP($R132,Capa!$A:$AJ,AU$5,0))))</f>
        <v>26.72</v>
      </c>
      <c r="AV132" s="174" t="str">
        <f>IF(AV$6="","",IF(AV$3="Maior",iferror(VLOOKUP($R132,Capa!$A:$AJ,AV$5,0),0),IF(ISERROR(1/VLOOKUP($R132,Capa!$A:$AJ,AV$5,0)),0,1/VLOOKUP($R132,Capa!$A:$AJ,AV$5,0))))</f>
        <v/>
      </c>
      <c r="AW132" s="174" t="str">
        <f>IF(AW$6="","",IF(AW$3="Maior",iferror(VLOOKUP($R132,Capa!$A:$AJ,AW$5,0),0),IF(ISERROR(1/VLOOKUP($R132,Capa!$A:$AJ,AW$5,0)),0,1/VLOOKUP($R132,Capa!$A:$AJ,AW$5,0))))</f>
        <v/>
      </c>
      <c r="AX132" s="174" t="str">
        <f>IF(AX$6="","",IF(AX$3="Maior",iferror(VLOOKUP($R132,Capa!$A:$AJ,AX$5,0),0),IF(ISERROR(1/VLOOKUP($R132,Capa!$A:$AJ,AX$5,0)),0,1/VLOOKUP($R132,Capa!$A:$AJ,AX$5,0))))</f>
        <v/>
      </c>
      <c r="AY132" s="174" t="str">
        <f>IF(AY$6="","",IF(AY$3="Maior",iferror(VLOOKUP($R132,Capa!$A:$AJ,AY$5,0),0),IF(ISERROR(1/VLOOKUP($R132,Capa!$A:$AJ,AY$5,0)),0,1/VLOOKUP($R132,Capa!$A:$AJ,AY$5,0))))</f>
        <v/>
      </c>
      <c r="AZ132" s="174" t="str">
        <f>IF(AZ$6="","",IF(AZ$3="Maior",iferror(VLOOKUP($R132,Capa!$A:$AJ,AZ$5,0),0),IF(ISERROR(1/VLOOKUP($R132,Capa!$A:$AJ,AZ$5,0)),0,1/VLOOKUP($R132,Capa!$A:$AJ,AZ$5,0))))</f>
        <v/>
      </c>
      <c r="BA132" s="174" t="str">
        <f>IF(BA$6="","",IF(BA$3="Maior",iferror(VLOOKUP($R132,Capa!$A:$AJ,BA$5,0),0),IF(ISERROR(1/VLOOKUP($R132,Capa!$A:$AJ,BA$5,0)),0,1/VLOOKUP($R132,Capa!$A:$AJ,BA$5,0))))</f>
        <v/>
      </c>
      <c r="BB132" s="174" t="str">
        <f>IF(BB$6="","",IF(BB$3="Maior",iferror(VLOOKUP($R132,Capa!$A:$AJ,BB$5,0),0),IF(ISERROR(1/VLOOKUP($R132,Capa!$A:$AJ,BB$5,0)),0,1/VLOOKUP($R132,Capa!$A:$AJ,BB$5,0))))</f>
        <v/>
      </c>
      <c r="BC132" s="174" t="str">
        <f>IF(BC$6="","",IF(BC$3="Maior",iferror(VLOOKUP($R132,Capa!$A:$AJ,BC$5,0),0),IF(ISERROR(1/VLOOKUP($R132,Capa!$A:$AJ,BC$5,0)),0,1/VLOOKUP($R132,Capa!$A:$AJ,BC$5,0))))</f>
        <v/>
      </c>
      <c r="BD132" s="174" t="str">
        <f>IF(BD$6="","",IF(BD$3="Maior",iferror(VLOOKUP($R132,Capa!$A:$AJ,BD$5,0),0),IF(ISERROR(1/VLOOKUP($R132,Capa!$A:$AJ,BD$5,0)),0,1/VLOOKUP($R132,Capa!$A:$AJ,BD$5,0))))</f>
        <v/>
      </c>
      <c r="BE132" s="174" t="str">
        <f>IF(BE$6="","",IF(BE$3="Maior",iferror(VLOOKUP($R132,Capa!$A:$AJ,BE$5,0),0),IF(ISERROR(1/VLOOKUP($R132,Capa!$A:$AJ,BE$5,0)),0,1/VLOOKUP($R132,Capa!$A:$AJ,BE$5,0))))</f>
        <v/>
      </c>
      <c r="BF132" s="174" t="str">
        <f>IF(BF$6="","",IF(BF$3="Maior",iferror(VLOOKUP($R132,Capa!$A:$AJ,BF$5,0),0),IF(ISERROR(1/VLOOKUP($R132,Capa!$A:$AJ,BF$5,0)),0,1/VLOOKUP($R132,Capa!$A:$AJ,BF$5,0))))</f>
        <v/>
      </c>
      <c r="BG132" s="174" t="str">
        <f>IF(BG$6="","",IF(BG$3="Maior",iferror(VLOOKUP($R132,Capa!$A:$AJ,BG$5,0),0),IF(ISERROR(1/VLOOKUP($R132,Capa!$A:$AJ,BG$5,0)),0,1/VLOOKUP($R132,Capa!$A:$AJ,BG$5,0))))</f>
        <v/>
      </c>
      <c r="BH132" s="174" t="str">
        <f>IF(BH$6="","",IF(BH$3="Maior",iferror(VLOOKUP($R132,Capa!$A:$AJ,BH$5,0),0),IF(ISERROR(1/VLOOKUP($R132,Capa!$A:$AJ,BH$5,0)),0,1/VLOOKUP($R132,Capa!$A:$AJ,BH$5,0))))</f>
        <v/>
      </c>
      <c r="BI132" s="174" t="str">
        <f>IF(BI$6="","",IF(BI$3="Maior",iferror(VLOOKUP($R132,Capa!$A:$AJ,BI$5,0),0),IF(ISERROR(1/VLOOKUP($R132,Capa!$A:$AJ,BI$5,0)),0,1/VLOOKUP($R132,Capa!$A:$AJ,BI$5,0))))</f>
        <v/>
      </c>
      <c r="BJ132" s="174" t="str">
        <f>IF(BJ$6="","",IF(BJ$3="Maior",iferror(VLOOKUP($R132,Capa!$A:$AJ,BJ$5,0),0),IF(ISERROR(1/VLOOKUP($R132,Capa!$A:$AJ,BJ$5,0)),0,1/VLOOKUP($R132,Capa!$A:$AJ,BJ$5,0))))</f>
        <v/>
      </c>
      <c r="BK132" s="174" t="str">
        <f>IF(BK$6="","",IF(BK$3="Maior",iferror(VLOOKUP($R132,Capa!$A:$AJ,BK$5,0),0),IF(ISERROR(1/VLOOKUP($R132,Capa!$A:$AJ,BK$5,0)),0,1/VLOOKUP($R132,Capa!$A:$AJ,BK$5,0))))</f>
        <v/>
      </c>
      <c r="BL132" s="174" t="str">
        <f>IF(BL$6="","",IF(BL$3="Maior",iferror(VLOOKUP($R132,Capa!$A:$AJ,BL$5,0),0),IF(ISERROR(1/VLOOKUP($R132,Capa!$A:$AJ,BL$5,0)),0,1/VLOOKUP($R132,Capa!$A:$AJ,BL$5,0))))</f>
        <v/>
      </c>
      <c r="BM132" s="174" t="str">
        <f>IF(BM$6="","",IF(BM$3="Maior",iferror(VLOOKUP($R132,Capa!$A:$AJ,BM$5,0),0),IF(ISERROR(1/VLOOKUP($R132,Capa!$A:$AJ,BM$5,0)),0,1/VLOOKUP($R132,Capa!$A:$AJ,BM$5,0))))</f>
        <v/>
      </c>
      <c r="BN132" s="174" t="str">
        <f>IF(BN$6="","",IF(BN$3="Maior",iferror(VLOOKUP($R132,Capa!$A:$AJ,BN$5,0),0),IF(ISERROR(1/VLOOKUP($R132,Capa!$A:$AJ,BN$5,0)),0,1/VLOOKUP($R132,Capa!$A:$AJ,BN$5,0))))</f>
        <v/>
      </c>
      <c r="BO132" s="174" t="str">
        <f>IF(BO$6="","",IF(BO$3="Maior",iferror(VLOOKUP($R132,Capa!$A:$AJ,BO$5,0),0),IF(ISERROR(1/VLOOKUP($R132,Capa!$A:$AJ,BO$5,0)),0,1/VLOOKUP($R132,Capa!$A:$AJ,BO$5,0))))</f>
        <v/>
      </c>
      <c r="BP132" s="174" t="str">
        <f>IF(BP$6="","",IF(BP$3="Maior",iferror(VLOOKUP($R132,Capa!$A:$AJ,BP$5,0),0),IF(ISERROR(1/VLOOKUP($R132,Capa!$A:$AJ,BP$5,0)),0,1/VLOOKUP($R132,Capa!$A:$AJ,BP$5,0))))</f>
        <v/>
      </c>
      <c r="BQ132" s="174" t="str">
        <f>IF(BQ$6="","",IF(BQ$3="Maior",iferror(VLOOKUP($R132,Capa!$A:$AJ,BQ$5,0),0),IF(ISERROR(1/VLOOKUP($R132,Capa!$A:$AJ,BQ$5,0)),0,1/VLOOKUP($R132,Capa!$A:$AJ,BQ$5,0))))</f>
        <v/>
      </c>
      <c r="BR132" s="175"/>
      <c r="BS132" s="147"/>
    </row>
    <row r="133">
      <c r="G133" s="11"/>
      <c r="H133" s="8">
        <v>127.0</v>
      </c>
      <c r="I133" s="165" t="str">
        <f t="shared" si="6"/>
        <v>BMEB4</v>
      </c>
      <c r="J133" s="166" t="str">
        <f>(VLOOKUP($I133,Capa!$A:$B,2,0))</f>
        <v>Banco Mercantil do Brasil SA Preference Shares</v>
      </c>
      <c r="K133" s="167" t="str">
        <f>VLOOKUP(left(I133,4),Setor!A:D,3,0)&amp;" | "&amp;VLOOKUP(left(I133,4),Setor!A:D,4,0)</f>
        <v>Financeiro | Intermediários Financeiros</v>
      </c>
      <c r="L133" s="168">
        <f>(VLOOKUP($I133,Capa!$A:$F,6,0))</f>
        <v>69.49</v>
      </c>
      <c r="M133" s="168">
        <f t="shared" si="7"/>
        <v>2506846</v>
      </c>
      <c r="N133" s="11" t="str">
        <f>IFERROR(__xludf.DUMMYFUNCTION("(VLOOKUP($I133,Capa!$A:$H,7,0))"),"")</f>
        <v/>
      </c>
      <c r="O133" s="169">
        <f>(VLOOKUP($I133,Capa!$A:$H,8,0))</f>
        <v>0.2108381251</v>
      </c>
      <c r="P133" s="11" t="str">
        <f>IFERROR(__xludf.DUMMYFUNCTION("(VLOOKUP($I133,Capa!$A:$J,10,0))"),"")</f>
        <v/>
      </c>
      <c r="Q133" s="169">
        <f>(VLOOKUP($I133,Capa!$A:$K,11,0))</f>
        <v>0.8049350649</v>
      </c>
      <c r="R133" s="45" t="str">
        <f>'Dados StatusInvest'!A128</f>
        <v>CAML3</v>
      </c>
      <c r="S133" s="170">
        <f t="shared" si="8"/>
        <v>991.0991</v>
      </c>
      <c r="T133" s="171">
        <f>VLOOKUP(R133,'Dados StatusInvest'!A:Z,26,0)</f>
        <v>9848453</v>
      </c>
      <c r="U133" s="172">
        <f t="shared" ref="U133:AS133" si="135">IF(AT133="","", RANK(AT133,AT$7:AT$626,0)+RANK(AT133,AT$7:AT$626,0)/10000)</f>
        <v>455.0455</v>
      </c>
      <c r="V133" s="172">
        <f t="shared" si="135"/>
        <v>536.0536</v>
      </c>
      <c r="W133" s="172" t="str">
        <f t="shared" si="135"/>
        <v/>
      </c>
      <c r="X133" s="172" t="str">
        <f t="shared" si="135"/>
        <v/>
      </c>
      <c r="Y133" s="172" t="str">
        <f t="shared" si="135"/>
        <v/>
      </c>
      <c r="Z133" s="172" t="str">
        <f t="shared" si="135"/>
        <v/>
      </c>
      <c r="AA133" s="172" t="str">
        <f t="shared" si="135"/>
        <v/>
      </c>
      <c r="AB133" s="172" t="str">
        <f t="shared" si="135"/>
        <v/>
      </c>
      <c r="AC133" s="172" t="str">
        <f t="shared" si="135"/>
        <v/>
      </c>
      <c r="AD133" s="172" t="str">
        <f t="shared" si="135"/>
        <v/>
      </c>
      <c r="AE133" s="172" t="str">
        <f t="shared" si="135"/>
        <v/>
      </c>
      <c r="AF133" s="172" t="str">
        <f t="shared" si="135"/>
        <v/>
      </c>
      <c r="AG133" s="172" t="str">
        <f t="shared" si="135"/>
        <v/>
      </c>
      <c r="AH133" s="172" t="str">
        <f t="shared" si="135"/>
        <v/>
      </c>
      <c r="AI133" s="172" t="str">
        <f t="shared" si="135"/>
        <v/>
      </c>
      <c r="AJ133" s="172" t="str">
        <f t="shared" si="135"/>
        <v/>
      </c>
      <c r="AK133" s="172" t="str">
        <f t="shared" si="135"/>
        <v/>
      </c>
      <c r="AL133" s="172" t="str">
        <f t="shared" si="135"/>
        <v/>
      </c>
      <c r="AM133" s="172" t="str">
        <f t="shared" si="135"/>
        <v/>
      </c>
      <c r="AN133" s="172" t="str">
        <f t="shared" si="135"/>
        <v/>
      </c>
      <c r="AO133" s="172" t="str">
        <f t="shared" si="135"/>
        <v/>
      </c>
      <c r="AP133" s="172" t="str">
        <f t="shared" si="135"/>
        <v/>
      </c>
      <c r="AQ133" s="172" t="str">
        <f t="shared" si="135"/>
        <v/>
      </c>
      <c r="AR133" s="172" t="str">
        <f t="shared" si="135"/>
        <v/>
      </c>
      <c r="AS133" s="172" t="str">
        <f t="shared" si="135"/>
        <v/>
      </c>
      <c r="AT133" s="173">
        <f>IF(AT$6="","",IF(AT$3="Maior",iferror(VLOOKUP($R133,Capa!$A:$AJ,AT$5,0),0),IF(ISERROR(1/VLOOKUP($R133,Capa!$A:$AJ,AT$5,0)),0,1/VLOOKUP($R133,Capa!$A:$AJ,AT$5,0))))</f>
        <v>-2.162179632</v>
      </c>
      <c r="AU133" s="174">
        <f>IF(AU$6="","",IF(AU$3="Maior",iferror(VLOOKUP($R133,Capa!$A:$AJ,AU$5,0),0),IF(ISERROR(1/VLOOKUP($R133,Capa!$A:$AJ,AU$5,0)),0,1/VLOOKUP($R133,Capa!$A:$AJ,AU$5,0))))</f>
        <v>-0.57</v>
      </c>
      <c r="AV133" s="174" t="str">
        <f>IF(AV$6="","",IF(AV$3="Maior",iferror(VLOOKUP($R133,Capa!$A:$AJ,AV$5,0),0),IF(ISERROR(1/VLOOKUP($R133,Capa!$A:$AJ,AV$5,0)),0,1/VLOOKUP($R133,Capa!$A:$AJ,AV$5,0))))</f>
        <v/>
      </c>
      <c r="AW133" s="174" t="str">
        <f>IF(AW$6="","",IF(AW$3="Maior",iferror(VLOOKUP($R133,Capa!$A:$AJ,AW$5,0),0),IF(ISERROR(1/VLOOKUP($R133,Capa!$A:$AJ,AW$5,0)),0,1/VLOOKUP($R133,Capa!$A:$AJ,AW$5,0))))</f>
        <v/>
      </c>
      <c r="AX133" s="174" t="str">
        <f>IF(AX$6="","",IF(AX$3="Maior",iferror(VLOOKUP($R133,Capa!$A:$AJ,AX$5,0),0),IF(ISERROR(1/VLOOKUP($R133,Capa!$A:$AJ,AX$5,0)),0,1/VLOOKUP($R133,Capa!$A:$AJ,AX$5,0))))</f>
        <v/>
      </c>
      <c r="AY133" s="174" t="str">
        <f>IF(AY$6="","",IF(AY$3="Maior",iferror(VLOOKUP($R133,Capa!$A:$AJ,AY$5,0),0),IF(ISERROR(1/VLOOKUP($R133,Capa!$A:$AJ,AY$5,0)),0,1/VLOOKUP($R133,Capa!$A:$AJ,AY$5,0))))</f>
        <v/>
      </c>
      <c r="AZ133" s="174" t="str">
        <f>IF(AZ$6="","",IF(AZ$3="Maior",iferror(VLOOKUP($R133,Capa!$A:$AJ,AZ$5,0),0),IF(ISERROR(1/VLOOKUP($R133,Capa!$A:$AJ,AZ$5,0)),0,1/VLOOKUP($R133,Capa!$A:$AJ,AZ$5,0))))</f>
        <v/>
      </c>
      <c r="BA133" s="174" t="str">
        <f>IF(BA$6="","",IF(BA$3="Maior",iferror(VLOOKUP($R133,Capa!$A:$AJ,BA$5,0),0),IF(ISERROR(1/VLOOKUP($R133,Capa!$A:$AJ,BA$5,0)),0,1/VLOOKUP($R133,Capa!$A:$AJ,BA$5,0))))</f>
        <v/>
      </c>
      <c r="BB133" s="174" t="str">
        <f>IF(BB$6="","",IF(BB$3="Maior",iferror(VLOOKUP($R133,Capa!$A:$AJ,BB$5,0),0),IF(ISERROR(1/VLOOKUP($R133,Capa!$A:$AJ,BB$5,0)),0,1/VLOOKUP($R133,Capa!$A:$AJ,BB$5,0))))</f>
        <v/>
      </c>
      <c r="BC133" s="174" t="str">
        <f>IF(BC$6="","",IF(BC$3="Maior",iferror(VLOOKUP($R133,Capa!$A:$AJ,BC$5,0),0),IF(ISERROR(1/VLOOKUP($R133,Capa!$A:$AJ,BC$5,0)),0,1/VLOOKUP($R133,Capa!$A:$AJ,BC$5,0))))</f>
        <v/>
      </c>
      <c r="BD133" s="174" t="str">
        <f>IF(BD$6="","",IF(BD$3="Maior",iferror(VLOOKUP($R133,Capa!$A:$AJ,BD$5,0),0),IF(ISERROR(1/VLOOKUP($R133,Capa!$A:$AJ,BD$5,0)),0,1/VLOOKUP($R133,Capa!$A:$AJ,BD$5,0))))</f>
        <v/>
      </c>
      <c r="BE133" s="174" t="str">
        <f>IF(BE$6="","",IF(BE$3="Maior",iferror(VLOOKUP($R133,Capa!$A:$AJ,BE$5,0),0),IF(ISERROR(1/VLOOKUP($R133,Capa!$A:$AJ,BE$5,0)),0,1/VLOOKUP($R133,Capa!$A:$AJ,BE$5,0))))</f>
        <v/>
      </c>
      <c r="BF133" s="174" t="str">
        <f>IF(BF$6="","",IF(BF$3="Maior",iferror(VLOOKUP($R133,Capa!$A:$AJ,BF$5,0),0),IF(ISERROR(1/VLOOKUP($R133,Capa!$A:$AJ,BF$5,0)),0,1/VLOOKUP($R133,Capa!$A:$AJ,BF$5,0))))</f>
        <v/>
      </c>
      <c r="BG133" s="174" t="str">
        <f>IF(BG$6="","",IF(BG$3="Maior",iferror(VLOOKUP($R133,Capa!$A:$AJ,BG$5,0),0),IF(ISERROR(1/VLOOKUP($R133,Capa!$A:$AJ,BG$5,0)),0,1/VLOOKUP($R133,Capa!$A:$AJ,BG$5,0))))</f>
        <v/>
      </c>
      <c r="BH133" s="174" t="str">
        <f>IF(BH$6="","",IF(BH$3="Maior",iferror(VLOOKUP($R133,Capa!$A:$AJ,BH$5,0),0),IF(ISERROR(1/VLOOKUP($R133,Capa!$A:$AJ,BH$5,0)),0,1/VLOOKUP($R133,Capa!$A:$AJ,BH$5,0))))</f>
        <v/>
      </c>
      <c r="BI133" s="174" t="str">
        <f>IF(BI$6="","",IF(BI$3="Maior",iferror(VLOOKUP($R133,Capa!$A:$AJ,BI$5,0),0),IF(ISERROR(1/VLOOKUP($R133,Capa!$A:$AJ,BI$5,0)),0,1/VLOOKUP($R133,Capa!$A:$AJ,BI$5,0))))</f>
        <v/>
      </c>
      <c r="BJ133" s="174" t="str">
        <f>IF(BJ$6="","",IF(BJ$3="Maior",iferror(VLOOKUP($R133,Capa!$A:$AJ,BJ$5,0),0),IF(ISERROR(1/VLOOKUP($R133,Capa!$A:$AJ,BJ$5,0)),0,1/VLOOKUP($R133,Capa!$A:$AJ,BJ$5,0))))</f>
        <v/>
      </c>
      <c r="BK133" s="174" t="str">
        <f>IF(BK$6="","",IF(BK$3="Maior",iferror(VLOOKUP($R133,Capa!$A:$AJ,BK$5,0),0),IF(ISERROR(1/VLOOKUP($R133,Capa!$A:$AJ,BK$5,0)),0,1/VLOOKUP($R133,Capa!$A:$AJ,BK$5,0))))</f>
        <v/>
      </c>
      <c r="BL133" s="174" t="str">
        <f>IF(BL$6="","",IF(BL$3="Maior",iferror(VLOOKUP($R133,Capa!$A:$AJ,BL$5,0),0),IF(ISERROR(1/VLOOKUP($R133,Capa!$A:$AJ,BL$5,0)),0,1/VLOOKUP($R133,Capa!$A:$AJ,BL$5,0))))</f>
        <v/>
      </c>
      <c r="BM133" s="174" t="str">
        <f>IF(BM$6="","",IF(BM$3="Maior",iferror(VLOOKUP($R133,Capa!$A:$AJ,BM$5,0),0),IF(ISERROR(1/VLOOKUP($R133,Capa!$A:$AJ,BM$5,0)),0,1/VLOOKUP($R133,Capa!$A:$AJ,BM$5,0))))</f>
        <v/>
      </c>
      <c r="BN133" s="174" t="str">
        <f>IF(BN$6="","",IF(BN$3="Maior",iferror(VLOOKUP($R133,Capa!$A:$AJ,BN$5,0),0),IF(ISERROR(1/VLOOKUP($R133,Capa!$A:$AJ,BN$5,0)),0,1/VLOOKUP($R133,Capa!$A:$AJ,BN$5,0))))</f>
        <v/>
      </c>
      <c r="BO133" s="174" t="str">
        <f>IF(BO$6="","",IF(BO$3="Maior",iferror(VLOOKUP($R133,Capa!$A:$AJ,BO$5,0),0),IF(ISERROR(1/VLOOKUP($R133,Capa!$A:$AJ,BO$5,0)),0,1/VLOOKUP($R133,Capa!$A:$AJ,BO$5,0))))</f>
        <v/>
      </c>
      <c r="BP133" s="174" t="str">
        <f>IF(BP$6="","",IF(BP$3="Maior",iferror(VLOOKUP($R133,Capa!$A:$AJ,BP$5,0),0),IF(ISERROR(1/VLOOKUP($R133,Capa!$A:$AJ,BP$5,0)),0,1/VLOOKUP($R133,Capa!$A:$AJ,BP$5,0))))</f>
        <v/>
      </c>
      <c r="BQ133" s="174" t="str">
        <f>IF(BQ$6="","",IF(BQ$3="Maior",iferror(VLOOKUP($R133,Capa!$A:$AJ,BQ$5,0),0),IF(ISERROR(1/VLOOKUP($R133,Capa!$A:$AJ,BQ$5,0)),0,1/VLOOKUP($R133,Capa!$A:$AJ,BQ$5,0))))</f>
        <v/>
      </c>
      <c r="BR133" s="175"/>
      <c r="BS133" s="147"/>
    </row>
    <row r="134">
      <c r="G134" s="11"/>
      <c r="H134" s="8">
        <v>128.0</v>
      </c>
      <c r="I134" s="165" t="str">
        <f t="shared" si="6"/>
        <v>KLBN11</v>
      </c>
      <c r="J134" s="166" t="str">
        <f>(VLOOKUP($I134,Capa!$A:$B,2,0))</f>
        <v>Klabin SA Unit</v>
      </c>
      <c r="K134" s="167" t="str">
        <f>VLOOKUP(left(I134,4),Setor!A:D,3,0)&amp;" | "&amp;VLOOKUP(left(I134,4),Setor!A:D,4,0)</f>
        <v>Materiais Básicos | Madeira e Papel</v>
      </c>
      <c r="L134" s="168">
        <f>(VLOOKUP($I134,Capa!$A:$F,6,0))</f>
        <v>19.82</v>
      </c>
      <c r="M134" s="168">
        <f t="shared" si="7"/>
        <v>139000000</v>
      </c>
      <c r="N134" s="11" t="str">
        <f>IFERROR(__xludf.DUMMYFUNCTION("(VLOOKUP($I134,Capa!$A:$H,7,0))"),"")</f>
        <v/>
      </c>
      <c r="O134" s="169">
        <f>(VLOOKUP($I134,Capa!$A:$H,8,0))</f>
        <v>0.04480759093</v>
      </c>
      <c r="P134" s="11" t="str">
        <f>IFERROR(__xludf.DUMMYFUNCTION("(VLOOKUP($I134,Capa!$A:$J,10,0))"),"")</f>
        <v/>
      </c>
      <c r="Q134" s="169">
        <f>(VLOOKUP($I134,Capa!$A:$K,11,0))</f>
        <v>-0.04343629344</v>
      </c>
      <c r="R134" s="45" t="str">
        <f>'Dados StatusInvest'!A129</f>
        <v>CASH3</v>
      </c>
      <c r="S134" s="170">
        <f t="shared" si="8"/>
        <v>463.0463</v>
      </c>
      <c r="T134" s="171">
        <f>VLOOKUP(R134,'Dados StatusInvest'!A:Z,26,0)</f>
        <v>6702314</v>
      </c>
      <c r="U134" s="172">
        <f t="shared" ref="U134:AS134" si="136">IF(AT134="","", RANK(AT134,AT$7:AT$626,0)+RANK(AT134,AT$7:AT$626,0)/10000)</f>
        <v>375.0375</v>
      </c>
      <c r="V134" s="172">
        <f t="shared" si="136"/>
        <v>88.0088</v>
      </c>
      <c r="W134" s="172" t="str">
        <f t="shared" si="136"/>
        <v/>
      </c>
      <c r="X134" s="172" t="str">
        <f t="shared" si="136"/>
        <v/>
      </c>
      <c r="Y134" s="172" t="str">
        <f t="shared" si="136"/>
        <v/>
      </c>
      <c r="Z134" s="172" t="str">
        <f t="shared" si="136"/>
        <v/>
      </c>
      <c r="AA134" s="172" t="str">
        <f t="shared" si="136"/>
        <v/>
      </c>
      <c r="AB134" s="172" t="str">
        <f t="shared" si="136"/>
        <v/>
      </c>
      <c r="AC134" s="172" t="str">
        <f t="shared" si="136"/>
        <v/>
      </c>
      <c r="AD134" s="172" t="str">
        <f t="shared" si="136"/>
        <v/>
      </c>
      <c r="AE134" s="172" t="str">
        <f t="shared" si="136"/>
        <v/>
      </c>
      <c r="AF134" s="172" t="str">
        <f t="shared" si="136"/>
        <v/>
      </c>
      <c r="AG134" s="172" t="str">
        <f t="shared" si="136"/>
        <v/>
      </c>
      <c r="AH134" s="172" t="str">
        <f t="shared" si="136"/>
        <v/>
      </c>
      <c r="AI134" s="172" t="str">
        <f t="shared" si="136"/>
        <v/>
      </c>
      <c r="AJ134" s="172" t="str">
        <f t="shared" si="136"/>
        <v/>
      </c>
      <c r="AK134" s="172" t="str">
        <f t="shared" si="136"/>
        <v/>
      </c>
      <c r="AL134" s="172" t="str">
        <f t="shared" si="136"/>
        <v/>
      </c>
      <c r="AM134" s="172" t="str">
        <f t="shared" si="136"/>
        <v/>
      </c>
      <c r="AN134" s="172" t="str">
        <f t="shared" si="136"/>
        <v/>
      </c>
      <c r="AO134" s="172" t="str">
        <f t="shared" si="136"/>
        <v/>
      </c>
      <c r="AP134" s="172" t="str">
        <f t="shared" si="136"/>
        <v/>
      </c>
      <c r="AQ134" s="172" t="str">
        <f t="shared" si="136"/>
        <v/>
      </c>
      <c r="AR134" s="172" t="str">
        <f t="shared" si="136"/>
        <v/>
      </c>
      <c r="AS134" s="172" t="str">
        <f t="shared" si="136"/>
        <v/>
      </c>
      <c r="AT134" s="173">
        <f>IF(AT$6="","",IF(AT$3="Maior",iferror(VLOOKUP($R134,Capa!$A:$AJ,AT$5,0),0),IF(ISERROR(1/VLOOKUP($R134,Capa!$A:$AJ,AT$5,0)),0,1/VLOOKUP($R134,Capa!$A:$AJ,AT$5,0))))</f>
        <v>-1.160812569</v>
      </c>
      <c r="AU134" s="174">
        <f>IF(AU$6="","",IF(AU$3="Maior",iferror(VLOOKUP($R134,Capa!$A:$AJ,AU$5,0),0),IF(ISERROR(1/VLOOKUP($R134,Capa!$A:$AJ,AU$5,0)),0,1/VLOOKUP($R134,Capa!$A:$AJ,AU$5,0))))</f>
        <v>29.42</v>
      </c>
      <c r="AV134" s="174" t="str">
        <f>IF(AV$6="","",IF(AV$3="Maior",iferror(VLOOKUP($R134,Capa!$A:$AJ,AV$5,0),0),IF(ISERROR(1/VLOOKUP($R134,Capa!$A:$AJ,AV$5,0)),0,1/VLOOKUP($R134,Capa!$A:$AJ,AV$5,0))))</f>
        <v/>
      </c>
      <c r="AW134" s="174" t="str">
        <f>IF(AW$6="","",IF(AW$3="Maior",iferror(VLOOKUP($R134,Capa!$A:$AJ,AW$5,0),0),IF(ISERROR(1/VLOOKUP($R134,Capa!$A:$AJ,AW$5,0)),0,1/VLOOKUP($R134,Capa!$A:$AJ,AW$5,0))))</f>
        <v/>
      </c>
      <c r="AX134" s="174" t="str">
        <f>IF(AX$6="","",IF(AX$3="Maior",iferror(VLOOKUP($R134,Capa!$A:$AJ,AX$5,0),0),IF(ISERROR(1/VLOOKUP($R134,Capa!$A:$AJ,AX$5,0)),0,1/VLOOKUP($R134,Capa!$A:$AJ,AX$5,0))))</f>
        <v/>
      </c>
      <c r="AY134" s="174" t="str">
        <f>IF(AY$6="","",IF(AY$3="Maior",iferror(VLOOKUP($R134,Capa!$A:$AJ,AY$5,0),0),IF(ISERROR(1/VLOOKUP($R134,Capa!$A:$AJ,AY$5,0)),0,1/VLOOKUP($R134,Capa!$A:$AJ,AY$5,0))))</f>
        <v/>
      </c>
      <c r="AZ134" s="174" t="str">
        <f>IF(AZ$6="","",IF(AZ$3="Maior",iferror(VLOOKUP($R134,Capa!$A:$AJ,AZ$5,0),0),IF(ISERROR(1/VLOOKUP($R134,Capa!$A:$AJ,AZ$5,0)),0,1/VLOOKUP($R134,Capa!$A:$AJ,AZ$5,0))))</f>
        <v/>
      </c>
      <c r="BA134" s="174" t="str">
        <f>IF(BA$6="","",IF(BA$3="Maior",iferror(VLOOKUP($R134,Capa!$A:$AJ,BA$5,0),0),IF(ISERROR(1/VLOOKUP($R134,Capa!$A:$AJ,BA$5,0)),0,1/VLOOKUP($R134,Capa!$A:$AJ,BA$5,0))))</f>
        <v/>
      </c>
      <c r="BB134" s="174" t="str">
        <f>IF(BB$6="","",IF(BB$3="Maior",iferror(VLOOKUP($R134,Capa!$A:$AJ,BB$5,0),0),IF(ISERROR(1/VLOOKUP($R134,Capa!$A:$AJ,BB$5,0)),0,1/VLOOKUP($R134,Capa!$A:$AJ,BB$5,0))))</f>
        <v/>
      </c>
      <c r="BC134" s="174" t="str">
        <f>IF(BC$6="","",IF(BC$3="Maior",iferror(VLOOKUP($R134,Capa!$A:$AJ,BC$5,0),0),IF(ISERROR(1/VLOOKUP($R134,Capa!$A:$AJ,BC$5,0)),0,1/VLOOKUP($R134,Capa!$A:$AJ,BC$5,0))))</f>
        <v/>
      </c>
      <c r="BD134" s="174" t="str">
        <f>IF(BD$6="","",IF(BD$3="Maior",iferror(VLOOKUP($R134,Capa!$A:$AJ,BD$5,0),0),IF(ISERROR(1/VLOOKUP($R134,Capa!$A:$AJ,BD$5,0)),0,1/VLOOKUP($R134,Capa!$A:$AJ,BD$5,0))))</f>
        <v/>
      </c>
      <c r="BE134" s="174" t="str">
        <f>IF(BE$6="","",IF(BE$3="Maior",iferror(VLOOKUP($R134,Capa!$A:$AJ,BE$5,0),0),IF(ISERROR(1/VLOOKUP($R134,Capa!$A:$AJ,BE$5,0)),0,1/VLOOKUP($R134,Capa!$A:$AJ,BE$5,0))))</f>
        <v/>
      </c>
      <c r="BF134" s="174" t="str">
        <f>IF(BF$6="","",IF(BF$3="Maior",iferror(VLOOKUP($R134,Capa!$A:$AJ,BF$5,0),0),IF(ISERROR(1/VLOOKUP($R134,Capa!$A:$AJ,BF$5,0)),0,1/VLOOKUP($R134,Capa!$A:$AJ,BF$5,0))))</f>
        <v/>
      </c>
      <c r="BG134" s="174" t="str">
        <f>IF(BG$6="","",IF(BG$3="Maior",iferror(VLOOKUP($R134,Capa!$A:$AJ,BG$5,0),0),IF(ISERROR(1/VLOOKUP($R134,Capa!$A:$AJ,BG$5,0)),0,1/VLOOKUP($R134,Capa!$A:$AJ,BG$5,0))))</f>
        <v/>
      </c>
      <c r="BH134" s="174" t="str">
        <f>IF(BH$6="","",IF(BH$3="Maior",iferror(VLOOKUP($R134,Capa!$A:$AJ,BH$5,0),0),IF(ISERROR(1/VLOOKUP($R134,Capa!$A:$AJ,BH$5,0)),0,1/VLOOKUP($R134,Capa!$A:$AJ,BH$5,0))))</f>
        <v/>
      </c>
      <c r="BI134" s="174" t="str">
        <f>IF(BI$6="","",IF(BI$3="Maior",iferror(VLOOKUP($R134,Capa!$A:$AJ,BI$5,0),0),IF(ISERROR(1/VLOOKUP($R134,Capa!$A:$AJ,BI$5,0)),0,1/VLOOKUP($R134,Capa!$A:$AJ,BI$5,0))))</f>
        <v/>
      </c>
      <c r="BJ134" s="174" t="str">
        <f>IF(BJ$6="","",IF(BJ$3="Maior",iferror(VLOOKUP($R134,Capa!$A:$AJ,BJ$5,0),0),IF(ISERROR(1/VLOOKUP($R134,Capa!$A:$AJ,BJ$5,0)),0,1/VLOOKUP($R134,Capa!$A:$AJ,BJ$5,0))))</f>
        <v/>
      </c>
      <c r="BK134" s="174" t="str">
        <f>IF(BK$6="","",IF(BK$3="Maior",iferror(VLOOKUP($R134,Capa!$A:$AJ,BK$5,0),0),IF(ISERROR(1/VLOOKUP($R134,Capa!$A:$AJ,BK$5,0)),0,1/VLOOKUP($R134,Capa!$A:$AJ,BK$5,0))))</f>
        <v/>
      </c>
      <c r="BL134" s="174" t="str">
        <f>IF(BL$6="","",IF(BL$3="Maior",iferror(VLOOKUP($R134,Capa!$A:$AJ,BL$5,0),0),IF(ISERROR(1/VLOOKUP($R134,Capa!$A:$AJ,BL$5,0)),0,1/VLOOKUP($R134,Capa!$A:$AJ,BL$5,0))))</f>
        <v/>
      </c>
      <c r="BM134" s="174" t="str">
        <f>IF(BM$6="","",IF(BM$3="Maior",iferror(VLOOKUP($R134,Capa!$A:$AJ,BM$5,0),0),IF(ISERROR(1/VLOOKUP($R134,Capa!$A:$AJ,BM$5,0)),0,1/VLOOKUP($R134,Capa!$A:$AJ,BM$5,0))))</f>
        <v/>
      </c>
      <c r="BN134" s="174" t="str">
        <f>IF(BN$6="","",IF(BN$3="Maior",iferror(VLOOKUP($R134,Capa!$A:$AJ,BN$5,0),0),IF(ISERROR(1/VLOOKUP($R134,Capa!$A:$AJ,BN$5,0)),0,1/VLOOKUP($R134,Capa!$A:$AJ,BN$5,0))))</f>
        <v/>
      </c>
      <c r="BO134" s="174" t="str">
        <f>IF(BO$6="","",IF(BO$3="Maior",iferror(VLOOKUP($R134,Capa!$A:$AJ,BO$5,0),0),IF(ISERROR(1/VLOOKUP($R134,Capa!$A:$AJ,BO$5,0)),0,1/VLOOKUP($R134,Capa!$A:$AJ,BO$5,0))))</f>
        <v/>
      </c>
      <c r="BP134" s="174" t="str">
        <f>IF(BP$6="","",IF(BP$3="Maior",iferror(VLOOKUP($R134,Capa!$A:$AJ,BP$5,0),0),IF(ISERROR(1/VLOOKUP($R134,Capa!$A:$AJ,BP$5,0)),0,1/VLOOKUP($R134,Capa!$A:$AJ,BP$5,0))))</f>
        <v/>
      </c>
      <c r="BQ134" s="174" t="str">
        <f>IF(BQ$6="","",IF(BQ$3="Maior",iferror(VLOOKUP($R134,Capa!$A:$AJ,BQ$5,0),0),IF(ISERROR(1/VLOOKUP($R134,Capa!$A:$AJ,BQ$5,0)),0,1/VLOOKUP($R134,Capa!$A:$AJ,BQ$5,0))))</f>
        <v/>
      </c>
      <c r="BR134" s="175"/>
      <c r="BS134" s="147"/>
    </row>
    <row r="135">
      <c r="G135" s="11"/>
      <c r="H135" s="8">
        <v>129.0</v>
      </c>
      <c r="I135" s="165" t="str">
        <f t="shared" si="6"/>
        <v>MDIA3</v>
      </c>
      <c r="J135" s="166" t="str">
        <f>(VLOOKUP($I135,Capa!$A:$B,2,0))</f>
        <v>M Dias Brnc S ndstr  Cmrc d lmnts</v>
      </c>
      <c r="K135" s="167" t="str">
        <f>VLOOKUP(left(I135,4),Setor!A:D,3,0)&amp;" | "&amp;VLOOKUP(left(I135,4),Setor!A:D,4,0)</f>
        <v>Consumo não Cíclico | Alimentos Processados</v>
      </c>
      <c r="L135" s="168">
        <f>(VLOOKUP($I135,Capa!$A:$F,6,0))</f>
        <v>25.11</v>
      </c>
      <c r="M135" s="168">
        <f t="shared" si="7"/>
        <v>11675397</v>
      </c>
      <c r="N135" s="11" t="str">
        <f>IFERROR(__xludf.DUMMYFUNCTION("(VLOOKUP($I135,Capa!$A:$H,7,0))"),"")</f>
        <v/>
      </c>
      <c r="O135" s="169">
        <f>(VLOOKUP($I135,Capa!$A:$H,8,0))</f>
        <v>0.01454545455</v>
      </c>
      <c r="P135" s="11" t="str">
        <f>IFERROR(__xludf.DUMMYFUNCTION("(VLOOKUP($I135,Capa!$A:$J,10,0))"),"")</f>
        <v/>
      </c>
      <c r="Q135" s="169">
        <f>(VLOOKUP($I135,Capa!$A:$K,11,0))</f>
        <v>0.06218274112</v>
      </c>
      <c r="R135" s="45" t="str">
        <f>'Dados StatusInvest'!A130</f>
        <v>CASN3</v>
      </c>
      <c r="S135" s="170">
        <f t="shared" si="8"/>
        <v>1124.0124</v>
      </c>
      <c r="T135" s="171">
        <f>VLOOKUP(R135,'Dados StatusInvest'!A:Z,26,0)</f>
        <v>0</v>
      </c>
      <c r="U135" s="172">
        <f t="shared" ref="U135:AS135" si="137">IF(AT135="","", RANK(AT135,AT$7:AT$626,0)+RANK(AT135,AT$7:AT$626,0)/10000)</f>
        <v>17.0017</v>
      </c>
      <c r="V135" s="172">
        <f t="shared" si="137"/>
        <v>107.0107</v>
      </c>
      <c r="W135" s="172" t="str">
        <f t="shared" si="137"/>
        <v/>
      </c>
      <c r="X135" s="172" t="str">
        <f t="shared" si="137"/>
        <v/>
      </c>
      <c r="Y135" s="172" t="str">
        <f t="shared" si="137"/>
        <v/>
      </c>
      <c r="Z135" s="172" t="str">
        <f t="shared" si="137"/>
        <v/>
      </c>
      <c r="AA135" s="172" t="str">
        <f t="shared" si="137"/>
        <v/>
      </c>
      <c r="AB135" s="172" t="str">
        <f t="shared" si="137"/>
        <v/>
      </c>
      <c r="AC135" s="172" t="str">
        <f t="shared" si="137"/>
        <v/>
      </c>
      <c r="AD135" s="172" t="str">
        <f t="shared" si="137"/>
        <v/>
      </c>
      <c r="AE135" s="172" t="str">
        <f t="shared" si="137"/>
        <v/>
      </c>
      <c r="AF135" s="172" t="str">
        <f t="shared" si="137"/>
        <v/>
      </c>
      <c r="AG135" s="172" t="str">
        <f t="shared" si="137"/>
        <v/>
      </c>
      <c r="AH135" s="172" t="str">
        <f t="shared" si="137"/>
        <v/>
      </c>
      <c r="AI135" s="172" t="str">
        <f t="shared" si="137"/>
        <v/>
      </c>
      <c r="AJ135" s="172" t="str">
        <f t="shared" si="137"/>
        <v/>
      </c>
      <c r="AK135" s="172" t="str">
        <f t="shared" si="137"/>
        <v/>
      </c>
      <c r="AL135" s="172" t="str">
        <f t="shared" si="137"/>
        <v/>
      </c>
      <c r="AM135" s="172" t="str">
        <f t="shared" si="137"/>
        <v/>
      </c>
      <c r="AN135" s="172" t="str">
        <f t="shared" si="137"/>
        <v/>
      </c>
      <c r="AO135" s="172" t="str">
        <f t="shared" si="137"/>
        <v/>
      </c>
      <c r="AP135" s="172" t="str">
        <f t="shared" si="137"/>
        <v/>
      </c>
      <c r="AQ135" s="172" t="str">
        <f t="shared" si="137"/>
        <v/>
      </c>
      <c r="AR135" s="172" t="str">
        <f t="shared" si="137"/>
        <v/>
      </c>
      <c r="AS135" s="172" t="str">
        <f t="shared" si="137"/>
        <v/>
      </c>
      <c r="AT135" s="173">
        <f>IF(AT$6="","",IF(AT$3="Maior",iferror(VLOOKUP($R135,Capa!$A:$AJ,AT$5,0),0),IF(ISERROR(1/VLOOKUP($R135,Capa!$A:$AJ,AT$5,0)),0,1/VLOOKUP($R135,Capa!$A:$AJ,AT$5,0))))</f>
        <v>0.3698221733</v>
      </c>
      <c r="AU135" s="174">
        <f>IF(AU$6="","",IF(AU$3="Maior",iferror(VLOOKUP($R135,Capa!$A:$AJ,AU$5,0),0),IF(ISERROR(1/VLOOKUP($R135,Capa!$A:$AJ,AU$5,0)),0,1/VLOOKUP($R135,Capa!$A:$AJ,AU$5,0))))</f>
        <v>26.37</v>
      </c>
      <c r="AV135" s="174" t="str">
        <f>IF(AV$6="","",IF(AV$3="Maior",iferror(VLOOKUP($R135,Capa!$A:$AJ,AV$5,0),0),IF(ISERROR(1/VLOOKUP($R135,Capa!$A:$AJ,AV$5,0)),0,1/VLOOKUP($R135,Capa!$A:$AJ,AV$5,0))))</f>
        <v/>
      </c>
      <c r="AW135" s="174" t="str">
        <f>IF(AW$6="","",IF(AW$3="Maior",iferror(VLOOKUP($R135,Capa!$A:$AJ,AW$5,0),0),IF(ISERROR(1/VLOOKUP($R135,Capa!$A:$AJ,AW$5,0)),0,1/VLOOKUP($R135,Capa!$A:$AJ,AW$5,0))))</f>
        <v/>
      </c>
      <c r="AX135" s="174" t="str">
        <f>IF(AX$6="","",IF(AX$3="Maior",iferror(VLOOKUP($R135,Capa!$A:$AJ,AX$5,0),0),IF(ISERROR(1/VLOOKUP($R135,Capa!$A:$AJ,AX$5,0)),0,1/VLOOKUP($R135,Capa!$A:$AJ,AX$5,0))))</f>
        <v/>
      </c>
      <c r="AY135" s="174" t="str">
        <f>IF(AY$6="","",IF(AY$3="Maior",iferror(VLOOKUP($R135,Capa!$A:$AJ,AY$5,0),0),IF(ISERROR(1/VLOOKUP($R135,Capa!$A:$AJ,AY$5,0)),0,1/VLOOKUP($R135,Capa!$A:$AJ,AY$5,0))))</f>
        <v/>
      </c>
      <c r="AZ135" s="174" t="str">
        <f>IF(AZ$6="","",IF(AZ$3="Maior",iferror(VLOOKUP($R135,Capa!$A:$AJ,AZ$5,0),0),IF(ISERROR(1/VLOOKUP($R135,Capa!$A:$AJ,AZ$5,0)),0,1/VLOOKUP($R135,Capa!$A:$AJ,AZ$5,0))))</f>
        <v/>
      </c>
      <c r="BA135" s="174" t="str">
        <f>IF(BA$6="","",IF(BA$3="Maior",iferror(VLOOKUP($R135,Capa!$A:$AJ,BA$5,0),0),IF(ISERROR(1/VLOOKUP($R135,Capa!$A:$AJ,BA$5,0)),0,1/VLOOKUP($R135,Capa!$A:$AJ,BA$5,0))))</f>
        <v/>
      </c>
      <c r="BB135" s="174" t="str">
        <f>IF(BB$6="","",IF(BB$3="Maior",iferror(VLOOKUP($R135,Capa!$A:$AJ,BB$5,0),0),IF(ISERROR(1/VLOOKUP($R135,Capa!$A:$AJ,BB$5,0)),0,1/VLOOKUP($R135,Capa!$A:$AJ,BB$5,0))))</f>
        <v/>
      </c>
      <c r="BC135" s="174" t="str">
        <f>IF(BC$6="","",IF(BC$3="Maior",iferror(VLOOKUP($R135,Capa!$A:$AJ,BC$5,0),0),IF(ISERROR(1/VLOOKUP($R135,Capa!$A:$AJ,BC$5,0)),0,1/VLOOKUP($R135,Capa!$A:$AJ,BC$5,0))))</f>
        <v/>
      </c>
      <c r="BD135" s="174" t="str">
        <f>IF(BD$6="","",IF(BD$3="Maior",iferror(VLOOKUP($R135,Capa!$A:$AJ,BD$5,0),0),IF(ISERROR(1/VLOOKUP($R135,Capa!$A:$AJ,BD$5,0)),0,1/VLOOKUP($R135,Capa!$A:$AJ,BD$5,0))))</f>
        <v/>
      </c>
      <c r="BE135" s="174" t="str">
        <f>IF(BE$6="","",IF(BE$3="Maior",iferror(VLOOKUP($R135,Capa!$A:$AJ,BE$5,0),0),IF(ISERROR(1/VLOOKUP($R135,Capa!$A:$AJ,BE$5,0)),0,1/VLOOKUP($R135,Capa!$A:$AJ,BE$5,0))))</f>
        <v/>
      </c>
      <c r="BF135" s="174" t="str">
        <f>IF(BF$6="","",IF(BF$3="Maior",iferror(VLOOKUP($R135,Capa!$A:$AJ,BF$5,0),0),IF(ISERROR(1/VLOOKUP($R135,Capa!$A:$AJ,BF$5,0)),0,1/VLOOKUP($R135,Capa!$A:$AJ,BF$5,0))))</f>
        <v/>
      </c>
      <c r="BG135" s="174" t="str">
        <f>IF(BG$6="","",IF(BG$3="Maior",iferror(VLOOKUP($R135,Capa!$A:$AJ,BG$5,0),0),IF(ISERROR(1/VLOOKUP($R135,Capa!$A:$AJ,BG$5,0)),0,1/VLOOKUP($R135,Capa!$A:$AJ,BG$5,0))))</f>
        <v/>
      </c>
      <c r="BH135" s="174" t="str">
        <f>IF(BH$6="","",IF(BH$3="Maior",iferror(VLOOKUP($R135,Capa!$A:$AJ,BH$5,0),0),IF(ISERROR(1/VLOOKUP($R135,Capa!$A:$AJ,BH$5,0)),0,1/VLOOKUP($R135,Capa!$A:$AJ,BH$5,0))))</f>
        <v/>
      </c>
      <c r="BI135" s="174" t="str">
        <f>IF(BI$6="","",IF(BI$3="Maior",iferror(VLOOKUP($R135,Capa!$A:$AJ,BI$5,0),0),IF(ISERROR(1/VLOOKUP($R135,Capa!$A:$AJ,BI$5,0)),0,1/VLOOKUP($R135,Capa!$A:$AJ,BI$5,0))))</f>
        <v/>
      </c>
      <c r="BJ135" s="174" t="str">
        <f>IF(BJ$6="","",IF(BJ$3="Maior",iferror(VLOOKUP($R135,Capa!$A:$AJ,BJ$5,0),0),IF(ISERROR(1/VLOOKUP($R135,Capa!$A:$AJ,BJ$5,0)),0,1/VLOOKUP($R135,Capa!$A:$AJ,BJ$5,0))))</f>
        <v/>
      </c>
      <c r="BK135" s="174" t="str">
        <f>IF(BK$6="","",IF(BK$3="Maior",iferror(VLOOKUP($R135,Capa!$A:$AJ,BK$5,0),0),IF(ISERROR(1/VLOOKUP($R135,Capa!$A:$AJ,BK$5,0)),0,1/VLOOKUP($R135,Capa!$A:$AJ,BK$5,0))))</f>
        <v/>
      </c>
      <c r="BL135" s="174" t="str">
        <f>IF(BL$6="","",IF(BL$3="Maior",iferror(VLOOKUP($R135,Capa!$A:$AJ,BL$5,0),0),IF(ISERROR(1/VLOOKUP($R135,Capa!$A:$AJ,BL$5,0)),0,1/VLOOKUP($R135,Capa!$A:$AJ,BL$5,0))))</f>
        <v/>
      </c>
      <c r="BM135" s="174" t="str">
        <f>IF(BM$6="","",IF(BM$3="Maior",iferror(VLOOKUP($R135,Capa!$A:$AJ,BM$5,0),0),IF(ISERROR(1/VLOOKUP($R135,Capa!$A:$AJ,BM$5,0)),0,1/VLOOKUP($R135,Capa!$A:$AJ,BM$5,0))))</f>
        <v/>
      </c>
      <c r="BN135" s="174" t="str">
        <f>IF(BN$6="","",IF(BN$3="Maior",iferror(VLOOKUP($R135,Capa!$A:$AJ,BN$5,0),0),IF(ISERROR(1/VLOOKUP($R135,Capa!$A:$AJ,BN$5,0)),0,1/VLOOKUP($R135,Capa!$A:$AJ,BN$5,0))))</f>
        <v/>
      </c>
      <c r="BO135" s="174" t="str">
        <f>IF(BO$6="","",IF(BO$3="Maior",iferror(VLOOKUP($R135,Capa!$A:$AJ,BO$5,0),0),IF(ISERROR(1/VLOOKUP($R135,Capa!$A:$AJ,BO$5,0)),0,1/VLOOKUP($R135,Capa!$A:$AJ,BO$5,0))))</f>
        <v/>
      </c>
      <c r="BP135" s="174" t="str">
        <f>IF(BP$6="","",IF(BP$3="Maior",iferror(VLOOKUP($R135,Capa!$A:$AJ,BP$5,0),0),IF(ISERROR(1/VLOOKUP($R135,Capa!$A:$AJ,BP$5,0)),0,1/VLOOKUP($R135,Capa!$A:$AJ,BP$5,0))))</f>
        <v/>
      </c>
      <c r="BQ135" s="174" t="str">
        <f>IF(BQ$6="","",IF(BQ$3="Maior",iferror(VLOOKUP($R135,Capa!$A:$AJ,BQ$5,0),0),IF(ISERROR(1/VLOOKUP($R135,Capa!$A:$AJ,BQ$5,0)),0,1/VLOOKUP($R135,Capa!$A:$AJ,BQ$5,0))))</f>
        <v/>
      </c>
      <c r="BR135" s="175"/>
      <c r="BS135" s="147"/>
    </row>
    <row r="136">
      <c r="G136" s="11"/>
      <c r="H136" s="8">
        <v>130.0</v>
      </c>
      <c r="I136" s="165" t="str">
        <f t="shared" si="6"/>
        <v>MDIA3</v>
      </c>
      <c r="J136" s="166" t="str">
        <f>(VLOOKUP($I136,Capa!$A:$B,2,0))</f>
        <v>M Dias Brnc S ndstr  Cmrc d lmnts</v>
      </c>
      <c r="K136" s="167" t="str">
        <f>VLOOKUP(left(I136,4),Setor!A:D,3,0)&amp;" | "&amp;VLOOKUP(left(I136,4),Setor!A:D,4,0)</f>
        <v>Consumo não Cíclico | Alimentos Processados</v>
      </c>
      <c r="L136" s="168">
        <f>(VLOOKUP($I136,Capa!$A:$F,6,0))</f>
        <v>25.11</v>
      </c>
      <c r="M136" s="168">
        <f t="shared" si="7"/>
        <v>11675397</v>
      </c>
      <c r="N136" s="11" t="str">
        <f>IFERROR(__xludf.DUMMYFUNCTION("(VLOOKUP($I136,Capa!$A:$H,7,0))"),"")</f>
        <v/>
      </c>
      <c r="O136" s="169">
        <f>(VLOOKUP($I136,Capa!$A:$H,8,0))</f>
        <v>0.01454545455</v>
      </c>
      <c r="P136" s="11" t="str">
        <f>IFERROR(__xludf.DUMMYFUNCTION("(VLOOKUP($I136,Capa!$A:$J,10,0))"),"")</f>
        <v/>
      </c>
      <c r="Q136" s="169">
        <f>(VLOOKUP($I136,Capa!$A:$K,11,0))</f>
        <v>0.06218274112</v>
      </c>
      <c r="R136" s="45" t="str">
        <f>'Dados StatusInvest'!A131</f>
        <v>CASN4</v>
      </c>
      <c r="S136" s="170">
        <f t="shared" si="8"/>
        <v>1230.023</v>
      </c>
      <c r="T136" s="171">
        <f>VLOOKUP(R136,'Dados StatusInvest'!A:Z,26,0)</f>
        <v>0</v>
      </c>
      <c r="U136" s="172">
        <f t="shared" ref="U136:AS136" si="138">IF(AT136="","", RANK(AT136,AT$7:AT$626,0)+RANK(AT136,AT$7:AT$626,0)/10000)</f>
        <v>123.0123</v>
      </c>
      <c r="V136" s="172">
        <f t="shared" si="138"/>
        <v>107.0107</v>
      </c>
      <c r="W136" s="172" t="str">
        <f t="shared" si="138"/>
        <v/>
      </c>
      <c r="X136" s="172" t="str">
        <f t="shared" si="138"/>
        <v/>
      </c>
      <c r="Y136" s="172" t="str">
        <f t="shared" si="138"/>
        <v/>
      </c>
      <c r="Z136" s="172" t="str">
        <f t="shared" si="138"/>
        <v/>
      </c>
      <c r="AA136" s="172" t="str">
        <f t="shared" si="138"/>
        <v/>
      </c>
      <c r="AB136" s="172" t="str">
        <f t="shared" si="138"/>
        <v/>
      </c>
      <c r="AC136" s="172" t="str">
        <f t="shared" si="138"/>
        <v/>
      </c>
      <c r="AD136" s="172" t="str">
        <f t="shared" si="138"/>
        <v/>
      </c>
      <c r="AE136" s="172" t="str">
        <f t="shared" si="138"/>
        <v/>
      </c>
      <c r="AF136" s="172" t="str">
        <f t="shared" si="138"/>
        <v/>
      </c>
      <c r="AG136" s="172" t="str">
        <f t="shared" si="138"/>
        <v/>
      </c>
      <c r="AH136" s="172" t="str">
        <f t="shared" si="138"/>
        <v/>
      </c>
      <c r="AI136" s="172" t="str">
        <f t="shared" si="138"/>
        <v/>
      </c>
      <c r="AJ136" s="172" t="str">
        <f t="shared" si="138"/>
        <v/>
      </c>
      <c r="AK136" s="172" t="str">
        <f t="shared" si="138"/>
        <v/>
      </c>
      <c r="AL136" s="172" t="str">
        <f t="shared" si="138"/>
        <v/>
      </c>
      <c r="AM136" s="172" t="str">
        <f t="shared" si="138"/>
        <v/>
      </c>
      <c r="AN136" s="172" t="str">
        <f t="shared" si="138"/>
        <v/>
      </c>
      <c r="AO136" s="172" t="str">
        <f t="shared" si="138"/>
        <v/>
      </c>
      <c r="AP136" s="172" t="str">
        <f t="shared" si="138"/>
        <v/>
      </c>
      <c r="AQ136" s="172" t="str">
        <f t="shared" si="138"/>
        <v/>
      </c>
      <c r="AR136" s="172" t="str">
        <f t="shared" si="138"/>
        <v/>
      </c>
      <c r="AS136" s="172" t="str">
        <f t="shared" si="138"/>
        <v/>
      </c>
      <c r="AT136" s="173">
        <f>IF(AT$6="","",IF(AT$3="Maior",iferror(VLOOKUP($R136,Capa!$A:$AJ,AT$5,0),0),IF(ISERROR(1/VLOOKUP($R136,Capa!$A:$AJ,AT$5,0)),0,1/VLOOKUP($R136,Capa!$A:$AJ,AT$5,0))))</f>
        <v>-0.0175192712</v>
      </c>
      <c r="AU136" s="174">
        <f>IF(AU$6="","",IF(AU$3="Maior",iferror(VLOOKUP($R136,Capa!$A:$AJ,AU$5,0),0),IF(ISERROR(1/VLOOKUP($R136,Capa!$A:$AJ,AU$5,0)),0,1/VLOOKUP($R136,Capa!$A:$AJ,AU$5,0))))</f>
        <v>26.37</v>
      </c>
      <c r="AV136" s="174" t="str">
        <f>IF(AV$6="","",IF(AV$3="Maior",iferror(VLOOKUP($R136,Capa!$A:$AJ,AV$5,0),0),IF(ISERROR(1/VLOOKUP($R136,Capa!$A:$AJ,AV$5,0)),0,1/VLOOKUP($R136,Capa!$A:$AJ,AV$5,0))))</f>
        <v/>
      </c>
      <c r="AW136" s="174" t="str">
        <f>IF(AW$6="","",IF(AW$3="Maior",iferror(VLOOKUP($R136,Capa!$A:$AJ,AW$5,0),0),IF(ISERROR(1/VLOOKUP($R136,Capa!$A:$AJ,AW$5,0)),0,1/VLOOKUP($R136,Capa!$A:$AJ,AW$5,0))))</f>
        <v/>
      </c>
      <c r="AX136" s="174" t="str">
        <f>IF(AX$6="","",IF(AX$3="Maior",iferror(VLOOKUP($R136,Capa!$A:$AJ,AX$5,0),0),IF(ISERROR(1/VLOOKUP($R136,Capa!$A:$AJ,AX$5,0)),0,1/VLOOKUP($R136,Capa!$A:$AJ,AX$5,0))))</f>
        <v/>
      </c>
      <c r="AY136" s="174" t="str">
        <f>IF(AY$6="","",IF(AY$3="Maior",iferror(VLOOKUP($R136,Capa!$A:$AJ,AY$5,0),0),IF(ISERROR(1/VLOOKUP($R136,Capa!$A:$AJ,AY$5,0)),0,1/VLOOKUP($R136,Capa!$A:$AJ,AY$5,0))))</f>
        <v/>
      </c>
      <c r="AZ136" s="174" t="str">
        <f>IF(AZ$6="","",IF(AZ$3="Maior",iferror(VLOOKUP($R136,Capa!$A:$AJ,AZ$5,0),0),IF(ISERROR(1/VLOOKUP($R136,Capa!$A:$AJ,AZ$5,0)),0,1/VLOOKUP($R136,Capa!$A:$AJ,AZ$5,0))))</f>
        <v/>
      </c>
      <c r="BA136" s="174" t="str">
        <f>IF(BA$6="","",IF(BA$3="Maior",iferror(VLOOKUP($R136,Capa!$A:$AJ,BA$5,0),0),IF(ISERROR(1/VLOOKUP($R136,Capa!$A:$AJ,BA$5,0)),0,1/VLOOKUP($R136,Capa!$A:$AJ,BA$5,0))))</f>
        <v/>
      </c>
      <c r="BB136" s="174" t="str">
        <f>IF(BB$6="","",IF(BB$3="Maior",iferror(VLOOKUP($R136,Capa!$A:$AJ,BB$5,0),0),IF(ISERROR(1/VLOOKUP($R136,Capa!$A:$AJ,BB$5,0)),0,1/VLOOKUP($R136,Capa!$A:$AJ,BB$5,0))))</f>
        <v/>
      </c>
      <c r="BC136" s="174" t="str">
        <f>IF(BC$6="","",IF(BC$3="Maior",iferror(VLOOKUP($R136,Capa!$A:$AJ,BC$5,0),0),IF(ISERROR(1/VLOOKUP($R136,Capa!$A:$AJ,BC$5,0)),0,1/VLOOKUP($R136,Capa!$A:$AJ,BC$5,0))))</f>
        <v/>
      </c>
      <c r="BD136" s="174" t="str">
        <f>IF(BD$6="","",IF(BD$3="Maior",iferror(VLOOKUP($R136,Capa!$A:$AJ,BD$5,0),0),IF(ISERROR(1/VLOOKUP($R136,Capa!$A:$AJ,BD$5,0)),0,1/VLOOKUP($R136,Capa!$A:$AJ,BD$5,0))))</f>
        <v/>
      </c>
      <c r="BE136" s="174" t="str">
        <f>IF(BE$6="","",IF(BE$3="Maior",iferror(VLOOKUP($R136,Capa!$A:$AJ,BE$5,0),0),IF(ISERROR(1/VLOOKUP($R136,Capa!$A:$AJ,BE$5,0)),0,1/VLOOKUP($R136,Capa!$A:$AJ,BE$5,0))))</f>
        <v/>
      </c>
      <c r="BF136" s="174" t="str">
        <f>IF(BF$6="","",IF(BF$3="Maior",iferror(VLOOKUP($R136,Capa!$A:$AJ,BF$5,0),0),IF(ISERROR(1/VLOOKUP($R136,Capa!$A:$AJ,BF$5,0)),0,1/VLOOKUP($R136,Capa!$A:$AJ,BF$5,0))))</f>
        <v/>
      </c>
      <c r="BG136" s="174" t="str">
        <f>IF(BG$6="","",IF(BG$3="Maior",iferror(VLOOKUP($R136,Capa!$A:$AJ,BG$5,0),0),IF(ISERROR(1/VLOOKUP($R136,Capa!$A:$AJ,BG$5,0)),0,1/VLOOKUP($R136,Capa!$A:$AJ,BG$5,0))))</f>
        <v/>
      </c>
      <c r="BH136" s="174" t="str">
        <f>IF(BH$6="","",IF(BH$3="Maior",iferror(VLOOKUP($R136,Capa!$A:$AJ,BH$5,0),0),IF(ISERROR(1/VLOOKUP($R136,Capa!$A:$AJ,BH$5,0)),0,1/VLOOKUP($R136,Capa!$A:$AJ,BH$5,0))))</f>
        <v/>
      </c>
      <c r="BI136" s="174" t="str">
        <f>IF(BI$6="","",IF(BI$3="Maior",iferror(VLOOKUP($R136,Capa!$A:$AJ,BI$5,0),0),IF(ISERROR(1/VLOOKUP($R136,Capa!$A:$AJ,BI$5,0)),0,1/VLOOKUP($R136,Capa!$A:$AJ,BI$5,0))))</f>
        <v/>
      </c>
      <c r="BJ136" s="174" t="str">
        <f>IF(BJ$6="","",IF(BJ$3="Maior",iferror(VLOOKUP($R136,Capa!$A:$AJ,BJ$5,0),0),IF(ISERROR(1/VLOOKUP($R136,Capa!$A:$AJ,BJ$5,0)),0,1/VLOOKUP($R136,Capa!$A:$AJ,BJ$5,0))))</f>
        <v/>
      </c>
      <c r="BK136" s="174" t="str">
        <f>IF(BK$6="","",IF(BK$3="Maior",iferror(VLOOKUP($R136,Capa!$A:$AJ,BK$5,0),0),IF(ISERROR(1/VLOOKUP($R136,Capa!$A:$AJ,BK$5,0)),0,1/VLOOKUP($R136,Capa!$A:$AJ,BK$5,0))))</f>
        <v/>
      </c>
      <c r="BL136" s="174" t="str">
        <f>IF(BL$6="","",IF(BL$3="Maior",iferror(VLOOKUP($R136,Capa!$A:$AJ,BL$5,0),0),IF(ISERROR(1/VLOOKUP($R136,Capa!$A:$AJ,BL$5,0)),0,1/VLOOKUP($R136,Capa!$A:$AJ,BL$5,0))))</f>
        <v/>
      </c>
      <c r="BM136" s="174" t="str">
        <f>IF(BM$6="","",IF(BM$3="Maior",iferror(VLOOKUP($R136,Capa!$A:$AJ,BM$5,0),0),IF(ISERROR(1/VLOOKUP($R136,Capa!$A:$AJ,BM$5,0)),0,1/VLOOKUP($R136,Capa!$A:$AJ,BM$5,0))))</f>
        <v/>
      </c>
      <c r="BN136" s="174" t="str">
        <f>IF(BN$6="","",IF(BN$3="Maior",iferror(VLOOKUP($R136,Capa!$A:$AJ,BN$5,0),0),IF(ISERROR(1/VLOOKUP($R136,Capa!$A:$AJ,BN$5,0)),0,1/VLOOKUP($R136,Capa!$A:$AJ,BN$5,0))))</f>
        <v/>
      </c>
      <c r="BO136" s="174" t="str">
        <f>IF(BO$6="","",IF(BO$3="Maior",iferror(VLOOKUP($R136,Capa!$A:$AJ,BO$5,0),0),IF(ISERROR(1/VLOOKUP($R136,Capa!$A:$AJ,BO$5,0)),0,1/VLOOKUP($R136,Capa!$A:$AJ,BO$5,0))))</f>
        <v/>
      </c>
      <c r="BP136" s="174" t="str">
        <f>IF(BP$6="","",IF(BP$3="Maior",iferror(VLOOKUP($R136,Capa!$A:$AJ,BP$5,0),0),IF(ISERROR(1/VLOOKUP($R136,Capa!$A:$AJ,BP$5,0)),0,1/VLOOKUP($R136,Capa!$A:$AJ,BP$5,0))))</f>
        <v/>
      </c>
      <c r="BQ136" s="174" t="str">
        <f>IF(BQ$6="","",IF(BQ$3="Maior",iferror(VLOOKUP($R136,Capa!$A:$AJ,BQ$5,0),0),IF(ISERROR(1/VLOOKUP($R136,Capa!$A:$AJ,BQ$5,0)),0,1/VLOOKUP($R136,Capa!$A:$AJ,BQ$5,0))))</f>
        <v/>
      </c>
      <c r="BR136" s="175"/>
      <c r="BS136" s="147"/>
    </row>
    <row r="137">
      <c r="G137" s="11"/>
      <c r="H137" s="8">
        <v>131.0</v>
      </c>
      <c r="I137" s="165" t="str">
        <f t="shared" si="6"/>
        <v>KLBN4</v>
      </c>
      <c r="J137" s="166" t="str">
        <f>(VLOOKUP($I137,Capa!$A:$B,2,0))</f>
        <v>Klabin SA Preference Shares</v>
      </c>
      <c r="K137" s="167" t="str">
        <f>VLOOKUP(left(I137,4),Setor!A:D,3,0)&amp;" | "&amp;VLOOKUP(left(I137,4),Setor!A:D,4,0)</f>
        <v>Materiais Básicos | Madeira e Papel</v>
      </c>
      <c r="L137" s="168">
        <f>(VLOOKUP($I137,Capa!$A:$F,6,0))</f>
        <v>3.97</v>
      </c>
      <c r="M137" s="168">
        <f t="shared" si="7"/>
        <v>13400157</v>
      </c>
      <c r="N137" s="11" t="str">
        <f>IFERROR(__xludf.DUMMYFUNCTION("(VLOOKUP($I137,Capa!$A:$H,7,0))"),"")</f>
        <v/>
      </c>
      <c r="O137" s="169">
        <f>(VLOOKUP($I137,Capa!$A:$H,8,0))</f>
        <v>0.04749340369</v>
      </c>
      <c r="P137" s="11" t="str">
        <f>IFERROR(__xludf.DUMMYFUNCTION("(VLOOKUP($I137,Capa!$A:$J,10,0))"),"")</f>
        <v/>
      </c>
      <c r="Q137" s="169">
        <f>(VLOOKUP($I137,Capa!$A:$K,11,0))</f>
        <v>-0.03406326034</v>
      </c>
      <c r="R137" s="45" t="str">
        <f>'Dados StatusInvest'!A132</f>
        <v>CATA3</v>
      </c>
      <c r="S137" s="170">
        <f t="shared" si="8"/>
        <v>1665.0665</v>
      </c>
      <c r="T137" s="171">
        <f>VLOOKUP(R137,'Dados StatusInvest'!A:Z,26,0)</f>
        <v>0</v>
      </c>
      <c r="U137" s="172">
        <f t="shared" ref="U137:AS137" si="139">IF(AT137="","", RANK(AT137,AT$7:AT$626,0)+RANK(AT137,AT$7:AT$626,0)/10000)</f>
        <v>536.0536</v>
      </c>
      <c r="V137" s="172">
        <f t="shared" si="139"/>
        <v>129.0129</v>
      </c>
      <c r="W137" s="172" t="str">
        <f t="shared" si="139"/>
        <v/>
      </c>
      <c r="X137" s="172" t="str">
        <f t="shared" si="139"/>
        <v/>
      </c>
      <c r="Y137" s="172" t="str">
        <f t="shared" si="139"/>
        <v/>
      </c>
      <c r="Z137" s="172" t="str">
        <f t="shared" si="139"/>
        <v/>
      </c>
      <c r="AA137" s="172" t="str">
        <f t="shared" si="139"/>
        <v/>
      </c>
      <c r="AB137" s="172" t="str">
        <f t="shared" si="139"/>
        <v/>
      </c>
      <c r="AC137" s="172" t="str">
        <f t="shared" si="139"/>
        <v/>
      </c>
      <c r="AD137" s="172" t="str">
        <f t="shared" si="139"/>
        <v/>
      </c>
      <c r="AE137" s="172" t="str">
        <f t="shared" si="139"/>
        <v/>
      </c>
      <c r="AF137" s="172" t="str">
        <f t="shared" si="139"/>
        <v/>
      </c>
      <c r="AG137" s="172" t="str">
        <f t="shared" si="139"/>
        <v/>
      </c>
      <c r="AH137" s="172" t="str">
        <f t="shared" si="139"/>
        <v/>
      </c>
      <c r="AI137" s="172" t="str">
        <f t="shared" si="139"/>
        <v/>
      </c>
      <c r="AJ137" s="172" t="str">
        <f t="shared" si="139"/>
        <v/>
      </c>
      <c r="AK137" s="172" t="str">
        <f t="shared" si="139"/>
        <v/>
      </c>
      <c r="AL137" s="172" t="str">
        <f t="shared" si="139"/>
        <v/>
      </c>
      <c r="AM137" s="172" t="str">
        <f t="shared" si="139"/>
        <v/>
      </c>
      <c r="AN137" s="172" t="str">
        <f t="shared" si="139"/>
        <v/>
      </c>
      <c r="AO137" s="172" t="str">
        <f t="shared" si="139"/>
        <v/>
      </c>
      <c r="AP137" s="172" t="str">
        <f t="shared" si="139"/>
        <v/>
      </c>
      <c r="AQ137" s="172" t="str">
        <f t="shared" si="139"/>
        <v/>
      </c>
      <c r="AR137" s="172" t="str">
        <f t="shared" si="139"/>
        <v/>
      </c>
      <c r="AS137" s="172" t="str">
        <f t="shared" si="139"/>
        <v/>
      </c>
      <c r="AT137" s="173">
        <f>IF(AT$6="","",IF(AT$3="Maior",iferror(VLOOKUP($R137,Capa!$A:$AJ,AT$5,0),0),IF(ISERROR(1/VLOOKUP($R137,Capa!$A:$AJ,AT$5,0)),0,1/VLOOKUP($R137,Capa!$A:$AJ,AT$5,0))))</f>
        <v>-4.545454545</v>
      </c>
      <c r="AU137" s="174">
        <f>IF(AU$6="","",IF(AU$3="Maior",iferror(VLOOKUP($R137,Capa!$A:$AJ,AU$5,0),0),IF(ISERROR(1/VLOOKUP($R137,Capa!$A:$AJ,AU$5,0)),0,1/VLOOKUP($R137,Capa!$A:$AJ,AU$5,0))))</f>
        <v>20.24</v>
      </c>
      <c r="AV137" s="174" t="str">
        <f>IF(AV$6="","",IF(AV$3="Maior",iferror(VLOOKUP($R137,Capa!$A:$AJ,AV$5,0),0),IF(ISERROR(1/VLOOKUP($R137,Capa!$A:$AJ,AV$5,0)),0,1/VLOOKUP($R137,Capa!$A:$AJ,AV$5,0))))</f>
        <v/>
      </c>
      <c r="AW137" s="174" t="str">
        <f>IF(AW$6="","",IF(AW$3="Maior",iferror(VLOOKUP($R137,Capa!$A:$AJ,AW$5,0),0),IF(ISERROR(1/VLOOKUP($R137,Capa!$A:$AJ,AW$5,0)),0,1/VLOOKUP($R137,Capa!$A:$AJ,AW$5,0))))</f>
        <v/>
      </c>
      <c r="AX137" s="174" t="str">
        <f>IF(AX$6="","",IF(AX$3="Maior",iferror(VLOOKUP($R137,Capa!$A:$AJ,AX$5,0),0),IF(ISERROR(1/VLOOKUP($R137,Capa!$A:$AJ,AX$5,0)),0,1/VLOOKUP($R137,Capa!$A:$AJ,AX$5,0))))</f>
        <v/>
      </c>
      <c r="AY137" s="174" t="str">
        <f>IF(AY$6="","",IF(AY$3="Maior",iferror(VLOOKUP($R137,Capa!$A:$AJ,AY$5,0),0),IF(ISERROR(1/VLOOKUP($R137,Capa!$A:$AJ,AY$5,0)),0,1/VLOOKUP($R137,Capa!$A:$AJ,AY$5,0))))</f>
        <v/>
      </c>
      <c r="AZ137" s="174" t="str">
        <f>IF(AZ$6="","",IF(AZ$3="Maior",iferror(VLOOKUP($R137,Capa!$A:$AJ,AZ$5,0),0),IF(ISERROR(1/VLOOKUP($R137,Capa!$A:$AJ,AZ$5,0)),0,1/VLOOKUP($R137,Capa!$A:$AJ,AZ$5,0))))</f>
        <v/>
      </c>
      <c r="BA137" s="174" t="str">
        <f>IF(BA$6="","",IF(BA$3="Maior",iferror(VLOOKUP($R137,Capa!$A:$AJ,BA$5,0),0),IF(ISERROR(1/VLOOKUP($R137,Capa!$A:$AJ,BA$5,0)),0,1/VLOOKUP($R137,Capa!$A:$AJ,BA$5,0))))</f>
        <v/>
      </c>
      <c r="BB137" s="174" t="str">
        <f>IF(BB$6="","",IF(BB$3="Maior",iferror(VLOOKUP($R137,Capa!$A:$AJ,BB$5,0),0),IF(ISERROR(1/VLOOKUP($R137,Capa!$A:$AJ,BB$5,0)),0,1/VLOOKUP($R137,Capa!$A:$AJ,BB$5,0))))</f>
        <v/>
      </c>
      <c r="BC137" s="174" t="str">
        <f>IF(BC$6="","",IF(BC$3="Maior",iferror(VLOOKUP($R137,Capa!$A:$AJ,BC$5,0),0),IF(ISERROR(1/VLOOKUP($R137,Capa!$A:$AJ,BC$5,0)),0,1/VLOOKUP($R137,Capa!$A:$AJ,BC$5,0))))</f>
        <v/>
      </c>
      <c r="BD137" s="174" t="str">
        <f>IF(BD$6="","",IF(BD$3="Maior",iferror(VLOOKUP($R137,Capa!$A:$AJ,BD$5,0),0),IF(ISERROR(1/VLOOKUP($R137,Capa!$A:$AJ,BD$5,0)),0,1/VLOOKUP($R137,Capa!$A:$AJ,BD$5,0))))</f>
        <v/>
      </c>
      <c r="BE137" s="174" t="str">
        <f>IF(BE$6="","",IF(BE$3="Maior",iferror(VLOOKUP($R137,Capa!$A:$AJ,BE$5,0),0),IF(ISERROR(1/VLOOKUP($R137,Capa!$A:$AJ,BE$5,0)),0,1/VLOOKUP($R137,Capa!$A:$AJ,BE$5,0))))</f>
        <v/>
      </c>
      <c r="BF137" s="174" t="str">
        <f>IF(BF$6="","",IF(BF$3="Maior",iferror(VLOOKUP($R137,Capa!$A:$AJ,BF$5,0),0),IF(ISERROR(1/VLOOKUP($R137,Capa!$A:$AJ,BF$5,0)),0,1/VLOOKUP($R137,Capa!$A:$AJ,BF$5,0))))</f>
        <v/>
      </c>
      <c r="BG137" s="174" t="str">
        <f>IF(BG$6="","",IF(BG$3="Maior",iferror(VLOOKUP($R137,Capa!$A:$AJ,BG$5,0),0),IF(ISERROR(1/VLOOKUP($R137,Capa!$A:$AJ,BG$5,0)),0,1/VLOOKUP($R137,Capa!$A:$AJ,BG$5,0))))</f>
        <v/>
      </c>
      <c r="BH137" s="174" t="str">
        <f>IF(BH$6="","",IF(BH$3="Maior",iferror(VLOOKUP($R137,Capa!$A:$AJ,BH$5,0),0),IF(ISERROR(1/VLOOKUP($R137,Capa!$A:$AJ,BH$5,0)),0,1/VLOOKUP($R137,Capa!$A:$AJ,BH$5,0))))</f>
        <v/>
      </c>
      <c r="BI137" s="174" t="str">
        <f>IF(BI$6="","",IF(BI$3="Maior",iferror(VLOOKUP($R137,Capa!$A:$AJ,BI$5,0),0),IF(ISERROR(1/VLOOKUP($R137,Capa!$A:$AJ,BI$5,0)),0,1/VLOOKUP($R137,Capa!$A:$AJ,BI$5,0))))</f>
        <v/>
      </c>
      <c r="BJ137" s="174" t="str">
        <f>IF(BJ$6="","",IF(BJ$3="Maior",iferror(VLOOKUP($R137,Capa!$A:$AJ,BJ$5,0),0),IF(ISERROR(1/VLOOKUP($R137,Capa!$A:$AJ,BJ$5,0)),0,1/VLOOKUP($R137,Capa!$A:$AJ,BJ$5,0))))</f>
        <v/>
      </c>
      <c r="BK137" s="174" t="str">
        <f>IF(BK$6="","",IF(BK$3="Maior",iferror(VLOOKUP($R137,Capa!$A:$AJ,BK$5,0),0),IF(ISERROR(1/VLOOKUP($R137,Capa!$A:$AJ,BK$5,0)),0,1/VLOOKUP($R137,Capa!$A:$AJ,BK$5,0))))</f>
        <v/>
      </c>
      <c r="BL137" s="174" t="str">
        <f>IF(BL$6="","",IF(BL$3="Maior",iferror(VLOOKUP($R137,Capa!$A:$AJ,BL$5,0),0),IF(ISERROR(1/VLOOKUP($R137,Capa!$A:$AJ,BL$5,0)),0,1/VLOOKUP($R137,Capa!$A:$AJ,BL$5,0))))</f>
        <v/>
      </c>
      <c r="BM137" s="174" t="str">
        <f>IF(BM$6="","",IF(BM$3="Maior",iferror(VLOOKUP($R137,Capa!$A:$AJ,BM$5,0),0),IF(ISERROR(1/VLOOKUP($R137,Capa!$A:$AJ,BM$5,0)),0,1/VLOOKUP($R137,Capa!$A:$AJ,BM$5,0))))</f>
        <v/>
      </c>
      <c r="BN137" s="174" t="str">
        <f>IF(BN$6="","",IF(BN$3="Maior",iferror(VLOOKUP($R137,Capa!$A:$AJ,BN$5,0),0),IF(ISERROR(1/VLOOKUP($R137,Capa!$A:$AJ,BN$5,0)),0,1/VLOOKUP($R137,Capa!$A:$AJ,BN$5,0))))</f>
        <v/>
      </c>
      <c r="BO137" s="174" t="str">
        <f>IF(BO$6="","",IF(BO$3="Maior",iferror(VLOOKUP($R137,Capa!$A:$AJ,BO$5,0),0),IF(ISERROR(1/VLOOKUP($R137,Capa!$A:$AJ,BO$5,0)),0,1/VLOOKUP($R137,Capa!$A:$AJ,BO$5,0))))</f>
        <v/>
      </c>
      <c r="BP137" s="174" t="str">
        <f>IF(BP$6="","",IF(BP$3="Maior",iferror(VLOOKUP($R137,Capa!$A:$AJ,BP$5,0),0),IF(ISERROR(1/VLOOKUP($R137,Capa!$A:$AJ,BP$5,0)),0,1/VLOOKUP($R137,Capa!$A:$AJ,BP$5,0))))</f>
        <v/>
      </c>
      <c r="BQ137" s="174" t="str">
        <f>IF(BQ$6="","",IF(BQ$3="Maior",iferror(VLOOKUP($R137,Capa!$A:$AJ,BQ$5,0),0),IF(ISERROR(1/VLOOKUP($R137,Capa!$A:$AJ,BQ$5,0)),0,1/VLOOKUP($R137,Capa!$A:$AJ,BQ$5,0))))</f>
        <v/>
      </c>
      <c r="BR137" s="175"/>
      <c r="BS137" s="147"/>
    </row>
    <row r="138">
      <c r="G138" s="11"/>
      <c r="H138" s="8">
        <v>132.0</v>
      </c>
      <c r="I138" s="165" t="str">
        <f t="shared" si="6"/>
        <v>SLCE3</v>
      </c>
      <c r="J138" s="166" t="str">
        <f>(VLOOKUP($I138,Capa!$A:$B,2,0))</f>
        <v>SLC Agricola SA</v>
      </c>
      <c r="K138" s="167" t="str">
        <f>VLOOKUP(left(I138,4),Setor!A:D,3,0)&amp;" | "&amp;VLOOKUP(left(I138,4),Setor!A:D,4,0)</f>
        <v>Consumo não Cíclico | Agropecuária</v>
      </c>
      <c r="L138" s="168">
        <f>(VLOOKUP($I138,Capa!$A:$F,6,0))</f>
        <v>16.01</v>
      </c>
      <c r="M138" s="168">
        <f t="shared" si="7"/>
        <v>33396585</v>
      </c>
      <c r="N138" s="177" t="str">
        <f>IFERROR(__xludf.DUMMYFUNCTION("(VLOOKUP($I138,Capa!$A:$H,7,0))"),"")</f>
        <v/>
      </c>
      <c r="O138" s="169">
        <f>(VLOOKUP($I138,Capa!$A:$H,8,0))</f>
        <v>0.0342377261</v>
      </c>
      <c r="P138" s="169" t="str">
        <f>IFERROR(__xludf.DUMMYFUNCTION("(VLOOKUP($I138,Capa!$A:$J,10,0))"),"")</f>
        <v/>
      </c>
      <c r="Q138" s="169">
        <f>(VLOOKUP($I138,Capa!$A:$K,11,0))</f>
        <v>-0.007439553627</v>
      </c>
      <c r="R138" s="45" t="str">
        <f>'Dados StatusInvest'!A133</f>
        <v>CATA4</v>
      </c>
      <c r="S138" s="170">
        <f t="shared" si="8"/>
        <v>1180.018</v>
      </c>
      <c r="T138" s="171">
        <f>VLOOKUP(R138,'Dados StatusInvest'!A:Z,26,0)</f>
        <v>0</v>
      </c>
      <c r="U138" s="172">
        <f t="shared" ref="U138:AS138" si="140">IF(AT138="","", RANK(AT138,AT$7:AT$626,0)+RANK(AT138,AT$7:AT$626,0)/10000)</f>
        <v>51.0051</v>
      </c>
      <c r="V138" s="172">
        <f t="shared" si="140"/>
        <v>129.0129</v>
      </c>
      <c r="W138" s="172" t="str">
        <f t="shared" si="140"/>
        <v/>
      </c>
      <c r="X138" s="172" t="str">
        <f t="shared" si="140"/>
        <v/>
      </c>
      <c r="Y138" s="172" t="str">
        <f t="shared" si="140"/>
        <v/>
      </c>
      <c r="Z138" s="172" t="str">
        <f t="shared" si="140"/>
        <v/>
      </c>
      <c r="AA138" s="172" t="str">
        <f t="shared" si="140"/>
        <v/>
      </c>
      <c r="AB138" s="172" t="str">
        <f t="shared" si="140"/>
        <v/>
      </c>
      <c r="AC138" s="172" t="str">
        <f t="shared" si="140"/>
        <v/>
      </c>
      <c r="AD138" s="172" t="str">
        <f t="shared" si="140"/>
        <v/>
      </c>
      <c r="AE138" s="172" t="str">
        <f t="shared" si="140"/>
        <v/>
      </c>
      <c r="AF138" s="172" t="str">
        <f t="shared" si="140"/>
        <v/>
      </c>
      <c r="AG138" s="172" t="str">
        <f t="shared" si="140"/>
        <v/>
      </c>
      <c r="AH138" s="172" t="str">
        <f t="shared" si="140"/>
        <v/>
      </c>
      <c r="AI138" s="172" t="str">
        <f t="shared" si="140"/>
        <v/>
      </c>
      <c r="AJ138" s="172" t="str">
        <f t="shared" si="140"/>
        <v/>
      </c>
      <c r="AK138" s="172" t="str">
        <f t="shared" si="140"/>
        <v/>
      </c>
      <c r="AL138" s="172" t="str">
        <f t="shared" si="140"/>
        <v/>
      </c>
      <c r="AM138" s="172" t="str">
        <f t="shared" si="140"/>
        <v/>
      </c>
      <c r="AN138" s="172" t="str">
        <f t="shared" si="140"/>
        <v/>
      </c>
      <c r="AO138" s="172" t="str">
        <f t="shared" si="140"/>
        <v/>
      </c>
      <c r="AP138" s="172" t="str">
        <f t="shared" si="140"/>
        <v/>
      </c>
      <c r="AQ138" s="172" t="str">
        <f t="shared" si="140"/>
        <v/>
      </c>
      <c r="AR138" s="172" t="str">
        <f t="shared" si="140"/>
        <v/>
      </c>
      <c r="AS138" s="172" t="str">
        <f t="shared" si="140"/>
        <v/>
      </c>
      <c r="AT138" s="173">
        <f>IF(AT$6="","",IF(AT$3="Maior",iferror(VLOOKUP($R138,Capa!$A:$AJ,AT$5,0),0),IF(ISERROR(1/VLOOKUP($R138,Capa!$A:$AJ,AT$5,0)),0,1/VLOOKUP($R138,Capa!$A:$AJ,AT$5,0))))</f>
        <v>0</v>
      </c>
      <c r="AU138" s="174">
        <f>IF(AU$6="","",IF(AU$3="Maior",iferror(VLOOKUP($R138,Capa!$A:$AJ,AU$5,0),0),IF(ISERROR(1/VLOOKUP($R138,Capa!$A:$AJ,AU$5,0)),0,1/VLOOKUP($R138,Capa!$A:$AJ,AU$5,0))))</f>
        <v>20.24</v>
      </c>
      <c r="AV138" s="174" t="str">
        <f>IF(AV$6="","",IF(AV$3="Maior",iferror(VLOOKUP($R138,Capa!$A:$AJ,AV$5,0),0),IF(ISERROR(1/VLOOKUP($R138,Capa!$A:$AJ,AV$5,0)),0,1/VLOOKUP($R138,Capa!$A:$AJ,AV$5,0))))</f>
        <v/>
      </c>
      <c r="AW138" s="174" t="str">
        <f>IF(AW$6="","",IF(AW$3="Maior",iferror(VLOOKUP($R138,Capa!$A:$AJ,AW$5,0),0),IF(ISERROR(1/VLOOKUP($R138,Capa!$A:$AJ,AW$5,0)),0,1/VLOOKUP($R138,Capa!$A:$AJ,AW$5,0))))</f>
        <v/>
      </c>
      <c r="AX138" s="174" t="str">
        <f>IF(AX$6="","",IF(AX$3="Maior",iferror(VLOOKUP($R138,Capa!$A:$AJ,AX$5,0),0),IF(ISERROR(1/VLOOKUP($R138,Capa!$A:$AJ,AX$5,0)),0,1/VLOOKUP($R138,Capa!$A:$AJ,AX$5,0))))</f>
        <v/>
      </c>
      <c r="AY138" s="174" t="str">
        <f>IF(AY$6="","",IF(AY$3="Maior",iferror(VLOOKUP($R138,Capa!$A:$AJ,AY$5,0),0),IF(ISERROR(1/VLOOKUP($R138,Capa!$A:$AJ,AY$5,0)),0,1/VLOOKUP($R138,Capa!$A:$AJ,AY$5,0))))</f>
        <v/>
      </c>
      <c r="AZ138" s="174" t="str">
        <f>IF(AZ$6="","",IF(AZ$3="Maior",iferror(VLOOKUP($R138,Capa!$A:$AJ,AZ$5,0),0),IF(ISERROR(1/VLOOKUP($R138,Capa!$A:$AJ,AZ$5,0)),0,1/VLOOKUP($R138,Capa!$A:$AJ,AZ$5,0))))</f>
        <v/>
      </c>
      <c r="BA138" s="174" t="str">
        <f>IF(BA$6="","",IF(BA$3="Maior",iferror(VLOOKUP($R138,Capa!$A:$AJ,BA$5,0),0),IF(ISERROR(1/VLOOKUP($R138,Capa!$A:$AJ,BA$5,0)),0,1/VLOOKUP($R138,Capa!$A:$AJ,BA$5,0))))</f>
        <v/>
      </c>
      <c r="BB138" s="174" t="str">
        <f>IF(BB$6="","",IF(BB$3="Maior",iferror(VLOOKUP($R138,Capa!$A:$AJ,BB$5,0),0),IF(ISERROR(1/VLOOKUP($R138,Capa!$A:$AJ,BB$5,0)),0,1/VLOOKUP($R138,Capa!$A:$AJ,BB$5,0))))</f>
        <v/>
      </c>
      <c r="BC138" s="174" t="str">
        <f>IF(BC$6="","",IF(BC$3="Maior",iferror(VLOOKUP($R138,Capa!$A:$AJ,BC$5,0),0),IF(ISERROR(1/VLOOKUP($R138,Capa!$A:$AJ,BC$5,0)),0,1/VLOOKUP($R138,Capa!$A:$AJ,BC$5,0))))</f>
        <v/>
      </c>
      <c r="BD138" s="174" t="str">
        <f>IF(BD$6="","",IF(BD$3="Maior",iferror(VLOOKUP($R138,Capa!$A:$AJ,BD$5,0),0),IF(ISERROR(1/VLOOKUP($R138,Capa!$A:$AJ,BD$5,0)),0,1/VLOOKUP($R138,Capa!$A:$AJ,BD$5,0))))</f>
        <v/>
      </c>
      <c r="BE138" s="174" t="str">
        <f>IF(BE$6="","",IF(BE$3="Maior",iferror(VLOOKUP($R138,Capa!$A:$AJ,BE$5,0),0),IF(ISERROR(1/VLOOKUP($R138,Capa!$A:$AJ,BE$5,0)),0,1/VLOOKUP($R138,Capa!$A:$AJ,BE$5,0))))</f>
        <v/>
      </c>
      <c r="BF138" s="174" t="str">
        <f>IF(BF$6="","",IF(BF$3="Maior",iferror(VLOOKUP($R138,Capa!$A:$AJ,BF$5,0),0),IF(ISERROR(1/VLOOKUP($R138,Capa!$A:$AJ,BF$5,0)),0,1/VLOOKUP($R138,Capa!$A:$AJ,BF$5,0))))</f>
        <v/>
      </c>
      <c r="BG138" s="174" t="str">
        <f>IF(BG$6="","",IF(BG$3="Maior",iferror(VLOOKUP($R138,Capa!$A:$AJ,BG$5,0),0),IF(ISERROR(1/VLOOKUP($R138,Capa!$A:$AJ,BG$5,0)),0,1/VLOOKUP($R138,Capa!$A:$AJ,BG$5,0))))</f>
        <v/>
      </c>
      <c r="BH138" s="174" t="str">
        <f>IF(BH$6="","",IF(BH$3="Maior",iferror(VLOOKUP($R138,Capa!$A:$AJ,BH$5,0),0),IF(ISERROR(1/VLOOKUP($R138,Capa!$A:$AJ,BH$5,0)),0,1/VLOOKUP($R138,Capa!$A:$AJ,BH$5,0))))</f>
        <v/>
      </c>
      <c r="BI138" s="174" t="str">
        <f>IF(BI$6="","",IF(BI$3="Maior",iferror(VLOOKUP($R138,Capa!$A:$AJ,BI$5,0),0),IF(ISERROR(1/VLOOKUP($R138,Capa!$A:$AJ,BI$5,0)),0,1/VLOOKUP($R138,Capa!$A:$AJ,BI$5,0))))</f>
        <v/>
      </c>
      <c r="BJ138" s="174" t="str">
        <f>IF(BJ$6="","",IF(BJ$3="Maior",iferror(VLOOKUP($R138,Capa!$A:$AJ,BJ$5,0),0),IF(ISERROR(1/VLOOKUP($R138,Capa!$A:$AJ,BJ$5,0)),0,1/VLOOKUP($R138,Capa!$A:$AJ,BJ$5,0))))</f>
        <v/>
      </c>
      <c r="BK138" s="174" t="str">
        <f>IF(BK$6="","",IF(BK$3="Maior",iferror(VLOOKUP($R138,Capa!$A:$AJ,BK$5,0),0),IF(ISERROR(1/VLOOKUP($R138,Capa!$A:$AJ,BK$5,0)),0,1/VLOOKUP($R138,Capa!$A:$AJ,BK$5,0))))</f>
        <v/>
      </c>
      <c r="BL138" s="174" t="str">
        <f>IF(BL$6="","",IF(BL$3="Maior",iferror(VLOOKUP($R138,Capa!$A:$AJ,BL$5,0),0),IF(ISERROR(1/VLOOKUP($R138,Capa!$A:$AJ,BL$5,0)),0,1/VLOOKUP($R138,Capa!$A:$AJ,BL$5,0))))</f>
        <v/>
      </c>
      <c r="BM138" s="174" t="str">
        <f>IF(BM$6="","",IF(BM$3="Maior",iferror(VLOOKUP($R138,Capa!$A:$AJ,BM$5,0),0),IF(ISERROR(1/VLOOKUP($R138,Capa!$A:$AJ,BM$5,0)),0,1/VLOOKUP($R138,Capa!$A:$AJ,BM$5,0))))</f>
        <v/>
      </c>
      <c r="BN138" s="174" t="str">
        <f>IF(BN$6="","",IF(BN$3="Maior",iferror(VLOOKUP($R138,Capa!$A:$AJ,BN$5,0),0),IF(ISERROR(1/VLOOKUP($R138,Capa!$A:$AJ,BN$5,0)),0,1/VLOOKUP($R138,Capa!$A:$AJ,BN$5,0))))</f>
        <v/>
      </c>
      <c r="BO138" s="174" t="str">
        <f>IF(BO$6="","",IF(BO$3="Maior",iferror(VLOOKUP($R138,Capa!$A:$AJ,BO$5,0),0),IF(ISERROR(1/VLOOKUP($R138,Capa!$A:$AJ,BO$5,0)),0,1/VLOOKUP($R138,Capa!$A:$AJ,BO$5,0))))</f>
        <v/>
      </c>
      <c r="BP138" s="174" t="str">
        <f>IF(BP$6="","",IF(BP$3="Maior",iferror(VLOOKUP($R138,Capa!$A:$AJ,BP$5,0),0),IF(ISERROR(1/VLOOKUP($R138,Capa!$A:$AJ,BP$5,0)),0,1/VLOOKUP($R138,Capa!$A:$AJ,BP$5,0))))</f>
        <v/>
      </c>
      <c r="BQ138" s="174" t="str">
        <f>IF(BQ$6="","",IF(BQ$3="Maior",iferror(VLOOKUP($R138,Capa!$A:$AJ,BQ$5,0),0),IF(ISERROR(1/VLOOKUP($R138,Capa!$A:$AJ,BQ$5,0)),0,1/VLOOKUP($R138,Capa!$A:$AJ,BQ$5,0))))</f>
        <v/>
      </c>
      <c r="BR138" s="175"/>
      <c r="BS138" s="147"/>
    </row>
    <row r="139">
      <c r="G139" s="11"/>
      <c r="H139" s="8">
        <v>133.0</v>
      </c>
      <c r="I139" s="165" t="str">
        <f t="shared" si="6"/>
        <v>KLBN3</v>
      </c>
      <c r="J139" s="166" t="str">
        <f>(VLOOKUP($I139,Capa!$A:$B,2,0))</f>
        <v>Klabin SA</v>
      </c>
      <c r="K139" s="167" t="str">
        <f>VLOOKUP(left(I139,4),Setor!A:D,3,0)&amp;" | "&amp;VLOOKUP(left(I139,4),Setor!A:D,4,0)</f>
        <v>Materiais Básicos | Madeira e Papel</v>
      </c>
      <c r="L139" s="168">
        <f>(VLOOKUP($I139,Capa!$A:$F,6,0))</f>
        <v>3.99</v>
      </c>
      <c r="M139" s="168">
        <f t="shared" si="7"/>
        <v>3168023</v>
      </c>
      <c r="N139" s="11" t="str">
        <f>IFERROR(__xludf.DUMMYFUNCTION("(VLOOKUP($I139,Capa!$A:$H,7,0))"),"")</f>
        <v/>
      </c>
      <c r="O139" s="169">
        <f>(VLOOKUP($I139,Capa!$A:$H,8,0))</f>
        <v>0.0445026178</v>
      </c>
      <c r="P139" s="11" t="str">
        <f>IFERROR(__xludf.DUMMYFUNCTION("(VLOOKUP($I139,Capa!$A:$J,10,0))"),"")</f>
        <v/>
      </c>
      <c r="Q139" s="169">
        <f>(VLOOKUP($I139,Capa!$A:$K,11,0))</f>
        <v>-0.07852193995</v>
      </c>
      <c r="R139" s="45" t="str">
        <f>'Dados StatusInvest'!A134</f>
        <v>CBAV3</v>
      </c>
      <c r="S139" s="170">
        <f t="shared" si="8"/>
        <v>667.0667</v>
      </c>
      <c r="T139" s="171">
        <f>VLOOKUP(R139,'Dados StatusInvest'!A:Z,26,0)</f>
        <v>107000000</v>
      </c>
      <c r="U139" s="172">
        <f t="shared" ref="U139:AS139" si="141">IF(AT139="","", RANK(AT139,AT$7:AT$626,0)+RANK(AT139,AT$7:AT$626,0)/10000)</f>
        <v>400.04</v>
      </c>
      <c r="V139" s="172">
        <f t="shared" si="141"/>
        <v>267.0267</v>
      </c>
      <c r="W139" s="172" t="str">
        <f t="shared" si="141"/>
        <v/>
      </c>
      <c r="X139" s="172" t="str">
        <f t="shared" si="141"/>
        <v/>
      </c>
      <c r="Y139" s="172" t="str">
        <f t="shared" si="141"/>
        <v/>
      </c>
      <c r="Z139" s="172" t="str">
        <f t="shared" si="141"/>
        <v/>
      </c>
      <c r="AA139" s="172" t="str">
        <f t="shared" si="141"/>
        <v/>
      </c>
      <c r="AB139" s="172" t="str">
        <f t="shared" si="141"/>
        <v/>
      </c>
      <c r="AC139" s="172" t="str">
        <f t="shared" si="141"/>
        <v/>
      </c>
      <c r="AD139" s="172" t="str">
        <f t="shared" si="141"/>
        <v/>
      </c>
      <c r="AE139" s="172" t="str">
        <f t="shared" si="141"/>
        <v/>
      </c>
      <c r="AF139" s="172" t="str">
        <f t="shared" si="141"/>
        <v/>
      </c>
      <c r="AG139" s="172" t="str">
        <f t="shared" si="141"/>
        <v/>
      </c>
      <c r="AH139" s="172" t="str">
        <f t="shared" si="141"/>
        <v/>
      </c>
      <c r="AI139" s="172" t="str">
        <f t="shared" si="141"/>
        <v/>
      </c>
      <c r="AJ139" s="172" t="str">
        <f t="shared" si="141"/>
        <v/>
      </c>
      <c r="AK139" s="172" t="str">
        <f t="shared" si="141"/>
        <v/>
      </c>
      <c r="AL139" s="172" t="str">
        <f t="shared" si="141"/>
        <v/>
      </c>
      <c r="AM139" s="172" t="str">
        <f t="shared" si="141"/>
        <v/>
      </c>
      <c r="AN139" s="172" t="str">
        <f t="shared" si="141"/>
        <v/>
      </c>
      <c r="AO139" s="172" t="str">
        <f t="shared" si="141"/>
        <v/>
      </c>
      <c r="AP139" s="172" t="str">
        <f t="shared" si="141"/>
        <v/>
      </c>
      <c r="AQ139" s="172" t="str">
        <f t="shared" si="141"/>
        <v/>
      </c>
      <c r="AR139" s="172" t="str">
        <f t="shared" si="141"/>
        <v/>
      </c>
      <c r="AS139" s="172" t="str">
        <f t="shared" si="141"/>
        <v/>
      </c>
      <c r="AT139" s="173">
        <f>IF(AT$6="","",IF(AT$3="Maior",iferror(VLOOKUP($R139,Capa!$A:$AJ,AT$5,0),0),IF(ISERROR(1/VLOOKUP($R139,Capa!$A:$AJ,AT$5,0)),0,1/VLOOKUP($R139,Capa!$A:$AJ,AT$5,0))))</f>
        <v>-1.372849875</v>
      </c>
      <c r="AU139" s="174">
        <f>IF(AU$6="","",IF(AU$3="Maior",iferror(VLOOKUP($R139,Capa!$A:$AJ,AU$5,0),0),IF(ISERROR(1/VLOOKUP($R139,Capa!$A:$AJ,AU$5,0)),0,1/VLOOKUP($R139,Capa!$A:$AJ,AU$5,0))))</f>
        <v>0</v>
      </c>
      <c r="AV139" s="174" t="str">
        <f>IF(AV$6="","",IF(AV$3="Maior",iferror(VLOOKUP($R139,Capa!$A:$AJ,AV$5,0),0),IF(ISERROR(1/VLOOKUP($R139,Capa!$A:$AJ,AV$5,0)),0,1/VLOOKUP($R139,Capa!$A:$AJ,AV$5,0))))</f>
        <v/>
      </c>
      <c r="AW139" s="174" t="str">
        <f>IF(AW$6="","",IF(AW$3="Maior",iferror(VLOOKUP($R139,Capa!$A:$AJ,AW$5,0),0),IF(ISERROR(1/VLOOKUP($R139,Capa!$A:$AJ,AW$5,0)),0,1/VLOOKUP($R139,Capa!$A:$AJ,AW$5,0))))</f>
        <v/>
      </c>
      <c r="AX139" s="174" t="str">
        <f>IF(AX$6="","",IF(AX$3="Maior",iferror(VLOOKUP($R139,Capa!$A:$AJ,AX$5,0),0),IF(ISERROR(1/VLOOKUP($R139,Capa!$A:$AJ,AX$5,0)),0,1/VLOOKUP($R139,Capa!$A:$AJ,AX$5,0))))</f>
        <v/>
      </c>
      <c r="AY139" s="174" t="str">
        <f>IF(AY$6="","",IF(AY$3="Maior",iferror(VLOOKUP($R139,Capa!$A:$AJ,AY$5,0),0),IF(ISERROR(1/VLOOKUP($R139,Capa!$A:$AJ,AY$5,0)),0,1/VLOOKUP($R139,Capa!$A:$AJ,AY$5,0))))</f>
        <v/>
      </c>
      <c r="AZ139" s="174" t="str">
        <f>IF(AZ$6="","",IF(AZ$3="Maior",iferror(VLOOKUP($R139,Capa!$A:$AJ,AZ$5,0),0),IF(ISERROR(1/VLOOKUP($R139,Capa!$A:$AJ,AZ$5,0)),0,1/VLOOKUP($R139,Capa!$A:$AJ,AZ$5,0))))</f>
        <v/>
      </c>
      <c r="BA139" s="174" t="str">
        <f>IF(BA$6="","",IF(BA$3="Maior",iferror(VLOOKUP($R139,Capa!$A:$AJ,BA$5,0),0),IF(ISERROR(1/VLOOKUP($R139,Capa!$A:$AJ,BA$5,0)),0,1/VLOOKUP($R139,Capa!$A:$AJ,BA$5,0))))</f>
        <v/>
      </c>
      <c r="BB139" s="174" t="str">
        <f>IF(BB$6="","",IF(BB$3="Maior",iferror(VLOOKUP($R139,Capa!$A:$AJ,BB$5,0),0),IF(ISERROR(1/VLOOKUP($R139,Capa!$A:$AJ,BB$5,0)),0,1/VLOOKUP($R139,Capa!$A:$AJ,BB$5,0))))</f>
        <v/>
      </c>
      <c r="BC139" s="174" t="str">
        <f>IF(BC$6="","",IF(BC$3="Maior",iferror(VLOOKUP($R139,Capa!$A:$AJ,BC$5,0),0),IF(ISERROR(1/VLOOKUP($R139,Capa!$A:$AJ,BC$5,0)),0,1/VLOOKUP($R139,Capa!$A:$AJ,BC$5,0))))</f>
        <v/>
      </c>
      <c r="BD139" s="174" t="str">
        <f>IF(BD$6="","",IF(BD$3="Maior",iferror(VLOOKUP($R139,Capa!$A:$AJ,BD$5,0),0),IF(ISERROR(1/VLOOKUP($R139,Capa!$A:$AJ,BD$5,0)),0,1/VLOOKUP($R139,Capa!$A:$AJ,BD$5,0))))</f>
        <v/>
      </c>
      <c r="BE139" s="174" t="str">
        <f>IF(BE$6="","",IF(BE$3="Maior",iferror(VLOOKUP($R139,Capa!$A:$AJ,BE$5,0),0),IF(ISERROR(1/VLOOKUP($R139,Capa!$A:$AJ,BE$5,0)),0,1/VLOOKUP($R139,Capa!$A:$AJ,BE$5,0))))</f>
        <v/>
      </c>
      <c r="BF139" s="174" t="str">
        <f>IF(BF$6="","",IF(BF$3="Maior",iferror(VLOOKUP($R139,Capa!$A:$AJ,BF$5,0),0),IF(ISERROR(1/VLOOKUP($R139,Capa!$A:$AJ,BF$5,0)),0,1/VLOOKUP($R139,Capa!$A:$AJ,BF$5,0))))</f>
        <v/>
      </c>
      <c r="BG139" s="174" t="str">
        <f>IF(BG$6="","",IF(BG$3="Maior",iferror(VLOOKUP($R139,Capa!$A:$AJ,BG$5,0),0),IF(ISERROR(1/VLOOKUP($R139,Capa!$A:$AJ,BG$5,0)),0,1/VLOOKUP($R139,Capa!$A:$AJ,BG$5,0))))</f>
        <v/>
      </c>
      <c r="BH139" s="174" t="str">
        <f>IF(BH$6="","",IF(BH$3="Maior",iferror(VLOOKUP($R139,Capa!$A:$AJ,BH$5,0),0),IF(ISERROR(1/VLOOKUP($R139,Capa!$A:$AJ,BH$5,0)),0,1/VLOOKUP($R139,Capa!$A:$AJ,BH$5,0))))</f>
        <v/>
      </c>
      <c r="BI139" s="174" t="str">
        <f>IF(BI$6="","",IF(BI$3="Maior",iferror(VLOOKUP($R139,Capa!$A:$AJ,BI$5,0),0),IF(ISERROR(1/VLOOKUP($R139,Capa!$A:$AJ,BI$5,0)),0,1/VLOOKUP($R139,Capa!$A:$AJ,BI$5,0))))</f>
        <v/>
      </c>
      <c r="BJ139" s="174" t="str">
        <f>IF(BJ$6="","",IF(BJ$3="Maior",iferror(VLOOKUP($R139,Capa!$A:$AJ,BJ$5,0),0),IF(ISERROR(1/VLOOKUP($R139,Capa!$A:$AJ,BJ$5,0)),0,1/VLOOKUP($R139,Capa!$A:$AJ,BJ$5,0))))</f>
        <v/>
      </c>
      <c r="BK139" s="174" t="str">
        <f>IF(BK$6="","",IF(BK$3="Maior",iferror(VLOOKUP($R139,Capa!$A:$AJ,BK$5,0),0),IF(ISERROR(1/VLOOKUP($R139,Capa!$A:$AJ,BK$5,0)),0,1/VLOOKUP($R139,Capa!$A:$AJ,BK$5,0))))</f>
        <v/>
      </c>
      <c r="BL139" s="174" t="str">
        <f>IF(BL$6="","",IF(BL$3="Maior",iferror(VLOOKUP($R139,Capa!$A:$AJ,BL$5,0),0),IF(ISERROR(1/VLOOKUP($R139,Capa!$A:$AJ,BL$5,0)),0,1/VLOOKUP($R139,Capa!$A:$AJ,BL$5,0))))</f>
        <v/>
      </c>
      <c r="BM139" s="174" t="str">
        <f>IF(BM$6="","",IF(BM$3="Maior",iferror(VLOOKUP($R139,Capa!$A:$AJ,BM$5,0),0),IF(ISERROR(1/VLOOKUP($R139,Capa!$A:$AJ,BM$5,0)),0,1/VLOOKUP($R139,Capa!$A:$AJ,BM$5,0))))</f>
        <v/>
      </c>
      <c r="BN139" s="174" t="str">
        <f>IF(BN$6="","",IF(BN$3="Maior",iferror(VLOOKUP($R139,Capa!$A:$AJ,BN$5,0),0),IF(ISERROR(1/VLOOKUP($R139,Capa!$A:$AJ,BN$5,0)),0,1/VLOOKUP($R139,Capa!$A:$AJ,BN$5,0))))</f>
        <v/>
      </c>
      <c r="BO139" s="174" t="str">
        <f>IF(BO$6="","",IF(BO$3="Maior",iferror(VLOOKUP($R139,Capa!$A:$AJ,BO$5,0),0),IF(ISERROR(1/VLOOKUP($R139,Capa!$A:$AJ,BO$5,0)),0,1/VLOOKUP($R139,Capa!$A:$AJ,BO$5,0))))</f>
        <v/>
      </c>
      <c r="BP139" s="174" t="str">
        <f>IF(BP$6="","",IF(BP$3="Maior",iferror(VLOOKUP($R139,Capa!$A:$AJ,BP$5,0),0),IF(ISERROR(1/VLOOKUP($R139,Capa!$A:$AJ,BP$5,0)),0,1/VLOOKUP($R139,Capa!$A:$AJ,BP$5,0))))</f>
        <v/>
      </c>
      <c r="BQ139" s="174" t="str">
        <f>IF(BQ$6="","",IF(BQ$3="Maior",iferror(VLOOKUP($R139,Capa!$A:$AJ,BQ$5,0),0),IF(ISERROR(1/VLOOKUP($R139,Capa!$A:$AJ,BQ$5,0)),0,1/VLOOKUP($R139,Capa!$A:$AJ,BQ$5,0))))</f>
        <v/>
      </c>
      <c r="BR139" s="175"/>
      <c r="BS139" s="147"/>
    </row>
    <row r="140">
      <c r="G140" s="11"/>
      <c r="H140" s="8">
        <v>134.0</v>
      </c>
      <c r="I140" s="165" t="str">
        <f t="shared" si="6"/>
        <v>KLBN3</v>
      </c>
      <c r="J140" s="166" t="str">
        <f>(VLOOKUP($I140,Capa!$A:$B,2,0))</f>
        <v>Klabin SA</v>
      </c>
      <c r="K140" s="167" t="str">
        <f>VLOOKUP(left(I140,4),Setor!A:D,3,0)&amp;" | "&amp;VLOOKUP(left(I140,4),Setor!A:D,4,0)</f>
        <v>Materiais Básicos | Madeira e Papel</v>
      </c>
      <c r="L140" s="168">
        <f>(VLOOKUP($I140,Capa!$A:$F,6,0))</f>
        <v>3.99</v>
      </c>
      <c r="M140" s="168">
        <f t="shared" si="7"/>
        <v>3168023</v>
      </c>
      <c r="N140" s="11" t="str">
        <f>IFERROR(__xludf.DUMMYFUNCTION("(VLOOKUP($I140,Capa!$A:$H,7,0))"),"")</f>
        <v/>
      </c>
      <c r="O140" s="169">
        <f>(VLOOKUP($I140,Capa!$A:$H,8,0))</f>
        <v>0.0445026178</v>
      </c>
      <c r="P140" s="11" t="str">
        <f>IFERROR(__xludf.DUMMYFUNCTION("(VLOOKUP($I140,Capa!$A:$J,10,0))"),"")</f>
        <v/>
      </c>
      <c r="Q140" s="169">
        <f>(VLOOKUP($I140,Capa!$A:$K,11,0))</f>
        <v>-0.07852193995</v>
      </c>
      <c r="R140" s="45" t="str">
        <f>'Dados StatusInvest'!A135</f>
        <v>CBEE3</v>
      </c>
      <c r="S140" s="170">
        <f t="shared" si="8"/>
        <v>1673.0673</v>
      </c>
      <c r="T140" s="171">
        <f>VLOOKUP(R140,'Dados StatusInvest'!A:Z,26,0)</f>
        <v>1251.93</v>
      </c>
      <c r="U140" s="172">
        <f t="shared" ref="U140:AS140" si="142">IF(AT140="","", RANK(AT140,AT$7:AT$626,0)+RANK(AT140,AT$7:AT$626,0)/10000)</f>
        <v>509.0509</v>
      </c>
      <c r="V140" s="172">
        <f t="shared" si="142"/>
        <v>164.0164</v>
      </c>
      <c r="W140" s="172" t="str">
        <f t="shared" si="142"/>
        <v/>
      </c>
      <c r="X140" s="172" t="str">
        <f t="shared" si="142"/>
        <v/>
      </c>
      <c r="Y140" s="172" t="str">
        <f t="shared" si="142"/>
        <v/>
      </c>
      <c r="Z140" s="172" t="str">
        <f t="shared" si="142"/>
        <v/>
      </c>
      <c r="AA140" s="172" t="str">
        <f t="shared" si="142"/>
        <v/>
      </c>
      <c r="AB140" s="172" t="str">
        <f t="shared" si="142"/>
        <v/>
      </c>
      <c r="AC140" s="172" t="str">
        <f t="shared" si="142"/>
        <v/>
      </c>
      <c r="AD140" s="172" t="str">
        <f t="shared" si="142"/>
        <v/>
      </c>
      <c r="AE140" s="172" t="str">
        <f t="shared" si="142"/>
        <v/>
      </c>
      <c r="AF140" s="172" t="str">
        <f t="shared" si="142"/>
        <v/>
      </c>
      <c r="AG140" s="172" t="str">
        <f t="shared" si="142"/>
        <v/>
      </c>
      <c r="AH140" s="172" t="str">
        <f t="shared" si="142"/>
        <v/>
      </c>
      <c r="AI140" s="172" t="str">
        <f t="shared" si="142"/>
        <v/>
      </c>
      <c r="AJ140" s="172" t="str">
        <f t="shared" si="142"/>
        <v/>
      </c>
      <c r="AK140" s="172" t="str">
        <f t="shared" si="142"/>
        <v/>
      </c>
      <c r="AL140" s="172" t="str">
        <f t="shared" si="142"/>
        <v/>
      </c>
      <c r="AM140" s="172" t="str">
        <f t="shared" si="142"/>
        <v/>
      </c>
      <c r="AN140" s="172" t="str">
        <f t="shared" si="142"/>
        <v/>
      </c>
      <c r="AO140" s="172" t="str">
        <f t="shared" si="142"/>
        <v/>
      </c>
      <c r="AP140" s="172" t="str">
        <f t="shared" si="142"/>
        <v/>
      </c>
      <c r="AQ140" s="172" t="str">
        <f t="shared" si="142"/>
        <v/>
      </c>
      <c r="AR140" s="172" t="str">
        <f t="shared" si="142"/>
        <v/>
      </c>
      <c r="AS140" s="172" t="str">
        <f t="shared" si="142"/>
        <v/>
      </c>
      <c r="AT140" s="173">
        <f>IF(AT$6="","",IF(AT$3="Maior",iferror(VLOOKUP($R140,Capa!$A:$AJ,AT$5,0),0),IF(ISERROR(1/VLOOKUP($R140,Capa!$A:$AJ,AT$5,0)),0,1/VLOOKUP($R140,Capa!$A:$AJ,AT$5,0))))</f>
        <v>-3.571428571</v>
      </c>
      <c r="AU140" s="174">
        <f>IF(AU$6="","",IF(AU$3="Maior",iferror(VLOOKUP($R140,Capa!$A:$AJ,AU$5,0),0),IF(ISERROR(1/VLOOKUP($R140,Capa!$A:$AJ,AU$5,0)),0,1/VLOOKUP($R140,Capa!$A:$AJ,AU$5,0))))</f>
        <v>15.76</v>
      </c>
      <c r="AV140" s="174" t="str">
        <f>IF(AV$6="","",IF(AV$3="Maior",iferror(VLOOKUP($R140,Capa!$A:$AJ,AV$5,0),0),IF(ISERROR(1/VLOOKUP($R140,Capa!$A:$AJ,AV$5,0)),0,1/VLOOKUP($R140,Capa!$A:$AJ,AV$5,0))))</f>
        <v/>
      </c>
      <c r="AW140" s="174" t="str">
        <f>IF(AW$6="","",IF(AW$3="Maior",iferror(VLOOKUP($R140,Capa!$A:$AJ,AW$5,0),0),IF(ISERROR(1/VLOOKUP($R140,Capa!$A:$AJ,AW$5,0)),0,1/VLOOKUP($R140,Capa!$A:$AJ,AW$5,0))))</f>
        <v/>
      </c>
      <c r="AX140" s="174" t="str">
        <f>IF(AX$6="","",IF(AX$3="Maior",iferror(VLOOKUP($R140,Capa!$A:$AJ,AX$5,0),0),IF(ISERROR(1/VLOOKUP($R140,Capa!$A:$AJ,AX$5,0)),0,1/VLOOKUP($R140,Capa!$A:$AJ,AX$5,0))))</f>
        <v/>
      </c>
      <c r="AY140" s="174" t="str">
        <f>IF(AY$6="","",IF(AY$3="Maior",iferror(VLOOKUP($R140,Capa!$A:$AJ,AY$5,0),0),IF(ISERROR(1/VLOOKUP($R140,Capa!$A:$AJ,AY$5,0)),0,1/VLOOKUP($R140,Capa!$A:$AJ,AY$5,0))))</f>
        <v/>
      </c>
      <c r="AZ140" s="174" t="str">
        <f>IF(AZ$6="","",IF(AZ$3="Maior",iferror(VLOOKUP($R140,Capa!$A:$AJ,AZ$5,0),0),IF(ISERROR(1/VLOOKUP($R140,Capa!$A:$AJ,AZ$5,0)),0,1/VLOOKUP($R140,Capa!$A:$AJ,AZ$5,0))))</f>
        <v/>
      </c>
      <c r="BA140" s="174" t="str">
        <f>IF(BA$6="","",IF(BA$3="Maior",iferror(VLOOKUP($R140,Capa!$A:$AJ,BA$5,0),0),IF(ISERROR(1/VLOOKUP($R140,Capa!$A:$AJ,BA$5,0)),0,1/VLOOKUP($R140,Capa!$A:$AJ,BA$5,0))))</f>
        <v/>
      </c>
      <c r="BB140" s="174" t="str">
        <f>IF(BB$6="","",IF(BB$3="Maior",iferror(VLOOKUP($R140,Capa!$A:$AJ,BB$5,0),0),IF(ISERROR(1/VLOOKUP($R140,Capa!$A:$AJ,BB$5,0)),0,1/VLOOKUP($R140,Capa!$A:$AJ,BB$5,0))))</f>
        <v/>
      </c>
      <c r="BC140" s="174" t="str">
        <f>IF(BC$6="","",IF(BC$3="Maior",iferror(VLOOKUP($R140,Capa!$A:$AJ,BC$5,0),0),IF(ISERROR(1/VLOOKUP($R140,Capa!$A:$AJ,BC$5,0)),0,1/VLOOKUP($R140,Capa!$A:$AJ,BC$5,0))))</f>
        <v/>
      </c>
      <c r="BD140" s="174" t="str">
        <f>IF(BD$6="","",IF(BD$3="Maior",iferror(VLOOKUP($R140,Capa!$A:$AJ,BD$5,0),0),IF(ISERROR(1/VLOOKUP($R140,Capa!$A:$AJ,BD$5,0)),0,1/VLOOKUP($R140,Capa!$A:$AJ,BD$5,0))))</f>
        <v/>
      </c>
      <c r="BE140" s="174" t="str">
        <f>IF(BE$6="","",IF(BE$3="Maior",iferror(VLOOKUP($R140,Capa!$A:$AJ,BE$5,0),0),IF(ISERROR(1/VLOOKUP($R140,Capa!$A:$AJ,BE$5,0)),0,1/VLOOKUP($R140,Capa!$A:$AJ,BE$5,0))))</f>
        <v/>
      </c>
      <c r="BF140" s="174" t="str">
        <f>IF(BF$6="","",IF(BF$3="Maior",iferror(VLOOKUP($R140,Capa!$A:$AJ,BF$5,0),0),IF(ISERROR(1/VLOOKUP($R140,Capa!$A:$AJ,BF$5,0)),0,1/VLOOKUP($R140,Capa!$A:$AJ,BF$5,0))))</f>
        <v/>
      </c>
      <c r="BG140" s="174" t="str">
        <f>IF(BG$6="","",IF(BG$3="Maior",iferror(VLOOKUP($R140,Capa!$A:$AJ,BG$5,0),0),IF(ISERROR(1/VLOOKUP($R140,Capa!$A:$AJ,BG$5,0)),0,1/VLOOKUP($R140,Capa!$A:$AJ,BG$5,0))))</f>
        <v/>
      </c>
      <c r="BH140" s="174" t="str">
        <f>IF(BH$6="","",IF(BH$3="Maior",iferror(VLOOKUP($R140,Capa!$A:$AJ,BH$5,0),0),IF(ISERROR(1/VLOOKUP($R140,Capa!$A:$AJ,BH$5,0)),0,1/VLOOKUP($R140,Capa!$A:$AJ,BH$5,0))))</f>
        <v/>
      </c>
      <c r="BI140" s="174" t="str">
        <f>IF(BI$6="","",IF(BI$3="Maior",iferror(VLOOKUP($R140,Capa!$A:$AJ,BI$5,0),0),IF(ISERROR(1/VLOOKUP($R140,Capa!$A:$AJ,BI$5,0)),0,1/VLOOKUP($R140,Capa!$A:$AJ,BI$5,0))))</f>
        <v/>
      </c>
      <c r="BJ140" s="174" t="str">
        <f>IF(BJ$6="","",IF(BJ$3="Maior",iferror(VLOOKUP($R140,Capa!$A:$AJ,BJ$5,0),0),IF(ISERROR(1/VLOOKUP($R140,Capa!$A:$AJ,BJ$5,0)),0,1/VLOOKUP($R140,Capa!$A:$AJ,BJ$5,0))))</f>
        <v/>
      </c>
      <c r="BK140" s="174" t="str">
        <f>IF(BK$6="","",IF(BK$3="Maior",iferror(VLOOKUP($R140,Capa!$A:$AJ,BK$5,0),0),IF(ISERROR(1/VLOOKUP($R140,Capa!$A:$AJ,BK$5,0)),0,1/VLOOKUP($R140,Capa!$A:$AJ,BK$5,0))))</f>
        <v/>
      </c>
      <c r="BL140" s="174" t="str">
        <f>IF(BL$6="","",IF(BL$3="Maior",iferror(VLOOKUP($R140,Capa!$A:$AJ,BL$5,0),0),IF(ISERROR(1/VLOOKUP($R140,Capa!$A:$AJ,BL$5,0)),0,1/VLOOKUP($R140,Capa!$A:$AJ,BL$5,0))))</f>
        <v/>
      </c>
      <c r="BM140" s="174" t="str">
        <f>IF(BM$6="","",IF(BM$3="Maior",iferror(VLOOKUP($R140,Capa!$A:$AJ,BM$5,0),0),IF(ISERROR(1/VLOOKUP($R140,Capa!$A:$AJ,BM$5,0)),0,1/VLOOKUP($R140,Capa!$A:$AJ,BM$5,0))))</f>
        <v/>
      </c>
      <c r="BN140" s="174" t="str">
        <f>IF(BN$6="","",IF(BN$3="Maior",iferror(VLOOKUP($R140,Capa!$A:$AJ,BN$5,0),0),IF(ISERROR(1/VLOOKUP($R140,Capa!$A:$AJ,BN$5,0)),0,1/VLOOKUP($R140,Capa!$A:$AJ,BN$5,0))))</f>
        <v/>
      </c>
      <c r="BO140" s="174" t="str">
        <f>IF(BO$6="","",IF(BO$3="Maior",iferror(VLOOKUP($R140,Capa!$A:$AJ,BO$5,0),0),IF(ISERROR(1/VLOOKUP($R140,Capa!$A:$AJ,BO$5,0)),0,1/VLOOKUP($R140,Capa!$A:$AJ,BO$5,0))))</f>
        <v/>
      </c>
      <c r="BP140" s="174" t="str">
        <f>IF(BP$6="","",IF(BP$3="Maior",iferror(VLOOKUP($R140,Capa!$A:$AJ,BP$5,0),0),IF(ISERROR(1/VLOOKUP($R140,Capa!$A:$AJ,BP$5,0)),0,1/VLOOKUP($R140,Capa!$A:$AJ,BP$5,0))))</f>
        <v/>
      </c>
      <c r="BQ140" s="174" t="str">
        <f>IF(BQ$6="","",IF(BQ$3="Maior",iferror(VLOOKUP($R140,Capa!$A:$AJ,BQ$5,0),0),IF(ISERROR(1/VLOOKUP($R140,Capa!$A:$AJ,BQ$5,0)),0,1/VLOOKUP($R140,Capa!$A:$AJ,BQ$5,0))))</f>
        <v/>
      </c>
      <c r="BR140" s="175"/>
      <c r="BS140" s="147"/>
    </row>
    <row r="141">
      <c r="G141" s="11"/>
      <c r="H141" s="8">
        <v>135.0</v>
      </c>
      <c r="I141" s="165" t="str">
        <f t="shared" si="6"/>
        <v>TAEE11</v>
      </c>
      <c r="J141" s="166" t="str">
        <f>(VLOOKUP($I141,Capa!$A:$B,2,0))</f>
        <v>Transmissora Alianca de Enrga Eltrca S/A Unit</v>
      </c>
      <c r="K141" s="167" t="str">
        <f>VLOOKUP(left(I141,4),Setor!A:D,3,0)&amp;" | "&amp;VLOOKUP(left(I141,4),Setor!A:D,4,0)</f>
        <v>Utilidade Pública | Energia Elétrica</v>
      </c>
      <c r="L141" s="168">
        <f>(VLOOKUP($I141,Capa!$A:$F,6,0))</f>
        <v>44.33</v>
      </c>
      <c r="M141" s="168">
        <f t="shared" si="7"/>
        <v>81249691</v>
      </c>
      <c r="N141" s="177" t="str">
        <f>IFERROR(__xludf.DUMMYFUNCTION("(VLOOKUP($I141,Capa!$A:$H,7,0))"),"")</f>
        <v/>
      </c>
      <c r="O141" s="169">
        <f>(VLOOKUP($I141,Capa!$A:$H,8,0))</f>
        <v>0.08892164087</v>
      </c>
      <c r="P141" s="169" t="str">
        <f>IFERROR(__xludf.DUMMYFUNCTION("(VLOOKUP($I141,Capa!$A:$J,10,0))"),"")</f>
        <v/>
      </c>
      <c r="Q141" s="169">
        <f>(VLOOKUP($I141,Capa!$A:$K,11,0))</f>
        <v>0.35731782</v>
      </c>
      <c r="R141" s="45" t="str">
        <f>'Dados StatusInvest'!A136</f>
        <v>CCXC3</v>
      </c>
      <c r="S141" s="170">
        <f t="shared" si="8"/>
        <v>1268.0268</v>
      </c>
      <c r="T141" s="171">
        <f>VLOOKUP(R141,'Dados StatusInvest'!A:Z,26,0)</f>
        <v>0</v>
      </c>
      <c r="U141" s="172">
        <f t="shared" ref="U141:AS141" si="143">IF(AT141="","", RANK(AT141,AT$7:AT$626,0)+RANK(AT141,AT$7:AT$626,0)/10000)</f>
        <v>1.0001</v>
      </c>
      <c r="V141" s="172">
        <f t="shared" si="143"/>
        <v>267.0267</v>
      </c>
      <c r="W141" s="172" t="str">
        <f t="shared" si="143"/>
        <v/>
      </c>
      <c r="X141" s="172" t="str">
        <f t="shared" si="143"/>
        <v/>
      </c>
      <c r="Y141" s="172" t="str">
        <f t="shared" si="143"/>
        <v/>
      </c>
      <c r="Z141" s="172" t="str">
        <f t="shared" si="143"/>
        <v/>
      </c>
      <c r="AA141" s="172" t="str">
        <f t="shared" si="143"/>
        <v/>
      </c>
      <c r="AB141" s="172" t="str">
        <f t="shared" si="143"/>
        <v/>
      </c>
      <c r="AC141" s="172" t="str">
        <f t="shared" si="143"/>
        <v/>
      </c>
      <c r="AD141" s="172" t="str">
        <f t="shared" si="143"/>
        <v/>
      </c>
      <c r="AE141" s="172" t="str">
        <f t="shared" si="143"/>
        <v/>
      </c>
      <c r="AF141" s="172" t="str">
        <f t="shared" si="143"/>
        <v/>
      </c>
      <c r="AG141" s="172" t="str">
        <f t="shared" si="143"/>
        <v/>
      </c>
      <c r="AH141" s="172" t="str">
        <f t="shared" si="143"/>
        <v/>
      </c>
      <c r="AI141" s="172" t="str">
        <f t="shared" si="143"/>
        <v/>
      </c>
      <c r="AJ141" s="172" t="str">
        <f t="shared" si="143"/>
        <v/>
      </c>
      <c r="AK141" s="172" t="str">
        <f t="shared" si="143"/>
        <v/>
      </c>
      <c r="AL141" s="172" t="str">
        <f t="shared" si="143"/>
        <v/>
      </c>
      <c r="AM141" s="172" t="str">
        <f t="shared" si="143"/>
        <v/>
      </c>
      <c r="AN141" s="172" t="str">
        <f t="shared" si="143"/>
        <v/>
      </c>
      <c r="AO141" s="172" t="str">
        <f t="shared" si="143"/>
        <v/>
      </c>
      <c r="AP141" s="172" t="str">
        <f t="shared" si="143"/>
        <v/>
      </c>
      <c r="AQ141" s="172" t="str">
        <f t="shared" si="143"/>
        <v/>
      </c>
      <c r="AR141" s="172" t="str">
        <f t="shared" si="143"/>
        <v/>
      </c>
      <c r="AS141" s="172" t="str">
        <f t="shared" si="143"/>
        <v/>
      </c>
      <c r="AT141" s="173">
        <f>IF(AT$6="","",IF(AT$3="Maior",iferror(VLOOKUP($R141,Capa!$A:$AJ,AT$5,0),0),IF(ISERROR(1/VLOOKUP($R141,Capa!$A:$AJ,AT$5,0)),0,1/VLOOKUP($R141,Capa!$A:$AJ,AT$5,0))))</f>
        <v>33.33333333</v>
      </c>
      <c r="AU141" s="174">
        <f>IF(AU$6="","",IF(AU$3="Maior",iferror(VLOOKUP($R141,Capa!$A:$AJ,AU$5,0),0),IF(ISERROR(1/VLOOKUP($R141,Capa!$A:$AJ,AU$5,0)),0,1/VLOOKUP($R141,Capa!$A:$AJ,AU$5,0))))</f>
        <v>0</v>
      </c>
      <c r="AV141" s="174" t="str">
        <f>IF(AV$6="","",IF(AV$3="Maior",iferror(VLOOKUP($R141,Capa!$A:$AJ,AV$5,0),0),IF(ISERROR(1/VLOOKUP($R141,Capa!$A:$AJ,AV$5,0)),0,1/VLOOKUP($R141,Capa!$A:$AJ,AV$5,0))))</f>
        <v/>
      </c>
      <c r="AW141" s="174" t="str">
        <f>IF(AW$6="","",IF(AW$3="Maior",iferror(VLOOKUP($R141,Capa!$A:$AJ,AW$5,0),0),IF(ISERROR(1/VLOOKUP($R141,Capa!$A:$AJ,AW$5,0)),0,1/VLOOKUP($R141,Capa!$A:$AJ,AW$5,0))))</f>
        <v/>
      </c>
      <c r="AX141" s="174" t="str">
        <f>IF(AX$6="","",IF(AX$3="Maior",iferror(VLOOKUP($R141,Capa!$A:$AJ,AX$5,0),0),IF(ISERROR(1/VLOOKUP($R141,Capa!$A:$AJ,AX$5,0)),0,1/VLOOKUP($R141,Capa!$A:$AJ,AX$5,0))))</f>
        <v/>
      </c>
      <c r="AY141" s="174" t="str">
        <f>IF(AY$6="","",IF(AY$3="Maior",iferror(VLOOKUP($R141,Capa!$A:$AJ,AY$5,0),0),IF(ISERROR(1/VLOOKUP($R141,Capa!$A:$AJ,AY$5,0)),0,1/VLOOKUP($R141,Capa!$A:$AJ,AY$5,0))))</f>
        <v/>
      </c>
      <c r="AZ141" s="174" t="str">
        <f>IF(AZ$6="","",IF(AZ$3="Maior",iferror(VLOOKUP($R141,Capa!$A:$AJ,AZ$5,0),0),IF(ISERROR(1/VLOOKUP($R141,Capa!$A:$AJ,AZ$5,0)),0,1/VLOOKUP($R141,Capa!$A:$AJ,AZ$5,0))))</f>
        <v/>
      </c>
      <c r="BA141" s="174" t="str">
        <f>IF(BA$6="","",IF(BA$3="Maior",iferror(VLOOKUP($R141,Capa!$A:$AJ,BA$5,0),0),IF(ISERROR(1/VLOOKUP($R141,Capa!$A:$AJ,BA$5,0)),0,1/VLOOKUP($R141,Capa!$A:$AJ,BA$5,0))))</f>
        <v/>
      </c>
      <c r="BB141" s="174" t="str">
        <f>IF(BB$6="","",IF(BB$3="Maior",iferror(VLOOKUP($R141,Capa!$A:$AJ,BB$5,0),0),IF(ISERROR(1/VLOOKUP($R141,Capa!$A:$AJ,BB$5,0)),0,1/VLOOKUP($R141,Capa!$A:$AJ,BB$5,0))))</f>
        <v/>
      </c>
      <c r="BC141" s="174" t="str">
        <f>IF(BC$6="","",IF(BC$3="Maior",iferror(VLOOKUP($R141,Capa!$A:$AJ,BC$5,0),0),IF(ISERROR(1/VLOOKUP($R141,Capa!$A:$AJ,BC$5,0)),0,1/VLOOKUP($R141,Capa!$A:$AJ,BC$5,0))))</f>
        <v/>
      </c>
      <c r="BD141" s="174" t="str">
        <f>IF(BD$6="","",IF(BD$3="Maior",iferror(VLOOKUP($R141,Capa!$A:$AJ,BD$5,0),0),IF(ISERROR(1/VLOOKUP($R141,Capa!$A:$AJ,BD$5,0)),0,1/VLOOKUP($R141,Capa!$A:$AJ,BD$5,0))))</f>
        <v/>
      </c>
      <c r="BE141" s="174" t="str">
        <f>IF(BE$6="","",IF(BE$3="Maior",iferror(VLOOKUP($R141,Capa!$A:$AJ,BE$5,0),0),IF(ISERROR(1/VLOOKUP($R141,Capa!$A:$AJ,BE$5,0)),0,1/VLOOKUP($R141,Capa!$A:$AJ,BE$5,0))))</f>
        <v/>
      </c>
      <c r="BF141" s="174" t="str">
        <f>IF(BF$6="","",IF(BF$3="Maior",iferror(VLOOKUP($R141,Capa!$A:$AJ,BF$5,0),0),IF(ISERROR(1/VLOOKUP($R141,Capa!$A:$AJ,BF$5,0)),0,1/VLOOKUP($R141,Capa!$A:$AJ,BF$5,0))))</f>
        <v/>
      </c>
      <c r="BG141" s="174" t="str">
        <f>IF(BG$6="","",IF(BG$3="Maior",iferror(VLOOKUP($R141,Capa!$A:$AJ,BG$5,0),0),IF(ISERROR(1/VLOOKUP($R141,Capa!$A:$AJ,BG$5,0)),0,1/VLOOKUP($R141,Capa!$A:$AJ,BG$5,0))))</f>
        <v/>
      </c>
      <c r="BH141" s="174" t="str">
        <f>IF(BH$6="","",IF(BH$3="Maior",iferror(VLOOKUP($R141,Capa!$A:$AJ,BH$5,0),0),IF(ISERROR(1/VLOOKUP($R141,Capa!$A:$AJ,BH$5,0)),0,1/VLOOKUP($R141,Capa!$A:$AJ,BH$5,0))))</f>
        <v/>
      </c>
      <c r="BI141" s="174" t="str">
        <f>IF(BI$6="","",IF(BI$3="Maior",iferror(VLOOKUP($R141,Capa!$A:$AJ,BI$5,0),0),IF(ISERROR(1/VLOOKUP($R141,Capa!$A:$AJ,BI$5,0)),0,1/VLOOKUP($R141,Capa!$A:$AJ,BI$5,0))))</f>
        <v/>
      </c>
      <c r="BJ141" s="174" t="str">
        <f>IF(BJ$6="","",IF(BJ$3="Maior",iferror(VLOOKUP($R141,Capa!$A:$AJ,BJ$5,0),0),IF(ISERROR(1/VLOOKUP($R141,Capa!$A:$AJ,BJ$5,0)),0,1/VLOOKUP($R141,Capa!$A:$AJ,BJ$5,0))))</f>
        <v/>
      </c>
      <c r="BK141" s="174" t="str">
        <f>IF(BK$6="","",IF(BK$3="Maior",iferror(VLOOKUP($R141,Capa!$A:$AJ,BK$5,0),0),IF(ISERROR(1/VLOOKUP($R141,Capa!$A:$AJ,BK$5,0)),0,1/VLOOKUP($R141,Capa!$A:$AJ,BK$5,0))))</f>
        <v/>
      </c>
      <c r="BL141" s="174" t="str">
        <f>IF(BL$6="","",IF(BL$3="Maior",iferror(VLOOKUP($R141,Capa!$A:$AJ,BL$5,0),0),IF(ISERROR(1/VLOOKUP($R141,Capa!$A:$AJ,BL$5,0)),0,1/VLOOKUP($R141,Capa!$A:$AJ,BL$5,0))))</f>
        <v/>
      </c>
      <c r="BM141" s="174" t="str">
        <f>IF(BM$6="","",IF(BM$3="Maior",iferror(VLOOKUP($R141,Capa!$A:$AJ,BM$5,0),0),IF(ISERROR(1/VLOOKUP($R141,Capa!$A:$AJ,BM$5,0)),0,1/VLOOKUP($R141,Capa!$A:$AJ,BM$5,0))))</f>
        <v/>
      </c>
      <c r="BN141" s="174" t="str">
        <f>IF(BN$6="","",IF(BN$3="Maior",iferror(VLOOKUP($R141,Capa!$A:$AJ,BN$5,0),0),IF(ISERROR(1/VLOOKUP($R141,Capa!$A:$AJ,BN$5,0)),0,1/VLOOKUP($R141,Capa!$A:$AJ,BN$5,0))))</f>
        <v/>
      </c>
      <c r="BO141" s="174" t="str">
        <f>IF(BO$6="","",IF(BO$3="Maior",iferror(VLOOKUP($R141,Capa!$A:$AJ,BO$5,0),0),IF(ISERROR(1/VLOOKUP($R141,Capa!$A:$AJ,BO$5,0)),0,1/VLOOKUP($R141,Capa!$A:$AJ,BO$5,0))))</f>
        <v/>
      </c>
      <c r="BP141" s="174" t="str">
        <f>IF(BP$6="","",IF(BP$3="Maior",iferror(VLOOKUP($R141,Capa!$A:$AJ,BP$5,0),0),IF(ISERROR(1/VLOOKUP($R141,Capa!$A:$AJ,BP$5,0)),0,1/VLOOKUP($R141,Capa!$A:$AJ,BP$5,0))))</f>
        <v/>
      </c>
      <c r="BQ141" s="174" t="str">
        <f>IF(BQ$6="","",IF(BQ$3="Maior",iferror(VLOOKUP($R141,Capa!$A:$AJ,BQ$5,0),0),IF(ISERROR(1/VLOOKUP($R141,Capa!$A:$AJ,BQ$5,0)),0,1/VLOOKUP($R141,Capa!$A:$AJ,BQ$5,0))))</f>
        <v/>
      </c>
      <c r="BR141" s="175"/>
      <c r="BS141" s="147"/>
    </row>
    <row r="142">
      <c r="G142" s="11"/>
      <c r="H142" s="8">
        <v>136.0</v>
      </c>
      <c r="I142" s="165" t="str">
        <f t="shared" si="6"/>
        <v>CSED3</v>
      </c>
      <c r="J142" s="166" t="str">
        <f>(VLOOKUP($I142,Capa!$A:$B,2,0))</f>
        <v>Cruzeiro do Sul Educacional SA</v>
      </c>
      <c r="K142" s="167" t="str">
        <f>VLOOKUP(left(I142,4),Setor!A:D,3,0)&amp;" | "&amp;VLOOKUP(left(I142,4),Setor!A:D,4,0)</f>
        <v>#N/A</v>
      </c>
      <c r="L142" s="168">
        <f>(VLOOKUP($I142,Capa!$A:$F,6,0))</f>
        <v>6.78</v>
      </c>
      <c r="M142" s="168">
        <f t="shared" si="7"/>
        <v>3622381</v>
      </c>
      <c r="N142" s="11" t="str">
        <f>IFERROR(__xludf.DUMMYFUNCTION("(VLOOKUP($I142,Capa!$A:$H,7,0))"),"")</f>
        <v/>
      </c>
      <c r="O142" s="169">
        <f>(VLOOKUP($I142,Capa!$A:$H,8,0))</f>
        <v>0.03987730061</v>
      </c>
      <c r="P142" s="11" t="str">
        <f>IFERROR(__xludf.DUMMYFUNCTION("(VLOOKUP($I142,Capa!$A:$J,10,0))"),"")</f>
        <v/>
      </c>
      <c r="Q142" s="169">
        <f>(VLOOKUP($I142,Capa!$A:$K,11,0))</f>
        <v>0.8729281768</v>
      </c>
      <c r="R142" s="45" t="str">
        <f>'Dados StatusInvest'!A137</f>
        <v>CEAB3</v>
      </c>
      <c r="S142" s="170">
        <f t="shared" si="8"/>
        <v>361.0361</v>
      </c>
      <c r="T142" s="171">
        <f>VLOOKUP(R142,'Dados StatusInvest'!A:Z,26,0)</f>
        <v>142000000</v>
      </c>
      <c r="U142" s="172">
        <f t="shared" ref="U142:AS142" si="144">IF(AT142="","", RANK(AT142,AT$7:AT$626,0)+RANK(AT142,AT$7:AT$626,0)/10000)</f>
        <v>360.036</v>
      </c>
      <c r="V142" s="172">
        <f t="shared" si="144"/>
        <v>1.0001</v>
      </c>
      <c r="W142" s="172" t="str">
        <f t="shared" si="144"/>
        <v/>
      </c>
      <c r="X142" s="172" t="str">
        <f t="shared" si="144"/>
        <v/>
      </c>
      <c r="Y142" s="172" t="str">
        <f t="shared" si="144"/>
        <v/>
      </c>
      <c r="Z142" s="172" t="str">
        <f t="shared" si="144"/>
        <v/>
      </c>
      <c r="AA142" s="172" t="str">
        <f t="shared" si="144"/>
        <v/>
      </c>
      <c r="AB142" s="172" t="str">
        <f t="shared" si="144"/>
        <v/>
      </c>
      <c r="AC142" s="172" t="str">
        <f t="shared" si="144"/>
        <v/>
      </c>
      <c r="AD142" s="172" t="str">
        <f t="shared" si="144"/>
        <v/>
      </c>
      <c r="AE142" s="172" t="str">
        <f t="shared" si="144"/>
        <v/>
      </c>
      <c r="AF142" s="172" t="str">
        <f t="shared" si="144"/>
        <v/>
      </c>
      <c r="AG142" s="172" t="str">
        <f t="shared" si="144"/>
        <v/>
      </c>
      <c r="AH142" s="172" t="str">
        <f t="shared" si="144"/>
        <v/>
      </c>
      <c r="AI142" s="172" t="str">
        <f t="shared" si="144"/>
        <v/>
      </c>
      <c r="AJ142" s="172" t="str">
        <f t="shared" si="144"/>
        <v/>
      </c>
      <c r="AK142" s="172" t="str">
        <f t="shared" si="144"/>
        <v/>
      </c>
      <c r="AL142" s="172" t="str">
        <f t="shared" si="144"/>
        <v/>
      </c>
      <c r="AM142" s="172" t="str">
        <f t="shared" si="144"/>
        <v/>
      </c>
      <c r="AN142" s="172" t="str">
        <f t="shared" si="144"/>
        <v/>
      </c>
      <c r="AO142" s="172" t="str">
        <f t="shared" si="144"/>
        <v/>
      </c>
      <c r="AP142" s="172" t="str">
        <f t="shared" si="144"/>
        <v/>
      </c>
      <c r="AQ142" s="172" t="str">
        <f t="shared" si="144"/>
        <v/>
      </c>
      <c r="AR142" s="172" t="str">
        <f t="shared" si="144"/>
        <v/>
      </c>
      <c r="AS142" s="172" t="str">
        <f t="shared" si="144"/>
        <v/>
      </c>
      <c r="AT142" s="173">
        <f>IF(AT$6="","",IF(AT$3="Maior",iferror(VLOOKUP($R142,Capa!$A:$AJ,AT$5,0),0),IF(ISERROR(1/VLOOKUP($R142,Capa!$A:$AJ,AT$5,0)),0,1/VLOOKUP($R142,Capa!$A:$AJ,AT$5,0))))</f>
        <v>-1.055507462</v>
      </c>
      <c r="AU142" s="174">
        <f>IF(AU$6="","",IF(AU$3="Maior",iferror(VLOOKUP($R142,Capa!$A:$AJ,AU$5,0),0),IF(ISERROR(1/VLOOKUP($R142,Capa!$A:$AJ,AU$5,0)),0,1/VLOOKUP($R142,Capa!$A:$AJ,AU$5,0))))</f>
        <v>252.47</v>
      </c>
      <c r="AV142" s="174" t="str">
        <f>IF(AV$6="","",IF(AV$3="Maior",iferror(VLOOKUP($R142,Capa!$A:$AJ,AV$5,0),0),IF(ISERROR(1/VLOOKUP($R142,Capa!$A:$AJ,AV$5,0)),0,1/VLOOKUP($R142,Capa!$A:$AJ,AV$5,0))))</f>
        <v/>
      </c>
      <c r="AW142" s="174" t="str">
        <f>IF(AW$6="","",IF(AW$3="Maior",iferror(VLOOKUP($R142,Capa!$A:$AJ,AW$5,0),0),IF(ISERROR(1/VLOOKUP($R142,Capa!$A:$AJ,AW$5,0)),0,1/VLOOKUP($R142,Capa!$A:$AJ,AW$5,0))))</f>
        <v/>
      </c>
      <c r="AX142" s="174" t="str">
        <f>IF(AX$6="","",IF(AX$3="Maior",iferror(VLOOKUP($R142,Capa!$A:$AJ,AX$5,0),0),IF(ISERROR(1/VLOOKUP($R142,Capa!$A:$AJ,AX$5,0)),0,1/VLOOKUP($R142,Capa!$A:$AJ,AX$5,0))))</f>
        <v/>
      </c>
      <c r="AY142" s="174" t="str">
        <f>IF(AY$6="","",IF(AY$3="Maior",iferror(VLOOKUP($R142,Capa!$A:$AJ,AY$5,0),0),IF(ISERROR(1/VLOOKUP($R142,Capa!$A:$AJ,AY$5,0)),0,1/VLOOKUP($R142,Capa!$A:$AJ,AY$5,0))))</f>
        <v/>
      </c>
      <c r="AZ142" s="174" t="str">
        <f>IF(AZ$6="","",IF(AZ$3="Maior",iferror(VLOOKUP($R142,Capa!$A:$AJ,AZ$5,0),0),IF(ISERROR(1/VLOOKUP($R142,Capa!$A:$AJ,AZ$5,0)),0,1/VLOOKUP($R142,Capa!$A:$AJ,AZ$5,0))))</f>
        <v/>
      </c>
      <c r="BA142" s="174" t="str">
        <f>IF(BA$6="","",IF(BA$3="Maior",iferror(VLOOKUP($R142,Capa!$A:$AJ,BA$5,0),0),IF(ISERROR(1/VLOOKUP($R142,Capa!$A:$AJ,BA$5,0)),0,1/VLOOKUP($R142,Capa!$A:$AJ,BA$5,0))))</f>
        <v/>
      </c>
      <c r="BB142" s="174" t="str">
        <f>IF(BB$6="","",IF(BB$3="Maior",iferror(VLOOKUP($R142,Capa!$A:$AJ,BB$5,0),0),IF(ISERROR(1/VLOOKUP($R142,Capa!$A:$AJ,BB$5,0)),0,1/VLOOKUP($R142,Capa!$A:$AJ,BB$5,0))))</f>
        <v/>
      </c>
      <c r="BC142" s="174" t="str">
        <f>IF(BC$6="","",IF(BC$3="Maior",iferror(VLOOKUP($R142,Capa!$A:$AJ,BC$5,0),0),IF(ISERROR(1/VLOOKUP($R142,Capa!$A:$AJ,BC$5,0)),0,1/VLOOKUP($R142,Capa!$A:$AJ,BC$5,0))))</f>
        <v/>
      </c>
      <c r="BD142" s="174" t="str">
        <f>IF(BD$6="","",IF(BD$3="Maior",iferror(VLOOKUP($R142,Capa!$A:$AJ,BD$5,0),0),IF(ISERROR(1/VLOOKUP($R142,Capa!$A:$AJ,BD$5,0)),0,1/VLOOKUP($R142,Capa!$A:$AJ,BD$5,0))))</f>
        <v/>
      </c>
      <c r="BE142" s="174" t="str">
        <f>IF(BE$6="","",IF(BE$3="Maior",iferror(VLOOKUP($R142,Capa!$A:$AJ,BE$5,0),0),IF(ISERROR(1/VLOOKUP($R142,Capa!$A:$AJ,BE$5,0)),0,1/VLOOKUP($R142,Capa!$A:$AJ,BE$5,0))))</f>
        <v/>
      </c>
      <c r="BF142" s="174" t="str">
        <f>IF(BF$6="","",IF(BF$3="Maior",iferror(VLOOKUP($R142,Capa!$A:$AJ,BF$5,0),0),IF(ISERROR(1/VLOOKUP($R142,Capa!$A:$AJ,BF$5,0)),0,1/VLOOKUP($R142,Capa!$A:$AJ,BF$5,0))))</f>
        <v/>
      </c>
      <c r="BG142" s="174" t="str">
        <f>IF(BG$6="","",IF(BG$3="Maior",iferror(VLOOKUP($R142,Capa!$A:$AJ,BG$5,0),0),IF(ISERROR(1/VLOOKUP($R142,Capa!$A:$AJ,BG$5,0)),0,1/VLOOKUP($R142,Capa!$A:$AJ,BG$5,0))))</f>
        <v/>
      </c>
      <c r="BH142" s="174" t="str">
        <f>IF(BH$6="","",IF(BH$3="Maior",iferror(VLOOKUP($R142,Capa!$A:$AJ,BH$5,0),0),IF(ISERROR(1/VLOOKUP($R142,Capa!$A:$AJ,BH$5,0)),0,1/VLOOKUP($R142,Capa!$A:$AJ,BH$5,0))))</f>
        <v/>
      </c>
      <c r="BI142" s="174" t="str">
        <f>IF(BI$6="","",IF(BI$3="Maior",iferror(VLOOKUP($R142,Capa!$A:$AJ,BI$5,0),0),IF(ISERROR(1/VLOOKUP($R142,Capa!$A:$AJ,BI$5,0)),0,1/VLOOKUP($R142,Capa!$A:$AJ,BI$5,0))))</f>
        <v/>
      </c>
      <c r="BJ142" s="174" t="str">
        <f>IF(BJ$6="","",IF(BJ$3="Maior",iferror(VLOOKUP($R142,Capa!$A:$AJ,BJ$5,0),0),IF(ISERROR(1/VLOOKUP($R142,Capa!$A:$AJ,BJ$5,0)),0,1/VLOOKUP($R142,Capa!$A:$AJ,BJ$5,0))))</f>
        <v/>
      </c>
      <c r="BK142" s="174" t="str">
        <f>IF(BK$6="","",IF(BK$3="Maior",iferror(VLOOKUP($R142,Capa!$A:$AJ,BK$5,0),0),IF(ISERROR(1/VLOOKUP($R142,Capa!$A:$AJ,BK$5,0)),0,1/VLOOKUP($R142,Capa!$A:$AJ,BK$5,0))))</f>
        <v/>
      </c>
      <c r="BL142" s="174" t="str">
        <f>IF(BL$6="","",IF(BL$3="Maior",iferror(VLOOKUP($R142,Capa!$A:$AJ,BL$5,0),0),IF(ISERROR(1/VLOOKUP($R142,Capa!$A:$AJ,BL$5,0)),0,1/VLOOKUP($R142,Capa!$A:$AJ,BL$5,0))))</f>
        <v/>
      </c>
      <c r="BM142" s="174" t="str">
        <f>IF(BM$6="","",IF(BM$3="Maior",iferror(VLOOKUP($R142,Capa!$A:$AJ,BM$5,0),0),IF(ISERROR(1/VLOOKUP($R142,Capa!$A:$AJ,BM$5,0)),0,1/VLOOKUP($R142,Capa!$A:$AJ,BM$5,0))))</f>
        <v/>
      </c>
      <c r="BN142" s="174" t="str">
        <f>IF(BN$6="","",IF(BN$3="Maior",iferror(VLOOKUP($R142,Capa!$A:$AJ,BN$5,0),0),IF(ISERROR(1/VLOOKUP($R142,Capa!$A:$AJ,BN$5,0)),0,1/VLOOKUP($R142,Capa!$A:$AJ,BN$5,0))))</f>
        <v/>
      </c>
      <c r="BO142" s="174" t="str">
        <f>IF(BO$6="","",IF(BO$3="Maior",iferror(VLOOKUP($R142,Capa!$A:$AJ,BO$5,0),0),IF(ISERROR(1/VLOOKUP($R142,Capa!$A:$AJ,BO$5,0)),0,1/VLOOKUP($R142,Capa!$A:$AJ,BO$5,0))))</f>
        <v/>
      </c>
      <c r="BP142" s="174" t="str">
        <f>IF(BP$6="","",IF(BP$3="Maior",iferror(VLOOKUP($R142,Capa!$A:$AJ,BP$5,0),0),IF(ISERROR(1/VLOOKUP($R142,Capa!$A:$AJ,BP$5,0)),0,1/VLOOKUP($R142,Capa!$A:$AJ,BP$5,0))))</f>
        <v/>
      </c>
      <c r="BQ142" s="174" t="str">
        <f>IF(BQ$6="","",IF(BQ$3="Maior",iferror(VLOOKUP($R142,Capa!$A:$AJ,BQ$5,0),0),IF(ISERROR(1/VLOOKUP($R142,Capa!$A:$AJ,BQ$5,0)),0,1/VLOOKUP($R142,Capa!$A:$AJ,BQ$5,0))))</f>
        <v/>
      </c>
      <c r="BR142" s="175"/>
      <c r="BS142" s="147"/>
    </row>
    <row r="143">
      <c r="G143" s="11"/>
      <c r="H143" s="8">
        <v>137.0</v>
      </c>
      <c r="I143" s="165" t="str">
        <f t="shared" si="6"/>
        <v>CLSC4</v>
      </c>
      <c r="J143" s="166" t="str">
        <f>(VLOOKUP($I143,Capa!$A:$B,2,0))</f>
        <v>Centrais Eletricas d Snt Ctrn S Clsc Preference Shares</v>
      </c>
      <c r="K143" s="167" t="str">
        <f>VLOOKUP(left(I143,4),Setor!A:D,3,0)&amp;" | "&amp;VLOOKUP(left(I143,4),Setor!A:D,4,0)</f>
        <v>Utilidade Pública | Energia Elétrica</v>
      </c>
      <c r="L143" s="168">
        <f>(VLOOKUP($I143,Capa!$A:$F,6,0))</f>
        <v>148.31</v>
      </c>
      <c r="M143" s="168">
        <f t="shared" si="7"/>
        <v>522097.6</v>
      </c>
      <c r="N143" s="11" t="str">
        <f>IFERROR(__xludf.DUMMYFUNCTION("(VLOOKUP($I143,Capa!$A:$H,7,0))"),"")</f>
        <v/>
      </c>
      <c r="O143" s="169">
        <f>(VLOOKUP($I143,Capa!$A:$H,8,0))</f>
        <v>0.09067509928</v>
      </c>
      <c r="P143" s="11" t="str">
        <f>IFERROR(__xludf.DUMMYFUNCTION("(VLOOKUP($I143,Capa!$A:$J,10,0))"),"")</f>
        <v/>
      </c>
      <c r="Q143" s="169">
        <f>(VLOOKUP($I143,Capa!$A:$K,11,0))</f>
        <v>0.828729963</v>
      </c>
      <c r="R143" s="45" t="str">
        <f>'Dados StatusInvest'!A138</f>
        <v>CEBR3</v>
      </c>
      <c r="S143" s="170">
        <f t="shared" si="8"/>
        <v>1421.0421</v>
      </c>
      <c r="T143" s="171">
        <f>VLOOKUP(R143,'Dados StatusInvest'!A:Z,26,0)</f>
        <v>99352.19</v>
      </c>
      <c r="U143" s="172">
        <f t="shared" ref="U143:AS143" si="145">IF(AT143="","", RANK(AT143,AT$7:AT$626,0)+RANK(AT143,AT$7:AT$626,0)/10000)</f>
        <v>216.0216</v>
      </c>
      <c r="V143" s="172">
        <f t="shared" si="145"/>
        <v>205.0205</v>
      </c>
      <c r="W143" s="172" t="str">
        <f t="shared" si="145"/>
        <v/>
      </c>
      <c r="X143" s="172" t="str">
        <f t="shared" si="145"/>
        <v/>
      </c>
      <c r="Y143" s="172" t="str">
        <f t="shared" si="145"/>
        <v/>
      </c>
      <c r="Z143" s="172" t="str">
        <f t="shared" si="145"/>
        <v/>
      </c>
      <c r="AA143" s="172" t="str">
        <f t="shared" si="145"/>
        <v/>
      </c>
      <c r="AB143" s="172" t="str">
        <f t="shared" si="145"/>
        <v/>
      </c>
      <c r="AC143" s="172" t="str">
        <f t="shared" si="145"/>
        <v/>
      </c>
      <c r="AD143" s="172" t="str">
        <f t="shared" si="145"/>
        <v/>
      </c>
      <c r="AE143" s="172" t="str">
        <f t="shared" si="145"/>
        <v/>
      </c>
      <c r="AF143" s="172" t="str">
        <f t="shared" si="145"/>
        <v/>
      </c>
      <c r="AG143" s="172" t="str">
        <f t="shared" si="145"/>
        <v/>
      </c>
      <c r="AH143" s="172" t="str">
        <f t="shared" si="145"/>
        <v/>
      </c>
      <c r="AI143" s="172" t="str">
        <f t="shared" si="145"/>
        <v/>
      </c>
      <c r="AJ143" s="172" t="str">
        <f t="shared" si="145"/>
        <v/>
      </c>
      <c r="AK143" s="172" t="str">
        <f t="shared" si="145"/>
        <v/>
      </c>
      <c r="AL143" s="172" t="str">
        <f t="shared" si="145"/>
        <v/>
      </c>
      <c r="AM143" s="172" t="str">
        <f t="shared" si="145"/>
        <v/>
      </c>
      <c r="AN143" s="172" t="str">
        <f t="shared" si="145"/>
        <v/>
      </c>
      <c r="AO143" s="172" t="str">
        <f t="shared" si="145"/>
        <v/>
      </c>
      <c r="AP143" s="172" t="str">
        <f t="shared" si="145"/>
        <v/>
      </c>
      <c r="AQ143" s="172" t="str">
        <f t="shared" si="145"/>
        <v/>
      </c>
      <c r="AR143" s="172" t="str">
        <f t="shared" si="145"/>
        <v/>
      </c>
      <c r="AS143" s="172" t="str">
        <f t="shared" si="145"/>
        <v/>
      </c>
      <c r="AT143" s="173">
        <f>IF(AT$6="","",IF(AT$3="Maior",iferror(VLOOKUP($R143,Capa!$A:$AJ,AT$5,0),0),IF(ISERROR(1/VLOOKUP($R143,Capa!$A:$AJ,AT$5,0)),0,1/VLOOKUP($R143,Capa!$A:$AJ,AT$5,0))))</f>
        <v>-0.3095975232</v>
      </c>
      <c r="AU143" s="174">
        <f>IF(AU$6="","",IF(AU$3="Maior",iferror(VLOOKUP($R143,Capa!$A:$AJ,AU$5,0),0),IF(ISERROR(1/VLOOKUP($R143,Capa!$A:$AJ,AU$5,0)),0,1/VLOOKUP($R143,Capa!$A:$AJ,AU$5,0))))</f>
        <v>10.1</v>
      </c>
      <c r="AV143" s="174" t="str">
        <f>IF(AV$6="","",IF(AV$3="Maior",iferror(VLOOKUP($R143,Capa!$A:$AJ,AV$5,0),0),IF(ISERROR(1/VLOOKUP($R143,Capa!$A:$AJ,AV$5,0)),0,1/VLOOKUP($R143,Capa!$A:$AJ,AV$5,0))))</f>
        <v/>
      </c>
      <c r="AW143" s="174" t="str">
        <f>IF(AW$6="","",IF(AW$3="Maior",iferror(VLOOKUP($R143,Capa!$A:$AJ,AW$5,0),0),IF(ISERROR(1/VLOOKUP($R143,Capa!$A:$AJ,AW$5,0)),0,1/VLOOKUP($R143,Capa!$A:$AJ,AW$5,0))))</f>
        <v/>
      </c>
      <c r="AX143" s="174" t="str">
        <f>IF(AX$6="","",IF(AX$3="Maior",iferror(VLOOKUP($R143,Capa!$A:$AJ,AX$5,0),0),IF(ISERROR(1/VLOOKUP($R143,Capa!$A:$AJ,AX$5,0)),0,1/VLOOKUP($R143,Capa!$A:$AJ,AX$5,0))))</f>
        <v/>
      </c>
      <c r="AY143" s="174" t="str">
        <f>IF(AY$6="","",IF(AY$3="Maior",iferror(VLOOKUP($R143,Capa!$A:$AJ,AY$5,0),0),IF(ISERROR(1/VLOOKUP($R143,Capa!$A:$AJ,AY$5,0)),0,1/VLOOKUP($R143,Capa!$A:$AJ,AY$5,0))))</f>
        <v/>
      </c>
      <c r="AZ143" s="174" t="str">
        <f>IF(AZ$6="","",IF(AZ$3="Maior",iferror(VLOOKUP($R143,Capa!$A:$AJ,AZ$5,0),0),IF(ISERROR(1/VLOOKUP($R143,Capa!$A:$AJ,AZ$5,0)),0,1/VLOOKUP($R143,Capa!$A:$AJ,AZ$5,0))))</f>
        <v/>
      </c>
      <c r="BA143" s="174" t="str">
        <f>IF(BA$6="","",IF(BA$3="Maior",iferror(VLOOKUP($R143,Capa!$A:$AJ,BA$5,0),0),IF(ISERROR(1/VLOOKUP($R143,Capa!$A:$AJ,BA$5,0)),0,1/VLOOKUP($R143,Capa!$A:$AJ,BA$5,0))))</f>
        <v/>
      </c>
      <c r="BB143" s="174" t="str">
        <f>IF(BB$6="","",IF(BB$3="Maior",iferror(VLOOKUP($R143,Capa!$A:$AJ,BB$5,0),0),IF(ISERROR(1/VLOOKUP($R143,Capa!$A:$AJ,BB$5,0)),0,1/VLOOKUP($R143,Capa!$A:$AJ,BB$5,0))))</f>
        <v/>
      </c>
      <c r="BC143" s="174" t="str">
        <f>IF(BC$6="","",IF(BC$3="Maior",iferror(VLOOKUP($R143,Capa!$A:$AJ,BC$5,0),0),IF(ISERROR(1/VLOOKUP($R143,Capa!$A:$AJ,BC$5,0)),0,1/VLOOKUP($R143,Capa!$A:$AJ,BC$5,0))))</f>
        <v/>
      </c>
      <c r="BD143" s="174" t="str">
        <f>IF(BD$6="","",IF(BD$3="Maior",iferror(VLOOKUP($R143,Capa!$A:$AJ,BD$5,0),0),IF(ISERROR(1/VLOOKUP($R143,Capa!$A:$AJ,BD$5,0)),0,1/VLOOKUP($R143,Capa!$A:$AJ,BD$5,0))))</f>
        <v/>
      </c>
      <c r="BE143" s="174" t="str">
        <f>IF(BE$6="","",IF(BE$3="Maior",iferror(VLOOKUP($R143,Capa!$A:$AJ,BE$5,0),0),IF(ISERROR(1/VLOOKUP($R143,Capa!$A:$AJ,BE$5,0)),0,1/VLOOKUP($R143,Capa!$A:$AJ,BE$5,0))))</f>
        <v/>
      </c>
      <c r="BF143" s="174" t="str">
        <f>IF(BF$6="","",IF(BF$3="Maior",iferror(VLOOKUP($R143,Capa!$A:$AJ,BF$5,0),0),IF(ISERROR(1/VLOOKUP($R143,Capa!$A:$AJ,BF$5,0)),0,1/VLOOKUP($R143,Capa!$A:$AJ,BF$5,0))))</f>
        <v/>
      </c>
      <c r="BG143" s="174" t="str">
        <f>IF(BG$6="","",IF(BG$3="Maior",iferror(VLOOKUP($R143,Capa!$A:$AJ,BG$5,0),0),IF(ISERROR(1/VLOOKUP($R143,Capa!$A:$AJ,BG$5,0)),0,1/VLOOKUP($R143,Capa!$A:$AJ,BG$5,0))))</f>
        <v/>
      </c>
      <c r="BH143" s="174" t="str">
        <f>IF(BH$6="","",IF(BH$3="Maior",iferror(VLOOKUP($R143,Capa!$A:$AJ,BH$5,0),0),IF(ISERROR(1/VLOOKUP($R143,Capa!$A:$AJ,BH$5,0)),0,1/VLOOKUP($R143,Capa!$A:$AJ,BH$5,0))))</f>
        <v/>
      </c>
      <c r="BI143" s="174" t="str">
        <f>IF(BI$6="","",IF(BI$3="Maior",iferror(VLOOKUP($R143,Capa!$A:$AJ,BI$5,0),0),IF(ISERROR(1/VLOOKUP($R143,Capa!$A:$AJ,BI$5,0)),0,1/VLOOKUP($R143,Capa!$A:$AJ,BI$5,0))))</f>
        <v/>
      </c>
      <c r="BJ143" s="174" t="str">
        <f>IF(BJ$6="","",IF(BJ$3="Maior",iferror(VLOOKUP($R143,Capa!$A:$AJ,BJ$5,0),0),IF(ISERROR(1/VLOOKUP($R143,Capa!$A:$AJ,BJ$5,0)),0,1/VLOOKUP($R143,Capa!$A:$AJ,BJ$5,0))))</f>
        <v/>
      </c>
      <c r="BK143" s="174" t="str">
        <f>IF(BK$6="","",IF(BK$3="Maior",iferror(VLOOKUP($R143,Capa!$A:$AJ,BK$5,0),0),IF(ISERROR(1/VLOOKUP($R143,Capa!$A:$AJ,BK$5,0)),0,1/VLOOKUP($R143,Capa!$A:$AJ,BK$5,0))))</f>
        <v/>
      </c>
      <c r="BL143" s="174" t="str">
        <f>IF(BL$6="","",IF(BL$3="Maior",iferror(VLOOKUP($R143,Capa!$A:$AJ,BL$5,0),0),IF(ISERROR(1/VLOOKUP($R143,Capa!$A:$AJ,BL$5,0)),0,1/VLOOKUP($R143,Capa!$A:$AJ,BL$5,0))))</f>
        <v/>
      </c>
      <c r="BM143" s="174" t="str">
        <f>IF(BM$6="","",IF(BM$3="Maior",iferror(VLOOKUP($R143,Capa!$A:$AJ,BM$5,0),0),IF(ISERROR(1/VLOOKUP($R143,Capa!$A:$AJ,BM$5,0)),0,1/VLOOKUP($R143,Capa!$A:$AJ,BM$5,0))))</f>
        <v/>
      </c>
      <c r="BN143" s="174" t="str">
        <f>IF(BN$6="","",IF(BN$3="Maior",iferror(VLOOKUP($R143,Capa!$A:$AJ,BN$5,0),0),IF(ISERROR(1/VLOOKUP($R143,Capa!$A:$AJ,BN$5,0)),0,1/VLOOKUP($R143,Capa!$A:$AJ,BN$5,0))))</f>
        <v/>
      </c>
      <c r="BO143" s="174" t="str">
        <f>IF(BO$6="","",IF(BO$3="Maior",iferror(VLOOKUP($R143,Capa!$A:$AJ,BO$5,0),0),IF(ISERROR(1/VLOOKUP($R143,Capa!$A:$AJ,BO$5,0)),0,1/VLOOKUP($R143,Capa!$A:$AJ,BO$5,0))))</f>
        <v/>
      </c>
      <c r="BP143" s="174" t="str">
        <f>IF(BP$6="","",IF(BP$3="Maior",iferror(VLOOKUP($R143,Capa!$A:$AJ,BP$5,0),0),IF(ISERROR(1/VLOOKUP($R143,Capa!$A:$AJ,BP$5,0)),0,1/VLOOKUP($R143,Capa!$A:$AJ,BP$5,0))))</f>
        <v/>
      </c>
      <c r="BQ143" s="174" t="str">
        <f>IF(BQ$6="","",IF(BQ$3="Maior",iferror(VLOOKUP($R143,Capa!$A:$AJ,BQ$5,0),0),IF(ISERROR(1/VLOOKUP($R143,Capa!$A:$AJ,BQ$5,0)),0,1/VLOOKUP($R143,Capa!$A:$AJ,BQ$5,0))))</f>
        <v/>
      </c>
      <c r="BR143" s="175"/>
      <c r="BS143" s="147"/>
    </row>
    <row r="144">
      <c r="G144" s="11"/>
      <c r="H144" s="8">
        <v>138.0</v>
      </c>
      <c r="I144" s="165" t="str">
        <f t="shared" si="6"/>
        <v>BBAS3</v>
      </c>
      <c r="J144" s="166" t="str">
        <f>(VLOOKUP($I144,Capa!$A:$B,2,0))</f>
        <v>BANCO DO BRASIL CEDAR</v>
      </c>
      <c r="K144" s="167" t="str">
        <f>VLOOKUP(left(I144,4),Setor!A:D,3,0)&amp;" | "&amp;VLOOKUP(left(I144,4),Setor!A:D,4,0)</f>
        <v>Financeiro | Intermediários Financeiros</v>
      </c>
      <c r="L144" s="168">
        <f>(VLOOKUP($I144,Capa!$A:$F,6,0))</f>
        <v>3652.5</v>
      </c>
      <c r="M144" s="168">
        <f t="shared" si="7"/>
        <v>983000000</v>
      </c>
      <c r="N144" s="11" t="str">
        <f>IFERROR(__xludf.DUMMYFUNCTION("(VLOOKUP($I144,Capa!$A:$H,7,0))"),"")</f>
        <v/>
      </c>
      <c r="O144" s="169">
        <f>(VLOOKUP($I144,Capa!$A:$H,8,0))</f>
        <v>0.1567695962</v>
      </c>
      <c r="P144" s="11" t="str">
        <f>IFERROR(__xludf.DUMMYFUNCTION("(VLOOKUP($I144,Capa!$A:$J,10,0))"),"")</f>
        <v/>
      </c>
      <c r="Q144" s="169">
        <f>(VLOOKUP($I144,Capa!$A:$K,11,0))</f>
        <v>0.2215719064</v>
      </c>
      <c r="R144" s="45" t="str">
        <f>'Dados StatusInvest'!A139</f>
        <v>CEBR5</v>
      </c>
      <c r="S144" s="170">
        <f t="shared" si="8"/>
        <v>1424.0424</v>
      </c>
      <c r="T144" s="171">
        <f>VLOOKUP(R144,'Dados StatusInvest'!A:Z,26,0)</f>
        <v>43538.62</v>
      </c>
      <c r="U144" s="172">
        <f t="shared" ref="U144:AS144" si="146">IF(AT144="","", RANK(AT144,AT$7:AT$626,0)+RANK(AT144,AT$7:AT$626,0)/10000)</f>
        <v>219.0219</v>
      </c>
      <c r="V144" s="172">
        <f t="shared" si="146"/>
        <v>205.0205</v>
      </c>
      <c r="W144" s="172" t="str">
        <f t="shared" si="146"/>
        <v/>
      </c>
      <c r="X144" s="172" t="str">
        <f t="shared" si="146"/>
        <v/>
      </c>
      <c r="Y144" s="172" t="str">
        <f t="shared" si="146"/>
        <v/>
      </c>
      <c r="Z144" s="172" t="str">
        <f t="shared" si="146"/>
        <v/>
      </c>
      <c r="AA144" s="172" t="str">
        <f t="shared" si="146"/>
        <v/>
      </c>
      <c r="AB144" s="172" t="str">
        <f t="shared" si="146"/>
        <v/>
      </c>
      <c r="AC144" s="172" t="str">
        <f t="shared" si="146"/>
        <v/>
      </c>
      <c r="AD144" s="172" t="str">
        <f t="shared" si="146"/>
        <v/>
      </c>
      <c r="AE144" s="172" t="str">
        <f t="shared" si="146"/>
        <v/>
      </c>
      <c r="AF144" s="172" t="str">
        <f t="shared" si="146"/>
        <v/>
      </c>
      <c r="AG144" s="172" t="str">
        <f t="shared" si="146"/>
        <v/>
      </c>
      <c r="AH144" s="172" t="str">
        <f t="shared" si="146"/>
        <v/>
      </c>
      <c r="AI144" s="172" t="str">
        <f t="shared" si="146"/>
        <v/>
      </c>
      <c r="AJ144" s="172" t="str">
        <f t="shared" si="146"/>
        <v/>
      </c>
      <c r="AK144" s="172" t="str">
        <f t="shared" si="146"/>
        <v/>
      </c>
      <c r="AL144" s="172" t="str">
        <f t="shared" si="146"/>
        <v/>
      </c>
      <c r="AM144" s="172" t="str">
        <f t="shared" si="146"/>
        <v/>
      </c>
      <c r="AN144" s="172" t="str">
        <f t="shared" si="146"/>
        <v/>
      </c>
      <c r="AO144" s="172" t="str">
        <f t="shared" si="146"/>
        <v/>
      </c>
      <c r="AP144" s="172" t="str">
        <f t="shared" si="146"/>
        <v/>
      </c>
      <c r="AQ144" s="172" t="str">
        <f t="shared" si="146"/>
        <v/>
      </c>
      <c r="AR144" s="172" t="str">
        <f t="shared" si="146"/>
        <v/>
      </c>
      <c r="AS144" s="172" t="str">
        <f t="shared" si="146"/>
        <v/>
      </c>
      <c r="AT144" s="173">
        <f>IF(AT$6="","",IF(AT$3="Maior",iferror(VLOOKUP($R144,Capa!$A:$AJ,AT$5,0),0),IF(ISERROR(1/VLOOKUP($R144,Capa!$A:$AJ,AT$5,0)),0,1/VLOOKUP($R144,Capa!$A:$AJ,AT$5,0))))</f>
        <v>-0.3330836259</v>
      </c>
      <c r="AU144" s="174">
        <f>IF(AU$6="","",IF(AU$3="Maior",iferror(VLOOKUP($R144,Capa!$A:$AJ,AU$5,0),0),IF(ISERROR(1/VLOOKUP($R144,Capa!$A:$AJ,AU$5,0)),0,1/VLOOKUP($R144,Capa!$A:$AJ,AU$5,0))))</f>
        <v>10.1</v>
      </c>
      <c r="AV144" s="174" t="str">
        <f>IF(AV$6="","",IF(AV$3="Maior",iferror(VLOOKUP($R144,Capa!$A:$AJ,AV$5,0),0),IF(ISERROR(1/VLOOKUP($R144,Capa!$A:$AJ,AV$5,0)),0,1/VLOOKUP($R144,Capa!$A:$AJ,AV$5,0))))</f>
        <v/>
      </c>
      <c r="AW144" s="174" t="str">
        <f>IF(AW$6="","",IF(AW$3="Maior",iferror(VLOOKUP($R144,Capa!$A:$AJ,AW$5,0),0),IF(ISERROR(1/VLOOKUP($R144,Capa!$A:$AJ,AW$5,0)),0,1/VLOOKUP($R144,Capa!$A:$AJ,AW$5,0))))</f>
        <v/>
      </c>
      <c r="AX144" s="174" t="str">
        <f>IF(AX$6="","",IF(AX$3="Maior",iferror(VLOOKUP($R144,Capa!$A:$AJ,AX$5,0),0),IF(ISERROR(1/VLOOKUP($R144,Capa!$A:$AJ,AX$5,0)),0,1/VLOOKUP($R144,Capa!$A:$AJ,AX$5,0))))</f>
        <v/>
      </c>
      <c r="AY144" s="174" t="str">
        <f>IF(AY$6="","",IF(AY$3="Maior",iferror(VLOOKUP($R144,Capa!$A:$AJ,AY$5,0),0),IF(ISERROR(1/VLOOKUP($R144,Capa!$A:$AJ,AY$5,0)),0,1/VLOOKUP($R144,Capa!$A:$AJ,AY$5,0))))</f>
        <v/>
      </c>
      <c r="AZ144" s="174" t="str">
        <f>IF(AZ$6="","",IF(AZ$3="Maior",iferror(VLOOKUP($R144,Capa!$A:$AJ,AZ$5,0),0),IF(ISERROR(1/VLOOKUP($R144,Capa!$A:$AJ,AZ$5,0)),0,1/VLOOKUP($R144,Capa!$A:$AJ,AZ$5,0))))</f>
        <v/>
      </c>
      <c r="BA144" s="174" t="str">
        <f>IF(BA$6="","",IF(BA$3="Maior",iferror(VLOOKUP($R144,Capa!$A:$AJ,BA$5,0),0),IF(ISERROR(1/VLOOKUP($R144,Capa!$A:$AJ,BA$5,0)),0,1/VLOOKUP($R144,Capa!$A:$AJ,BA$5,0))))</f>
        <v/>
      </c>
      <c r="BB144" s="174" t="str">
        <f>IF(BB$6="","",IF(BB$3="Maior",iferror(VLOOKUP($R144,Capa!$A:$AJ,BB$5,0),0),IF(ISERROR(1/VLOOKUP($R144,Capa!$A:$AJ,BB$5,0)),0,1/VLOOKUP($R144,Capa!$A:$AJ,BB$5,0))))</f>
        <v/>
      </c>
      <c r="BC144" s="174" t="str">
        <f>IF(BC$6="","",IF(BC$3="Maior",iferror(VLOOKUP($R144,Capa!$A:$AJ,BC$5,0),0),IF(ISERROR(1/VLOOKUP($R144,Capa!$A:$AJ,BC$5,0)),0,1/VLOOKUP($R144,Capa!$A:$AJ,BC$5,0))))</f>
        <v/>
      </c>
      <c r="BD144" s="174" t="str">
        <f>IF(BD$6="","",IF(BD$3="Maior",iferror(VLOOKUP($R144,Capa!$A:$AJ,BD$5,0),0),IF(ISERROR(1/VLOOKUP($R144,Capa!$A:$AJ,BD$5,0)),0,1/VLOOKUP($R144,Capa!$A:$AJ,BD$5,0))))</f>
        <v/>
      </c>
      <c r="BE144" s="174" t="str">
        <f>IF(BE$6="","",IF(BE$3="Maior",iferror(VLOOKUP($R144,Capa!$A:$AJ,BE$5,0),0),IF(ISERROR(1/VLOOKUP($R144,Capa!$A:$AJ,BE$5,0)),0,1/VLOOKUP($R144,Capa!$A:$AJ,BE$5,0))))</f>
        <v/>
      </c>
      <c r="BF144" s="174" t="str">
        <f>IF(BF$6="","",IF(BF$3="Maior",iferror(VLOOKUP($R144,Capa!$A:$AJ,BF$5,0),0),IF(ISERROR(1/VLOOKUP($R144,Capa!$A:$AJ,BF$5,0)),0,1/VLOOKUP($R144,Capa!$A:$AJ,BF$5,0))))</f>
        <v/>
      </c>
      <c r="BG144" s="174" t="str">
        <f>IF(BG$6="","",IF(BG$3="Maior",iferror(VLOOKUP($R144,Capa!$A:$AJ,BG$5,0),0),IF(ISERROR(1/VLOOKUP($R144,Capa!$A:$AJ,BG$5,0)),0,1/VLOOKUP($R144,Capa!$A:$AJ,BG$5,0))))</f>
        <v/>
      </c>
      <c r="BH144" s="174" t="str">
        <f>IF(BH$6="","",IF(BH$3="Maior",iferror(VLOOKUP($R144,Capa!$A:$AJ,BH$5,0),0),IF(ISERROR(1/VLOOKUP($R144,Capa!$A:$AJ,BH$5,0)),0,1/VLOOKUP($R144,Capa!$A:$AJ,BH$5,0))))</f>
        <v/>
      </c>
      <c r="BI144" s="174" t="str">
        <f>IF(BI$6="","",IF(BI$3="Maior",iferror(VLOOKUP($R144,Capa!$A:$AJ,BI$5,0),0),IF(ISERROR(1/VLOOKUP($R144,Capa!$A:$AJ,BI$5,0)),0,1/VLOOKUP($R144,Capa!$A:$AJ,BI$5,0))))</f>
        <v/>
      </c>
      <c r="BJ144" s="174" t="str">
        <f>IF(BJ$6="","",IF(BJ$3="Maior",iferror(VLOOKUP($R144,Capa!$A:$AJ,BJ$5,0),0),IF(ISERROR(1/VLOOKUP($R144,Capa!$A:$AJ,BJ$5,0)),0,1/VLOOKUP($R144,Capa!$A:$AJ,BJ$5,0))))</f>
        <v/>
      </c>
      <c r="BK144" s="174" t="str">
        <f>IF(BK$6="","",IF(BK$3="Maior",iferror(VLOOKUP($R144,Capa!$A:$AJ,BK$5,0),0),IF(ISERROR(1/VLOOKUP($R144,Capa!$A:$AJ,BK$5,0)),0,1/VLOOKUP($R144,Capa!$A:$AJ,BK$5,0))))</f>
        <v/>
      </c>
      <c r="BL144" s="174" t="str">
        <f>IF(BL$6="","",IF(BL$3="Maior",iferror(VLOOKUP($R144,Capa!$A:$AJ,BL$5,0),0),IF(ISERROR(1/VLOOKUP($R144,Capa!$A:$AJ,BL$5,0)),0,1/VLOOKUP($R144,Capa!$A:$AJ,BL$5,0))))</f>
        <v/>
      </c>
      <c r="BM144" s="174" t="str">
        <f>IF(BM$6="","",IF(BM$3="Maior",iferror(VLOOKUP($R144,Capa!$A:$AJ,BM$5,0),0),IF(ISERROR(1/VLOOKUP($R144,Capa!$A:$AJ,BM$5,0)),0,1/VLOOKUP($R144,Capa!$A:$AJ,BM$5,0))))</f>
        <v/>
      </c>
      <c r="BN144" s="174" t="str">
        <f>IF(BN$6="","",IF(BN$3="Maior",iferror(VLOOKUP($R144,Capa!$A:$AJ,BN$5,0),0),IF(ISERROR(1/VLOOKUP($R144,Capa!$A:$AJ,BN$5,0)),0,1/VLOOKUP($R144,Capa!$A:$AJ,BN$5,0))))</f>
        <v/>
      </c>
      <c r="BO144" s="174" t="str">
        <f>IF(BO$6="","",IF(BO$3="Maior",iferror(VLOOKUP($R144,Capa!$A:$AJ,BO$5,0),0),IF(ISERROR(1/VLOOKUP($R144,Capa!$A:$AJ,BO$5,0)),0,1/VLOOKUP($R144,Capa!$A:$AJ,BO$5,0))))</f>
        <v/>
      </c>
      <c r="BP144" s="174" t="str">
        <f>IF(BP$6="","",IF(BP$3="Maior",iferror(VLOOKUP($R144,Capa!$A:$AJ,BP$5,0),0),IF(ISERROR(1/VLOOKUP($R144,Capa!$A:$AJ,BP$5,0)),0,1/VLOOKUP($R144,Capa!$A:$AJ,BP$5,0))))</f>
        <v/>
      </c>
      <c r="BQ144" s="174" t="str">
        <f>IF(BQ$6="","",IF(BQ$3="Maior",iferror(VLOOKUP($R144,Capa!$A:$AJ,BQ$5,0),0),IF(ISERROR(1/VLOOKUP($R144,Capa!$A:$AJ,BQ$5,0)),0,1/VLOOKUP($R144,Capa!$A:$AJ,BQ$5,0))))</f>
        <v/>
      </c>
      <c r="BR144" s="175"/>
      <c r="BS144" s="147"/>
    </row>
    <row r="145">
      <c r="G145" s="11"/>
      <c r="H145" s="8">
        <v>139.0</v>
      </c>
      <c r="I145" s="165" t="str">
        <f t="shared" si="6"/>
        <v>BPAC11</v>
      </c>
      <c r="J145" s="166" t="str">
        <f>(VLOOKUP($I145,Capa!$A:$B,2,0))</f>
        <v>Banco BTG Pactual SA Unit</v>
      </c>
      <c r="K145" s="167" t="str">
        <f>VLOOKUP(left(I145,4),Setor!A:D,3,0)&amp;" | "&amp;VLOOKUP(left(I145,4),Setor!A:D,4,0)</f>
        <v>Financeiro | Intermediários Financeiros</v>
      </c>
      <c r="L145" s="168">
        <f>(VLOOKUP($I145,Capa!$A:$F,6,0))</f>
        <v>61.34</v>
      </c>
      <c r="M145" s="168">
        <f t="shared" si="7"/>
        <v>694000000</v>
      </c>
      <c r="N145" s="11" t="str">
        <f>IFERROR(__xludf.DUMMYFUNCTION("(VLOOKUP($I145,Capa!$A:$H,7,0))"),"")</f>
        <v/>
      </c>
      <c r="O145" s="169">
        <f>(VLOOKUP($I145,Capa!$A:$H,8,0))</f>
        <v>0.06253247878</v>
      </c>
      <c r="P145" s="11" t="str">
        <f>IFERROR(__xludf.DUMMYFUNCTION("(VLOOKUP($I145,Capa!$A:$J,10,0))"),"")</f>
        <v/>
      </c>
      <c r="Q145" s="169">
        <f>(VLOOKUP($I145,Capa!$A:$K,11,0))</f>
        <v>0.842042042</v>
      </c>
      <c r="R145" s="45" t="str">
        <f>'Dados StatusInvest'!A140</f>
        <v>CEBR6</v>
      </c>
      <c r="S145" s="170">
        <f t="shared" si="8"/>
        <v>1414.0414</v>
      </c>
      <c r="T145" s="171">
        <f>VLOOKUP(R145,'Dados StatusInvest'!A:Z,26,0)</f>
        <v>138506.8</v>
      </c>
      <c r="U145" s="172">
        <f t="shared" ref="U145:AS145" si="147">IF(AT145="","", RANK(AT145,AT$7:AT$626,0)+RANK(AT145,AT$7:AT$626,0)/10000)</f>
        <v>209.0209</v>
      </c>
      <c r="V145" s="172">
        <f t="shared" si="147"/>
        <v>205.0205</v>
      </c>
      <c r="W145" s="172" t="str">
        <f t="shared" si="147"/>
        <v/>
      </c>
      <c r="X145" s="172" t="str">
        <f t="shared" si="147"/>
        <v/>
      </c>
      <c r="Y145" s="172" t="str">
        <f t="shared" si="147"/>
        <v/>
      </c>
      <c r="Z145" s="172" t="str">
        <f t="shared" si="147"/>
        <v/>
      </c>
      <c r="AA145" s="172" t="str">
        <f t="shared" si="147"/>
        <v/>
      </c>
      <c r="AB145" s="172" t="str">
        <f t="shared" si="147"/>
        <v/>
      </c>
      <c r="AC145" s="172" t="str">
        <f t="shared" si="147"/>
        <v/>
      </c>
      <c r="AD145" s="172" t="str">
        <f t="shared" si="147"/>
        <v/>
      </c>
      <c r="AE145" s="172" t="str">
        <f t="shared" si="147"/>
        <v/>
      </c>
      <c r="AF145" s="172" t="str">
        <f t="shared" si="147"/>
        <v/>
      </c>
      <c r="AG145" s="172" t="str">
        <f t="shared" si="147"/>
        <v/>
      </c>
      <c r="AH145" s="172" t="str">
        <f t="shared" si="147"/>
        <v/>
      </c>
      <c r="AI145" s="172" t="str">
        <f t="shared" si="147"/>
        <v/>
      </c>
      <c r="AJ145" s="172" t="str">
        <f t="shared" si="147"/>
        <v/>
      </c>
      <c r="AK145" s="172" t="str">
        <f t="shared" si="147"/>
        <v/>
      </c>
      <c r="AL145" s="172" t="str">
        <f t="shared" si="147"/>
        <v/>
      </c>
      <c r="AM145" s="172" t="str">
        <f t="shared" si="147"/>
        <v/>
      </c>
      <c r="AN145" s="172" t="str">
        <f t="shared" si="147"/>
        <v/>
      </c>
      <c r="AO145" s="172" t="str">
        <f t="shared" si="147"/>
        <v/>
      </c>
      <c r="AP145" s="172" t="str">
        <f t="shared" si="147"/>
        <v/>
      </c>
      <c r="AQ145" s="172" t="str">
        <f t="shared" si="147"/>
        <v/>
      </c>
      <c r="AR145" s="172" t="str">
        <f t="shared" si="147"/>
        <v/>
      </c>
      <c r="AS145" s="172" t="str">
        <f t="shared" si="147"/>
        <v/>
      </c>
      <c r="AT145" s="173">
        <f>IF(AT$6="","",IF(AT$3="Maior",iferror(VLOOKUP($R145,Capa!$A:$AJ,AT$5,0),0),IF(ISERROR(1/VLOOKUP($R145,Capa!$A:$AJ,AT$5,0)),0,1/VLOOKUP($R145,Capa!$A:$AJ,AT$5,0))))</f>
        <v>-0.2985074627</v>
      </c>
      <c r="AU145" s="174">
        <f>IF(AU$6="","",IF(AU$3="Maior",iferror(VLOOKUP($R145,Capa!$A:$AJ,AU$5,0),0),IF(ISERROR(1/VLOOKUP($R145,Capa!$A:$AJ,AU$5,0)),0,1/VLOOKUP($R145,Capa!$A:$AJ,AU$5,0))))</f>
        <v>10.1</v>
      </c>
      <c r="AV145" s="174" t="str">
        <f>IF(AV$6="","",IF(AV$3="Maior",iferror(VLOOKUP($R145,Capa!$A:$AJ,AV$5,0),0),IF(ISERROR(1/VLOOKUP($R145,Capa!$A:$AJ,AV$5,0)),0,1/VLOOKUP($R145,Capa!$A:$AJ,AV$5,0))))</f>
        <v/>
      </c>
      <c r="AW145" s="174" t="str">
        <f>IF(AW$6="","",IF(AW$3="Maior",iferror(VLOOKUP($R145,Capa!$A:$AJ,AW$5,0),0),IF(ISERROR(1/VLOOKUP($R145,Capa!$A:$AJ,AW$5,0)),0,1/VLOOKUP($R145,Capa!$A:$AJ,AW$5,0))))</f>
        <v/>
      </c>
      <c r="AX145" s="174" t="str">
        <f>IF(AX$6="","",IF(AX$3="Maior",iferror(VLOOKUP($R145,Capa!$A:$AJ,AX$5,0),0),IF(ISERROR(1/VLOOKUP($R145,Capa!$A:$AJ,AX$5,0)),0,1/VLOOKUP($R145,Capa!$A:$AJ,AX$5,0))))</f>
        <v/>
      </c>
      <c r="AY145" s="174" t="str">
        <f>IF(AY$6="","",IF(AY$3="Maior",iferror(VLOOKUP($R145,Capa!$A:$AJ,AY$5,0),0),IF(ISERROR(1/VLOOKUP($R145,Capa!$A:$AJ,AY$5,0)),0,1/VLOOKUP($R145,Capa!$A:$AJ,AY$5,0))))</f>
        <v/>
      </c>
      <c r="AZ145" s="174" t="str">
        <f>IF(AZ$6="","",IF(AZ$3="Maior",iferror(VLOOKUP($R145,Capa!$A:$AJ,AZ$5,0),0),IF(ISERROR(1/VLOOKUP($R145,Capa!$A:$AJ,AZ$5,0)),0,1/VLOOKUP($R145,Capa!$A:$AJ,AZ$5,0))))</f>
        <v/>
      </c>
      <c r="BA145" s="174" t="str">
        <f>IF(BA$6="","",IF(BA$3="Maior",iferror(VLOOKUP($R145,Capa!$A:$AJ,BA$5,0),0),IF(ISERROR(1/VLOOKUP($R145,Capa!$A:$AJ,BA$5,0)),0,1/VLOOKUP($R145,Capa!$A:$AJ,BA$5,0))))</f>
        <v/>
      </c>
      <c r="BB145" s="174" t="str">
        <f>IF(BB$6="","",IF(BB$3="Maior",iferror(VLOOKUP($R145,Capa!$A:$AJ,BB$5,0),0),IF(ISERROR(1/VLOOKUP($R145,Capa!$A:$AJ,BB$5,0)),0,1/VLOOKUP($R145,Capa!$A:$AJ,BB$5,0))))</f>
        <v/>
      </c>
      <c r="BC145" s="174" t="str">
        <f>IF(BC$6="","",IF(BC$3="Maior",iferror(VLOOKUP($R145,Capa!$A:$AJ,BC$5,0),0),IF(ISERROR(1/VLOOKUP($R145,Capa!$A:$AJ,BC$5,0)),0,1/VLOOKUP($R145,Capa!$A:$AJ,BC$5,0))))</f>
        <v/>
      </c>
      <c r="BD145" s="174" t="str">
        <f>IF(BD$6="","",IF(BD$3="Maior",iferror(VLOOKUP($R145,Capa!$A:$AJ,BD$5,0),0),IF(ISERROR(1/VLOOKUP($R145,Capa!$A:$AJ,BD$5,0)),0,1/VLOOKUP($R145,Capa!$A:$AJ,BD$5,0))))</f>
        <v/>
      </c>
      <c r="BE145" s="174" t="str">
        <f>IF(BE$6="","",IF(BE$3="Maior",iferror(VLOOKUP($R145,Capa!$A:$AJ,BE$5,0),0),IF(ISERROR(1/VLOOKUP($R145,Capa!$A:$AJ,BE$5,0)),0,1/VLOOKUP($R145,Capa!$A:$AJ,BE$5,0))))</f>
        <v/>
      </c>
      <c r="BF145" s="174" t="str">
        <f>IF(BF$6="","",IF(BF$3="Maior",iferror(VLOOKUP($R145,Capa!$A:$AJ,BF$5,0),0),IF(ISERROR(1/VLOOKUP($R145,Capa!$A:$AJ,BF$5,0)),0,1/VLOOKUP($R145,Capa!$A:$AJ,BF$5,0))))</f>
        <v/>
      </c>
      <c r="BG145" s="174" t="str">
        <f>IF(BG$6="","",IF(BG$3="Maior",iferror(VLOOKUP($R145,Capa!$A:$AJ,BG$5,0),0),IF(ISERROR(1/VLOOKUP($R145,Capa!$A:$AJ,BG$5,0)),0,1/VLOOKUP($R145,Capa!$A:$AJ,BG$5,0))))</f>
        <v/>
      </c>
      <c r="BH145" s="174" t="str">
        <f>IF(BH$6="","",IF(BH$3="Maior",iferror(VLOOKUP($R145,Capa!$A:$AJ,BH$5,0),0),IF(ISERROR(1/VLOOKUP($R145,Capa!$A:$AJ,BH$5,0)),0,1/VLOOKUP($R145,Capa!$A:$AJ,BH$5,0))))</f>
        <v/>
      </c>
      <c r="BI145" s="174" t="str">
        <f>IF(BI$6="","",IF(BI$3="Maior",iferror(VLOOKUP($R145,Capa!$A:$AJ,BI$5,0),0),IF(ISERROR(1/VLOOKUP($R145,Capa!$A:$AJ,BI$5,0)),0,1/VLOOKUP($R145,Capa!$A:$AJ,BI$5,0))))</f>
        <v/>
      </c>
      <c r="BJ145" s="174" t="str">
        <f>IF(BJ$6="","",IF(BJ$3="Maior",iferror(VLOOKUP($R145,Capa!$A:$AJ,BJ$5,0),0),IF(ISERROR(1/VLOOKUP($R145,Capa!$A:$AJ,BJ$5,0)),0,1/VLOOKUP($R145,Capa!$A:$AJ,BJ$5,0))))</f>
        <v/>
      </c>
      <c r="BK145" s="174" t="str">
        <f>IF(BK$6="","",IF(BK$3="Maior",iferror(VLOOKUP($R145,Capa!$A:$AJ,BK$5,0),0),IF(ISERROR(1/VLOOKUP($R145,Capa!$A:$AJ,BK$5,0)),0,1/VLOOKUP($R145,Capa!$A:$AJ,BK$5,0))))</f>
        <v/>
      </c>
      <c r="BL145" s="174" t="str">
        <f>IF(BL$6="","",IF(BL$3="Maior",iferror(VLOOKUP($R145,Capa!$A:$AJ,BL$5,0),0),IF(ISERROR(1/VLOOKUP($R145,Capa!$A:$AJ,BL$5,0)),0,1/VLOOKUP($R145,Capa!$A:$AJ,BL$5,0))))</f>
        <v/>
      </c>
      <c r="BM145" s="174" t="str">
        <f>IF(BM$6="","",IF(BM$3="Maior",iferror(VLOOKUP($R145,Capa!$A:$AJ,BM$5,0),0),IF(ISERROR(1/VLOOKUP($R145,Capa!$A:$AJ,BM$5,0)),0,1/VLOOKUP($R145,Capa!$A:$AJ,BM$5,0))))</f>
        <v/>
      </c>
      <c r="BN145" s="174" t="str">
        <f>IF(BN$6="","",IF(BN$3="Maior",iferror(VLOOKUP($R145,Capa!$A:$AJ,BN$5,0),0),IF(ISERROR(1/VLOOKUP($R145,Capa!$A:$AJ,BN$5,0)),0,1/VLOOKUP($R145,Capa!$A:$AJ,BN$5,0))))</f>
        <v/>
      </c>
      <c r="BO145" s="174" t="str">
        <f>IF(BO$6="","",IF(BO$3="Maior",iferror(VLOOKUP($R145,Capa!$A:$AJ,BO$5,0),0),IF(ISERROR(1/VLOOKUP($R145,Capa!$A:$AJ,BO$5,0)),0,1/VLOOKUP($R145,Capa!$A:$AJ,BO$5,0))))</f>
        <v/>
      </c>
      <c r="BP145" s="174" t="str">
        <f>IF(BP$6="","",IF(BP$3="Maior",iferror(VLOOKUP($R145,Capa!$A:$AJ,BP$5,0),0),IF(ISERROR(1/VLOOKUP($R145,Capa!$A:$AJ,BP$5,0)),0,1/VLOOKUP($R145,Capa!$A:$AJ,BP$5,0))))</f>
        <v/>
      </c>
      <c r="BQ145" s="174" t="str">
        <f>IF(BQ$6="","",IF(BQ$3="Maior",iferror(VLOOKUP($R145,Capa!$A:$AJ,BQ$5,0),0),IF(ISERROR(1/VLOOKUP($R145,Capa!$A:$AJ,BQ$5,0)),0,1/VLOOKUP($R145,Capa!$A:$AJ,BQ$5,0))))</f>
        <v/>
      </c>
      <c r="BR145" s="175"/>
      <c r="BS145" s="147"/>
    </row>
    <row r="146">
      <c r="G146" s="11"/>
      <c r="H146" s="8">
        <v>140.0</v>
      </c>
      <c r="I146" s="165" t="str">
        <f t="shared" si="6"/>
        <v>MILS3</v>
      </c>
      <c r="J146" s="166" t="str">
        <f>(VLOOKUP($I146,Capa!$A:$B,2,0))</f>
        <v>Mills Locacao Servicos E Logistica SA</v>
      </c>
      <c r="K146" s="167" t="str">
        <f>VLOOKUP(left(I146,4),Setor!A:D,3,0)&amp;" | "&amp;VLOOKUP(left(I146,4),Setor!A:D,4,0)</f>
        <v>Bens Industriais | Construção e Engenharia</v>
      </c>
      <c r="L146" s="168">
        <f>(VLOOKUP($I146,Capa!$A:$F,6,0))</f>
        <v>14.97</v>
      </c>
      <c r="M146" s="168">
        <f t="shared" si="7"/>
        <v>11019049</v>
      </c>
      <c r="N146" s="11" t="str">
        <f>IFERROR(__xludf.DUMMYFUNCTION("(VLOOKUP($I146,Capa!$A:$H,7,0))"),"")</f>
        <v/>
      </c>
      <c r="O146" s="169">
        <f>(VLOOKUP($I146,Capa!$A:$H,8,0))</f>
        <v>0.05274261603</v>
      </c>
      <c r="P146" s="11" t="str">
        <f>IFERROR(__xludf.DUMMYFUNCTION("(VLOOKUP($I146,Capa!$A:$J,10,0))"),"")</f>
        <v/>
      </c>
      <c r="Q146" s="169">
        <f>(VLOOKUP($I146,Capa!$A:$K,11,0))</f>
        <v>0.6450549451</v>
      </c>
      <c r="R146" s="45" t="str">
        <f>'Dados StatusInvest'!A141</f>
        <v>CEDO3</v>
      </c>
      <c r="S146" s="170">
        <f t="shared" si="8"/>
        <v>1788.0788</v>
      </c>
      <c r="T146" s="171">
        <f>VLOOKUP(R146,'Dados StatusInvest'!A:Z,26,0)</f>
        <v>1399</v>
      </c>
      <c r="U146" s="172">
        <f t="shared" ref="U146:AS146" si="148">IF(AT146="","", RANK(AT146,AT$7:AT$626,0)+RANK(AT146,AT$7:AT$626,0)/10000)</f>
        <v>521.0521</v>
      </c>
      <c r="V146" s="172">
        <f t="shared" si="148"/>
        <v>267.0267</v>
      </c>
      <c r="W146" s="172" t="str">
        <f t="shared" si="148"/>
        <v/>
      </c>
      <c r="X146" s="172" t="str">
        <f t="shared" si="148"/>
        <v/>
      </c>
      <c r="Y146" s="172" t="str">
        <f t="shared" si="148"/>
        <v/>
      </c>
      <c r="Z146" s="172" t="str">
        <f t="shared" si="148"/>
        <v/>
      </c>
      <c r="AA146" s="172" t="str">
        <f t="shared" si="148"/>
        <v/>
      </c>
      <c r="AB146" s="172" t="str">
        <f t="shared" si="148"/>
        <v/>
      </c>
      <c r="AC146" s="172" t="str">
        <f t="shared" si="148"/>
        <v/>
      </c>
      <c r="AD146" s="172" t="str">
        <f t="shared" si="148"/>
        <v/>
      </c>
      <c r="AE146" s="172" t="str">
        <f t="shared" si="148"/>
        <v/>
      </c>
      <c r="AF146" s="172" t="str">
        <f t="shared" si="148"/>
        <v/>
      </c>
      <c r="AG146" s="172" t="str">
        <f t="shared" si="148"/>
        <v/>
      </c>
      <c r="AH146" s="172" t="str">
        <f t="shared" si="148"/>
        <v/>
      </c>
      <c r="AI146" s="172" t="str">
        <f t="shared" si="148"/>
        <v/>
      </c>
      <c r="AJ146" s="172" t="str">
        <f t="shared" si="148"/>
        <v/>
      </c>
      <c r="AK146" s="172" t="str">
        <f t="shared" si="148"/>
        <v/>
      </c>
      <c r="AL146" s="172" t="str">
        <f t="shared" si="148"/>
        <v/>
      </c>
      <c r="AM146" s="172" t="str">
        <f t="shared" si="148"/>
        <v/>
      </c>
      <c r="AN146" s="172" t="str">
        <f t="shared" si="148"/>
        <v/>
      </c>
      <c r="AO146" s="172" t="str">
        <f t="shared" si="148"/>
        <v/>
      </c>
      <c r="AP146" s="172" t="str">
        <f t="shared" si="148"/>
        <v/>
      </c>
      <c r="AQ146" s="172" t="str">
        <f t="shared" si="148"/>
        <v/>
      </c>
      <c r="AR146" s="172" t="str">
        <f t="shared" si="148"/>
        <v/>
      </c>
      <c r="AS146" s="172" t="str">
        <f t="shared" si="148"/>
        <v/>
      </c>
      <c r="AT146" s="173">
        <f>IF(AT$6="","",IF(AT$3="Maior",iferror(VLOOKUP($R146,Capa!$A:$AJ,AT$5,0),0),IF(ISERROR(1/VLOOKUP($R146,Capa!$A:$AJ,AT$5,0)),0,1/VLOOKUP($R146,Capa!$A:$AJ,AT$5,0))))</f>
        <v>-4</v>
      </c>
      <c r="AU146" s="174">
        <f>IF(AU$6="","",IF(AU$3="Maior",iferror(VLOOKUP($R146,Capa!$A:$AJ,AU$5,0),0),IF(ISERROR(1/VLOOKUP($R146,Capa!$A:$AJ,AU$5,0)),0,1/VLOOKUP($R146,Capa!$A:$AJ,AU$5,0))))</f>
        <v>0</v>
      </c>
      <c r="AV146" s="174" t="str">
        <f>IF(AV$6="","",IF(AV$3="Maior",iferror(VLOOKUP($R146,Capa!$A:$AJ,AV$5,0),0),IF(ISERROR(1/VLOOKUP($R146,Capa!$A:$AJ,AV$5,0)),0,1/VLOOKUP($R146,Capa!$A:$AJ,AV$5,0))))</f>
        <v/>
      </c>
      <c r="AW146" s="174" t="str">
        <f>IF(AW$6="","",IF(AW$3="Maior",iferror(VLOOKUP($R146,Capa!$A:$AJ,AW$5,0),0),IF(ISERROR(1/VLOOKUP($R146,Capa!$A:$AJ,AW$5,0)),0,1/VLOOKUP($R146,Capa!$A:$AJ,AW$5,0))))</f>
        <v/>
      </c>
      <c r="AX146" s="174" t="str">
        <f>IF(AX$6="","",IF(AX$3="Maior",iferror(VLOOKUP($R146,Capa!$A:$AJ,AX$5,0),0),IF(ISERROR(1/VLOOKUP($R146,Capa!$A:$AJ,AX$5,0)),0,1/VLOOKUP($R146,Capa!$A:$AJ,AX$5,0))))</f>
        <v/>
      </c>
      <c r="AY146" s="174" t="str">
        <f>IF(AY$6="","",IF(AY$3="Maior",iferror(VLOOKUP($R146,Capa!$A:$AJ,AY$5,0),0),IF(ISERROR(1/VLOOKUP($R146,Capa!$A:$AJ,AY$5,0)),0,1/VLOOKUP($R146,Capa!$A:$AJ,AY$5,0))))</f>
        <v/>
      </c>
      <c r="AZ146" s="174" t="str">
        <f>IF(AZ$6="","",IF(AZ$3="Maior",iferror(VLOOKUP($R146,Capa!$A:$AJ,AZ$5,0),0),IF(ISERROR(1/VLOOKUP($R146,Capa!$A:$AJ,AZ$5,0)),0,1/VLOOKUP($R146,Capa!$A:$AJ,AZ$5,0))))</f>
        <v/>
      </c>
      <c r="BA146" s="174" t="str">
        <f>IF(BA$6="","",IF(BA$3="Maior",iferror(VLOOKUP($R146,Capa!$A:$AJ,BA$5,0),0),IF(ISERROR(1/VLOOKUP($R146,Capa!$A:$AJ,BA$5,0)),0,1/VLOOKUP($R146,Capa!$A:$AJ,BA$5,0))))</f>
        <v/>
      </c>
      <c r="BB146" s="174" t="str">
        <f>IF(BB$6="","",IF(BB$3="Maior",iferror(VLOOKUP($R146,Capa!$A:$AJ,BB$5,0),0),IF(ISERROR(1/VLOOKUP($R146,Capa!$A:$AJ,BB$5,0)),0,1/VLOOKUP($R146,Capa!$A:$AJ,BB$5,0))))</f>
        <v/>
      </c>
      <c r="BC146" s="174" t="str">
        <f>IF(BC$6="","",IF(BC$3="Maior",iferror(VLOOKUP($R146,Capa!$A:$AJ,BC$5,0),0),IF(ISERROR(1/VLOOKUP($R146,Capa!$A:$AJ,BC$5,0)),0,1/VLOOKUP($R146,Capa!$A:$AJ,BC$5,0))))</f>
        <v/>
      </c>
      <c r="BD146" s="174" t="str">
        <f>IF(BD$6="","",IF(BD$3="Maior",iferror(VLOOKUP($R146,Capa!$A:$AJ,BD$5,0),0),IF(ISERROR(1/VLOOKUP($R146,Capa!$A:$AJ,BD$5,0)),0,1/VLOOKUP($R146,Capa!$A:$AJ,BD$5,0))))</f>
        <v/>
      </c>
      <c r="BE146" s="174" t="str">
        <f>IF(BE$6="","",IF(BE$3="Maior",iferror(VLOOKUP($R146,Capa!$A:$AJ,BE$5,0),0),IF(ISERROR(1/VLOOKUP($R146,Capa!$A:$AJ,BE$5,0)),0,1/VLOOKUP($R146,Capa!$A:$AJ,BE$5,0))))</f>
        <v/>
      </c>
      <c r="BF146" s="174" t="str">
        <f>IF(BF$6="","",IF(BF$3="Maior",iferror(VLOOKUP($R146,Capa!$A:$AJ,BF$5,0),0),IF(ISERROR(1/VLOOKUP($R146,Capa!$A:$AJ,BF$5,0)),0,1/VLOOKUP($R146,Capa!$A:$AJ,BF$5,0))))</f>
        <v/>
      </c>
      <c r="BG146" s="174" t="str">
        <f>IF(BG$6="","",IF(BG$3="Maior",iferror(VLOOKUP($R146,Capa!$A:$AJ,BG$5,0),0),IF(ISERROR(1/VLOOKUP($R146,Capa!$A:$AJ,BG$5,0)),0,1/VLOOKUP($R146,Capa!$A:$AJ,BG$5,0))))</f>
        <v/>
      </c>
      <c r="BH146" s="174" t="str">
        <f>IF(BH$6="","",IF(BH$3="Maior",iferror(VLOOKUP($R146,Capa!$A:$AJ,BH$5,0),0),IF(ISERROR(1/VLOOKUP($R146,Capa!$A:$AJ,BH$5,0)),0,1/VLOOKUP($R146,Capa!$A:$AJ,BH$5,0))))</f>
        <v/>
      </c>
      <c r="BI146" s="174" t="str">
        <f>IF(BI$6="","",IF(BI$3="Maior",iferror(VLOOKUP($R146,Capa!$A:$AJ,BI$5,0),0),IF(ISERROR(1/VLOOKUP($R146,Capa!$A:$AJ,BI$5,0)),0,1/VLOOKUP($R146,Capa!$A:$AJ,BI$5,0))))</f>
        <v/>
      </c>
      <c r="BJ146" s="174" t="str">
        <f>IF(BJ$6="","",IF(BJ$3="Maior",iferror(VLOOKUP($R146,Capa!$A:$AJ,BJ$5,0),0),IF(ISERROR(1/VLOOKUP($R146,Capa!$A:$AJ,BJ$5,0)),0,1/VLOOKUP($R146,Capa!$A:$AJ,BJ$5,0))))</f>
        <v/>
      </c>
      <c r="BK146" s="174" t="str">
        <f>IF(BK$6="","",IF(BK$3="Maior",iferror(VLOOKUP($R146,Capa!$A:$AJ,BK$5,0),0),IF(ISERROR(1/VLOOKUP($R146,Capa!$A:$AJ,BK$5,0)),0,1/VLOOKUP($R146,Capa!$A:$AJ,BK$5,0))))</f>
        <v/>
      </c>
      <c r="BL146" s="174" t="str">
        <f>IF(BL$6="","",IF(BL$3="Maior",iferror(VLOOKUP($R146,Capa!$A:$AJ,BL$5,0),0),IF(ISERROR(1/VLOOKUP($R146,Capa!$A:$AJ,BL$5,0)),0,1/VLOOKUP($R146,Capa!$A:$AJ,BL$5,0))))</f>
        <v/>
      </c>
      <c r="BM146" s="174" t="str">
        <f>IF(BM$6="","",IF(BM$3="Maior",iferror(VLOOKUP($R146,Capa!$A:$AJ,BM$5,0),0),IF(ISERROR(1/VLOOKUP($R146,Capa!$A:$AJ,BM$5,0)),0,1/VLOOKUP($R146,Capa!$A:$AJ,BM$5,0))))</f>
        <v/>
      </c>
      <c r="BN146" s="174" t="str">
        <f>IF(BN$6="","",IF(BN$3="Maior",iferror(VLOOKUP($R146,Capa!$A:$AJ,BN$5,0),0),IF(ISERROR(1/VLOOKUP($R146,Capa!$A:$AJ,BN$5,0)),0,1/VLOOKUP($R146,Capa!$A:$AJ,BN$5,0))))</f>
        <v/>
      </c>
      <c r="BO146" s="174" t="str">
        <f>IF(BO$6="","",IF(BO$3="Maior",iferror(VLOOKUP($R146,Capa!$A:$AJ,BO$5,0),0),IF(ISERROR(1/VLOOKUP($R146,Capa!$A:$AJ,BO$5,0)),0,1/VLOOKUP($R146,Capa!$A:$AJ,BO$5,0))))</f>
        <v/>
      </c>
      <c r="BP146" s="174" t="str">
        <f>IF(BP$6="","",IF(BP$3="Maior",iferror(VLOOKUP($R146,Capa!$A:$AJ,BP$5,0),0),IF(ISERROR(1/VLOOKUP($R146,Capa!$A:$AJ,BP$5,0)),0,1/VLOOKUP($R146,Capa!$A:$AJ,BP$5,0))))</f>
        <v/>
      </c>
      <c r="BQ146" s="174" t="str">
        <f>IF(BQ$6="","",IF(BQ$3="Maior",iferror(VLOOKUP($R146,Capa!$A:$AJ,BQ$5,0),0),IF(ISERROR(1/VLOOKUP($R146,Capa!$A:$AJ,BQ$5,0)),0,1/VLOOKUP($R146,Capa!$A:$AJ,BQ$5,0))))</f>
        <v/>
      </c>
      <c r="BR146" s="175"/>
      <c r="BS146" s="147"/>
    </row>
    <row r="147">
      <c r="G147" s="11"/>
      <c r="H147" s="8">
        <v>141.0</v>
      </c>
      <c r="I147" s="165" t="str">
        <f t="shared" si="6"/>
        <v>SYNE3</v>
      </c>
      <c r="J147" s="166" t="str">
        <f>(VLOOKUP($I147,Capa!$A:$B,2,0))</f>
        <v>SYN prop e tech SA</v>
      </c>
      <c r="K147" s="167" t="str">
        <f>VLOOKUP(left(I147,4),Setor!A:D,3,0)&amp;" | "&amp;VLOOKUP(left(I147,4),Setor!A:D,4,0)</f>
        <v>#N/A</v>
      </c>
      <c r="L147" s="168">
        <f>(VLOOKUP($I147,Capa!$A:$F,6,0))</f>
        <v>4.77</v>
      </c>
      <c r="M147" s="168">
        <f t="shared" si="7"/>
        <v>2428992</v>
      </c>
      <c r="N147" s="177" t="str">
        <f>IFERROR(__xludf.DUMMYFUNCTION("(VLOOKUP($I147,Capa!$A:$H,7,0))"),"")</f>
        <v/>
      </c>
      <c r="O147" s="169">
        <f>(VLOOKUP($I147,Capa!$A:$H,8,0))</f>
        <v>-0.02653061224</v>
      </c>
      <c r="P147" s="169" t="str">
        <f>IFERROR(__xludf.DUMMYFUNCTION("(VLOOKUP($I147,Capa!$A:$J,10,0))"),"")</f>
        <v/>
      </c>
      <c r="Q147" s="169">
        <f>(VLOOKUP($I147,Capa!$A:$K,11,0))</f>
        <v>0.01489361702</v>
      </c>
      <c r="R147" s="45" t="str">
        <f>'Dados StatusInvest'!A142</f>
        <v>CEDO4</v>
      </c>
      <c r="S147" s="170">
        <f t="shared" si="8"/>
        <v>1822.0822</v>
      </c>
      <c r="T147" s="171">
        <f>VLOOKUP(R147,'Dados StatusInvest'!A:Z,26,0)</f>
        <v>9930.56</v>
      </c>
      <c r="U147" s="172">
        <f t="shared" ref="U147:AS147" si="149">IF(AT147="","", RANK(AT147,AT$7:AT$626,0)+RANK(AT147,AT$7:AT$626,0)/10000)</f>
        <v>555.0555</v>
      </c>
      <c r="V147" s="172">
        <f t="shared" si="149"/>
        <v>267.0267</v>
      </c>
      <c r="W147" s="172" t="str">
        <f t="shared" si="149"/>
        <v/>
      </c>
      <c r="X147" s="172" t="str">
        <f t="shared" si="149"/>
        <v/>
      </c>
      <c r="Y147" s="172" t="str">
        <f t="shared" si="149"/>
        <v/>
      </c>
      <c r="Z147" s="172" t="str">
        <f t="shared" si="149"/>
        <v/>
      </c>
      <c r="AA147" s="172" t="str">
        <f t="shared" si="149"/>
        <v/>
      </c>
      <c r="AB147" s="172" t="str">
        <f t="shared" si="149"/>
        <v/>
      </c>
      <c r="AC147" s="172" t="str">
        <f t="shared" si="149"/>
        <v/>
      </c>
      <c r="AD147" s="172" t="str">
        <f t="shared" si="149"/>
        <v/>
      </c>
      <c r="AE147" s="172" t="str">
        <f t="shared" si="149"/>
        <v/>
      </c>
      <c r="AF147" s="172" t="str">
        <f t="shared" si="149"/>
        <v/>
      </c>
      <c r="AG147" s="172" t="str">
        <f t="shared" si="149"/>
        <v/>
      </c>
      <c r="AH147" s="172" t="str">
        <f t="shared" si="149"/>
        <v/>
      </c>
      <c r="AI147" s="172" t="str">
        <f t="shared" si="149"/>
        <v/>
      </c>
      <c r="AJ147" s="172" t="str">
        <f t="shared" si="149"/>
        <v/>
      </c>
      <c r="AK147" s="172" t="str">
        <f t="shared" si="149"/>
        <v/>
      </c>
      <c r="AL147" s="172" t="str">
        <f t="shared" si="149"/>
        <v/>
      </c>
      <c r="AM147" s="172" t="str">
        <f t="shared" si="149"/>
        <v/>
      </c>
      <c r="AN147" s="172" t="str">
        <f t="shared" si="149"/>
        <v/>
      </c>
      <c r="AO147" s="172" t="str">
        <f t="shared" si="149"/>
        <v/>
      </c>
      <c r="AP147" s="172" t="str">
        <f t="shared" si="149"/>
        <v/>
      </c>
      <c r="AQ147" s="172" t="str">
        <f t="shared" si="149"/>
        <v/>
      </c>
      <c r="AR147" s="172" t="str">
        <f t="shared" si="149"/>
        <v/>
      </c>
      <c r="AS147" s="172" t="str">
        <f t="shared" si="149"/>
        <v/>
      </c>
      <c r="AT147" s="173">
        <f>IF(AT$6="","",IF(AT$3="Maior",iferror(VLOOKUP($R147,Capa!$A:$AJ,AT$5,0),0),IF(ISERROR(1/VLOOKUP($R147,Capa!$A:$AJ,AT$5,0)),0,1/VLOOKUP($R147,Capa!$A:$AJ,AT$5,0))))</f>
        <v>-5.882352941</v>
      </c>
      <c r="AU147" s="174">
        <f>IF(AU$6="","",IF(AU$3="Maior",iferror(VLOOKUP($R147,Capa!$A:$AJ,AU$5,0),0),IF(ISERROR(1/VLOOKUP($R147,Capa!$A:$AJ,AU$5,0)),0,1/VLOOKUP($R147,Capa!$A:$AJ,AU$5,0))))</f>
        <v>0</v>
      </c>
      <c r="AV147" s="174" t="str">
        <f>IF(AV$6="","",IF(AV$3="Maior",iferror(VLOOKUP($R147,Capa!$A:$AJ,AV$5,0),0),IF(ISERROR(1/VLOOKUP($R147,Capa!$A:$AJ,AV$5,0)),0,1/VLOOKUP($R147,Capa!$A:$AJ,AV$5,0))))</f>
        <v/>
      </c>
      <c r="AW147" s="174" t="str">
        <f>IF(AW$6="","",IF(AW$3="Maior",iferror(VLOOKUP($R147,Capa!$A:$AJ,AW$5,0),0),IF(ISERROR(1/VLOOKUP($R147,Capa!$A:$AJ,AW$5,0)),0,1/VLOOKUP($R147,Capa!$A:$AJ,AW$5,0))))</f>
        <v/>
      </c>
      <c r="AX147" s="174" t="str">
        <f>IF(AX$6="","",IF(AX$3="Maior",iferror(VLOOKUP($R147,Capa!$A:$AJ,AX$5,0),0),IF(ISERROR(1/VLOOKUP($R147,Capa!$A:$AJ,AX$5,0)),0,1/VLOOKUP($R147,Capa!$A:$AJ,AX$5,0))))</f>
        <v/>
      </c>
      <c r="AY147" s="174" t="str">
        <f>IF(AY$6="","",IF(AY$3="Maior",iferror(VLOOKUP($R147,Capa!$A:$AJ,AY$5,0),0),IF(ISERROR(1/VLOOKUP($R147,Capa!$A:$AJ,AY$5,0)),0,1/VLOOKUP($R147,Capa!$A:$AJ,AY$5,0))))</f>
        <v/>
      </c>
      <c r="AZ147" s="174" t="str">
        <f>IF(AZ$6="","",IF(AZ$3="Maior",iferror(VLOOKUP($R147,Capa!$A:$AJ,AZ$5,0),0),IF(ISERROR(1/VLOOKUP($R147,Capa!$A:$AJ,AZ$5,0)),0,1/VLOOKUP($R147,Capa!$A:$AJ,AZ$5,0))))</f>
        <v/>
      </c>
      <c r="BA147" s="174" t="str">
        <f>IF(BA$6="","",IF(BA$3="Maior",iferror(VLOOKUP($R147,Capa!$A:$AJ,BA$5,0),0),IF(ISERROR(1/VLOOKUP($R147,Capa!$A:$AJ,BA$5,0)),0,1/VLOOKUP($R147,Capa!$A:$AJ,BA$5,0))))</f>
        <v/>
      </c>
      <c r="BB147" s="174" t="str">
        <f>IF(BB$6="","",IF(BB$3="Maior",iferror(VLOOKUP($R147,Capa!$A:$AJ,BB$5,0),0),IF(ISERROR(1/VLOOKUP($R147,Capa!$A:$AJ,BB$5,0)),0,1/VLOOKUP($R147,Capa!$A:$AJ,BB$5,0))))</f>
        <v/>
      </c>
      <c r="BC147" s="174" t="str">
        <f>IF(BC$6="","",IF(BC$3="Maior",iferror(VLOOKUP($R147,Capa!$A:$AJ,BC$5,0),0),IF(ISERROR(1/VLOOKUP($R147,Capa!$A:$AJ,BC$5,0)),0,1/VLOOKUP($R147,Capa!$A:$AJ,BC$5,0))))</f>
        <v/>
      </c>
      <c r="BD147" s="174" t="str">
        <f>IF(BD$6="","",IF(BD$3="Maior",iferror(VLOOKUP($R147,Capa!$A:$AJ,BD$5,0),0),IF(ISERROR(1/VLOOKUP($R147,Capa!$A:$AJ,BD$5,0)),0,1/VLOOKUP($R147,Capa!$A:$AJ,BD$5,0))))</f>
        <v/>
      </c>
      <c r="BE147" s="174" t="str">
        <f>IF(BE$6="","",IF(BE$3="Maior",iferror(VLOOKUP($R147,Capa!$A:$AJ,BE$5,0),0),IF(ISERROR(1/VLOOKUP($R147,Capa!$A:$AJ,BE$5,0)),0,1/VLOOKUP($R147,Capa!$A:$AJ,BE$5,0))))</f>
        <v/>
      </c>
      <c r="BF147" s="174" t="str">
        <f>IF(BF$6="","",IF(BF$3="Maior",iferror(VLOOKUP($R147,Capa!$A:$AJ,BF$5,0),0),IF(ISERROR(1/VLOOKUP($R147,Capa!$A:$AJ,BF$5,0)),0,1/VLOOKUP($R147,Capa!$A:$AJ,BF$5,0))))</f>
        <v/>
      </c>
      <c r="BG147" s="174" t="str">
        <f>IF(BG$6="","",IF(BG$3="Maior",iferror(VLOOKUP($R147,Capa!$A:$AJ,BG$5,0),0),IF(ISERROR(1/VLOOKUP($R147,Capa!$A:$AJ,BG$5,0)),0,1/VLOOKUP($R147,Capa!$A:$AJ,BG$5,0))))</f>
        <v/>
      </c>
      <c r="BH147" s="174" t="str">
        <f>IF(BH$6="","",IF(BH$3="Maior",iferror(VLOOKUP($R147,Capa!$A:$AJ,BH$5,0),0),IF(ISERROR(1/VLOOKUP($R147,Capa!$A:$AJ,BH$5,0)),0,1/VLOOKUP($R147,Capa!$A:$AJ,BH$5,0))))</f>
        <v/>
      </c>
      <c r="BI147" s="174" t="str">
        <f>IF(BI$6="","",IF(BI$3="Maior",iferror(VLOOKUP($R147,Capa!$A:$AJ,BI$5,0),0),IF(ISERROR(1/VLOOKUP($R147,Capa!$A:$AJ,BI$5,0)),0,1/VLOOKUP($R147,Capa!$A:$AJ,BI$5,0))))</f>
        <v/>
      </c>
      <c r="BJ147" s="174" t="str">
        <f>IF(BJ$6="","",IF(BJ$3="Maior",iferror(VLOOKUP($R147,Capa!$A:$AJ,BJ$5,0),0),IF(ISERROR(1/VLOOKUP($R147,Capa!$A:$AJ,BJ$5,0)),0,1/VLOOKUP($R147,Capa!$A:$AJ,BJ$5,0))))</f>
        <v/>
      </c>
      <c r="BK147" s="174" t="str">
        <f>IF(BK$6="","",IF(BK$3="Maior",iferror(VLOOKUP($R147,Capa!$A:$AJ,BK$5,0),0),IF(ISERROR(1/VLOOKUP($R147,Capa!$A:$AJ,BK$5,0)),0,1/VLOOKUP($R147,Capa!$A:$AJ,BK$5,0))))</f>
        <v/>
      </c>
      <c r="BL147" s="174" t="str">
        <f>IF(BL$6="","",IF(BL$3="Maior",iferror(VLOOKUP($R147,Capa!$A:$AJ,BL$5,0),0),IF(ISERROR(1/VLOOKUP($R147,Capa!$A:$AJ,BL$5,0)),0,1/VLOOKUP($R147,Capa!$A:$AJ,BL$5,0))))</f>
        <v/>
      </c>
      <c r="BM147" s="174" t="str">
        <f>IF(BM$6="","",IF(BM$3="Maior",iferror(VLOOKUP($R147,Capa!$A:$AJ,BM$5,0),0),IF(ISERROR(1/VLOOKUP($R147,Capa!$A:$AJ,BM$5,0)),0,1/VLOOKUP($R147,Capa!$A:$AJ,BM$5,0))))</f>
        <v/>
      </c>
      <c r="BN147" s="174" t="str">
        <f>IF(BN$6="","",IF(BN$3="Maior",iferror(VLOOKUP($R147,Capa!$A:$AJ,BN$5,0),0),IF(ISERROR(1/VLOOKUP($R147,Capa!$A:$AJ,BN$5,0)),0,1/VLOOKUP($R147,Capa!$A:$AJ,BN$5,0))))</f>
        <v/>
      </c>
      <c r="BO147" s="174" t="str">
        <f>IF(BO$6="","",IF(BO$3="Maior",iferror(VLOOKUP($R147,Capa!$A:$AJ,BO$5,0),0),IF(ISERROR(1/VLOOKUP($R147,Capa!$A:$AJ,BO$5,0)),0,1/VLOOKUP($R147,Capa!$A:$AJ,BO$5,0))))</f>
        <v/>
      </c>
      <c r="BP147" s="174" t="str">
        <f>IF(BP$6="","",IF(BP$3="Maior",iferror(VLOOKUP($R147,Capa!$A:$AJ,BP$5,0),0),IF(ISERROR(1/VLOOKUP($R147,Capa!$A:$AJ,BP$5,0)),0,1/VLOOKUP($R147,Capa!$A:$AJ,BP$5,0))))</f>
        <v/>
      </c>
      <c r="BQ147" s="174" t="str">
        <f>IF(BQ$6="","",IF(BQ$3="Maior",iferror(VLOOKUP($R147,Capa!$A:$AJ,BQ$5,0),0),IF(ISERROR(1/VLOOKUP($R147,Capa!$A:$AJ,BQ$5,0)),0,1/VLOOKUP($R147,Capa!$A:$AJ,BQ$5,0))))</f>
        <v/>
      </c>
      <c r="BR147" s="175"/>
      <c r="BS147" s="147"/>
    </row>
    <row r="148">
      <c r="G148" s="11"/>
      <c r="H148" s="8">
        <v>142.0</v>
      </c>
      <c r="I148" s="165" t="str">
        <f t="shared" si="6"/>
        <v>MDNE3</v>
      </c>
      <c r="J148" s="166" t="str">
        <f>(VLOOKUP($I148,Capa!$A:$B,2,0))</f>
        <v>Moura Dubeux Engenharia SA</v>
      </c>
      <c r="K148" s="167" t="str">
        <f>VLOOKUP(left(I148,4),Setor!A:D,3,0)&amp;" | "&amp;VLOOKUP(left(I148,4),Setor!A:D,4,0)</f>
        <v>Consumo Cíclico | Construção Civil</v>
      </c>
      <c r="L148" s="168">
        <f>(VLOOKUP($I148,Capa!$A:$F,6,0))</f>
        <v>33.37</v>
      </c>
      <c r="M148" s="168">
        <f t="shared" si="7"/>
        <v>50474553</v>
      </c>
      <c r="N148" s="11" t="str">
        <f>IFERROR(__xludf.DUMMYFUNCTION("(VLOOKUP($I148,Capa!$A:$H,7,0))"),"")</f>
        <v/>
      </c>
      <c r="O148" s="169">
        <f>(VLOOKUP($I148,Capa!$A:$H,8,0))</f>
        <v>0.3348</v>
      </c>
      <c r="P148" s="11" t="str">
        <f>IFERROR(__xludf.DUMMYFUNCTION("(VLOOKUP($I148,Capa!$A:$J,10,0))"),"")</f>
        <v/>
      </c>
      <c r="Q148" s="169">
        <f>(VLOOKUP($I148,Capa!$A:$K,11,0))</f>
        <v>1.635860979</v>
      </c>
      <c r="R148" s="45" t="str">
        <f>'Dados StatusInvest'!A143</f>
        <v>CEEB3</v>
      </c>
      <c r="S148" s="170">
        <f t="shared" si="8"/>
        <v>1633.0633</v>
      </c>
      <c r="T148" s="171">
        <f>VLOOKUP(R148,'Dados StatusInvest'!A:Z,26,0)</f>
        <v>27837.9</v>
      </c>
      <c r="U148" s="172">
        <f t="shared" ref="U148:AS148" si="150">IF(AT148="","", RANK(AT148,AT$7:AT$626,0)+RANK(AT148,AT$7:AT$626,0)/10000)</f>
        <v>468.0468</v>
      </c>
      <c r="V148" s="172">
        <f t="shared" si="150"/>
        <v>165.0165</v>
      </c>
      <c r="W148" s="172" t="str">
        <f t="shared" si="150"/>
        <v/>
      </c>
      <c r="X148" s="172" t="str">
        <f t="shared" si="150"/>
        <v/>
      </c>
      <c r="Y148" s="172" t="str">
        <f t="shared" si="150"/>
        <v/>
      </c>
      <c r="Z148" s="172" t="str">
        <f t="shared" si="150"/>
        <v/>
      </c>
      <c r="AA148" s="172" t="str">
        <f t="shared" si="150"/>
        <v/>
      </c>
      <c r="AB148" s="172" t="str">
        <f t="shared" si="150"/>
        <v/>
      </c>
      <c r="AC148" s="172" t="str">
        <f t="shared" si="150"/>
        <v/>
      </c>
      <c r="AD148" s="172" t="str">
        <f t="shared" si="150"/>
        <v/>
      </c>
      <c r="AE148" s="172" t="str">
        <f t="shared" si="150"/>
        <v/>
      </c>
      <c r="AF148" s="172" t="str">
        <f t="shared" si="150"/>
        <v/>
      </c>
      <c r="AG148" s="172" t="str">
        <f t="shared" si="150"/>
        <v/>
      </c>
      <c r="AH148" s="172" t="str">
        <f t="shared" si="150"/>
        <v/>
      </c>
      <c r="AI148" s="172" t="str">
        <f t="shared" si="150"/>
        <v/>
      </c>
      <c r="AJ148" s="172" t="str">
        <f t="shared" si="150"/>
        <v/>
      </c>
      <c r="AK148" s="172" t="str">
        <f t="shared" si="150"/>
        <v/>
      </c>
      <c r="AL148" s="172" t="str">
        <f t="shared" si="150"/>
        <v/>
      </c>
      <c r="AM148" s="172" t="str">
        <f t="shared" si="150"/>
        <v/>
      </c>
      <c r="AN148" s="172" t="str">
        <f t="shared" si="150"/>
        <v/>
      </c>
      <c r="AO148" s="172" t="str">
        <f t="shared" si="150"/>
        <v/>
      </c>
      <c r="AP148" s="172" t="str">
        <f t="shared" si="150"/>
        <v/>
      </c>
      <c r="AQ148" s="172" t="str">
        <f t="shared" si="150"/>
        <v/>
      </c>
      <c r="AR148" s="172" t="str">
        <f t="shared" si="150"/>
        <v/>
      </c>
      <c r="AS148" s="172" t="str">
        <f t="shared" si="150"/>
        <v/>
      </c>
      <c r="AT148" s="173">
        <f>IF(AT$6="","",IF(AT$3="Maior",iferror(VLOOKUP($R148,Capa!$A:$AJ,AT$5,0),0),IF(ISERROR(1/VLOOKUP($R148,Capa!$A:$AJ,AT$5,0)),0,1/VLOOKUP($R148,Capa!$A:$AJ,AT$5,0))))</f>
        <v>-2.325581395</v>
      </c>
      <c r="AU148" s="174">
        <f>IF(AU$6="","",IF(AU$3="Maior",iferror(VLOOKUP($R148,Capa!$A:$AJ,AU$5,0),0),IF(ISERROR(1/VLOOKUP($R148,Capa!$A:$AJ,AU$5,0)),0,1/VLOOKUP($R148,Capa!$A:$AJ,AU$5,0))))</f>
        <v>15.61</v>
      </c>
      <c r="AV148" s="174" t="str">
        <f>IF(AV$6="","",IF(AV$3="Maior",iferror(VLOOKUP($R148,Capa!$A:$AJ,AV$5,0),0),IF(ISERROR(1/VLOOKUP($R148,Capa!$A:$AJ,AV$5,0)),0,1/VLOOKUP($R148,Capa!$A:$AJ,AV$5,0))))</f>
        <v/>
      </c>
      <c r="AW148" s="174" t="str">
        <f>IF(AW$6="","",IF(AW$3="Maior",iferror(VLOOKUP($R148,Capa!$A:$AJ,AW$5,0),0),IF(ISERROR(1/VLOOKUP($R148,Capa!$A:$AJ,AW$5,0)),0,1/VLOOKUP($R148,Capa!$A:$AJ,AW$5,0))))</f>
        <v/>
      </c>
      <c r="AX148" s="174" t="str">
        <f>IF(AX$6="","",IF(AX$3="Maior",iferror(VLOOKUP($R148,Capa!$A:$AJ,AX$5,0),0),IF(ISERROR(1/VLOOKUP($R148,Capa!$A:$AJ,AX$5,0)),0,1/VLOOKUP($R148,Capa!$A:$AJ,AX$5,0))))</f>
        <v/>
      </c>
      <c r="AY148" s="174" t="str">
        <f>IF(AY$6="","",IF(AY$3="Maior",iferror(VLOOKUP($R148,Capa!$A:$AJ,AY$5,0),0),IF(ISERROR(1/VLOOKUP($R148,Capa!$A:$AJ,AY$5,0)),0,1/VLOOKUP($R148,Capa!$A:$AJ,AY$5,0))))</f>
        <v/>
      </c>
      <c r="AZ148" s="174" t="str">
        <f>IF(AZ$6="","",IF(AZ$3="Maior",iferror(VLOOKUP($R148,Capa!$A:$AJ,AZ$5,0),0),IF(ISERROR(1/VLOOKUP($R148,Capa!$A:$AJ,AZ$5,0)),0,1/VLOOKUP($R148,Capa!$A:$AJ,AZ$5,0))))</f>
        <v/>
      </c>
      <c r="BA148" s="174" t="str">
        <f>IF(BA$6="","",IF(BA$3="Maior",iferror(VLOOKUP($R148,Capa!$A:$AJ,BA$5,0),0),IF(ISERROR(1/VLOOKUP($R148,Capa!$A:$AJ,BA$5,0)),0,1/VLOOKUP($R148,Capa!$A:$AJ,BA$5,0))))</f>
        <v/>
      </c>
      <c r="BB148" s="174" t="str">
        <f>IF(BB$6="","",IF(BB$3="Maior",iferror(VLOOKUP($R148,Capa!$A:$AJ,BB$5,0),0),IF(ISERROR(1/VLOOKUP($R148,Capa!$A:$AJ,BB$5,0)),0,1/VLOOKUP($R148,Capa!$A:$AJ,BB$5,0))))</f>
        <v/>
      </c>
      <c r="BC148" s="174" t="str">
        <f>IF(BC$6="","",IF(BC$3="Maior",iferror(VLOOKUP($R148,Capa!$A:$AJ,BC$5,0),0),IF(ISERROR(1/VLOOKUP($R148,Capa!$A:$AJ,BC$5,0)),0,1/VLOOKUP($R148,Capa!$A:$AJ,BC$5,0))))</f>
        <v/>
      </c>
      <c r="BD148" s="174" t="str">
        <f>IF(BD$6="","",IF(BD$3="Maior",iferror(VLOOKUP($R148,Capa!$A:$AJ,BD$5,0),0),IF(ISERROR(1/VLOOKUP($R148,Capa!$A:$AJ,BD$5,0)),0,1/VLOOKUP($R148,Capa!$A:$AJ,BD$5,0))))</f>
        <v/>
      </c>
      <c r="BE148" s="174" t="str">
        <f>IF(BE$6="","",IF(BE$3="Maior",iferror(VLOOKUP($R148,Capa!$A:$AJ,BE$5,0),0),IF(ISERROR(1/VLOOKUP($R148,Capa!$A:$AJ,BE$5,0)),0,1/VLOOKUP($R148,Capa!$A:$AJ,BE$5,0))))</f>
        <v/>
      </c>
      <c r="BF148" s="174" t="str">
        <f>IF(BF$6="","",IF(BF$3="Maior",iferror(VLOOKUP($R148,Capa!$A:$AJ,BF$5,0),0),IF(ISERROR(1/VLOOKUP($R148,Capa!$A:$AJ,BF$5,0)),0,1/VLOOKUP($R148,Capa!$A:$AJ,BF$5,0))))</f>
        <v/>
      </c>
      <c r="BG148" s="174" t="str">
        <f>IF(BG$6="","",IF(BG$3="Maior",iferror(VLOOKUP($R148,Capa!$A:$AJ,BG$5,0),0),IF(ISERROR(1/VLOOKUP($R148,Capa!$A:$AJ,BG$5,0)),0,1/VLOOKUP($R148,Capa!$A:$AJ,BG$5,0))))</f>
        <v/>
      </c>
      <c r="BH148" s="174" t="str">
        <f>IF(BH$6="","",IF(BH$3="Maior",iferror(VLOOKUP($R148,Capa!$A:$AJ,BH$5,0),0),IF(ISERROR(1/VLOOKUP($R148,Capa!$A:$AJ,BH$5,0)),0,1/VLOOKUP($R148,Capa!$A:$AJ,BH$5,0))))</f>
        <v/>
      </c>
      <c r="BI148" s="174" t="str">
        <f>IF(BI$6="","",IF(BI$3="Maior",iferror(VLOOKUP($R148,Capa!$A:$AJ,BI$5,0),0),IF(ISERROR(1/VLOOKUP($R148,Capa!$A:$AJ,BI$5,0)),0,1/VLOOKUP($R148,Capa!$A:$AJ,BI$5,0))))</f>
        <v/>
      </c>
      <c r="BJ148" s="174" t="str">
        <f>IF(BJ$6="","",IF(BJ$3="Maior",iferror(VLOOKUP($R148,Capa!$A:$AJ,BJ$5,0),0),IF(ISERROR(1/VLOOKUP($R148,Capa!$A:$AJ,BJ$5,0)),0,1/VLOOKUP($R148,Capa!$A:$AJ,BJ$5,0))))</f>
        <v/>
      </c>
      <c r="BK148" s="174" t="str">
        <f>IF(BK$6="","",IF(BK$3="Maior",iferror(VLOOKUP($R148,Capa!$A:$AJ,BK$5,0),0),IF(ISERROR(1/VLOOKUP($R148,Capa!$A:$AJ,BK$5,0)),0,1/VLOOKUP($R148,Capa!$A:$AJ,BK$5,0))))</f>
        <v/>
      </c>
      <c r="BL148" s="174" t="str">
        <f>IF(BL$6="","",IF(BL$3="Maior",iferror(VLOOKUP($R148,Capa!$A:$AJ,BL$5,0),0),IF(ISERROR(1/VLOOKUP($R148,Capa!$A:$AJ,BL$5,0)),0,1/VLOOKUP($R148,Capa!$A:$AJ,BL$5,0))))</f>
        <v/>
      </c>
      <c r="BM148" s="174" t="str">
        <f>IF(BM$6="","",IF(BM$3="Maior",iferror(VLOOKUP($R148,Capa!$A:$AJ,BM$5,0),0),IF(ISERROR(1/VLOOKUP($R148,Capa!$A:$AJ,BM$5,0)),0,1/VLOOKUP($R148,Capa!$A:$AJ,BM$5,0))))</f>
        <v/>
      </c>
      <c r="BN148" s="174" t="str">
        <f>IF(BN$6="","",IF(BN$3="Maior",iferror(VLOOKUP($R148,Capa!$A:$AJ,BN$5,0),0),IF(ISERROR(1/VLOOKUP($R148,Capa!$A:$AJ,BN$5,0)),0,1/VLOOKUP($R148,Capa!$A:$AJ,BN$5,0))))</f>
        <v/>
      </c>
      <c r="BO148" s="174" t="str">
        <f>IF(BO$6="","",IF(BO$3="Maior",iferror(VLOOKUP($R148,Capa!$A:$AJ,BO$5,0),0),IF(ISERROR(1/VLOOKUP($R148,Capa!$A:$AJ,BO$5,0)),0,1/VLOOKUP($R148,Capa!$A:$AJ,BO$5,0))))</f>
        <v/>
      </c>
      <c r="BP148" s="174" t="str">
        <f>IF(BP$6="","",IF(BP$3="Maior",iferror(VLOOKUP($R148,Capa!$A:$AJ,BP$5,0),0),IF(ISERROR(1/VLOOKUP($R148,Capa!$A:$AJ,BP$5,0)),0,1/VLOOKUP($R148,Capa!$A:$AJ,BP$5,0))))</f>
        <v/>
      </c>
      <c r="BQ148" s="174" t="str">
        <f>IF(BQ$6="","",IF(BQ$3="Maior",iferror(VLOOKUP($R148,Capa!$A:$AJ,BQ$5,0),0),IF(ISERROR(1/VLOOKUP($R148,Capa!$A:$AJ,BQ$5,0)),0,1/VLOOKUP($R148,Capa!$A:$AJ,BQ$5,0))))</f>
        <v/>
      </c>
      <c r="BR148" s="175"/>
      <c r="BS148" s="147"/>
    </row>
    <row r="149">
      <c r="G149" s="11"/>
      <c r="H149" s="8">
        <v>143.0</v>
      </c>
      <c r="I149" s="165" t="str">
        <f t="shared" si="6"/>
        <v>PGMN3</v>
      </c>
      <c r="J149" s="166" t="str">
        <f>(VLOOKUP($I149,Capa!$A:$B,2,0))</f>
        <v>Empreendimentos Pague Menos SA</v>
      </c>
      <c r="K149" s="167" t="str">
        <f>VLOOKUP(left(I149,4),Setor!A:D,3,0)&amp;" | "&amp;VLOOKUP(left(I149,4),Setor!A:D,4,0)</f>
        <v>Saúde | Comércio e Distribuição</v>
      </c>
      <c r="L149" s="168">
        <f>(VLOOKUP($I149,Capa!$A:$F,6,0))</f>
        <v>7.13</v>
      </c>
      <c r="M149" s="168">
        <f t="shared" si="7"/>
        <v>38878065</v>
      </c>
      <c r="N149" s="11" t="str">
        <f>IFERROR(__xludf.DUMMYFUNCTION("(VLOOKUP($I149,Capa!$A:$H,7,0))"),"")</f>
        <v/>
      </c>
      <c r="O149" s="169">
        <f>(VLOOKUP($I149,Capa!$A:$H,8,0))</f>
        <v>0.1210691824</v>
      </c>
      <c r="P149" s="11" t="str">
        <f>IFERROR(__xludf.DUMMYFUNCTION("(VLOOKUP($I149,Capa!$A:$J,10,0))"),"")</f>
        <v/>
      </c>
      <c r="Q149" s="169">
        <f>(VLOOKUP($I149,Capa!$A:$K,11,0))</f>
        <v>1.32247557</v>
      </c>
      <c r="R149" s="45" t="str">
        <f>'Dados StatusInvest'!A144</f>
        <v>CEEB5</v>
      </c>
      <c r="S149" s="170">
        <f t="shared" si="8"/>
        <v>1655.0655</v>
      </c>
      <c r="T149" s="171">
        <f>VLOOKUP(R149,'Dados StatusInvest'!A:Z,26,0)</f>
        <v>7400</v>
      </c>
      <c r="U149" s="172">
        <f t="shared" ref="U149:AS149" si="151">IF(AT149="","", RANK(AT149,AT$7:AT$626,0)+RANK(AT149,AT$7:AT$626,0)/10000)</f>
        <v>490.049</v>
      </c>
      <c r="V149" s="172">
        <f t="shared" si="151"/>
        <v>165.0165</v>
      </c>
      <c r="W149" s="172" t="str">
        <f t="shared" si="151"/>
        <v/>
      </c>
      <c r="X149" s="172" t="str">
        <f t="shared" si="151"/>
        <v/>
      </c>
      <c r="Y149" s="172" t="str">
        <f t="shared" si="151"/>
        <v/>
      </c>
      <c r="Z149" s="172" t="str">
        <f t="shared" si="151"/>
        <v/>
      </c>
      <c r="AA149" s="172" t="str">
        <f t="shared" si="151"/>
        <v/>
      </c>
      <c r="AB149" s="172" t="str">
        <f t="shared" si="151"/>
        <v/>
      </c>
      <c r="AC149" s="172" t="str">
        <f t="shared" si="151"/>
        <v/>
      </c>
      <c r="AD149" s="172" t="str">
        <f t="shared" si="151"/>
        <v/>
      </c>
      <c r="AE149" s="172" t="str">
        <f t="shared" si="151"/>
        <v/>
      </c>
      <c r="AF149" s="172" t="str">
        <f t="shared" si="151"/>
        <v/>
      </c>
      <c r="AG149" s="172" t="str">
        <f t="shared" si="151"/>
        <v/>
      </c>
      <c r="AH149" s="172" t="str">
        <f t="shared" si="151"/>
        <v/>
      </c>
      <c r="AI149" s="172" t="str">
        <f t="shared" si="151"/>
        <v/>
      </c>
      <c r="AJ149" s="172" t="str">
        <f t="shared" si="151"/>
        <v/>
      </c>
      <c r="AK149" s="172" t="str">
        <f t="shared" si="151"/>
        <v/>
      </c>
      <c r="AL149" s="172" t="str">
        <f t="shared" si="151"/>
        <v/>
      </c>
      <c r="AM149" s="172" t="str">
        <f t="shared" si="151"/>
        <v/>
      </c>
      <c r="AN149" s="172" t="str">
        <f t="shared" si="151"/>
        <v/>
      </c>
      <c r="AO149" s="172" t="str">
        <f t="shared" si="151"/>
        <v/>
      </c>
      <c r="AP149" s="172" t="str">
        <f t="shared" si="151"/>
        <v/>
      </c>
      <c r="AQ149" s="172" t="str">
        <f t="shared" si="151"/>
        <v/>
      </c>
      <c r="AR149" s="172" t="str">
        <f t="shared" si="151"/>
        <v/>
      </c>
      <c r="AS149" s="172" t="str">
        <f t="shared" si="151"/>
        <v/>
      </c>
      <c r="AT149" s="173">
        <f>IF(AT$6="","",IF(AT$3="Maior",iferror(VLOOKUP($R149,Capa!$A:$AJ,AT$5,0),0),IF(ISERROR(1/VLOOKUP($R149,Capa!$A:$AJ,AT$5,0)),0,1/VLOOKUP($R149,Capa!$A:$AJ,AT$5,0))))</f>
        <v>-2.857142857</v>
      </c>
      <c r="AU149" s="174">
        <f>IF(AU$6="","",IF(AU$3="Maior",iferror(VLOOKUP($R149,Capa!$A:$AJ,AU$5,0),0),IF(ISERROR(1/VLOOKUP($R149,Capa!$A:$AJ,AU$5,0)),0,1/VLOOKUP($R149,Capa!$A:$AJ,AU$5,0))))</f>
        <v>15.61</v>
      </c>
      <c r="AV149" s="174" t="str">
        <f>IF(AV$6="","",IF(AV$3="Maior",iferror(VLOOKUP($R149,Capa!$A:$AJ,AV$5,0),0),IF(ISERROR(1/VLOOKUP($R149,Capa!$A:$AJ,AV$5,0)),0,1/VLOOKUP($R149,Capa!$A:$AJ,AV$5,0))))</f>
        <v/>
      </c>
      <c r="AW149" s="174" t="str">
        <f>IF(AW$6="","",IF(AW$3="Maior",iferror(VLOOKUP($R149,Capa!$A:$AJ,AW$5,0),0),IF(ISERROR(1/VLOOKUP($R149,Capa!$A:$AJ,AW$5,0)),0,1/VLOOKUP($R149,Capa!$A:$AJ,AW$5,0))))</f>
        <v/>
      </c>
      <c r="AX149" s="174" t="str">
        <f>IF(AX$6="","",IF(AX$3="Maior",iferror(VLOOKUP($R149,Capa!$A:$AJ,AX$5,0),0),IF(ISERROR(1/VLOOKUP($R149,Capa!$A:$AJ,AX$5,0)),0,1/VLOOKUP($R149,Capa!$A:$AJ,AX$5,0))))</f>
        <v/>
      </c>
      <c r="AY149" s="174" t="str">
        <f>IF(AY$6="","",IF(AY$3="Maior",iferror(VLOOKUP($R149,Capa!$A:$AJ,AY$5,0),0),IF(ISERROR(1/VLOOKUP($R149,Capa!$A:$AJ,AY$5,0)),0,1/VLOOKUP($R149,Capa!$A:$AJ,AY$5,0))))</f>
        <v/>
      </c>
      <c r="AZ149" s="174" t="str">
        <f>IF(AZ$6="","",IF(AZ$3="Maior",iferror(VLOOKUP($R149,Capa!$A:$AJ,AZ$5,0),0),IF(ISERROR(1/VLOOKUP($R149,Capa!$A:$AJ,AZ$5,0)),0,1/VLOOKUP($R149,Capa!$A:$AJ,AZ$5,0))))</f>
        <v/>
      </c>
      <c r="BA149" s="174" t="str">
        <f>IF(BA$6="","",IF(BA$3="Maior",iferror(VLOOKUP($R149,Capa!$A:$AJ,BA$5,0),0),IF(ISERROR(1/VLOOKUP($R149,Capa!$A:$AJ,BA$5,0)),0,1/VLOOKUP($R149,Capa!$A:$AJ,BA$5,0))))</f>
        <v/>
      </c>
      <c r="BB149" s="174" t="str">
        <f>IF(BB$6="","",IF(BB$3="Maior",iferror(VLOOKUP($R149,Capa!$A:$AJ,BB$5,0),0),IF(ISERROR(1/VLOOKUP($R149,Capa!$A:$AJ,BB$5,0)),0,1/VLOOKUP($R149,Capa!$A:$AJ,BB$5,0))))</f>
        <v/>
      </c>
      <c r="BC149" s="174" t="str">
        <f>IF(BC$6="","",IF(BC$3="Maior",iferror(VLOOKUP($R149,Capa!$A:$AJ,BC$5,0),0),IF(ISERROR(1/VLOOKUP($R149,Capa!$A:$AJ,BC$5,0)),0,1/VLOOKUP($R149,Capa!$A:$AJ,BC$5,0))))</f>
        <v/>
      </c>
      <c r="BD149" s="174" t="str">
        <f>IF(BD$6="","",IF(BD$3="Maior",iferror(VLOOKUP($R149,Capa!$A:$AJ,BD$5,0),0),IF(ISERROR(1/VLOOKUP($R149,Capa!$A:$AJ,BD$5,0)),0,1/VLOOKUP($R149,Capa!$A:$AJ,BD$5,0))))</f>
        <v/>
      </c>
      <c r="BE149" s="174" t="str">
        <f>IF(BE$6="","",IF(BE$3="Maior",iferror(VLOOKUP($R149,Capa!$A:$AJ,BE$5,0),0),IF(ISERROR(1/VLOOKUP($R149,Capa!$A:$AJ,BE$5,0)),0,1/VLOOKUP($R149,Capa!$A:$AJ,BE$5,0))))</f>
        <v/>
      </c>
      <c r="BF149" s="174" t="str">
        <f>IF(BF$6="","",IF(BF$3="Maior",iferror(VLOOKUP($R149,Capa!$A:$AJ,BF$5,0),0),IF(ISERROR(1/VLOOKUP($R149,Capa!$A:$AJ,BF$5,0)),0,1/VLOOKUP($R149,Capa!$A:$AJ,BF$5,0))))</f>
        <v/>
      </c>
      <c r="BG149" s="174" t="str">
        <f>IF(BG$6="","",IF(BG$3="Maior",iferror(VLOOKUP($R149,Capa!$A:$AJ,BG$5,0),0),IF(ISERROR(1/VLOOKUP($R149,Capa!$A:$AJ,BG$5,0)),0,1/VLOOKUP($R149,Capa!$A:$AJ,BG$5,0))))</f>
        <v/>
      </c>
      <c r="BH149" s="174" t="str">
        <f>IF(BH$6="","",IF(BH$3="Maior",iferror(VLOOKUP($R149,Capa!$A:$AJ,BH$5,0),0),IF(ISERROR(1/VLOOKUP($R149,Capa!$A:$AJ,BH$5,0)),0,1/VLOOKUP($R149,Capa!$A:$AJ,BH$5,0))))</f>
        <v/>
      </c>
      <c r="BI149" s="174" t="str">
        <f>IF(BI$6="","",IF(BI$3="Maior",iferror(VLOOKUP($R149,Capa!$A:$AJ,BI$5,0),0),IF(ISERROR(1/VLOOKUP($R149,Capa!$A:$AJ,BI$5,0)),0,1/VLOOKUP($R149,Capa!$A:$AJ,BI$5,0))))</f>
        <v/>
      </c>
      <c r="BJ149" s="174" t="str">
        <f>IF(BJ$6="","",IF(BJ$3="Maior",iferror(VLOOKUP($R149,Capa!$A:$AJ,BJ$5,0),0),IF(ISERROR(1/VLOOKUP($R149,Capa!$A:$AJ,BJ$5,0)),0,1/VLOOKUP($R149,Capa!$A:$AJ,BJ$5,0))))</f>
        <v/>
      </c>
      <c r="BK149" s="174" t="str">
        <f>IF(BK$6="","",IF(BK$3="Maior",iferror(VLOOKUP($R149,Capa!$A:$AJ,BK$5,0),0),IF(ISERROR(1/VLOOKUP($R149,Capa!$A:$AJ,BK$5,0)),0,1/VLOOKUP($R149,Capa!$A:$AJ,BK$5,0))))</f>
        <v/>
      </c>
      <c r="BL149" s="174" t="str">
        <f>IF(BL$6="","",IF(BL$3="Maior",iferror(VLOOKUP($R149,Capa!$A:$AJ,BL$5,0),0),IF(ISERROR(1/VLOOKUP($R149,Capa!$A:$AJ,BL$5,0)),0,1/VLOOKUP($R149,Capa!$A:$AJ,BL$5,0))))</f>
        <v/>
      </c>
      <c r="BM149" s="174" t="str">
        <f>IF(BM$6="","",IF(BM$3="Maior",iferror(VLOOKUP($R149,Capa!$A:$AJ,BM$5,0),0),IF(ISERROR(1/VLOOKUP($R149,Capa!$A:$AJ,BM$5,0)),0,1/VLOOKUP($R149,Capa!$A:$AJ,BM$5,0))))</f>
        <v/>
      </c>
      <c r="BN149" s="174" t="str">
        <f>IF(BN$6="","",IF(BN$3="Maior",iferror(VLOOKUP($R149,Capa!$A:$AJ,BN$5,0),0),IF(ISERROR(1/VLOOKUP($R149,Capa!$A:$AJ,BN$5,0)),0,1/VLOOKUP($R149,Capa!$A:$AJ,BN$5,0))))</f>
        <v/>
      </c>
      <c r="BO149" s="174" t="str">
        <f>IF(BO$6="","",IF(BO$3="Maior",iferror(VLOOKUP($R149,Capa!$A:$AJ,BO$5,0),0),IF(ISERROR(1/VLOOKUP($R149,Capa!$A:$AJ,BO$5,0)),0,1/VLOOKUP($R149,Capa!$A:$AJ,BO$5,0))))</f>
        <v/>
      </c>
      <c r="BP149" s="174" t="str">
        <f>IF(BP$6="","",IF(BP$3="Maior",iferror(VLOOKUP($R149,Capa!$A:$AJ,BP$5,0),0),IF(ISERROR(1/VLOOKUP($R149,Capa!$A:$AJ,BP$5,0)),0,1/VLOOKUP($R149,Capa!$A:$AJ,BP$5,0))))</f>
        <v/>
      </c>
      <c r="BQ149" s="174" t="str">
        <f>IF(BQ$6="","",IF(BQ$3="Maior",iferror(VLOOKUP($R149,Capa!$A:$AJ,BQ$5,0),0),IF(ISERROR(1/VLOOKUP($R149,Capa!$A:$AJ,BQ$5,0)),0,1/VLOOKUP($R149,Capa!$A:$AJ,BQ$5,0))))</f>
        <v/>
      </c>
      <c r="BR149" s="175"/>
      <c r="BS149" s="147"/>
    </row>
    <row r="150">
      <c r="G150" s="11"/>
      <c r="H150" s="8">
        <v>144.0</v>
      </c>
      <c r="I150" s="165" t="str">
        <f t="shared" si="6"/>
        <v>BRAP4</v>
      </c>
      <c r="J150" s="166" t="str">
        <f>(VLOOKUP($I150,Capa!$A:$B,2,0))</f>
        <v>Bradespar SA Preference Shares</v>
      </c>
      <c r="K150" s="167" t="str">
        <f>VLOOKUP(left(I150,4),Setor!A:D,3,0)&amp;" | "&amp;VLOOKUP(left(I150,4),Setor!A:D,4,0)</f>
        <v>Materiais Básicos | Mineração</v>
      </c>
      <c r="L150" s="168">
        <f>(VLOOKUP($I150,Capa!$A:$F,6,0))</f>
        <v>23.03</v>
      </c>
      <c r="M150" s="168">
        <f t="shared" si="7"/>
        <v>89738896</v>
      </c>
      <c r="N150" s="11" t="str">
        <f>IFERROR(__xludf.DUMMYFUNCTION("(VLOOKUP($I150,Capa!$A:$H,7,0))"),"")</f>
        <v/>
      </c>
      <c r="O150" s="169">
        <f>(VLOOKUP($I150,Capa!$A:$H,8,0))</f>
        <v>-0.00346170489</v>
      </c>
      <c r="P150" s="11" t="str">
        <f>IFERROR(__xludf.DUMMYFUNCTION("(VLOOKUP($I150,Capa!$A:$J,10,0))"),"")</f>
        <v/>
      </c>
      <c r="Q150" s="169">
        <f>(VLOOKUP($I150,Capa!$A:$K,11,0))</f>
        <v>0.3319838057</v>
      </c>
      <c r="R150" s="45" t="str">
        <f>'Dados StatusInvest'!A145</f>
        <v>CEEB6</v>
      </c>
      <c r="S150" s="170">
        <f t="shared" si="8"/>
        <v>1196.0196</v>
      </c>
      <c r="T150" s="171">
        <f>VLOOKUP(R150,'Dados StatusInvest'!A:Z,26,0)</f>
        <v>0</v>
      </c>
      <c r="U150" s="172">
        <f t="shared" ref="U150:AS150" si="152">IF(AT150="","", RANK(AT150,AT$7:AT$626,0)+RANK(AT150,AT$7:AT$626,0)/10000)</f>
        <v>31.0031</v>
      </c>
      <c r="V150" s="172">
        <f t="shared" si="152"/>
        <v>165.0165</v>
      </c>
      <c r="W150" s="172" t="str">
        <f t="shared" si="152"/>
        <v/>
      </c>
      <c r="X150" s="172" t="str">
        <f t="shared" si="152"/>
        <v/>
      </c>
      <c r="Y150" s="172" t="str">
        <f t="shared" si="152"/>
        <v/>
      </c>
      <c r="Z150" s="172" t="str">
        <f t="shared" si="152"/>
        <v/>
      </c>
      <c r="AA150" s="172" t="str">
        <f t="shared" si="152"/>
        <v/>
      </c>
      <c r="AB150" s="172" t="str">
        <f t="shared" si="152"/>
        <v/>
      </c>
      <c r="AC150" s="172" t="str">
        <f t="shared" si="152"/>
        <v/>
      </c>
      <c r="AD150" s="172" t="str">
        <f t="shared" si="152"/>
        <v/>
      </c>
      <c r="AE150" s="172" t="str">
        <f t="shared" si="152"/>
        <v/>
      </c>
      <c r="AF150" s="172" t="str">
        <f t="shared" si="152"/>
        <v/>
      </c>
      <c r="AG150" s="172" t="str">
        <f t="shared" si="152"/>
        <v/>
      </c>
      <c r="AH150" s="172" t="str">
        <f t="shared" si="152"/>
        <v/>
      </c>
      <c r="AI150" s="172" t="str">
        <f t="shared" si="152"/>
        <v/>
      </c>
      <c r="AJ150" s="172" t="str">
        <f t="shared" si="152"/>
        <v/>
      </c>
      <c r="AK150" s="172" t="str">
        <f t="shared" si="152"/>
        <v/>
      </c>
      <c r="AL150" s="172" t="str">
        <f t="shared" si="152"/>
        <v/>
      </c>
      <c r="AM150" s="172" t="str">
        <f t="shared" si="152"/>
        <v/>
      </c>
      <c r="AN150" s="172" t="str">
        <f t="shared" si="152"/>
        <v/>
      </c>
      <c r="AO150" s="172" t="str">
        <f t="shared" si="152"/>
        <v/>
      </c>
      <c r="AP150" s="172" t="str">
        <f t="shared" si="152"/>
        <v/>
      </c>
      <c r="AQ150" s="172" t="str">
        <f t="shared" si="152"/>
        <v/>
      </c>
      <c r="AR150" s="172" t="str">
        <f t="shared" si="152"/>
        <v/>
      </c>
      <c r="AS150" s="172" t="str">
        <f t="shared" si="152"/>
        <v/>
      </c>
      <c r="AT150" s="173">
        <f>IF(AT$6="","",IF(AT$3="Maior",iferror(VLOOKUP($R150,Capa!$A:$AJ,AT$5,0),0),IF(ISERROR(1/VLOOKUP($R150,Capa!$A:$AJ,AT$5,0)),0,1/VLOOKUP($R150,Capa!$A:$AJ,AT$5,0))))</f>
        <v>0.01875117195</v>
      </c>
      <c r="AU150" s="174">
        <f>IF(AU$6="","",IF(AU$3="Maior",iferror(VLOOKUP($R150,Capa!$A:$AJ,AU$5,0),0),IF(ISERROR(1/VLOOKUP($R150,Capa!$A:$AJ,AU$5,0)),0,1/VLOOKUP($R150,Capa!$A:$AJ,AU$5,0))))</f>
        <v>15.61</v>
      </c>
      <c r="AV150" s="174" t="str">
        <f>IF(AV$6="","",IF(AV$3="Maior",iferror(VLOOKUP($R150,Capa!$A:$AJ,AV$5,0),0),IF(ISERROR(1/VLOOKUP($R150,Capa!$A:$AJ,AV$5,0)),0,1/VLOOKUP($R150,Capa!$A:$AJ,AV$5,0))))</f>
        <v/>
      </c>
      <c r="AW150" s="174" t="str">
        <f>IF(AW$6="","",IF(AW$3="Maior",iferror(VLOOKUP($R150,Capa!$A:$AJ,AW$5,0),0),IF(ISERROR(1/VLOOKUP($R150,Capa!$A:$AJ,AW$5,0)),0,1/VLOOKUP($R150,Capa!$A:$AJ,AW$5,0))))</f>
        <v/>
      </c>
      <c r="AX150" s="174" t="str">
        <f>IF(AX$6="","",IF(AX$3="Maior",iferror(VLOOKUP($R150,Capa!$A:$AJ,AX$5,0),0),IF(ISERROR(1/VLOOKUP($R150,Capa!$A:$AJ,AX$5,0)),0,1/VLOOKUP($R150,Capa!$A:$AJ,AX$5,0))))</f>
        <v/>
      </c>
      <c r="AY150" s="174" t="str">
        <f>IF(AY$6="","",IF(AY$3="Maior",iferror(VLOOKUP($R150,Capa!$A:$AJ,AY$5,0),0),IF(ISERROR(1/VLOOKUP($R150,Capa!$A:$AJ,AY$5,0)),0,1/VLOOKUP($R150,Capa!$A:$AJ,AY$5,0))))</f>
        <v/>
      </c>
      <c r="AZ150" s="174" t="str">
        <f>IF(AZ$6="","",IF(AZ$3="Maior",iferror(VLOOKUP($R150,Capa!$A:$AJ,AZ$5,0),0),IF(ISERROR(1/VLOOKUP($R150,Capa!$A:$AJ,AZ$5,0)),0,1/VLOOKUP($R150,Capa!$A:$AJ,AZ$5,0))))</f>
        <v/>
      </c>
      <c r="BA150" s="174" t="str">
        <f>IF(BA$6="","",IF(BA$3="Maior",iferror(VLOOKUP($R150,Capa!$A:$AJ,BA$5,0),0),IF(ISERROR(1/VLOOKUP($R150,Capa!$A:$AJ,BA$5,0)),0,1/VLOOKUP($R150,Capa!$A:$AJ,BA$5,0))))</f>
        <v/>
      </c>
      <c r="BB150" s="174" t="str">
        <f>IF(BB$6="","",IF(BB$3="Maior",iferror(VLOOKUP($R150,Capa!$A:$AJ,BB$5,0),0),IF(ISERROR(1/VLOOKUP($R150,Capa!$A:$AJ,BB$5,0)),0,1/VLOOKUP($R150,Capa!$A:$AJ,BB$5,0))))</f>
        <v/>
      </c>
      <c r="BC150" s="174" t="str">
        <f>IF(BC$6="","",IF(BC$3="Maior",iferror(VLOOKUP($R150,Capa!$A:$AJ,BC$5,0),0),IF(ISERROR(1/VLOOKUP($R150,Capa!$A:$AJ,BC$5,0)),0,1/VLOOKUP($R150,Capa!$A:$AJ,BC$5,0))))</f>
        <v/>
      </c>
      <c r="BD150" s="174" t="str">
        <f>IF(BD$6="","",IF(BD$3="Maior",iferror(VLOOKUP($R150,Capa!$A:$AJ,BD$5,0),0),IF(ISERROR(1/VLOOKUP($R150,Capa!$A:$AJ,BD$5,0)),0,1/VLOOKUP($R150,Capa!$A:$AJ,BD$5,0))))</f>
        <v/>
      </c>
      <c r="BE150" s="174" t="str">
        <f>IF(BE$6="","",IF(BE$3="Maior",iferror(VLOOKUP($R150,Capa!$A:$AJ,BE$5,0),0),IF(ISERROR(1/VLOOKUP($R150,Capa!$A:$AJ,BE$5,0)),0,1/VLOOKUP($R150,Capa!$A:$AJ,BE$5,0))))</f>
        <v/>
      </c>
      <c r="BF150" s="174" t="str">
        <f>IF(BF$6="","",IF(BF$3="Maior",iferror(VLOOKUP($R150,Capa!$A:$AJ,BF$5,0),0),IF(ISERROR(1/VLOOKUP($R150,Capa!$A:$AJ,BF$5,0)),0,1/VLOOKUP($R150,Capa!$A:$AJ,BF$5,0))))</f>
        <v/>
      </c>
      <c r="BG150" s="174" t="str">
        <f>IF(BG$6="","",IF(BG$3="Maior",iferror(VLOOKUP($R150,Capa!$A:$AJ,BG$5,0),0),IF(ISERROR(1/VLOOKUP($R150,Capa!$A:$AJ,BG$5,0)),0,1/VLOOKUP($R150,Capa!$A:$AJ,BG$5,0))))</f>
        <v/>
      </c>
      <c r="BH150" s="174" t="str">
        <f>IF(BH$6="","",IF(BH$3="Maior",iferror(VLOOKUP($R150,Capa!$A:$AJ,BH$5,0),0),IF(ISERROR(1/VLOOKUP($R150,Capa!$A:$AJ,BH$5,0)),0,1/VLOOKUP($R150,Capa!$A:$AJ,BH$5,0))))</f>
        <v/>
      </c>
      <c r="BI150" s="174" t="str">
        <f>IF(BI$6="","",IF(BI$3="Maior",iferror(VLOOKUP($R150,Capa!$A:$AJ,BI$5,0),0),IF(ISERROR(1/VLOOKUP($R150,Capa!$A:$AJ,BI$5,0)),0,1/VLOOKUP($R150,Capa!$A:$AJ,BI$5,0))))</f>
        <v/>
      </c>
      <c r="BJ150" s="174" t="str">
        <f>IF(BJ$6="","",IF(BJ$3="Maior",iferror(VLOOKUP($R150,Capa!$A:$AJ,BJ$5,0),0),IF(ISERROR(1/VLOOKUP($R150,Capa!$A:$AJ,BJ$5,0)),0,1/VLOOKUP($R150,Capa!$A:$AJ,BJ$5,0))))</f>
        <v/>
      </c>
      <c r="BK150" s="174" t="str">
        <f>IF(BK$6="","",IF(BK$3="Maior",iferror(VLOOKUP($R150,Capa!$A:$AJ,BK$5,0),0),IF(ISERROR(1/VLOOKUP($R150,Capa!$A:$AJ,BK$5,0)),0,1/VLOOKUP($R150,Capa!$A:$AJ,BK$5,0))))</f>
        <v/>
      </c>
      <c r="BL150" s="174" t="str">
        <f>IF(BL$6="","",IF(BL$3="Maior",iferror(VLOOKUP($R150,Capa!$A:$AJ,BL$5,0),0),IF(ISERROR(1/VLOOKUP($R150,Capa!$A:$AJ,BL$5,0)),0,1/VLOOKUP($R150,Capa!$A:$AJ,BL$5,0))))</f>
        <v/>
      </c>
      <c r="BM150" s="174" t="str">
        <f>IF(BM$6="","",IF(BM$3="Maior",iferror(VLOOKUP($R150,Capa!$A:$AJ,BM$5,0),0),IF(ISERROR(1/VLOOKUP($R150,Capa!$A:$AJ,BM$5,0)),0,1/VLOOKUP($R150,Capa!$A:$AJ,BM$5,0))))</f>
        <v/>
      </c>
      <c r="BN150" s="174" t="str">
        <f>IF(BN$6="","",IF(BN$3="Maior",iferror(VLOOKUP($R150,Capa!$A:$AJ,BN$5,0),0),IF(ISERROR(1/VLOOKUP($R150,Capa!$A:$AJ,BN$5,0)),0,1/VLOOKUP($R150,Capa!$A:$AJ,BN$5,0))))</f>
        <v/>
      </c>
      <c r="BO150" s="174" t="str">
        <f>IF(BO$6="","",IF(BO$3="Maior",iferror(VLOOKUP($R150,Capa!$A:$AJ,BO$5,0),0),IF(ISERROR(1/VLOOKUP($R150,Capa!$A:$AJ,BO$5,0)),0,1/VLOOKUP($R150,Capa!$A:$AJ,BO$5,0))))</f>
        <v/>
      </c>
      <c r="BP150" s="174" t="str">
        <f>IF(BP$6="","",IF(BP$3="Maior",iferror(VLOOKUP($R150,Capa!$A:$AJ,BP$5,0),0),IF(ISERROR(1/VLOOKUP($R150,Capa!$A:$AJ,BP$5,0)),0,1/VLOOKUP($R150,Capa!$A:$AJ,BP$5,0))))</f>
        <v/>
      </c>
      <c r="BQ150" s="174" t="str">
        <f>IF(BQ$6="","",IF(BQ$3="Maior",iferror(VLOOKUP($R150,Capa!$A:$AJ,BQ$5,0),0),IF(ISERROR(1/VLOOKUP($R150,Capa!$A:$AJ,BQ$5,0)),0,1/VLOOKUP($R150,Capa!$A:$AJ,BQ$5,0))))</f>
        <v/>
      </c>
      <c r="BR150" s="175"/>
      <c r="BS150" s="147"/>
    </row>
    <row r="151">
      <c r="G151" s="11"/>
      <c r="H151" s="8">
        <v>145.0</v>
      </c>
      <c r="I151" s="165" t="str">
        <f t="shared" si="6"/>
        <v>HBSA3</v>
      </c>
      <c r="J151" s="166" t="str">
        <f>(VLOOKUP($I151,Capa!$A:$B,2,0))</f>
        <v>Hidrovias do Brasil SA</v>
      </c>
      <c r="K151" s="167" t="str">
        <f>VLOOKUP(left(I151,4),Setor!A:D,3,0)&amp;" | "&amp;VLOOKUP(left(I151,4),Setor!A:D,4,0)</f>
        <v>Bens Industriais | Transporte</v>
      </c>
      <c r="L151" s="168">
        <f>(VLOOKUP($I151,Capa!$A:$F,6,0))</f>
        <v>3.98</v>
      </c>
      <c r="M151" s="168">
        <f t="shared" si="7"/>
        <v>9425819</v>
      </c>
      <c r="N151" s="11" t="str">
        <f>IFERROR(__xludf.DUMMYFUNCTION("(VLOOKUP($I151,Capa!$A:$H,7,0))"),"")</f>
        <v/>
      </c>
      <c r="O151" s="169">
        <f>(VLOOKUP($I151,Capa!$A:$H,8,0))</f>
        <v>-0.02689486553</v>
      </c>
      <c r="P151" s="11" t="str">
        <f>IFERROR(__xludf.DUMMYFUNCTION("(VLOOKUP($I151,Capa!$A:$J,10,0))"),"")</f>
        <v/>
      </c>
      <c r="Q151" s="169">
        <f>(VLOOKUP($I151,Capa!$A:$K,11,0))</f>
        <v>0.8685446009</v>
      </c>
      <c r="R151" s="45" t="str">
        <f>'Dados StatusInvest'!A146</f>
        <v>CEED3</v>
      </c>
      <c r="S151" s="170">
        <f t="shared" si="8"/>
        <v>1844.0844</v>
      </c>
      <c r="T151" s="171">
        <f>VLOOKUP(R151,'Dados StatusInvest'!A:Z,26,0)</f>
        <v>583.25</v>
      </c>
      <c r="U151" s="172">
        <f t="shared" ref="U151:AS151" si="153">IF(AT151="","", RANK(AT151,AT$7:AT$626,0)+RANK(AT151,AT$7:AT$626,0)/10000)</f>
        <v>577.0577</v>
      </c>
      <c r="V151" s="172">
        <f t="shared" si="153"/>
        <v>267.0267</v>
      </c>
      <c r="W151" s="172" t="str">
        <f t="shared" si="153"/>
        <v/>
      </c>
      <c r="X151" s="172" t="str">
        <f t="shared" si="153"/>
        <v/>
      </c>
      <c r="Y151" s="172" t="str">
        <f t="shared" si="153"/>
        <v/>
      </c>
      <c r="Z151" s="172" t="str">
        <f t="shared" si="153"/>
        <v/>
      </c>
      <c r="AA151" s="172" t="str">
        <f t="shared" si="153"/>
        <v/>
      </c>
      <c r="AB151" s="172" t="str">
        <f t="shared" si="153"/>
        <v/>
      </c>
      <c r="AC151" s="172" t="str">
        <f t="shared" si="153"/>
        <v/>
      </c>
      <c r="AD151" s="172" t="str">
        <f t="shared" si="153"/>
        <v/>
      </c>
      <c r="AE151" s="172" t="str">
        <f t="shared" si="153"/>
        <v/>
      </c>
      <c r="AF151" s="172" t="str">
        <f t="shared" si="153"/>
        <v/>
      </c>
      <c r="AG151" s="172" t="str">
        <f t="shared" si="153"/>
        <v/>
      </c>
      <c r="AH151" s="172" t="str">
        <f t="shared" si="153"/>
        <v/>
      </c>
      <c r="AI151" s="172" t="str">
        <f t="shared" si="153"/>
        <v/>
      </c>
      <c r="AJ151" s="172" t="str">
        <f t="shared" si="153"/>
        <v/>
      </c>
      <c r="AK151" s="172" t="str">
        <f t="shared" si="153"/>
        <v/>
      </c>
      <c r="AL151" s="172" t="str">
        <f t="shared" si="153"/>
        <v/>
      </c>
      <c r="AM151" s="172" t="str">
        <f t="shared" si="153"/>
        <v/>
      </c>
      <c r="AN151" s="172" t="str">
        <f t="shared" si="153"/>
        <v/>
      </c>
      <c r="AO151" s="172" t="str">
        <f t="shared" si="153"/>
        <v/>
      </c>
      <c r="AP151" s="172" t="str">
        <f t="shared" si="153"/>
        <v/>
      </c>
      <c r="AQ151" s="172" t="str">
        <f t="shared" si="153"/>
        <v/>
      </c>
      <c r="AR151" s="172" t="str">
        <f t="shared" si="153"/>
        <v/>
      </c>
      <c r="AS151" s="172" t="str">
        <f t="shared" si="153"/>
        <v/>
      </c>
      <c r="AT151" s="173">
        <f>IF(AT$6="","",IF(AT$3="Maior",iferror(VLOOKUP($R151,Capa!$A:$AJ,AT$5,0),0),IF(ISERROR(1/VLOOKUP($R151,Capa!$A:$AJ,AT$5,0)),0,1/VLOOKUP($R151,Capa!$A:$AJ,AT$5,0))))</f>
        <v>-9.090909091</v>
      </c>
      <c r="AU151" s="174">
        <f>IF(AU$6="","",IF(AU$3="Maior",iferror(VLOOKUP($R151,Capa!$A:$AJ,AU$5,0),0),IF(ISERROR(1/VLOOKUP($R151,Capa!$A:$AJ,AU$5,0)),0,1/VLOOKUP($R151,Capa!$A:$AJ,AU$5,0))))</f>
        <v>0</v>
      </c>
      <c r="AV151" s="174" t="str">
        <f>IF(AV$6="","",IF(AV$3="Maior",iferror(VLOOKUP($R151,Capa!$A:$AJ,AV$5,0),0),IF(ISERROR(1/VLOOKUP($R151,Capa!$A:$AJ,AV$5,0)),0,1/VLOOKUP($R151,Capa!$A:$AJ,AV$5,0))))</f>
        <v/>
      </c>
      <c r="AW151" s="174" t="str">
        <f>IF(AW$6="","",IF(AW$3="Maior",iferror(VLOOKUP($R151,Capa!$A:$AJ,AW$5,0),0),IF(ISERROR(1/VLOOKUP($R151,Capa!$A:$AJ,AW$5,0)),0,1/VLOOKUP($R151,Capa!$A:$AJ,AW$5,0))))</f>
        <v/>
      </c>
      <c r="AX151" s="174" t="str">
        <f>IF(AX$6="","",IF(AX$3="Maior",iferror(VLOOKUP($R151,Capa!$A:$AJ,AX$5,0),0),IF(ISERROR(1/VLOOKUP($R151,Capa!$A:$AJ,AX$5,0)),0,1/VLOOKUP($R151,Capa!$A:$AJ,AX$5,0))))</f>
        <v/>
      </c>
      <c r="AY151" s="174" t="str">
        <f>IF(AY$6="","",IF(AY$3="Maior",iferror(VLOOKUP($R151,Capa!$A:$AJ,AY$5,0),0),IF(ISERROR(1/VLOOKUP($R151,Capa!$A:$AJ,AY$5,0)),0,1/VLOOKUP($R151,Capa!$A:$AJ,AY$5,0))))</f>
        <v/>
      </c>
      <c r="AZ151" s="174" t="str">
        <f>IF(AZ$6="","",IF(AZ$3="Maior",iferror(VLOOKUP($R151,Capa!$A:$AJ,AZ$5,0),0),IF(ISERROR(1/VLOOKUP($R151,Capa!$A:$AJ,AZ$5,0)),0,1/VLOOKUP($R151,Capa!$A:$AJ,AZ$5,0))))</f>
        <v/>
      </c>
      <c r="BA151" s="174" t="str">
        <f>IF(BA$6="","",IF(BA$3="Maior",iferror(VLOOKUP($R151,Capa!$A:$AJ,BA$5,0),0),IF(ISERROR(1/VLOOKUP($R151,Capa!$A:$AJ,BA$5,0)),0,1/VLOOKUP($R151,Capa!$A:$AJ,BA$5,0))))</f>
        <v/>
      </c>
      <c r="BB151" s="174" t="str">
        <f>IF(BB$6="","",IF(BB$3="Maior",iferror(VLOOKUP($R151,Capa!$A:$AJ,BB$5,0),0),IF(ISERROR(1/VLOOKUP($R151,Capa!$A:$AJ,BB$5,0)),0,1/VLOOKUP($R151,Capa!$A:$AJ,BB$5,0))))</f>
        <v/>
      </c>
      <c r="BC151" s="174" t="str">
        <f>IF(BC$6="","",IF(BC$3="Maior",iferror(VLOOKUP($R151,Capa!$A:$AJ,BC$5,0),0),IF(ISERROR(1/VLOOKUP($R151,Capa!$A:$AJ,BC$5,0)),0,1/VLOOKUP($R151,Capa!$A:$AJ,BC$5,0))))</f>
        <v/>
      </c>
      <c r="BD151" s="174" t="str">
        <f>IF(BD$6="","",IF(BD$3="Maior",iferror(VLOOKUP($R151,Capa!$A:$AJ,BD$5,0),0),IF(ISERROR(1/VLOOKUP($R151,Capa!$A:$AJ,BD$5,0)),0,1/VLOOKUP($R151,Capa!$A:$AJ,BD$5,0))))</f>
        <v/>
      </c>
      <c r="BE151" s="174" t="str">
        <f>IF(BE$6="","",IF(BE$3="Maior",iferror(VLOOKUP($R151,Capa!$A:$AJ,BE$5,0),0),IF(ISERROR(1/VLOOKUP($R151,Capa!$A:$AJ,BE$5,0)),0,1/VLOOKUP($R151,Capa!$A:$AJ,BE$5,0))))</f>
        <v/>
      </c>
      <c r="BF151" s="174" t="str">
        <f>IF(BF$6="","",IF(BF$3="Maior",iferror(VLOOKUP($R151,Capa!$A:$AJ,BF$5,0),0),IF(ISERROR(1/VLOOKUP($R151,Capa!$A:$AJ,BF$5,0)),0,1/VLOOKUP($R151,Capa!$A:$AJ,BF$5,0))))</f>
        <v/>
      </c>
      <c r="BG151" s="174" t="str">
        <f>IF(BG$6="","",IF(BG$3="Maior",iferror(VLOOKUP($R151,Capa!$A:$AJ,BG$5,0),0),IF(ISERROR(1/VLOOKUP($R151,Capa!$A:$AJ,BG$5,0)),0,1/VLOOKUP($R151,Capa!$A:$AJ,BG$5,0))))</f>
        <v/>
      </c>
      <c r="BH151" s="174" t="str">
        <f>IF(BH$6="","",IF(BH$3="Maior",iferror(VLOOKUP($R151,Capa!$A:$AJ,BH$5,0),0),IF(ISERROR(1/VLOOKUP($R151,Capa!$A:$AJ,BH$5,0)),0,1/VLOOKUP($R151,Capa!$A:$AJ,BH$5,0))))</f>
        <v/>
      </c>
      <c r="BI151" s="174" t="str">
        <f>IF(BI$6="","",IF(BI$3="Maior",iferror(VLOOKUP($R151,Capa!$A:$AJ,BI$5,0),0),IF(ISERROR(1/VLOOKUP($R151,Capa!$A:$AJ,BI$5,0)),0,1/VLOOKUP($R151,Capa!$A:$AJ,BI$5,0))))</f>
        <v/>
      </c>
      <c r="BJ151" s="174" t="str">
        <f>IF(BJ$6="","",IF(BJ$3="Maior",iferror(VLOOKUP($R151,Capa!$A:$AJ,BJ$5,0),0),IF(ISERROR(1/VLOOKUP($R151,Capa!$A:$AJ,BJ$5,0)),0,1/VLOOKUP($R151,Capa!$A:$AJ,BJ$5,0))))</f>
        <v/>
      </c>
      <c r="BK151" s="174" t="str">
        <f>IF(BK$6="","",IF(BK$3="Maior",iferror(VLOOKUP($R151,Capa!$A:$AJ,BK$5,0),0),IF(ISERROR(1/VLOOKUP($R151,Capa!$A:$AJ,BK$5,0)),0,1/VLOOKUP($R151,Capa!$A:$AJ,BK$5,0))))</f>
        <v/>
      </c>
      <c r="BL151" s="174" t="str">
        <f>IF(BL$6="","",IF(BL$3="Maior",iferror(VLOOKUP($R151,Capa!$A:$AJ,BL$5,0),0),IF(ISERROR(1/VLOOKUP($R151,Capa!$A:$AJ,BL$5,0)),0,1/VLOOKUP($R151,Capa!$A:$AJ,BL$5,0))))</f>
        <v/>
      </c>
      <c r="BM151" s="174" t="str">
        <f>IF(BM$6="","",IF(BM$3="Maior",iferror(VLOOKUP($R151,Capa!$A:$AJ,BM$5,0),0),IF(ISERROR(1/VLOOKUP($R151,Capa!$A:$AJ,BM$5,0)),0,1/VLOOKUP($R151,Capa!$A:$AJ,BM$5,0))))</f>
        <v/>
      </c>
      <c r="BN151" s="174" t="str">
        <f>IF(BN$6="","",IF(BN$3="Maior",iferror(VLOOKUP($R151,Capa!$A:$AJ,BN$5,0),0),IF(ISERROR(1/VLOOKUP($R151,Capa!$A:$AJ,BN$5,0)),0,1/VLOOKUP($R151,Capa!$A:$AJ,BN$5,0))))</f>
        <v/>
      </c>
      <c r="BO151" s="174" t="str">
        <f>IF(BO$6="","",IF(BO$3="Maior",iferror(VLOOKUP($R151,Capa!$A:$AJ,BO$5,0),0),IF(ISERROR(1/VLOOKUP($R151,Capa!$A:$AJ,BO$5,0)),0,1/VLOOKUP($R151,Capa!$A:$AJ,BO$5,0))))</f>
        <v/>
      </c>
      <c r="BP151" s="174" t="str">
        <f>IF(BP$6="","",IF(BP$3="Maior",iferror(VLOOKUP($R151,Capa!$A:$AJ,BP$5,0),0),IF(ISERROR(1/VLOOKUP($R151,Capa!$A:$AJ,BP$5,0)),0,1/VLOOKUP($R151,Capa!$A:$AJ,BP$5,0))))</f>
        <v/>
      </c>
      <c r="BQ151" s="174" t="str">
        <f>IF(BQ$6="","",IF(BQ$3="Maior",iferror(VLOOKUP($R151,Capa!$A:$AJ,BQ$5,0),0),IF(ISERROR(1/VLOOKUP($R151,Capa!$A:$AJ,BQ$5,0)),0,1/VLOOKUP($R151,Capa!$A:$AJ,BQ$5,0))))</f>
        <v/>
      </c>
      <c r="BR151" s="175"/>
      <c r="BS151" s="147"/>
    </row>
    <row r="152">
      <c r="G152" s="11"/>
      <c r="H152" s="8">
        <v>146.0</v>
      </c>
      <c r="I152" s="165" t="str">
        <f t="shared" si="6"/>
        <v>HBSA3</v>
      </c>
      <c r="J152" s="166" t="str">
        <f>(VLOOKUP($I152,Capa!$A:$B,2,0))</f>
        <v>Hidrovias do Brasil SA</v>
      </c>
      <c r="K152" s="167" t="str">
        <f>VLOOKUP(left(I152,4),Setor!A:D,3,0)&amp;" | "&amp;VLOOKUP(left(I152,4),Setor!A:D,4,0)</f>
        <v>Bens Industriais | Transporte</v>
      </c>
      <c r="L152" s="168">
        <f>(VLOOKUP($I152,Capa!$A:$F,6,0))</f>
        <v>3.98</v>
      </c>
      <c r="M152" s="168">
        <f t="shared" si="7"/>
        <v>9425819</v>
      </c>
      <c r="N152" s="11" t="str">
        <f>IFERROR(__xludf.DUMMYFUNCTION("(VLOOKUP($I152,Capa!$A:$H,7,0))"),"")</f>
        <v/>
      </c>
      <c r="O152" s="169">
        <f>(VLOOKUP($I152,Capa!$A:$H,8,0))</f>
        <v>-0.02689486553</v>
      </c>
      <c r="P152" s="11" t="str">
        <f>IFERROR(__xludf.DUMMYFUNCTION("(VLOOKUP($I152,Capa!$A:$J,10,0))"),"")</f>
        <v/>
      </c>
      <c r="Q152" s="169">
        <f>(VLOOKUP($I152,Capa!$A:$K,11,0))</f>
        <v>0.8685446009</v>
      </c>
      <c r="R152" s="45" t="str">
        <f>'Dados StatusInvest'!A147</f>
        <v>CEED4</v>
      </c>
      <c r="S152" s="170">
        <f t="shared" si="8"/>
        <v>1802.0802</v>
      </c>
      <c r="T152" s="171">
        <f>VLOOKUP(R152,'Dados StatusInvest'!A:Z,26,0)</f>
        <v>0</v>
      </c>
      <c r="U152" s="172">
        <f t="shared" ref="U152:AS152" si="154">IF(AT152="","", RANK(AT152,AT$7:AT$626,0)+RANK(AT152,AT$7:AT$626,0)/10000)</f>
        <v>535.0535</v>
      </c>
      <c r="V152" s="172">
        <f t="shared" si="154"/>
        <v>267.0267</v>
      </c>
      <c r="W152" s="172" t="str">
        <f t="shared" si="154"/>
        <v/>
      </c>
      <c r="X152" s="172" t="str">
        <f t="shared" si="154"/>
        <v/>
      </c>
      <c r="Y152" s="172" t="str">
        <f t="shared" si="154"/>
        <v/>
      </c>
      <c r="Z152" s="172" t="str">
        <f t="shared" si="154"/>
        <v/>
      </c>
      <c r="AA152" s="172" t="str">
        <f t="shared" si="154"/>
        <v/>
      </c>
      <c r="AB152" s="172" t="str">
        <f t="shared" si="154"/>
        <v/>
      </c>
      <c r="AC152" s="172" t="str">
        <f t="shared" si="154"/>
        <v/>
      </c>
      <c r="AD152" s="172" t="str">
        <f t="shared" si="154"/>
        <v/>
      </c>
      <c r="AE152" s="172" t="str">
        <f t="shared" si="154"/>
        <v/>
      </c>
      <c r="AF152" s="172" t="str">
        <f t="shared" si="154"/>
        <v/>
      </c>
      <c r="AG152" s="172" t="str">
        <f t="shared" si="154"/>
        <v/>
      </c>
      <c r="AH152" s="172" t="str">
        <f t="shared" si="154"/>
        <v/>
      </c>
      <c r="AI152" s="172" t="str">
        <f t="shared" si="154"/>
        <v/>
      </c>
      <c r="AJ152" s="172" t="str">
        <f t="shared" si="154"/>
        <v/>
      </c>
      <c r="AK152" s="172" t="str">
        <f t="shared" si="154"/>
        <v/>
      </c>
      <c r="AL152" s="172" t="str">
        <f t="shared" si="154"/>
        <v/>
      </c>
      <c r="AM152" s="172" t="str">
        <f t="shared" si="154"/>
        <v/>
      </c>
      <c r="AN152" s="172" t="str">
        <f t="shared" si="154"/>
        <v/>
      </c>
      <c r="AO152" s="172" t="str">
        <f t="shared" si="154"/>
        <v/>
      </c>
      <c r="AP152" s="172" t="str">
        <f t="shared" si="154"/>
        <v/>
      </c>
      <c r="AQ152" s="172" t="str">
        <f t="shared" si="154"/>
        <v/>
      </c>
      <c r="AR152" s="172" t="str">
        <f t="shared" si="154"/>
        <v/>
      </c>
      <c r="AS152" s="172" t="str">
        <f t="shared" si="154"/>
        <v/>
      </c>
      <c r="AT152" s="173">
        <f>IF(AT$6="","",IF(AT$3="Maior",iferror(VLOOKUP($R152,Capa!$A:$AJ,AT$5,0),0),IF(ISERROR(1/VLOOKUP($R152,Capa!$A:$AJ,AT$5,0)),0,1/VLOOKUP($R152,Capa!$A:$AJ,AT$5,0))))</f>
        <v>-4.545454545</v>
      </c>
      <c r="AU152" s="174">
        <f>IF(AU$6="","",IF(AU$3="Maior",iferror(VLOOKUP($R152,Capa!$A:$AJ,AU$5,0),0),IF(ISERROR(1/VLOOKUP($R152,Capa!$A:$AJ,AU$5,0)),0,1/VLOOKUP($R152,Capa!$A:$AJ,AU$5,0))))</f>
        <v>0</v>
      </c>
      <c r="AV152" s="174" t="str">
        <f>IF(AV$6="","",IF(AV$3="Maior",iferror(VLOOKUP($R152,Capa!$A:$AJ,AV$5,0),0),IF(ISERROR(1/VLOOKUP($R152,Capa!$A:$AJ,AV$5,0)),0,1/VLOOKUP($R152,Capa!$A:$AJ,AV$5,0))))</f>
        <v/>
      </c>
      <c r="AW152" s="174" t="str">
        <f>IF(AW$6="","",IF(AW$3="Maior",iferror(VLOOKUP($R152,Capa!$A:$AJ,AW$5,0),0),IF(ISERROR(1/VLOOKUP($R152,Capa!$A:$AJ,AW$5,0)),0,1/VLOOKUP($R152,Capa!$A:$AJ,AW$5,0))))</f>
        <v/>
      </c>
      <c r="AX152" s="174" t="str">
        <f>IF(AX$6="","",IF(AX$3="Maior",iferror(VLOOKUP($R152,Capa!$A:$AJ,AX$5,0),0),IF(ISERROR(1/VLOOKUP($R152,Capa!$A:$AJ,AX$5,0)),0,1/VLOOKUP($R152,Capa!$A:$AJ,AX$5,0))))</f>
        <v/>
      </c>
      <c r="AY152" s="174" t="str">
        <f>IF(AY$6="","",IF(AY$3="Maior",iferror(VLOOKUP($R152,Capa!$A:$AJ,AY$5,0),0),IF(ISERROR(1/VLOOKUP($R152,Capa!$A:$AJ,AY$5,0)),0,1/VLOOKUP($R152,Capa!$A:$AJ,AY$5,0))))</f>
        <v/>
      </c>
      <c r="AZ152" s="174" t="str">
        <f>IF(AZ$6="","",IF(AZ$3="Maior",iferror(VLOOKUP($R152,Capa!$A:$AJ,AZ$5,0),0),IF(ISERROR(1/VLOOKUP($R152,Capa!$A:$AJ,AZ$5,0)),0,1/VLOOKUP($R152,Capa!$A:$AJ,AZ$5,0))))</f>
        <v/>
      </c>
      <c r="BA152" s="174" t="str">
        <f>IF(BA$6="","",IF(BA$3="Maior",iferror(VLOOKUP($R152,Capa!$A:$AJ,BA$5,0),0),IF(ISERROR(1/VLOOKUP($R152,Capa!$A:$AJ,BA$5,0)),0,1/VLOOKUP($R152,Capa!$A:$AJ,BA$5,0))))</f>
        <v/>
      </c>
      <c r="BB152" s="174" t="str">
        <f>IF(BB$6="","",IF(BB$3="Maior",iferror(VLOOKUP($R152,Capa!$A:$AJ,BB$5,0),0),IF(ISERROR(1/VLOOKUP($R152,Capa!$A:$AJ,BB$5,0)),0,1/VLOOKUP($R152,Capa!$A:$AJ,BB$5,0))))</f>
        <v/>
      </c>
      <c r="BC152" s="174" t="str">
        <f>IF(BC$6="","",IF(BC$3="Maior",iferror(VLOOKUP($R152,Capa!$A:$AJ,BC$5,0),0),IF(ISERROR(1/VLOOKUP($R152,Capa!$A:$AJ,BC$5,0)),0,1/VLOOKUP($R152,Capa!$A:$AJ,BC$5,0))))</f>
        <v/>
      </c>
      <c r="BD152" s="174" t="str">
        <f>IF(BD$6="","",IF(BD$3="Maior",iferror(VLOOKUP($R152,Capa!$A:$AJ,BD$5,0),0),IF(ISERROR(1/VLOOKUP($R152,Capa!$A:$AJ,BD$5,0)),0,1/VLOOKUP($R152,Capa!$A:$AJ,BD$5,0))))</f>
        <v/>
      </c>
      <c r="BE152" s="174" t="str">
        <f>IF(BE$6="","",IF(BE$3="Maior",iferror(VLOOKUP($R152,Capa!$A:$AJ,BE$5,0),0),IF(ISERROR(1/VLOOKUP($R152,Capa!$A:$AJ,BE$5,0)),0,1/VLOOKUP($R152,Capa!$A:$AJ,BE$5,0))))</f>
        <v/>
      </c>
      <c r="BF152" s="174" t="str">
        <f>IF(BF$6="","",IF(BF$3="Maior",iferror(VLOOKUP($R152,Capa!$A:$AJ,BF$5,0),0),IF(ISERROR(1/VLOOKUP($R152,Capa!$A:$AJ,BF$5,0)),0,1/VLOOKUP($R152,Capa!$A:$AJ,BF$5,0))))</f>
        <v/>
      </c>
      <c r="BG152" s="174" t="str">
        <f>IF(BG$6="","",IF(BG$3="Maior",iferror(VLOOKUP($R152,Capa!$A:$AJ,BG$5,0),0),IF(ISERROR(1/VLOOKUP($R152,Capa!$A:$AJ,BG$5,0)),0,1/VLOOKUP($R152,Capa!$A:$AJ,BG$5,0))))</f>
        <v/>
      </c>
      <c r="BH152" s="174" t="str">
        <f>IF(BH$6="","",IF(BH$3="Maior",iferror(VLOOKUP($R152,Capa!$A:$AJ,BH$5,0),0),IF(ISERROR(1/VLOOKUP($R152,Capa!$A:$AJ,BH$5,0)),0,1/VLOOKUP($R152,Capa!$A:$AJ,BH$5,0))))</f>
        <v/>
      </c>
      <c r="BI152" s="174" t="str">
        <f>IF(BI$6="","",IF(BI$3="Maior",iferror(VLOOKUP($R152,Capa!$A:$AJ,BI$5,0),0),IF(ISERROR(1/VLOOKUP($R152,Capa!$A:$AJ,BI$5,0)),0,1/VLOOKUP($R152,Capa!$A:$AJ,BI$5,0))))</f>
        <v/>
      </c>
      <c r="BJ152" s="174" t="str">
        <f>IF(BJ$6="","",IF(BJ$3="Maior",iferror(VLOOKUP($R152,Capa!$A:$AJ,BJ$5,0),0),IF(ISERROR(1/VLOOKUP($R152,Capa!$A:$AJ,BJ$5,0)),0,1/VLOOKUP($R152,Capa!$A:$AJ,BJ$5,0))))</f>
        <v/>
      </c>
      <c r="BK152" s="174" t="str">
        <f>IF(BK$6="","",IF(BK$3="Maior",iferror(VLOOKUP($R152,Capa!$A:$AJ,BK$5,0),0),IF(ISERROR(1/VLOOKUP($R152,Capa!$A:$AJ,BK$5,0)),0,1/VLOOKUP($R152,Capa!$A:$AJ,BK$5,0))))</f>
        <v/>
      </c>
      <c r="BL152" s="174" t="str">
        <f>IF(BL$6="","",IF(BL$3="Maior",iferror(VLOOKUP($R152,Capa!$A:$AJ,BL$5,0),0),IF(ISERROR(1/VLOOKUP($R152,Capa!$A:$AJ,BL$5,0)),0,1/VLOOKUP($R152,Capa!$A:$AJ,BL$5,0))))</f>
        <v/>
      </c>
      <c r="BM152" s="174" t="str">
        <f>IF(BM$6="","",IF(BM$3="Maior",iferror(VLOOKUP($R152,Capa!$A:$AJ,BM$5,0),0),IF(ISERROR(1/VLOOKUP($R152,Capa!$A:$AJ,BM$5,0)),0,1/VLOOKUP($R152,Capa!$A:$AJ,BM$5,0))))</f>
        <v/>
      </c>
      <c r="BN152" s="174" t="str">
        <f>IF(BN$6="","",IF(BN$3="Maior",iferror(VLOOKUP($R152,Capa!$A:$AJ,BN$5,0),0),IF(ISERROR(1/VLOOKUP($R152,Capa!$A:$AJ,BN$5,0)),0,1/VLOOKUP($R152,Capa!$A:$AJ,BN$5,0))))</f>
        <v/>
      </c>
      <c r="BO152" s="174" t="str">
        <f>IF(BO$6="","",IF(BO$3="Maior",iferror(VLOOKUP($R152,Capa!$A:$AJ,BO$5,0),0),IF(ISERROR(1/VLOOKUP($R152,Capa!$A:$AJ,BO$5,0)),0,1/VLOOKUP($R152,Capa!$A:$AJ,BO$5,0))))</f>
        <v/>
      </c>
      <c r="BP152" s="174" t="str">
        <f>IF(BP$6="","",IF(BP$3="Maior",iferror(VLOOKUP($R152,Capa!$A:$AJ,BP$5,0),0),IF(ISERROR(1/VLOOKUP($R152,Capa!$A:$AJ,BP$5,0)),0,1/VLOOKUP($R152,Capa!$A:$AJ,BP$5,0))))</f>
        <v/>
      </c>
      <c r="BQ152" s="174" t="str">
        <f>IF(BQ$6="","",IF(BQ$3="Maior",iferror(VLOOKUP($R152,Capa!$A:$AJ,BQ$5,0),0),IF(ISERROR(1/VLOOKUP($R152,Capa!$A:$AJ,BQ$5,0)),0,1/VLOOKUP($R152,Capa!$A:$AJ,BQ$5,0))))</f>
        <v/>
      </c>
      <c r="BR152" s="175"/>
      <c r="BS152" s="147"/>
    </row>
    <row r="153">
      <c r="G153" s="11"/>
      <c r="H153" s="8">
        <v>147.0</v>
      </c>
      <c r="I153" s="165" t="str">
        <f t="shared" si="6"/>
        <v>MTRE3</v>
      </c>
      <c r="J153" s="166" t="str">
        <f>(VLOOKUP($I153,Capa!$A:$B,2,0))</f>
        <v>Mitre Realty Emprndmnts e Prtcpcs SA</v>
      </c>
      <c r="K153" s="167" t="str">
        <f>VLOOKUP(left(I153,4),Setor!A:D,3,0)&amp;" | "&amp;VLOOKUP(left(I153,4),Setor!A:D,4,0)</f>
        <v>Consumo Cíclico | Construção Civil</v>
      </c>
      <c r="L153" s="168">
        <f>(VLOOKUP($I153,Capa!$A:$F,6,0))</f>
        <v>4.24</v>
      </c>
      <c r="M153" s="168">
        <f t="shared" si="7"/>
        <v>2909826</v>
      </c>
      <c r="N153" s="11" t="str">
        <f>IFERROR(__xludf.DUMMYFUNCTION("(VLOOKUP($I153,Capa!$A:$H,7,0))"),"")</f>
        <v/>
      </c>
      <c r="O153" s="169">
        <f>(VLOOKUP($I153,Capa!$A:$H,8,0))</f>
        <v>0.1041666667</v>
      </c>
      <c r="P153" s="11" t="str">
        <f>IFERROR(__xludf.DUMMYFUNCTION("(VLOOKUP($I153,Capa!$A:$J,10,0))"),"")</f>
        <v/>
      </c>
      <c r="Q153" s="169">
        <f>(VLOOKUP($I153,Capa!$A:$K,11,0))</f>
        <v>0.3086419753</v>
      </c>
      <c r="R153" s="45" t="str">
        <f>'Dados StatusInvest'!A148</f>
        <v>CEGR3</v>
      </c>
      <c r="S153" s="170">
        <f t="shared" si="8"/>
        <v>1407.0407</v>
      </c>
      <c r="T153" s="171">
        <f>VLOOKUP(R153,'Dados StatusInvest'!A:Z,26,0)</f>
        <v>1100</v>
      </c>
      <c r="U153" s="172">
        <f t="shared" ref="U153:AS153" si="155">IF(AT153="","", RANK(AT153,AT$7:AT$626,0)+RANK(AT153,AT$7:AT$626,0)/10000)</f>
        <v>193.0193</v>
      </c>
      <c r="V153" s="172">
        <f t="shared" si="155"/>
        <v>214.0214</v>
      </c>
      <c r="W153" s="172" t="str">
        <f t="shared" si="155"/>
        <v/>
      </c>
      <c r="X153" s="172" t="str">
        <f t="shared" si="155"/>
        <v/>
      </c>
      <c r="Y153" s="172" t="str">
        <f t="shared" si="155"/>
        <v/>
      </c>
      <c r="Z153" s="172" t="str">
        <f t="shared" si="155"/>
        <v/>
      </c>
      <c r="AA153" s="172" t="str">
        <f t="shared" si="155"/>
        <v/>
      </c>
      <c r="AB153" s="172" t="str">
        <f t="shared" si="155"/>
        <v/>
      </c>
      <c r="AC153" s="172" t="str">
        <f t="shared" si="155"/>
        <v/>
      </c>
      <c r="AD153" s="172" t="str">
        <f t="shared" si="155"/>
        <v/>
      </c>
      <c r="AE153" s="172" t="str">
        <f t="shared" si="155"/>
        <v/>
      </c>
      <c r="AF153" s="172" t="str">
        <f t="shared" si="155"/>
        <v/>
      </c>
      <c r="AG153" s="172" t="str">
        <f t="shared" si="155"/>
        <v/>
      </c>
      <c r="AH153" s="172" t="str">
        <f t="shared" si="155"/>
        <v/>
      </c>
      <c r="AI153" s="172" t="str">
        <f t="shared" si="155"/>
        <v/>
      </c>
      <c r="AJ153" s="172" t="str">
        <f t="shared" si="155"/>
        <v/>
      </c>
      <c r="AK153" s="172" t="str">
        <f t="shared" si="155"/>
        <v/>
      </c>
      <c r="AL153" s="172" t="str">
        <f t="shared" si="155"/>
        <v/>
      </c>
      <c r="AM153" s="172" t="str">
        <f t="shared" si="155"/>
        <v/>
      </c>
      <c r="AN153" s="172" t="str">
        <f t="shared" si="155"/>
        <v/>
      </c>
      <c r="AO153" s="172" t="str">
        <f t="shared" si="155"/>
        <v/>
      </c>
      <c r="AP153" s="172" t="str">
        <f t="shared" si="155"/>
        <v/>
      </c>
      <c r="AQ153" s="172" t="str">
        <f t="shared" si="155"/>
        <v/>
      </c>
      <c r="AR153" s="172" t="str">
        <f t="shared" si="155"/>
        <v/>
      </c>
      <c r="AS153" s="172" t="str">
        <f t="shared" si="155"/>
        <v/>
      </c>
      <c r="AT153" s="173">
        <f>IF(AT$6="","",IF(AT$3="Maior",iferror(VLOOKUP($R153,Capa!$A:$AJ,AT$5,0),0),IF(ISERROR(1/VLOOKUP($R153,Capa!$A:$AJ,AT$5,0)),0,1/VLOOKUP($R153,Capa!$A:$AJ,AT$5,0))))</f>
        <v>-0.2506265664</v>
      </c>
      <c r="AU153" s="174">
        <f>IF(AU$6="","",IF(AU$3="Maior",iferror(VLOOKUP($R153,Capa!$A:$AJ,AU$5,0),0),IF(ISERROR(1/VLOOKUP($R153,Capa!$A:$AJ,AU$5,0)),0,1/VLOOKUP($R153,Capa!$A:$AJ,AU$5,0))))</f>
        <v>9.12</v>
      </c>
      <c r="AV153" s="174" t="str">
        <f>IF(AV$6="","",IF(AV$3="Maior",iferror(VLOOKUP($R153,Capa!$A:$AJ,AV$5,0),0),IF(ISERROR(1/VLOOKUP($R153,Capa!$A:$AJ,AV$5,0)),0,1/VLOOKUP($R153,Capa!$A:$AJ,AV$5,0))))</f>
        <v/>
      </c>
      <c r="AW153" s="174" t="str">
        <f>IF(AW$6="","",IF(AW$3="Maior",iferror(VLOOKUP($R153,Capa!$A:$AJ,AW$5,0),0),IF(ISERROR(1/VLOOKUP($R153,Capa!$A:$AJ,AW$5,0)),0,1/VLOOKUP($R153,Capa!$A:$AJ,AW$5,0))))</f>
        <v/>
      </c>
      <c r="AX153" s="174" t="str">
        <f>IF(AX$6="","",IF(AX$3="Maior",iferror(VLOOKUP($R153,Capa!$A:$AJ,AX$5,0),0),IF(ISERROR(1/VLOOKUP($R153,Capa!$A:$AJ,AX$5,0)),0,1/VLOOKUP($R153,Capa!$A:$AJ,AX$5,0))))</f>
        <v/>
      </c>
      <c r="AY153" s="174" t="str">
        <f>IF(AY$6="","",IF(AY$3="Maior",iferror(VLOOKUP($R153,Capa!$A:$AJ,AY$5,0),0),IF(ISERROR(1/VLOOKUP($R153,Capa!$A:$AJ,AY$5,0)),0,1/VLOOKUP($R153,Capa!$A:$AJ,AY$5,0))))</f>
        <v/>
      </c>
      <c r="AZ153" s="174" t="str">
        <f>IF(AZ$6="","",IF(AZ$3="Maior",iferror(VLOOKUP($R153,Capa!$A:$AJ,AZ$5,0),0),IF(ISERROR(1/VLOOKUP($R153,Capa!$A:$AJ,AZ$5,0)),0,1/VLOOKUP($R153,Capa!$A:$AJ,AZ$5,0))))</f>
        <v/>
      </c>
      <c r="BA153" s="174" t="str">
        <f>IF(BA$6="","",IF(BA$3="Maior",iferror(VLOOKUP($R153,Capa!$A:$AJ,BA$5,0),0),IF(ISERROR(1/VLOOKUP($R153,Capa!$A:$AJ,BA$5,0)),0,1/VLOOKUP($R153,Capa!$A:$AJ,BA$5,0))))</f>
        <v/>
      </c>
      <c r="BB153" s="174" t="str">
        <f>IF(BB$6="","",IF(BB$3="Maior",iferror(VLOOKUP($R153,Capa!$A:$AJ,BB$5,0),0),IF(ISERROR(1/VLOOKUP($R153,Capa!$A:$AJ,BB$5,0)),0,1/VLOOKUP($R153,Capa!$A:$AJ,BB$5,0))))</f>
        <v/>
      </c>
      <c r="BC153" s="174" t="str">
        <f>IF(BC$6="","",IF(BC$3="Maior",iferror(VLOOKUP($R153,Capa!$A:$AJ,BC$5,0),0),IF(ISERROR(1/VLOOKUP($R153,Capa!$A:$AJ,BC$5,0)),0,1/VLOOKUP($R153,Capa!$A:$AJ,BC$5,0))))</f>
        <v/>
      </c>
      <c r="BD153" s="174" t="str">
        <f>IF(BD$6="","",IF(BD$3="Maior",iferror(VLOOKUP($R153,Capa!$A:$AJ,BD$5,0),0),IF(ISERROR(1/VLOOKUP($R153,Capa!$A:$AJ,BD$5,0)),0,1/VLOOKUP($R153,Capa!$A:$AJ,BD$5,0))))</f>
        <v/>
      </c>
      <c r="BE153" s="174" t="str">
        <f>IF(BE$6="","",IF(BE$3="Maior",iferror(VLOOKUP($R153,Capa!$A:$AJ,BE$5,0),0),IF(ISERROR(1/VLOOKUP($R153,Capa!$A:$AJ,BE$5,0)),0,1/VLOOKUP($R153,Capa!$A:$AJ,BE$5,0))))</f>
        <v/>
      </c>
      <c r="BF153" s="174" t="str">
        <f>IF(BF$6="","",IF(BF$3="Maior",iferror(VLOOKUP($R153,Capa!$A:$AJ,BF$5,0),0),IF(ISERROR(1/VLOOKUP($R153,Capa!$A:$AJ,BF$5,0)),0,1/VLOOKUP($R153,Capa!$A:$AJ,BF$5,0))))</f>
        <v/>
      </c>
      <c r="BG153" s="174" t="str">
        <f>IF(BG$6="","",IF(BG$3="Maior",iferror(VLOOKUP($R153,Capa!$A:$AJ,BG$5,0),0),IF(ISERROR(1/VLOOKUP($R153,Capa!$A:$AJ,BG$5,0)),0,1/VLOOKUP($R153,Capa!$A:$AJ,BG$5,0))))</f>
        <v/>
      </c>
      <c r="BH153" s="174" t="str">
        <f>IF(BH$6="","",IF(BH$3="Maior",iferror(VLOOKUP($R153,Capa!$A:$AJ,BH$5,0),0),IF(ISERROR(1/VLOOKUP($R153,Capa!$A:$AJ,BH$5,0)),0,1/VLOOKUP($R153,Capa!$A:$AJ,BH$5,0))))</f>
        <v/>
      </c>
      <c r="BI153" s="174" t="str">
        <f>IF(BI$6="","",IF(BI$3="Maior",iferror(VLOOKUP($R153,Capa!$A:$AJ,BI$5,0),0),IF(ISERROR(1/VLOOKUP($R153,Capa!$A:$AJ,BI$5,0)),0,1/VLOOKUP($R153,Capa!$A:$AJ,BI$5,0))))</f>
        <v/>
      </c>
      <c r="BJ153" s="174" t="str">
        <f>IF(BJ$6="","",IF(BJ$3="Maior",iferror(VLOOKUP($R153,Capa!$A:$AJ,BJ$5,0),0),IF(ISERROR(1/VLOOKUP($R153,Capa!$A:$AJ,BJ$5,0)),0,1/VLOOKUP($R153,Capa!$A:$AJ,BJ$5,0))))</f>
        <v/>
      </c>
      <c r="BK153" s="174" t="str">
        <f>IF(BK$6="","",IF(BK$3="Maior",iferror(VLOOKUP($R153,Capa!$A:$AJ,BK$5,0),0),IF(ISERROR(1/VLOOKUP($R153,Capa!$A:$AJ,BK$5,0)),0,1/VLOOKUP($R153,Capa!$A:$AJ,BK$5,0))))</f>
        <v/>
      </c>
      <c r="BL153" s="174" t="str">
        <f>IF(BL$6="","",IF(BL$3="Maior",iferror(VLOOKUP($R153,Capa!$A:$AJ,BL$5,0),0),IF(ISERROR(1/VLOOKUP($R153,Capa!$A:$AJ,BL$5,0)),0,1/VLOOKUP($R153,Capa!$A:$AJ,BL$5,0))))</f>
        <v/>
      </c>
      <c r="BM153" s="174" t="str">
        <f>IF(BM$6="","",IF(BM$3="Maior",iferror(VLOOKUP($R153,Capa!$A:$AJ,BM$5,0),0),IF(ISERROR(1/VLOOKUP($R153,Capa!$A:$AJ,BM$5,0)),0,1/VLOOKUP($R153,Capa!$A:$AJ,BM$5,0))))</f>
        <v/>
      </c>
      <c r="BN153" s="174" t="str">
        <f>IF(BN$6="","",IF(BN$3="Maior",iferror(VLOOKUP($R153,Capa!$A:$AJ,BN$5,0),0),IF(ISERROR(1/VLOOKUP($R153,Capa!$A:$AJ,BN$5,0)),0,1/VLOOKUP($R153,Capa!$A:$AJ,BN$5,0))))</f>
        <v/>
      </c>
      <c r="BO153" s="174" t="str">
        <f>IF(BO$6="","",IF(BO$3="Maior",iferror(VLOOKUP($R153,Capa!$A:$AJ,BO$5,0),0),IF(ISERROR(1/VLOOKUP($R153,Capa!$A:$AJ,BO$5,0)),0,1/VLOOKUP($R153,Capa!$A:$AJ,BO$5,0))))</f>
        <v/>
      </c>
      <c r="BP153" s="174" t="str">
        <f>IF(BP$6="","",IF(BP$3="Maior",iferror(VLOOKUP($R153,Capa!$A:$AJ,BP$5,0),0),IF(ISERROR(1/VLOOKUP($R153,Capa!$A:$AJ,BP$5,0)),0,1/VLOOKUP($R153,Capa!$A:$AJ,BP$5,0))))</f>
        <v/>
      </c>
      <c r="BQ153" s="174" t="str">
        <f>IF(BQ$6="","",IF(BQ$3="Maior",iferror(VLOOKUP($R153,Capa!$A:$AJ,BQ$5,0),0),IF(ISERROR(1/VLOOKUP($R153,Capa!$A:$AJ,BQ$5,0)),0,1/VLOOKUP($R153,Capa!$A:$AJ,BQ$5,0))))</f>
        <v/>
      </c>
      <c r="BR153" s="175"/>
      <c r="BS153" s="147"/>
    </row>
    <row r="154">
      <c r="G154" s="11"/>
      <c r="H154" s="8">
        <v>148.0</v>
      </c>
      <c r="I154" s="165" t="str">
        <f t="shared" si="6"/>
        <v>MOTV3</v>
      </c>
      <c r="J154" s="166" t="str">
        <f>(VLOOKUP($I154,Capa!$A:$B,2,0))</f>
        <v>Motiva Infraestrutura de Mobilidade SA</v>
      </c>
      <c r="K154" s="167" t="str">
        <f>VLOOKUP(left(I154,4),Setor!A:D,3,0)&amp;" | "&amp;VLOOKUP(left(I154,4),Setor!A:D,4,0)</f>
        <v>#N/A</v>
      </c>
      <c r="L154" s="168">
        <f>(VLOOKUP($I154,Capa!$A:$F,6,0))</f>
        <v>16.11</v>
      </c>
      <c r="M154" s="168">
        <f t="shared" si="7"/>
        <v>158000000</v>
      </c>
      <c r="N154" s="11" t="str">
        <f>IFERROR(__xludf.DUMMYFUNCTION("(VLOOKUP($I154,Capa!$A:$H,7,0))"),"")</f>
        <v/>
      </c>
      <c r="O154" s="169">
        <f>(VLOOKUP($I154,Capa!$A:$H,8,0))</f>
        <v>0.01512287335</v>
      </c>
      <c r="P154" s="11" t="str">
        <f>IFERROR(__xludf.DUMMYFUNCTION("(VLOOKUP($I154,Capa!$A:$J,10,0))"),"")</f>
        <v/>
      </c>
      <c r="Q154" s="169">
        <f>(VLOOKUP($I154,Capa!$A:$K,11,0))</f>
        <v>0.3687340697</v>
      </c>
      <c r="R154" s="45" t="str">
        <f>'Dados StatusInvest'!A149</f>
        <v>CEPE3</v>
      </c>
      <c r="S154" s="170">
        <f t="shared" si="8"/>
        <v>1226.0226</v>
      </c>
      <c r="T154" s="171">
        <f>VLOOKUP(R154,'Dados StatusInvest'!A:Z,26,0)</f>
        <v>0</v>
      </c>
      <c r="U154" s="172">
        <f t="shared" ref="U154:AS154" si="156">IF(AT154="","", RANK(AT154,AT$7:AT$626,0)+RANK(AT154,AT$7:AT$626,0)/10000)</f>
        <v>125.0125</v>
      </c>
      <c r="V154" s="172">
        <f t="shared" si="156"/>
        <v>101.0101</v>
      </c>
      <c r="W154" s="172" t="str">
        <f t="shared" si="156"/>
        <v/>
      </c>
      <c r="X154" s="172" t="str">
        <f t="shared" si="156"/>
        <v/>
      </c>
      <c r="Y154" s="172" t="str">
        <f t="shared" si="156"/>
        <v/>
      </c>
      <c r="Z154" s="172" t="str">
        <f t="shared" si="156"/>
        <v/>
      </c>
      <c r="AA154" s="172" t="str">
        <f t="shared" si="156"/>
        <v/>
      </c>
      <c r="AB154" s="172" t="str">
        <f t="shared" si="156"/>
        <v/>
      </c>
      <c r="AC154" s="172" t="str">
        <f t="shared" si="156"/>
        <v/>
      </c>
      <c r="AD154" s="172" t="str">
        <f t="shared" si="156"/>
        <v/>
      </c>
      <c r="AE154" s="172" t="str">
        <f t="shared" si="156"/>
        <v/>
      </c>
      <c r="AF154" s="172" t="str">
        <f t="shared" si="156"/>
        <v/>
      </c>
      <c r="AG154" s="172" t="str">
        <f t="shared" si="156"/>
        <v/>
      </c>
      <c r="AH154" s="172" t="str">
        <f t="shared" si="156"/>
        <v/>
      </c>
      <c r="AI154" s="172" t="str">
        <f t="shared" si="156"/>
        <v/>
      </c>
      <c r="AJ154" s="172" t="str">
        <f t="shared" si="156"/>
        <v/>
      </c>
      <c r="AK154" s="172" t="str">
        <f t="shared" si="156"/>
        <v/>
      </c>
      <c r="AL154" s="172" t="str">
        <f t="shared" si="156"/>
        <v/>
      </c>
      <c r="AM154" s="172" t="str">
        <f t="shared" si="156"/>
        <v/>
      </c>
      <c r="AN154" s="172" t="str">
        <f t="shared" si="156"/>
        <v/>
      </c>
      <c r="AO154" s="172" t="str">
        <f t="shared" si="156"/>
        <v/>
      </c>
      <c r="AP154" s="172" t="str">
        <f t="shared" si="156"/>
        <v/>
      </c>
      <c r="AQ154" s="172" t="str">
        <f t="shared" si="156"/>
        <v/>
      </c>
      <c r="AR154" s="172" t="str">
        <f t="shared" si="156"/>
        <v/>
      </c>
      <c r="AS154" s="172" t="str">
        <f t="shared" si="156"/>
        <v/>
      </c>
      <c r="AT154" s="173">
        <f>IF(AT$6="","",IF(AT$3="Maior",iferror(VLOOKUP($R154,Capa!$A:$AJ,AT$5,0),0),IF(ISERROR(1/VLOOKUP($R154,Capa!$A:$AJ,AT$5,0)),0,1/VLOOKUP($R154,Capa!$A:$AJ,AT$5,0))))</f>
        <v>-0.02041232905</v>
      </c>
      <c r="AU154" s="174">
        <f>IF(AU$6="","",IF(AU$3="Maior",iferror(VLOOKUP($R154,Capa!$A:$AJ,AU$5,0),0),IF(ISERROR(1/VLOOKUP($R154,Capa!$A:$AJ,AU$5,0)),0,1/VLOOKUP($R154,Capa!$A:$AJ,AU$5,0))))</f>
        <v>27.12</v>
      </c>
      <c r="AV154" s="174" t="str">
        <f>IF(AV$6="","",IF(AV$3="Maior",iferror(VLOOKUP($R154,Capa!$A:$AJ,AV$5,0),0),IF(ISERROR(1/VLOOKUP($R154,Capa!$A:$AJ,AV$5,0)),0,1/VLOOKUP($R154,Capa!$A:$AJ,AV$5,0))))</f>
        <v/>
      </c>
      <c r="AW154" s="174" t="str">
        <f>IF(AW$6="","",IF(AW$3="Maior",iferror(VLOOKUP($R154,Capa!$A:$AJ,AW$5,0),0),IF(ISERROR(1/VLOOKUP($R154,Capa!$A:$AJ,AW$5,0)),0,1/VLOOKUP($R154,Capa!$A:$AJ,AW$5,0))))</f>
        <v/>
      </c>
      <c r="AX154" s="174" t="str">
        <f>IF(AX$6="","",IF(AX$3="Maior",iferror(VLOOKUP($R154,Capa!$A:$AJ,AX$5,0),0),IF(ISERROR(1/VLOOKUP($R154,Capa!$A:$AJ,AX$5,0)),0,1/VLOOKUP($R154,Capa!$A:$AJ,AX$5,0))))</f>
        <v/>
      </c>
      <c r="AY154" s="174" t="str">
        <f>IF(AY$6="","",IF(AY$3="Maior",iferror(VLOOKUP($R154,Capa!$A:$AJ,AY$5,0),0),IF(ISERROR(1/VLOOKUP($R154,Capa!$A:$AJ,AY$5,0)),0,1/VLOOKUP($R154,Capa!$A:$AJ,AY$5,0))))</f>
        <v/>
      </c>
      <c r="AZ154" s="174" t="str">
        <f>IF(AZ$6="","",IF(AZ$3="Maior",iferror(VLOOKUP($R154,Capa!$A:$AJ,AZ$5,0),0),IF(ISERROR(1/VLOOKUP($R154,Capa!$A:$AJ,AZ$5,0)),0,1/VLOOKUP($R154,Capa!$A:$AJ,AZ$5,0))))</f>
        <v/>
      </c>
      <c r="BA154" s="174" t="str">
        <f>IF(BA$6="","",IF(BA$3="Maior",iferror(VLOOKUP($R154,Capa!$A:$AJ,BA$5,0),0),IF(ISERROR(1/VLOOKUP($R154,Capa!$A:$AJ,BA$5,0)),0,1/VLOOKUP($R154,Capa!$A:$AJ,BA$5,0))))</f>
        <v/>
      </c>
      <c r="BB154" s="174" t="str">
        <f>IF(BB$6="","",IF(BB$3="Maior",iferror(VLOOKUP($R154,Capa!$A:$AJ,BB$5,0),0),IF(ISERROR(1/VLOOKUP($R154,Capa!$A:$AJ,BB$5,0)),0,1/VLOOKUP($R154,Capa!$A:$AJ,BB$5,0))))</f>
        <v/>
      </c>
      <c r="BC154" s="174" t="str">
        <f>IF(BC$6="","",IF(BC$3="Maior",iferror(VLOOKUP($R154,Capa!$A:$AJ,BC$5,0),0),IF(ISERROR(1/VLOOKUP($R154,Capa!$A:$AJ,BC$5,0)),0,1/VLOOKUP($R154,Capa!$A:$AJ,BC$5,0))))</f>
        <v/>
      </c>
      <c r="BD154" s="174" t="str">
        <f>IF(BD$6="","",IF(BD$3="Maior",iferror(VLOOKUP($R154,Capa!$A:$AJ,BD$5,0),0),IF(ISERROR(1/VLOOKUP($R154,Capa!$A:$AJ,BD$5,0)),0,1/VLOOKUP($R154,Capa!$A:$AJ,BD$5,0))))</f>
        <v/>
      </c>
      <c r="BE154" s="174" t="str">
        <f>IF(BE$6="","",IF(BE$3="Maior",iferror(VLOOKUP($R154,Capa!$A:$AJ,BE$5,0),0),IF(ISERROR(1/VLOOKUP($R154,Capa!$A:$AJ,BE$5,0)),0,1/VLOOKUP($R154,Capa!$A:$AJ,BE$5,0))))</f>
        <v/>
      </c>
      <c r="BF154" s="174" t="str">
        <f>IF(BF$6="","",IF(BF$3="Maior",iferror(VLOOKUP($R154,Capa!$A:$AJ,BF$5,0),0),IF(ISERROR(1/VLOOKUP($R154,Capa!$A:$AJ,BF$5,0)),0,1/VLOOKUP($R154,Capa!$A:$AJ,BF$5,0))))</f>
        <v/>
      </c>
      <c r="BG154" s="174" t="str">
        <f>IF(BG$6="","",IF(BG$3="Maior",iferror(VLOOKUP($R154,Capa!$A:$AJ,BG$5,0),0),IF(ISERROR(1/VLOOKUP($R154,Capa!$A:$AJ,BG$5,0)),0,1/VLOOKUP($R154,Capa!$A:$AJ,BG$5,0))))</f>
        <v/>
      </c>
      <c r="BH154" s="174" t="str">
        <f>IF(BH$6="","",IF(BH$3="Maior",iferror(VLOOKUP($R154,Capa!$A:$AJ,BH$5,0),0),IF(ISERROR(1/VLOOKUP($R154,Capa!$A:$AJ,BH$5,0)),0,1/VLOOKUP($R154,Capa!$A:$AJ,BH$5,0))))</f>
        <v/>
      </c>
      <c r="BI154" s="174" t="str">
        <f>IF(BI$6="","",IF(BI$3="Maior",iferror(VLOOKUP($R154,Capa!$A:$AJ,BI$5,0),0),IF(ISERROR(1/VLOOKUP($R154,Capa!$A:$AJ,BI$5,0)),0,1/VLOOKUP($R154,Capa!$A:$AJ,BI$5,0))))</f>
        <v/>
      </c>
      <c r="BJ154" s="174" t="str">
        <f>IF(BJ$6="","",IF(BJ$3="Maior",iferror(VLOOKUP($R154,Capa!$A:$AJ,BJ$5,0),0),IF(ISERROR(1/VLOOKUP($R154,Capa!$A:$AJ,BJ$5,0)),0,1/VLOOKUP($R154,Capa!$A:$AJ,BJ$5,0))))</f>
        <v/>
      </c>
      <c r="BK154" s="174" t="str">
        <f>IF(BK$6="","",IF(BK$3="Maior",iferror(VLOOKUP($R154,Capa!$A:$AJ,BK$5,0),0),IF(ISERROR(1/VLOOKUP($R154,Capa!$A:$AJ,BK$5,0)),0,1/VLOOKUP($R154,Capa!$A:$AJ,BK$5,0))))</f>
        <v/>
      </c>
      <c r="BL154" s="174" t="str">
        <f>IF(BL$6="","",IF(BL$3="Maior",iferror(VLOOKUP($R154,Capa!$A:$AJ,BL$5,0),0),IF(ISERROR(1/VLOOKUP($R154,Capa!$A:$AJ,BL$5,0)),0,1/VLOOKUP($R154,Capa!$A:$AJ,BL$5,0))))</f>
        <v/>
      </c>
      <c r="BM154" s="174" t="str">
        <f>IF(BM$6="","",IF(BM$3="Maior",iferror(VLOOKUP($R154,Capa!$A:$AJ,BM$5,0),0),IF(ISERROR(1/VLOOKUP($R154,Capa!$A:$AJ,BM$5,0)),0,1/VLOOKUP($R154,Capa!$A:$AJ,BM$5,0))))</f>
        <v/>
      </c>
      <c r="BN154" s="174" t="str">
        <f>IF(BN$6="","",IF(BN$3="Maior",iferror(VLOOKUP($R154,Capa!$A:$AJ,BN$5,0),0),IF(ISERROR(1/VLOOKUP($R154,Capa!$A:$AJ,BN$5,0)),0,1/VLOOKUP($R154,Capa!$A:$AJ,BN$5,0))))</f>
        <v/>
      </c>
      <c r="BO154" s="174" t="str">
        <f>IF(BO$6="","",IF(BO$3="Maior",iferror(VLOOKUP($R154,Capa!$A:$AJ,BO$5,0),0),IF(ISERROR(1/VLOOKUP($R154,Capa!$A:$AJ,BO$5,0)),0,1/VLOOKUP($R154,Capa!$A:$AJ,BO$5,0))))</f>
        <v/>
      </c>
      <c r="BP154" s="174" t="str">
        <f>IF(BP$6="","",IF(BP$3="Maior",iferror(VLOOKUP($R154,Capa!$A:$AJ,BP$5,0),0),IF(ISERROR(1/VLOOKUP($R154,Capa!$A:$AJ,BP$5,0)),0,1/VLOOKUP($R154,Capa!$A:$AJ,BP$5,0))))</f>
        <v/>
      </c>
      <c r="BQ154" s="174" t="str">
        <f>IF(BQ$6="","",IF(BQ$3="Maior",iferror(VLOOKUP($R154,Capa!$A:$AJ,BQ$5,0),0),IF(ISERROR(1/VLOOKUP($R154,Capa!$A:$AJ,BQ$5,0)),0,1/VLOOKUP($R154,Capa!$A:$AJ,BQ$5,0))))</f>
        <v/>
      </c>
      <c r="BR154" s="175"/>
      <c r="BS154" s="147"/>
    </row>
    <row r="155">
      <c r="G155" s="11"/>
      <c r="H155" s="8">
        <v>149.0</v>
      </c>
      <c r="I155" s="165" t="str">
        <f t="shared" si="6"/>
        <v>CPLE3</v>
      </c>
      <c r="J155" s="166" t="str">
        <f>(VLOOKUP($I155,Capa!$A:$B,2,0))</f>
        <v>Cia Paranaense De Energia Copel Ord Shs</v>
      </c>
      <c r="K155" s="167" t="str">
        <f>VLOOKUP(left(I155,4),Setor!A:D,3,0)&amp;" | "&amp;VLOOKUP(left(I155,4),Setor!A:D,4,0)</f>
        <v>Utilidade Pública | Energia Elétrica</v>
      </c>
      <c r="L155" s="168">
        <f>(VLOOKUP($I155,Capa!$A:$F,6,0))</f>
        <v>14.09</v>
      </c>
      <c r="M155" s="168">
        <f t="shared" si="7"/>
        <v>278000000</v>
      </c>
      <c r="N155" s="11" t="str">
        <f>IFERROR(__xludf.DUMMYFUNCTION("(VLOOKUP($I155,Capa!$A:$H,7,0))"),"")</f>
        <v/>
      </c>
      <c r="O155" s="169">
        <f>(VLOOKUP($I155,Capa!$A:$H,8,0))</f>
        <v>0.09394409938</v>
      </c>
      <c r="P155" s="11" t="str">
        <f>IFERROR(__xludf.DUMMYFUNCTION("(VLOOKUP($I155,Capa!$A:$J,10,0))"),"")</f>
        <v/>
      </c>
      <c r="Q155" s="169">
        <f>(VLOOKUP($I155,Capa!$A:$K,11,0))</f>
        <v>0.5348583878</v>
      </c>
      <c r="R155" s="45" t="str">
        <f>'Dados StatusInvest'!A150</f>
        <v>CEPE5</v>
      </c>
      <c r="S155" s="170">
        <f t="shared" si="8"/>
        <v>1238.0238</v>
      </c>
      <c r="T155" s="171">
        <f>VLOOKUP(R155,'Dados StatusInvest'!A:Z,26,0)</f>
        <v>0</v>
      </c>
      <c r="U155" s="172">
        <f t="shared" ref="U155:AS155" si="157">IF(AT155="","", RANK(AT155,AT$7:AT$626,0)+RANK(AT155,AT$7:AT$626,0)/10000)</f>
        <v>137.0137</v>
      </c>
      <c r="V155" s="172">
        <f t="shared" si="157"/>
        <v>101.0101</v>
      </c>
      <c r="W155" s="172" t="str">
        <f t="shared" si="157"/>
        <v/>
      </c>
      <c r="X155" s="172" t="str">
        <f t="shared" si="157"/>
        <v/>
      </c>
      <c r="Y155" s="172" t="str">
        <f t="shared" si="157"/>
        <v/>
      </c>
      <c r="Z155" s="172" t="str">
        <f t="shared" si="157"/>
        <v/>
      </c>
      <c r="AA155" s="172" t="str">
        <f t="shared" si="157"/>
        <v/>
      </c>
      <c r="AB155" s="172" t="str">
        <f t="shared" si="157"/>
        <v/>
      </c>
      <c r="AC155" s="172" t="str">
        <f t="shared" si="157"/>
        <v/>
      </c>
      <c r="AD155" s="172" t="str">
        <f t="shared" si="157"/>
        <v/>
      </c>
      <c r="AE155" s="172" t="str">
        <f t="shared" si="157"/>
        <v/>
      </c>
      <c r="AF155" s="172" t="str">
        <f t="shared" si="157"/>
        <v/>
      </c>
      <c r="AG155" s="172" t="str">
        <f t="shared" si="157"/>
        <v/>
      </c>
      <c r="AH155" s="172" t="str">
        <f t="shared" si="157"/>
        <v/>
      </c>
      <c r="AI155" s="172" t="str">
        <f t="shared" si="157"/>
        <v/>
      </c>
      <c r="AJ155" s="172" t="str">
        <f t="shared" si="157"/>
        <v/>
      </c>
      <c r="AK155" s="172" t="str">
        <f t="shared" si="157"/>
        <v/>
      </c>
      <c r="AL155" s="172" t="str">
        <f t="shared" si="157"/>
        <v/>
      </c>
      <c r="AM155" s="172" t="str">
        <f t="shared" si="157"/>
        <v/>
      </c>
      <c r="AN155" s="172" t="str">
        <f t="shared" si="157"/>
        <v/>
      </c>
      <c r="AO155" s="172" t="str">
        <f t="shared" si="157"/>
        <v/>
      </c>
      <c r="AP155" s="172" t="str">
        <f t="shared" si="157"/>
        <v/>
      </c>
      <c r="AQ155" s="172" t="str">
        <f t="shared" si="157"/>
        <v/>
      </c>
      <c r="AR155" s="172" t="str">
        <f t="shared" si="157"/>
        <v/>
      </c>
      <c r="AS155" s="172" t="str">
        <f t="shared" si="157"/>
        <v/>
      </c>
      <c r="AT155" s="173">
        <f>IF(AT$6="","",IF(AT$3="Maior",iferror(VLOOKUP($R155,Capa!$A:$AJ,AT$5,0),0),IF(ISERROR(1/VLOOKUP($R155,Capa!$A:$AJ,AT$5,0)),0,1/VLOOKUP($R155,Capa!$A:$AJ,AT$5,0))))</f>
        <v>-0.06373486297</v>
      </c>
      <c r="AU155" s="174">
        <f>IF(AU$6="","",IF(AU$3="Maior",iferror(VLOOKUP($R155,Capa!$A:$AJ,AU$5,0),0),IF(ISERROR(1/VLOOKUP($R155,Capa!$A:$AJ,AU$5,0)),0,1/VLOOKUP($R155,Capa!$A:$AJ,AU$5,0))))</f>
        <v>27.12</v>
      </c>
      <c r="AV155" s="174" t="str">
        <f>IF(AV$6="","",IF(AV$3="Maior",iferror(VLOOKUP($R155,Capa!$A:$AJ,AV$5,0),0),IF(ISERROR(1/VLOOKUP($R155,Capa!$A:$AJ,AV$5,0)),0,1/VLOOKUP($R155,Capa!$A:$AJ,AV$5,0))))</f>
        <v/>
      </c>
      <c r="AW155" s="174" t="str">
        <f>IF(AW$6="","",IF(AW$3="Maior",iferror(VLOOKUP($R155,Capa!$A:$AJ,AW$5,0),0),IF(ISERROR(1/VLOOKUP($R155,Capa!$A:$AJ,AW$5,0)),0,1/VLOOKUP($R155,Capa!$A:$AJ,AW$5,0))))</f>
        <v/>
      </c>
      <c r="AX155" s="174" t="str">
        <f>IF(AX$6="","",IF(AX$3="Maior",iferror(VLOOKUP($R155,Capa!$A:$AJ,AX$5,0),0),IF(ISERROR(1/VLOOKUP($R155,Capa!$A:$AJ,AX$5,0)),0,1/VLOOKUP($R155,Capa!$A:$AJ,AX$5,0))))</f>
        <v/>
      </c>
      <c r="AY155" s="174" t="str">
        <f>IF(AY$6="","",IF(AY$3="Maior",iferror(VLOOKUP($R155,Capa!$A:$AJ,AY$5,0),0),IF(ISERROR(1/VLOOKUP($R155,Capa!$A:$AJ,AY$5,0)),0,1/VLOOKUP($R155,Capa!$A:$AJ,AY$5,0))))</f>
        <v/>
      </c>
      <c r="AZ155" s="174" t="str">
        <f>IF(AZ$6="","",IF(AZ$3="Maior",iferror(VLOOKUP($R155,Capa!$A:$AJ,AZ$5,0),0),IF(ISERROR(1/VLOOKUP($R155,Capa!$A:$AJ,AZ$5,0)),0,1/VLOOKUP($R155,Capa!$A:$AJ,AZ$5,0))))</f>
        <v/>
      </c>
      <c r="BA155" s="174" t="str">
        <f>IF(BA$6="","",IF(BA$3="Maior",iferror(VLOOKUP($R155,Capa!$A:$AJ,BA$5,0),0),IF(ISERROR(1/VLOOKUP($R155,Capa!$A:$AJ,BA$5,0)),0,1/VLOOKUP($R155,Capa!$A:$AJ,BA$5,0))))</f>
        <v/>
      </c>
      <c r="BB155" s="174" t="str">
        <f>IF(BB$6="","",IF(BB$3="Maior",iferror(VLOOKUP($R155,Capa!$A:$AJ,BB$5,0),0),IF(ISERROR(1/VLOOKUP($R155,Capa!$A:$AJ,BB$5,0)),0,1/VLOOKUP($R155,Capa!$A:$AJ,BB$5,0))))</f>
        <v/>
      </c>
      <c r="BC155" s="174" t="str">
        <f>IF(BC$6="","",IF(BC$3="Maior",iferror(VLOOKUP($R155,Capa!$A:$AJ,BC$5,0),0),IF(ISERROR(1/VLOOKUP($R155,Capa!$A:$AJ,BC$5,0)),0,1/VLOOKUP($R155,Capa!$A:$AJ,BC$5,0))))</f>
        <v/>
      </c>
      <c r="BD155" s="174" t="str">
        <f>IF(BD$6="","",IF(BD$3="Maior",iferror(VLOOKUP($R155,Capa!$A:$AJ,BD$5,0),0),IF(ISERROR(1/VLOOKUP($R155,Capa!$A:$AJ,BD$5,0)),0,1/VLOOKUP($R155,Capa!$A:$AJ,BD$5,0))))</f>
        <v/>
      </c>
      <c r="BE155" s="174" t="str">
        <f>IF(BE$6="","",IF(BE$3="Maior",iferror(VLOOKUP($R155,Capa!$A:$AJ,BE$5,0),0),IF(ISERROR(1/VLOOKUP($R155,Capa!$A:$AJ,BE$5,0)),0,1/VLOOKUP($R155,Capa!$A:$AJ,BE$5,0))))</f>
        <v/>
      </c>
      <c r="BF155" s="174" t="str">
        <f>IF(BF$6="","",IF(BF$3="Maior",iferror(VLOOKUP($R155,Capa!$A:$AJ,BF$5,0),0),IF(ISERROR(1/VLOOKUP($R155,Capa!$A:$AJ,BF$5,0)),0,1/VLOOKUP($R155,Capa!$A:$AJ,BF$5,0))))</f>
        <v/>
      </c>
      <c r="BG155" s="174" t="str">
        <f>IF(BG$6="","",IF(BG$3="Maior",iferror(VLOOKUP($R155,Capa!$A:$AJ,BG$5,0),0),IF(ISERROR(1/VLOOKUP($R155,Capa!$A:$AJ,BG$5,0)),0,1/VLOOKUP($R155,Capa!$A:$AJ,BG$5,0))))</f>
        <v/>
      </c>
      <c r="BH155" s="174" t="str">
        <f>IF(BH$6="","",IF(BH$3="Maior",iferror(VLOOKUP($R155,Capa!$A:$AJ,BH$5,0),0),IF(ISERROR(1/VLOOKUP($R155,Capa!$A:$AJ,BH$5,0)),0,1/VLOOKUP($R155,Capa!$A:$AJ,BH$5,0))))</f>
        <v/>
      </c>
      <c r="BI155" s="174" t="str">
        <f>IF(BI$6="","",IF(BI$3="Maior",iferror(VLOOKUP($R155,Capa!$A:$AJ,BI$5,0),0),IF(ISERROR(1/VLOOKUP($R155,Capa!$A:$AJ,BI$5,0)),0,1/VLOOKUP($R155,Capa!$A:$AJ,BI$5,0))))</f>
        <v/>
      </c>
      <c r="BJ155" s="174" t="str">
        <f>IF(BJ$6="","",IF(BJ$3="Maior",iferror(VLOOKUP($R155,Capa!$A:$AJ,BJ$5,0),0),IF(ISERROR(1/VLOOKUP($R155,Capa!$A:$AJ,BJ$5,0)),0,1/VLOOKUP($R155,Capa!$A:$AJ,BJ$5,0))))</f>
        <v/>
      </c>
      <c r="BK155" s="174" t="str">
        <f>IF(BK$6="","",IF(BK$3="Maior",iferror(VLOOKUP($R155,Capa!$A:$AJ,BK$5,0),0),IF(ISERROR(1/VLOOKUP($R155,Capa!$A:$AJ,BK$5,0)),0,1/VLOOKUP($R155,Capa!$A:$AJ,BK$5,0))))</f>
        <v/>
      </c>
      <c r="BL155" s="174" t="str">
        <f>IF(BL$6="","",IF(BL$3="Maior",iferror(VLOOKUP($R155,Capa!$A:$AJ,BL$5,0),0),IF(ISERROR(1/VLOOKUP($R155,Capa!$A:$AJ,BL$5,0)),0,1/VLOOKUP($R155,Capa!$A:$AJ,BL$5,0))))</f>
        <v/>
      </c>
      <c r="BM155" s="174" t="str">
        <f>IF(BM$6="","",IF(BM$3="Maior",iferror(VLOOKUP($R155,Capa!$A:$AJ,BM$5,0),0),IF(ISERROR(1/VLOOKUP($R155,Capa!$A:$AJ,BM$5,0)),0,1/VLOOKUP($R155,Capa!$A:$AJ,BM$5,0))))</f>
        <v/>
      </c>
      <c r="BN155" s="174" t="str">
        <f>IF(BN$6="","",IF(BN$3="Maior",iferror(VLOOKUP($R155,Capa!$A:$AJ,BN$5,0),0),IF(ISERROR(1/VLOOKUP($R155,Capa!$A:$AJ,BN$5,0)),0,1/VLOOKUP($R155,Capa!$A:$AJ,BN$5,0))))</f>
        <v/>
      </c>
      <c r="BO155" s="174" t="str">
        <f>IF(BO$6="","",IF(BO$3="Maior",iferror(VLOOKUP($R155,Capa!$A:$AJ,BO$5,0),0),IF(ISERROR(1/VLOOKUP($R155,Capa!$A:$AJ,BO$5,0)),0,1/VLOOKUP($R155,Capa!$A:$AJ,BO$5,0))))</f>
        <v/>
      </c>
      <c r="BP155" s="174" t="str">
        <f>IF(BP$6="","",IF(BP$3="Maior",iferror(VLOOKUP($R155,Capa!$A:$AJ,BP$5,0),0),IF(ISERROR(1/VLOOKUP($R155,Capa!$A:$AJ,BP$5,0)),0,1/VLOOKUP($R155,Capa!$A:$AJ,BP$5,0))))</f>
        <v/>
      </c>
      <c r="BQ155" s="174" t="str">
        <f>IF(BQ$6="","",IF(BQ$3="Maior",iferror(VLOOKUP($R155,Capa!$A:$AJ,BQ$5,0),0),IF(ISERROR(1/VLOOKUP($R155,Capa!$A:$AJ,BQ$5,0)),0,1/VLOOKUP($R155,Capa!$A:$AJ,BQ$5,0))))</f>
        <v/>
      </c>
      <c r="BR155" s="175"/>
      <c r="BS155" s="147"/>
    </row>
    <row r="156">
      <c r="G156" s="11"/>
      <c r="H156" s="8">
        <v>150.0</v>
      </c>
      <c r="I156" s="165" t="str">
        <f t="shared" si="6"/>
        <v>BPAN4</v>
      </c>
      <c r="J156" s="166" t="str">
        <f>(VLOOKUP($I156,Capa!$A:$B,2,0))</f>
        <v/>
      </c>
      <c r="K156" s="167" t="str">
        <f>VLOOKUP(left(I156,4),Setor!A:D,3,0)&amp;" | "&amp;VLOOKUP(left(I156,4),Setor!A:D,4,0)</f>
        <v>Financeiro | Intermediários Financeiros</v>
      </c>
      <c r="L156" s="168" t="str">
        <f>(VLOOKUP($I156,Capa!$A:$F,6,0))</f>
        <v/>
      </c>
      <c r="M156" s="168">
        <f t="shared" si="7"/>
        <v>38432884</v>
      </c>
      <c r="N156" s="11" t="str">
        <f>(VLOOKUP($I156,Capa!$A:$H,7,0))</f>
        <v/>
      </c>
      <c r="O156" s="169" t="str">
        <f>(VLOOKUP($I156,Capa!$A:$H,8,0))</f>
        <v/>
      </c>
      <c r="P156" s="11" t="str">
        <f>(VLOOKUP($I156,Capa!$A:$J,10,0))</f>
        <v/>
      </c>
      <c r="Q156" s="169" t="str">
        <f>(VLOOKUP($I156,Capa!$A:$K,11,0))</f>
        <v/>
      </c>
      <c r="R156" s="45" t="str">
        <f>'Dados StatusInvest'!A151</f>
        <v>CEPE6</v>
      </c>
      <c r="S156" s="170">
        <f t="shared" si="8"/>
        <v>1236.0236</v>
      </c>
      <c r="T156" s="171">
        <f>VLOOKUP(R156,'Dados StatusInvest'!A:Z,26,0)</f>
        <v>0</v>
      </c>
      <c r="U156" s="172">
        <f t="shared" ref="U156:AS156" si="158">IF(AT156="","", RANK(AT156,AT$7:AT$626,0)+RANK(AT156,AT$7:AT$626,0)/10000)</f>
        <v>135.0135</v>
      </c>
      <c r="V156" s="172">
        <f t="shared" si="158"/>
        <v>101.0101</v>
      </c>
      <c r="W156" s="172" t="str">
        <f t="shared" si="158"/>
        <v/>
      </c>
      <c r="X156" s="172" t="str">
        <f t="shared" si="158"/>
        <v/>
      </c>
      <c r="Y156" s="172" t="str">
        <f t="shared" si="158"/>
        <v/>
      </c>
      <c r="Z156" s="172" t="str">
        <f t="shared" si="158"/>
        <v/>
      </c>
      <c r="AA156" s="172" t="str">
        <f t="shared" si="158"/>
        <v/>
      </c>
      <c r="AB156" s="172" t="str">
        <f t="shared" si="158"/>
        <v/>
      </c>
      <c r="AC156" s="172" t="str">
        <f t="shared" si="158"/>
        <v/>
      </c>
      <c r="AD156" s="172" t="str">
        <f t="shared" si="158"/>
        <v/>
      </c>
      <c r="AE156" s="172" t="str">
        <f t="shared" si="158"/>
        <v/>
      </c>
      <c r="AF156" s="172" t="str">
        <f t="shared" si="158"/>
        <v/>
      </c>
      <c r="AG156" s="172" t="str">
        <f t="shared" si="158"/>
        <v/>
      </c>
      <c r="AH156" s="172" t="str">
        <f t="shared" si="158"/>
        <v/>
      </c>
      <c r="AI156" s="172" t="str">
        <f t="shared" si="158"/>
        <v/>
      </c>
      <c r="AJ156" s="172" t="str">
        <f t="shared" si="158"/>
        <v/>
      </c>
      <c r="AK156" s="172" t="str">
        <f t="shared" si="158"/>
        <v/>
      </c>
      <c r="AL156" s="172" t="str">
        <f t="shared" si="158"/>
        <v/>
      </c>
      <c r="AM156" s="172" t="str">
        <f t="shared" si="158"/>
        <v/>
      </c>
      <c r="AN156" s="172" t="str">
        <f t="shared" si="158"/>
        <v/>
      </c>
      <c r="AO156" s="172" t="str">
        <f t="shared" si="158"/>
        <v/>
      </c>
      <c r="AP156" s="172" t="str">
        <f t="shared" si="158"/>
        <v/>
      </c>
      <c r="AQ156" s="172" t="str">
        <f t="shared" si="158"/>
        <v/>
      </c>
      <c r="AR156" s="172" t="str">
        <f t="shared" si="158"/>
        <v/>
      </c>
      <c r="AS156" s="172" t="str">
        <f t="shared" si="158"/>
        <v/>
      </c>
      <c r="AT156" s="173">
        <f>IF(AT$6="","",IF(AT$3="Maior",iferror(VLOOKUP($R156,Capa!$A:$AJ,AT$5,0),0),IF(ISERROR(1/VLOOKUP($R156,Capa!$A:$AJ,AT$5,0)),0,1/VLOOKUP($R156,Capa!$A:$AJ,AT$5,0))))</f>
        <v>-0.0594530321</v>
      </c>
      <c r="AU156" s="174">
        <f>IF(AU$6="","",IF(AU$3="Maior",iferror(VLOOKUP($R156,Capa!$A:$AJ,AU$5,0),0),IF(ISERROR(1/VLOOKUP($R156,Capa!$A:$AJ,AU$5,0)),0,1/VLOOKUP($R156,Capa!$A:$AJ,AU$5,0))))</f>
        <v>27.12</v>
      </c>
      <c r="AV156" s="174" t="str">
        <f>IF(AV$6="","",IF(AV$3="Maior",iferror(VLOOKUP($R156,Capa!$A:$AJ,AV$5,0),0),IF(ISERROR(1/VLOOKUP($R156,Capa!$A:$AJ,AV$5,0)),0,1/VLOOKUP($R156,Capa!$A:$AJ,AV$5,0))))</f>
        <v/>
      </c>
      <c r="AW156" s="174" t="str">
        <f>IF(AW$6="","",IF(AW$3="Maior",iferror(VLOOKUP($R156,Capa!$A:$AJ,AW$5,0),0),IF(ISERROR(1/VLOOKUP($R156,Capa!$A:$AJ,AW$5,0)),0,1/VLOOKUP($R156,Capa!$A:$AJ,AW$5,0))))</f>
        <v/>
      </c>
      <c r="AX156" s="174" t="str">
        <f>IF(AX$6="","",IF(AX$3="Maior",iferror(VLOOKUP($R156,Capa!$A:$AJ,AX$5,0),0),IF(ISERROR(1/VLOOKUP($R156,Capa!$A:$AJ,AX$5,0)),0,1/VLOOKUP($R156,Capa!$A:$AJ,AX$5,0))))</f>
        <v/>
      </c>
      <c r="AY156" s="174" t="str">
        <f>IF(AY$6="","",IF(AY$3="Maior",iferror(VLOOKUP($R156,Capa!$A:$AJ,AY$5,0),0),IF(ISERROR(1/VLOOKUP($R156,Capa!$A:$AJ,AY$5,0)),0,1/VLOOKUP($R156,Capa!$A:$AJ,AY$5,0))))</f>
        <v/>
      </c>
      <c r="AZ156" s="174" t="str">
        <f>IF(AZ$6="","",IF(AZ$3="Maior",iferror(VLOOKUP($R156,Capa!$A:$AJ,AZ$5,0),0),IF(ISERROR(1/VLOOKUP($R156,Capa!$A:$AJ,AZ$5,0)),0,1/VLOOKUP($R156,Capa!$A:$AJ,AZ$5,0))))</f>
        <v/>
      </c>
      <c r="BA156" s="174" t="str">
        <f>IF(BA$6="","",IF(BA$3="Maior",iferror(VLOOKUP($R156,Capa!$A:$AJ,BA$5,0),0),IF(ISERROR(1/VLOOKUP($R156,Capa!$A:$AJ,BA$5,0)),0,1/VLOOKUP($R156,Capa!$A:$AJ,BA$5,0))))</f>
        <v/>
      </c>
      <c r="BB156" s="174" t="str">
        <f>IF(BB$6="","",IF(BB$3="Maior",iferror(VLOOKUP($R156,Capa!$A:$AJ,BB$5,0),0),IF(ISERROR(1/VLOOKUP($R156,Capa!$A:$AJ,BB$5,0)),0,1/VLOOKUP($R156,Capa!$A:$AJ,BB$5,0))))</f>
        <v/>
      </c>
      <c r="BC156" s="174" t="str">
        <f>IF(BC$6="","",IF(BC$3="Maior",iferror(VLOOKUP($R156,Capa!$A:$AJ,BC$5,0),0),IF(ISERROR(1/VLOOKUP($R156,Capa!$A:$AJ,BC$5,0)),0,1/VLOOKUP($R156,Capa!$A:$AJ,BC$5,0))))</f>
        <v/>
      </c>
      <c r="BD156" s="174" t="str">
        <f>IF(BD$6="","",IF(BD$3="Maior",iferror(VLOOKUP($R156,Capa!$A:$AJ,BD$5,0),0),IF(ISERROR(1/VLOOKUP($R156,Capa!$A:$AJ,BD$5,0)),0,1/VLOOKUP($R156,Capa!$A:$AJ,BD$5,0))))</f>
        <v/>
      </c>
      <c r="BE156" s="174" t="str">
        <f>IF(BE$6="","",IF(BE$3="Maior",iferror(VLOOKUP($R156,Capa!$A:$AJ,BE$5,0),0),IF(ISERROR(1/VLOOKUP($R156,Capa!$A:$AJ,BE$5,0)),0,1/VLOOKUP($R156,Capa!$A:$AJ,BE$5,0))))</f>
        <v/>
      </c>
      <c r="BF156" s="174" t="str">
        <f>IF(BF$6="","",IF(BF$3="Maior",iferror(VLOOKUP($R156,Capa!$A:$AJ,BF$5,0),0),IF(ISERROR(1/VLOOKUP($R156,Capa!$A:$AJ,BF$5,0)),0,1/VLOOKUP($R156,Capa!$A:$AJ,BF$5,0))))</f>
        <v/>
      </c>
      <c r="BG156" s="174" t="str">
        <f>IF(BG$6="","",IF(BG$3="Maior",iferror(VLOOKUP($R156,Capa!$A:$AJ,BG$5,0),0),IF(ISERROR(1/VLOOKUP($R156,Capa!$A:$AJ,BG$5,0)),0,1/VLOOKUP($R156,Capa!$A:$AJ,BG$5,0))))</f>
        <v/>
      </c>
      <c r="BH156" s="174" t="str">
        <f>IF(BH$6="","",IF(BH$3="Maior",iferror(VLOOKUP($R156,Capa!$A:$AJ,BH$5,0),0),IF(ISERROR(1/VLOOKUP($R156,Capa!$A:$AJ,BH$5,0)),0,1/VLOOKUP($R156,Capa!$A:$AJ,BH$5,0))))</f>
        <v/>
      </c>
      <c r="BI156" s="174" t="str">
        <f>IF(BI$6="","",IF(BI$3="Maior",iferror(VLOOKUP($R156,Capa!$A:$AJ,BI$5,0),0),IF(ISERROR(1/VLOOKUP($R156,Capa!$A:$AJ,BI$5,0)),0,1/VLOOKUP($R156,Capa!$A:$AJ,BI$5,0))))</f>
        <v/>
      </c>
      <c r="BJ156" s="174" t="str">
        <f>IF(BJ$6="","",IF(BJ$3="Maior",iferror(VLOOKUP($R156,Capa!$A:$AJ,BJ$5,0),0),IF(ISERROR(1/VLOOKUP($R156,Capa!$A:$AJ,BJ$5,0)),0,1/VLOOKUP($R156,Capa!$A:$AJ,BJ$5,0))))</f>
        <v/>
      </c>
      <c r="BK156" s="174" t="str">
        <f>IF(BK$6="","",IF(BK$3="Maior",iferror(VLOOKUP($R156,Capa!$A:$AJ,BK$5,0),0),IF(ISERROR(1/VLOOKUP($R156,Capa!$A:$AJ,BK$5,0)),0,1/VLOOKUP($R156,Capa!$A:$AJ,BK$5,0))))</f>
        <v/>
      </c>
      <c r="BL156" s="174" t="str">
        <f>IF(BL$6="","",IF(BL$3="Maior",iferror(VLOOKUP($R156,Capa!$A:$AJ,BL$5,0),0),IF(ISERROR(1/VLOOKUP($R156,Capa!$A:$AJ,BL$5,0)),0,1/VLOOKUP($R156,Capa!$A:$AJ,BL$5,0))))</f>
        <v/>
      </c>
      <c r="BM156" s="174" t="str">
        <f>IF(BM$6="","",IF(BM$3="Maior",iferror(VLOOKUP($R156,Capa!$A:$AJ,BM$5,0),0),IF(ISERROR(1/VLOOKUP($R156,Capa!$A:$AJ,BM$5,0)),0,1/VLOOKUP($R156,Capa!$A:$AJ,BM$5,0))))</f>
        <v/>
      </c>
      <c r="BN156" s="174" t="str">
        <f>IF(BN$6="","",IF(BN$3="Maior",iferror(VLOOKUP($R156,Capa!$A:$AJ,BN$5,0),0),IF(ISERROR(1/VLOOKUP($R156,Capa!$A:$AJ,BN$5,0)),0,1/VLOOKUP($R156,Capa!$A:$AJ,BN$5,0))))</f>
        <v/>
      </c>
      <c r="BO156" s="174" t="str">
        <f>IF(BO$6="","",IF(BO$3="Maior",iferror(VLOOKUP($R156,Capa!$A:$AJ,BO$5,0),0),IF(ISERROR(1/VLOOKUP($R156,Capa!$A:$AJ,BO$5,0)),0,1/VLOOKUP($R156,Capa!$A:$AJ,BO$5,0))))</f>
        <v/>
      </c>
      <c r="BP156" s="174" t="str">
        <f>IF(BP$6="","",IF(BP$3="Maior",iferror(VLOOKUP($R156,Capa!$A:$AJ,BP$5,0),0),IF(ISERROR(1/VLOOKUP($R156,Capa!$A:$AJ,BP$5,0)),0,1/VLOOKUP($R156,Capa!$A:$AJ,BP$5,0))))</f>
        <v/>
      </c>
      <c r="BQ156" s="174" t="str">
        <f>IF(BQ$6="","",IF(BQ$3="Maior",iferror(VLOOKUP($R156,Capa!$A:$AJ,BQ$5,0),0),IF(ISERROR(1/VLOOKUP($R156,Capa!$A:$AJ,BQ$5,0)),0,1/VLOOKUP($R156,Capa!$A:$AJ,BQ$5,0))))</f>
        <v/>
      </c>
      <c r="BR156" s="175"/>
      <c r="BS156" s="147"/>
    </row>
    <row r="157">
      <c r="G157" s="11"/>
      <c r="H157" s="8">
        <v>151.0</v>
      </c>
      <c r="I157" s="165" t="str">
        <f t="shared" si="6"/>
        <v>LWSA3</v>
      </c>
      <c r="J157" s="166" t="str">
        <f>(VLOOKUP($I157,Capa!$A:$B,2,0))</f>
        <v>Lwsa SA</v>
      </c>
      <c r="K157" s="167" t="str">
        <f>VLOOKUP(left(I157,4),Setor!A:D,3,0)&amp;" | "&amp;VLOOKUP(left(I157,4),Setor!A:D,4,0)</f>
        <v>Tecnologia da Informação | Programas e Serviços</v>
      </c>
      <c r="L157" s="168">
        <f>(VLOOKUP($I157,Capa!$A:$F,6,0))</f>
        <v>3.55</v>
      </c>
      <c r="M157" s="168">
        <f t="shared" si="7"/>
        <v>26126598</v>
      </c>
      <c r="N157" s="11" t="str">
        <f>IFERROR(__xludf.DUMMYFUNCTION("(VLOOKUP($I157,Capa!$A:$H,7,0))"),"")</f>
        <v/>
      </c>
      <c r="O157" s="169">
        <f>(VLOOKUP($I157,Capa!$A:$H,8,0))</f>
        <v>-0.2093541203</v>
      </c>
      <c r="P157" s="11" t="str">
        <f>IFERROR(__xludf.DUMMYFUNCTION("(VLOOKUP($I157,Capa!$A:$J,10,0))"),"")</f>
        <v/>
      </c>
      <c r="Q157" s="169">
        <f>(VLOOKUP($I157,Capa!$A:$K,11,0))</f>
        <v>0.1872909699</v>
      </c>
      <c r="R157" s="45" t="str">
        <f>'Dados StatusInvest'!A152</f>
        <v>CESP3</v>
      </c>
      <c r="S157" s="170">
        <f t="shared" si="8"/>
        <v>1688.0688</v>
      </c>
      <c r="T157" s="171">
        <f>VLOOKUP(R157,'Dados StatusInvest'!A:Z,26,0)</f>
        <v>0</v>
      </c>
      <c r="U157" s="172">
        <f t="shared" ref="U157:AS157" si="159">IF(AT157="","", RANK(AT157,AT$7:AT$626,0)+RANK(AT157,AT$7:AT$626,0)/10000)</f>
        <v>142.0142</v>
      </c>
      <c r="V157" s="172">
        <f t="shared" si="159"/>
        <v>546.0546</v>
      </c>
      <c r="W157" s="172" t="str">
        <f t="shared" si="159"/>
        <v/>
      </c>
      <c r="X157" s="172" t="str">
        <f t="shared" si="159"/>
        <v/>
      </c>
      <c r="Y157" s="172" t="str">
        <f t="shared" si="159"/>
        <v/>
      </c>
      <c r="Z157" s="172" t="str">
        <f t="shared" si="159"/>
        <v/>
      </c>
      <c r="AA157" s="172" t="str">
        <f t="shared" si="159"/>
        <v/>
      </c>
      <c r="AB157" s="172" t="str">
        <f t="shared" si="159"/>
        <v/>
      </c>
      <c r="AC157" s="172" t="str">
        <f t="shared" si="159"/>
        <v/>
      </c>
      <c r="AD157" s="172" t="str">
        <f t="shared" si="159"/>
        <v/>
      </c>
      <c r="AE157" s="172" t="str">
        <f t="shared" si="159"/>
        <v/>
      </c>
      <c r="AF157" s="172" t="str">
        <f t="shared" si="159"/>
        <v/>
      </c>
      <c r="AG157" s="172" t="str">
        <f t="shared" si="159"/>
        <v/>
      </c>
      <c r="AH157" s="172" t="str">
        <f t="shared" si="159"/>
        <v/>
      </c>
      <c r="AI157" s="172" t="str">
        <f t="shared" si="159"/>
        <v/>
      </c>
      <c r="AJ157" s="172" t="str">
        <f t="shared" si="159"/>
        <v/>
      </c>
      <c r="AK157" s="172" t="str">
        <f t="shared" si="159"/>
        <v/>
      </c>
      <c r="AL157" s="172" t="str">
        <f t="shared" si="159"/>
        <v/>
      </c>
      <c r="AM157" s="172" t="str">
        <f t="shared" si="159"/>
        <v/>
      </c>
      <c r="AN157" s="172" t="str">
        <f t="shared" si="159"/>
        <v/>
      </c>
      <c r="AO157" s="172" t="str">
        <f t="shared" si="159"/>
        <v/>
      </c>
      <c r="AP157" s="172" t="str">
        <f t="shared" si="159"/>
        <v/>
      </c>
      <c r="AQ157" s="172" t="str">
        <f t="shared" si="159"/>
        <v/>
      </c>
      <c r="AR157" s="172" t="str">
        <f t="shared" si="159"/>
        <v/>
      </c>
      <c r="AS157" s="172" t="str">
        <f t="shared" si="159"/>
        <v/>
      </c>
      <c r="AT157" s="173">
        <f>IF(AT$6="","",IF(AT$3="Maior",iferror(VLOOKUP($R157,Capa!$A:$AJ,AT$5,0),0),IF(ISERROR(1/VLOOKUP($R157,Capa!$A:$AJ,AT$5,0)),0,1/VLOOKUP($R157,Capa!$A:$AJ,AT$5,0))))</f>
        <v>-0.0777000777</v>
      </c>
      <c r="AU157" s="174">
        <f>IF(AU$6="","",IF(AU$3="Maior",iferror(VLOOKUP($R157,Capa!$A:$AJ,AU$5,0),0),IF(ISERROR(1/VLOOKUP($R157,Capa!$A:$AJ,AU$5,0)),0,1/VLOOKUP($R157,Capa!$A:$AJ,AU$5,0))))</f>
        <v>-3.81</v>
      </c>
      <c r="AV157" s="174" t="str">
        <f>IF(AV$6="","",IF(AV$3="Maior",iferror(VLOOKUP($R157,Capa!$A:$AJ,AV$5,0),0),IF(ISERROR(1/VLOOKUP($R157,Capa!$A:$AJ,AV$5,0)),0,1/VLOOKUP($R157,Capa!$A:$AJ,AV$5,0))))</f>
        <v/>
      </c>
      <c r="AW157" s="174" t="str">
        <f>IF(AW$6="","",IF(AW$3="Maior",iferror(VLOOKUP($R157,Capa!$A:$AJ,AW$5,0),0),IF(ISERROR(1/VLOOKUP($R157,Capa!$A:$AJ,AW$5,0)),0,1/VLOOKUP($R157,Capa!$A:$AJ,AW$5,0))))</f>
        <v/>
      </c>
      <c r="AX157" s="174" t="str">
        <f>IF(AX$6="","",IF(AX$3="Maior",iferror(VLOOKUP($R157,Capa!$A:$AJ,AX$5,0),0),IF(ISERROR(1/VLOOKUP($R157,Capa!$A:$AJ,AX$5,0)),0,1/VLOOKUP($R157,Capa!$A:$AJ,AX$5,0))))</f>
        <v/>
      </c>
      <c r="AY157" s="174" t="str">
        <f>IF(AY$6="","",IF(AY$3="Maior",iferror(VLOOKUP($R157,Capa!$A:$AJ,AY$5,0),0),IF(ISERROR(1/VLOOKUP($R157,Capa!$A:$AJ,AY$5,0)),0,1/VLOOKUP($R157,Capa!$A:$AJ,AY$5,0))))</f>
        <v/>
      </c>
      <c r="AZ157" s="174" t="str">
        <f>IF(AZ$6="","",IF(AZ$3="Maior",iferror(VLOOKUP($R157,Capa!$A:$AJ,AZ$5,0),0),IF(ISERROR(1/VLOOKUP($R157,Capa!$A:$AJ,AZ$5,0)),0,1/VLOOKUP($R157,Capa!$A:$AJ,AZ$5,0))))</f>
        <v/>
      </c>
      <c r="BA157" s="174" t="str">
        <f>IF(BA$6="","",IF(BA$3="Maior",iferror(VLOOKUP($R157,Capa!$A:$AJ,BA$5,0),0),IF(ISERROR(1/VLOOKUP($R157,Capa!$A:$AJ,BA$5,0)),0,1/VLOOKUP($R157,Capa!$A:$AJ,BA$5,0))))</f>
        <v/>
      </c>
      <c r="BB157" s="174" t="str">
        <f>IF(BB$6="","",IF(BB$3="Maior",iferror(VLOOKUP($R157,Capa!$A:$AJ,BB$5,0),0),IF(ISERROR(1/VLOOKUP($R157,Capa!$A:$AJ,BB$5,0)),0,1/VLOOKUP($R157,Capa!$A:$AJ,BB$5,0))))</f>
        <v/>
      </c>
      <c r="BC157" s="174" t="str">
        <f>IF(BC$6="","",IF(BC$3="Maior",iferror(VLOOKUP($R157,Capa!$A:$AJ,BC$5,0),0),IF(ISERROR(1/VLOOKUP($R157,Capa!$A:$AJ,BC$5,0)),0,1/VLOOKUP($R157,Capa!$A:$AJ,BC$5,0))))</f>
        <v/>
      </c>
      <c r="BD157" s="174" t="str">
        <f>IF(BD$6="","",IF(BD$3="Maior",iferror(VLOOKUP($R157,Capa!$A:$AJ,BD$5,0),0),IF(ISERROR(1/VLOOKUP($R157,Capa!$A:$AJ,BD$5,0)),0,1/VLOOKUP($R157,Capa!$A:$AJ,BD$5,0))))</f>
        <v/>
      </c>
      <c r="BE157" s="174" t="str">
        <f>IF(BE$6="","",IF(BE$3="Maior",iferror(VLOOKUP($R157,Capa!$A:$AJ,BE$5,0),0),IF(ISERROR(1/VLOOKUP($R157,Capa!$A:$AJ,BE$5,0)),0,1/VLOOKUP($R157,Capa!$A:$AJ,BE$5,0))))</f>
        <v/>
      </c>
      <c r="BF157" s="174" t="str">
        <f>IF(BF$6="","",IF(BF$3="Maior",iferror(VLOOKUP($R157,Capa!$A:$AJ,BF$5,0),0),IF(ISERROR(1/VLOOKUP($R157,Capa!$A:$AJ,BF$5,0)),0,1/VLOOKUP($R157,Capa!$A:$AJ,BF$5,0))))</f>
        <v/>
      </c>
      <c r="BG157" s="174" t="str">
        <f>IF(BG$6="","",IF(BG$3="Maior",iferror(VLOOKUP($R157,Capa!$A:$AJ,BG$5,0),0),IF(ISERROR(1/VLOOKUP($R157,Capa!$A:$AJ,BG$5,0)),0,1/VLOOKUP($R157,Capa!$A:$AJ,BG$5,0))))</f>
        <v/>
      </c>
      <c r="BH157" s="174" t="str">
        <f>IF(BH$6="","",IF(BH$3="Maior",iferror(VLOOKUP($R157,Capa!$A:$AJ,BH$5,0),0),IF(ISERROR(1/VLOOKUP($R157,Capa!$A:$AJ,BH$5,0)),0,1/VLOOKUP($R157,Capa!$A:$AJ,BH$5,0))))</f>
        <v/>
      </c>
      <c r="BI157" s="174" t="str">
        <f>IF(BI$6="","",IF(BI$3="Maior",iferror(VLOOKUP($R157,Capa!$A:$AJ,BI$5,0),0),IF(ISERROR(1/VLOOKUP($R157,Capa!$A:$AJ,BI$5,0)),0,1/VLOOKUP($R157,Capa!$A:$AJ,BI$5,0))))</f>
        <v/>
      </c>
      <c r="BJ157" s="174" t="str">
        <f>IF(BJ$6="","",IF(BJ$3="Maior",iferror(VLOOKUP($R157,Capa!$A:$AJ,BJ$5,0),0),IF(ISERROR(1/VLOOKUP($R157,Capa!$A:$AJ,BJ$5,0)),0,1/VLOOKUP($R157,Capa!$A:$AJ,BJ$5,0))))</f>
        <v/>
      </c>
      <c r="BK157" s="174" t="str">
        <f>IF(BK$6="","",IF(BK$3="Maior",iferror(VLOOKUP($R157,Capa!$A:$AJ,BK$5,0),0),IF(ISERROR(1/VLOOKUP($R157,Capa!$A:$AJ,BK$5,0)),0,1/VLOOKUP($R157,Capa!$A:$AJ,BK$5,0))))</f>
        <v/>
      </c>
      <c r="BL157" s="174" t="str">
        <f>IF(BL$6="","",IF(BL$3="Maior",iferror(VLOOKUP($R157,Capa!$A:$AJ,BL$5,0),0),IF(ISERROR(1/VLOOKUP($R157,Capa!$A:$AJ,BL$5,0)),0,1/VLOOKUP($R157,Capa!$A:$AJ,BL$5,0))))</f>
        <v/>
      </c>
      <c r="BM157" s="174" t="str">
        <f>IF(BM$6="","",IF(BM$3="Maior",iferror(VLOOKUP($R157,Capa!$A:$AJ,BM$5,0),0),IF(ISERROR(1/VLOOKUP($R157,Capa!$A:$AJ,BM$5,0)),0,1/VLOOKUP($R157,Capa!$A:$AJ,BM$5,0))))</f>
        <v/>
      </c>
      <c r="BN157" s="174" t="str">
        <f>IF(BN$6="","",IF(BN$3="Maior",iferror(VLOOKUP($R157,Capa!$A:$AJ,BN$5,0),0),IF(ISERROR(1/VLOOKUP($R157,Capa!$A:$AJ,BN$5,0)),0,1/VLOOKUP($R157,Capa!$A:$AJ,BN$5,0))))</f>
        <v/>
      </c>
      <c r="BO157" s="174" t="str">
        <f>IF(BO$6="","",IF(BO$3="Maior",iferror(VLOOKUP($R157,Capa!$A:$AJ,BO$5,0),0),IF(ISERROR(1/VLOOKUP($R157,Capa!$A:$AJ,BO$5,0)),0,1/VLOOKUP($R157,Capa!$A:$AJ,BO$5,0))))</f>
        <v/>
      </c>
      <c r="BP157" s="174" t="str">
        <f>IF(BP$6="","",IF(BP$3="Maior",iferror(VLOOKUP($R157,Capa!$A:$AJ,BP$5,0),0),IF(ISERROR(1/VLOOKUP($R157,Capa!$A:$AJ,BP$5,0)),0,1/VLOOKUP($R157,Capa!$A:$AJ,BP$5,0))))</f>
        <v/>
      </c>
      <c r="BQ157" s="174" t="str">
        <f>IF(BQ$6="","",IF(BQ$3="Maior",iferror(VLOOKUP($R157,Capa!$A:$AJ,BQ$5,0),0),IF(ISERROR(1/VLOOKUP($R157,Capa!$A:$AJ,BQ$5,0)),0,1/VLOOKUP($R157,Capa!$A:$AJ,BQ$5,0))))</f>
        <v/>
      </c>
      <c r="BR157" s="175"/>
      <c r="BS157" s="147"/>
    </row>
    <row r="158">
      <c r="G158" s="11"/>
      <c r="H158" s="8">
        <v>152.0</v>
      </c>
      <c r="I158" s="165" t="str">
        <f t="shared" si="6"/>
        <v>SANB11</v>
      </c>
      <c r="J158" s="166" t="str">
        <f>(VLOOKUP($I158,Capa!$A:$B,2,0))</f>
        <v>Banco Santander Brasil SA Unit</v>
      </c>
      <c r="K158" s="167" t="str">
        <f>VLOOKUP(left(I158,4),Setor!A:D,3,0)&amp;" | "&amp;VLOOKUP(left(I158,4),Setor!A:D,4,0)</f>
        <v>Financeiro | Intermediários Financeiros</v>
      </c>
      <c r="L158" s="168">
        <f>(VLOOKUP($I158,Capa!$A:$F,6,0))</f>
        <v>35.35</v>
      </c>
      <c r="M158" s="168">
        <f t="shared" si="7"/>
        <v>178000000</v>
      </c>
      <c r="N158" s="11" t="str">
        <f>IFERROR(__xludf.DUMMYFUNCTION("(VLOOKUP($I158,Capa!$A:$H,7,0))"),"")</f>
        <v/>
      </c>
      <c r="O158" s="169">
        <f>(VLOOKUP($I158,Capa!$A:$H,8,0))</f>
        <v>0.02256291582</v>
      </c>
      <c r="P158" s="11" t="str">
        <f>IFERROR(__xludf.DUMMYFUNCTION("(VLOOKUP($I158,Capa!$A:$J,10,0))"),"")</f>
        <v/>
      </c>
      <c r="Q158" s="169">
        <f>(VLOOKUP($I158,Capa!$A:$K,11,0))</f>
        <v>0.3425750095</v>
      </c>
      <c r="R158" s="45" t="str">
        <f>'Dados StatusInvest'!A153</f>
        <v>CESP5</v>
      </c>
      <c r="S158" s="170">
        <f t="shared" si="8"/>
        <v>1691.0691</v>
      </c>
      <c r="T158" s="171">
        <f>VLOOKUP(R158,'Dados StatusInvest'!A:Z,26,0)</f>
        <v>0</v>
      </c>
      <c r="U158" s="172">
        <f t="shared" ref="U158:AS158" si="160">IF(AT158="","", RANK(AT158,AT$7:AT$626,0)+RANK(AT158,AT$7:AT$626,0)/10000)</f>
        <v>145.0145</v>
      </c>
      <c r="V158" s="172">
        <f t="shared" si="160"/>
        <v>546.0546</v>
      </c>
      <c r="W158" s="172" t="str">
        <f t="shared" si="160"/>
        <v/>
      </c>
      <c r="X158" s="172" t="str">
        <f t="shared" si="160"/>
        <v/>
      </c>
      <c r="Y158" s="172" t="str">
        <f t="shared" si="160"/>
        <v/>
      </c>
      <c r="Z158" s="172" t="str">
        <f t="shared" si="160"/>
        <v/>
      </c>
      <c r="AA158" s="172" t="str">
        <f t="shared" si="160"/>
        <v/>
      </c>
      <c r="AB158" s="172" t="str">
        <f t="shared" si="160"/>
        <v/>
      </c>
      <c r="AC158" s="172" t="str">
        <f t="shared" si="160"/>
        <v/>
      </c>
      <c r="AD158" s="172" t="str">
        <f t="shared" si="160"/>
        <v/>
      </c>
      <c r="AE158" s="172" t="str">
        <f t="shared" si="160"/>
        <v/>
      </c>
      <c r="AF158" s="172" t="str">
        <f t="shared" si="160"/>
        <v/>
      </c>
      <c r="AG158" s="172" t="str">
        <f t="shared" si="160"/>
        <v/>
      </c>
      <c r="AH158" s="172" t="str">
        <f t="shared" si="160"/>
        <v/>
      </c>
      <c r="AI158" s="172" t="str">
        <f t="shared" si="160"/>
        <v/>
      </c>
      <c r="AJ158" s="172" t="str">
        <f t="shared" si="160"/>
        <v/>
      </c>
      <c r="AK158" s="172" t="str">
        <f t="shared" si="160"/>
        <v/>
      </c>
      <c r="AL158" s="172" t="str">
        <f t="shared" si="160"/>
        <v/>
      </c>
      <c r="AM158" s="172" t="str">
        <f t="shared" si="160"/>
        <v/>
      </c>
      <c r="AN158" s="172" t="str">
        <f t="shared" si="160"/>
        <v/>
      </c>
      <c r="AO158" s="172" t="str">
        <f t="shared" si="160"/>
        <v/>
      </c>
      <c r="AP158" s="172" t="str">
        <f t="shared" si="160"/>
        <v/>
      </c>
      <c r="AQ158" s="172" t="str">
        <f t="shared" si="160"/>
        <v/>
      </c>
      <c r="AR158" s="172" t="str">
        <f t="shared" si="160"/>
        <v/>
      </c>
      <c r="AS158" s="172" t="str">
        <f t="shared" si="160"/>
        <v/>
      </c>
      <c r="AT158" s="173">
        <f>IF(AT$6="","",IF(AT$3="Maior",iferror(VLOOKUP($R158,Capa!$A:$AJ,AT$5,0),0),IF(ISERROR(1/VLOOKUP($R158,Capa!$A:$AJ,AT$5,0)),0,1/VLOOKUP($R158,Capa!$A:$AJ,AT$5,0))))</f>
        <v>-0.07936507937</v>
      </c>
      <c r="AU158" s="174">
        <f>IF(AU$6="","",IF(AU$3="Maior",iferror(VLOOKUP($R158,Capa!$A:$AJ,AU$5,0),0),IF(ISERROR(1/VLOOKUP($R158,Capa!$A:$AJ,AU$5,0)),0,1/VLOOKUP($R158,Capa!$A:$AJ,AU$5,0))))</f>
        <v>-3.81</v>
      </c>
      <c r="AV158" s="174" t="str">
        <f>IF(AV$6="","",IF(AV$3="Maior",iferror(VLOOKUP($R158,Capa!$A:$AJ,AV$5,0),0),IF(ISERROR(1/VLOOKUP($R158,Capa!$A:$AJ,AV$5,0)),0,1/VLOOKUP($R158,Capa!$A:$AJ,AV$5,0))))</f>
        <v/>
      </c>
      <c r="AW158" s="174" t="str">
        <f>IF(AW$6="","",IF(AW$3="Maior",iferror(VLOOKUP($R158,Capa!$A:$AJ,AW$5,0),0),IF(ISERROR(1/VLOOKUP($R158,Capa!$A:$AJ,AW$5,0)),0,1/VLOOKUP($R158,Capa!$A:$AJ,AW$5,0))))</f>
        <v/>
      </c>
      <c r="AX158" s="174" t="str">
        <f>IF(AX$6="","",IF(AX$3="Maior",iferror(VLOOKUP($R158,Capa!$A:$AJ,AX$5,0),0),IF(ISERROR(1/VLOOKUP($R158,Capa!$A:$AJ,AX$5,0)),0,1/VLOOKUP($R158,Capa!$A:$AJ,AX$5,0))))</f>
        <v/>
      </c>
      <c r="AY158" s="174" t="str">
        <f>IF(AY$6="","",IF(AY$3="Maior",iferror(VLOOKUP($R158,Capa!$A:$AJ,AY$5,0),0),IF(ISERROR(1/VLOOKUP($R158,Capa!$A:$AJ,AY$5,0)),0,1/VLOOKUP($R158,Capa!$A:$AJ,AY$5,0))))</f>
        <v/>
      </c>
      <c r="AZ158" s="174" t="str">
        <f>IF(AZ$6="","",IF(AZ$3="Maior",iferror(VLOOKUP($R158,Capa!$A:$AJ,AZ$5,0),0),IF(ISERROR(1/VLOOKUP($R158,Capa!$A:$AJ,AZ$5,0)),0,1/VLOOKUP($R158,Capa!$A:$AJ,AZ$5,0))))</f>
        <v/>
      </c>
      <c r="BA158" s="174" t="str">
        <f>IF(BA$6="","",IF(BA$3="Maior",iferror(VLOOKUP($R158,Capa!$A:$AJ,BA$5,0),0),IF(ISERROR(1/VLOOKUP($R158,Capa!$A:$AJ,BA$5,0)),0,1/VLOOKUP($R158,Capa!$A:$AJ,BA$5,0))))</f>
        <v/>
      </c>
      <c r="BB158" s="174" t="str">
        <f>IF(BB$6="","",IF(BB$3="Maior",iferror(VLOOKUP($R158,Capa!$A:$AJ,BB$5,0),0),IF(ISERROR(1/VLOOKUP($R158,Capa!$A:$AJ,BB$5,0)),0,1/VLOOKUP($R158,Capa!$A:$AJ,BB$5,0))))</f>
        <v/>
      </c>
      <c r="BC158" s="174" t="str">
        <f>IF(BC$6="","",IF(BC$3="Maior",iferror(VLOOKUP($R158,Capa!$A:$AJ,BC$5,0),0),IF(ISERROR(1/VLOOKUP($R158,Capa!$A:$AJ,BC$5,0)),0,1/VLOOKUP($R158,Capa!$A:$AJ,BC$5,0))))</f>
        <v/>
      </c>
      <c r="BD158" s="174" t="str">
        <f>IF(BD$6="","",IF(BD$3="Maior",iferror(VLOOKUP($R158,Capa!$A:$AJ,BD$5,0),0),IF(ISERROR(1/VLOOKUP($R158,Capa!$A:$AJ,BD$5,0)),0,1/VLOOKUP($R158,Capa!$A:$AJ,BD$5,0))))</f>
        <v/>
      </c>
      <c r="BE158" s="174" t="str">
        <f>IF(BE$6="","",IF(BE$3="Maior",iferror(VLOOKUP($R158,Capa!$A:$AJ,BE$5,0),0),IF(ISERROR(1/VLOOKUP($R158,Capa!$A:$AJ,BE$5,0)),0,1/VLOOKUP($R158,Capa!$A:$AJ,BE$5,0))))</f>
        <v/>
      </c>
      <c r="BF158" s="174" t="str">
        <f>IF(BF$6="","",IF(BF$3="Maior",iferror(VLOOKUP($R158,Capa!$A:$AJ,BF$5,0),0),IF(ISERROR(1/VLOOKUP($R158,Capa!$A:$AJ,BF$5,0)),0,1/VLOOKUP($R158,Capa!$A:$AJ,BF$5,0))))</f>
        <v/>
      </c>
      <c r="BG158" s="174" t="str">
        <f>IF(BG$6="","",IF(BG$3="Maior",iferror(VLOOKUP($R158,Capa!$A:$AJ,BG$5,0),0),IF(ISERROR(1/VLOOKUP($R158,Capa!$A:$AJ,BG$5,0)),0,1/VLOOKUP($R158,Capa!$A:$AJ,BG$5,0))))</f>
        <v/>
      </c>
      <c r="BH158" s="174" t="str">
        <f>IF(BH$6="","",IF(BH$3="Maior",iferror(VLOOKUP($R158,Capa!$A:$AJ,BH$5,0),0),IF(ISERROR(1/VLOOKUP($R158,Capa!$A:$AJ,BH$5,0)),0,1/VLOOKUP($R158,Capa!$A:$AJ,BH$5,0))))</f>
        <v/>
      </c>
      <c r="BI158" s="174" t="str">
        <f>IF(BI$6="","",IF(BI$3="Maior",iferror(VLOOKUP($R158,Capa!$A:$AJ,BI$5,0),0),IF(ISERROR(1/VLOOKUP($R158,Capa!$A:$AJ,BI$5,0)),0,1/VLOOKUP($R158,Capa!$A:$AJ,BI$5,0))))</f>
        <v/>
      </c>
      <c r="BJ158" s="174" t="str">
        <f>IF(BJ$6="","",IF(BJ$3="Maior",iferror(VLOOKUP($R158,Capa!$A:$AJ,BJ$5,0),0),IF(ISERROR(1/VLOOKUP($R158,Capa!$A:$AJ,BJ$5,0)),0,1/VLOOKUP($R158,Capa!$A:$AJ,BJ$5,0))))</f>
        <v/>
      </c>
      <c r="BK158" s="174" t="str">
        <f>IF(BK$6="","",IF(BK$3="Maior",iferror(VLOOKUP($R158,Capa!$A:$AJ,BK$5,0),0),IF(ISERROR(1/VLOOKUP($R158,Capa!$A:$AJ,BK$5,0)),0,1/VLOOKUP($R158,Capa!$A:$AJ,BK$5,0))))</f>
        <v/>
      </c>
      <c r="BL158" s="174" t="str">
        <f>IF(BL$6="","",IF(BL$3="Maior",iferror(VLOOKUP($R158,Capa!$A:$AJ,BL$5,0),0),IF(ISERROR(1/VLOOKUP($R158,Capa!$A:$AJ,BL$5,0)),0,1/VLOOKUP($R158,Capa!$A:$AJ,BL$5,0))))</f>
        <v/>
      </c>
      <c r="BM158" s="174" t="str">
        <f>IF(BM$6="","",IF(BM$3="Maior",iferror(VLOOKUP($R158,Capa!$A:$AJ,BM$5,0),0),IF(ISERROR(1/VLOOKUP($R158,Capa!$A:$AJ,BM$5,0)),0,1/VLOOKUP($R158,Capa!$A:$AJ,BM$5,0))))</f>
        <v/>
      </c>
      <c r="BN158" s="174" t="str">
        <f>IF(BN$6="","",IF(BN$3="Maior",iferror(VLOOKUP($R158,Capa!$A:$AJ,BN$5,0),0),IF(ISERROR(1/VLOOKUP($R158,Capa!$A:$AJ,BN$5,0)),0,1/VLOOKUP($R158,Capa!$A:$AJ,BN$5,0))))</f>
        <v/>
      </c>
      <c r="BO158" s="174" t="str">
        <f>IF(BO$6="","",IF(BO$3="Maior",iferror(VLOOKUP($R158,Capa!$A:$AJ,BO$5,0),0),IF(ISERROR(1/VLOOKUP($R158,Capa!$A:$AJ,BO$5,0)),0,1/VLOOKUP($R158,Capa!$A:$AJ,BO$5,0))))</f>
        <v/>
      </c>
      <c r="BP158" s="174" t="str">
        <f>IF(BP$6="","",IF(BP$3="Maior",iferror(VLOOKUP($R158,Capa!$A:$AJ,BP$5,0),0),IF(ISERROR(1/VLOOKUP($R158,Capa!$A:$AJ,BP$5,0)),0,1/VLOOKUP($R158,Capa!$A:$AJ,BP$5,0))))</f>
        <v/>
      </c>
      <c r="BQ158" s="174" t="str">
        <f>IF(BQ$6="","",IF(BQ$3="Maior",iferror(VLOOKUP($R158,Capa!$A:$AJ,BQ$5,0),0),IF(ISERROR(1/VLOOKUP($R158,Capa!$A:$AJ,BQ$5,0)),0,1/VLOOKUP($R158,Capa!$A:$AJ,BQ$5,0))))</f>
        <v/>
      </c>
      <c r="BR158" s="175"/>
      <c r="BS158" s="147"/>
    </row>
    <row r="159">
      <c r="G159" s="11"/>
      <c r="H159" s="8">
        <v>153.0</v>
      </c>
      <c r="I159" s="165" t="str">
        <f t="shared" si="6"/>
        <v>SANB11</v>
      </c>
      <c r="J159" s="166" t="str">
        <f>(VLOOKUP($I159,Capa!$A:$B,2,0))</f>
        <v>Banco Santander Brasil SA Unit</v>
      </c>
      <c r="K159" s="167" t="str">
        <f>VLOOKUP(left(I159,4),Setor!A:D,3,0)&amp;" | "&amp;VLOOKUP(left(I159,4),Setor!A:D,4,0)</f>
        <v>Financeiro | Intermediários Financeiros</v>
      </c>
      <c r="L159" s="168">
        <f>(VLOOKUP($I159,Capa!$A:$F,6,0))</f>
        <v>35.35</v>
      </c>
      <c r="M159" s="168">
        <f t="shared" si="7"/>
        <v>178000000</v>
      </c>
      <c r="N159" s="11" t="str">
        <f>IFERROR(__xludf.DUMMYFUNCTION("(VLOOKUP($I159,Capa!$A:$H,7,0))"),"")</f>
        <v/>
      </c>
      <c r="O159" s="169">
        <f>(VLOOKUP($I159,Capa!$A:$H,8,0))</f>
        <v>0.02256291582</v>
      </c>
      <c r="P159" s="11" t="str">
        <f>IFERROR(__xludf.DUMMYFUNCTION("(VLOOKUP($I159,Capa!$A:$J,10,0))"),"")</f>
        <v/>
      </c>
      <c r="Q159" s="169">
        <f>(VLOOKUP($I159,Capa!$A:$K,11,0))</f>
        <v>0.3425750095</v>
      </c>
      <c r="R159" s="45" t="str">
        <f>'Dados StatusInvest'!A154</f>
        <v>CESP6</v>
      </c>
      <c r="S159" s="170">
        <f t="shared" si="8"/>
        <v>1690.069</v>
      </c>
      <c r="T159" s="171">
        <f>VLOOKUP(R159,'Dados StatusInvest'!A:Z,26,0)</f>
        <v>0</v>
      </c>
      <c r="U159" s="172">
        <f t="shared" ref="U159:AS159" si="161">IF(AT159="","", RANK(AT159,AT$7:AT$626,0)+RANK(AT159,AT$7:AT$626,0)/10000)</f>
        <v>144.0144</v>
      </c>
      <c r="V159" s="172">
        <f t="shared" si="161"/>
        <v>546.0546</v>
      </c>
      <c r="W159" s="172" t="str">
        <f t="shared" si="161"/>
        <v/>
      </c>
      <c r="X159" s="172" t="str">
        <f t="shared" si="161"/>
        <v/>
      </c>
      <c r="Y159" s="172" t="str">
        <f t="shared" si="161"/>
        <v/>
      </c>
      <c r="Z159" s="172" t="str">
        <f t="shared" si="161"/>
        <v/>
      </c>
      <c r="AA159" s="172" t="str">
        <f t="shared" si="161"/>
        <v/>
      </c>
      <c r="AB159" s="172" t="str">
        <f t="shared" si="161"/>
        <v/>
      </c>
      <c r="AC159" s="172" t="str">
        <f t="shared" si="161"/>
        <v/>
      </c>
      <c r="AD159" s="172" t="str">
        <f t="shared" si="161"/>
        <v/>
      </c>
      <c r="AE159" s="172" t="str">
        <f t="shared" si="161"/>
        <v/>
      </c>
      <c r="AF159" s="172" t="str">
        <f t="shared" si="161"/>
        <v/>
      </c>
      <c r="AG159" s="172" t="str">
        <f t="shared" si="161"/>
        <v/>
      </c>
      <c r="AH159" s="172" t="str">
        <f t="shared" si="161"/>
        <v/>
      </c>
      <c r="AI159" s="172" t="str">
        <f t="shared" si="161"/>
        <v/>
      </c>
      <c r="AJ159" s="172" t="str">
        <f t="shared" si="161"/>
        <v/>
      </c>
      <c r="AK159" s="172" t="str">
        <f t="shared" si="161"/>
        <v/>
      </c>
      <c r="AL159" s="172" t="str">
        <f t="shared" si="161"/>
        <v/>
      </c>
      <c r="AM159" s="172" t="str">
        <f t="shared" si="161"/>
        <v/>
      </c>
      <c r="AN159" s="172" t="str">
        <f t="shared" si="161"/>
        <v/>
      </c>
      <c r="AO159" s="172" t="str">
        <f t="shared" si="161"/>
        <v/>
      </c>
      <c r="AP159" s="172" t="str">
        <f t="shared" si="161"/>
        <v/>
      </c>
      <c r="AQ159" s="172" t="str">
        <f t="shared" si="161"/>
        <v/>
      </c>
      <c r="AR159" s="172" t="str">
        <f t="shared" si="161"/>
        <v/>
      </c>
      <c r="AS159" s="172" t="str">
        <f t="shared" si="161"/>
        <v/>
      </c>
      <c r="AT159" s="173">
        <f>IF(AT$6="","",IF(AT$3="Maior",iferror(VLOOKUP($R159,Capa!$A:$AJ,AT$5,0),0),IF(ISERROR(1/VLOOKUP($R159,Capa!$A:$AJ,AT$5,0)),0,1/VLOOKUP($R159,Capa!$A:$AJ,AT$5,0))))</f>
        <v>-0.0786163522</v>
      </c>
      <c r="AU159" s="174">
        <f>IF(AU$6="","",IF(AU$3="Maior",iferror(VLOOKUP($R159,Capa!$A:$AJ,AU$5,0),0),IF(ISERROR(1/VLOOKUP($R159,Capa!$A:$AJ,AU$5,0)),0,1/VLOOKUP($R159,Capa!$A:$AJ,AU$5,0))))</f>
        <v>-3.81</v>
      </c>
      <c r="AV159" s="174" t="str">
        <f>IF(AV$6="","",IF(AV$3="Maior",iferror(VLOOKUP($R159,Capa!$A:$AJ,AV$5,0),0),IF(ISERROR(1/VLOOKUP($R159,Capa!$A:$AJ,AV$5,0)),0,1/VLOOKUP($R159,Capa!$A:$AJ,AV$5,0))))</f>
        <v/>
      </c>
      <c r="AW159" s="174" t="str">
        <f>IF(AW$6="","",IF(AW$3="Maior",iferror(VLOOKUP($R159,Capa!$A:$AJ,AW$5,0),0),IF(ISERROR(1/VLOOKUP($R159,Capa!$A:$AJ,AW$5,0)),0,1/VLOOKUP($R159,Capa!$A:$AJ,AW$5,0))))</f>
        <v/>
      </c>
      <c r="AX159" s="174" t="str">
        <f>IF(AX$6="","",IF(AX$3="Maior",iferror(VLOOKUP($R159,Capa!$A:$AJ,AX$5,0),0),IF(ISERROR(1/VLOOKUP($R159,Capa!$A:$AJ,AX$5,0)),0,1/VLOOKUP($R159,Capa!$A:$AJ,AX$5,0))))</f>
        <v/>
      </c>
      <c r="AY159" s="174" t="str">
        <f>IF(AY$6="","",IF(AY$3="Maior",iferror(VLOOKUP($R159,Capa!$A:$AJ,AY$5,0),0),IF(ISERROR(1/VLOOKUP($R159,Capa!$A:$AJ,AY$5,0)),0,1/VLOOKUP($R159,Capa!$A:$AJ,AY$5,0))))</f>
        <v/>
      </c>
      <c r="AZ159" s="174" t="str">
        <f>IF(AZ$6="","",IF(AZ$3="Maior",iferror(VLOOKUP($R159,Capa!$A:$AJ,AZ$5,0),0),IF(ISERROR(1/VLOOKUP($R159,Capa!$A:$AJ,AZ$5,0)),0,1/VLOOKUP($R159,Capa!$A:$AJ,AZ$5,0))))</f>
        <v/>
      </c>
      <c r="BA159" s="174" t="str">
        <f>IF(BA$6="","",IF(BA$3="Maior",iferror(VLOOKUP($R159,Capa!$A:$AJ,BA$5,0),0),IF(ISERROR(1/VLOOKUP($R159,Capa!$A:$AJ,BA$5,0)),0,1/VLOOKUP($R159,Capa!$A:$AJ,BA$5,0))))</f>
        <v/>
      </c>
      <c r="BB159" s="174" t="str">
        <f>IF(BB$6="","",IF(BB$3="Maior",iferror(VLOOKUP($R159,Capa!$A:$AJ,BB$5,0),0),IF(ISERROR(1/VLOOKUP($R159,Capa!$A:$AJ,BB$5,0)),0,1/VLOOKUP($R159,Capa!$A:$AJ,BB$5,0))))</f>
        <v/>
      </c>
      <c r="BC159" s="174" t="str">
        <f>IF(BC$6="","",IF(BC$3="Maior",iferror(VLOOKUP($R159,Capa!$A:$AJ,BC$5,0),0),IF(ISERROR(1/VLOOKUP($R159,Capa!$A:$AJ,BC$5,0)),0,1/VLOOKUP($R159,Capa!$A:$AJ,BC$5,0))))</f>
        <v/>
      </c>
      <c r="BD159" s="174" t="str">
        <f>IF(BD$6="","",IF(BD$3="Maior",iferror(VLOOKUP($R159,Capa!$A:$AJ,BD$5,0),0),IF(ISERROR(1/VLOOKUP($R159,Capa!$A:$AJ,BD$5,0)),0,1/VLOOKUP($R159,Capa!$A:$AJ,BD$5,0))))</f>
        <v/>
      </c>
      <c r="BE159" s="174" t="str">
        <f>IF(BE$6="","",IF(BE$3="Maior",iferror(VLOOKUP($R159,Capa!$A:$AJ,BE$5,0),0),IF(ISERROR(1/VLOOKUP($R159,Capa!$A:$AJ,BE$5,0)),0,1/VLOOKUP($R159,Capa!$A:$AJ,BE$5,0))))</f>
        <v/>
      </c>
      <c r="BF159" s="174" t="str">
        <f>IF(BF$6="","",IF(BF$3="Maior",iferror(VLOOKUP($R159,Capa!$A:$AJ,BF$5,0),0),IF(ISERROR(1/VLOOKUP($R159,Capa!$A:$AJ,BF$5,0)),0,1/VLOOKUP($R159,Capa!$A:$AJ,BF$5,0))))</f>
        <v/>
      </c>
      <c r="BG159" s="174" t="str">
        <f>IF(BG$6="","",IF(BG$3="Maior",iferror(VLOOKUP($R159,Capa!$A:$AJ,BG$5,0),0),IF(ISERROR(1/VLOOKUP($R159,Capa!$A:$AJ,BG$5,0)),0,1/VLOOKUP($R159,Capa!$A:$AJ,BG$5,0))))</f>
        <v/>
      </c>
      <c r="BH159" s="174" t="str">
        <f>IF(BH$6="","",IF(BH$3="Maior",iferror(VLOOKUP($R159,Capa!$A:$AJ,BH$5,0),0),IF(ISERROR(1/VLOOKUP($R159,Capa!$A:$AJ,BH$5,0)),0,1/VLOOKUP($R159,Capa!$A:$AJ,BH$5,0))))</f>
        <v/>
      </c>
      <c r="BI159" s="174" t="str">
        <f>IF(BI$6="","",IF(BI$3="Maior",iferror(VLOOKUP($R159,Capa!$A:$AJ,BI$5,0),0),IF(ISERROR(1/VLOOKUP($R159,Capa!$A:$AJ,BI$5,0)),0,1/VLOOKUP($R159,Capa!$A:$AJ,BI$5,0))))</f>
        <v/>
      </c>
      <c r="BJ159" s="174" t="str">
        <f>IF(BJ$6="","",IF(BJ$3="Maior",iferror(VLOOKUP($R159,Capa!$A:$AJ,BJ$5,0),0),IF(ISERROR(1/VLOOKUP($R159,Capa!$A:$AJ,BJ$5,0)),0,1/VLOOKUP($R159,Capa!$A:$AJ,BJ$5,0))))</f>
        <v/>
      </c>
      <c r="BK159" s="174" t="str">
        <f>IF(BK$6="","",IF(BK$3="Maior",iferror(VLOOKUP($R159,Capa!$A:$AJ,BK$5,0),0),IF(ISERROR(1/VLOOKUP($R159,Capa!$A:$AJ,BK$5,0)),0,1/VLOOKUP($R159,Capa!$A:$AJ,BK$5,0))))</f>
        <v/>
      </c>
      <c r="BL159" s="174" t="str">
        <f>IF(BL$6="","",IF(BL$3="Maior",iferror(VLOOKUP($R159,Capa!$A:$AJ,BL$5,0),0),IF(ISERROR(1/VLOOKUP($R159,Capa!$A:$AJ,BL$5,0)),0,1/VLOOKUP($R159,Capa!$A:$AJ,BL$5,0))))</f>
        <v/>
      </c>
      <c r="BM159" s="174" t="str">
        <f>IF(BM$6="","",IF(BM$3="Maior",iferror(VLOOKUP($R159,Capa!$A:$AJ,BM$5,0),0),IF(ISERROR(1/VLOOKUP($R159,Capa!$A:$AJ,BM$5,0)),0,1/VLOOKUP($R159,Capa!$A:$AJ,BM$5,0))))</f>
        <v/>
      </c>
      <c r="BN159" s="174" t="str">
        <f>IF(BN$6="","",IF(BN$3="Maior",iferror(VLOOKUP($R159,Capa!$A:$AJ,BN$5,0),0),IF(ISERROR(1/VLOOKUP($R159,Capa!$A:$AJ,BN$5,0)),0,1/VLOOKUP($R159,Capa!$A:$AJ,BN$5,0))))</f>
        <v/>
      </c>
      <c r="BO159" s="174" t="str">
        <f>IF(BO$6="","",IF(BO$3="Maior",iferror(VLOOKUP($R159,Capa!$A:$AJ,BO$5,0),0),IF(ISERROR(1/VLOOKUP($R159,Capa!$A:$AJ,BO$5,0)),0,1/VLOOKUP($R159,Capa!$A:$AJ,BO$5,0))))</f>
        <v/>
      </c>
      <c r="BP159" s="174" t="str">
        <f>IF(BP$6="","",IF(BP$3="Maior",iferror(VLOOKUP($R159,Capa!$A:$AJ,BP$5,0),0),IF(ISERROR(1/VLOOKUP($R159,Capa!$A:$AJ,BP$5,0)),0,1/VLOOKUP($R159,Capa!$A:$AJ,BP$5,0))))</f>
        <v/>
      </c>
      <c r="BQ159" s="174" t="str">
        <f>IF(BQ$6="","",IF(BQ$3="Maior",iferror(VLOOKUP($R159,Capa!$A:$AJ,BQ$5,0),0),IF(ISERROR(1/VLOOKUP($R159,Capa!$A:$AJ,BQ$5,0)),0,1/VLOOKUP($R159,Capa!$A:$AJ,BQ$5,0))))</f>
        <v/>
      </c>
      <c r="BR159" s="175"/>
      <c r="BS159" s="147"/>
    </row>
    <row r="160">
      <c r="G160" s="11"/>
      <c r="H160" s="8">
        <v>154.0</v>
      </c>
      <c r="I160" s="165" t="str">
        <f t="shared" si="6"/>
        <v>SANB11</v>
      </c>
      <c r="J160" s="166" t="str">
        <f>(VLOOKUP($I160,Capa!$A:$B,2,0))</f>
        <v>Banco Santander Brasil SA Unit</v>
      </c>
      <c r="K160" s="167" t="str">
        <f>VLOOKUP(left(I160,4),Setor!A:D,3,0)&amp;" | "&amp;VLOOKUP(left(I160,4),Setor!A:D,4,0)</f>
        <v>Financeiro | Intermediários Financeiros</v>
      </c>
      <c r="L160" s="168">
        <f>(VLOOKUP($I160,Capa!$A:$F,6,0))</f>
        <v>35.35</v>
      </c>
      <c r="M160" s="168">
        <f t="shared" si="7"/>
        <v>178000000</v>
      </c>
      <c r="N160" s="11" t="str">
        <f>IFERROR(__xludf.DUMMYFUNCTION("(VLOOKUP($I160,Capa!$A:$H,7,0))"),"")</f>
        <v/>
      </c>
      <c r="O160" s="169">
        <f>(VLOOKUP($I160,Capa!$A:$H,8,0))</f>
        <v>0.02256291582</v>
      </c>
      <c r="P160" s="11" t="str">
        <f>IFERROR(__xludf.DUMMYFUNCTION("(VLOOKUP($I160,Capa!$A:$J,10,0))"),"")</f>
        <v/>
      </c>
      <c r="Q160" s="169">
        <f>(VLOOKUP($I160,Capa!$A:$K,11,0))</f>
        <v>0.3425750095</v>
      </c>
      <c r="R160" s="45" t="str">
        <f>'Dados StatusInvest'!A155</f>
        <v>CGAS3</v>
      </c>
      <c r="S160" s="170">
        <f t="shared" si="8"/>
        <v>1544.0544</v>
      </c>
      <c r="T160" s="171">
        <f>VLOOKUP(R160,'Dados StatusInvest'!A:Z,26,0)</f>
        <v>21969.2</v>
      </c>
      <c r="U160" s="172">
        <f t="shared" ref="U160:AS160" si="162">IF(AT160="","", RANK(AT160,AT$7:AT$626,0)+RANK(AT160,AT$7:AT$626,0)/10000)</f>
        <v>294.0294</v>
      </c>
      <c r="V160" s="172">
        <f t="shared" si="162"/>
        <v>250.025</v>
      </c>
      <c r="W160" s="172" t="str">
        <f t="shared" si="162"/>
        <v/>
      </c>
      <c r="X160" s="172" t="str">
        <f t="shared" si="162"/>
        <v/>
      </c>
      <c r="Y160" s="172" t="str">
        <f t="shared" si="162"/>
        <v/>
      </c>
      <c r="Z160" s="172" t="str">
        <f t="shared" si="162"/>
        <v/>
      </c>
      <c r="AA160" s="172" t="str">
        <f t="shared" si="162"/>
        <v/>
      </c>
      <c r="AB160" s="172" t="str">
        <f t="shared" si="162"/>
        <v/>
      </c>
      <c r="AC160" s="172" t="str">
        <f t="shared" si="162"/>
        <v/>
      </c>
      <c r="AD160" s="172" t="str">
        <f t="shared" si="162"/>
        <v/>
      </c>
      <c r="AE160" s="172" t="str">
        <f t="shared" si="162"/>
        <v/>
      </c>
      <c r="AF160" s="172" t="str">
        <f t="shared" si="162"/>
        <v/>
      </c>
      <c r="AG160" s="172" t="str">
        <f t="shared" si="162"/>
        <v/>
      </c>
      <c r="AH160" s="172" t="str">
        <f t="shared" si="162"/>
        <v/>
      </c>
      <c r="AI160" s="172" t="str">
        <f t="shared" si="162"/>
        <v/>
      </c>
      <c r="AJ160" s="172" t="str">
        <f t="shared" si="162"/>
        <v/>
      </c>
      <c r="AK160" s="172" t="str">
        <f t="shared" si="162"/>
        <v/>
      </c>
      <c r="AL160" s="172" t="str">
        <f t="shared" si="162"/>
        <v/>
      </c>
      <c r="AM160" s="172" t="str">
        <f t="shared" si="162"/>
        <v/>
      </c>
      <c r="AN160" s="172" t="str">
        <f t="shared" si="162"/>
        <v/>
      </c>
      <c r="AO160" s="172" t="str">
        <f t="shared" si="162"/>
        <v/>
      </c>
      <c r="AP160" s="172" t="str">
        <f t="shared" si="162"/>
        <v/>
      </c>
      <c r="AQ160" s="172" t="str">
        <f t="shared" si="162"/>
        <v/>
      </c>
      <c r="AR160" s="172" t="str">
        <f t="shared" si="162"/>
        <v/>
      </c>
      <c r="AS160" s="172" t="str">
        <f t="shared" si="162"/>
        <v/>
      </c>
      <c r="AT160" s="173">
        <f>IF(AT$6="","",IF(AT$3="Maior",iferror(VLOOKUP($R160,Capa!$A:$AJ,AT$5,0),0),IF(ISERROR(1/VLOOKUP($R160,Capa!$A:$AJ,AT$5,0)),0,1/VLOOKUP($R160,Capa!$A:$AJ,AT$5,0))))</f>
        <v>-0.6289308176</v>
      </c>
      <c r="AU160" s="174">
        <f>IF(AU$6="","",IF(AU$3="Maior",iferror(VLOOKUP($R160,Capa!$A:$AJ,AU$5,0),0),IF(ISERROR(1/VLOOKUP($R160,Capa!$A:$AJ,AU$5,0)),0,1/VLOOKUP($R160,Capa!$A:$AJ,AU$5,0))))</f>
        <v>3.41</v>
      </c>
      <c r="AV160" s="174" t="str">
        <f>IF(AV$6="","",IF(AV$3="Maior",iferror(VLOOKUP($R160,Capa!$A:$AJ,AV$5,0),0),IF(ISERROR(1/VLOOKUP($R160,Capa!$A:$AJ,AV$5,0)),0,1/VLOOKUP($R160,Capa!$A:$AJ,AV$5,0))))</f>
        <v/>
      </c>
      <c r="AW160" s="174" t="str">
        <f>IF(AW$6="","",IF(AW$3="Maior",iferror(VLOOKUP($R160,Capa!$A:$AJ,AW$5,0),0),IF(ISERROR(1/VLOOKUP($R160,Capa!$A:$AJ,AW$5,0)),0,1/VLOOKUP($R160,Capa!$A:$AJ,AW$5,0))))</f>
        <v/>
      </c>
      <c r="AX160" s="174" t="str">
        <f>IF(AX$6="","",IF(AX$3="Maior",iferror(VLOOKUP($R160,Capa!$A:$AJ,AX$5,0),0),IF(ISERROR(1/VLOOKUP($R160,Capa!$A:$AJ,AX$5,0)),0,1/VLOOKUP($R160,Capa!$A:$AJ,AX$5,0))))</f>
        <v/>
      </c>
      <c r="AY160" s="174" t="str">
        <f>IF(AY$6="","",IF(AY$3="Maior",iferror(VLOOKUP($R160,Capa!$A:$AJ,AY$5,0),0),IF(ISERROR(1/VLOOKUP($R160,Capa!$A:$AJ,AY$5,0)),0,1/VLOOKUP($R160,Capa!$A:$AJ,AY$5,0))))</f>
        <v/>
      </c>
      <c r="AZ160" s="174" t="str">
        <f>IF(AZ$6="","",IF(AZ$3="Maior",iferror(VLOOKUP($R160,Capa!$A:$AJ,AZ$5,0),0),IF(ISERROR(1/VLOOKUP($R160,Capa!$A:$AJ,AZ$5,0)),0,1/VLOOKUP($R160,Capa!$A:$AJ,AZ$5,0))))</f>
        <v/>
      </c>
      <c r="BA160" s="174" t="str">
        <f>IF(BA$6="","",IF(BA$3="Maior",iferror(VLOOKUP($R160,Capa!$A:$AJ,BA$5,0),0),IF(ISERROR(1/VLOOKUP($R160,Capa!$A:$AJ,BA$5,0)),0,1/VLOOKUP($R160,Capa!$A:$AJ,BA$5,0))))</f>
        <v/>
      </c>
      <c r="BB160" s="174" t="str">
        <f>IF(BB$6="","",IF(BB$3="Maior",iferror(VLOOKUP($R160,Capa!$A:$AJ,BB$5,0),0),IF(ISERROR(1/VLOOKUP($R160,Capa!$A:$AJ,BB$5,0)),0,1/VLOOKUP($R160,Capa!$A:$AJ,BB$5,0))))</f>
        <v/>
      </c>
      <c r="BC160" s="174" t="str">
        <f>IF(BC$6="","",IF(BC$3="Maior",iferror(VLOOKUP($R160,Capa!$A:$AJ,BC$5,0),0),IF(ISERROR(1/VLOOKUP($R160,Capa!$A:$AJ,BC$5,0)),0,1/VLOOKUP($R160,Capa!$A:$AJ,BC$5,0))))</f>
        <v/>
      </c>
      <c r="BD160" s="174" t="str">
        <f>IF(BD$6="","",IF(BD$3="Maior",iferror(VLOOKUP($R160,Capa!$A:$AJ,BD$5,0),0),IF(ISERROR(1/VLOOKUP($R160,Capa!$A:$AJ,BD$5,0)),0,1/VLOOKUP($R160,Capa!$A:$AJ,BD$5,0))))</f>
        <v/>
      </c>
      <c r="BE160" s="174" t="str">
        <f>IF(BE$6="","",IF(BE$3="Maior",iferror(VLOOKUP($R160,Capa!$A:$AJ,BE$5,0),0),IF(ISERROR(1/VLOOKUP($R160,Capa!$A:$AJ,BE$5,0)),0,1/VLOOKUP($R160,Capa!$A:$AJ,BE$5,0))))</f>
        <v/>
      </c>
      <c r="BF160" s="174" t="str">
        <f>IF(BF$6="","",IF(BF$3="Maior",iferror(VLOOKUP($R160,Capa!$A:$AJ,BF$5,0),0),IF(ISERROR(1/VLOOKUP($R160,Capa!$A:$AJ,BF$5,0)),0,1/VLOOKUP($R160,Capa!$A:$AJ,BF$5,0))))</f>
        <v/>
      </c>
      <c r="BG160" s="174" t="str">
        <f>IF(BG$6="","",IF(BG$3="Maior",iferror(VLOOKUP($R160,Capa!$A:$AJ,BG$5,0),0),IF(ISERROR(1/VLOOKUP($R160,Capa!$A:$AJ,BG$5,0)),0,1/VLOOKUP($R160,Capa!$A:$AJ,BG$5,0))))</f>
        <v/>
      </c>
      <c r="BH160" s="174" t="str">
        <f>IF(BH$6="","",IF(BH$3="Maior",iferror(VLOOKUP($R160,Capa!$A:$AJ,BH$5,0),0),IF(ISERROR(1/VLOOKUP($R160,Capa!$A:$AJ,BH$5,0)),0,1/VLOOKUP($R160,Capa!$A:$AJ,BH$5,0))))</f>
        <v/>
      </c>
      <c r="BI160" s="174" t="str">
        <f>IF(BI$6="","",IF(BI$3="Maior",iferror(VLOOKUP($R160,Capa!$A:$AJ,BI$5,0),0),IF(ISERROR(1/VLOOKUP($R160,Capa!$A:$AJ,BI$5,0)),0,1/VLOOKUP($R160,Capa!$A:$AJ,BI$5,0))))</f>
        <v/>
      </c>
      <c r="BJ160" s="174" t="str">
        <f>IF(BJ$6="","",IF(BJ$3="Maior",iferror(VLOOKUP($R160,Capa!$A:$AJ,BJ$5,0),0),IF(ISERROR(1/VLOOKUP($R160,Capa!$A:$AJ,BJ$5,0)),0,1/VLOOKUP($R160,Capa!$A:$AJ,BJ$5,0))))</f>
        <v/>
      </c>
      <c r="BK160" s="174" t="str">
        <f>IF(BK$6="","",IF(BK$3="Maior",iferror(VLOOKUP($R160,Capa!$A:$AJ,BK$5,0),0),IF(ISERROR(1/VLOOKUP($R160,Capa!$A:$AJ,BK$5,0)),0,1/VLOOKUP($R160,Capa!$A:$AJ,BK$5,0))))</f>
        <v/>
      </c>
      <c r="BL160" s="174" t="str">
        <f>IF(BL$6="","",IF(BL$3="Maior",iferror(VLOOKUP($R160,Capa!$A:$AJ,BL$5,0),0),IF(ISERROR(1/VLOOKUP($R160,Capa!$A:$AJ,BL$5,0)),0,1/VLOOKUP($R160,Capa!$A:$AJ,BL$5,0))))</f>
        <v/>
      </c>
      <c r="BM160" s="174" t="str">
        <f>IF(BM$6="","",IF(BM$3="Maior",iferror(VLOOKUP($R160,Capa!$A:$AJ,BM$5,0),0),IF(ISERROR(1/VLOOKUP($R160,Capa!$A:$AJ,BM$5,0)),0,1/VLOOKUP($R160,Capa!$A:$AJ,BM$5,0))))</f>
        <v/>
      </c>
      <c r="BN160" s="174" t="str">
        <f>IF(BN$6="","",IF(BN$3="Maior",iferror(VLOOKUP($R160,Capa!$A:$AJ,BN$5,0),0),IF(ISERROR(1/VLOOKUP($R160,Capa!$A:$AJ,BN$5,0)),0,1/VLOOKUP($R160,Capa!$A:$AJ,BN$5,0))))</f>
        <v/>
      </c>
      <c r="BO160" s="174" t="str">
        <f>IF(BO$6="","",IF(BO$3="Maior",iferror(VLOOKUP($R160,Capa!$A:$AJ,BO$5,0),0),IF(ISERROR(1/VLOOKUP($R160,Capa!$A:$AJ,BO$5,0)),0,1/VLOOKUP($R160,Capa!$A:$AJ,BO$5,0))))</f>
        <v/>
      </c>
      <c r="BP160" s="174" t="str">
        <f>IF(BP$6="","",IF(BP$3="Maior",iferror(VLOOKUP($R160,Capa!$A:$AJ,BP$5,0),0),IF(ISERROR(1/VLOOKUP($R160,Capa!$A:$AJ,BP$5,0)),0,1/VLOOKUP($R160,Capa!$A:$AJ,BP$5,0))))</f>
        <v/>
      </c>
      <c r="BQ160" s="174" t="str">
        <f>IF(BQ$6="","",IF(BQ$3="Maior",iferror(VLOOKUP($R160,Capa!$A:$AJ,BQ$5,0),0),IF(ISERROR(1/VLOOKUP($R160,Capa!$A:$AJ,BQ$5,0)),0,1/VLOOKUP($R160,Capa!$A:$AJ,BQ$5,0))))</f>
        <v/>
      </c>
      <c r="BR160" s="175"/>
      <c r="BS160" s="147"/>
    </row>
    <row r="161">
      <c r="G161" s="11"/>
      <c r="H161" s="8">
        <v>155.0</v>
      </c>
      <c r="I161" s="165" t="str">
        <f t="shared" si="6"/>
        <v>SMFT3</v>
      </c>
      <c r="J161" s="166" t="str">
        <f>(VLOOKUP($I161,Capa!$A:$B,2,0))</f>
        <v>Smartfit Escola de Ginastica e Danca SA</v>
      </c>
      <c r="K161" s="167" t="str">
        <f>VLOOKUP(left(I161,4),Setor!A:D,3,0)&amp;" | "&amp;VLOOKUP(left(I161,4),Setor!A:D,4,0)</f>
        <v>Consumo Cíclico | Viagens e Lazer</v>
      </c>
      <c r="L161" s="168">
        <f>(VLOOKUP($I161,Capa!$A:$F,6,0))</f>
        <v>21.04</v>
      </c>
      <c r="M161" s="168">
        <f t="shared" si="7"/>
        <v>152000000</v>
      </c>
      <c r="N161" s="177" t="str">
        <f>IFERROR(__xludf.DUMMYFUNCTION("(VLOOKUP($I161,Capa!$A:$H,7,0))"),"")</f>
        <v/>
      </c>
      <c r="O161" s="169">
        <f>(VLOOKUP($I161,Capa!$A:$H,8,0))</f>
        <v>-0.02139534884</v>
      </c>
      <c r="P161" s="169" t="str">
        <f>IFERROR(__xludf.DUMMYFUNCTION("(VLOOKUP($I161,Capa!$A:$J,10,0))"),"")</f>
        <v/>
      </c>
      <c r="Q161" s="169">
        <f>(VLOOKUP($I161,Capa!$A:$K,11,0))</f>
        <v>0.0751149719</v>
      </c>
      <c r="R161" s="45" t="str">
        <f>'Dados StatusInvest'!A156</f>
        <v>CGAS5</v>
      </c>
      <c r="S161" s="170">
        <f t="shared" si="8"/>
        <v>1536.0536</v>
      </c>
      <c r="T161" s="171">
        <f>VLOOKUP(R161,'Dados StatusInvest'!A:Z,26,0)</f>
        <v>67643.05</v>
      </c>
      <c r="U161" s="172">
        <f t="shared" ref="U161:AS161" si="163">IF(AT161="","", RANK(AT161,AT$7:AT$626,0)+RANK(AT161,AT$7:AT$626,0)/10000)</f>
        <v>286.0286</v>
      </c>
      <c r="V161" s="172">
        <f t="shared" si="163"/>
        <v>250.025</v>
      </c>
      <c r="W161" s="172" t="str">
        <f t="shared" si="163"/>
        <v/>
      </c>
      <c r="X161" s="172" t="str">
        <f t="shared" si="163"/>
        <v/>
      </c>
      <c r="Y161" s="172" t="str">
        <f t="shared" si="163"/>
        <v/>
      </c>
      <c r="Z161" s="172" t="str">
        <f t="shared" si="163"/>
        <v/>
      </c>
      <c r="AA161" s="172" t="str">
        <f t="shared" si="163"/>
        <v/>
      </c>
      <c r="AB161" s="172" t="str">
        <f t="shared" si="163"/>
        <v/>
      </c>
      <c r="AC161" s="172" t="str">
        <f t="shared" si="163"/>
        <v/>
      </c>
      <c r="AD161" s="172" t="str">
        <f t="shared" si="163"/>
        <v/>
      </c>
      <c r="AE161" s="172" t="str">
        <f t="shared" si="163"/>
        <v/>
      </c>
      <c r="AF161" s="172" t="str">
        <f t="shared" si="163"/>
        <v/>
      </c>
      <c r="AG161" s="172" t="str">
        <f t="shared" si="163"/>
        <v/>
      </c>
      <c r="AH161" s="172" t="str">
        <f t="shared" si="163"/>
        <v/>
      </c>
      <c r="AI161" s="172" t="str">
        <f t="shared" si="163"/>
        <v/>
      </c>
      <c r="AJ161" s="172" t="str">
        <f t="shared" si="163"/>
        <v/>
      </c>
      <c r="AK161" s="172" t="str">
        <f t="shared" si="163"/>
        <v/>
      </c>
      <c r="AL161" s="172" t="str">
        <f t="shared" si="163"/>
        <v/>
      </c>
      <c r="AM161" s="172" t="str">
        <f t="shared" si="163"/>
        <v/>
      </c>
      <c r="AN161" s="172" t="str">
        <f t="shared" si="163"/>
        <v/>
      </c>
      <c r="AO161" s="172" t="str">
        <f t="shared" si="163"/>
        <v/>
      </c>
      <c r="AP161" s="172" t="str">
        <f t="shared" si="163"/>
        <v/>
      </c>
      <c r="AQ161" s="172" t="str">
        <f t="shared" si="163"/>
        <v/>
      </c>
      <c r="AR161" s="172" t="str">
        <f t="shared" si="163"/>
        <v/>
      </c>
      <c r="AS161" s="172" t="str">
        <f t="shared" si="163"/>
        <v/>
      </c>
      <c r="AT161" s="173">
        <f>IF(AT$6="","",IF(AT$3="Maior",iferror(VLOOKUP($R161,Capa!$A:$AJ,AT$5,0),0),IF(ISERROR(1/VLOOKUP($R161,Capa!$A:$AJ,AT$5,0)),0,1/VLOOKUP($R161,Capa!$A:$AJ,AT$5,0))))</f>
        <v>-0.6131929419</v>
      </c>
      <c r="AU161" s="174">
        <f>IF(AU$6="","",IF(AU$3="Maior",iferror(VLOOKUP($R161,Capa!$A:$AJ,AU$5,0),0),IF(ISERROR(1/VLOOKUP($R161,Capa!$A:$AJ,AU$5,0)),0,1/VLOOKUP($R161,Capa!$A:$AJ,AU$5,0))))</f>
        <v>3.41</v>
      </c>
      <c r="AV161" s="174" t="str">
        <f>IF(AV$6="","",IF(AV$3="Maior",iferror(VLOOKUP($R161,Capa!$A:$AJ,AV$5,0),0),IF(ISERROR(1/VLOOKUP($R161,Capa!$A:$AJ,AV$5,0)),0,1/VLOOKUP($R161,Capa!$A:$AJ,AV$5,0))))</f>
        <v/>
      </c>
      <c r="AW161" s="174" t="str">
        <f>IF(AW$6="","",IF(AW$3="Maior",iferror(VLOOKUP($R161,Capa!$A:$AJ,AW$5,0),0),IF(ISERROR(1/VLOOKUP($R161,Capa!$A:$AJ,AW$5,0)),0,1/VLOOKUP($R161,Capa!$A:$AJ,AW$5,0))))</f>
        <v/>
      </c>
      <c r="AX161" s="174" t="str">
        <f>IF(AX$6="","",IF(AX$3="Maior",iferror(VLOOKUP($R161,Capa!$A:$AJ,AX$5,0),0),IF(ISERROR(1/VLOOKUP($R161,Capa!$A:$AJ,AX$5,0)),0,1/VLOOKUP($R161,Capa!$A:$AJ,AX$5,0))))</f>
        <v/>
      </c>
      <c r="AY161" s="174" t="str">
        <f>IF(AY$6="","",IF(AY$3="Maior",iferror(VLOOKUP($R161,Capa!$A:$AJ,AY$5,0),0),IF(ISERROR(1/VLOOKUP($R161,Capa!$A:$AJ,AY$5,0)),0,1/VLOOKUP($R161,Capa!$A:$AJ,AY$5,0))))</f>
        <v/>
      </c>
      <c r="AZ161" s="174" t="str">
        <f>IF(AZ$6="","",IF(AZ$3="Maior",iferror(VLOOKUP($R161,Capa!$A:$AJ,AZ$5,0),0),IF(ISERROR(1/VLOOKUP($R161,Capa!$A:$AJ,AZ$5,0)),0,1/VLOOKUP($R161,Capa!$A:$AJ,AZ$5,0))))</f>
        <v/>
      </c>
      <c r="BA161" s="174" t="str">
        <f>IF(BA$6="","",IF(BA$3="Maior",iferror(VLOOKUP($R161,Capa!$A:$AJ,BA$5,0),0),IF(ISERROR(1/VLOOKUP($R161,Capa!$A:$AJ,BA$5,0)),0,1/VLOOKUP($R161,Capa!$A:$AJ,BA$5,0))))</f>
        <v/>
      </c>
      <c r="BB161" s="174" t="str">
        <f>IF(BB$6="","",IF(BB$3="Maior",iferror(VLOOKUP($R161,Capa!$A:$AJ,BB$5,0),0),IF(ISERROR(1/VLOOKUP($R161,Capa!$A:$AJ,BB$5,0)),0,1/VLOOKUP($R161,Capa!$A:$AJ,BB$5,0))))</f>
        <v/>
      </c>
      <c r="BC161" s="174" t="str">
        <f>IF(BC$6="","",IF(BC$3="Maior",iferror(VLOOKUP($R161,Capa!$A:$AJ,BC$5,0),0),IF(ISERROR(1/VLOOKUP($R161,Capa!$A:$AJ,BC$5,0)),0,1/VLOOKUP($R161,Capa!$A:$AJ,BC$5,0))))</f>
        <v/>
      </c>
      <c r="BD161" s="174" t="str">
        <f>IF(BD$6="","",IF(BD$3="Maior",iferror(VLOOKUP($R161,Capa!$A:$AJ,BD$5,0),0),IF(ISERROR(1/VLOOKUP($R161,Capa!$A:$AJ,BD$5,0)),0,1/VLOOKUP($R161,Capa!$A:$AJ,BD$5,0))))</f>
        <v/>
      </c>
      <c r="BE161" s="174" t="str">
        <f>IF(BE$6="","",IF(BE$3="Maior",iferror(VLOOKUP($R161,Capa!$A:$AJ,BE$5,0),0),IF(ISERROR(1/VLOOKUP($R161,Capa!$A:$AJ,BE$5,0)),0,1/VLOOKUP($R161,Capa!$A:$AJ,BE$5,0))))</f>
        <v/>
      </c>
      <c r="BF161" s="174" t="str">
        <f>IF(BF$6="","",IF(BF$3="Maior",iferror(VLOOKUP($R161,Capa!$A:$AJ,BF$5,0),0),IF(ISERROR(1/VLOOKUP($R161,Capa!$A:$AJ,BF$5,0)),0,1/VLOOKUP($R161,Capa!$A:$AJ,BF$5,0))))</f>
        <v/>
      </c>
      <c r="BG161" s="174" t="str">
        <f>IF(BG$6="","",IF(BG$3="Maior",iferror(VLOOKUP($R161,Capa!$A:$AJ,BG$5,0),0),IF(ISERROR(1/VLOOKUP($R161,Capa!$A:$AJ,BG$5,0)),0,1/VLOOKUP($R161,Capa!$A:$AJ,BG$5,0))))</f>
        <v/>
      </c>
      <c r="BH161" s="174" t="str">
        <f>IF(BH$6="","",IF(BH$3="Maior",iferror(VLOOKUP($R161,Capa!$A:$AJ,BH$5,0),0),IF(ISERROR(1/VLOOKUP($R161,Capa!$A:$AJ,BH$5,0)),0,1/VLOOKUP($R161,Capa!$A:$AJ,BH$5,0))))</f>
        <v/>
      </c>
      <c r="BI161" s="174" t="str">
        <f>IF(BI$6="","",IF(BI$3="Maior",iferror(VLOOKUP($R161,Capa!$A:$AJ,BI$5,0),0),IF(ISERROR(1/VLOOKUP($R161,Capa!$A:$AJ,BI$5,0)),0,1/VLOOKUP($R161,Capa!$A:$AJ,BI$5,0))))</f>
        <v/>
      </c>
      <c r="BJ161" s="174" t="str">
        <f>IF(BJ$6="","",IF(BJ$3="Maior",iferror(VLOOKUP($R161,Capa!$A:$AJ,BJ$5,0),0),IF(ISERROR(1/VLOOKUP($R161,Capa!$A:$AJ,BJ$5,0)),0,1/VLOOKUP($R161,Capa!$A:$AJ,BJ$5,0))))</f>
        <v/>
      </c>
      <c r="BK161" s="174" t="str">
        <f>IF(BK$6="","",IF(BK$3="Maior",iferror(VLOOKUP($R161,Capa!$A:$AJ,BK$5,0),0),IF(ISERROR(1/VLOOKUP($R161,Capa!$A:$AJ,BK$5,0)),0,1/VLOOKUP($R161,Capa!$A:$AJ,BK$5,0))))</f>
        <v/>
      </c>
      <c r="BL161" s="174" t="str">
        <f>IF(BL$6="","",IF(BL$3="Maior",iferror(VLOOKUP($R161,Capa!$A:$AJ,BL$5,0),0),IF(ISERROR(1/VLOOKUP($R161,Capa!$A:$AJ,BL$5,0)),0,1/VLOOKUP($R161,Capa!$A:$AJ,BL$5,0))))</f>
        <v/>
      </c>
      <c r="BM161" s="174" t="str">
        <f>IF(BM$6="","",IF(BM$3="Maior",iferror(VLOOKUP($R161,Capa!$A:$AJ,BM$5,0),0),IF(ISERROR(1/VLOOKUP($R161,Capa!$A:$AJ,BM$5,0)),0,1/VLOOKUP($R161,Capa!$A:$AJ,BM$5,0))))</f>
        <v/>
      </c>
      <c r="BN161" s="174" t="str">
        <f>IF(BN$6="","",IF(BN$3="Maior",iferror(VLOOKUP($R161,Capa!$A:$AJ,BN$5,0),0),IF(ISERROR(1/VLOOKUP($R161,Capa!$A:$AJ,BN$5,0)),0,1/VLOOKUP($R161,Capa!$A:$AJ,BN$5,0))))</f>
        <v/>
      </c>
      <c r="BO161" s="174" t="str">
        <f>IF(BO$6="","",IF(BO$3="Maior",iferror(VLOOKUP($R161,Capa!$A:$AJ,BO$5,0),0),IF(ISERROR(1/VLOOKUP($R161,Capa!$A:$AJ,BO$5,0)),0,1/VLOOKUP($R161,Capa!$A:$AJ,BO$5,0))))</f>
        <v/>
      </c>
      <c r="BP161" s="174" t="str">
        <f>IF(BP$6="","",IF(BP$3="Maior",iferror(VLOOKUP($R161,Capa!$A:$AJ,BP$5,0),0),IF(ISERROR(1/VLOOKUP($R161,Capa!$A:$AJ,BP$5,0)),0,1/VLOOKUP($R161,Capa!$A:$AJ,BP$5,0))))</f>
        <v/>
      </c>
      <c r="BQ161" s="174" t="str">
        <f>IF(BQ$6="","",IF(BQ$3="Maior",iferror(VLOOKUP($R161,Capa!$A:$AJ,BQ$5,0),0),IF(ISERROR(1/VLOOKUP($R161,Capa!$A:$AJ,BQ$5,0)),0,1/VLOOKUP($R161,Capa!$A:$AJ,BQ$5,0))))</f>
        <v/>
      </c>
      <c r="BR161" s="175"/>
      <c r="BS161" s="147"/>
    </row>
    <row r="162">
      <c r="G162" s="11"/>
      <c r="H162" s="8">
        <v>156.0</v>
      </c>
      <c r="I162" s="165" t="str">
        <f t="shared" si="6"/>
        <v>BRAP3</v>
      </c>
      <c r="J162" s="166" t="str">
        <f>(VLOOKUP($I162,Capa!$A:$B,2,0))</f>
        <v>Bradespar SA</v>
      </c>
      <c r="K162" s="167" t="str">
        <f>VLOOKUP(left(I162,4),Setor!A:D,3,0)&amp;" | "&amp;VLOOKUP(left(I162,4),Setor!A:D,4,0)</f>
        <v>Materiais Básicos | Mineração</v>
      </c>
      <c r="L162" s="168">
        <f>(VLOOKUP($I162,Capa!$A:$F,6,0))</f>
        <v>19.89</v>
      </c>
      <c r="M162" s="168">
        <f t="shared" si="7"/>
        <v>2234925</v>
      </c>
      <c r="N162" s="11" t="str">
        <f>IFERROR(__xludf.DUMMYFUNCTION("(VLOOKUP($I162,Capa!$A:$H,7,0))"),"")</f>
        <v/>
      </c>
      <c r="O162" s="169">
        <f>(VLOOKUP($I162,Capa!$A:$H,8,0))</f>
        <v>-0.0197141449</v>
      </c>
      <c r="P162" s="11" t="str">
        <f>IFERROR(__xludf.DUMMYFUNCTION("(VLOOKUP($I162,Capa!$A:$J,10,0))"),"")</f>
        <v/>
      </c>
      <c r="Q162" s="169">
        <f>(VLOOKUP($I162,Capa!$A:$K,11,0))</f>
        <v>0.2572692794</v>
      </c>
      <c r="R162" s="45" t="str">
        <f>'Dados StatusInvest'!A157</f>
        <v>CGRA3</v>
      </c>
      <c r="S162" s="170">
        <f t="shared" si="8"/>
        <v>1915.0915</v>
      </c>
      <c r="T162" s="171">
        <f>VLOOKUP(R162,'Dados StatusInvest'!A:Z,26,0)</f>
        <v>50002.95</v>
      </c>
      <c r="U162" s="172">
        <f t="shared" ref="U162:AS162" si="164">IF(AT162="","", RANK(AT162,AT$7:AT$626,0)+RANK(AT162,AT$7:AT$626,0)/10000)</f>
        <v>363.0363</v>
      </c>
      <c r="V162" s="172">
        <f t="shared" si="164"/>
        <v>552.0552</v>
      </c>
      <c r="W162" s="172" t="str">
        <f t="shared" si="164"/>
        <v/>
      </c>
      <c r="X162" s="172" t="str">
        <f t="shared" si="164"/>
        <v/>
      </c>
      <c r="Y162" s="172" t="str">
        <f t="shared" si="164"/>
        <v/>
      </c>
      <c r="Z162" s="172" t="str">
        <f t="shared" si="164"/>
        <v/>
      </c>
      <c r="AA162" s="172" t="str">
        <f t="shared" si="164"/>
        <v/>
      </c>
      <c r="AB162" s="172" t="str">
        <f t="shared" si="164"/>
        <v/>
      </c>
      <c r="AC162" s="172" t="str">
        <f t="shared" si="164"/>
        <v/>
      </c>
      <c r="AD162" s="172" t="str">
        <f t="shared" si="164"/>
        <v/>
      </c>
      <c r="AE162" s="172" t="str">
        <f t="shared" si="164"/>
        <v/>
      </c>
      <c r="AF162" s="172" t="str">
        <f t="shared" si="164"/>
        <v/>
      </c>
      <c r="AG162" s="172" t="str">
        <f t="shared" si="164"/>
        <v/>
      </c>
      <c r="AH162" s="172" t="str">
        <f t="shared" si="164"/>
        <v/>
      </c>
      <c r="AI162" s="172" t="str">
        <f t="shared" si="164"/>
        <v/>
      </c>
      <c r="AJ162" s="172" t="str">
        <f t="shared" si="164"/>
        <v/>
      </c>
      <c r="AK162" s="172" t="str">
        <f t="shared" si="164"/>
        <v/>
      </c>
      <c r="AL162" s="172" t="str">
        <f t="shared" si="164"/>
        <v/>
      </c>
      <c r="AM162" s="172" t="str">
        <f t="shared" si="164"/>
        <v/>
      </c>
      <c r="AN162" s="172" t="str">
        <f t="shared" si="164"/>
        <v/>
      </c>
      <c r="AO162" s="172" t="str">
        <f t="shared" si="164"/>
        <v/>
      </c>
      <c r="AP162" s="172" t="str">
        <f t="shared" si="164"/>
        <v/>
      </c>
      <c r="AQ162" s="172" t="str">
        <f t="shared" si="164"/>
        <v/>
      </c>
      <c r="AR162" s="172" t="str">
        <f t="shared" si="164"/>
        <v/>
      </c>
      <c r="AS162" s="172" t="str">
        <f t="shared" si="164"/>
        <v/>
      </c>
      <c r="AT162" s="173">
        <f>IF(AT$6="","",IF(AT$3="Maior",iferror(VLOOKUP($R162,Capa!$A:$AJ,AT$5,0),0),IF(ISERROR(1/VLOOKUP($R162,Capa!$A:$AJ,AT$5,0)),0,1/VLOOKUP($R162,Capa!$A:$AJ,AT$5,0))))</f>
        <v>-1.098901099</v>
      </c>
      <c r="AU162" s="174">
        <f>IF(AU$6="","",IF(AU$3="Maior",iferror(VLOOKUP($R162,Capa!$A:$AJ,AU$5,0),0),IF(ISERROR(1/VLOOKUP($R162,Capa!$A:$AJ,AU$5,0)),0,1/VLOOKUP($R162,Capa!$A:$AJ,AU$5,0))))</f>
        <v>-4.66</v>
      </c>
      <c r="AV162" s="174" t="str">
        <f>IF(AV$6="","",IF(AV$3="Maior",iferror(VLOOKUP($R162,Capa!$A:$AJ,AV$5,0),0),IF(ISERROR(1/VLOOKUP($R162,Capa!$A:$AJ,AV$5,0)),0,1/VLOOKUP($R162,Capa!$A:$AJ,AV$5,0))))</f>
        <v/>
      </c>
      <c r="AW162" s="174" t="str">
        <f>IF(AW$6="","",IF(AW$3="Maior",iferror(VLOOKUP($R162,Capa!$A:$AJ,AW$5,0),0),IF(ISERROR(1/VLOOKUP($R162,Capa!$A:$AJ,AW$5,0)),0,1/VLOOKUP($R162,Capa!$A:$AJ,AW$5,0))))</f>
        <v/>
      </c>
      <c r="AX162" s="174" t="str">
        <f>IF(AX$6="","",IF(AX$3="Maior",iferror(VLOOKUP($R162,Capa!$A:$AJ,AX$5,0),0),IF(ISERROR(1/VLOOKUP($R162,Capa!$A:$AJ,AX$5,0)),0,1/VLOOKUP($R162,Capa!$A:$AJ,AX$5,0))))</f>
        <v/>
      </c>
      <c r="AY162" s="174" t="str">
        <f>IF(AY$6="","",IF(AY$3="Maior",iferror(VLOOKUP($R162,Capa!$A:$AJ,AY$5,0),0),IF(ISERROR(1/VLOOKUP($R162,Capa!$A:$AJ,AY$5,0)),0,1/VLOOKUP($R162,Capa!$A:$AJ,AY$5,0))))</f>
        <v/>
      </c>
      <c r="AZ162" s="174" t="str">
        <f>IF(AZ$6="","",IF(AZ$3="Maior",iferror(VLOOKUP($R162,Capa!$A:$AJ,AZ$5,0),0),IF(ISERROR(1/VLOOKUP($R162,Capa!$A:$AJ,AZ$5,0)),0,1/VLOOKUP($R162,Capa!$A:$AJ,AZ$5,0))))</f>
        <v/>
      </c>
      <c r="BA162" s="174" t="str">
        <f>IF(BA$6="","",IF(BA$3="Maior",iferror(VLOOKUP($R162,Capa!$A:$AJ,BA$5,0),0),IF(ISERROR(1/VLOOKUP($R162,Capa!$A:$AJ,BA$5,0)),0,1/VLOOKUP($R162,Capa!$A:$AJ,BA$5,0))))</f>
        <v/>
      </c>
      <c r="BB162" s="174" t="str">
        <f>IF(BB$6="","",IF(BB$3="Maior",iferror(VLOOKUP($R162,Capa!$A:$AJ,BB$5,0),0),IF(ISERROR(1/VLOOKUP($R162,Capa!$A:$AJ,BB$5,0)),0,1/VLOOKUP($R162,Capa!$A:$AJ,BB$5,0))))</f>
        <v/>
      </c>
      <c r="BC162" s="174" t="str">
        <f>IF(BC$6="","",IF(BC$3="Maior",iferror(VLOOKUP($R162,Capa!$A:$AJ,BC$5,0),0),IF(ISERROR(1/VLOOKUP($R162,Capa!$A:$AJ,BC$5,0)),0,1/VLOOKUP($R162,Capa!$A:$AJ,BC$5,0))))</f>
        <v/>
      </c>
      <c r="BD162" s="174" t="str">
        <f>IF(BD$6="","",IF(BD$3="Maior",iferror(VLOOKUP($R162,Capa!$A:$AJ,BD$5,0),0),IF(ISERROR(1/VLOOKUP($R162,Capa!$A:$AJ,BD$5,0)),0,1/VLOOKUP($R162,Capa!$A:$AJ,BD$5,0))))</f>
        <v/>
      </c>
      <c r="BE162" s="174" t="str">
        <f>IF(BE$6="","",IF(BE$3="Maior",iferror(VLOOKUP($R162,Capa!$A:$AJ,BE$5,0),0),IF(ISERROR(1/VLOOKUP($R162,Capa!$A:$AJ,BE$5,0)),0,1/VLOOKUP($R162,Capa!$A:$AJ,BE$5,0))))</f>
        <v/>
      </c>
      <c r="BF162" s="174" t="str">
        <f>IF(BF$6="","",IF(BF$3="Maior",iferror(VLOOKUP($R162,Capa!$A:$AJ,BF$5,0),0),IF(ISERROR(1/VLOOKUP($R162,Capa!$A:$AJ,BF$5,0)),0,1/VLOOKUP($R162,Capa!$A:$AJ,BF$5,0))))</f>
        <v/>
      </c>
      <c r="BG162" s="174" t="str">
        <f>IF(BG$6="","",IF(BG$3="Maior",iferror(VLOOKUP($R162,Capa!$A:$AJ,BG$5,0),0),IF(ISERROR(1/VLOOKUP($R162,Capa!$A:$AJ,BG$5,0)),0,1/VLOOKUP($R162,Capa!$A:$AJ,BG$5,0))))</f>
        <v/>
      </c>
      <c r="BH162" s="174" t="str">
        <f>IF(BH$6="","",IF(BH$3="Maior",iferror(VLOOKUP($R162,Capa!$A:$AJ,BH$5,0),0),IF(ISERROR(1/VLOOKUP($R162,Capa!$A:$AJ,BH$5,0)),0,1/VLOOKUP($R162,Capa!$A:$AJ,BH$5,0))))</f>
        <v/>
      </c>
      <c r="BI162" s="174" t="str">
        <f>IF(BI$6="","",IF(BI$3="Maior",iferror(VLOOKUP($R162,Capa!$A:$AJ,BI$5,0),0),IF(ISERROR(1/VLOOKUP($R162,Capa!$A:$AJ,BI$5,0)),0,1/VLOOKUP($R162,Capa!$A:$AJ,BI$5,0))))</f>
        <v/>
      </c>
      <c r="BJ162" s="174" t="str">
        <f>IF(BJ$6="","",IF(BJ$3="Maior",iferror(VLOOKUP($R162,Capa!$A:$AJ,BJ$5,0),0),IF(ISERROR(1/VLOOKUP($R162,Capa!$A:$AJ,BJ$5,0)),0,1/VLOOKUP($R162,Capa!$A:$AJ,BJ$5,0))))</f>
        <v/>
      </c>
      <c r="BK162" s="174" t="str">
        <f>IF(BK$6="","",IF(BK$3="Maior",iferror(VLOOKUP($R162,Capa!$A:$AJ,BK$5,0),0),IF(ISERROR(1/VLOOKUP($R162,Capa!$A:$AJ,BK$5,0)),0,1/VLOOKUP($R162,Capa!$A:$AJ,BK$5,0))))</f>
        <v/>
      </c>
      <c r="BL162" s="174" t="str">
        <f>IF(BL$6="","",IF(BL$3="Maior",iferror(VLOOKUP($R162,Capa!$A:$AJ,BL$5,0),0),IF(ISERROR(1/VLOOKUP($R162,Capa!$A:$AJ,BL$5,0)),0,1/VLOOKUP($R162,Capa!$A:$AJ,BL$5,0))))</f>
        <v/>
      </c>
      <c r="BM162" s="174" t="str">
        <f>IF(BM$6="","",IF(BM$3="Maior",iferror(VLOOKUP($R162,Capa!$A:$AJ,BM$5,0),0),IF(ISERROR(1/VLOOKUP($R162,Capa!$A:$AJ,BM$5,0)),0,1/VLOOKUP($R162,Capa!$A:$AJ,BM$5,0))))</f>
        <v/>
      </c>
      <c r="BN162" s="174" t="str">
        <f>IF(BN$6="","",IF(BN$3="Maior",iferror(VLOOKUP($R162,Capa!$A:$AJ,BN$5,0),0),IF(ISERROR(1/VLOOKUP($R162,Capa!$A:$AJ,BN$5,0)),0,1/VLOOKUP($R162,Capa!$A:$AJ,BN$5,0))))</f>
        <v/>
      </c>
      <c r="BO162" s="174" t="str">
        <f>IF(BO$6="","",IF(BO$3="Maior",iferror(VLOOKUP($R162,Capa!$A:$AJ,BO$5,0),0),IF(ISERROR(1/VLOOKUP($R162,Capa!$A:$AJ,BO$5,0)),0,1/VLOOKUP($R162,Capa!$A:$AJ,BO$5,0))))</f>
        <v/>
      </c>
      <c r="BP162" s="174" t="str">
        <f>IF(BP$6="","",IF(BP$3="Maior",iferror(VLOOKUP($R162,Capa!$A:$AJ,BP$5,0),0),IF(ISERROR(1/VLOOKUP($R162,Capa!$A:$AJ,BP$5,0)),0,1/VLOOKUP($R162,Capa!$A:$AJ,BP$5,0))))</f>
        <v/>
      </c>
      <c r="BQ162" s="174" t="str">
        <f>IF(BQ$6="","",IF(BQ$3="Maior",iferror(VLOOKUP($R162,Capa!$A:$AJ,BQ$5,0),0),IF(ISERROR(1/VLOOKUP($R162,Capa!$A:$AJ,BQ$5,0)),0,1/VLOOKUP($R162,Capa!$A:$AJ,BQ$5,0))))</f>
        <v/>
      </c>
      <c r="BR162" s="175"/>
      <c r="BS162" s="147"/>
    </row>
    <row r="163">
      <c r="G163" s="11"/>
      <c r="H163" s="8">
        <v>157.0</v>
      </c>
      <c r="I163" s="165" t="str">
        <f t="shared" si="6"/>
        <v>AXIA6</v>
      </c>
      <c r="J163" s="166" t="str">
        <f>(VLOOKUP($I163,Capa!$A:$B,2,0))</f>
        <v>Centrais Eletricas Brasilrs SA - Eltrbrs Preference Shares Class B</v>
      </c>
      <c r="K163" s="167" t="str">
        <f>VLOOKUP(left(I163,4),Setor!A:D,3,0)&amp;" | "&amp;VLOOKUP(left(I163,4),Setor!A:D,4,0)</f>
        <v>#N/A</v>
      </c>
      <c r="L163" s="168">
        <f>(VLOOKUP($I163,Capa!$A:$F,6,0))</f>
        <v>66.18</v>
      </c>
      <c r="M163" s="168">
        <f t="shared" si="7"/>
        <v>86185274</v>
      </c>
      <c r="N163" s="11" t="str">
        <f>IFERROR(__xludf.DUMMYFUNCTION("(VLOOKUP($I163,Capa!$A:$H,7,0))"),"")</f>
        <v/>
      </c>
      <c r="O163" s="169">
        <f>(VLOOKUP($I163,Capa!$A:$H,8,0))</f>
        <v>0.1725726435</v>
      </c>
      <c r="P163" s="11" t="str">
        <f>IFERROR(__xludf.DUMMYFUNCTION("(VLOOKUP($I163,Capa!$A:$J,10,0))"),"")</f>
        <v/>
      </c>
      <c r="Q163" s="169">
        <f>(VLOOKUP($I163,Capa!$A:$K,11,0))</f>
        <v>0.9873873874</v>
      </c>
      <c r="R163" s="45" t="str">
        <f>'Dados StatusInvest'!A158</f>
        <v>CGRA4</v>
      </c>
      <c r="S163" s="170">
        <f t="shared" si="8"/>
        <v>1930.093</v>
      </c>
      <c r="T163" s="171">
        <f>VLOOKUP(R163,'Dados StatusInvest'!A:Z,26,0)</f>
        <v>251871.4</v>
      </c>
      <c r="U163" s="172">
        <f t="shared" ref="U163:AS163" si="165">IF(AT163="","", RANK(AT163,AT$7:AT$626,0)+RANK(AT163,AT$7:AT$626,0)/10000)</f>
        <v>378.0378</v>
      </c>
      <c r="V163" s="172">
        <f t="shared" si="165"/>
        <v>552.0552</v>
      </c>
      <c r="W163" s="172" t="str">
        <f t="shared" si="165"/>
        <v/>
      </c>
      <c r="X163" s="172" t="str">
        <f t="shared" si="165"/>
        <v/>
      </c>
      <c r="Y163" s="172" t="str">
        <f t="shared" si="165"/>
        <v/>
      </c>
      <c r="Z163" s="172" t="str">
        <f t="shared" si="165"/>
        <v/>
      </c>
      <c r="AA163" s="172" t="str">
        <f t="shared" si="165"/>
        <v/>
      </c>
      <c r="AB163" s="172" t="str">
        <f t="shared" si="165"/>
        <v/>
      </c>
      <c r="AC163" s="172" t="str">
        <f t="shared" si="165"/>
        <v/>
      </c>
      <c r="AD163" s="172" t="str">
        <f t="shared" si="165"/>
        <v/>
      </c>
      <c r="AE163" s="172" t="str">
        <f t="shared" si="165"/>
        <v/>
      </c>
      <c r="AF163" s="172" t="str">
        <f t="shared" si="165"/>
        <v/>
      </c>
      <c r="AG163" s="172" t="str">
        <f t="shared" si="165"/>
        <v/>
      </c>
      <c r="AH163" s="172" t="str">
        <f t="shared" si="165"/>
        <v/>
      </c>
      <c r="AI163" s="172" t="str">
        <f t="shared" si="165"/>
        <v/>
      </c>
      <c r="AJ163" s="172" t="str">
        <f t="shared" si="165"/>
        <v/>
      </c>
      <c r="AK163" s="172" t="str">
        <f t="shared" si="165"/>
        <v/>
      </c>
      <c r="AL163" s="172" t="str">
        <f t="shared" si="165"/>
        <v/>
      </c>
      <c r="AM163" s="172" t="str">
        <f t="shared" si="165"/>
        <v/>
      </c>
      <c r="AN163" s="172" t="str">
        <f t="shared" si="165"/>
        <v/>
      </c>
      <c r="AO163" s="172" t="str">
        <f t="shared" si="165"/>
        <v/>
      </c>
      <c r="AP163" s="172" t="str">
        <f t="shared" si="165"/>
        <v/>
      </c>
      <c r="AQ163" s="172" t="str">
        <f t="shared" si="165"/>
        <v/>
      </c>
      <c r="AR163" s="172" t="str">
        <f t="shared" si="165"/>
        <v/>
      </c>
      <c r="AS163" s="172" t="str">
        <f t="shared" si="165"/>
        <v/>
      </c>
      <c r="AT163" s="173">
        <f>IF(AT$6="","",IF(AT$3="Maior",iferror(VLOOKUP($R163,Capa!$A:$AJ,AT$5,0),0),IF(ISERROR(1/VLOOKUP($R163,Capa!$A:$AJ,AT$5,0)),0,1/VLOOKUP($R163,Capa!$A:$AJ,AT$5,0))))</f>
        <v>-1.16313515</v>
      </c>
      <c r="AU163" s="174">
        <f>IF(AU$6="","",IF(AU$3="Maior",iferror(VLOOKUP($R163,Capa!$A:$AJ,AU$5,0),0),IF(ISERROR(1/VLOOKUP($R163,Capa!$A:$AJ,AU$5,0)),0,1/VLOOKUP($R163,Capa!$A:$AJ,AU$5,0))))</f>
        <v>-4.66</v>
      </c>
      <c r="AV163" s="174" t="str">
        <f>IF(AV$6="","",IF(AV$3="Maior",iferror(VLOOKUP($R163,Capa!$A:$AJ,AV$5,0),0),IF(ISERROR(1/VLOOKUP($R163,Capa!$A:$AJ,AV$5,0)),0,1/VLOOKUP($R163,Capa!$A:$AJ,AV$5,0))))</f>
        <v/>
      </c>
      <c r="AW163" s="174" t="str">
        <f>IF(AW$6="","",IF(AW$3="Maior",iferror(VLOOKUP($R163,Capa!$A:$AJ,AW$5,0),0),IF(ISERROR(1/VLOOKUP($R163,Capa!$A:$AJ,AW$5,0)),0,1/VLOOKUP($R163,Capa!$A:$AJ,AW$5,0))))</f>
        <v/>
      </c>
      <c r="AX163" s="174" t="str">
        <f>IF(AX$6="","",IF(AX$3="Maior",iferror(VLOOKUP($R163,Capa!$A:$AJ,AX$5,0),0),IF(ISERROR(1/VLOOKUP($R163,Capa!$A:$AJ,AX$5,0)),0,1/VLOOKUP($R163,Capa!$A:$AJ,AX$5,0))))</f>
        <v/>
      </c>
      <c r="AY163" s="174" t="str">
        <f>IF(AY$6="","",IF(AY$3="Maior",iferror(VLOOKUP($R163,Capa!$A:$AJ,AY$5,0),0),IF(ISERROR(1/VLOOKUP($R163,Capa!$A:$AJ,AY$5,0)),0,1/VLOOKUP($R163,Capa!$A:$AJ,AY$5,0))))</f>
        <v/>
      </c>
      <c r="AZ163" s="174" t="str">
        <f>IF(AZ$6="","",IF(AZ$3="Maior",iferror(VLOOKUP($R163,Capa!$A:$AJ,AZ$5,0),0),IF(ISERROR(1/VLOOKUP($R163,Capa!$A:$AJ,AZ$5,0)),0,1/VLOOKUP($R163,Capa!$A:$AJ,AZ$5,0))))</f>
        <v/>
      </c>
      <c r="BA163" s="174" t="str">
        <f>IF(BA$6="","",IF(BA$3="Maior",iferror(VLOOKUP($R163,Capa!$A:$AJ,BA$5,0),0),IF(ISERROR(1/VLOOKUP($R163,Capa!$A:$AJ,BA$5,0)),0,1/VLOOKUP($R163,Capa!$A:$AJ,BA$5,0))))</f>
        <v/>
      </c>
      <c r="BB163" s="174" t="str">
        <f>IF(BB$6="","",IF(BB$3="Maior",iferror(VLOOKUP($R163,Capa!$A:$AJ,BB$5,0),0),IF(ISERROR(1/VLOOKUP($R163,Capa!$A:$AJ,BB$5,0)),0,1/VLOOKUP($R163,Capa!$A:$AJ,BB$5,0))))</f>
        <v/>
      </c>
      <c r="BC163" s="174" t="str">
        <f>IF(BC$6="","",IF(BC$3="Maior",iferror(VLOOKUP($R163,Capa!$A:$AJ,BC$5,0),0),IF(ISERROR(1/VLOOKUP($R163,Capa!$A:$AJ,BC$5,0)),0,1/VLOOKUP($R163,Capa!$A:$AJ,BC$5,0))))</f>
        <v/>
      </c>
      <c r="BD163" s="174" t="str">
        <f>IF(BD$6="","",IF(BD$3="Maior",iferror(VLOOKUP($R163,Capa!$A:$AJ,BD$5,0),0),IF(ISERROR(1/VLOOKUP($R163,Capa!$A:$AJ,BD$5,0)),0,1/VLOOKUP($R163,Capa!$A:$AJ,BD$5,0))))</f>
        <v/>
      </c>
      <c r="BE163" s="174" t="str">
        <f>IF(BE$6="","",IF(BE$3="Maior",iferror(VLOOKUP($R163,Capa!$A:$AJ,BE$5,0),0),IF(ISERROR(1/VLOOKUP($R163,Capa!$A:$AJ,BE$5,0)),0,1/VLOOKUP($R163,Capa!$A:$AJ,BE$5,0))))</f>
        <v/>
      </c>
      <c r="BF163" s="174" t="str">
        <f>IF(BF$6="","",IF(BF$3="Maior",iferror(VLOOKUP($R163,Capa!$A:$AJ,BF$5,0),0),IF(ISERROR(1/VLOOKUP($R163,Capa!$A:$AJ,BF$5,0)),0,1/VLOOKUP($R163,Capa!$A:$AJ,BF$5,0))))</f>
        <v/>
      </c>
      <c r="BG163" s="174" t="str">
        <f>IF(BG$6="","",IF(BG$3="Maior",iferror(VLOOKUP($R163,Capa!$A:$AJ,BG$5,0),0),IF(ISERROR(1/VLOOKUP($R163,Capa!$A:$AJ,BG$5,0)),0,1/VLOOKUP($R163,Capa!$A:$AJ,BG$5,0))))</f>
        <v/>
      </c>
      <c r="BH163" s="174" t="str">
        <f>IF(BH$6="","",IF(BH$3="Maior",iferror(VLOOKUP($R163,Capa!$A:$AJ,BH$5,0),0),IF(ISERROR(1/VLOOKUP($R163,Capa!$A:$AJ,BH$5,0)),0,1/VLOOKUP($R163,Capa!$A:$AJ,BH$5,0))))</f>
        <v/>
      </c>
      <c r="BI163" s="174" t="str">
        <f>IF(BI$6="","",IF(BI$3="Maior",iferror(VLOOKUP($R163,Capa!$A:$AJ,BI$5,0),0),IF(ISERROR(1/VLOOKUP($R163,Capa!$A:$AJ,BI$5,0)),0,1/VLOOKUP($R163,Capa!$A:$AJ,BI$5,0))))</f>
        <v/>
      </c>
      <c r="BJ163" s="174" t="str">
        <f>IF(BJ$6="","",IF(BJ$3="Maior",iferror(VLOOKUP($R163,Capa!$A:$AJ,BJ$5,0),0),IF(ISERROR(1/VLOOKUP($R163,Capa!$A:$AJ,BJ$5,0)),0,1/VLOOKUP($R163,Capa!$A:$AJ,BJ$5,0))))</f>
        <v/>
      </c>
      <c r="BK163" s="174" t="str">
        <f>IF(BK$6="","",IF(BK$3="Maior",iferror(VLOOKUP($R163,Capa!$A:$AJ,BK$5,0),0),IF(ISERROR(1/VLOOKUP($R163,Capa!$A:$AJ,BK$5,0)),0,1/VLOOKUP($R163,Capa!$A:$AJ,BK$5,0))))</f>
        <v/>
      </c>
      <c r="BL163" s="174" t="str">
        <f>IF(BL$6="","",IF(BL$3="Maior",iferror(VLOOKUP($R163,Capa!$A:$AJ,BL$5,0),0),IF(ISERROR(1/VLOOKUP($R163,Capa!$A:$AJ,BL$5,0)),0,1/VLOOKUP($R163,Capa!$A:$AJ,BL$5,0))))</f>
        <v/>
      </c>
      <c r="BM163" s="174" t="str">
        <f>IF(BM$6="","",IF(BM$3="Maior",iferror(VLOOKUP($R163,Capa!$A:$AJ,BM$5,0),0),IF(ISERROR(1/VLOOKUP($R163,Capa!$A:$AJ,BM$5,0)),0,1/VLOOKUP($R163,Capa!$A:$AJ,BM$5,0))))</f>
        <v/>
      </c>
      <c r="BN163" s="174" t="str">
        <f>IF(BN$6="","",IF(BN$3="Maior",iferror(VLOOKUP($R163,Capa!$A:$AJ,BN$5,0),0),IF(ISERROR(1/VLOOKUP($R163,Capa!$A:$AJ,BN$5,0)),0,1/VLOOKUP($R163,Capa!$A:$AJ,BN$5,0))))</f>
        <v/>
      </c>
      <c r="BO163" s="174" t="str">
        <f>IF(BO$6="","",IF(BO$3="Maior",iferror(VLOOKUP($R163,Capa!$A:$AJ,BO$5,0),0),IF(ISERROR(1/VLOOKUP($R163,Capa!$A:$AJ,BO$5,0)),0,1/VLOOKUP($R163,Capa!$A:$AJ,BO$5,0))))</f>
        <v/>
      </c>
      <c r="BP163" s="174" t="str">
        <f>IF(BP$6="","",IF(BP$3="Maior",iferror(VLOOKUP($R163,Capa!$A:$AJ,BP$5,0),0),IF(ISERROR(1/VLOOKUP($R163,Capa!$A:$AJ,BP$5,0)),0,1/VLOOKUP($R163,Capa!$A:$AJ,BP$5,0))))</f>
        <v/>
      </c>
      <c r="BQ163" s="174" t="str">
        <f>IF(BQ$6="","",IF(BQ$3="Maior",iferror(VLOOKUP($R163,Capa!$A:$AJ,BQ$5,0),0),IF(ISERROR(1/VLOOKUP($R163,Capa!$A:$AJ,BQ$5,0)),0,1/VLOOKUP($R163,Capa!$A:$AJ,BQ$5,0))))</f>
        <v/>
      </c>
      <c r="BR163" s="175"/>
      <c r="BS163" s="147"/>
    </row>
    <row r="164">
      <c r="G164" s="11"/>
      <c r="H164" s="8">
        <v>158.0</v>
      </c>
      <c r="I164" s="165" t="str">
        <f t="shared" si="6"/>
        <v>MGLU3</v>
      </c>
      <c r="J164" s="166" t="str">
        <f>(VLOOKUP($I164,Capa!$A:$B,2,0))</f>
        <v>Magazine Luiza Cedar</v>
      </c>
      <c r="K164" s="167" t="str">
        <f>VLOOKUP(left(I164,4),Setor!A:D,3,0)&amp;" | "&amp;VLOOKUP(left(I164,4),Setor!A:D,4,0)</f>
        <v>Consumo Cíclico | Comércio</v>
      </c>
      <c r="L164" s="168">
        <f>(VLOOKUP($I164,Capa!$A:$F,6,0))</f>
        <v>2947.5</v>
      </c>
      <c r="M164" s="168">
        <f t="shared" si="7"/>
        <v>195000000</v>
      </c>
      <c r="N164" s="11" t="str">
        <f>IFERROR(__xludf.DUMMYFUNCTION("(VLOOKUP($I164,Capa!$A:$H,7,0))"),"")</f>
        <v/>
      </c>
      <c r="O164" s="169">
        <f>(VLOOKUP($I164,Capa!$A:$H,8,0))</f>
        <v>0.1754735793</v>
      </c>
      <c r="P164" s="11" t="str">
        <f>IFERROR(__xludf.DUMMYFUNCTION("(VLOOKUP($I164,Capa!$A:$J,10,0))"),"")</f>
        <v/>
      </c>
      <c r="Q164" s="169">
        <f>(VLOOKUP($I164,Capa!$A:$K,11,0))</f>
        <v>0.8537735849</v>
      </c>
      <c r="R164" s="45" t="str">
        <f>'Dados StatusInvest'!A159</f>
        <v>CIEL3</v>
      </c>
      <c r="S164" s="170">
        <f t="shared" si="8"/>
        <v>1305.0305</v>
      </c>
      <c r="T164" s="171">
        <f>VLOOKUP(R164,'Dados StatusInvest'!A:Z,26,0)</f>
        <v>0</v>
      </c>
      <c r="U164" s="172">
        <f t="shared" ref="U164:AS164" si="166">IF(AT164="","", RANK(AT164,AT$7:AT$626,0)+RANK(AT164,AT$7:AT$626,0)/10000)</f>
        <v>228.0228</v>
      </c>
      <c r="V164" s="172">
        <f t="shared" si="166"/>
        <v>77.0077</v>
      </c>
      <c r="W164" s="172" t="str">
        <f t="shared" si="166"/>
        <v/>
      </c>
      <c r="X164" s="172" t="str">
        <f t="shared" si="166"/>
        <v/>
      </c>
      <c r="Y164" s="172" t="str">
        <f t="shared" si="166"/>
        <v/>
      </c>
      <c r="Z164" s="172" t="str">
        <f t="shared" si="166"/>
        <v/>
      </c>
      <c r="AA164" s="172" t="str">
        <f t="shared" si="166"/>
        <v/>
      </c>
      <c r="AB164" s="172" t="str">
        <f t="shared" si="166"/>
        <v/>
      </c>
      <c r="AC164" s="172" t="str">
        <f t="shared" si="166"/>
        <v/>
      </c>
      <c r="AD164" s="172" t="str">
        <f t="shared" si="166"/>
        <v/>
      </c>
      <c r="AE164" s="172" t="str">
        <f t="shared" si="166"/>
        <v/>
      </c>
      <c r="AF164" s="172" t="str">
        <f t="shared" si="166"/>
        <v/>
      </c>
      <c r="AG164" s="172" t="str">
        <f t="shared" si="166"/>
        <v/>
      </c>
      <c r="AH164" s="172" t="str">
        <f t="shared" si="166"/>
        <v/>
      </c>
      <c r="AI164" s="172" t="str">
        <f t="shared" si="166"/>
        <v/>
      </c>
      <c r="AJ164" s="172" t="str">
        <f t="shared" si="166"/>
        <v/>
      </c>
      <c r="AK164" s="172" t="str">
        <f t="shared" si="166"/>
        <v/>
      </c>
      <c r="AL164" s="172" t="str">
        <f t="shared" si="166"/>
        <v/>
      </c>
      <c r="AM164" s="172" t="str">
        <f t="shared" si="166"/>
        <v/>
      </c>
      <c r="AN164" s="172" t="str">
        <f t="shared" si="166"/>
        <v/>
      </c>
      <c r="AO164" s="172" t="str">
        <f t="shared" si="166"/>
        <v/>
      </c>
      <c r="AP164" s="172" t="str">
        <f t="shared" si="166"/>
        <v/>
      </c>
      <c r="AQ164" s="172" t="str">
        <f t="shared" si="166"/>
        <v/>
      </c>
      <c r="AR164" s="172" t="str">
        <f t="shared" si="166"/>
        <v/>
      </c>
      <c r="AS164" s="172" t="str">
        <f t="shared" si="166"/>
        <v/>
      </c>
      <c r="AT164" s="173">
        <f>IF(AT$6="","",IF(AT$3="Maior",iferror(VLOOKUP($R164,Capa!$A:$AJ,AT$5,0),0),IF(ISERROR(1/VLOOKUP($R164,Capa!$A:$AJ,AT$5,0)),0,1/VLOOKUP($R164,Capa!$A:$AJ,AT$5,0))))</f>
        <v>-0.3861003861</v>
      </c>
      <c r="AU164" s="174">
        <f>IF(AU$6="","",IF(AU$3="Maior",iferror(VLOOKUP($R164,Capa!$A:$AJ,AU$5,0),0),IF(ISERROR(1/VLOOKUP($R164,Capa!$A:$AJ,AU$5,0)),0,1/VLOOKUP($R164,Capa!$A:$AJ,AU$5,0))))</f>
        <v>30.96</v>
      </c>
      <c r="AV164" s="174" t="str">
        <f>IF(AV$6="","",IF(AV$3="Maior",iferror(VLOOKUP($R164,Capa!$A:$AJ,AV$5,0),0),IF(ISERROR(1/VLOOKUP($R164,Capa!$A:$AJ,AV$5,0)),0,1/VLOOKUP($R164,Capa!$A:$AJ,AV$5,0))))</f>
        <v/>
      </c>
      <c r="AW164" s="174" t="str">
        <f>IF(AW$6="","",IF(AW$3="Maior",iferror(VLOOKUP($R164,Capa!$A:$AJ,AW$5,0),0),IF(ISERROR(1/VLOOKUP($R164,Capa!$A:$AJ,AW$5,0)),0,1/VLOOKUP($R164,Capa!$A:$AJ,AW$5,0))))</f>
        <v/>
      </c>
      <c r="AX164" s="174" t="str">
        <f>IF(AX$6="","",IF(AX$3="Maior",iferror(VLOOKUP($R164,Capa!$A:$AJ,AX$5,0),0),IF(ISERROR(1/VLOOKUP($R164,Capa!$A:$AJ,AX$5,0)),0,1/VLOOKUP($R164,Capa!$A:$AJ,AX$5,0))))</f>
        <v/>
      </c>
      <c r="AY164" s="174" t="str">
        <f>IF(AY$6="","",IF(AY$3="Maior",iferror(VLOOKUP($R164,Capa!$A:$AJ,AY$5,0),0),IF(ISERROR(1/VLOOKUP($R164,Capa!$A:$AJ,AY$5,0)),0,1/VLOOKUP($R164,Capa!$A:$AJ,AY$5,0))))</f>
        <v/>
      </c>
      <c r="AZ164" s="174" t="str">
        <f>IF(AZ$6="","",IF(AZ$3="Maior",iferror(VLOOKUP($R164,Capa!$A:$AJ,AZ$5,0),0),IF(ISERROR(1/VLOOKUP($R164,Capa!$A:$AJ,AZ$5,0)),0,1/VLOOKUP($R164,Capa!$A:$AJ,AZ$5,0))))</f>
        <v/>
      </c>
      <c r="BA164" s="174" t="str">
        <f>IF(BA$6="","",IF(BA$3="Maior",iferror(VLOOKUP($R164,Capa!$A:$AJ,BA$5,0),0),IF(ISERROR(1/VLOOKUP($R164,Capa!$A:$AJ,BA$5,0)),0,1/VLOOKUP($R164,Capa!$A:$AJ,BA$5,0))))</f>
        <v/>
      </c>
      <c r="BB164" s="174" t="str">
        <f>IF(BB$6="","",IF(BB$3="Maior",iferror(VLOOKUP($R164,Capa!$A:$AJ,BB$5,0),0),IF(ISERROR(1/VLOOKUP($R164,Capa!$A:$AJ,BB$5,0)),0,1/VLOOKUP($R164,Capa!$A:$AJ,BB$5,0))))</f>
        <v/>
      </c>
      <c r="BC164" s="174" t="str">
        <f>IF(BC$6="","",IF(BC$3="Maior",iferror(VLOOKUP($R164,Capa!$A:$AJ,BC$5,0),0),IF(ISERROR(1/VLOOKUP($R164,Capa!$A:$AJ,BC$5,0)),0,1/VLOOKUP($R164,Capa!$A:$AJ,BC$5,0))))</f>
        <v/>
      </c>
      <c r="BD164" s="174" t="str">
        <f>IF(BD$6="","",IF(BD$3="Maior",iferror(VLOOKUP($R164,Capa!$A:$AJ,BD$5,0),0),IF(ISERROR(1/VLOOKUP($R164,Capa!$A:$AJ,BD$5,0)),0,1/VLOOKUP($R164,Capa!$A:$AJ,BD$5,0))))</f>
        <v/>
      </c>
      <c r="BE164" s="174" t="str">
        <f>IF(BE$6="","",IF(BE$3="Maior",iferror(VLOOKUP($R164,Capa!$A:$AJ,BE$5,0),0),IF(ISERROR(1/VLOOKUP($R164,Capa!$A:$AJ,BE$5,0)),0,1/VLOOKUP($R164,Capa!$A:$AJ,BE$5,0))))</f>
        <v/>
      </c>
      <c r="BF164" s="174" t="str">
        <f>IF(BF$6="","",IF(BF$3="Maior",iferror(VLOOKUP($R164,Capa!$A:$AJ,BF$5,0),0),IF(ISERROR(1/VLOOKUP($R164,Capa!$A:$AJ,BF$5,0)),0,1/VLOOKUP($R164,Capa!$A:$AJ,BF$5,0))))</f>
        <v/>
      </c>
      <c r="BG164" s="174" t="str">
        <f>IF(BG$6="","",IF(BG$3="Maior",iferror(VLOOKUP($R164,Capa!$A:$AJ,BG$5,0),0),IF(ISERROR(1/VLOOKUP($R164,Capa!$A:$AJ,BG$5,0)),0,1/VLOOKUP($R164,Capa!$A:$AJ,BG$5,0))))</f>
        <v/>
      </c>
      <c r="BH164" s="174" t="str">
        <f>IF(BH$6="","",IF(BH$3="Maior",iferror(VLOOKUP($R164,Capa!$A:$AJ,BH$5,0),0),IF(ISERROR(1/VLOOKUP($R164,Capa!$A:$AJ,BH$5,0)),0,1/VLOOKUP($R164,Capa!$A:$AJ,BH$5,0))))</f>
        <v/>
      </c>
      <c r="BI164" s="174" t="str">
        <f>IF(BI$6="","",IF(BI$3="Maior",iferror(VLOOKUP($R164,Capa!$A:$AJ,BI$5,0),0),IF(ISERROR(1/VLOOKUP($R164,Capa!$A:$AJ,BI$5,0)),0,1/VLOOKUP($R164,Capa!$A:$AJ,BI$5,0))))</f>
        <v/>
      </c>
      <c r="BJ164" s="174" t="str">
        <f>IF(BJ$6="","",IF(BJ$3="Maior",iferror(VLOOKUP($R164,Capa!$A:$AJ,BJ$5,0),0),IF(ISERROR(1/VLOOKUP($R164,Capa!$A:$AJ,BJ$5,0)),0,1/VLOOKUP($R164,Capa!$A:$AJ,BJ$5,0))))</f>
        <v/>
      </c>
      <c r="BK164" s="174" t="str">
        <f>IF(BK$6="","",IF(BK$3="Maior",iferror(VLOOKUP($R164,Capa!$A:$AJ,BK$5,0),0),IF(ISERROR(1/VLOOKUP($R164,Capa!$A:$AJ,BK$5,0)),0,1/VLOOKUP($R164,Capa!$A:$AJ,BK$5,0))))</f>
        <v/>
      </c>
      <c r="BL164" s="174" t="str">
        <f>IF(BL$6="","",IF(BL$3="Maior",iferror(VLOOKUP($R164,Capa!$A:$AJ,BL$5,0),0),IF(ISERROR(1/VLOOKUP($R164,Capa!$A:$AJ,BL$5,0)),0,1/VLOOKUP($R164,Capa!$A:$AJ,BL$5,0))))</f>
        <v/>
      </c>
      <c r="BM164" s="174" t="str">
        <f>IF(BM$6="","",IF(BM$3="Maior",iferror(VLOOKUP($R164,Capa!$A:$AJ,BM$5,0),0),IF(ISERROR(1/VLOOKUP($R164,Capa!$A:$AJ,BM$5,0)),0,1/VLOOKUP($R164,Capa!$A:$AJ,BM$5,0))))</f>
        <v/>
      </c>
      <c r="BN164" s="174" t="str">
        <f>IF(BN$6="","",IF(BN$3="Maior",iferror(VLOOKUP($R164,Capa!$A:$AJ,BN$5,0),0),IF(ISERROR(1/VLOOKUP($R164,Capa!$A:$AJ,BN$5,0)),0,1/VLOOKUP($R164,Capa!$A:$AJ,BN$5,0))))</f>
        <v/>
      </c>
      <c r="BO164" s="174" t="str">
        <f>IF(BO$6="","",IF(BO$3="Maior",iferror(VLOOKUP($R164,Capa!$A:$AJ,BO$5,0),0),IF(ISERROR(1/VLOOKUP($R164,Capa!$A:$AJ,BO$5,0)),0,1/VLOOKUP($R164,Capa!$A:$AJ,BO$5,0))))</f>
        <v/>
      </c>
      <c r="BP164" s="174" t="str">
        <f>IF(BP$6="","",IF(BP$3="Maior",iferror(VLOOKUP($R164,Capa!$A:$AJ,BP$5,0),0),IF(ISERROR(1/VLOOKUP($R164,Capa!$A:$AJ,BP$5,0)),0,1/VLOOKUP($R164,Capa!$A:$AJ,BP$5,0))))</f>
        <v/>
      </c>
      <c r="BQ164" s="174" t="str">
        <f>IF(BQ$6="","",IF(BQ$3="Maior",iferror(VLOOKUP($R164,Capa!$A:$AJ,BQ$5,0),0),IF(ISERROR(1/VLOOKUP($R164,Capa!$A:$AJ,BQ$5,0)),0,1/VLOOKUP($R164,Capa!$A:$AJ,BQ$5,0))))</f>
        <v/>
      </c>
      <c r="BR164" s="175"/>
      <c r="BS164" s="147"/>
    </row>
    <row r="165">
      <c r="G165" s="11"/>
      <c r="H165" s="8">
        <v>159.0</v>
      </c>
      <c r="I165" s="165" t="str">
        <f t="shared" si="6"/>
        <v>TIMS3</v>
      </c>
      <c r="J165" s="166" t="str">
        <f>(VLOOKUP($I165,Capa!$A:$B,2,0))</f>
        <v>Tim Cedear</v>
      </c>
      <c r="K165" s="167" t="str">
        <f>VLOOKUP(left(I165,4),Setor!A:D,3,0)&amp;" | "&amp;VLOOKUP(left(I165,4),Setor!A:D,4,0)</f>
        <v>Comunicações | Telecomunicações</v>
      </c>
      <c r="L165" s="168">
        <f>(VLOOKUP($I165,Capa!$A:$F,6,0))</f>
        <v>7555</v>
      </c>
      <c r="M165" s="168">
        <f t="shared" si="7"/>
        <v>184000000</v>
      </c>
      <c r="N165" s="177" t="str">
        <f>IFERROR(__xludf.DUMMYFUNCTION("(VLOOKUP($I165,Capa!$A:$H,7,0))"),"")</f>
        <v/>
      </c>
      <c r="O165" s="169">
        <f>(VLOOKUP($I165,Capa!$A:$H,8,0))</f>
        <v>0.09572153735</v>
      </c>
      <c r="P165" s="169" t="str">
        <f>IFERROR(__xludf.DUMMYFUNCTION("(VLOOKUP($I165,Capa!$A:$J,10,0))"),"")</f>
        <v/>
      </c>
      <c r="Q165" s="169">
        <f>(VLOOKUP($I165,Capa!$A:$K,11,0))</f>
        <v>1.055782313</v>
      </c>
      <c r="R165" s="45" t="str">
        <f>'Dados StatusInvest'!A160</f>
        <v>CLSA3</v>
      </c>
      <c r="S165" s="170">
        <f t="shared" si="8"/>
        <v>410.041</v>
      </c>
      <c r="T165" s="171">
        <f>VLOOKUP(R165,'Dados StatusInvest'!A:Z,26,0)</f>
        <v>57778110</v>
      </c>
      <c r="U165" s="172">
        <f t="shared" ref="U165:AS165" si="167">IF(AT165="","", RANK(AT165,AT$7:AT$626,0)+RANK(AT165,AT$7:AT$626,0)/10000)</f>
        <v>143.0143</v>
      </c>
      <c r="V165" s="172">
        <f t="shared" si="167"/>
        <v>267.0267</v>
      </c>
      <c r="W165" s="172" t="str">
        <f t="shared" si="167"/>
        <v/>
      </c>
      <c r="X165" s="172" t="str">
        <f t="shared" si="167"/>
        <v/>
      </c>
      <c r="Y165" s="172" t="str">
        <f t="shared" si="167"/>
        <v/>
      </c>
      <c r="Z165" s="172" t="str">
        <f t="shared" si="167"/>
        <v/>
      </c>
      <c r="AA165" s="172" t="str">
        <f t="shared" si="167"/>
        <v/>
      </c>
      <c r="AB165" s="172" t="str">
        <f t="shared" si="167"/>
        <v/>
      </c>
      <c r="AC165" s="172" t="str">
        <f t="shared" si="167"/>
        <v/>
      </c>
      <c r="AD165" s="172" t="str">
        <f t="shared" si="167"/>
        <v/>
      </c>
      <c r="AE165" s="172" t="str">
        <f t="shared" si="167"/>
        <v/>
      </c>
      <c r="AF165" s="172" t="str">
        <f t="shared" si="167"/>
        <v/>
      </c>
      <c r="AG165" s="172" t="str">
        <f t="shared" si="167"/>
        <v/>
      </c>
      <c r="AH165" s="172" t="str">
        <f t="shared" si="167"/>
        <v/>
      </c>
      <c r="AI165" s="172" t="str">
        <f t="shared" si="167"/>
        <v/>
      </c>
      <c r="AJ165" s="172" t="str">
        <f t="shared" si="167"/>
        <v/>
      </c>
      <c r="AK165" s="172" t="str">
        <f t="shared" si="167"/>
        <v/>
      </c>
      <c r="AL165" s="172" t="str">
        <f t="shared" si="167"/>
        <v/>
      </c>
      <c r="AM165" s="172" t="str">
        <f t="shared" si="167"/>
        <v/>
      </c>
      <c r="AN165" s="172" t="str">
        <f t="shared" si="167"/>
        <v/>
      </c>
      <c r="AO165" s="172" t="str">
        <f t="shared" si="167"/>
        <v/>
      </c>
      <c r="AP165" s="172" t="str">
        <f t="shared" si="167"/>
        <v/>
      </c>
      <c r="AQ165" s="172" t="str">
        <f t="shared" si="167"/>
        <v/>
      </c>
      <c r="AR165" s="172" t="str">
        <f t="shared" si="167"/>
        <v/>
      </c>
      <c r="AS165" s="172" t="str">
        <f t="shared" si="167"/>
        <v/>
      </c>
      <c r="AT165" s="173">
        <f>IF(AT$6="","",IF(AT$3="Maior",iferror(VLOOKUP($R165,Capa!$A:$AJ,AT$5,0),0),IF(ISERROR(1/VLOOKUP($R165,Capa!$A:$AJ,AT$5,0)),0,1/VLOOKUP($R165,Capa!$A:$AJ,AT$5,0))))</f>
        <v>-0.07788161994</v>
      </c>
      <c r="AU165" s="174">
        <f>IF(AU$6="","",IF(AU$3="Maior",iferror(VLOOKUP($R165,Capa!$A:$AJ,AU$5,0),0),IF(ISERROR(1/VLOOKUP($R165,Capa!$A:$AJ,AU$5,0)),0,1/VLOOKUP($R165,Capa!$A:$AJ,AU$5,0))))</f>
        <v>0</v>
      </c>
      <c r="AV165" s="174" t="str">
        <f>IF(AV$6="","",IF(AV$3="Maior",iferror(VLOOKUP($R165,Capa!$A:$AJ,AV$5,0),0),IF(ISERROR(1/VLOOKUP($R165,Capa!$A:$AJ,AV$5,0)),0,1/VLOOKUP($R165,Capa!$A:$AJ,AV$5,0))))</f>
        <v/>
      </c>
      <c r="AW165" s="174" t="str">
        <f>IF(AW$6="","",IF(AW$3="Maior",iferror(VLOOKUP($R165,Capa!$A:$AJ,AW$5,0),0),IF(ISERROR(1/VLOOKUP($R165,Capa!$A:$AJ,AW$5,0)),0,1/VLOOKUP($R165,Capa!$A:$AJ,AW$5,0))))</f>
        <v/>
      </c>
      <c r="AX165" s="174" t="str">
        <f>IF(AX$6="","",IF(AX$3="Maior",iferror(VLOOKUP($R165,Capa!$A:$AJ,AX$5,0),0),IF(ISERROR(1/VLOOKUP($R165,Capa!$A:$AJ,AX$5,0)),0,1/VLOOKUP($R165,Capa!$A:$AJ,AX$5,0))))</f>
        <v/>
      </c>
      <c r="AY165" s="174" t="str">
        <f>IF(AY$6="","",IF(AY$3="Maior",iferror(VLOOKUP($R165,Capa!$A:$AJ,AY$5,0),0),IF(ISERROR(1/VLOOKUP($R165,Capa!$A:$AJ,AY$5,0)),0,1/VLOOKUP($R165,Capa!$A:$AJ,AY$5,0))))</f>
        <v/>
      </c>
      <c r="AZ165" s="174" t="str">
        <f>IF(AZ$6="","",IF(AZ$3="Maior",iferror(VLOOKUP($R165,Capa!$A:$AJ,AZ$5,0),0),IF(ISERROR(1/VLOOKUP($R165,Capa!$A:$AJ,AZ$5,0)),0,1/VLOOKUP($R165,Capa!$A:$AJ,AZ$5,0))))</f>
        <v/>
      </c>
      <c r="BA165" s="174" t="str">
        <f>IF(BA$6="","",IF(BA$3="Maior",iferror(VLOOKUP($R165,Capa!$A:$AJ,BA$5,0),0),IF(ISERROR(1/VLOOKUP($R165,Capa!$A:$AJ,BA$5,0)),0,1/VLOOKUP($R165,Capa!$A:$AJ,BA$5,0))))</f>
        <v/>
      </c>
      <c r="BB165" s="174" t="str">
        <f>IF(BB$6="","",IF(BB$3="Maior",iferror(VLOOKUP($R165,Capa!$A:$AJ,BB$5,0),0),IF(ISERROR(1/VLOOKUP($R165,Capa!$A:$AJ,BB$5,0)),0,1/VLOOKUP($R165,Capa!$A:$AJ,BB$5,0))))</f>
        <v/>
      </c>
      <c r="BC165" s="174" t="str">
        <f>IF(BC$6="","",IF(BC$3="Maior",iferror(VLOOKUP($R165,Capa!$A:$AJ,BC$5,0),0),IF(ISERROR(1/VLOOKUP($R165,Capa!$A:$AJ,BC$5,0)),0,1/VLOOKUP($R165,Capa!$A:$AJ,BC$5,0))))</f>
        <v/>
      </c>
      <c r="BD165" s="174" t="str">
        <f>IF(BD$6="","",IF(BD$3="Maior",iferror(VLOOKUP($R165,Capa!$A:$AJ,BD$5,0),0),IF(ISERROR(1/VLOOKUP($R165,Capa!$A:$AJ,BD$5,0)),0,1/VLOOKUP($R165,Capa!$A:$AJ,BD$5,0))))</f>
        <v/>
      </c>
      <c r="BE165" s="174" t="str">
        <f>IF(BE$6="","",IF(BE$3="Maior",iferror(VLOOKUP($R165,Capa!$A:$AJ,BE$5,0),0),IF(ISERROR(1/VLOOKUP($R165,Capa!$A:$AJ,BE$5,0)),0,1/VLOOKUP($R165,Capa!$A:$AJ,BE$5,0))))</f>
        <v/>
      </c>
      <c r="BF165" s="174" t="str">
        <f>IF(BF$6="","",IF(BF$3="Maior",iferror(VLOOKUP($R165,Capa!$A:$AJ,BF$5,0),0),IF(ISERROR(1/VLOOKUP($R165,Capa!$A:$AJ,BF$5,0)),0,1/VLOOKUP($R165,Capa!$A:$AJ,BF$5,0))))</f>
        <v/>
      </c>
      <c r="BG165" s="174" t="str">
        <f>IF(BG$6="","",IF(BG$3="Maior",iferror(VLOOKUP($R165,Capa!$A:$AJ,BG$5,0),0),IF(ISERROR(1/VLOOKUP($R165,Capa!$A:$AJ,BG$5,0)),0,1/VLOOKUP($R165,Capa!$A:$AJ,BG$5,0))))</f>
        <v/>
      </c>
      <c r="BH165" s="174" t="str">
        <f>IF(BH$6="","",IF(BH$3="Maior",iferror(VLOOKUP($R165,Capa!$A:$AJ,BH$5,0),0),IF(ISERROR(1/VLOOKUP($R165,Capa!$A:$AJ,BH$5,0)),0,1/VLOOKUP($R165,Capa!$A:$AJ,BH$5,0))))</f>
        <v/>
      </c>
      <c r="BI165" s="174" t="str">
        <f>IF(BI$6="","",IF(BI$3="Maior",iferror(VLOOKUP($R165,Capa!$A:$AJ,BI$5,0),0),IF(ISERROR(1/VLOOKUP($R165,Capa!$A:$AJ,BI$5,0)),0,1/VLOOKUP($R165,Capa!$A:$AJ,BI$5,0))))</f>
        <v/>
      </c>
      <c r="BJ165" s="174" t="str">
        <f>IF(BJ$6="","",IF(BJ$3="Maior",iferror(VLOOKUP($R165,Capa!$A:$AJ,BJ$5,0),0),IF(ISERROR(1/VLOOKUP($R165,Capa!$A:$AJ,BJ$5,0)),0,1/VLOOKUP($R165,Capa!$A:$AJ,BJ$5,0))))</f>
        <v/>
      </c>
      <c r="BK165" s="174" t="str">
        <f>IF(BK$6="","",IF(BK$3="Maior",iferror(VLOOKUP($R165,Capa!$A:$AJ,BK$5,0),0),IF(ISERROR(1/VLOOKUP($R165,Capa!$A:$AJ,BK$5,0)),0,1/VLOOKUP($R165,Capa!$A:$AJ,BK$5,0))))</f>
        <v/>
      </c>
      <c r="BL165" s="174" t="str">
        <f>IF(BL$6="","",IF(BL$3="Maior",iferror(VLOOKUP($R165,Capa!$A:$AJ,BL$5,0),0),IF(ISERROR(1/VLOOKUP($R165,Capa!$A:$AJ,BL$5,0)),0,1/VLOOKUP($R165,Capa!$A:$AJ,BL$5,0))))</f>
        <v/>
      </c>
      <c r="BM165" s="174" t="str">
        <f>IF(BM$6="","",IF(BM$3="Maior",iferror(VLOOKUP($R165,Capa!$A:$AJ,BM$5,0),0),IF(ISERROR(1/VLOOKUP($R165,Capa!$A:$AJ,BM$5,0)),0,1/VLOOKUP($R165,Capa!$A:$AJ,BM$5,0))))</f>
        <v/>
      </c>
      <c r="BN165" s="174" t="str">
        <f>IF(BN$6="","",IF(BN$3="Maior",iferror(VLOOKUP($R165,Capa!$A:$AJ,BN$5,0),0),IF(ISERROR(1/VLOOKUP($R165,Capa!$A:$AJ,BN$5,0)),0,1/VLOOKUP($R165,Capa!$A:$AJ,BN$5,0))))</f>
        <v/>
      </c>
      <c r="BO165" s="174" t="str">
        <f>IF(BO$6="","",IF(BO$3="Maior",iferror(VLOOKUP($R165,Capa!$A:$AJ,BO$5,0),0),IF(ISERROR(1/VLOOKUP($R165,Capa!$A:$AJ,BO$5,0)),0,1/VLOOKUP($R165,Capa!$A:$AJ,BO$5,0))))</f>
        <v/>
      </c>
      <c r="BP165" s="174" t="str">
        <f>IF(BP$6="","",IF(BP$3="Maior",iferror(VLOOKUP($R165,Capa!$A:$AJ,BP$5,0),0),IF(ISERROR(1/VLOOKUP($R165,Capa!$A:$AJ,BP$5,0)),0,1/VLOOKUP($R165,Capa!$A:$AJ,BP$5,0))))</f>
        <v/>
      </c>
      <c r="BQ165" s="174" t="str">
        <f>IF(BQ$6="","",IF(BQ$3="Maior",iferror(VLOOKUP($R165,Capa!$A:$AJ,BQ$5,0),0),IF(ISERROR(1/VLOOKUP($R165,Capa!$A:$AJ,BQ$5,0)),0,1/VLOOKUP($R165,Capa!$A:$AJ,BQ$5,0))))</f>
        <v/>
      </c>
      <c r="BR165" s="175"/>
      <c r="BS165" s="147"/>
    </row>
    <row r="166">
      <c r="G166" s="11"/>
      <c r="H166" s="8">
        <v>160.0</v>
      </c>
      <c r="I166" s="165" t="str">
        <f t="shared" si="6"/>
        <v>RANI3</v>
      </c>
      <c r="J166" s="166" t="str">
        <f>(VLOOKUP($I166,Capa!$A:$B,2,0))</f>
        <v>Irani Papel e Embalagem SA</v>
      </c>
      <c r="K166" s="167" t="str">
        <f>VLOOKUP(left(I166,4),Setor!A:D,3,0)&amp;" | "&amp;VLOOKUP(left(I166,4),Setor!A:D,4,0)</f>
        <v>Materiais Básicos | Madeira e Papel</v>
      </c>
      <c r="L166" s="168">
        <f>(VLOOKUP($I166,Capa!$A:$F,6,0))</f>
        <v>9.37</v>
      </c>
      <c r="M166" s="168">
        <f t="shared" si="7"/>
        <v>6159140</v>
      </c>
      <c r="N166" s="11" t="str">
        <f>IFERROR(__xludf.DUMMYFUNCTION("(VLOOKUP($I166,Capa!$A:$H,7,0))"),"")</f>
        <v/>
      </c>
      <c r="O166" s="169">
        <f>(VLOOKUP($I166,Capa!$A:$H,8,0))</f>
        <v>0.02628696605</v>
      </c>
      <c r="P166" s="11" t="str">
        <f>IFERROR(__xludf.DUMMYFUNCTION("(VLOOKUP($I166,Capa!$A:$J,10,0))"),"")</f>
        <v/>
      </c>
      <c r="Q166" s="169">
        <f>(VLOOKUP($I166,Capa!$A:$K,11,0))</f>
        <v>0.3068340307</v>
      </c>
      <c r="R166" s="45" t="str">
        <f>'Dados StatusInvest'!A161</f>
        <v>CLSC3</v>
      </c>
      <c r="S166" s="170">
        <f t="shared" si="8"/>
        <v>1584.0584</v>
      </c>
      <c r="T166" s="171">
        <f>VLOOKUP(R166,'Dados StatusInvest'!A:Z,26,0)</f>
        <v>32683.86</v>
      </c>
      <c r="U166" s="172">
        <f t="shared" ref="U166:AS166" si="168">IF(AT166="","", RANK(AT166,AT$7:AT$626,0)+RANK(AT166,AT$7:AT$626,0)/10000)</f>
        <v>448.0448</v>
      </c>
      <c r="V166" s="172">
        <f t="shared" si="168"/>
        <v>136.0136</v>
      </c>
      <c r="W166" s="172" t="str">
        <f t="shared" si="168"/>
        <v/>
      </c>
      <c r="X166" s="172" t="str">
        <f t="shared" si="168"/>
        <v/>
      </c>
      <c r="Y166" s="172" t="str">
        <f t="shared" si="168"/>
        <v/>
      </c>
      <c r="Z166" s="172" t="str">
        <f t="shared" si="168"/>
        <v/>
      </c>
      <c r="AA166" s="172" t="str">
        <f t="shared" si="168"/>
        <v/>
      </c>
      <c r="AB166" s="172" t="str">
        <f t="shared" si="168"/>
        <v/>
      </c>
      <c r="AC166" s="172" t="str">
        <f t="shared" si="168"/>
        <v/>
      </c>
      <c r="AD166" s="172" t="str">
        <f t="shared" si="168"/>
        <v/>
      </c>
      <c r="AE166" s="172" t="str">
        <f t="shared" si="168"/>
        <v/>
      </c>
      <c r="AF166" s="172" t="str">
        <f t="shared" si="168"/>
        <v/>
      </c>
      <c r="AG166" s="172" t="str">
        <f t="shared" si="168"/>
        <v/>
      </c>
      <c r="AH166" s="172" t="str">
        <f t="shared" si="168"/>
        <v/>
      </c>
      <c r="AI166" s="172" t="str">
        <f t="shared" si="168"/>
        <v/>
      </c>
      <c r="AJ166" s="172" t="str">
        <f t="shared" si="168"/>
        <v/>
      </c>
      <c r="AK166" s="172" t="str">
        <f t="shared" si="168"/>
        <v/>
      </c>
      <c r="AL166" s="172" t="str">
        <f t="shared" si="168"/>
        <v/>
      </c>
      <c r="AM166" s="172" t="str">
        <f t="shared" si="168"/>
        <v/>
      </c>
      <c r="AN166" s="172" t="str">
        <f t="shared" si="168"/>
        <v/>
      </c>
      <c r="AO166" s="172" t="str">
        <f t="shared" si="168"/>
        <v/>
      </c>
      <c r="AP166" s="172" t="str">
        <f t="shared" si="168"/>
        <v/>
      </c>
      <c r="AQ166" s="172" t="str">
        <f t="shared" si="168"/>
        <v/>
      </c>
      <c r="AR166" s="172" t="str">
        <f t="shared" si="168"/>
        <v/>
      </c>
      <c r="AS166" s="172" t="str">
        <f t="shared" si="168"/>
        <v/>
      </c>
      <c r="AT166" s="173">
        <f>IF(AT$6="","",IF(AT$3="Maior",iferror(VLOOKUP($R166,Capa!$A:$AJ,AT$5,0),0),IF(ISERROR(1/VLOOKUP($R166,Capa!$A:$AJ,AT$5,0)),0,1/VLOOKUP($R166,Capa!$A:$AJ,AT$5,0))))</f>
        <v>-1.923076923</v>
      </c>
      <c r="AU166" s="174">
        <f>IF(AU$6="","",IF(AU$3="Maior",iferror(VLOOKUP($R166,Capa!$A:$AJ,AU$5,0),0),IF(ISERROR(1/VLOOKUP($R166,Capa!$A:$AJ,AU$5,0)),0,1/VLOOKUP($R166,Capa!$A:$AJ,AU$5,0))))</f>
        <v>19.86</v>
      </c>
      <c r="AV166" s="174" t="str">
        <f>IF(AV$6="","",IF(AV$3="Maior",iferror(VLOOKUP($R166,Capa!$A:$AJ,AV$5,0),0),IF(ISERROR(1/VLOOKUP($R166,Capa!$A:$AJ,AV$5,0)),0,1/VLOOKUP($R166,Capa!$A:$AJ,AV$5,0))))</f>
        <v/>
      </c>
      <c r="AW166" s="174" t="str">
        <f>IF(AW$6="","",IF(AW$3="Maior",iferror(VLOOKUP($R166,Capa!$A:$AJ,AW$5,0),0),IF(ISERROR(1/VLOOKUP($R166,Capa!$A:$AJ,AW$5,0)),0,1/VLOOKUP($R166,Capa!$A:$AJ,AW$5,0))))</f>
        <v/>
      </c>
      <c r="AX166" s="174" t="str">
        <f>IF(AX$6="","",IF(AX$3="Maior",iferror(VLOOKUP($R166,Capa!$A:$AJ,AX$5,0),0),IF(ISERROR(1/VLOOKUP($R166,Capa!$A:$AJ,AX$5,0)),0,1/VLOOKUP($R166,Capa!$A:$AJ,AX$5,0))))</f>
        <v/>
      </c>
      <c r="AY166" s="174" t="str">
        <f>IF(AY$6="","",IF(AY$3="Maior",iferror(VLOOKUP($R166,Capa!$A:$AJ,AY$5,0),0),IF(ISERROR(1/VLOOKUP($R166,Capa!$A:$AJ,AY$5,0)),0,1/VLOOKUP($R166,Capa!$A:$AJ,AY$5,0))))</f>
        <v/>
      </c>
      <c r="AZ166" s="174" t="str">
        <f>IF(AZ$6="","",IF(AZ$3="Maior",iferror(VLOOKUP($R166,Capa!$A:$AJ,AZ$5,0),0),IF(ISERROR(1/VLOOKUP($R166,Capa!$A:$AJ,AZ$5,0)),0,1/VLOOKUP($R166,Capa!$A:$AJ,AZ$5,0))))</f>
        <v/>
      </c>
      <c r="BA166" s="174" t="str">
        <f>IF(BA$6="","",IF(BA$3="Maior",iferror(VLOOKUP($R166,Capa!$A:$AJ,BA$5,0),0),IF(ISERROR(1/VLOOKUP($R166,Capa!$A:$AJ,BA$5,0)),0,1/VLOOKUP($R166,Capa!$A:$AJ,BA$5,0))))</f>
        <v/>
      </c>
      <c r="BB166" s="174" t="str">
        <f>IF(BB$6="","",IF(BB$3="Maior",iferror(VLOOKUP($R166,Capa!$A:$AJ,BB$5,0),0),IF(ISERROR(1/VLOOKUP($R166,Capa!$A:$AJ,BB$5,0)),0,1/VLOOKUP($R166,Capa!$A:$AJ,BB$5,0))))</f>
        <v/>
      </c>
      <c r="BC166" s="174" t="str">
        <f>IF(BC$6="","",IF(BC$3="Maior",iferror(VLOOKUP($R166,Capa!$A:$AJ,BC$5,0),0),IF(ISERROR(1/VLOOKUP($R166,Capa!$A:$AJ,BC$5,0)),0,1/VLOOKUP($R166,Capa!$A:$AJ,BC$5,0))))</f>
        <v/>
      </c>
      <c r="BD166" s="174" t="str">
        <f>IF(BD$6="","",IF(BD$3="Maior",iferror(VLOOKUP($R166,Capa!$A:$AJ,BD$5,0),0),IF(ISERROR(1/VLOOKUP($R166,Capa!$A:$AJ,BD$5,0)),0,1/VLOOKUP($R166,Capa!$A:$AJ,BD$5,0))))</f>
        <v/>
      </c>
      <c r="BE166" s="174" t="str">
        <f>IF(BE$6="","",IF(BE$3="Maior",iferror(VLOOKUP($R166,Capa!$A:$AJ,BE$5,0),0),IF(ISERROR(1/VLOOKUP($R166,Capa!$A:$AJ,BE$5,0)),0,1/VLOOKUP($R166,Capa!$A:$AJ,BE$5,0))))</f>
        <v/>
      </c>
      <c r="BF166" s="174" t="str">
        <f>IF(BF$6="","",IF(BF$3="Maior",iferror(VLOOKUP($R166,Capa!$A:$AJ,BF$5,0),0),IF(ISERROR(1/VLOOKUP($R166,Capa!$A:$AJ,BF$5,0)),0,1/VLOOKUP($R166,Capa!$A:$AJ,BF$5,0))))</f>
        <v/>
      </c>
      <c r="BG166" s="174" t="str">
        <f>IF(BG$6="","",IF(BG$3="Maior",iferror(VLOOKUP($R166,Capa!$A:$AJ,BG$5,0),0),IF(ISERROR(1/VLOOKUP($R166,Capa!$A:$AJ,BG$5,0)),0,1/VLOOKUP($R166,Capa!$A:$AJ,BG$5,0))))</f>
        <v/>
      </c>
      <c r="BH166" s="174" t="str">
        <f>IF(BH$6="","",IF(BH$3="Maior",iferror(VLOOKUP($R166,Capa!$A:$AJ,BH$5,0),0),IF(ISERROR(1/VLOOKUP($R166,Capa!$A:$AJ,BH$5,0)),0,1/VLOOKUP($R166,Capa!$A:$AJ,BH$5,0))))</f>
        <v/>
      </c>
      <c r="BI166" s="174" t="str">
        <f>IF(BI$6="","",IF(BI$3="Maior",iferror(VLOOKUP($R166,Capa!$A:$AJ,BI$5,0),0),IF(ISERROR(1/VLOOKUP($R166,Capa!$A:$AJ,BI$5,0)),0,1/VLOOKUP($R166,Capa!$A:$AJ,BI$5,0))))</f>
        <v/>
      </c>
      <c r="BJ166" s="174" t="str">
        <f>IF(BJ$6="","",IF(BJ$3="Maior",iferror(VLOOKUP($R166,Capa!$A:$AJ,BJ$5,0),0),IF(ISERROR(1/VLOOKUP($R166,Capa!$A:$AJ,BJ$5,0)),0,1/VLOOKUP($R166,Capa!$A:$AJ,BJ$5,0))))</f>
        <v/>
      </c>
      <c r="BK166" s="174" t="str">
        <f>IF(BK$6="","",IF(BK$3="Maior",iferror(VLOOKUP($R166,Capa!$A:$AJ,BK$5,0),0),IF(ISERROR(1/VLOOKUP($R166,Capa!$A:$AJ,BK$5,0)),0,1/VLOOKUP($R166,Capa!$A:$AJ,BK$5,0))))</f>
        <v/>
      </c>
      <c r="BL166" s="174" t="str">
        <f>IF(BL$6="","",IF(BL$3="Maior",iferror(VLOOKUP($R166,Capa!$A:$AJ,BL$5,0),0),IF(ISERROR(1/VLOOKUP($R166,Capa!$A:$AJ,BL$5,0)),0,1/VLOOKUP($R166,Capa!$A:$AJ,BL$5,0))))</f>
        <v/>
      </c>
      <c r="BM166" s="174" t="str">
        <f>IF(BM$6="","",IF(BM$3="Maior",iferror(VLOOKUP($R166,Capa!$A:$AJ,BM$5,0),0),IF(ISERROR(1/VLOOKUP($R166,Capa!$A:$AJ,BM$5,0)),0,1/VLOOKUP($R166,Capa!$A:$AJ,BM$5,0))))</f>
        <v/>
      </c>
      <c r="BN166" s="174" t="str">
        <f>IF(BN$6="","",IF(BN$3="Maior",iferror(VLOOKUP($R166,Capa!$A:$AJ,BN$5,0),0),IF(ISERROR(1/VLOOKUP($R166,Capa!$A:$AJ,BN$5,0)),0,1/VLOOKUP($R166,Capa!$A:$AJ,BN$5,0))))</f>
        <v/>
      </c>
      <c r="BO166" s="174" t="str">
        <f>IF(BO$6="","",IF(BO$3="Maior",iferror(VLOOKUP($R166,Capa!$A:$AJ,BO$5,0),0),IF(ISERROR(1/VLOOKUP($R166,Capa!$A:$AJ,BO$5,0)),0,1/VLOOKUP($R166,Capa!$A:$AJ,BO$5,0))))</f>
        <v/>
      </c>
      <c r="BP166" s="174" t="str">
        <f>IF(BP$6="","",IF(BP$3="Maior",iferror(VLOOKUP($R166,Capa!$A:$AJ,BP$5,0),0),IF(ISERROR(1/VLOOKUP($R166,Capa!$A:$AJ,BP$5,0)),0,1/VLOOKUP($R166,Capa!$A:$AJ,BP$5,0))))</f>
        <v/>
      </c>
      <c r="BQ166" s="174" t="str">
        <f>IF(BQ$6="","",IF(BQ$3="Maior",iferror(VLOOKUP($R166,Capa!$A:$AJ,BQ$5,0),0),IF(ISERROR(1/VLOOKUP($R166,Capa!$A:$AJ,BQ$5,0)),0,1/VLOOKUP($R166,Capa!$A:$AJ,BQ$5,0))))</f>
        <v/>
      </c>
      <c r="BR166" s="175"/>
      <c r="BS166" s="147"/>
    </row>
    <row r="167">
      <c r="G167" s="11"/>
      <c r="H167" s="8">
        <v>161.0</v>
      </c>
      <c r="I167" s="165" t="str">
        <f t="shared" si="6"/>
        <v>NEOE3</v>
      </c>
      <c r="J167" s="166" t="str">
        <f>(VLOOKUP($I167,Capa!$A:$B,2,0))</f>
        <v>Neoenergia SA</v>
      </c>
      <c r="K167" s="167" t="str">
        <f>VLOOKUP(left(I167,4),Setor!A:D,3,0)&amp;" | "&amp;VLOOKUP(left(I167,4),Setor!A:D,4,0)</f>
        <v>Utilidade Pública | Energia Elétrica</v>
      </c>
      <c r="L167" s="168">
        <f>(VLOOKUP($I167,Capa!$A:$F,6,0))</f>
        <v>32.74</v>
      </c>
      <c r="M167" s="168">
        <f t="shared" si="7"/>
        <v>73363887</v>
      </c>
      <c r="N167" s="11" t="str">
        <f>IFERROR(__xludf.DUMMYFUNCTION("(VLOOKUP($I167,Capa!$A:$H,7,0))"),"")</f>
        <v/>
      </c>
      <c r="O167" s="169">
        <f>(VLOOKUP($I167,Capa!$A:$H,8,0))</f>
        <v>0.01771837115</v>
      </c>
      <c r="P167" s="11" t="str">
        <f>IFERROR(__xludf.DUMMYFUNCTION("(VLOOKUP($I167,Capa!$A:$J,10,0))"),"")</f>
        <v/>
      </c>
      <c r="Q167" s="169">
        <f>(VLOOKUP($I167,Capa!$A:$K,11,0))</f>
        <v>0.66700611</v>
      </c>
      <c r="R167" s="45" t="str">
        <f>'Dados StatusInvest'!A162</f>
        <v>CLSC4</v>
      </c>
      <c r="S167" s="170">
        <f t="shared" si="8"/>
        <v>573.0573</v>
      </c>
      <c r="T167" s="171">
        <f>VLOOKUP(R167,'Dados StatusInvest'!A:Z,26,0)</f>
        <v>522097.6</v>
      </c>
      <c r="U167" s="172">
        <f t="shared" ref="U167:AS167" si="169">IF(AT167="","", RANK(AT167,AT$7:AT$626,0)+RANK(AT167,AT$7:AT$626,0)/10000)</f>
        <v>437.0437</v>
      </c>
      <c r="V167" s="172">
        <f t="shared" si="169"/>
        <v>136.0136</v>
      </c>
      <c r="W167" s="172" t="str">
        <f t="shared" si="169"/>
        <v/>
      </c>
      <c r="X167" s="172" t="str">
        <f t="shared" si="169"/>
        <v/>
      </c>
      <c r="Y167" s="172" t="str">
        <f t="shared" si="169"/>
        <v/>
      </c>
      <c r="Z167" s="172" t="str">
        <f t="shared" si="169"/>
        <v/>
      </c>
      <c r="AA167" s="172" t="str">
        <f t="shared" si="169"/>
        <v/>
      </c>
      <c r="AB167" s="172" t="str">
        <f t="shared" si="169"/>
        <v/>
      </c>
      <c r="AC167" s="172" t="str">
        <f t="shared" si="169"/>
        <v/>
      </c>
      <c r="AD167" s="172" t="str">
        <f t="shared" si="169"/>
        <v/>
      </c>
      <c r="AE167" s="172" t="str">
        <f t="shared" si="169"/>
        <v/>
      </c>
      <c r="AF167" s="172" t="str">
        <f t="shared" si="169"/>
        <v/>
      </c>
      <c r="AG167" s="172" t="str">
        <f t="shared" si="169"/>
        <v/>
      </c>
      <c r="AH167" s="172" t="str">
        <f t="shared" si="169"/>
        <v/>
      </c>
      <c r="AI167" s="172" t="str">
        <f t="shared" si="169"/>
        <v/>
      </c>
      <c r="AJ167" s="172" t="str">
        <f t="shared" si="169"/>
        <v/>
      </c>
      <c r="AK167" s="172" t="str">
        <f t="shared" si="169"/>
        <v/>
      </c>
      <c r="AL167" s="172" t="str">
        <f t="shared" si="169"/>
        <v/>
      </c>
      <c r="AM167" s="172" t="str">
        <f t="shared" si="169"/>
        <v/>
      </c>
      <c r="AN167" s="172" t="str">
        <f t="shared" si="169"/>
        <v/>
      </c>
      <c r="AO167" s="172" t="str">
        <f t="shared" si="169"/>
        <v/>
      </c>
      <c r="AP167" s="172" t="str">
        <f t="shared" si="169"/>
        <v/>
      </c>
      <c r="AQ167" s="172" t="str">
        <f t="shared" si="169"/>
        <v/>
      </c>
      <c r="AR167" s="172" t="str">
        <f t="shared" si="169"/>
        <v/>
      </c>
      <c r="AS167" s="172" t="str">
        <f t="shared" si="169"/>
        <v/>
      </c>
      <c r="AT167" s="173">
        <f>IF(AT$6="","",IF(AT$3="Maior",iferror(VLOOKUP($R167,Capa!$A:$AJ,AT$5,0),0),IF(ISERROR(1/VLOOKUP($R167,Capa!$A:$AJ,AT$5,0)),0,1/VLOOKUP($R167,Capa!$A:$AJ,AT$5,0))))</f>
        <v>-1.694915254</v>
      </c>
      <c r="AU167" s="174">
        <f>IF(AU$6="","",IF(AU$3="Maior",iferror(VLOOKUP($R167,Capa!$A:$AJ,AU$5,0),0),IF(ISERROR(1/VLOOKUP($R167,Capa!$A:$AJ,AU$5,0)),0,1/VLOOKUP($R167,Capa!$A:$AJ,AU$5,0))))</f>
        <v>19.86</v>
      </c>
      <c r="AV167" s="174" t="str">
        <f>IF(AV$6="","",IF(AV$3="Maior",iferror(VLOOKUP($R167,Capa!$A:$AJ,AV$5,0),0),IF(ISERROR(1/VLOOKUP($R167,Capa!$A:$AJ,AV$5,0)),0,1/VLOOKUP($R167,Capa!$A:$AJ,AV$5,0))))</f>
        <v/>
      </c>
      <c r="AW167" s="174" t="str">
        <f>IF(AW$6="","",IF(AW$3="Maior",iferror(VLOOKUP($R167,Capa!$A:$AJ,AW$5,0),0),IF(ISERROR(1/VLOOKUP($R167,Capa!$A:$AJ,AW$5,0)),0,1/VLOOKUP($R167,Capa!$A:$AJ,AW$5,0))))</f>
        <v/>
      </c>
      <c r="AX167" s="174" t="str">
        <f>IF(AX$6="","",IF(AX$3="Maior",iferror(VLOOKUP($R167,Capa!$A:$AJ,AX$5,0),0),IF(ISERROR(1/VLOOKUP($R167,Capa!$A:$AJ,AX$5,0)),0,1/VLOOKUP($R167,Capa!$A:$AJ,AX$5,0))))</f>
        <v/>
      </c>
      <c r="AY167" s="174" t="str">
        <f>IF(AY$6="","",IF(AY$3="Maior",iferror(VLOOKUP($R167,Capa!$A:$AJ,AY$5,0),0),IF(ISERROR(1/VLOOKUP($R167,Capa!$A:$AJ,AY$5,0)),0,1/VLOOKUP($R167,Capa!$A:$AJ,AY$5,0))))</f>
        <v/>
      </c>
      <c r="AZ167" s="174" t="str">
        <f>IF(AZ$6="","",IF(AZ$3="Maior",iferror(VLOOKUP($R167,Capa!$A:$AJ,AZ$5,0),0),IF(ISERROR(1/VLOOKUP($R167,Capa!$A:$AJ,AZ$5,0)),0,1/VLOOKUP($R167,Capa!$A:$AJ,AZ$5,0))))</f>
        <v/>
      </c>
      <c r="BA167" s="174" t="str">
        <f>IF(BA$6="","",IF(BA$3="Maior",iferror(VLOOKUP($R167,Capa!$A:$AJ,BA$5,0),0),IF(ISERROR(1/VLOOKUP($R167,Capa!$A:$AJ,BA$5,0)),0,1/VLOOKUP($R167,Capa!$A:$AJ,BA$5,0))))</f>
        <v/>
      </c>
      <c r="BB167" s="174" t="str">
        <f>IF(BB$6="","",IF(BB$3="Maior",iferror(VLOOKUP($R167,Capa!$A:$AJ,BB$5,0),0),IF(ISERROR(1/VLOOKUP($R167,Capa!$A:$AJ,BB$5,0)),0,1/VLOOKUP($R167,Capa!$A:$AJ,BB$5,0))))</f>
        <v/>
      </c>
      <c r="BC167" s="174" t="str">
        <f>IF(BC$6="","",IF(BC$3="Maior",iferror(VLOOKUP($R167,Capa!$A:$AJ,BC$5,0),0),IF(ISERROR(1/VLOOKUP($R167,Capa!$A:$AJ,BC$5,0)),0,1/VLOOKUP($R167,Capa!$A:$AJ,BC$5,0))))</f>
        <v/>
      </c>
      <c r="BD167" s="174" t="str">
        <f>IF(BD$6="","",IF(BD$3="Maior",iferror(VLOOKUP($R167,Capa!$A:$AJ,BD$5,0),0),IF(ISERROR(1/VLOOKUP($R167,Capa!$A:$AJ,BD$5,0)),0,1/VLOOKUP($R167,Capa!$A:$AJ,BD$5,0))))</f>
        <v/>
      </c>
      <c r="BE167" s="174" t="str">
        <f>IF(BE$6="","",IF(BE$3="Maior",iferror(VLOOKUP($R167,Capa!$A:$AJ,BE$5,0),0),IF(ISERROR(1/VLOOKUP($R167,Capa!$A:$AJ,BE$5,0)),0,1/VLOOKUP($R167,Capa!$A:$AJ,BE$5,0))))</f>
        <v/>
      </c>
      <c r="BF167" s="174" t="str">
        <f>IF(BF$6="","",IF(BF$3="Maior",iferror(VLOOKUP($R167,Capa!$A:$AJ,BF$5,0),0),IF(ISERROR(1/VLOOKUP($R167,Capa!$A:$AJ,BF$5,0)),0,1/VLOOKUP($R167,Capa!$A:$AJ,BF$5,0))))</f>
        <v/>
      </c>
      <c r="BG167" s="174" t="str">
        <f>IF(BG$6="","",IF(BG$3="Maior",iferror(VLOOKUP($R167,Capa!$A:$AJ,BG$5,0),0),IF(ISERROR(1/VLOOKUP($R167,Capa!$A:$AJ,BG$5,0)),0,1/VLOOKUP($R167,Capa!$A:$AJ,BG$5,0))))</f>
        <v/>
      </c>
      <c r="BH167" s="174" t="str">
        <f>IF(BH$6="","",IF(BH$3="Maior",iferror(VLOOKUP($R167,Capa!$A:$AJ,BH$5,0),0),IF(ISERROR(1/VLOOKUP($R167,Capa!$A:$AJ,BH$5,0)),0,1/VLOOKUP($R167,Capa!$A:$AJ,BH$5,0))))</f>
        <v/>
      </c>
      <c r="BI167" s="174" t="str">
        <f>IF(BI$6="","",IF(BI$3="Maior",iferror(VLOOKUP($R167,Capa!$A:$AJ,BI$5,0),0),IF(ISERROR(1/VLOOKUP($R167,Capa!$A:$AJ,BI$5,0)),0,1/VLOOKUP($R167,Capa!$A:$AJ,BI$5,0))))</f>
        <v/>
      </c>
      <c r="BJ167" s="174" t="str">
        <f>IF(BJ$6="","",IF(BJ$3="Maior",iferror(VLOOKUP($R167,Capa!$A:$AJ,BJ$5,0),0),IF(ISERROR(1/VLOOKUP($R167,Capa!$A:$AJ,BJ$5,0)),0,1/VLOOKUP($R167,Capa!$A:$AJ,BJ$5,0))))</f>
        <v/>
      </c>
      <c r="BK167" s="174" t="str">
        <f>IF(BK$6="","",IF(BK$3="Maior",iferror(VLOOKUP($R167,Capa!$A:$AJ,BK$5,0),0),IF(ISERROR(1/VLOOKUP($R167,Capa!$A:$AJ,BK$5,0)),0,1/VLOOKUP($R167,Capa!$A:$AJ,BK$5,0))))</f>
        <v/>
      </c>
      <c r="BL167" s="174" t="str">
        <f>IF(BL$6="","",IF(BL$3="Maior",iferror(VLOOKUP($R167,Capa!$A:$AJ,BL$5,0),0),IF(ISERROR(1/VLOOKUP($R167,Capa!$A:$AJ,BL$5,0)),0,1/VLOOKUP($R167,Capa!$A:$AJ,BL$5,0))))</f>
        <v/>
      </c>
      <c r="BM167" s="174" t="str">
        <f>IF(BM$6="","",IF(BM$3="Maior",iferror(VLOOKUP($R167,Capa!$A:$AJ,BM$5,0),0),IF(ISERROR(1/VLOOKUP($R167,Capa!$A:$AJ,BM$5,0)),0,1/VLOOKUP($R167,Capa!$A:$AJ,BM$5,0))))</f>
        <v/>
      </c>
      <c r="BN167" s="174" t="str">
        <f>IF(BN$6="","",IF(BN$3="Maior",iferror(VLOOKUP($R167,Capa!$A:$AJ,BN$5,0),0),IF(ISERROR(1/VLOOKUP($R167,Capa!$A:$AJ,BN$5,0)),0,1/VLOOKUP($R167,Capa!$A:$AJ,BN$5,0))))</f>
        <v/>
      </c>
      <c r="BO167" s="174" t="str">
        <f>IF(BO$6="","",IF(BO$3="Maior",iferror(VLOOKUP($R167,Capa!$A:$AJ,BO$5,0),0),IF(ISERROR(1/VLOOKUP($R167,Capa!$A:$AJ,BO$5,0)),0,1/VLOOKUP($R167,Capa!$A:$AJ,BO$5,0))))</f>
        <v/>
      </c>
      <c r="BP167" s="174" t="str">
        <f>IF(BP$6="","",IF(BP$3="Maior",iferror(VLOOKUP($R167,Capa!$A:$AJ,BP$5,0),0),IF(ISERROR(1/VLOOKUP($R167,Capa!$A:$AJ,BP$5,0)),0,1/VLOOKUP($R167,Capa!$A:$AJ,BP$5,0))))</f>
        <v/>
      </c>
      <c r="BQ167" s="174" t="str">
        <f>IF(BQ$6="","",IF(BQ$3="Maior",iferror(VLOOKUP($R167,Capa!$A:$AJ,BQ$5,0),0),IF(ISERROR(1/VLOOKUP($R167,Capa!$A:$AJ,BQ$5,0)),0,1/VLOOKUP($R167,Capa!$A:$AJ,BQ$5,0))))</f>
        <v/>
      </c>
      <c r="BR167" s="175"/>
      <c r="BS167" s="147"/>
    </row>
    <row r="168">
      <c r="G168" s="11"/>
      <c r="H168" s="8">
        <v>162.0</v>
      </c>
      <c r="I168" s="165" t="str">
        <f t="shared" si="6"/>
        <v>AXIA3</v>
      </c>
      <c r="J168" s="166" t="str">
        <f>(VLOOKUP($I168,Capa!$A:$B,2,0))</f>
        <v>Centrais Eletricas Brasilrs SA - Eltrbrs</v>
      </c>
      <c r="K168" s="167" t="str">
        <f>VLOOKUP(left(I168,4),Setor!A:D,3,0)&amp;" | "&amp;VLOOKUP(left(I168,4),Setor!A:D,4,0)</f>
        <v>#N/A</v>
      </c>
      <c r="L168" s="168">
        <f>(VLOOKUP($I168,Capa!$A:$F,6,0))</f>
        <v>60.91</v>
      </c>
      <c r="M168" s="168">
        <f t="shared" si="7"/>
        <v>687000000</v>
      </c>
      <c r="N168" s="11" t="str">
        <f>IFERROR(__xludf.DUMMYFUNCTION("(VLOOKUP($I168,Capa!$A:$H,7,0))"),"")</f>
        <v/>
      </c>
      <c r="O168" s="169">
        <f>(VLOOKUP($I168,Capa!$A:$H,8,0))</f>
        <v>0.1529434034</v>
      </c>
      <c r="P168" s="11" t="str">
        <f>IFERROR(__xludf.DUMMYFUNCTION("(VLOOKUP($I168,Capa!$A:$J,10,0))"),"")</f>
        <v/>
      </c>
      <c r="Q168" s="169">
        <f>(VLOOKUP($I168,Capa!$A:$K,11,0))</f>
        <v>1.042588867</v>
      </c>
      <c r="R168" s="45" t="str">
        <f>'Dados StatusInvest'!A163</f>
        <v>CMIG3</v>
      </c>
      <c r="S168" s="170">
        <f t="shared" si="8"/>
        <v>669.0669</v>
      </c>
      <c r="T168" s="171">
        <f>VLOOKUP(R168,'Dados StatusInvest'!A:Z,26,0)</f>
        <v>2097796</v>
      </c>
      <c r="U168" s="172">
        <f t="shared" ref="U168:AS168" si="170">IF(AT168="","", RANK(AT168,AT$7:AT$626,0)+RANK(AT168,AT$7:AT$626,0)/10000)</f>
        <v>429.0429</v>
      </c>
      <c r="V168" s="172">
        <f t="shared" si="170"/>
        <v>240.024</v>
      </c>
      <c r="W168" s="172" t="str">
        <f t="shared" si="170"/>
        <v/>
      </c>
      <c r="X168" s="172" t="str">
        <f t="shared" si="170"/>
        <v/>
      </c>
      <c r="Y168" s="172" t="str">
        <f t="shared" si="170"/>
        <v/>
      </c>
      <c r="Z168" s="172" t="str">
        <f t="shared" si="170"/>
        <v/>
      </c>
      <c r="AA168" s="172" t="str">
        <f t="shared" si="170"/>
        <v/>
      </c>
      <c r="AB168" s="172" t="str">
        <f t="shared" si="170"/>
        <v/>
      </c>
      <c r="AC168" s="172" t="str">
        <f t="shared" si="170"/>
        <v/>
      </c>
      <c r="AD168" s="172" t="str">
        <f t="shared" si="170"/>
        <v/>
      </c>
      <c r="AE168" s="172" t="str">
        <f t="shared" si="170"/>
        <v/>
      </c>
      <c r="AF168" s="172" t="str">
        <f t="shared" si="170"/>
        <v/>
      </c>
      <c r="AG168" s="172" t="str">
        <f t="shared" si="170"/>
        <v/>
      </c>
      <c r="AH168" s="172" t="str">
        <f t="shared" si="170"/>
        <v/>
      </c>
      <c r="AI168" s="172" t="str">
        <f t="shared" si="170"/>
        <v/>
      </c>
      <c r="AJ168" s="172" t="str">
        <f t="shared" si="170"/>
        <v/>
      </c>
      <c r="AK168" s="172" t="str">
        <f t="shared" si="170"/>
        <v/>
      </c>
      <c r="AL168" s="172" t="str">
        <f t="shared" si="170"/>
        <v/>
      </c>
      <c r="AM168" s="172" t="str">
        <f t="shared" si="170"/>
        <v/>
      </c>
      <c r="AN168" s="172" t="str">
        <f t="shared" si="170"/>
        <v/>
      </c>
      <c r="AO168" s="172" t="str">
        <f t="shared" si="170"/>
        <v/>
      </c>
      <c r="AP168" s="172" t="str">
        <f t="shared" si="170"/>
        <v/>
      </c>
      <c r="AQ168" s="172" t="str">
        <f t="shared" si="170"/>
        <v/>
      </c>
      <c r="AR168" s="172" t="str">
        <f t="shared" si="170"/>
        <v/>
      </c>
      <c r="AS168" s="172" t="str">
        <f t="shared" si="170"/>
        <v/>
      </c>
      <c r="AT168" s="173">
        <f>IF(AT$6="","",IF(AT$3="Maior",iferror(VLOOKUP($R168,Capa!$A:$AJ,AT$5,0),0),IF(ISERROR(1/VLOOKUP($R168,Capa!$A:$AJ,AT$5,0)),0,1/VLOOKUP($R168,Capa!$A:$AJ,AT$5,0))))</f>
        <v>-1.60571572</v>
      </c>
      <c r="AU168" s="174">
        <f>IF(AU$6="","",IF(AU$3="Maior",iferror(VLOOKUP($R168,Capa!$A:$AJ,AU$5,0),0),IF(ISERROR(1/VLOOKUP($R168,Capa!$A:$AJ,AU$5,0)),0,1/VLOOKUP($R168,Capa!$A:$AJ,AU$5,0))))</f>
        <v>5.15</v>
      </c>
      <c r="AV168" s="174" t="str">
        <f>IF(AV$6="","",IF(AV$3="Maior",iferror(VLOOKUP($R168,Capa!$A:$AJ,AV$5,0),0),IF(ISERROR(1/VLOOKUP($R168,Capa!$A:$AJ,AV$5,0)),0,1/VLOOKUP($R168,Capa!$A:$AJ,AV$5,0))))</f>
        <v/>
      </c>
      <c r="AW168" s="174" t="str">
        <f>IF(AW$6="","",IF(AW$3="Maior",iferror(VLOOKUP($R168,Capa!$A:$AJ,AW$5,0),0),IF(ISERROR(1/VLOOKUP($R168,Capa!$A:$AJ,AW$5,0)),0,1/VLOOKUP($R168,Capa!$A:$AJ,AW$5,0))))</f>
        <v/>
      </c>
      <c r="AX168" s="174" t="str">
        <f>IF(AX$6="","",IF(AX$3="Maior",iferror(VLOOKUP($R168,Capa!$A:$AJ,AX$5,0),0),IF(ISERROR(1/VLOOKUP($R168,Capa!$A:$AJ,AX$5,0)),0,1/VLOOKUP($R168,Capa!$A:$AJ,AX$5,0))))</f>
        <v/>
      </c>
      <c r="AY168" s="174" t="str">
        <f>IF(AY$6="","",IF(AY$3="Maior",iferror(VLOOKUP($R168,Capa!$A:$AJ,AY$5,0),0),IF(ISERROR(1/VLOOKUP($R168,Capa!$A:$AJ,AY$5,0)),0,1/VLOOKUP($R168,Capa!$A:$AJ,AY$5,0))))</f>
        <v/>
      </c>
      <c r="AZ168" s="174" t="str">
        <f>IF(AZ$6="","",IF(AZ$3="Maior",iferror(VLOOKUP($R168,Capa!$A:$AJ,AZ$5,0),0),IF(ISERROR(1/VLOOKUP($R168,Capa!$A:$AJ,AZ$5,0)),0,1/VLOOKUP($R168,Capa!$A:$AJ,AZ$5,0))))</f>
        <v/>
      </c>
      <c r="BA168" s="174" t="str">
        <f>IF(BA$6="","",IF(BA$3="Maior",iferror(VLOOKUP($R168,Capa!$A:$AJ,BA$5,0),0),IF(ISERROR(1/VLOOKUP($R168,Capa!$A:$AJ,BA$5,0)),0,1/VLOOKUP($R168,Capa!$A:$AJ,BA$5,0))))</f>
        <v/>
      </c>
      <c r="BB168" s="174" t="str">
        <f>IF(BB$6="","",IF(BB$3="Maior",iferror(VLOOKUP($R168,Capa!$A:$AJ,BB$5,0),0),IF(ISERROR(1/VLOOKUP($R168,Capa!$A:$AJ,BB$5,0)),0,1/VLOOKUP($R168,Capa!$A:$AJ,BB$5,0))))</f>
        <v/>
      </c>
      <c r="BC168" s="174" t="str">
        <f>IF(BC$6="","",IF(BC$3="Maior",iferror(VLOOKUP($R168,Capa!$A:$AJ,BC$5,0),0),IF(ISERROR(1/VLOOKUP($R168,Capa!$A:$AJ,BC$5,0)),0,1/VLOOKUP($R168,Capa!$A:$AJ,BC$5,0))))</f>
        <v/>
      </c>
      <c r="BD168" s="174" t="str">
        <f>IF(BD$6="","",IF(BD$3="Maior",iferror(VLOOKUP($R168,Capa!$A:$AJ,BD$5,0),0),IF(ISERROR(1/VLOOKUP($R168,Capa!$A:$AJ,BD$5,0)),0,1/VLOOKUP($R168,Capa!$A:$AJ,BD$5,0))))</f>
        <v/>
      </c>
      <c r="BE168" s="174" t="str">
        <f>IF(BE$6="","",IF(BE$3="Maior",iferror(VLOOKUP($R168,Capa!$A:$AJ,BE$5,0),0),IF(ISERROR(1/VLOOKUP($R168,Capa!$A:$AJ,BE$5,0)),0,1/VLOOKUP($R168,Capa!$A:$AJ,BE$5,0))))</f>
        <v/>
      </c>
      <c r="BF168" s="174" t="str">
        <f>IF(BF$6="","",IF(BF$3="Maior",iferror(VLOOKUP($R168,Capa!$A:$AJ,BF$5,0),0),IF(ISERROR(1/VLOOKUP($R168,Capa!$A:$AJ,BF$5,0)),0,1/VLOOKUP($R168,Capa!$A:$AJ,BF$5,0))))</f>
        <v/>
      </c>
      <c r="BG168" s="174" t="str">
        <f>IF(BG$6="","",IF(BG$3="Maior",iferror(VLOOKUP($R168,Capa!$A:$AJ,BG$5,0),0),IF(ISERROR(1/VLOOKUP($R168,Capa!$A:$AJ,BG$5,0)),0,1/VLOOKUP($R168,Capa!$A:$AJ,BG$5,0))))</f>
        <v/>
      </c>
      <c r="BH168" s="174" t="str">
        <f>IF(BH$6="","",IF(BH$3="Maior",iferror(VLOOKUP($R168,Capa!$A:$AJ,BH$5,0),0),IF(ISERROR(1/VLOOKUP($R168,Capa!$A:$AJ,BH$5,0)),0,1/VLOOKUP($R168,Capa!$A:$AJ,BH$5,0))))</f>
        <v/>
      </c>
      <c r="BI168" s="174" t="str">
        <f>IF(BI$6="","",IF(BI$3="Maior",iferror(VLOOKUP($R168,Capa!$A:$AJ,BI$5,0),0),IF(ISERROR(1/VLOOKUP($R168,Capa!$A:$AJ,BI$5,0)),0,1/VLOOKUP($R168,Capa!$A:$AJ,BI$5,0))))</f>
        <v/>
      </c>
      <c r="BJ168" s="174" t="str">
        <f>IF(BJ$6="","",IF(BJ$3="Maior",iferror(VLOOKUP($R168,Capa!$A:$AJ,BJ$5,0),0),IF(ISERROR(1/VLOOKUP($R168,Capa!$A:$AJ,BJ$5,0)),0,1/VLOOKUP($R168,Capa!$A:$AJ,BJ$5,0))))</f>
        <v/>
      </c>
      <c r="BK168" s="174" t="str">
        <f>IF(BK$6="","",IF(BK$3="Maior",iferror(VLOOKUP($R168,Capa!$A:$AJ,BK$5,0),0),IF(ISERROR(1/VLOOKUP($R168,Capa!$A:$AJ,BK$5,0)),0,1/VLOOKUP($R168,Capa!$A:$AJ,BK$5,0))))</f>
        <v/>
      </c>
      <c r="BL168" s="174" t="str">
        <f>IF(BL$6="","",IF(BL$3="Maior",iferror(VLOOKUP($R168,Capa!$A:$AJ,BL$5,0),0),IF(ISERROR(1/VLOOKUP($R168,Capa!$A:$AJ,BL$5,0)),0,1/VLOOKUP($R168,Capa!$A:$AJ,BL$5,0))))</f>
        <v/>
      </c>
      <c r="BM168" s="174" t="str">
        <f>IF(BM$6="","",IF(BM$3="Maior",iferror(VLOOKUP($R168,Capa!$A:$AJ,BM$5,0),0),IF(ISERROR(1/VLOOKUP($R168,Capa!$A:$AJ,BM$5,0)),0,1/VLOOKUP($R168,Capa!$A:$AJ,BM$5,0))))</f>
        <v/>
      </c>
      <c r="BN168" s="174" t="str">
        <f>IF(BN$6="","",IF(BN$3="Maior",iferror(VLOOKUP($R168,Capa!$A:$AJ,BN$5,0),0),IF(ISERROR(1/VLOOKUP($R168,Capa!$A:$AJ,BN$5,0)),0,1/VLOOKUP($R168,Capa!$A:$AJ,BN$5,0))))</f>
        <v/>
      </c>
      <c r="BO168" s="174" t="str">
        <f>IF(BO$6="","",IF(BO$3="Maior",iferror(VLOOKUP($R168,Capa!$A:$AJ,BO$5,0),0),IF(ISERROR(1/VLOOKUP($R168,Capa!$A:$AJ,BO$5,0)),0,1/VLOOKUP($R168,Capa!$A:$AJ,BO$5,0))))</f>
        <v/>
      </c>
      <c r="BP168" s="174" t="str">
        <f>IF(BP$6="","",IF(BP$3="Maior",iferror(VLOOKUP($R168,Capa!$A:$AJ,BP$5,0),0),IF(ISERROR(1/VLOOKUP($R168,Capa!$A:$AJ,BP$5,0)),0,1/VLOOKUP($R168,Capa!$A:$AJ,BP$5,0))))</f>
        <v/>
      </c>
      <c r="BQ168" s="174" t="str">
        <f>IF(BQ$6="","",IF(BQ$3="Maior",iferror(VLOOKUP($R168,Capa!$A:$AJ,BQ$5,0),0),IF(ISERROR(1/VLOOKUP($R168,Capa!$A:$AJ,BQ$5,0)),0,1/VLOOKUP($R168,Capa!$A:$AJ,BQ$5,0))))</f>
        <v/>
      </c>
      <c r="BR168" s="175"/>
      <c r="BS168" s="147"/>
    </row>
    <row r="169">
      <c r="G169" s="11"/>
      <c r="H169" s="8">
        <v>163.0</v>
      </c>
      <c r="I169" s="165" t="str">
        <f t="shared" si="6"/>
        <v>ISAE4</v>
      </c>
      <c r="J169" s="166" t="str">
        <f>(VLOOKUP($I169,Capa!$A:$B,2,0))</f>
        <v>ISA Energia Brasil SA Preference Shares</v>
      </c>
      <c r="K169" s="167" t="str">
        <f>VLOOKUP(left(I169,4),Setor!A:D,3,0)&amp;" | "&amp;VLOOKUP(left(I169,4),Setor!A:D,4,0)</f>
        <v>#N/A</v>
      </c>
      <c r="L169" s="168">
        <f>(VLOOKUP($I169,Capa!$A:$F,6,0))</f>
        <v>29.54</v>
      </c>
      <c r="M169" s="168">
        <f t="shared" si="7"/>
        <v>60660955</v>
      </c>
      <c r="N169" s="11" t="str">
        <f>IFERROR(__xludf.DUMMYFUNCTION("(VLOOKUP($I169,Capa!$A:$H,7,0))"),"")</f>
        <v/>
      </c>
      <c r="O169" s="169">
        <f>(VLOOKUP($I169,Capa!$A:$H,8,0))</f>
        <v>0.1092752535</v>
      </c>
      <c r="P169" s="11" t="str">
        <f>IFERROR(__xludf.DUMMYFUNCTION("(VLOOKUP($I169,Capa!$A:$J,10,0))"),"")</f>
        <v/>
      </c>
      <c r="Q169" s="169">
        <f>(VLOOKUP($I169,Capa!$A:$K,11,0))</f>
        <v>0.2597014925</v>
      </c>
      <c r="R169" s="45" t="str">
        <f>'Dados StatusInvest'!A164</f>
        <v>CMIG4</v>
      </c>
      <c r="S169" s="170">
        <f t="shared" si="8"/>
        <v>741.0741</v>
      </c>
      <c r="T169" s="171">
        <f>VLOOKUP(R169,'Dados StatusInvest'!A:Z,26,0)</f>
        <v>155000000</v>
      </c>
      <c r="U169" s="172">
        <f t="shared" ref="U169:AS169" si="171">IF(AT169="","", RANK(AT169,AT$7:AT$626,0)+RANK(AT169,AT$7:AT$626,0)/10000)</f>
        <v>501.0501</v>
      </c>
      <c r="V169" s="172">
        <f t="shared" si="171"/>
        <v>240.024</v>
      </c>
      <c r="W169" s="172" t="str">
        <f t="shared" si="171"/>
        <v/>
      </c>
      <c r="X169" s="172" t="str">
        <f t="shared" si="171"/>
        <v/>
      </c>
      <c r="Y169" s="172" t="str">
        <f t="shared" si="171"/>
        <v/>
      </c>
      <c r="Z169" s="172" t="str">
        <f t="shared" si="171"/>
        <v/>
      </c>
      <c r="AA169" s="172" t="str">
        <f t="shared" si="171"/>
        <v/>
      </c>
      <c r="AB169" s="172" t="str">
        <f t="shared" si="171"/>
        <v/>
      </c>
      <c r="AC169" s="172" t="str">
        <f t="shared" si="171"/>
        <v/>
      </c>
      <c r="AD169" s="172" t="str">
        <f t="shared" si="171"/>
        <v/>
      </c>
      <c r="AE169" s="172" t="str">
        <f t="shared" si="171"/>
        <v/>
      </c>
      <c r="AF169" s="172" t="str">
        <f t="shared" si="171"/>
        <v/>
      </c>
      <c r="AG169" s="172" t="str">
        <f t="shared" si="171"/>
        <v/>
      </c>
      <c r="AH169" s="172" t="str">
        <f t="shared" si="171"/>
        <v/>
      </c>
      <c r="AI169" s="172" t="str">
        <f t="shared" si="171"/>
        <v/>
      </c>
      <c r="AJ169" s="172" t="str">
        <f t="shared" si="171"/>
        <v/>
      </c>
      <c r="AK169" s="172" t="str">
        <f t="shared" si="171"/>
        <v/>
      </c>
      <c r="AL169" s="172" t="str">
        <f t="shared" si="171"/>
        <v/>
      </c>
      <c r="AM169" s="172" t="str">
        <f t="shared" si="171"/>
        <v/>
      </c>
      <c r="AN169" s="172" t="str">
        <f t="shared" si="171"/>
        <v/>
      </c>
      <c r="AO169" s="172" t="str">
        <f t="shared" si="171"/>
        <v/>
      </c>
      <c r="AP169" s="172" t="str">
        <f t="shared" si="171"/>
        <v/>
      </c>
      <c r="AQ169" s="172" t="str">
        <f t="shared" si="171"/>
        <v/>
      </c>
      <c r="AR169" s="172" t="str">
        <f t="shared" si="171"/>
        <v/>
      </c>
      <c r="AS169" s="172" t="str">
        <f t="shared" si="171"/>
        <v/>
      </c>
      <c r="AT169" s="173">
        <f>IF(AT$6="","",IF(AT$3="Maior",iferror(VLOOKUP($R169,Capa!$A:$AJ,AT$5,0),0),IF(ISERROR(1/VLOOKUP($R169,Capa!$A:$AJ,AT$5,0)),0,1/VLOOKUP($R169,Capa!$A:$AJ,AT$5,0))))</f>
        <v>-3.221866348</v>
      </c>
      <c r="AU169" s="174">
        <f>IF(AU$6="","",IF(AU$3="Maior",iferror(VLOOKUP($R169,Capa!$A:$AJ,AU$5,0),0),IF(ISERROR(1/VLOOKUP($R169,Capa!$A:$AJ,AU$5,0)),0,1/VLOOKUP($R169,Capa!$A:$AJ,AU$5,0))))</f>
        <v>5.15</v>
      </c>
      <c r="AV169" s="174" t="str">
        <f>IF(AV$6="","",IF(AV$3="Maior",iferror(VLOOKUP($R169,Capa!$A:$AJ,AV$5,0),0),IF(ISERROR(1/VLOOKUP($R169,Capa!$A:$AJ,AV$5,0)),0,1/VLOOKUP($R169,Capa!$A:$AJ,AV$5,0))))</f>
        <v/>
      </c>
      <c r="AW169" s="174" t="str">
        <f>IF(AW$6="","",IF(AW$3="Maior",iferror(VLOOKUP($R169,Capa!$A:$AJ,AW$5,0),0),IF(ISERROR(1/VLOOKUP($R169,Capa!$A:$AJ,AW$5,0)),0,1/VLOOKUP($R169,Capa!$A:$AJ,AW$5,0))))</f>
        <v/>
      </c>
      <c r="AX169" s="174" t="str">
        <f>IF(AX$6="","",IF(AX$3="Maior",iferror(VLOOKUP($R169,Capa!$A:$AJ,AX$5,0),0),IF(ISERROR(1/VLOOKUP($R169,Capa!$A:$AJ,AX$5,0)),0,1/VLOOKUP($R169,Capa!$A:$AJ,AX$5,0))))</f>
        <v/>
      </c>
      <c r="AY169" s="174" t="str">
        <f>IF(AY$6="","",IF(AY$3="Maior",iferror(VLOOKUP($R169,Capa!$A:$AJ,AY$5,0),0),IF(ISERROR(1/VLOOKUP($R169,Capa!$A:$AJ,AY$5,0)),0,1/VLOOKUP($R169,Capa!$A:$AJ,AY$5,0))))</f>
        <v/>
      </c>
      <c r="AZ169" s="174" t="str">
        <f>IF(AZ$6="","",IF(AZ$3="Maior",iferror(VLOOKUP($R169,Capa!$A:$AJ,AZ$5,0),0),IF(ISERROR(1/VLOOKUP($R169,Capa!$A:$AJ,AZ$5,0)),0,1/VLOOKUP($R169,Capa!$A:$AJ,AZ$5,0))))</f>
        <v/>
      </c>
      <c r="BA169" s="174" t="str">
        <f>IF(BA$6="","",IF(BA$3="Maior",iferror(VLOOKUP($R169,Capa!$A:$AJ,BA$5,0),0),IF(ISERROR(1/VLOOKUP($R169,Capa!$A:$AJ,BA$5,0)),0,1/VLOOKUP($R169,Capa!$A:$AJ,BA$5,0))))</f>
        <v/>
      </c>
      <c r="BB169" s="174" t="str">
        <f>IF(BB$6="","",IF(BB$3="Maior",iferror(VLOOKUP($R169,Capa!$A:$AJ,BB$5,0),0),IF(ISERROR(1/VLOOKUP($R169,Capa!$A:$AJ,BB$5,0)),0,1/VLOOKUP($R169,Capa!$A:$AJ,BB$5,0))))</f>
        <v/>
      </c>
      <c r="BC169" s="174" t="str">
        <f>IF(BC$6="","",IF(BC$3="Maior",iferror(VLOOKUP($R169,Capa!$A:$AJ,BC$5,0),0),IF(ISERROR(1/VLOOKUP($R169,Capa!$A:$AJ,BC$5,0)),0,1/VLOOKUP($R169,Capa!$A:$AJ,BC$5,0))))</f>
        <v/>
      </c>
      <c r="BD169" s="174" t="str">
        <f>IF(BD$6="","",IF(BD$3="Maior",iferror(VLOOKUP($R169,Capa!$A:$AJ,BD$5,0),0),IF(ISERROR(1/VLOOKUP($R169,Capa!$A:$AJ,BD$5,0)),0,1/VLOOKUP($R169,Capa!$A:$AJ,BD$5,0))))</f>
        <v/>
      </c>
      <c r="BE169" s="174" t="str">
        <f>IF(BE$6="","",IF(BE$3="Maior",iferror(VLOOKUP($R169,Capa!$A:$AJ,BE$5,0),0),IF(ISERROR(1/VLOOKUP($R169,Capa!$A:$AJ,BE$5,0)),0,1/VLOOKUP($R169,Capa!$A:$AJ,BE$5,0))))</f>
        <v/>
      </c>
      <c r="BF169" s="174" t="str">
        <f>IF(BF$6="","",IF(BF$3="Maior",iferror(VLOOKUP($R169,Capa!$A:$AJ,BF$5,0),0),IF(ISERROR(1/VLOOKUP($R169,Capa!$A:$AJ,BF$5,0)),0,1/VLOOKUP($R169,Capa!$A:$AJ,BF$5,0))))</f>
        <v/>
      </c>
      <c r="BG169" s="174" t="str">
        <f>IF(BG$6="","",IF(BG$3="Maior",iferror(VLOOKUP($R169,Capa!$A:$AJ,BG$5,0),0),IF(ISERROR(1/VLOOKUP($R169,Capa!$A:$AJ,BG$5,0)),0,1/VLOOKUP($R169,Capa!$A:$AJ,BG$5,0))))</f>
        <v/>
      </c>
      <c r="BH169" s="174" t="str">
        <f>IF(BH$6="","",IF(BH$3="Maior",iferror(VLOOKUP($R169,Capa!$A:$AJ,BH$5,0),0),IF(ISERROR(1/VLOOKUP($R169,Capa!$A:$AJ,BH$5,0)),0,1/VLOOKUP($R169,Capa!$A:$AJ,BH$5,0))))</f>
        <v/>
      </c>
      <c r="BI169" s="174" t="str">
        <f>IF(BI$6="","",IF(BI$3="Maior",iferror(VLOOKUP($R169,Capa!$A:$AJ,BI$5,0),0),IF(ISERROR(1/VLOOKUP($R169,Capa!$A:$AJ,BI$5,0)),0,1/VLOOKUP($R169,Capa!$A:$AJ,BI$5,0))))</f>
        <v/>
      </c>
      <c r="BJ169" s="174" t="str">
        <f>IF(BJ$6="","",IF(BJ$3="Maior",iferror(VLOOKUP($R169,Capa!$A:$AJ,BJ$5,0),0),IF(ISERROR(1/VLOOKUP($R169,Capa!$A:$AJ,BJ$5,0)),0,1/VLOOKUP($R169,Capa!$A:$AJ,BJ$5,0))))</f>
        <v/>
      </c>
      <c r="BK169" s="174" t="str">
        <f>IF(BK$6="","",IF(BK$3="Maior",iferror(VLOOKUP($R169,Capa!$A:$AJ,BK$5,0),0),IF(ISERROR(1/VLOOKUP($R169,Capa!$A:$AJ,BK$5,0)),0,1/VLOOKUP($R169,Capa!$A:$AJ,BK$5,0))))</f>
        <v/>
      </c>
      <c r="BL169" s="174" t="str">
        <f>IF(BL$6="","",IF(BL$3="Maior",iferror(VLOOKUP($R169,Capa!$A:$AJ,BL$5,0),0),IF(ISERROR(1/VLOOKUP($R169,Capa!$A:$AJ,BL$5,0)),0,1/VLOOKUP($R169,Capa!$A:$AJ,BL$5,0))))</f>
        <v/>
      </c>
      <c r="BM169" s="174" t="str">
        <f>IF(BM$6="","",IF(BM$3="Maior",iferror(VLOOKUP($R169,Capa!$A:$AJ,BM$5,0),0),IF(ISERROR(1/VLOOKUP($R169,Capa!$A:$AJ,BM$5,0)),0,1/VLOOKUP($R169,Capa!$A:$AJ,BM$5,0))))</f>
        <v/>
      </c>
      <c r="BN169" s="174" t="str">
        <f>IF(BN$6="","",IF(BN$3="Maior",iferror(VLOOKUP($R169,Capa!$A:$AJ,BN$5,0),0),IF(ISERROR(1/VLOOKUP($R169,Capa!$A:$AJ,BN$5,0)),0,1/VLOOKUP($R169,Capa!$A:$AJ,BN$5,0))))</f>
        <v/>
      </c>
      <c r="BO169" s="174" t="str">
        <f>IF(BO$6="","",IF(BO$3="Maior",iferror(VLOOKUP($R169,Capa!$A:$AJ,BO$5,0),0),IF(ISERROR(1/VLOOKUP($R169,Capa!$A:$AJ,BO$5,0)),0,1/VLOOKUP($R169,Capa!$A:$AJ,BO$5,0))))</f>
        <v/>
      </c>
      <c r="BP169" s="174" t="str">
        <f>IF(BP$6="","",IF(BP$3="Maior",iferror(VLOOKUP($R169,Capa!$A:$AJ,BP$5,0),0),IF(ISERROR(1/VLOOKUP($R169,Capa!$A:$AJ,BP$5,0)),0,1/VLOOKUP($R169,Capa!$A:$AJ,BP$5,0))))</f>
        <v/>
      </c>
      <c r="BQ169" s="174" t="str">
        <f>IF(BQ$6="","",IF(BQ$3="Maior",iferror(VLOOKUP($R169,Capa!$A:$AJ,BQ$5,0),0),IF(ISERROR(1/VLOOKUP($R169,Capa!$A:$AJ,BQ$5,0)),0,1/VLOOKUP($R169,Capa!$A:$AJ,BQ$5,0))))</f>
        <v/>
      </c>
      <c r="BR169" s="175"/>
      <c r="BS169" s="147"/>
    </row>
    <row r="170">
      <c r="G170" s="11"/>
      <c r="H170" s="8">
        <v>164.0</v>
      </c>
      <c r="I170" s="165" t="str">
        <f t="shared" si="6"/>
        <v>AXIA7</v>
      </c>
      <c r="J170" s="166" t="str">
        <f>(VLOOKUP($I170,Capa!$A:$B,2,0))</f>
        <v>Centrais Elet Bras Prf Shs</v>
      </c>
      <c r="K170" s="167" t="str">
        <f>VLOOKUP(left(I170,4),Setor!A:D,3,0)&amp;" | "&amp;VLOOKUP(left(I170,4),Setor!A:D,4,0)</f>
        <v>#N/A</v>
      </c>
      <c r="L170" s="168">
        <f>(VLOOKUP($I170,Capa!$A:$F,6,0))</f>
        <v>58.82</v>
      </c>
      <c r="M170" s="168">
        <f t="shared" si="7"/>
        <v>189000000</v>
      </c>
      <c r="N170" s="11" t="str">
        <f>IFERROR(__xludf.DUMMYFUNCTION("(VLOOKUP($I170,Capa!$A:$H,7,0))"),"")</f>
        <v/>
      </c>
      <c r="O170" s="169">
        <f>(VLOOKUP($I170,Capa!$A:$H,8,0))</f>
        <v>0.1510763209</v>
      </c>
      <c r="P170" s="11" t="str">
        <f>IFERROR(__xludf.DUMMYFUNCTION("(VLOOKUP($I170,Capa!$A:$J,10,0))"),"")</f>
        <v/>
      </c>
      <c r="Q170" s="169" t="str">
        <f>(VLOOKUP($I170,Capa!$A:$K,11,0))</f>
        <v/>
      </c>
      <c r="R170" s="45" t="str">
        <f>'Dados StatusInvest'!A165</f>
        <v>CMIN3</v>
      </c>
      <c r="S170" s="170">
        <f t="shared" si="8"/>
        <v>867.0867</v>
      </c>
      <c r="T170" s="171">
        <f>VLOOKUP(R170,'Dados StatusInvest'!A:Z,26,0)</f>
        <v>46805200</v>
      </c>
      <c r="U170" s="172">
        <f t="shared" ref="U170:AS170" si="172">IF(AT170="","", RANK(AT170,AT$7:AT$626,0)+RANK(AT170,AT$7:AT$626,0)/10000)</f>
        <v>301.0301</v>
      </c>
      <c r="V170" s="172">
        <f t="shared" si="172"/>
        <v>566.0566</v>
      </c>
      <c r="W170" s="172" t="str">
        <f t="shared" si="172"/>
        <v/>
      </c>
      <c r="X170" s="172" t="str">
        <f t="shared" si="172"/>
        <v/>
      </c>
      <c r="Y170" s="172" t="str">
        <f t="shared" si="172"/>
        <v/>
      </c>
      <c r="Z170" s="172" t="str">
        <f t="shared" si="172"/>
        <v/>
      </c>
      <c r="AA170" s="172" t="str">
        <f t="shared" si="172"/>
        <v/>
      </c>
      <c r="AB170" s="172" t="str">
        <f t="shared" si="172"/>
        <v/>
      </c>
      <c r="AC170" s="172" t="str">
        <f t="shared" si="172"/>
        <v/>
      </c>
      <c r="AD170" s="172" t="str">
        <f t="shared" si="172"/>
        <v/>
      </c>
      <c r="AE170" s="172" t="str">
        <f t="shared" si="172"/>
        <v/>
      </c>
      <c r="AF170" s="172" t="str">
        <f t="shared" si="172"/>
        <v/>
      </c>
      <c r="AG170" s="172" t="str">
        <f t="shared" si="172"/>
        <v/>
      </c>
      <c r="AH170" s="172" t="str">
        <f t="shared" si="172"/>
        <v/>
      </c>
      <c r="AI170" s="172" t="str">
        <f t="shared" si="172"/>
        <v/>
      </c>
      <c r="AJ170" s="172" t="str">
        <f t="shared" si="172"/>
        <v/>
      </c>
      <c r="AK170" s="172" t="str">
        <f t="shared" si="172"/>
        <v/>
      </c>
      <c r="AL170" s="172" t="str">
        <f t="shared" si="172"/>
        <v/>
      </c>
      <c r="AM170" s="172" t="str">
        <f t="shared" si="172"/>
        <v/>
      </c>
      <c r="AN170" s="172" t="str">
        <f t="shared" si="172"/>
        <v/>
      </c>
      <c r="AO170" s="172" t="str">
        <f t="shared" si="172"/>
        <v/>
      </c>
      <c r="AP170" s="172" t="str">
        <f t="shared" si="172"/>
        <v/>
      </c>
      <c r="AQ170" s="172" t="str">
        <f t="shared" si="172"/>
        <v/>
      </c>
      <c r="AR170" s="172" t="str">
        <f t="shared" si="172"/>
        <v/>
      </c>
      <c r="AS170" s="172" t="str">
        <f t="shared" si="172"/>
        <v/>
      </c>
      <c r="AT170" s="173">
        <f>IF(AT$6="","",IF(AT$3="Maior",iferror(VLOOKUP($R170,Capa!$A:$AJ,AT$5,0),0),IF(ISERROR(1/VLOOKUP($R170,Capa!$A:$AJ,AT$5,0)),0,1/VLOOKUP($R170,Capa!$A:$AJ,AT$5,0))))</f>
        <v>-0.6540920638</v>
      </c>
      <c r="AU170" s="174">
        <f>IF(AU$6="","",IF(AU$3="Maior",iferror(VLOOKUP($R170,Capa!$A:$AJ,AU$5,0),0),IF(ISERROR(1/VLOOKUP($R170,Capa!$A:$AJ,AU$5,0)),0,1/VLOOKUP($R170,Capa!$A:$AJ,AU$5,0))))</f>
        <v>-7.58</v>
      </c>
      <c r="AV170" s="174" t="str">
        <f>IF(AV$6="","",IF(AV$3="Maior",iferror(VLOOKUP($R170,Capa!$A:$AJ,AV$5,0),0),IF(ISERROR(1/VLOOKUP($R170,Capa!$A:$AJ,AV$5,0)),0,1/VLOOKUP($R170,Capa!$A:$AJ,AV$5,0))))</f>
        <v/>
      </c>
      <c r="AW170" s="174" t="str">
        <f>IF(AW$6="","",IF(AW$3="Maior",iferror(VLOOKUP($R170,Capa!$A:$AJ,AW$5,0),0),IF(ISERROR(1/VLOOKUP($R170,Capa!$A:$AJ,AW$5,0)),0,1/VLOOKUP($R170,Capa!$A:$AJ,AW$5,0))))</f>
        <v/>
      </c>
      <c r="AX170" s="174" t="str">
        <f>IF(AX$6="","",IF(AX$3="Maior",iferror(VLOOKUP($R170,Capa!$A:$AJ,AX$5,0),0),IF(ISERROR(1/VLOOKUP($R170,Capa!$A:$AJ,AX$5,0)),0,1/VLOOKUP($R170,Capa!$A:$AJ,AX$5,0))))</f>
        <v/>
      </c>
      <c r="AY170" s="174" t="str">
        <f>IF(AY$6="","",IF(AY$3="Maior",iferror(VLOOKUP($R170,Capa!$A:$AJ,AY$5,0),0),IF(ISERROR(1/VLOOKUP($R170,Capa!$A:$AJ,AY$5,0)),0,1/VLOOKUP($R170,Capa!$A:$AJ,AY$5,0))))</f>
        <v/>
      </c>
      <c r="AZ170" s="174" t="str">
        <f>IF(AZ$6="","",IF(AZ$3="Maior",iferror(VLOOKUP($R170,Capa!$A:$AJ,AZ$5,0),0),IF(ISERROR(1/VLOOKUP($R170,Capa!$A:$AJ,AZ$5,0)),0,1/VLOOKUP($R170,Capa!$A:$AJ,AZ$5,0))))</f>
        <v/>
      </c>
      <c r="BA170" s="174" t="str">
        <f>IF(BA$6="","",IF(BA$3="Maior",iferror(VLOOKUP($R170,Capa!$A:$AJ,BA$5,0),0),IF(ISERROR(1/VLOOKUP($R170,Capa!$A:$AJ,BA$5,0)),0,1/VLOOKUP($R170,Capa!$A:$AJ,BA$5,0))))</f>
        <v/>
      </c>
      <c r="BB170" s="174" t="str">
        <f>IF(BB$6="","",IF(BB$3="Maior",iferror(VLOOKUP($R170,Capa!$A:$AJ,BB$5,0),0),IF(ISERROR(1/VLOOKUP($R170,Capa!$A:$AJ,BB$5,0)),0,1/VLOOKUP($R170,Capa!$A:$AJ,BB$5,0))))</f>
        <v/>
      </c>
      <c r="BC170" s="174" t="str">
        <f>IF(BC$6="","",IF(BC$3="Maior",iferror(VLOOKUP($R170,Capa!$A:$AJ,BC$5,0),0),IF(ISERROR(1/VLOOKUP($R170,Capa!$A:$AJ,BC$5,0)),0,1/VLOOKUP($R170,Capa!$A:$AJ,BC$5,0))))</f>
        <v/>
      </c>
      <c r="BD170" s="174" t="str">
        <f>IF(BD$6="","",IF(BD$3="Maior",iferror(VLOOKUP($R170,Capa!$A:$AJ,BD$5,0),0),IF(ISERROR(1/VLOOKUP($R170,Capa!$A:$AJ,BD$5,0)),0,1/VLOOKUP($R170,Capa!$A:$AJ,BD$5,0))))</f>
        <v/>
      </c>
      <c r="BE170" s="174" t="str">
        <f>IF(BE$6="","",IF(BE$3="Maior",iferror(VLOOKUP($R170,Capa!$A:$AJ,BE$5,0),0),IF(ISERROR(1/VLOOKUP($R170,Capa!$A:$AJ,BE$5,0)),0,1/VLOOKUP($R170,Capa!$A:$AJ,BE$5,0))))</f>
        <v/>
      </c>
      <c r="BF170" s="174" t="str">
        <f>IF(BF$6="","",IF(BF$3="Maior",iferror(VLOOKUP($R170,Capa!$A:$AJ,BF$5,0),0),IF(ISERROR(1/VLOOKUP($R170,Capa!$A:$AJ,BF$5,0)),0,1/VLOOKUP($R170,Capa!$A:$AJ,BF$5,0))))</f>
        <v/>
      </c>
      <c r="BG170" s="174" t="str">
        <f>IF(BG$6="","",IF(BG$3="Maior",iferror(VLOOKUP($R170,Capa!$A:$AJ,BG$5,0),0),IF(ISERROR(1/VLOOKUP($R170,Capa!$A:$AJ,BG$5,0)),0,1/VLOOKUP($R170,Capa!$A:$AJ,BG$5,0))))</f>
        <v/>
      </c>
      <c r="BH170" s="174" t="str">
        <f>IF(BH$6="","",IF(BH$3="Maior",iferror(VLOOKUP($R170,Capa!$A:$AJ,BH$5,0),0),IF(ISERROR(1/VLOOKUP($R170,Capa!$A:$AJ,BH$5,0)),0,1/VLOOKUP($R170,Capa!$A:$AJ,BH$5,0))))</f>
        <v/>
      </c>
      <c r="BI170" s="174" t="str">
        <f>IF(BI$6="","",IF(BI$3="Maior",iferror(VLOOKUP($R170,Capa!$A:$AJ,BI$5,0),0),IF(ISERROR(1/VLOOKUP($R170,Capa!$A:$AJ,BI$5,0)),0,1/VLOOKUP($R170,Capa!$A:$AJ,BI$5,0))))</f>
        <v/>
      </c>
      <c r="BJ170" s="174" t="str">
        <f>IF(BJ$6="","",IF(BJ$3="Maior",iferror(VLOOKUP($R170,Capa!$A:$AJ,BJ$5,0),0),IF(ISERROR(1/VLOOKUP($R170,Capa!$A:$AJ,BJ$5,0)),0,1/VLOOKUP($R170,Capa!$A:$AJ,BJ$5,0))))</f>
        <v/>
      </c>
      <c r="BK170" s="174" t="str">
        <f>IF(BK$6="","",IF(BK$3="Maior",iferror(VLOOKUP($R170,Capa!$A:$AJ,BK$5,0),0),IF(ISERROR(1/VLOOKUP($R170,Capa!$A:$AJ,BK$5,0)),0,1/VLOOKUP($R170,Capa!$A:$AJ,BK$5,0))))</f>
        <v/>
      </c>
      <c r="BL170" s="174" t="str">
        <f>IF(BL$6="","",IF(BL$3="Maior",iferror(VLOOKUP($R170,Capa!$A:$AJ,BL$5,0),0),IF(ISERROR(1/VLOOKUP($R170,Capa!$A:$AJ,BL$5,0)),0,1/VLOOKUP($R170,Capa!$A:$AJ,BL$5,0))))</f>
        <v/>
      </c>
      <c r="BM170" s="174" t="str">
        <f>IF(BM$6="","",IF(BM$3="Maior",iferror(VLOOKUP($R170,Capa!$A:$AJ,BM$5,0),0),IF(ISERROR(1/VLOOKUP($R170,Capa!$A:$AJ,BM$5,0)),0,1/VLOOKUP($R170,Capa!$A:$AJ,BM$5,0))))</f>
        <v/>
      </c>
      <c r="BN170" s="174" t="str">
        <f>IF(BN$6="","",IF(BN$3="Maior",iferror(VLOOKUP($R170,Capa!$A:$AJ,BN$5,0),0),IF(ISERROR(1/VLOOKUP($R170,Capa!$A:$AJ,BN$5,0)),0,1/VLOOKUP($R170,Capa!$A:$AJ,BN$5,0))))</f>
        <v/>
      </c>
      <c r="BO170" s="174" t="str">
        <f>IF(BO$6="","",IF(BO$3="Maior",iferror(VLOOKUP($R170,Capa!$A:$AJ,BO$5,0),0),IF(ISERROR(1/VLOOKUP($R170,Capa!$A:$AJ,BO$5,0)),0,1/VLOOKUP($R170,Capa!$A:$AJ,BO$5,0))))</f>
        <v/>
      </c>
      <c r="BP170" s="174" t="str">
        <f>IF(BP$6="","",IF(BP$3="Maior",iferror(VLOOKUP($R170,Capa!$A:$AJ,BP$5,0),0),IF(ISERROR(1/VLOOKUP($R170,Capa!$A:$AJ,BP$5,0)),0,1/VLOOKUP($R170,Capa!$A:$AJ,BP$5,0))))</f>
        <v/>
      </c>
      <c r="BQ170" s="174" t="str">
        <f>IF(BQ$6="","",IF(BQ$3="Maior",iferror(VLOOKUP($R170,Capa!$A:$AJ,BQ$5,0),0),IF(ISERROR(1/VLOOKUP($R170,Capa!$A:$AJ,BQ$5,0)),0,1/VLOOKUP($R170,Capa!$A:$AJ,BQ$5,0))))</f>
        <v/>
      </c>
      <c r="BR170" s="175"/>
      <c r="BS170" s="147"/>
    </row>
    <row r="171">
      <c r="G171" s="11"/>
      <c r="H171" s="8">
        <v>165.0</v>
      </c>
      <c r="I171" s="165" t="str">
        <f t="shared" si="6"/>
        <v>AGRO3</v>
      </c>
      <c r="J171" s="166" t="str">
        <f>(VLOOKUP($I171,Capa!$A:$B,2,0))</f>
        <v>BrasilAgro - Companhia Brslr d Prprd Agr</v>
      </c>
      <c r="K171" s="167" t="str">
        <f>VLOOKUP(left(I171,4),Setor!A:D,3,0)&amp;" | "&amp;VLOOKUP(left(I171,4),Setor!A:D,4,0)</f>
        <v>Consumo não Cíclico | Agropecuária</v>
      </c>
      <c r="L171" s="168">
        <f>(VLOOKUP($I171,Capa!$A:$F,6,0))</f>
        <v>20.24</v>
      </c>
      <c r="M171" s="168">
        <f t="shared" si="7"/>
        <v>4102180</v>
      </c>
      <c r="N171" s="11" t="str">
        <f>IFERROR(__xludf.DUMMYFUNCTION("(VLOOKUP($I171,Capa!$A:$H,7,0))"),"")</f>
        <v/>
      </c>
      <c r="O171" s="169">
        <f>(VLOOKUP($I171,Capa!$A:$H,8,0))</f>
        <v>-0.04347826087</v>
      </c>
      <c r="P171" s="11" t="str">
        <f>IFERROR(__xludf.DUMMYFUNCTION("(VLOOKUP($I171,Capa!$A:$J,10,0))"),"")</f>
        <v/>
      </c>
      <c r="Q171" s="169">
        <f>(VLOOKUP($I171,Capa!$A:$K,11,0))</f>
        <v>-0.04302600473</v>
      </c>
      <c r="R171" s="45" t="str">
        <f>'Dados StatusInvest'!A166</f>
        <v>CMSA3</v>
      </c>
      <c r="S171" s="170">
        <f t="shared" si="8"/>
        <v>1318.0318</v>
      </c>
      <c r="T171" s="171">
        <f>VLOOKUP(R171,'Dados StatusInvest'!A:Z,26,0)</f>
        <v>0</v>
      </c>
      <c r="U171" s="172">
        <f t="shared" ref="U171:AS171" si="173">IF(AT171="","", RANK(AT171,AT$7:AT$626,0)+RANK(AT171,AT$7:AT$626,0)/10000)</f>
        <v>51.0051</v>
      </c>
      <c r="V171" s="172">
        <f t="shared" si="173"/>
        <v>267.0267</v>
      </c>
      <c r="W171" s="172" t="str">
        <f t="shared" si="173"/>
        <v/>
      </c>
      <c r="X171" s="172" t="str">
        <f t="shared" si="173"/>
        <v/>
      </c>
      <c r="Y171" s="172" t="str">
        <f t="shared" si="173"/>
        <v/>
      </c>
      <c r="Z171" s="172" t="str">
        <f t="shared" si="173"/>
        <v/>
      </c>
      <c r="AA171" s="172" t="str">
        <f t="shared" si="173"/>
        <v/>
      </c>
      <c r="AB171" s="172" t="str">
        <f t="shared" si="173"/>
        <v/>
      </c>
      <c r="AC171" s="172" t="str">
        <f t="shared" si="173"/>
        <v/>
      </c>
      <c r="AD171" s="172" t="str">
        <f t="shared" si="173"/>
        <v/>
      </c>
      <c r="AE171" s="172" t="str">
        <f t="shared" si="173"/>
        <v/>
      </c>
      <c r="AF171" s="172" t="str">
        <f t="shared" si="173"/>
        <v/>
      </c>
      <c r="AG171" s="172" t="str">
        <f t="shared" si="173"/>
        <v/>
      </c>
      <c r="AH171" s="172" t="str">
        <f t="shared" si="173"/>
        <v/>
      </c>
      <c r="AI171" s="172" t="str">
        <f t="shared" si="173"/>
        <v/>
      </c>
      <c r="AJ171" s="172" t="str">
        <f t="shared" si="173"/>
        <v/>
      </c>
      <c r="AK171" s="172" t="str">
        <f t="shared" si="173"/>
        <v/>
      </c>
      <c r="AL171" s="172" t="str">
        <f t="shared" si="173"/>
        <v/>
      </c>
      <c r="AM171" s="172" t="str">
        <f t="shared" si="173"/>
        <v/>
      </c>
      <c r="AN171" s="172" t="str">
        <f t="shared" si="173"/>
        <v/>
      </c>
      <c r="AO171" s="172" t="str">
        <f t="shared" si="173"/>
        <v/>
      </c>
      <c r="AP171" s="172" t="str">
        <f t="shared" si="173"/>
        <v/>
      </c>
      <c r="AQ171" s="172" t="str">
        <f t="shared" si="173"/>
        <v/>
      </c>
      <c r="AR171" s="172" t="str">
        <f t="shared" si="173"/>
        <v/>
      </c>
      <c r="AS171" s="172" t="str">
        <f t="shared" si="173"/>
        <v/>
      </c>
      <c r="AT171" s="173">
        <f>IF(AT$6="","",IF(AT$3="Maior",iferror(VLOOKUP($R171,Capa!$A:$AJ,AT$5,0),0),IF(ISERROR(1/VLOOKUP($R171,Capa!$A:$AJ,AT$5,0)),0,1/VLOOKUP($R171,Capa!$A:$AJ,AT$5,0))))</f>
        <v>0</v>
      </c>
      <c r="AU171" s="174">
        <f>IF(AU$6="","",IF(AU$3="Maior",iferror(VLOOKUP($R171,Capa!$A:$AJ,AU$5,0),0),IF(ISERROR(1/VLOOKUP($R171,Capa!$A:$AJ,AU$5,0)),0,1/VLOOKUP($R171,Capa!$A:$AJ,AU$5,0))))</f>
        <v>0</v>
      </c>
      <c r="AV171" s="174" t="str">
        <f>IF(AV$6="","",IF(AV$3="Maior",iferror(VLOOKUP($R171,Capa!$A:$AJ,AV$5,0),0),IF(ISERROR(1/VLOOKUP($R171,Capa!$A:$AJ,AV$5,0)),0,1/VLOOKUP($R171,Capa!$A:$AJ,AV$5,0))))</f>
        <v/>
      </c>
      <c r="AW171" s="174" t="str">
        <f>IF(AW$6="","",IF(AW$3="Maior",iferror(VLOOKUP($R171,Capa!$A:$AJ,AW$5,0),0),IF(ISERROR(1/VLOOKUP($R171,Capa!$A:$AJ,AW$5,0)),0,1/VLOOKUP($R171,Capa!$A:$AJ,AW$5,0))))</f>
        <v/>
      </c>
      <c r="AX171" s="174" t="str">
        <f>IF(AX$6="","",IF(AX$3="Maior",iferror(VLOOKUP($R171,Capa!$A:$AJ,AX$5,0),0),IF(ISERROR(1/VLOOKUP($R171,Capa!$A:$AJ,AX$5,0)),0,1/VLOOKUP($R171,Capa!$A:$AJ,AX$5,0))))</f>
        <v/>
      </c>
      <c r="AY171" s="174" t="str">
        <f>IF(AY$6="","",IF(AY$3="Maior",iferror(VLOOKUP($R171,Capa!$A:$AJ,AY$5,0),0),IF(ISERROR(1/VLOOKUP($R171,Capa!$A:$AJ,AY$5,0)),0,1/VLOOKUP($R171,Capa!$A:$AJ,AY$5,0))))</f>
        <v/>
      </c>
      <c r="AZ171" s="174" t="str">
        <f>IF(AZ$6="","",IF(AZ$3="Maior",iferror(VLOOKUP($R171,Capa!$A:$AJ,AZ$5,0),0),IF(ISERROR(1/VLOOKUP($R171,Capa!$A:$AJ,AZ$5,0)),0,1/VLOOKUP($R171,Capa!$A:$AJ,AZ$5,0))))</f>
        <v/>
      </c>
      <c r="BA171" s="174" t="str">
        <f>IF(BA$6="","",IF(BA$3="Maior",iferror(VLOOKUP($R171,Capa!$A:$AJ,BA$5,0),0),IF(ISERROR(1/VLOOKUP($R171,Capa!$A:$AJ,BA$5,0)),0,1/VLOOKUP($R171,Capa!$A:$AJ,BA$5,0))))</f>
        <v/>
      </c>
      <c r="BB171" s="174" t="str">
        <f>IF(BB$6="","",IF(BB$3="Maior",iferror(VLOOKUP($R171,Capa!$A:$AJ,BB$5,0),0),IF(ISERROR(1/VLOOKUP($R171,Capa!$A:$AJ,BB$5,0)),0,1/VLOOKUP($R171,Capa!$A:$AJ,BB$5,0))))</f>
        <v/>
      </c>
      <c r="BC171" s="174" t="str">
        <f>IF(BC$6="","",IF(BC$3="Maior",iferror(VLOOKUP($R171,Capa!$A:$AJ,BC$5,0),0),IF(ISERROR(1/VLOOKUP($R171,Capa!$A:$AJ,BC$5,0)),0,1/VLOOKUP($R171,Capa!$A:$AJ,BC$5,0))))</f>
        <v/>
      </c>
      <c r="BD171" s="174" t="str">
        <f>IF(BD$6="","",IF(BD$3="Maior",iferror(VLOOKUP($R171,Capa!$A:$AJ,BD$5,0),0),IF(ISERROR(1/VLOOKUP($R171,Capa!$A:$AJ,BD$5,0)),0,1/VLOOKUP($R171,Capa!$A:$AJ,BD$5,0))))</f>
        <v/>
      </c>
      <c r="BE171" s="174" t="str">
        <f>IF(BE$6="","",IF(BE$3="Maior",iferror(VLOOKUP($R171,Capa!$A:$AJ,BE$5,0),0),IF(ISERROR(1/VLOOKUP($R171,Capa!$A:$AJ,BE$5,0)),0,1/VLOOKUP($R171,Capa!$A:$AJ,BE$5,0))))</f>
        <v/>
      </c>
      <c r="BF171" s="174" t="str">
        <f>IF(BF$6="","",IF(BF$3="Maior",iferror(VLOOKUP($R171,Capa!$A:$AJ,BF$5,0),0),IF(ISERROR(1/VLOOKUP($R171,Capa!$A:$AJ,BF$5,0)),0,1/VLOOKUP($R171,Capa!$A:$AJ,BF$5,0))))</f>
        <v/>
      </c>
      <c r="BG171" s="174" t="str">
        <f>IF(BG$6="","",IF(BG$3="Maior",iferror(VLOOKUP($R171,Capa!$A:$AJ,BG$5,0),0),IF(ISERROR(1/VLOOKUP($R171,Capa!$A:$AJ,BG$5,0)),0,1/VLOOKUP($R171,Capa!$A:$AJ,BG$5,0))))</f>
        <v/>
      </c>
      <c r="BH171" s="174" t="str">
        <f>IF(BH$6="","",IF(BH$3="Maior",iferror(VLOOKUP($R171,Capa!$A:$AJ,BH$5,0),0),IF(ISERROR(1/VLOOKUP($R171,Capa!$A:$AJ,BH$5,0)),0,1/VLOOKUP($R171,Capa!$A:$AJ,BH$5,0))))</f>
        <v/>
      </c>
      <c r="BI171" s="174" t="str">
        <f>IF(BI$6="","",IF(BI$3="Maior",iferror(VLOOKUP($R171,Capa!$A:$AJ,BI$5,0),0),IF(ISERROR(1/VLOOKUP($R171,Capa!$A:$AJ,BI$5,0)),0,1/VLOOKUP($R171,Capa!$A:$AJ,BI$5,0))))</f>
        <v/>
      </c>
      <c r="BJ171" s="174" t="str">
        <f>IF(BJ$6="","",IF(BJ$3="Maior",iferror(VLOOKUP($R171,Capa!$A:$AJ,BJ$5,0),0),IF(ISERROR(1/VLOOKUP($R171,Capa!$A:$AJ,BJ$5,0)),0,1/VLOOKUP($R171,Capa!$A:$AJ,BJ$5,0))))</f>
        <v/>
      </c>
      <c r="BK171" s="174" t="str">
        <f>IF(BK$6="","",IF(BK$3="Maior",iferror(VLOOKUP($R171,Capa!$A:$AJ,BK$5,0),0),IF(ISERROR(1/VLOOKUP($R171,Capa!$A:$AJ,BK$5,0)),0,1/VLOOKUP($R171,Capa!$A:$AJ,BK$5,0))))</f>
        <v/>
      </c>
      <c r="BL171" s="174" t="str">
        <f>IF(BL$6="","",IF(BL$3="Maior",iferror(VLOOKUP($R171,Capa!$A:$AJ,BL$5,0),0),IF(ISERROR(1/VLOOKUP($R171,Capa!$A:$AJ,BL$5,0)),0,1/VLOOKUP($R171,Capa!$A:$AJ,BL$5,0))))</f>
        <v/>
      </c>
      <c r="BM171" s="174" t="str">
        <f>IF(BM$6="","",IF(BM$3="Maior",iferror(VLOOKUP($R171,Capa!$A:$AJ,BM$5,0),0),IF(ISERROR(1/VLOOKUP($R171,Capa!$A:$AJ,BM$5,0)),0,1/VLOOKUP($R171,Capa!$A:$AJ,BM$5,0))))</f>
        <v/>
      </c>
      <c r="BN171" s="174" t="str">
        <f>IF(BN$6="","",IF(BN$3="Maior",iferror(VLOOKUP($R171,Capa!$A:$AJ,BN$5,0),0),IF(ISERROR(1/VLOOKUP($R171,Capa!$A:$AJ,BN$5,0)),0,1/VLOOKUP($R171,Capa!$A:$AJ,BN$5,0))))</f>
        <v/>
      </c>
      <c r="BO171" s="174" t="str">
        <f>IF(BO$6="","",IF(BO$3="Maior",iferror(VLOOKUP($R171,Capa!$A:$AJ,BO$5,0),0),IF(ISERROR(1/VLOOKUP($R171,Capa!$A:$AJ,BO$5,0)),0,1/VLOOKUP($R171,Capa!$A:$AJ,BO$5,0))))</f>
        <v/>
      </c>
      <c r="BP171" s="174" t="str">
        <f>IF(BP$6="","",IF(BP$3="Maior",iferror(VLOOKUP($R171,Capa!$A:$AJ,BP$5,0),0),IF(ISERROR(1/VLOOKUP($R171,Capa!$A:$AJ,BP$5,0)),0,1/VLOOKUP($R171,Capa!$A:$AJ,BP$5,0))))</f>
        <v/>
      </c>
      <c r="BQ171" s="174" t="str">
        <f>IF(BQ$6="","",IF(BQ$3="Maior",iferror(VLOOKUP($R171,Capa!$A:$AJ,BQ$5,0),0),IF(ISERROR(1/VLOOKUP($R171,Capa!$A:$AJ,BQ$5,0)),0,1/VLOOKUP($R171,Capa!$A:$AJ,BQ$5,0))))</f>
        <v/>
      </c>
      <c r="BR171" s="175"/>
      <c r="BS171" s="147"/>
    </row>
    <row r="172">
      <c r="G172" s="11"/>
      <c r="H172" s="8">
        <v>166.0</v>
      </c>
      <c r="I172" s="165" t="str">
        <f t="shared" si="6"/>
        <v>AGRO3</v>
      </c>
      <c r="J172" s="166" t="str">
        <f>(VLOOKUP($I172,Capa!$A:$B,2,0))</f>
        <v>BrasilAgro - Companhia Brslr d Prprd Agr</v>
      </c>
      <c r="K172" s="167" t="str">
        <f>VLOOKUP(left(I172,4),Setor!A:D,3,0)&amp;" | "&amp;VLOOKUP(left(I172,4),Setor!A:D,4,0)</f>
        <v>Consumo não Cíclico | Agropecuária</v>
      </c>
      <c r="L172" s="168">
        <f>(VLOOKUP($I172,Capa!$A:$F,6,0))</f>
        <v>20.24</v>
      </c>
      <c r="M172" s="168">
        <f t="shared" si="7"/>
        <v>4102180</v>
      </c>
      <c r="N172" s="11" t="str">
        <f>IFERROR(__xludf.DUMMYFUNCTION("(VLOOKUP($I172,Capa!$A:$H,7,0))"),"")</f>
        <v/>
      </c>
      <c r="O172" s="169">
        <f>(VLOOKUP($I172,Capa!$A:$H,8,0))</f>
        <v>-0.04347826087</v>
      </c>
      <c r="P172" s="11" t="str">
        <f>IFERROR(__xludf.DUMMYFUNCTION("(VLOOKUP($I172,Capa!$A:$J,10,0))"),"")</f>
        <v/>
      </c>
      <c r="Q172" s="169">
        <f>(VLOOKUP($I172,Capa!$A:$K,11,0))</f>
        <v>-0.04302600473</v>
      </c>
      <c r="R172" s="45" t="str">
        <f>'Dados StatusInvest'!A167</f>
        <v>CMSA4</v>
      </c>
      <c r="S172" s="170">
        <f t="shared" si="8"/>
        <v>1318.0318</v>
      </c>
      <c r="T172" s="171">
        <f>VLOOKUP(R172,'Dados StatusInvest'!A:Z,26,0)</f>
        <v>0</v>
      </c>
      <c r="U172" s="172">
        <f t="shared" ref="U172:AS172" si="174">IF(AT172="","", RANK(AT172,AT$7:AT$626,0)+RANK(AT172,AT$7:AT$626,0)/10000)</f>
        <v>51.0051</v>
      </c>
      <c r="V172" s="172">
        <f t="shared" si="174"/>
        <v>267.0267</v>
      </c>
      <c r="W172" s="172" t="str">
        <f t="shared" si="174"/>
        <v/>
      </c>
      <c r="X172" s="172" t="str">
        <f t="shared" si="174"/>
        <v/>
      </c>
      <c r="Y172" s="172" t="str">
        <f t="shared" si="174"/>
        <v/>
      </c>
      <c r="Z172" s="172" t="str">
        <f t="shared" si="174"/>
        <v/>
      </c>
      <c r="AA172" s="172" t="str">
        <f t="shared" si="174"/>
        <v/>
      </c>
      <c r="AB172" s="172" t="str">
        <f t="shared" si="174"/>
        <v/>
      </c>
      <c r="AC172" s="172" t="str">
        <f t="shared" si="174"/>
        <v/>
      </c>
      <c r="AD172" s="172" t="str">
        <f t="shared" si="174"/>
        <v/>
      </c>
      <c r="AE172" s="172" t="str">
        <f t="shared" si="174"/>
        <v/>
      </c>
      <c r="AF172" s="172" t="str">
        <f t="shared" si="174"/>
        <v/>
      </c>
      <c r="AG172" s="172" t="str">
        <f t="shared" si="174"/>
        <v/>
      </c>
      <c r="AH172" s="172" t="str">
        <f t="shared" si="174"/>
        <v/>
      </c>
      <c r="AI172" s="172" t="str">
        <f t="shared" si="174"/>
        <v/>
      </c>
      <c r="AJ172" s="172" t="str">
        <f t="shared" si="174"/>
        <v/>
      </c>
      <c r="AK172" s="172" t="str">
        <f t="shared" si="174"/>
        <v/>
      </c>
      <c r="AL172" s="172" t="str">
        <f t="shared" si="174"/>
        <v/>
      </c>
      <c r="AM172" s="172" t="str">
        <f t="shared" si="174"/>
        <v/>
      </c>
      <c r="AN172" s="172" t="str">
        <f t="shared" si="174"/>
        <v/>
      </c>
      <c r="AO172" s="172" t="str">
        <f t="shared" si="174"/>
        <v/>
      </c>
      <c r="AP172" s="172" t="str">
        <f t="shared" si="174"/>
        <v/>
      </c>
      <c r="AQ172" s="172" t="str">
        <f t="shared" si="174"/>
        <v/>
      </c>
      <c r="AR172" s="172" t="str">
        <f t="shared" si="174"/>
        <v/>
      </c>
      <c r="AS172" s="172" t="str">
        <f t="shared" si="174"/>
        <v/>
      </c>
      <c r="AT172" s="173">
        <f>IF(AT$6="","",IF(AT$3="Maior",iferror(VLOOKUP($R172,Capa!$A:$AJ,AT$5,0),0),IF(ISERROR(1/VLOOKUP($R172,Capa!$A:$AJ,AT$5,0)),0,1/VLOOKUP($R172,Capa!$A:$AJ,AT$5,0))))</f>
        <v>0</v>
      </c>
      <c r="AU172" s="174">
        <f>IF(AU$6="","",IF(AU$3="Maior",iferror(VLOOKUP($R172,Capa!$A:$AJ,AU$5,0),0),IF(ISERROR(1/VLOOKUP($R172,Capa!$A:$AJ,AU$5,0)),0,1/VLOOKUP($R172,Capa!$A:$AJ,AU$5,0))))</f>
        <v>0</v>
      </c>
      <c r="AV172" s="174" t="str">
        <f>IF(AV$6="","",IF(AV$3="Maior",iferror(VLOOKUP($R172,Capa!$A:$AJ,AV$5,0),0),IF(ISERROR(1/VLOOKUP($R172,Capa!$A:$AJ,AV$5,0)),0,1/VLOOKUP($R172,Capa!$A:$AJ,AV$5,0))))</f>
        <v/>
      </c>
      <c r="AW172" s="174" t="str">
        <f>IF(AW$6="","",IF(AW$3="Maior",iferror(VLOOKUP($R172,Capa!$A:$AJ,AW$5,0),0),IF(ISERROR(1/VLOOKUP($R172,Capa!$A:$AJ,AW$5,0)),0,1/VLOOKUP($R172,Capa!$A:$AJ,AW$5,0))))</f>
        <v/>
      </c>
      <c r="AX172" s="174" t="str">
        <f>IF(AX$6="","",IF(AX$3="Maior",iferror(VLOOKUP($R172,Capa!$A:$AJ,AX$5,0),0),IF(ISERROR(1/VLOOKUP($R172,Capa!$A:$AJ,AX$5,0)),0,1/VLOOKUP($R172,Capa!$A:$AJ,AX$5,0))))</f>
        <v/>
      </c>
      <c r="AY172" s="174" t="str">
        <f>IF(AY$6="","",IF(AY$3="Maior",iferror(VLOOKUP($R172,Capa!$A:$AJ,AY$5,0),0),IF(ISERROR(1/VLOOKUP($R172,Capa!$A:$AJ,AY$5,0)),0,1/VLOOKUP($R172,Capa!$A:$AJ,AY$5,0))))</f>
        <v/>
      </c>
      <c r="AZ172" s="174" t="str">
        <f>IF(AZ$6="","",IF(AZ$3="Maior",iferror(VLOOKUP($R172,Capa!$A:$AJ,AZ$5,0),0),IF(ISERROR(1/VLOOKUP($R172,Capa!$A:$AJ,AZ$5,0)),0,1/VLOOKUP($R172,Capa!$A:$AJ,AZ$5,0))))</f>
        <v/>
      </c>
      <c r="BA172" s="174" t="str">
        <f>IF(BA$6="","",IF(BA$3="Maior",iferror(VLOOKUP($R172,Capa!$A:$AJ,BA$5,0),0),IF(ISERROR(1/VLOOKUP($R172,Capa!$A:$AJ,BA$5,0)),0,1/VLOOKUP($R172,Capa!$A:$AJ,BA$5,0))))</f>
        <v/>
      </c>
      <c r="BB172" s="174" t="str">
        <f>IF(BB$6="","",IF(BB$3="Maior",iferror(VLOOKUP($R172,Capa!$A:$AJ,BB$5,0),0),IF(ISERROR(1/VLOOKUP($R172,Capa!$A:$AJ,BB$5,0)),0,1/VLOOKUP($R172,Capa!$A:$AJ,BB$5,0))))</f>
        <v/>
      </c>
      <c r="BC172" s="174" t="str">
        <f>IF(BC$6="","",IF(BC$3="Maior",iferror(VLOOKUP($R172,Capa!$A:$AJ,BC$5,0),0),IF(ISERROR(1/VLOOKUP($R172,Capa!$A:$AJ,BC$5,0)),0,1/VLOOKUP($R172,Capa!$A:$AJ,BC$5,0))))</f>
        <v/>
      </c>
      <c r="BD172" s="174" t="str">
        <f>IF(BD$6="","",IF(BD$3="Maior",iferror(VLOOKUP($R172,Capa!$A:$AJ,BD$5,0),0),IF(ISERROR(1/VLOOKUP($R172,Capa!$A:$AJ,BD$5,0)),0,1/VLOOKUP($R172,Capa!$A:$AJ,BD$5,0))))</f>
        <v/>
      </c>
      <c r="BE172" s="174" t="str">
        <f>IF(BE$6="","",IF(BE$3="Maior",iferror(VLOOKUP($R172,Capa!$A:$AJ,BE$5,0),0),IF(ISERROR(1/VLOOKUP($R172,Capa!$A:$AJ,BE$5,0)),0,1/VLOOKUP($R172,Capa!$A:$AJ,BE$5,0))))</f>
        <v/>
      </c>
      <c r="BF172" s="174" t="str">
        <f>IF(BF$6="","",IF(BF$3="Maior",iferror(VLOOKUP($R172,Capa!$A:$AJ,BF$5,0),0),IF(ISERROR(1/VLOOKUP($R172,Capa!$A:$AJ,BF$5,0)),0,1/VLOOKUP($R172,Capa!$A:$AJ,BF$5,0))))</f>
        <v/>
      </c>
      <c r="BG172" s="174" t="str">
        <f>IF(BG$6="","",IF(BG$3="Maior",iferror(VLOOKUP($R172,Capa!$A:$AJ,BG$5,0),0),IF(ISERROR(1/VLOOKUP($R172,Capa!$A:$AJ,BG$5,0)),0,1/VLOOKUP($R172,Capa!$A:$AJ,BG$5,0))))</f>
        <v/>
      </c>
      <c r="BH172" s="174" t="str">
        <f>IF(BH$6="","",IF(BH$3="Maior",iferror(VLOOKUP($R172,Capa!$A:$AJ,BH$5,0),0),IF(ISERROR(1/VLOOKUP($R172,Capa!$A:$AJ,BH$5,0)),0,1/VLOOKUP($R172,Capa!$A:$AJ,BH$5,0))))</f>
        <v/>
      </c>
      <c r="BI172" s="174" t="str">
        <f>IF(BI$6="","",IF(BI$3="Maior",iferror(VLOOKUP($R172,Capa!$A:$AJ,BI$5,0),0),IF(ISERROR(1/VLOOKUP($R172,Capa!$A:$AJ,BI$5,0)),0,1/VLOOKUP($R172,Capa!$A:$AJ,BI$5,0))))</f>
        <v/>
      </c>
      <c r="BJ172" s="174" t="str">
        <f>IF(BJ$6="","",IF(BJ$3="Maior",iferror(VLOOKUP($R172,Capa!$A:$AJ,BJ$5,0),0),IF(ISERROR(1/VLOOKUP($R172,Capa!$A:$AJ,BJ$5,0)),0,1/VLOOKUP($R172,Capa!$A:$AJ,BJ$5,0))))</f>
        <v/>
      </c>
      <c r="BK172" s="174" t="str">
        <f>IF(BK$6="","",IF(BK$3="Maior",iferror(VLOOKUP($R172,Capa!$A:$AJ,BK$5,0),0),IF(ISERROR(1/VLOOKUP($R172,Capa!$A:$AJ,BK$5,0)),0,1/VLOOKUP($R172,Capa!$A:$AJ,BK$5,0))))</f>
        <v/>
      </c>
      <c r="BL172" s="174" t="str">
        <f>IF(BL$6="","",IF(BL$3="Maior",iferror(VLOOKUP($R172,Capa!$A:$AJ,BL$5,0),0),IF(ISERROR(1/VLOOKUP($R172,Capa!$A:$AJ,BL$5,0)),0,1/VLOOKUP($R172,Capa!$A:$AJ,BL$5,0))))</f>
        <v/>
      </c>
      <c r="BM172" s="174" t="str">
        <f>IF(BM$6="","",IF(BM$3="Maior",iferror(VLOOKUP($R172,Capa!$A:$AJ,BM$5,0),0),IF(ISERROR(1/VLOOKUP($R172,Capa!$A:$AJ,BM$5,0)),0,1/VLOOKUP($R172,Capa!$A:$AJ,BM$5,0))))</f>
        <v/>
      </c>
      <c r="BN172" s="174" t="str">
        <f>IF(BN$6="","",IF(BN$3="Maior",iferror(VLOOKUP($R172,Capa!$A:$AJ,BN$5,0),0),IF(ISERROR(1/VLOOKUP($R172,Capa!$A:$AJ,BN$5,0)),0,1/VLOOKUP($R172,Capa!$A:$AJ,BN$5,0))))</f>
        <v/>
      </c>
      <c r="BO172" s="174" t="str">
        <f>IF(BO$6="","",IF(BO$3="Maior",iferror(VLOOKUP($R172,Capa!$A:$AJ,BO$5,0),0),IF(ISERROR(1/VLOOKUP($R172,Capa!$A:$AJ,BO$5,0)),0,1/VLOOKUP($R172,Capa!$A:$AJ,BO$5,0))))</f>
        <v/>
      </c>
      <c r="BP172" s="174" t="str">
        <f>IF(BP$6="","",IF(BP$3="Maior",iferror(VLOOKUP($R172,Capa!$A:$AJ,BP$5,0),0),IF(ISERROR(1/VLOOKUP($R172,Capa!$A:$AJ,BP$5,0)),0,1/VLOOKUP($R172,Capa!$A:$AJ,BP$5,0))))</f>
        <v/>
      </c>
      <c r="BQ172" s="174" t="str">
        <f>IF(BQ$6="","",IF(BQ$3="Maior",iferror(VLOOKUP($R172,Capa!$A:$AJ,BQ$5,0),0),IF(ISERROR(1/VLOOKUP($R172,Capa!$A:$AJ,BQ$5,0)),0,1/VLOOKUP($R172,Capa!$A:$AJ,BQ$5,0))))</f>
        <v/>
      </c>
      <c r="BR172" s="175"/>
      <c r="BS172" s="147"/>
    </row>
    <row r="173">
      <c r="G173" s="11"/>
      <c r="H173" s="8">
        <v>167.0</v>
      </c>
      <c r="I173" s="165" t="str">
        <f t="shared" si="6"/>
        <v>AGRO3</v>
      </c>
      <c r="J173" s="166" t="str">
        <f>(VLOOKUP($I173,Capa!$A:$B,2,0))</f>
        <v>BrasilAgro - Companhia Brslr d Prprd Agr</v>
      </c>
      <c r="K173" s="167" t="str">
        <f>VLOOKUP(left(I173,4),Setor!A:D,3,0)&amp;" | "&amp;VLOOKUP(left(I173,4),Setor!A:D,4,0)</f>
        <v>Consumo não Cíclico | Agropecuária</v>
      </c>
      <c r="L173" s="168">
        <f>(VLOOKUP($I173,Capa!$A:$F,6,0))</f>
        <v>20.24</v>
      </c>
      <c r="M173" s="168">
        <f t="shared" si="7"/>
        <v>4102180</v>
      </c>
      <c r="N173" s="11" t="str">
        <f>IFERROR(__xludf.DUMMYFUNCTION("(VLOOKUP($I173,Capa!$A:$H,7,0))"),"")</f>
        <v/>
      </c>
      <c r="O173" s="169">
        <f>(VLOOKUP($I173,Capa!$A:$H,8,0))</f>
        <v>-0.04347826087</v>
      </c>
      <c r="P173" s="11" t="str">
        <f>IFERROR(__xludf.DUMMYFUNCTION("(VLOOKUP($I173,Capa!$A:$J,10,0))"),"")</f>
        <v/>
      </c>
      <c r="Q173" s="169">
        <f>(VLOOKUP($I173,Capa!$A:$K,11,0))</f>
        <v>-0.04302600473</v>
      </c>
      <c r="R173" s="45" t="str">
        <f>'Dados StatusInvest'!A168</f>
        <v>CNSY3</v>
      </c>
      <c r="S173" s="170">
        <f t="shared" si="8"/>
        <v>1295.0295</v>
      </c>
      <c r="T173" s="171">
        <f>VLOOKUP(R173,'Dados StatusInvest'!A:Z,26,0)</f>
        <v>0</v>
      </c>
      <c r="U173" s="172">
        <f t="shared" ref="U173:AS173" si="175">IF(AT173="","", RANK(AT173,AT$7:AT$626,0)+RANK(AT173,AT$7:AT$626,0)/10000)</f>
        <v>28.0028</v>
      </c>
      <c r="V173" s="172">
        <f t="shared" si="175"/>
        <v>267.0267</v>
      </c>
      <c r="W173" s="172" t="str">
        <f t="shared" si="175"/>
        <v/>
      </c>
      <c r="X173" s="172" t="str">
        <f t="shared" si="175"/>
        <v/>
      </c>
      <c r="Y173" s="172" t="str">
        <f t="shared" si="175"/>
        <v/>
      </c>
      <c r="Z173" s="172" t="str">
        <f t="shared" si="175"/>
        <v/>
      </c>
      <c r="AA173" s="172" t="str">
        <f t="shared" si="175"/>
        <v/>
      </c>
      <c r="AB173" s="172" t="str">
        <f t="shared" si="175"/>
        <v/>
      </c>
      <c r="AC173" s="172" t="str">
        <f t="shared" si="175"/>
        <v/>
      </c>
      <c r="AD173" s="172" t="str">
        <f t="shared" si="175"/>
        <v/>
      </c>
      <c r="AE173" s="172" t="str">
        <f t="shared" si="175"/>
        <v/>
      </c>
      <c r="AF173" s="172" t="str">
        <f t="shared" si="175"/>
        <v/>
      </c>
      <c r="AG173" s="172" t="str">
        <f t="shared" si="175"/>
        <v/>
      </c>
      <c r="AH173" s="172" t="str">
        <f t="shared" si="175"/>
        <v/>
      </c>
      <c r="AI173" s="172" t="str">
        <f t="shared" si="175"/>
        <v/>
      </c>
      <c r="AJ173" s="172" t="str">
        <f t="shared" si="175"/>
        <v/>
      </c>
      <c r="AK173" s="172" t="str">
        <f t="shared" si="175"/>
        <v/>
      </c>
      <c r="AL173" s="172" t="str">
        <f t="shared" si="175"/>
        <v/>
      </c>
      <c r="AM173" s="172" t="str">
        <f t="shared" si="175"/>
        <v/>
      </c>
      <c r="AN173" s="172" t="str">
        <f t="shared" si="175"/>
        <v/>
      </c>
      <c r="AO173" s="172" t="str">
        <f t="shared" si="175"/>
        <v/>
      </c>
      <c r="AP173" s="172" t="str">
        <f t="shared" si="175"/>
        <v/>
      </c>
      <c r="AQ173" s="172" t="str">
        <f t="shared" si="175"/>
        <v/>
      </c>
      <c r="AR173" s="172" t="str">
        <f t="shared" si="175"/>
        <v/>
      </c>
      <c r="AS173" s="172" t="str">
        <f t="shared" si="175"/>
        <v/>
      </c>
      <c r="AT173" s="173">
        <f>IF(AT$6="","",IF(AT$3="Maior",iferror(VLOOKUP($R173,Capa!$A:$AJ,AT$5,0),0),IF(ISERROR(1/VLOOKUP($R173,Capa!$A:$AJ,AT$5,0)),0,1/VLOOKUP($R173,Capa!$A:$AJ,AT$5,0))))</f>
        <v>0.04458314757</v>
      </c>
      <c r="AU173" s="174">
        <f>IF(AU$6="","",IF(AU$3="Maior",iferror(VLOOKUP($R173,Capa!$A:$AJ,AU$5,0),0),IF(ISERROR(1/VLOOKUP($R173,Capa!$A:$AJ,AU$5,0)),0,1/VLOOKUP($R173,Capa!$A:$AJ,AU$5,0))))</f>
        <v>0</v>
      </c>
      <c r="AV173" s="174" t="str">
        <f>IF(AV$6="","",IF(AV$3="Maior",iferror(VLOOKUP($R173,Capa!$A:$AJ,AV$5,0),0),IF(ISERROR(1/VLOOKUP($R173,Capa!$A:$AJ,AV$5,0)),0,1/VLOOKUP($R173,Capa!$A:$AJ,AV$5,0))))</f>
        <v/>
      </c>
      <c r="AW173" s="174" t="str">
        <f>IF(AW$6="","",IF(AW$3="Maior",iferror(VLOOKUP($R173,Capa!$A:$AJ,AW$5,0),0),IF(ISERROR(1/VLOOKUP($R173,Capa!$A:$AJ,AW$5,0)),0,1/VLOOKUP($R173,Capa!$A:$AJ,AW$5,0))))</f>
        <v/>
      </c>
      <c r="AX173" s="174" t="str">
        <f>IF(AX$6="","",IF(AX$3="Maior",iferror(VLOOKUP($R173,Capa!$A:$AJ,AX$5,0),0),IF(ISERROR(1/VLOOKUP($R173,Capa!$A:$AJ,AX$5,0)),0,1/VLOOKUP($R173,Capa!$A:$AJ,AX$5,0))))</f>
        <v/>
      </c>
      <c r="AY173" s="174" t="str">
        <f>IF(AY$6="","",IF(AY$3="Maior",iferror(VLOOKUP($R173,Capa!$A:$AJ,AY$5,0),0),IF(ISERROR(1/VLOOKUP($R173,Capa!$A:$AJ,AY$5,0)),0,1/VLOOKUP($R173,Capa!$A:$AJ,AY$5,0))))</f>
        <v/>
      </c>
      <c r="AZ173" s="174" t="str">
        <f>IF(AZ$6="","",IF(AZ$3="Maior",iferror(VLOOKUP($R173,Capa!$A:$AJ,AZ$5,0),0),IF(ISERROR(1/VLOOKUP($R173,Capa!$A:$AJ,AZ$5,0)),0,1/VLOOKUP($R173,Capa!$A:$AJ,AZ$5,0))))</f>
        <v/>
      </c>
      <c r="BA173" s="174" t="str">
        <f>IF(BA$6="","",IF(BA$3="Maior",iferror(VLOOKUP($R173,Capa!$A:$AJ,BA$5,0),0),IF(ISERROR(1/VLOOKUP($R173,Capa!$A:$AJ,BA$5,0)),0,1/VLOOKUP($R173,Capa!$A:$AJ,BA$5,0))))</f>
        <v/>
      </c>
      <c r="BB173" s="174" t="str">
        <f>IF(BB$6="","",IF(BB$3="Maior",iferror(VLOOKUP($R173,Capa!$A:$AJ,BB$5,0),0),IF(ISERROR(1/VLOOKUP($R173,Capa!$A:$AJ,BB$5,0)),0,1/VLOOKUP($R173,Capa!$A:$AJ,BB$5,0))))</f>
        <v/>
      </c>
      <c r="BC173" s="174" t="str">
        <f>IF(BC$6="","",IF(BC$3="Maior",iferror(VLOOKUP($R173,Capa!$A:$AJ,BC$5,0),0),IF(ISERROR(1/VLOOKUP($R173,Capa!$A:$AJ,BC$5,0)),0,1/VLOOKUP($R173,Capa!$A:$AJ,BC$5,0))))</f>
        <v/>
      </c>
      <c r="BD173" s="174" t="str">
        <f>IF(BD$6="","",IF(BD$3="Maior",iferror(VLOOKUP($R173,Capa!$A:$AJ,BD$5,0),0),IF(ISERROR(1/VLOOKUP($R173,Capa!$A:$AJ,BD$5,0)),0,1/VLOOKUP($R173,Capa!$A:$AJ,BD$5,0))))</f>
        <v/>
      </c>
      <c r="BE173" s="174" t="str">
        <f>IF(BE$6="","",IF(BE$3="Maior",iferror(VLOOKUP($R173,Capa!$A:$AJ,BE$5,0),0),IF(ISERROR(1/VLOOKUP($R173,Capa!$A:$AJ,BE$5,0)),0,1/VLOOKUP($R173,Capa!$A:$AJ,BE$5,0))))</f>
        <v/>
      </c>
      <c r="BF173" s="174" t="str">
        <f>IF(BF$6="","",IF(BF$3="Maior",iferror(VLOOKUP($R173,Capa!$A:$AJ,BF$5,0),0),IF(ISERROR(1/VLOOKUP($R173,Capa!$A:$AJ,BF$5,0)),0,1/VLOOKUP($R173,Capa!$A:$AJ,BF$5,0))))</f>
        <v/>
      </c>
      <c r="BG173" s="174" t="str">
        <f>IF(BG$6="","",IF(BG$3="Maior",iferror(VLOOKUP($R173,Capa!$A:$AJ,BG$5,0),0),IF(ISERROR(1/VLOOKUP($R173,Capa!$A:$AJ,BG$5,0)),0,1/VLOOKUP($R173,Capa!$A:$AJ,BG$5,0))))</f>
        <v/>
      </c>
      <c r="BH173" s="174" t="str">
        <f>IF(BH$6="","",IF(BH$3="Maior",iferror(VLOOKUP($R173,Capa!$A:$AJ,BH$5,0),0),IF(ISERROR(1/VLOOKUP($R173,Capa!$A:$AJ,BH$5,0)),0,1/VLOOKUP($R173,Capa!$A:$AJ,BH$5,0))))</f>
        <v/>
      </c>
      <c r="BI173" s="174" t="str">
        <f>IF(BI$6="","",IF(BI$3="Maior",iferror(VLOOKUP($R173,Capa!$A:$AJ,BI$5,0),0),IF(ISERROR(1/VLOOKUP($R173,Capa!$A:$AJ,BI$5,0)),0,1/VLOOKUP($R173,Capa!$A:$AJ,BI$5,0))))</f>
        <v/>
      </c>
      <c r="BJ173" s="174" t="str">
        <f>IF(BJ$6="","",IF(BJ$3="Maior",iferror(VLOOKUP($R173,Capa!$A:$AJ,BJ$5,0),0),IF(ISERROR(1/VLOOKUP($R173,Capa!$A:$AJ,BJ$5,0)),0,1/VLOOKUP($R173,Capa!$A:$AJ,BJ$5,0))))</f>
        <v/>
      </c>
      <c r="BK173" s="174" t="str">
        <f>IF(BK$6="","",IF(BK$3="Maior",iferror(VLOOKUP($R173,Capa!$A:$AJ,BK$5,0),0),IF(ISERROR(1/VLOOKUP($R173,Capa!$A:$AJ,BK$5,0)),0,1/VLOOKUP($R173,Capa!$A:$AJ,BK$5,0))))</f>
        <v/>
      </c>
      <c r="BL173" s="174" t="str">
        <f>IF(BL$6="","",IF(BL$3="Maior",iferror(VLOOKUP($R173,Capa!$A:$AJ,BL$5,0),0),IF(ISERROR(1/VLOOKUP($R173,Capa!$A:$AJ,BL$5,0)),0,1/VLOOKUP($R173,Capa!$A:$AJ,BL$5,0))))</f>
        <v/>
      </c>
      <c r="BM173" s="174" t="str">
        <f>IF(BM$6="","",IF(BM$3="Maior",iferror(VLOOKUP($R173,Capa!$A:$AJ,BM$5,0),0),IF(ISERROR(1/VLOOKUP($R173,Capa!$A:$AJ,BM$5,0)),0,1/VLOOKUP($R173,Capa!$A:$AJ,BM$5,0))))</f>
        <v/>
      </c>
      <c r="BN173" s="174" t="str">
        <f>IF(BN$6="","",IF(BN$3="Maior",iferror(VLOOKUP($R173,Capa!$A:$AJ,BN$5,0),0),IF(ISERROR(1/VLOOKUP($R173,Capa!$A:$AJ,BN$5,0)),0,1/VLOOKUP($R173,Capa!$A:$AJ,BN$5,0))))</f>
        <v/>
      </c>
      <c r="BO173" s="174" t="str">
        <f>IF(BO$6="","",IF(BO$3="Maior",iferror(VLOOKUP($R173,Capa!$A:$AJ,BO$5,0),0),IF(ISERROR(1/VLOOKUP($R173,Capa!$A:$AJ,BO$5,0)),0,1/VLOOKUP($R173,Capa!$A:$AJ,BO$5,0))))</f>
        <v/>
      </c>
      <c r="BP173" s="174" t="str">
        <f>IF(BP$6="","",IF(BP$3="Maior",iferror(VLOOKUP($R173,Capa!$A:$AJ,BP$5,0),0),IF(ISERROR(1/VLOOKUP($R173,Capa!$A:$AJ,BP$5,0)),0,1/VLOOKUP($R173,Capa!$A:$AJ,BP$5,0))))</f>
        <v/>
      </c>
      <c r="BQ173" s="174" t="str">
        <f>IF(BQ$6="","",IF(BQ$3="Maior",iferror(VLOOKUP($R173,Capa!$A:$AJ,BQ$5,0),0),IF(ISERROR(1/VLOOKUP($R173,Capa!$A:$AJ,BQ$5,0)),0,1/VLOOKUP($R173,Capa!$A:$AJ,BQ$5,0))))</f>
        <v/>
      </c>
      <c r="BR173" s="175"/>
      <c r="BS173" s="147"/>
    </row>
    <row r="174">
      <c r="G174" s="11"/>
      <c r="H174" s="8">
        <v>168.0</v>
      </c>
      <c r="I174" s="165" t="str">
        <f t="shared" si="6"/>
        <v>CVCB3</v>
      </c>
      <c r="J174" s="166" t="str">
        <f>(VLOOKUP($I174,Capa!$A:$B,2,0))</f>
        <v>CVC Brasil Operadora e Agencia d Vgns SA</v>
      </c>
      <c r="K174" s="167" t="str">
        <f>VLOOKUP(left(I174,4),Setor!A:D,3,0)&amp;" | "&amp;VLOOKUP(left(I174,4),Setor!A:D,4,0)</f>
        <v>Consumo Cíclico | Viagens e Lazer</v>
      </c>
      <c r="L174" s="168">
        <f>(VLOOKUP($I174,Capa!$A:$F,6,0))</f>
        <v>2.34</v>
      </c>
      <c r="M174" s="168">
        <f t="shared" si="7"/>
        <v>88875473</v>
      </c>
      <c r="N174" s="11" t="str">
        <f>IFERROR(__xludf.DUMMYFUNCTION("(VLOOKUP($I174,Capa!$A:$H,7,0))"),"")</f>
        <v/>
      </c>
      <c r="O174" s="169">
        <f>(VLOOKUP($I174,Capa!$A:$H,8,0))</f>
        <v>-0.025</v>
      </c>
      <c r="P174" s="11" t="str">
        <f>IFERROR(__xludf.DUMMYFUNCTION("(VLOOKUP($I174,Capa!$A:$J,10,0))"),"")</f>
        <v/>
      </c>
      <c r="Q174" s="169">
        <f>(VLOOKUP($I174,Capa!$A:$K,11,0))</f>
        <v>0.2928176796</v>
      </c>
      <c r="R174" s="45" t="str">
        <f>'Dados StatusInvest'!A169</f>
        <v>COCE3</v>
      </c>
      <c r="S174" s="170">
        <f t="shared" si="8"/>
        <v>2073.1073</v>
      </c>
      <c r="T174" s="171">
        <f>VLOOKUP(R174,'Dados StatusInvest'!A:Z,26,0)</f>
        <v>1450.25</v>
      </c>
      <c r="U174" s="172">
        <f t="shared" ref="U174:AS174" si="176">IF(AT174="","", RANK(AT174,AT$7:AT$626,0)+RANK(AT174,AT$7:AT$626,0)/10000)</f>
        <v>516.0516</v>
      </c>
      <c r="V174" s="172">
        <f t="shared" si="176"/>
        <v>557.0557</v>
      </c>
      <c r="W174" s="172" t="str">
        <f t="shared" si="176"/>
        <v/>
      </c>
      <c r="X174" s="172" t="str">
        <f t="shared" si="176"/>
        <v/>
      </c>
      <c r="Y174" s="172" t="str">
        <f t="shared" si="176"/>
        <v/>
      </c>
      <c r="Z174" s="172" t="str">
        <f t="shared" si="176"/>
        <v/>
      </c>
      <c r="AA174" s="172" t="str">
        <f t="shared" si="176"/>
        <v/>
      </c>
      <c r="AB174" s="172" t="str">
        <f t="shared" si="176"/>
        <v/>
      </c>
      <c r="AC174" s="172" t="str">
        <f t="shared" si="176"/>
        <v/>
      </c>
      <c r="AD174" s="172" t="str">
        <f t="shared" si="176"/>
        <v/>
      </c>
      <c r="AE174" s="172" t="str">
        <f t="shared" si="176"/>
        <v/>
      </c>
      <c r="AF174" s="172" t="str">
        <f t="shared" si="176"/>
        <v/>
      </c>
      <c r="AG174" s="172" t="str">
        <f t="shared" si="176"/>
        <v/>
      </c>
      <c r="AH174" s="172" t="str">
        <f t="shared" si="176"/>
        <v/>
      </c>
      <c r="AI174" s="172" t="str">
        <f t="shared" si="176"/>
        <v/>
      </c>
      <c r="AJ174" s="172" t="str">
        <f t="shared" si="176"/>
        <v/>
      </c>
      <c r="AK174" s="172" t="str">
        <f t="shared" si="176"/>
        <v/>
      </c>
      <c r="AL174" s="172" t="str">
        <f t="shared" si="176"/>
        <v/>
      </c>
      <c r="AM174" s="172" t="str">
        <f t="shared" si="176"/>
        <v/>
      </c>
      <c r="AN174" s="172" t="str">
        <f t="shared" si="176"/>
        <v/>
      </c>
      <c r="AO174" s="172" t="str">
        <f t="shared" si="176"/>
        <v/>
      </c>
      <c r="AP174" s="172" t="str">
        <f t="shared" si="176"/>
        <v/>
      </c>
      <c r="AQ174" s="172" t="str">
        <f t="shared" si="176"/>
        <v/>
      </c>
      <c r="AR174" s="172" t="str">
        <f t="shared" si="176"/>
        <v/>
      </c>
      <c r="AS174" s="172" t="str">
        <f t="shared" si="176"/>
        <v/>
      </c>
      <c r="AT174" s="173">
        <f>IF(AT$6="","",IF(AT$3="Maior",iferror(VLOOKUP($R174,Capa!$A:$AJ,AT$5,0),0),IF(ISERROR(1/VLOOKUP($R174,Capa!$A:$AJ,AT$5,0)),0,1/VLOOKUP($R174,Capa!$A:$AJ,AT$5,0))))</f>
        <v>-3.846153846</v>
      </c>
      <c r="AU174" s="174">
        <f>IF(AU$6="","",IF(AU$3="Maior",iferror(VLOOKUP($R174,Capa!$A:$AJ,AU$5,0),0),IF(ISERROR(1/VLOOKUP($R174,Capa!$A:$AJ,AU$5,0)),0,1/VLOOKUP($R174,Capa!$A:$AJ,AU$5,0))))</f>
        <v>-6.19</v>
      </c>
      <c r="AV174" s="174" t="str">
        <f>IF(AV$6="","",IF(AV$3="Maior",iferror(VLOOKUP($R174,Capa!$A:$AJ,AV$5,0),0),IF(ISERROR(1/VLOOKUP($R174,Capa!$A:$AJ,AV$5,0)),0,1/VLOOKUP($R174,Capa!$A:$AJ,AV$5,0))))</f>
        <v/>
      </c>
      <c r="AW174" s="174" t="str">
        <f>IF(AW$6="","",IF(AW$3="Maior",iferror(VLOOKUP($R174,Capa!$A:$AJ,AW$5,0),0),IF(ISERROR(1/VLOOKUP($R174,Capa!$A:$AJ,AW$5,0)),0,1/VLOOKUP($R174,Capa!$A:$AJ,AW$5,0))))</f>
        <v/>
      </c>
      <c r="AX174" s="174" t="str">
        <f>IF(AX$6="","",IF(AX$3="Maior",iferror(VLOOKUP($R174,Capa!$A:$AJ,AX$5,0),0),IF(ISERROR(1/VLOOKUP($R174,Capa!$A:$AJ,AX$5,0)),0,1/VLOOKUP($R174,Capa!$A:$AJ,AX$5,0))))</f>
        <v/>
      </c>
      <c r="AY174" s="174" t="str">
        <f>IF(AY$6="","",IF(AY$3="Maior",iferror(VLOOKUP($R174,Capa!$A:$AJ,AY$5,0),0),IF(ISERROR(1/VLOOKUP($R174,Capa!$A:$AJ,AY$5,0)),0,1/VLOOKUP($R174,Capa!$A:$AJ,AY$5,0))))</f>
        <v/>
      </c>
      <c r="AZ174" s="174" t="str">
        <f>IF(AZ$6="","",IF(AZ$3="Maior",iferror(VLOOKUP($R174,Capa!$A:$AJ,AZ$5,0),0),IF(ISERROR(1/VLOOKUP($R174,Capa!$A:$AJ,AZ$5,0)),0,1/VLOOKUP($R174,Capa!$A:$AJ,AZ$5,0))))</f>
        <v/>
      </c>
      <c r="BA174" s="174" t="str">
        <f>IF(BA$6="","",IF(BA$3="Maior",iferror(VLOOKUP($R174,Capa!$A:$AJ,BA$5,0),0),IF(ISERROR(1/VLOOKUP($R174,Capa!$A:$AJ,BA$5,0)),0,1/VLOOKUP($R174,Capa!$A:$AJ,BA$5,0))))</f>
        <v/>
      </c>
      <c r="BB174" s="174" t="str">
        <f>IF(BB$6="","",IF(BB$3="Maior",iferror(VLOOKUP($R174,Capa!$A:$AJ,BB$5,0),0),IF(ISERROR(1/VLOOKUP($R174,Capa!$A:$AJ,BB$5,0)),0,1/VLOOKUP($R174,Capa!$A:$AJ,BB$5,0))))</f>
        <v/>
      </c>
      <c r="BC174" s="174" t="str">
        <f>IF(BC$6="","",IF(BC$3="Maior",iferror(VLOOKUP($R174,Capa!$A:$AJ,BC$5,0),0),IF(ISERROR(1/VLOOKUP($R174,Capa!$A:$AJ,BC$5,0)),0,1/VLOOKUP($R174,Capa!$A:$AJ,BC$5,0))))</f>
        <v/>
      </c>
      <c r="BD174" s="174" t="str">
        <f>IF(BD$6="","",IF(BD$3="Maior",iferror(VLOOKUP($R174,Capa!$A:$AJ,BD$5,0),0),IF(ISERROR(1/VLOOKUP($R174,Capa!$A:$AJ,BD$5,0)),0,1/VLOOKUP($R174,Capa!$A:$AJ,BD$5,0))))</f>
        <v/>
      </c>
      <c r="BE174" s="174" t="str">
        <f>IF(BE$6="","",IF(BE$3="Maior",iferror(VLOOKUP($R174,Capa!$A:$AJ,BE$5,0),0),IF(ISERROR(1/VLOOKUP($R174,Capa!$A:$AJ,BE$5,0)),0,1/VLOOKUP($R174,Capa!$A:$AJ,BE$5,0))))</f>
        <v/>
      </c>
      <c r="BF174" s="174" t="str">
        <f>IF(BF$6="","",IF(BF$3="Maior",iferror(VLOOKUP($R174,Capa!$A:$AJ,BF$5,0),0),IF(ISERROR(1/VLOOKUP($R174,Capa!$A:$AJ,BF$5,0)),0,1/VLOOKUP($R174,Capa!$A:$AJ,BF$5,0))))</f>
        <v/>
      </c>
      <c r="BG174" s="174" t="str">
        <f>IF(BG$6="","",IF(BG$3="Maior",iferror(VLOOKUP($R174,Capa!$A:$AJ,BG$5,0),0),IF(ISERROR(1/VLOOKUP($R174,Capa!$A:$AJ,BG$5,0)),0,1/VLOOKUP($R174,Capa!$A:$AJ,BG$5,0))))</f>
        <v/>
      </c>
      <c r="BH174" s="174" t="str">
        <f>IF(BH$6="","",IF(BH$3="Maior",iferror(VLOOKUP($R174,Capa!$A:$AJ,BH$5,0),0),IF(ISERROR(1/VLOOKUP($R174,Capa!$A:$AJ,BH$5,0)),0,1/VLOOKUP($R174,Capa!$A:$AJ,BH$5,0))))</f>
        <v/>
      </c>
      <c r="BI174" s="174" t="str">
        <f>IF(BI$6="","",IF(BI$3="Maior",iferror(VLOOKUP($R174,Capa!$A:$AJ,BI$5,0),0),IF(ISERROR(1/VLOOKUP($R174,Capa!$A:$AJ,BI$5,0)),0,1/VLOOKUP($R174,Capa!$A:$AJ,BI$5,0))))</f>
        <v/>
      </c>
      <c r="BJ174" s="174" t="str">
        <f>IF(BJ$6="","",IF(BJ$3="Maior",iferror(VLOOKUP($R174,Capa!$A:$AJ,BJ$5,0),0),IF(ISERROR(1/VLOOKUP($R174,Capa!$A:$AJ,BJ$5,0)),0,1/VLOOKUP($R174,Capa!$A:$AJ,BJ$5,0))))</f>
        <v/>
      </c>
      <c r="BK174" s="174" t="str">
        <f>IF(BK$6="","",IF(BK$3="Maior",iferror(VLOOKUP($R174,Capa!$A:$AJ,BK$5,0),0),IF(ISERROR(1/VLOOKUP($R174,Capa!$A:$AJ,BK$5,0)),0,1/VLOOKUP($R174,Capa!$A:$AJ,BK$5,0))))</f>
        <v/>
      </c>
      <c r="BL174" s="174" t="str">
        <f>IF(BL$6="","",IF(BL$3="Maior",iferror(VLOOKUP($R174,Capa!$A:$AJ,BL$5,0),0),IF(ISERROR(1/VLOOKUP($R174,Capa!$A:$AJ,BL$5,0)),0,1/VLOOKUP($R174,Capa!$A:$AJ,BL$5,0))))</f>
        <v/>
      </c>
      <c r="BM174" s="174" t="str">
        <f>IF(BM$6="","",IF(BM$3="Maior",iferror(VLOOKUP($R174,Capa!$A:$AJ,BM$5,0),0),IF(ISERROR(1/VLOOKUP($R174,Capa!$A:$AJ,BM$5,0)),0,1/VLOOKUP($R174,Capa!$A:$AJ,BM$5,0))))</f>
        <v/>
      </c>
      <c r="BN174" s="174" t="str">
        <f>IF(BN$6="","",IF(BN$3="Maior",iferror(VLOOKUP($R174,Capa!$A:$AJ,BN$5,0),0),IF(ISERROR(1/VLOOKUP($R174,Capa!$A:$AJ,BN$5,0)),0,1/VLOOKUP($R174,Capa!$A:$AJ,BN$5,0))))</f>
        <v/>
      </c>
      <c r="BO174" s="174" t="str">
        <f>IF(BO$6="","",IF(BO$3="Maior",iferror(VLOOKUP($R174,Capa!$A:$AJ,BO$5,0),0),IF(ISERROR(1/VLOOKUP($R174,Capa!$A:$AJ,BO$5,0)),0,1/VLOOKUP($R174,Capa!$A:$AJ,BO$5,0))))</f>
        <v/>
      </c>
      <c r="BP174" s="174" t="str">
        <f>IF(BP$6="","",IF(BP$3="Maior",iferror(VLOOKUP($R174,Capa!$A:$AJ,BP$5,0),0),IF(ISERROR(1/VLOOKUP($R174,Capa!$A:$AJ,BP$5,0)),0,1/VLOOKUP($R174,Capa!$A:$AJ,BP$5,0))))</f>
        <v/>
      </c>
      <c r="BQ174" s="174" t="str">
        <f>IF(BQ$6="","",IF(BQ$3="Maior",iferror(VLOOKUP($R174,Capa!$A:$AJ,BQ$5,0),0),IF(ISERROR(1/VLOOKUP($R174,Capa!$A:$AJ,BQ$5,0)),0,1/VLOOKUP($R174,Capa!$A:$AJ,BQ$5,0))))</f>
        <v/>
      </c>
      <c r="BR174" s="175"/>
      <c r="BS174" s="147"/>
    </row>
    <row r="175">
      <c r="G175" s="11"/>
      <c r="H175" s="8">
        <v>169.0</v>
      </c>
      <c r="I175" s="165" t="str">
        <f t="shared" si="6"/>
        <v>GOAU4</v>
      </c>
      <c r="J175" s="166" t="str">
        <f>(VLOOKUP($I175,Capa!$A:$B,2,0))</f>
        <v>Metalurgica Gerdau SA Preference Shares</v>
      </c>
      <c r="K175" s="167" t="str">
        <f>VLOOKUP(left(I175,4),Setor!A:D,3,0)&amp;" | "&amp;VLOOKUP(left(I175,4),Setor!A:D,4,0)</f>
        <v>Materiais Básicos | Siderurgia e Metalurgia</v>
      </c>
      <c r="L175" s="168">
        <f>(VLOOKUP($I175,Capa!$A:$F,6,0))</f>
        <v>9.59</v>
      </c>
      <c r="M175" s="168">
        <f t="shared" si="7"/>
        <v>125000000</v>
      </c>
      <c r="N175" s="11" t="str">
        <f>IFERROR(__xludf.DUMMYFUNCTION("(VLOOKUP($I175,Capa!$A:$H,7,0))"),"")</f>
        <v/>
      </c>
      <c r="O175" s="169">
        <f>(VLOOKUP($I175,Capa!$A:$H,8,0))</f>
        <v>-0.03423967774</v>
      </c>
      <c r="P175" s="11" t="str">
        <f>IFERROR(__xludf.DUMMYFUNCTION("(VLOOKUP($I175,Capa!$A:$J,10,0))"),"")</f>
        <v/>
      </c>
      <c r="Q175" s="169">
        <f>(VLOOKUP($I175,Capa!$A:$K,11,0))</f>
        <v>0.4061583578</v>
      </c>
      <c r="R175" s="45" t="str">
        <f>'Dados StatusInvest'!A170</f>
        <v>COCE5</v>
      </c>
      <c r="S175" s="170">
        <f t="shared" si="8"/>
        <v>1087.1087</v>
      </c>
      <c r="T175" s="171">
        <f>VLOOKUP(R175,'Dados StatusInvest'!A:Z,26,0)</f>
        <v>832583.2</v>
      </c>
      <c r="U175" s="172">
        <f t="shared" ref="U175:AS175" si="177">IF(AT175="","", RANK(AT175,AT$7:AT$626,0)+RANK(AT175,AT$7:AT$626,0)/10000)</f>
        <v>530.053</v>
      </c>
      <c r="V175" s="172">
        <f t="shared" si="177"/>
        <v>557.0557</v>
      </c>
      <c r="W175" s="172" t="str">
        <f t="shared" si="177"/>
        <v/>
      </c>
      <c r="X175" s="172" t="str">
        <f t="shared" si="177"/>
        <v/>
      </c>
      <c r="Y175" s="172" t="str">
        <f t="shared" si="177"/>
        <v/>
      </c>
      <c r="Z175" s="172" t="str">
        <f t="shared" si="177"/>
        <v/>
      </c>
      <c r="AA175" s="172" t="str">
        <f t="shared" si="177"/>
        <v/>
      </c>
      <c r="AB175" s="172" t="str">
        <f t="shared" si="177"/>
        <v/>
      </c>
      <c r="AC175" s="172" t="str">
        <f t="shared" si="177"/>
        <v/>
      </c>
      <c r="AD175" s="172" t="str">
        <f t="shared" si="177"/>
        <v/>
      </c>
      <c r="AE175" s="172" t="str">
        <f t="shared" si="177"/>
        <v/>
      </c>
      <c r="AF175" s="172" t="str">
        <f t="shared" si="177"/>
        <v/>
      </c>
      <c r="AG175" s="172" t="str">
        <f t="shared" si="177"/>
        <v/>
      </c>
      <c r="AH175" s="172" t="str">
        <f t="shared" si="177"/>
        <v/>
      </c>
      <c r="AI175" s="172" t="str">
        <f t="shared" si="177"/>
        <v/>
      </c>
      <c r="AJ175" s="172" t="str">
        <f t="shared" si="177"/>
        <v/>
      </c>
      <c r="AK175" s="172" t="str">
        <f t="shared" si="177"/>
        <v/>
      </c>
      <c r="AL175" s="172" t="str">
        <f t="shared" si="177"/>
        <v/>
      </c>
      <c r="AM175" s="172" t="str">
        <f t="shared" si="177"/>
        <v/>
      </c>
      <c r="AN175" s="172" t="str">
        <f t="shared" si="177"/>
        <v/>
      </c>
      <c r="AO175" s="172" t="str">
        <f t="shared" si="177"/>
        <v/>
      </c>
      <c r="AP175" s="172" t="str">
        <f t="shared" si="177"/>
        <v/>
      </c>
      <c r="AQ175" s="172" t="str">
        <f t="shared" si="177"/>
        <v/>
      </c>
      <c r="AR175" s="172" t="str">
        <f t="shared" si="177"/>
        <v/>
      </c>
      <c r="AS175" s="172" t="str">
        <f t="shared" si="177"/>
        <v/>
      </c>
      <c r="AT175" s="173">
        <f>IF(AT$6="","",IF(AT$3="Maior",iferror(VLOOKUP($R175,Capa!$A:$AJ,AT$5,0),0),IF(ISERROR(1/VLOOKUP($R175,Capa!$A:$AJ,AT$5,0)),0,1/VLOOKUP($R175,Capa!$A:$AJ,AT$5,0))))</f>
        <v>-4.304244443</v>
      </c>
      <c r="AU175" s="174">
        <f>IF(AU$6="","",IF(AU$3="Maior",iferror(VLOOKUP($R175,Capa!$A:$AJ,AU$5,0),0),IF(ISERROR(1/VLOOKUP($R175,Capa!$A:$AJ,AU$5,0)),0,1/VLOOKUP($R175,Capa!$A:$AJ,AU$5,0))))</f>
        <v>-6.19</v>
      </c>
      <c r="AV175" s="174" t="str">
        <f>IF(AV$6="","",IF(AV$3="Maior",iferror(VLOOKUP($R175,Capa!$A:$AJ,AV$5,0),0),IF(ISERROR(1/VLOOKUP($R175,Capa!$A:$AJ,AV$5,0)),0,1/VLOOKUP($R175,Capa!$A:$AJ,AV$5,0))))</f>
        <v/>
      </c>
      <c r="AW175" s="174" t="str">
        <f>IF(AW$6="","",IF(AW$3="Maior",iferror(VLOOKUP($R175,Capa!$A:$AJ,AW$5,0),0),IF(ISERROR(1/VLOOKUP($R175,Capa!$A:$AJ,AW$5,0)),0,1/VLOOKUP($R175,Capa!$A:$AJ,AW$5,0))))</f>
        <v/>
      </c>
      <c r="AX175" s="174" t="str">
        <f>IF(AX$6="","",IF(AX$3="Maior",iferror(VLOOKUP($R175,Capa!$A:$AJ,AX$5,0),0),IF(ISERROR(1/VLOOKUP($R175,Capa!$A:$AJ,AX$5,0)),0,1/VLOOKUP($R175,Capa!$A:$AJ,AX$5,0))))</f>
        <v/>
      </c>
      <c r="AY175" s="174" t="str">
        <f>IF(AY$6="","",IF(AY$3="Maior",iferror(VLOOKUP($R175,Capa!$A:$AJ,AY$5,0),0),IF(ISERROR(1/VLOOKUP($R175,Capa!$A:$AJ,AY$5,0)),0,1/VLOOKUP($R175,Capa!$A:$AJ,AY$5,0))))</f>
        <v/>
      </c>
      <c r="AZ175" s="174" t="str">
        <f>IF(AZ$6="","",IF(AZ$3="Maior",iferror(VLOOKUP($R175,Capa!$A:$AJ,AZ$5,0),0),IF(ISERROR(1/VLOOKUP($R175,Capa!$A:$AJ,AZ$5,0)),0,1/VLOOKUP($R175,Capa!$A:$AJ,AZ$5,0))))</f>
        <v/>
      </c>
      <c r="BA175" s="174" t="str">
        <f>IF(BA$6="","",IF(BA$3="Maior",iferror(VLOOKUP($R175,Capa!$A:$AJ,BA$5,0),0),IF(ISERROR(1/VLOOKUP($R175,Capa!$A:$AJ,BA$5,0)),0,1/VLOOKUP($R175,Capa!$A:$AJ,BA$5,0))))</f>
        <v/>
      </c>
      <c r="BB175" s="174" t="str">
        <f>IF(BB$6="","",IF(BB$3="Maior",iferror(VLOOKUP($R175,Capa!$A:$AJ,BB$5,0),0),IF(ISERROR(1/VLOOKUP($R175,Capa!$A:$AJ,BB$5,0)),0,1/VLOOKUP($R175,Capa!$A:$AJ,BB$5,0))))</f>
        <v/>
      </c>
      <c r="BC175" s="174" t="str">
        <f>IF(BC$6="","",IF(BC$3="Maior",iferror(VLOOKUP($R175,Capa!$A:$AJ,BC$5,0),0),IF(ISERROR(1/VLOOKUP($R175,Capa!$A:$AJ,BC$5,0)),0,1/VLOOKUP($R175,Capa!$A:$AJ,BC$5,0))))</f>
        <v/>
      </c>
      <c r="BD175" s="174" t="str">
        <f>IF(BD$6="","",IF(BD$3="Maior",iferror(VLOOKUP($R175,Capa!$A:$AJ,BD$5,0),0),IF(ISERROR(1/VLOOKUP($R175,Capa!$A:$AJ,BD$5,0)),0,1/VLOOKUP($R175,Capa!$A:$AJ,BD$5,0))))</f>
        <v/>
      </c>
      <c r="BE175" s="174" t="str">
        <f>IF(BE$6="","",IF(BE$3="Maior",iferror(VLOOKUP($R175,Capa!$A:$AJ,BE$5,0),0),IF(ISERROR(1/VLOOKUP($R175,Capa!$A:$AJ,BE$5,0)),0,1/VLOOKUP($R175,Capa!$A:$AJ,BE$5,0))))</f>
        <v/>
      </c>
      <c r="BF175" s="174" t="str">
        <f>IF(BF$6="","",IF(BF$3="Maior",iferror(VLOOKUP($R175,Capa!$A:$AJ,BF$5,0),0),IF(ISERROR(1/VLOOKUP($R175,Capa!$A:$AJ,BF$5,0)),0,1/VLOOKUP($R175,Capa!$A:$AJ,BF$5,0))))</f>
        <v/>
      </c>
      <c r="BG175" s="174" t="str">
        <f>IF(BG$6="","",IF(BG$3="Maior",iferror(VLOOKUP($R175,Capa!$A:$AJ,BG$5,0),0),IF(ISERROR(1/VLOOKUP($R175,Capa!$A:$AJ,BG$5,0)),0,1/VLOOKUP($R175,Capa!$A:$AJ,BG$5,0))))</f>
        <v/>
      </c>
      <c r="BH175" s="174" t="str">
        <f>IF(BH$6="","",IF(BH$3="Maior",iferror(VLOOKUP($R175,Capa!$A:$AJ,BH$5,0),0),IF(ISERROR(1/VLOOKUP($R175,Capa!$A:$AJ,BH$5,0)),0,1/VLOOKUP($R175,Capa!$A:$AJ,BH$5,0))))</f>
        <v/>
      </c>
      <c r="BI175" s="174" t="str">
        <f>IF(BI$6="","",IF(BI$3="Maior",iferror(VLOOKUP($R175,Capa!$A:$AJ,BI$5,0),0),IF(ISERROR(1/VLOOKUP($R175,Capa!$A:$AJ,BI$5,0)),0,1/VLOOKUP($R175,Capa!$A:$AJ,BI$5,0))))</f>
        <v/>
      </c>
      <c r="BJ175" s="174" t="str">
        <f>IF(BJ$6="","",IF(BJ$3="Maior",iferror(VLOOKUP($R175,Capa!$A:$AJ,BJ$5,0),0),IF(ISERROR(1/VLOOKUP($R175,Capa!$A:$AJ,BJ$5,0)),0,1/VLOOKUP($R175,Capa!$A:$AJ,BJ$5,0))))</f>
        <v/>
      </c>
      <c r="BK175" s="174" t="str">
        <f>IF(BK$6="","",IF(BK$3="Maior",iferror(VLOOKUP($R175,Capa!$A:$AJ,BK$5,0),0),IF(ISERROR(1/VLOOKUP($R175,Capa!$A:$AJ,BK$5,0)),0,1/VLOOKUP($R175,Capa!$A:$AJ,BK$5,0))))</f>
        <v/>
      </c>
      <c r="BL175" s="174" t="str">
        <f>IF(BL$6="","",IF(BL$3="Maior",iferror(VLOOKUP($R175,Capa!$A:$AJ,BL$5,0),0),IF(ISERROR(1/VLOOKUP($R175,Capa!$A:$AJ,BL$5,0)),0,1/VLOOKUP($R175,Capa!$A:$AJ,BL$5,0))))</f>
        <v/>
      </c>
      <c r="BM175" s="174" t="str">
        <f>IF(BM$6="","",IF(BM$3="Maior",iferror(VLOOKUP($R175,Capa!$A:$AJ,BM$5,0),0),IF(ISERROR(1/VLOOKUP($R175,Capa!$A:$AJ,BM$5,0)),0,1/VLOOKUP($R175,Capa!$A:$AJ,BM$5,0))))</f>
        <v/>
      </c>
      <c r="BN175" s="174" t="str">
        <f>IF(BN$6="","",IF(BN$3="Maior",iferror(VLOOKUP($R175,Capa!$A:$AJ,BN$5,0),0),IF(ISERROR(1/VLOOKUP($R175,Capa!$A:$AJ,BN$5,0)),0,1/VLOOKUP($R175,Capa!$A:$AJ,BN$5,0))))</f>
        <v/>
      </c>
      <c r="BO175" s="174" t="str">
        <f>IF(BO$6="","",IF(BO$3="Maior",iferror(VLOOKUP($R175,Capa!$A:$AJ,BO$5,0),0),IF(ISERROR(1/VLOOKUP($R175,Capa!$A:$AJ,BO$5,0)),0,1/VLOOKUP($R175,Capa!$A:$AJ,BO$5,0))))</f>
        <v/>
      </c>
      <c r="BP175" s="174" t="str">
        <f>IF(BP$6="","",IF(BP$3="Maior",iferror(VLOOKUP($R175,Capa!$A:$AJ,BP$5,0),0),IF(ISERROR(1/VLOOKUP($R175,Capa!$A:$AJ,BP$5,0)),0,1/VLOOKUP($R175,Capa!$A:$AJ,BP$5,0))))</f>
        <v/>
      </c>
      <c r="BQ175" s="174" t="str">
        <f>IF(BQ$6="","",IF(BQ$3="Maior",iferror(VLOOKUP($R175,Capa!$A:$AJ,BQ$5,0),0),IF(ISERROR(1/VLOOKUP($R175,Capa!$A:$AJ,BQ$5,0)),0,1/VLOOKUP($R175,Capa!$A:$AJ,BQ$5,0))))</f>
        <v/>
      </c>
      <c r="BR175" s="175"/>
      <c r="BS175" s="147"/>
    </row>
    <row r="176">
      <c r="G176" s="11"/>
      <c r="H176" s="8">
        <v>170.0</v>
      </c>
      <c r="I176" s="165" t="str">
        <f t="shared" si="6"/>
        <v>EQTL3</v>
      </c>
      <c r="J176" s="166" t="str">
        <f>(VLOOKUP($I176,Capa!$A:$B,2,0))</f>
        <v>Equatorial SA</v>
      </c>
      <c r="K176" s="167" t="str">
        <f>VLOOKUP(left(I176,4),Setor!A:D,3,0)&amp;" | "&amp;VLOOKUP(left(I176,4),Setor!A:D,4,0)</f>
        <v>Utilidade Pública | Energia Elétrica</v>
      </c>
      <c r="L176" s="168">
        <f>(VLOOKUP($I176,Capa!$A:$F,6,0))</f>
        <v>41.04</v>
      </c>
      <c r="M176" s="168">
        <f t="shared" si="7"/>
        <v>312000000</v>
      </c>
      <c r="N176" s="11" t="str">
        <f>IFERROR(__xludf.DUMMYFUNCTION("(VLOOKUP($I176,Capa!$A:$H,7,0))"),"")</f>
        <v/>
      </c>
      <c r="O176" s="169">
        <f>(VLOOKUP($I176,Capa!$A:$H,8,0))</f>
        <v>0.04988488104</v>
      </c>
      <c r="P176" s="11" t="str">
        <f>IFERROR(__xludf.DUMMYFUNCTION("(VLOOKUP($I176,Capa!$A:$J,10,0))"),"")</f>
        <v/>
      </c>
      <c r="Q176" s="169">
        <f>(VLOOKUP($I176,Capa!$A:$K,11,0))</f>
        <v>0.3196141479</v>
      </c>
      <c r="R176" s="45" t="str">
        <f>'Dados StatusInvest'!A171</f>
        <v>COCE6</v>
      </c>
      <c r="S176" s="170">
        <f t="shared" si="8"/>
        <v>1563.0563</v>
      </c>
      <c r="T176" s="171">
        <f>VLOOKUP(R176,'Dados StatusInvest'!A:Z,26,0)</f>
        <v>0</v>
      </c>
      <c r="U176" s="172">
        <f t="shared" ref="U176:AS176" si="178">IF(AT176="","", RANK(AT176,AT$7:AT$626,0)+RANK(AT176,AT$7:AT$626,0)/10000)</f>
        <v>6.0006</v>
      </c>
      <c r="V176" s="172">
        <f t="shared" si="178"/>
        <v>557.0557</v>
      </c>
      <c r="W176" s="172" t="str">
        <f t="shared" si="178"/>
        <v/>
      </c>
      <c r="X176" s="172" t="str">
        <f t="shared" si="178"/>
        <v/>
      </c>
      <c r="Y176" s="172" t="str">
        <f t="shared" si="178"/>
        <v/>
      </c>
      <c r="Z176" s="172" t="str">
        <f t="shared" si="178"/>
        <v/>
      </c>
      <c r="AA176" s="172" t="str">
        <f t="shared" si="178"/>
        <v/>
      </c>
      <c r="AB176" s="172" t="str">
        <f t="shared" si="178"/>
        <v/>
      </c>
      <c r="AC176" s="172" t="str">
        <f t="shared" si="178"/>
        <v/>
      </c>
      <c r="AD176" s="172" t="str">
        <f t="shared" si="178"/>
        <v/>
      </c>
      <c r="AE176" s="172" t="str">
        <f t="shared" si="178"/>
        <v/>
      </c>
      <c r="AF176" s="172" t="str">
        <f t="shared" si="178"/>
        <v/>
      </c>
      <c r="AG176" s="172" t="str">
        <f t="shared" si="178"/>
        <v/>
      </c>
      <c r="AH176" s="172" t="str">
        <f t="shared" si="178"/>
        <v/>
      </c>
      <c r="AI176" s="172" t="str">
        <f t="shared" si="178"/>
        <v/>
      </c>
      <c r="AJ176" s="172" t="str">
        <f t="shared" si="178"/>
        <v/>
      </c>
      <c r="AK176" s="172" t="str">
        <f t="shared" si="178"/>
        <v/>
      </c>
      <c r="AL176" s="172" t="str">
        <f t="shared" si="178"/>
        <v/>
      </c>
      <c r="AM176" s="172" t="str">
        <f t="shared" si="178"/>
        <v/>
      </c>
      <c r="AN176" s="172" t="str">
        <f t="shared" si="178"/>
        <v/>
      </c>
      <c r="AO176" s="172" t="str">
        <f t="shared" si="178"/>
        <v/>
      </c>
      <c r="AP176" s="172" t="str">
        <f t="shared" si="178"/>
        <v/>
      </c>
      <c r="AQ176" s="172" t="str">
        <f t="shared" si="178"/>
        <v/>
      </c>
      <c r="AR176" s="172" t="str">
        <f t="shared" si="178"/>
        <v/>
      </c>
      <c r="AS176" s="172" t="str">
        <f t="shared" si="178"/>
        <v/>
      </c>
      <c r="AT176" s="173">
        <f>IF(AT$6="","",IF(AT$3="Maior",iferror(VLOOKUP($R176,Capa!$A:$AJ,AT$5,0),0),IF(ISERROR(1/VLOOKUP($R176,Capa!$A:$AJ,AT$5,0)),0,1/VLOOKUP($R176,Capa!$A:$AJ,AT$5,0))))</f>
        <v>3.448275862</v>
      </c>
      <c r="AU176" s="174">
        <f>IF(AU$6="","",IF(AU$3="Maior",iferror(VLOOKUP($R176,Capa!$A:$AJ,AU$5,0),0),IF(ISERROR(1/VLOOKUP($R176,Capa!$A:$AJ,AU$5,0)),0,1/VLOOKUP($R176,Capa!$A:$AJ,AU$5,0))))</f>
        <v>-6.19</v>
      </c>
      <c r="AV176" s="174" t="str">
        <f>IF(AV$6="","",IF(AV$3="Maior",iferror(VLOOKUP($R176,Capa!$A:$AJ,AV$5,0),0),IF(ISERROR(1/VLOOKUP($R176,Capa!$A:$AJ,AV$5,0)),0,1/VLOOKUP($R176,Capa!$A:$AJ,AV$5,0))))</f>
        <v/>
      </c>
      <c r="AW176" s="174" t="str">
        <f>IF(AW$6="","",IF(AW$3="Maior",iferror(VLOOKUP($R176,Capa!$A:$AJ,AW$5,0),0),IF(ISERROR(1/VLOOKUP($R176,Capa!$A:$AJ,AW$5,0)),0,1/VLOOKUP($R176,Capa!$A:$AJ,AW$5,0))))</f>
        <v/>
      </c>
      <c r="AX176" s="174" t="str">
        <f>IF(AX$6="","",IF(AX$3="Maior",iferror(VLOOKUP($R176,Capa!$A:$AJ,AX$5,0),0),IF(ISERROR(1/VLOOKUP($R176,Capa!$A:$AJ,AX$5,0)),0,1/VLOOKUP($R176,Capa!$A:$AJ,AX$5,0))))</f>
        <v/>
      </c>
      <c r="AY176" s="174" t="str">
        <f>IF(AY$6="","",IF(AY$3="Maior",iferror(VLOOKUP($R176,Capa!$A:$AJ,AY$5,0),0),IF(ISERROR(1/VLOOKUP($R176,Capa!$A:$AJ,AY$5,0)),0,1/VLOOKUP($R176,Capa!$A:$AJ,AY$5,0))))</f>
        <v/>
      </c>
      <c r="AZ176" s="174" t="str">
        <f>IF(AZ$6="","",IF(AZ$3="Maior",iferror(VLOOKUP($R176,Capa!$A:$AJ,AZ$5,0),0),IF(ISERROR(1/VLOOKUP($R176,Capa!$A:$AJ,AZ$5,0)),0,1/VLOOKUP($R176,Capa!$A:$AJ,AZ$5,0))))</f>
        <v/>
      </c>
      <c r="BA176" s="174" t="str">
        <f>IF(BA$6="","",IF(BA$3="Maior",iferror(VLOOKUP($R176,Capa!$A:$AJ,BA$5,0),0),IF(ISERROR(1/VLOOKUP($R176,Capa!$A:$AJ,BA$5,0)),0,1/VLOOKUP($R176,Capa!$A:$AJ,BA$5,0))))</f>
        <v/>
      </c>
      <c r="BB176" s="174" t="str">
        <f>IF(BB$6="","",IF(BB$3="Maior",iferror(VLOOKUP($R176,Capa!$A:$AJ,BB$5,0),0),IF(ISERROR(1/VLOOKUP($R176,Capa!$A:$AJ,BB$5,0)),0,1/VLOOKUP($R176,Capa!$A:$AJ,BB$5,0))))</f>
        <v/>
      </c>
      <c r="BC176" s="174" t="str">
        <f>IF(BC$6="","",IF(BC$3="Maior",iferror(VLOOKUP($R176,Capa!$A:$AJ,BC$5,0),0),IF(ISERROR(1/VLOOKUP($R176,Capa!$A:$AJ,BC$5,0)),0,1/VLOOKUP($R176,Capa!$A:$AJ,BC$5,0))))</f>
        <v/>
      </c>
      <c r="BD176" s="174" t="str">
        <f>IF(BD$6="","",IF(BD$3="Maior",iferror(VLOOKUP($R176,Capa!$A:$AJ,BD$5,0),0),IF(ISERROR(1/VLOOKUP($R176,Capa!$A:$AJ,BD$5,0)),0,1/VLOOKUP($R176,Capa!$A:$AJ,BD$5,0))))</f>
        <v/>
      </c>
      <c r="BE176" s="174" t="str">
        <f>IF(BE$6="","",IF(BE$3="Maior",iferror(VLOOKUP($R176,Capa!$A:$AJ,BE$5,0),0),IF(ISERROR(1/VLOOKUP($R176,Capa!$A:$AJ,BE$5,0)),0,1/VLOOKUP($R176,Capa!$A:$AJ,BE$5,0))))</f>
        <v/>
      </c>
      <c r="BF176" s="174" t="str">
        <f>IF(BF$6="","",IF(BF$3="Maior",iferror(VLOOKUP($R176,Capa!$A:$AJ,BF$5,0),0),IF(ISERROR(1/VLOOKUP($R176,Capa!$A:$AJ,BF$5,0)),0,1/VLOOKUP($R176,Capa!$A:$AJ,BF$5,0))))</f>
        <v/>
      </c>
      <c r="BG176" s="174" t="str">
        <f>IF(BG$6="","",IF(BG$3="Maior",iferror(VLOOKUP($R176,Capa!$A:$AJ,BG$5,0),0),IF(ISERROR(1/VLOOKUP($R176,Capa!$A:$AJ,BG$5,0)),0,1/VLOOKUP($R176,Capa!$A:$AJ,BG$5,0))))</f>
        <v/>
      </c>
      <c r="BH176" s="174" t="str">
        <f>IF(BH$6="","",IF(BH$3="Maior",iferror(VLOOKUP($R176,Capa!$A:$AJ,BH$5,0),0),IF(ISERROR(1/VLOOKUP($R176,Capa!$A:$AJ,BH$5,0)),0,1/VLOOKUP($R176,Capa!$A:$AJ,BH$5,0))))</f>
        <v/>
      </c>
      <c r="BI176" s="174" t="str">
        <f>IF(BI$6="","",IF(BI$3="Maior",iferror(VLOOKUP($R176,Capa!$A:$AJ,BI$5,0),0),IF(ISERROR(1/VLOOKUP($R176,Capa!$A:$AJ,BI$5,0)),0,1/VLOOKUP($R176,Capa!$A:$AJ,BI$5,0))))</f>
        <v/>
      </c>
      <c r="BJ176" s="174" t="str">
        <f>IF(BJ$6="","",IF(BJ$3="Maior",iferror(VLOOKUP($R176,Capa!$A:$AJ,BJ$5,0),0),IF(ISERROR(1/VLOOKUP($R176,Capa!$A:$AJ,BJ$5,0)),0,1/VLOOKUP($R176,Capa!$A:$AJ,BJ$5,0))))</f>
        <v/>
      </c>
      <c r="BK176" s="174" t="str">
        <f>IF(BK$6="","",IF(BK$3="Maior",iferror(VLOOKUP($R176,Capa!$A:$AJ,BK$5,0),0),IF(ISERROR(1/VLOOKUP($R176,Capa!$A:$AJ,BK$5,0)),0,1/VLOOKUP($R176,Capa!$A:$AJ,BK$5,0))))</f>
        <v/>
      </c>
      <c r="BL176" s="174" t="str">
        <f>IF(BL$6="","",IF(BL$3="Maior",iferror(VLOOKUP($R176,Capa!$A:$AJ,BL$5,0),0),IF(ISERROR(1/VLOOKUP($R176,Capa!$A:$AJ,BL$5,0)),0,1/VLOOKUP($R176,Capa!$A:$AJ,BL$5,0))))</f>
        <v/>
      </c>
      <c r="BM176" s="174" t="str">
        <f>IF(BM$6="","",IF(BM$3="Maior",iferror(VLOOKUP($R176,Capa!$A:$AJ,BM$5,0),0),IF(ISERROR(1/VLOOKUP($R176,Capa!$A:$AJ,BM$5,0)),0,1/VLOOKUP($R176,Capa!$A:$AJ,BM$5,0))))</f>
        <v/>
      </c>
      <c r="BN176" s="174" t="str">
        <f>IF(BN$6="","",IF(BN$3="Maior",iferror(VLOOKUP($R176,Capa!$A:$AJ,BN$5,0),0),IF(ISERROR(1/VLOOKUP($R176,Capa!$A:$AJ,BN$5,0)),0,1/VLOOKUP($R176,Capa!$A:$AJ,BN$5,0))))</f>
        <v/>
      </c>
      <c r="BO176" s="174" t="str">
        <f>IF(BO$6="","",IF(BO$3="Maior",iferror(VLOOKUP($R176,Capa!$A:$AJ,BO$5,0),0),IF(ISERROR(1/VLOOKUP($R176,Capa!$A:$AJ,BO$5,0)),0,1/VLOOKUP($R176,Capa!$A:$AJ,BO$5,0))))</f>
        <v/>
      </c>
      <c r="BP176" s="174" t="str">
        <f>IF(BP$6="","",IF(BP$3="Maior",iferror(VLOOKUP($R176,Capa!$A:$AJ,BP$5,0),0),IF(ISERROR(1/VLOOKUP($R176,Capa!$A:$AJ,BP$5,0)),0,1/VLOOKUP($R176,Capa!$A:$AJ,BP$5,0))))</f>
        <v/>
      </c>
      <c r="BQ176" s="174" t="str">
        <f>IF(BQ$6="","",IF(BQ$3="Maior",iferror(VLOOKUP($R176,Capa!$A:$AJ,BQ$5,0),0),IF(ISERROR(1/VLOOKUP($R176,Capa!$A:$AJ,BQ$5,0)),0,1/VLOOKUP($R176,Capa!$A:$AJ,BQ$5,0))))</f>
        <v/>
      </c>
      <c r="BR176" s="175"/>
      <c r="BS176" s="147"/>
    </row>
    <row r="177">
      <c r="G177" s="11"/>
      <c r="H177" s="8">
        <v>171.0</v>
      </c>
      <c r="I177" s="165" t="str">
        <f t="shared" si="6"/>
        <v>CBAV3</v>
      </c>
      <c r="J177" s="166" t="str">
        <f>(VLOOKUP($I177,Capa!$A:$B,2,0))</f>
        <v>Companhia Brasileira de Aluminio</v>
      </c>
      <c r="K177" s="167" t="str">
        <f>VLOOKUP(left(I177,4),Setor!A:D,3,0)&amp;" | "&amp;VLOOKUP(left(I177,4),Setor!A:D,4,0)</f>
        <v>#N/A</v>
      </c>
      <c r="L177" s="168">
        <f>(VLOOKUP($I177,Capa!$A:$F,6,0))</f>
        <v>10.17</v>
      </c>
      <c r="M177" s="168">
        <f t="shared" si="7"/>
        <v>107000000</v>
      </c>
      <c r="N177" s="11" t="str">
        <f>IFERROR(__xludf.DUMMYFUNCTION("(VLOOKUP($I177,Capa!$A:$H,7,0))"),"")</f>
        <v/>
      </c>
      <c r="O177" s="169">
        <f>(VLOOKUP($I177,Capa!$A:$H,8,0))</f>
        <v>0.1237569061</v>
      </c>
      <c r="P177" s="11" t="str">
        <f>IFERROR(__xludf.DUMMYFUNCTION("(VLOOKUP($I177,Capa!$A:$J,10,0))"),"")</f>
        <v/>
      </c>
      <c r="Q177" s="169">
        <f>(VLOOKUP($I177,Capa!$A:$K,11,0))</f>
        <v>0.6672131148</v>
      </c>
      <c r="R177" s="45" t="str">
        <f>'Dados StatusInvest'!A172</f>
        <v>COGN3</v>
      </c>
      <c r="S177" s="170">
        <f t="shared" si="8"/>
        <v>529.0529</v>
      </c>
      <c r="T177" s="171">
        <f>VLOOKUP(R177,'Dados StatusInvest'!A:Z,26,0)</f>
        <v>169000000</v>
      </c>
      <c r="U177" s="172">
        <f t="shared" ref="U177:AS177" si="179">IF(AT177="","", RANK(AT177,AT$7:AT$626,0)+RANK(AT177,AT$7:AT$626,0)/10000)</f>
        <v>486.0486</v>
      </c>
      <c r="V177" s="172">
        <f t="shared" si="179"/>
        <v>43.0043</v>
      </c>
      <c r="W177" s="172" t="str">
        <f t="shared" si="179"/>
        <v/>
      </c>
      <c r="X177" s="172" t="str">
        <f t="shared" si="179"/>
        <v/>
      </c>
      <c r="Y177" s="172" t="str">
        <f t="shared" si="179"/>
        <v/>
      </c>
      <c r="Z177" s="172" t="str">
        <f t="shared" si="179"/>
        <v/>
      </c>
      <c r="AA177" s="172" t="str">
        <f t="shared" si="179"/>
        <v/>
      </c>
      <c r="AB177" s="172" t="str">
        <f t="shared" si="179"/>
        <v/>
      </c>
      <c r="AC177" s="172" t="str">
        <f t="shared" si="179"/>
        <v/>
      </c>
      <c r="AD177" s="172" t="str">
        <f t="shared" si="179"/>
        <v/>
      </c>
      <c r="AE177" s="172" t="str">
        <f t="shared" si="179"/>
        <v/>
      </c>
      <c r="AF177" s="172" t="str">
        <f t="shared" si="179"/>
        <v/>
      </c>
      <c r="AG177" s="172" t="str">
        <f t="shared" si="179"/>
        <v/>
      </c>
      <c r="AH177" s="172" t="str">
        <f t="shared" si="179"/>
        <v/>
      </c>
      <c r="AI177" s="172" t="str">
        <f t="shared" si="179"/>
        <v/>
      </c>
      <c r="AJ177" s="172" t="str">
        <f t="shared" si="179"/>
        <v/>
      </c>
      <c r="AK177" s="172" t="str">
        <f t="shared" si="179"/>
        <v/>
      </c>
      <c r="AL177" s="172" t="str">
        <f t="shared" si="179"/>
        <v/>
      </c>
      <c r="AM177" s="172" t="str">
        <f t="shared" si="179"/>
        <v/>
      </c>
      <c r="AN177" s="172" t="str">
        <f t="shared" si="179"/>
        <v/>
      </c>
      <c r="AO177" s="172" t="str">
        <f t="shared" si="179"/>
        <v/>
      </c>
      <c r="AP177" s="172" t="str">
        <f t="shared" si="179"/>
        <v/>
      </c>
      <c r="AQ177" s="172" t="str">
        <f t="shared" si="179"/>
        <v/>
      </c>
      <c r="AR177" s="172" t="str">
        <f t="shared" si="179"/>
        <v/>
      </c>
      <c r="AS177" s="172" t="str">
        <f t="shared" si="179"/>
        <v/>
      </c>
      <c r="AT177" s="173">
        <f>IF(AT$6="","",IF(AT$3="Maior",iferror(VLOOKUP($R177,Capa!$A:$AJ,AT$5,0),0),IF(ISERROR(1/VLOOKUP($R177,Capa!$A:$AJ,AT$5,0)),0,1/VLOOKUP($R177,Capa!$A:$AJ,AT$5,0))))</f>
        <v>-2.707390649</v>
      </c>
      <c r="AU177" s="174">
        <f>IF(AU$6="","",IF(AU$3="Maior",iferror(VLOOKUP($R177,Capa!$A:$AJ,AU$5,0),0),IF(ISERROR(1/VLOOKUP($R177,Capa!$A:$AJ,AU$5,0)),0,1/VLOOKUP($R177,Capa!$A:$AJ,AU$5,0))))</f>
        <v>41.43</v>
      </c>
      <c r="AV177" s="174" t="str">
        <f>IF(AV$6="","",IF(AV$3="Maior",iferror(VLOOKUP($R177,Capa!$A:$AJ,AV$5,0),0),IF(ISERROR(1/VLOOKUP($R177,Capa!$A:$AJ,AV$5,0)),0,1/VLOOKUP($R177,Capa!$A:$AJ,AV$5,0))))</f>
        <v/>
      </c>
      <c r="AW177" s="174" t="str">
        <f>IF(AW$6="","",IF(AW$3="Maior",iferror(VLOOKUP($R177,Capa!$A:$AJ,AW$5,0),0),IF(ISERROR(1/VLOOKUP($R177,Capa!$A:$AJ,AW$5,0)),0,1/VLOOKUP($R177,Capa!$A:$AJ,AW$5,0))))</f>
        <v/>
      </c>
      <c r="AX177" s="174" t="str">
        <f>IF(AX$6="","",IF(AX$3="Maior",iferror(VLOOKUP($R177,Capa!$A:$AJ,AX$5,0),0),IF(ISERROR(1/VLOOKUP($R177,Capa!$A:$AJ,AX$5,0)),0,1/VLOOKUP($R177,Capa!$A:$AJ,AX$5,0))))</f>
        <v/>
      </c>
      <c r="AY177" s="174" t="str">
        <f>IF(AY$6="","",IF(AY$3="Maior",iferror(VLOOKUP($R177,Capa!$A:$AJ,AY$5,0),0),IF(ISERROR(1/VLOOKUP($R177,Capa!$A:$AJ,AY$5,0)),0,1/VLOOKUP($R177,Capa!$A:$AJ,AY$5,0))))</f>
        <v/>
      </c>
      <c r="AZ177" s="174" t="str">
        <f>IF(AZ$6="","",IF(AZ$3="Maior",iferror(VLOOKUP($R177,Capa!$A:$AJ,AZ$5,0),0),IF(ISERROR(1/VLOOKUP($R177,Capa!$A:$AJ,AZ$5,0)),0,1/VLOOKUP($R177,Capa!$A:$AJ,AZ$5,0))))</f>
        <v/>
      </c>
      <c r="BA177" s="174" t="str">
        <f>IF(BA$6="","",IF(BA$3="Maior",iferror(VLOOKUP($R177,Capa!$A:$AJ,BA$5,0),0),IF(ISERROR(1/VLOOKUP($R177,Capa!$A:$AJ,BA$5,0)),0,1/VLOOKUP($R177,Capa!$A:$AJ,BA$5,0))))</f>
        <v/>
      </c>
      <c r="BB177" s="174" t="str">
        <f>IF(BB$6="","",IF(BB$3="Maior",iferror(VLOOKUP($R177,Capa!$A:$AJ,BB$5,0),0),IF(ISERROR(1/VLOOKUP($R177,Capa!$A:$AJ,BB$5,0)),0,1/VLOOKUP($R177,Capa!$A:$AJ,BB$5,0))))</f>
        <v/>
      </c>
      <c r="BC177" s="174" t="str">
        <f>IF(BC$6="","",IF(BC$3="Maior",iferror(VLOOKUP($R177,Capa!$A:$AJ,BC$5,0),0),IF(ISERROR(1/VLOOKUP($R177,Capa!$A:$AJ,BC$5,0)),0,1/VLOOKUP($R177,Capa!$A:$AJ,BC$5,0))))</f>
        <v/>
      </c>
      <c r="BD177" s="174" t="str">
        <f>IF(BD$6="","",IF(BD$3="Maior",iferror(VLOOKUP($R177,Capa!$A:$AJ,BD$5,0),0),IF(ISERROR(1/VLOOKUP($R177,Capa!$A:$AJ,BD$5,0)),0,1/VLOOKUP($R177,Capa!$A:$AJ,BD$5,0))))</f>
        <v/>
      </c>
      <c r="BE177" s="174" t="str">
        <f>IF(BE$6="","",IF(BE$3="Maior",iferror(VLOOKUP($R177,Capa!$A:$AJ,BE$5,0),0),IF(ISERROR(1/VLOOKUP($R177,Capa!$A:$AJ,BE$5,0)),0,1/VLOOKUP($R177,Capa!$A:$AJ,BE$5,0))))</f>
        <v/>
      </c>
      <c r="BF177" s="174" t="str">
        <f>IF(BF$6="","",IF(BF$3="Maior",iferror(VLOOKUP($R177,Capa!$A:$AJ,BF$5,0),0),IF(ISERROR(1/VLOOKUP($R177,Capa!$A:$AJ,BF$5,0)),0,1/VLOOKUP($R177,Capa!$A:$AJ,BF$5,0))))</f>
        <v/>
      </c>
      <c r="BG177" s="174" t="str">
        <f>IF(BG$6="","",IF(BG$3="Maior",iferror(VLOOKUP($R177,Capa!$A:$AJ,BG$5,0),0),IF(ISERROR(1/VLOOKUP($R177,Capa!$A:$AJ,BG$5,0)),0,1/VLOOKUP($R177,Capa!$A:$AJ,BG$5,0))))</f>
        <v/>
      </c>
      <c r="BH177" s="174" t="str">
        <f>IF(BH$6="","",IF(BH$3="Maior",iferror(VLOOKUP($R177,Capa!$A:$AJ,BH$5,0),0),IF(ISERROR(1/VLOOKUP($R177,Capa!$A:$AJ,BH$5,0)),0,1/VLOOKUP($R177,Capa!$A:$AJ,BH$5,0))))</f>
        <v/>
      </c>
      <c r="BI177" s="174" t="str">
        <f>IF(BI$6="","",IF(BI$3="Maior",iferror(VLOOKUP($R177,Capa!$A:$AJ,BI$5,0),0),IF(ISERROR(1/VLOOKUP($R177,Capa!$A:$AJ,BI$5,0)),0,1/VLOOKUP($R177,Capa!$A:$AJ,BI$5,0))))</f>
        <v/>
      </c>
      <c r="BJ177" s="174" t="str">
        <f>IF(BJ$6="","",IF(BJ$3="Maior",iferror(VLOOKUP($R177,Capa!$A:$AJ,BJ$5,0),0),IF(ISERROR(1/VLOOKUP($R177,Capa!$A:$AJ,BJ$5,0)),0,1/VLOOKUP($R177,Capa!$A:$AJ,BJ$5,0))))</f>
        <v/>
      </c>
      <c r="BK177" s="174" t="str">
        <f>IF(BK$6="","",IF(BK$3="Maior",iferror(VLOOKUP($R177,Capa!$A:$AJ,BK$5,0),0),IF(ISERROR(1/VLOOKUP($R177,Capa!$A:$AJ,BK$5,0)),0,1/VLOOKUP($R177,Capa!$A:$AJ,BK$5,0))))</f>
        <v/>
      </c>
      <c r="BL177" s="174" t="str">
        <f>IF(BL$6="","",IF(BL$3="Maior",iferror(VLOOKUP($R177,Capa!$A:$AJ,BL$5,0),0),IF(ISERROR(1/VLOOKUP($R177,Capa!$A:$AJ,BL$5,0)),0,1/VLOOKUP($R177,Capa!$A:$AJ,BL$5,0))))</f>
        <v/>
      </c>
      <c r="BM177" s="174" t="str">
        <f>IF(BM$6="","",IF(BM$3="Maior",iferror(VLOOKUP($R177,Capa!$A:$AJ,BM$5,0),0),IF(ISERROR(1/VLOOKUP($R177,Capa!$A:$AJ,BM$5,0)),0,1/VLOOKUP($R177,Capa!$A:$AJ,BM$5,0))))</f>
        <v/>
      </c>
      <c r="BN177" s="174" t="str">
        <f>IF(BN$6="","",IF(BN$3="Maior",iferror(VLOOKUP($R177,Capa!$A:$AJ,BN$5,0),0),IF(ISERROR(1/VLOOKUP($R177,Capa!$A:$AJ,BN$5,0)),0,1/VLOOKUP($R177,Capa!$A:$AJ,BN$5,0))))</f>
        <v/>
      </c>
      <c r="BO177" s="174" t="str">
        <f>IF(BO$6="","",IF(BO$3="Maior",iferror(VLOOKUP($R177,Capa!$A:$AJ,BO$5,0),0),IF(ISERROR(1/VLOOKUP($R177,Capa!$A:$AJ,BO$5,0)),0,1/VLOOKUP($R177,Capa!$A:$AJ,BO$5,0))))</f>
        <v/>
      </c>
      <c r="BP177" s="174" t="str">
        <f>IF(BP$6="","",IF(BP$3="Maior",iferror(VLOOKUP($R177,Capa!$A:$AJ,BP$5,0),0),IF(ISERROR(1/VLOOKUP($R177,Capa!$A:$AJ,BP$5,0)),0,1/VLOOKUP($R177,Capa!$A:$AJ,BP$5,0))))</f>
        <v/>
      </c>
      <c r="BQ177" s="174" t="str">
        <f>IF(BQ$6="","",IF(BQ$3="Maior",iferror(VLOOKUP($R177,Capa!$A:$AJ,BQ$5,0),0),IF(ISERROR(1/VLOOKUP($R177,Capa!$A:$AJ,BQ$5,0)),0,1/VLOOKUP($R177,Capa!$A:$AJ,BQ$5,0))))</f>
        <v/>
      </c>
      <c r="BR177" s="175"/>
      <c r="BS177" s="147"/>
    </row>
    <row r="178">
      <c r="G178" s="11"/>
      <c r="H178" s="8">
        <v>172.0</v>
      </c>
      <c r="I178" s="165" t="str">
        <f t="shared" si="6"/>
        <v>CBAV3</v>
      </c>
      <c r="J178" s="166" t="str">
        <f>(VLOOKUP($I178,Capa!$A:$B,2,0))</f>
        <v>Companhia Brasileira de Aluminio</v>
      </c>
      <c r="K178" s="167" t="str">
        <f>VLOOKUP(left(I178,4),Setor!A:D,3,0)&amp;" | "&amp;VLOOKUP(left(I178,4),Setor!A:D,4,0)</f>
        <v>#N/A</v>
      </c>
      <c r="L178" s="168">
        <f>(VLOOKUP($I178,Capa!$A:$F,6,0))</f>
        <v>10.17</v>
      </c>
      <c r="M178" s="168">
        <f t="shared" si="7"/>
        <v>107000000</v>
      </c>
      <c r="N178" s="11" t="str">
        <f>IFERROR(__xludf.DUMMYFUNCTION("(VLOOKUP($I178,Capa!$A:$H,7,0))"),"")</f>
        <v/>
      </c>
      <c r="O178" s="169">
        <f>(VLOOKUP($I178,Capa!$A:$H,8,0))</f>
        <v>0.1237569061</v>
      </c>
      <c r="P178" s="11" t="str">
        <f>IFERROR(__xludf.DUMMYFUNCTION("(VLOOKUP($I178,Capa!$A:$J,10,0))"),"")</f>
        <v/>
      </c>
      <c r="Q178" s="169">
        <f>(VLOOKUP($I178,Capa!$A:$K,11,0))</f>
        <v>0.6672131148</v>
      </c>
      <c r="R178" s="45" t="str">
        <f>'Dados StatusInvest'!A173</f>
        <v>CORR3</v>
      </c>
      <c r="S178" s="170">
        <f t="shared" si="8"/>
        <v>1874.0874</v>
      </c>
      <c r="T178" s="171">
        <f>VLOOKUP(R178,'Dados StatusInvest'!A:Z,26,0)</f>
        <v>0</v>
      </c>
      <c r="U178" s="172">
        <f t="shared" ref="U178:AS178" si="180">IF(AT178="","", RANK(AT178,AT$7:AT$626,0)+RANK(AT178,AT$7:AT$626,0)/10000)</f>
        <v>607.0607</v>
      </c>
      <c r="V178" s="172">
        <f t="shared" si="180"/>
        <v>267.0267</v>
      </c>
      <c r="W178" s="172" t="str">
        <f t="shared" si="180"/>
        <v/>
      </c>
      <c r="X178" s="172" t="str">
        <f t="shared" si="180"/>
        <v/>
      </c>
      <c r="Y178" s="172" t="str">
        <f t="shared" si="180"/>
        <v/>
      </c>
      <c r="Z178" s="172" t="str">
        <f t="shared" si="180"/>
        <v/>
      </c>
      <c r="AA178" s="172" t="str">
        <f t="shared" si="180"/>
        <v/>
      </c>
      <c r="AB178" s="172" t="str">
        <f t="shared" si="180"/>
        <v/>
      </c>
      <c r="AC178" s="172" t="str">
        <f t="shared" si="180"/>
        <v/>
      </c>
      <c r="AD178" s="172" t="str">
        <f t="shared" si="180"/>
        <v/>
      </c>
      <c r="AE178" s="172" t="str">
        <f t="shared" si="180"/>
        <v/>
      </c>
      <c r="AF178" s="172" t="str">
        <f t="shared" si="180"/>
        <v/>
      </c>
      <c r="AG178" s="172" t="str">
        <f t="shared" si="180"/>
        <v/>
      </c>
      <c r="AH178" s="172" t="str">
        <f t="shared" si="180"/>
        <v/>
      </c>
      <c r="AI178" s="172" t="str">
        <f t="shared" si="180"/>
        <v/>
      </c>
      <c r="AJ178" s="172" t="str">
        <f t="shared" si="180"/>
        <v/>
      </c>
      <c r="AK178" s="172" t="str">
        <f t="shared" si="180"/>
        <v/>
      </c>
      <c r="AL178" s="172" t="str">
        <f t="shared" si="180"/>
        <v/>
      </c>
      <c r="AM178" s="172" t="str">
        <f t="shared" si="180"/>
        <v/>
      </c>
      <c r="AN178" s="172" t="str">
        <f t="shared" si="180"/>
        <v/>
      </c>
      <c r="AO178" s="172" t="str">
        <f t="shared" si="180"/>
        <v/>
      </c>
      <c r="AP178" s="172" t="str">
        <f t="shared" si="180"/>
        <v/>
      </c>
      <c r="AQ178" s="172" t="str">
        <f t="shared" si="180"/>
        <v/>
      </c>
      <c r="AR178" s="172" t="str">
        <f t="shared" si="180"/>
        <v/>
      </c>
      <c r="AS178" s="172" t="str">
        <f t="shared" si="180"/>
        <v/>
      </c>
      <c r="AT178" s="173">
        <f>IF(AT$6="","",IF(AT$3="Maior",iferror(VLOOKUP($R178,Capa!$A:$AJ,AT$5,0),0),IF(ISERROR(1/VLOOKUP($R178,Capa!$A:$AJ,AT$5,0)),0,1/VLOOKUP($R178,Capa!$A:$AJ,AT$5,0))))</f>
        <v>-33.33333333</v>
      </c>
      <c r="AU178" s="174">
        <f>IF(AU$6="","",IF(AU$3="Maior",iferror(VLOOKUP($R178,Capa!$A:$AJ,AU$5,0),0),IF(ISERROR(1/VLOOKUP($R178,Capa!$A:$AJ,AU$5,0)),0,1/VLOOKUP($R178,Capa!$A:$AJ,AU$5,0))))</f>
        <v>0</v>
      </c>
      <c r="AV178" s="174" t="str">
        <f>IF(AV$6="","",IF(AV$3="Maior",iferror(VLOOKUP($R178,Capa!$A:$AJ,AV$5,0),0),IF(ISERROR(1/VLOOKUP($R178,Capa!$A:$AJ,AV$5,0)),0,1/VLOOKUP($R178,Capa!$A:$AJ,AV$5,0))))</f>
        <v/>
      </c>
      <c r="AW178" s="174" t="str">
        <f>IF(AW$6="","",IF(AW$3="Maior",iferror(VLOOKUP($R178,Capa!$A:$AJ,AW$5,0),0),IF(ISERROR(1/VLOOKUP($R178,Capa!$A:$AJ,AW$5,0)),0,1/VLOOKUP($R178,Capa!$A:$AJ,AW$5,0))))</f>
        <v/>
      </c>
      <c r="AX178" s="174" t="str">
        <f>IF(AX$6="","",IF(AX$3="Maior",iferror(VLOOKUP($R178,Capa!$A:$AJ,AX$5,0),0),IF(ISERROR(1/VLOOKUP($R178,Capa!$A:$AJ,AX$5,0)),0,1/VLOOKUP($R178,Capa!$A:$AJ,AX$5,0))))</f>
        <v/>
      </c>
      <c r="AY178" s="174" t="str">
        <f>IF(AY$6="","",IF(AY$3="Maior",iferror(VLOOKUP($R178,Capa!$A:$AJ,AY$5,0),0),IF(ISERROR(1/VLOOKUP($R178,Capa!$A:$AJ,AY$5,0)),0,1/VLOOKUP($R178,Capa!$A:$AJ,AY$5,0))))</f>
        <v/>
      </c>
      <c r="AZ178" s="174" t="str">
        <f>IF(AZ$6="","",IF(AZ$3="Maior",iferror(VLOOKUP($R178,Capa!$A:$AJ,AZ$5,0),0),IF(ISERROR(1/VLOOKUP($R178,Capa!$A:$AJ,AZ$5,0)),0,1/VLOOKUP($R178,Capa!$A:$AJ,AZ$5,0))))</f>
        <v/>
      </c>
      <c r="BA178" s="174" t="str">
        <f>IF(BA$6="","",IF(BA$3="Maior",iferror(VLOOKUP($R178,Capa!$A:$AJ,BA$5,0),0),IF(ISERROR(1/VLOOKUP($R178,Capa!$A:$AJ,BA$5,0)),0,1/VLOOKUP($R178,Capa!$A:$AJ,BA$5,0))))</f>
        <v/>
      </c>
      <c r="BB178" s="174" t="str">
        <f>IF(BB$6="","",IF(BB$3="Maior",iferror(VLOOKUP($R178,Capa!$A:$AJ,BB$5,0),0),IF(ISERROR(1/VLOOKUP($R178,Capa!$A:$AJ,BB$5,0)),0,1/VLOOKUP($R178,Capa!$A:$AJ,BB$5,0))))</f>
        <v/>
      </c>
      <c r="BC178" s="174" t="str">
        <f>IF(BC$6="","",IF(BC$3="Maior",iferror(VLOOKUP($R178,Capa!$A:$AJ,BC$5,0),0),IF(ISERROR(1/VLOOKUP($R178,Capa!$A:$AJ,BC$5,0)),0,1/VLOOKUP($R178,Capa!$A:$AJ,BC$5,0))))</f>
        <v/>
      </c>
      <c r="BD178" s="174" t="str">
        <f>IF(BD$6="","",IF(BD$3="Maior",iferror(VLOOKUP($R178,Capa!$A:$AJ,BD$5,0),0),IF(ISERROR(1/VLOOKUP($R178,Capa!$A:$AJ,BD$5,0)),0,1/VLOOKUP($R178,Capa!$A:$AJ,BD$5,0))))</f>
        <v/>
      </c>
      <c r="BE178" s="174" t="str">
        <f>IF(BE$6="","",IF(BE$3="Maior",iferror(VLOOKUP($R178,Capa!$A:$AJ,BE$5,0),0),IF(ISERROR(1/VLOOKUP($R178,Capa!$A:$AJ,BE$5,0)),0,1/VLOOKUP($R178,Capa!$A:$AJ,BE$5,0))))</f>
        <v/>
      </c>
      <c r="BF178" s="174" t="str">
        <f>IF(BF$6="","",IF(BF$3="Maior",iferror(VLOOKUP($R178,Capa!$A:$AJ,BF$5,0),0),IF(ISERROR(1/VLOOKUP($R178,Capa!$A:$AJ,BF$5,0)),0,1/VLOOKUP($R178,Capa!$A:$AJ,BF$5,0))))</f>
        <v/>
      </c>
      <c r="BG178" s="174" t="str">
        <f>IF(BG$6="","",IF(BG$3="Maior",iferror(VLOOKUP($R178,Capa!$A:$AJ,BG$5,0),0),IF(ISERROR(1/VLOOKUP($R178,Capa!$A:$AJ,BG$5,0)),0,1/VLOOKUP($R178,Capa!$A:$AJ,BG$5,0))))</f>
        <v/>
      </c>
      <c r="BH178" s="174" t="str">
        <f>IF(BH$6="","",IF(BH$3="Maior",iferror(VLOOKUP($R178,Capa!$A:$AJ,BH$5,0),0),IF(ISERROR(1/VLOOKUP($R178,Capa!$A:$AJ,BH$5,0)),0,1/VLOOKUP($R178,Capa!$A:$AJ,BH$5,0))))</f>
        <v/>
      </c>
      <c r="BI178" s="174" t="str">
        <f>IF(BI$6="","",IF(BI$3="Maior",iferror(VLOOKUP($R178,Capa!$A:$AJ,BI$5,0),0),IF(ISERROR(1/VLOOKUP($R178,Capa!$A:$AJ,BI$5,0)),0,1/VLOOKUP($R178,Capa!$A:$AJ,BI$5,0))))</f>
        <v/>
      </c>
      <c r="BJ178" s="174" t="str">
        <f>IF(BJ$6="","",IF(BJ$3="Maior",iferror(VLOOKUP($R178,Capa!$A:$AJ,BJ$5,0),0),IF(ISERROR(1/VLOOKUP($R178,Capa!$A:$AJ,BJ$5,0)),0,1/VLOOKUP($R178,Capa!$A:$AJ,BJ$5,0))))</f>
        <v/>
      </c>
      <c r="BK178" s="174" t="str">
        <f>IF(BK$6="","",IF(BK$3="Maior",iferror(VLOOKUP($R178,Capa!$A:$AJ,BK$5,0),0),IF(ISERROR(1/VLOOKUP($R178,Capa!$A:$AJ,BK$5,0)),0,1/VLOOKUP($R178,Capa!$A:$AJ,BK$5,0))))</f>
        <v/>
      </c>
      <c r="BL178" s="174" t="str">
        <f>IF(BL$6="","",IF(BL$3="Maior",iferror(VLOOKUP($R178,Capa!$A:$AJ,BL$5,0),0),IF(ISERROR(1/VLOOKUP($R178,Capa!$A:$AJ,BL$5,0)),0,1/VLOOKUP($R178,Capa!$A:$AJ,BL$5,0))))</f>
        <v/>
      </c>
      <c r="BM178" s="174" t="str">
        <f>IF(BM$6="","",IF(BM$3="Maior",iferror(VLOOKUP($R178,Capa!$A:$AJ,BM$5,0),0),IF(ISERROR(1/VLOOKUP($R178,Capa!$A:$AJ,BM$5,0)),0,1/VLOOKUP($R178,Capa!$A:$AJ,BM$5,0))))</f>
        <v/>
      </c>
      <c r="BN178" s="174" t="str">
        <f>IF(BN$6="","",IF(BN$3="Maior",iferror(VLOOKUP($R178,Capa!$A:$AJ,BN$5,0),0),IF(ISERROR(1/VLOOKUP($R178,Capa!$A:$AJ,BN$5,0)),0,1/VLOOKUP($R178,Capa!$A:$AJ,BN$5,0))))</f>
        <v/>
      </c>
      <c r="BO178" s="174" t="str">
        <f>IF(BO$6="","",IF(BO$3="Maior",iferror(VLOOKUP($R178,Capa!$A:$AJ,BO$5,0),0),IF(ISERROR(1/VLOOKUP($R178,Capa!$A:$AJ,BO$5,0)),0,1/VLOOKUP($R178,Capa!$A:$AJ,BO$5,0))))</f>
        <v/>
      </c>
      <c r="BP178" s="174" t="str">
        <f>IF(BP$6="","",IF(BP$3="Maior",iferror(VLOOKUP($R178,Capa!$A:$AJ,BP$5,0),0),IF(ISERROR(1/VLOOKUP($R178,Capa!$A:$AJ,BP$5,0)),0,1/VLOOKUP($R178,Capa!$A:$AJ,BP$5,0))))</f>
        <v/>
      </c>
      <c r="BQ178" s="174" t="str">
        <f>IF(BQ$6="","",IF(BQ$3="Maior",iferror(VLOOKUP($R178,Capa!$A:$AJ,BQ$5,0),0),IF(ISERROR(1/VLOOKUP($R178,Capa!$A:$AJ,BQ$5,0)),0,1/VLOOKUP($R178,Capa!$A:$AJ,BQ$5,0))))</f>
        <v/>
      </c>
      <c r="BR178" s="175"/>
      <c r="BS178" s="147"/>
    </row>
    <row r="179">
      <c r="G179" s="11"/>
      <c r="H179" s="8">
        <v>173.0</v>
      </c>
      <c r="I179" s="165" t="str">
        <f t="shared" si="6"/>
        <v>CMIG3</v>
      </c>
      <c r="J179" s="166" t="str">
        <f>(VLOOKUP($I179,Capa!$A:$B,2,0))</f>
        <v>Energy of Minas Gerais Co</v>
      </c>
      <c r="K179" s="167" t="str">
        <f>VLOOKUP(left(I179,4),Setor!A:D,3,0)&amp;" | "&amp;VLOOKUP(left(I179,4),Setor!A:D,4,0)</f>
        <v>Utilidade Pública | Energia Elétrica</v>
      </c>
      <c r="L179" s="168">
        <f>(VLOOKUP($I179,Capa!$A:$F,6,0))</f>
        <v>15.22</v>
      </c>
      <c r="M179" s="168">
        <f t="shared" si="7"/>
        <v>2097796</v>
      </c>
      <c r="N179" s="11" t="str">
        <f>IFERROR(__xludf.DUMMYFUNCTION("(VLOOKUP($I179,Capa!$A:$H,7,0))"),"")</f>
        <v/>
      </c>
      <c r="O179" s="169">
        <f>(VLOOKUP($I179,Capa!$A:$H,8,0))</f>
        <v>0.04461221688</v>
      </c>
      <c r="P179" s="11" t="str">
        <f>IFERROR(__xludf.DUMMYFUNCTION("(VLOOKUP($I179,Capa!$A:$J,10,0))"),"")</f>
        <v/>
      </c>
      <c r="Q179" s="169">
        <f>(VLOOKUP($I179,Capa!$A:$K,11,0))</f>
        <v>-0.01616031028</v>
      </c>
      <c r="R179" s="45" t="str">
        <f>'Dados StatusInvest'!A174</f>
        <v>CORR4</v>
      </c>
      <c r="S179" s="170">
        <f t="shared" si="8"/>
        <v>1682.0682</v>
      </c>
      <c r="T179" s="171">
        <f>VLOOKUP(R179,'Dados StatusInvest'!A:Z,26,0)</f>
        <v>0</v>
      </c>
      <c r="U179" s="172">
        <f t="shared" ref="U179:AS179" si="181">IF(AT179="","", RANK(AT179,AT$7:AT$626,0)+RANK(AT179,AT$7:AT$626,0)/10000)</f>
        <v>415.0415</v>
      </c>
      <c r="V179" s="172">
        <f t="shared" si="181"/>
        <v>267.0267</v>
      </c>
      <c r="W179" s="172" t="str">
        <f t="shared" si="181"/>
        <v/>
      </c>
      <c r="X179" s="172" t="str">
        <f t="shared" si="181"/>
        <v/>
      </c>
      <c r="Y179" s="172" t="str">
        <f t="shared" si="181"/>
        <v/>
      </c>
      <c r="Z179" s="172" t="str">
        <f t="shared" si="181"/>
        <v/>
      </c>
      <c r="AA179" s="172" t="str">
        <f t="shared" si="181"/>
        <v/>
      </c>
      <c r="AB179" s="172" t="str">
        <f t="shared" si="181"/>
        <v/>
      </c>
      <c r="AC179" s="172" t="str">
        <f t="shared" si="181"/>
        <v/>
      </c>
      <c r="AD179" s="172" t="str">
        <f t="shared" si="181"/>
        <v/>
      </c>
      <c r="AE179" s="172" t="str">
        <f t="shared" si="181"/>
        <v/>
      </c>
      <c r="AF179" s="172" t="str">
        <f t="shared" si="181"/>
        <v/>
      </c>
      <c r="AG179" s="172" t="str">
        <f t="shared" si="181"/>
        <v/>
      </c>
      <c r="AH179" s="172" t="str">
        <f t="shared" si="181"/>
        <v/>
      </c>
      <c r="AI179" s="172" t="str">
        <f t="shared" si="181"/>
        <v/>
      </c>
      <c r="AJ179" s="172" t="str">
        <f t="shared" si="181"/>
        <v/>
      </c>
      <c r="AK179" s="172" t="str">
        <f t="shared" si="181"/>
        <v/>
      </c>
      <c r="AL179" s="172" t="str">
        <f t="shared" si="181"/>
        <v/>
      </c>
      <c r="AM179" s="172" t="str">
        <f t="shared" si="181"/>
        <v/>
      </c>
      <c r="AN179" s="172" t="str">
        <f t="shared" si="181"/>
        <v/>
      </c>
      <c r="AO179" s="172" t="str">
        <f t="shared" si="181"/>
        <v/>
      </c>
      <c r="AP179" s="172" t="str">
        <f t="shared" si="181"/>
        <v/>
      </c>
      <c r="AQ179" s="172" t="str">
        <f t="shared" si="181"/>
        <v/>
      </c>
      <c r="AR179" s="172" t="str">
        <f t="shared" si="181"/>
        <v/>
      </c>
      <c r="AS179" s="172" t="str">
        <f t="shared" si="181"/>
        <v/>
      </c>
      <c r="AT179" s="173">
        <f>IF(AT$6="","",IF(AT$3="Maior",iferror(VLOOKUP($R179,Capa!$A:$AJ,AT$5,0),0),IF(ISERROR(1/VLOOKUP($R179,Capa!$A:$AJ,AT$5,0)),0,1/VLOOKUP($R179,Capa!$A:$AJ,AT$5,0))))</f>
        <v>-1.470588235</v>
      </c>
      <c r="AU179" s="174">
        <f>IF(AU$6="","",IF(AU$3="Maior",iferror(VLOOKUP($R179,Capa!$A:$AJ,AU$5,0),0),IF(ISERROR(1/VLOOKUP($R179,Capa!$A:$AJ,AU$5,0)),0,1/VLOOKUP($R179,Capa!$A:$AJ,AU$5,0))))</f>
        <v>0</v>
      </c>
      <c r="AV179" s="174" t="str">
        <f>IF(AV$6="","",IF(AV$3="Maior",iferror(VLOOKUP($R179,Capa!$A:$AJ,AV$5,0),0),IF(ISERROR(1/VLOOKUP($R179,Capa!$A:$AJ,AV$5,0)),0,1/VLOOKUP($R179,Capa!$A:$AJ,AV$5,0))))</f>
        <v/>
      </c>
      <c r="AW179" s="174" t="str">
        <f>IF(AW$6="","",IF(AW$3="Maior",iferror(VLOOKUP($R179,Capa!$A:$AJ,AW$5,0),0),IF(ISERROR(1/VLOOKUP($R179,Capa!$A:$AJ,AW$5,0)),0,1/VLOOKUP($R179,Capa!$A:$AJ,AW$5,0))))</f>
        <v/>
      </c>
      <c r="AX179" s="174" t="str">
        <f>IF(AX$6="","",IF(AX$3="Maior",iferror(VLOOKUP($R179,Capa!$A:$AJ,AX$5,0),0),IF(ISERROR(1/VLOOKUP($R179,Capa!$A:$AJ,AX$5,0)),0,1/VLOOKUP($R179,Capa!$A:$AJ,AX$5,0))))</f>
        <v/>
      </c>
      <c r="AY179" s="174" t="str">
        <f>IF(AY$6="","",IF(AY$3="Maior",iferror(VLOOKUP($R179,Capa!$A:$AJ,AY$5,0),0),IF(ISERROR(1/VLOOKUP($R179,Capa!$A:$AJ,AY$5,0)),0,1/VLOOKUP($R179,Capa!$A:$AJ,AY$5,0))))</f>
        <v/>
      </c>
      <c r="AZ179" s="174" t="str">
        <f>IF(AZ$6="","",IF(AZ$3="Maior",iferror(VLOOKUP($R179,Capa!$A:$AJ,AZ$5,0),0),IF(ISERROR(1/VLOOKUP($R179,Capa!$A:$AJ,AZ$5,0)),0,1/VLOOKUP($R179,Capa!$A:$AJ,AZ$5,0))))</f>
        <v/>
      </c>
      <c r="BA179" s="174" t="str">
        <f>IF(BA$6="","",IF(BA$3="Maior",iferror(VLOOKUP($R179,Capa!$A:$AJ,BA$5,0),0),IF(ISERROR(1/VLOOKUP($R179,Capa!$A:$AJ,BA$5,0)),0,1/VLOOKUP($R179,Capa!$A:$AJ,BA$5,0))))</f>
        <v/>
      </c>
      <c r="BB179" s="174" t="str">
        <f>IF(BB$6="","",IF(BB$3="Maior",iferror(VLOOKUP($R179,Capa!$A:$AJ,BB$5,0),0),IF(ISERROR(1/VLOOKUP($R179,Capa!$A:$AJ,BB$5,0)),0,1/VLOOKUP($R179,Capa!$A:$AJ,BB$5,0))))</f>
        <v/>
      </c>
      <c r="BC179" s="174" t="str">
        <f>IF(BC$6="","",IF(BC$3="Maior",iferror(VLOOKUP($R179,Capa!$A:$AJ,BC$5,0),0),IF(ISERROR(1/VLOOKUP($R179,Capa!$A:$AJ,BC$5,0)),0,1/VLOOKUP($R179,Capa!$A:$AJ,BC$5,0))))</f>
        <v/>
      </c>
      <c r="BD179" s="174" t="str">
        <f>IF(BD$6="","",IF(BD$3="Maior",iferror(VLOOKUP($R179,Capa!$A:$AJ,BD$5,0),0),IF(ISERROR(1/VLOOKUP($R179,Capa!$A:$AJ,BD$5,0)),0,1/VLOOKUP($R179,Capa!$A:$AJ,BD$5,0))))</f>
        <v/>
      </c>
      <c r="BE179" s="174" t="str">
        <f>IF(BE$6="","",IF(BE$3="Maior",iferror(VLOOKUP($R179,Capa!$A:$AJ,BE$5,0),0),IF(ISERROR(1/VLOOKUP($R179,Capa!$A:$AJ,BE$5,0)),0,1/VLOOKUP($R179,Capa!$A:$AJ,BE$5,0))))</f>
        <v/>
      </c>
      <c r="BF179" s="174" t="str">
        <f>IF(BF$6="","",IF(BF$3="Maior",iferror(VLOOKUP($R179,Capa!$A:$AJ,BF$5,0),0),IF(ISERROR(1/VLOOKUP($R179,Capa!$A:$AJ,BF$5,0)),0,1/VLOOKUP($R179,Capa!$A:$AJ,BF$5,0))))</f>
        <v/>
      </c>
      <c r="BG179" s="174" t="str">
        <f>IF(BG$6="","",IF(BG$3="Maior",iferror(VLOOKUP($R179,Capa!$A:$AJ,BG$5,0),0),IF(ISERROR(1/VLOOKUP($R179,Capa!$A:$AJ,BG$5,0)),0,1/VLOOKUP($R179,Capa!$A:$AJ,BG$5,0))))</f>
        <v/>
      </c>
      <c r="BH179" s="174" t="str">
        <f>IF(BH$6="","",IF(BH$3="Maior",iferror(VLOOKUP($R179,Capa!$A:$AJ,BH$5,0),0),IF(ISERROR(1/VLOOKUP($R179,Capa!$A:$AJ,BH$5,0)),0,1/VLOOKUP($R179,Capa!$A:$AJ,BH$5,0))))</f>
        <v/>
      </c>
      <c r="BI179" s="174" t="str">
        <f>IF(BI$6="","",IF(BI$3="Maior",iferror(VLOOKUP($R179,Capa!$A:$AJ,BI$5,0),0),IF(ISERROR(1/VLOOKUP($R179,Capa!$A:$AJ,BI$5,0)),0,1/VLOOKUP($R179,Capa!$A:$AJ,BI$5,0))))</f>
        <v/>
      </c>
      <c r="BJ179" s="174" t="str">
        <f>IF(BJ$6="","",IF(BJ$3="Maior",iferror(VLOOKUP($R179,Capa!$A:$AJ,BJ$5,0),0),IF(ISERROR(1/VLOOKUP($R179,Capa!$A:$AJ,BJ$5,0)),0,1/VLOOKUP($R179,Capa!$A:$AJ,BJ$5,0))))</f>
        <v/>
      </c>
      <c r="BK179" s="174" t="str">
        <f>IF(BK$6="","",IF(BK$3="Maior",iferror(VLOOKUP($R179,Capa!$A:$AJ,BK$5,0),0),IF(ISERROR(1/VLOOKUP($R179,Capa!$A:$AJ,BK$5,0)),0,1/VLOOKUP($R179,Capa!$A:$AJ,BK$5,0))))</f>
        <v/>
      </c>
      <c r="BL179" s="174" t="str">
        <f>IF(BL$6="","",IF(BL$3="Maior",iferror(VLOOKUP($R179,Capa!$A:$AJ,BL$5,0),0),IF(ISERROR(1/VLOOKUP($R179,Capa!$A:$AJ,BL$5,0)),0,1/VLOOKUP($R179,Capa!$A:$AJ,BL$5,0))))</f>
        <v/>
      </c>
      <c r="BM179" s="174" t="str">
        <f>IF(BM$6="","",IF(BM$3="Maior",iferror(VLOOKUP($R179,Capa!$A:$AJ,BM$5,0),0),IF(ISERROR(1/VLOOKUP($R179,Capa!$A:$AJ,BM$5,0)),0,1/VLOOKUP($R179,Capa!$A:$AJ,BM$5,0))))</f>
        <v/>
      </c>
      <c r="BN179" s="174" t="str">
        <f>IF(BN$6="","",IF(BN$3="Maior",iferror(VLOOKUP($R179,Capa!$A:$AJ,BN$5,0),0),IF(ISERROR(1/VLOOKUP($R179,Capa!$A:$AJ,BN$5,0)),0,1/VLOOKUP($R179,Capa!$A:$AJ,BN$5,0))))</f>
        <v/>
      </c>
      <c r="BO179" s="174" t="str">
        <f>IF(BO$6="","",IF(BO$3="Maior",iferror(VLOOKUP($R179,Capa!$A:$AJ,BO$5,0),0),IF(ISERROR(1/VLOOKUP($R179,Capa!$A:$AJ,BO$5,0)),0,1/VLOOKUP($R179,Capa!$A:$AJ,BO$5,0))))</f>
        <v/>
      </c>
      <c r="BP179" s="174" t="str">
        <f>IF(BP$6="","",IF(BP$3="Maior",iferror(VLOOKUP($R179,Capa!$A:$AJ,BP$5,0),0),IF(ISERROR(1/VLOOKUP($R179,Capa!$A:$AJ,BP$5,0)),0,1/VLOOKUP($R179,Capa!$A:$AJ,BP$5,0))))</f>
        <v/>
      </c>
      <c r="BQ179" s="174" t="str">
        <f>IF(BQ$6="","",IF(BQ$3="Maior",iferror(VLOOKUP($R179,Capa!$A:$AJ,BQ$5,0),0),IF(ISERROR(1/VLOOKUP($R179,Capa!$A:$AJ,BQ$5,0)),0,1/VLOOKUP($R179,Capa!$A:$AJ,BQ$5,0))))</f>
        <v/>
      </c>
      <c r="BR179" s="175"/>
      <c r="BS179" s="147"/>
    </row>
    <row r="180">
      <c r="G180" s="11"/>
      <c r="H180" s="8">
        <v>174.0</v>
      </c>
      <c r="I180" s="165" t="str">
        <f t="shared" si="6"/>
        <v>ALPK3</v>
      </c>
      <c r="J180" s="166" t="str">
        <f>(VLOOKUP($I180,Capa!$A:$B,2,0))</f>
        <v>Allpark Empreendimentos Prtcpcs Srvcs SA</v>
      </c>
      <c r="K180" s="167" t="str">
        <f>VLOOKUP(left(I180,4),Setor!A:D,3,0)&amp;" | "&amp;VLOOKUP(left(I180,4),Setor!A:D,4,0)</f>
        <v>Bens Industriais | Serviços Diversos</v>
      </c>
      <c r="L180" s="168">
        <f>(VLOOKUP($I180,Capa!$A:$F,6,0))</f>
        <v>5.36</v>
      </c>
      <c r="M180" s="168">
        <f t="shared" si="7"/>
        <v>997644.2</v>
      </c>
      <c r="N180" s="11" t="str">
        <f>IFERROR(__xludf.DUMMYFUNCTION("(VLOOKUP($I180,Capa!$A:$H,7,0))"),"")</f>
        <v/>
      </c>
      <c r="O180" s="169">
        <f>(VLOOKUP($I180,Capa!$A:$H,8,0))</f>
        <v>0.1626898048</v>
      </c>
      <c r="P180" s="11" t="str">
        <f>IFERROR(__xludf.DUMMYFUNCTION("(VLOOKUP($I180,Capa!$A:$J,10,0))"),"")</f>
        <v/>
      </c>
      <c r="Q180" s="169">
        <f>(VLOOKUP($I180,Capa!$A:$K,11,0))</f>
        <v>0.7866666667</v>
      </c>
      <c r="R180" s="45" t="str">
        <f>'Dados StatusInvest'!A175</f>
        <v>CPFE3</v>
      </c>
      <c r="S180" s="170">
        <f t="shared" si="8"/>
        <v>350.035</v>
      </c>
      <c r="T180" s="171">
        <f>VLOOKUP(R180,'Dados StatusInvest'!A:Z,26,0)</f>
        <v>112000000</v>
      </c>
      <c r="U180" s="172">
        <f t="shared" ref="U180:AS180" si="182">IF(AT180="","", RANK(AT180,AT$7:AT$626,0)+RANK(AT180,AT$7:AT$626,0)/10000)</f>
        <v>179.0179</v>
      </c>
      <c r="V180" s="172">
        <f t="shared" si="182"/>
        <v>171.0171</v>
      </c>
      <c r="W180" s="172" t="str">
        <f t="shared" si="182"/>
        <v/>
      </c>
      <c r="X180" s="172" t="str">
        <f t="shared" si="182"/>
        <v/>
      </c>
      <c r="Y180" s="172" t="str">
        <f t="shared" si="182"/>
        <v/>
      </c>
      <c r="Z180" s="172" t="str">
        <f t="shared" si="182"/>
        <v/>
      </c>
      <c r="AA180" s="172" t="str">
        <f t="shared" si="182"/>
        <v/>
      </c>
      <c r="AB180" s="172" t="str">
        <f t="shared" si="182"/>
        <v/>
      </c>
      <c r="AC180" s="172" t="str">
        <f t="shared" si="182"/>
        <v/>
      </c>
      <c r="AD180" s="172" t="str">
        <f t="shared" si="182"/>
        <v/>
      </c>
      <c r="AE180" s="172" t="str">
        <f t="shared" si="182"/>
        <v/>
      </c>
      <c r="AF180" s="172" t="str">
        <f t="shared" si="182"/>
        <v/>
      </c>
      <c r="AG180" s="172" t="str">
        <f t="shared" si="182"/>
        <v/>
      </c>
      <c r="AH180" s="172" t="str">
        <f t="shared" si="182"/>
        <v/>
      </c>
      <c r="AI180" s="172" t="str">
        <f t="shared" si="182"/>
        <v/>
      </c>
      <c r="AJ180" s="172" t="str">
        <f t="shared" si="182"/>
        <v/>
      </c>
      <c r="AK180" s="172" t="str">
        <f t="shared" si="182"/>
        <v/>
      </c>
      <c r="AL180" s="172" t="str">
        <f t="shared" si="182"/>
        <v/>
      </c>
      <c r="AM180" s="172" t="str">
        <f t="shared" si="182"/>
        <v/>
      </c>
      <c r="AN180" s="172" t="str">
        <f t="shared" si="182"/>
        <v/>
      </c>
      <c r="AO180" s="172" t="str">
        <f t="shared" si="182"/>
        <v/>
      </c>
      <c r="AP180" s="172" t="str">
        <f t="shared" si="182"/>
        <v/>
      </c>
      <c r="AQ180" s="172" t="str">
        <f t="shared" si="182"/>
        <v/>
      </c>
      <c r="AR180" s="172" t="str">
        <f t="shared" si="182"/>
        <v/>
      </c>
      <c r="AS180" s="172" t="str">
        <f t="shared" si="182"/>
        <v/>
      </c>
      <c r="AT180" s="173">
        <f>IF(AT$6="","",IF(AT$3="Maior",iferror(VLOOKUP($R180,Capa!$A:$AJ,AT$5,0),0),IF(ISERROR(1/VLOOKUP($R180,Capa!$A:$AJ,AT$5,0)),0,1/VLOOKUP($R180,Capa!$A:$AJ,AT$5,0))))</f>
        <v>-0.215551976</v>
      </c>
      <c r="AU180" s="174">
        <f>IF(AU$6="","",IF(AU$3="Maior",iferror(VLOOKUP($R180,Capa!$A:$AJ,AU$5,0),0),IF(ISERROR(1/VLOOKUP($R180,Capa!$A:$AJ,AU$5,0)),0,1/VLOOKUP($R180,Capa!$A:$AJ,AU$5,0))))</f>
        <v>15.06</v>
      </c>
      <c r="AV180" s="174" t="str">
        <f>IF(AV$6="","",IF(AV$3="Maior",iferror(VLOOKUP($R180,Capa!$A:$AJ,AV$5,0),0),IF(ISERROR(1/VLOOKUP($R180,Capa!$A:$AJ,AV$5,0)),0,1/VLOOKUP($R180,Capa!$A:$AJ,AV$5,0))))</f>
        <v/>
      </c>
      <c r="AW180" s="174" t="str">
        <f>IF(AW$6="","",IF(AW$3="Maior",iferror(VLOOKUP($R180,Capa!$A:$AJ,AW$5,0),0),IF(ISERROR(1/VLOOKUP($R180,Capa!$A:$AJ,AW$5,0)),0,1/VLOOKUP($R180,Capa!$A:$AJ,AW$5,0))))</f>
        <v/>
      </c>
      <c r="AX180" s="174" t="str">
        <f>IF(AX$6="","",IF(AX$3="Maior",iferror(VLOOKUP($R180,Capa!$A:$AJ,AX$5,0),0),IF(ISERROR(1/VLOOKUP($R180,Capa!$A:$AJ,AX$5,0)),0,1/VLOOKUP($R180,Capa!$A:$AJ,AX$5,0))))</f>
        <v/>
      </c>
      <c r="AY180" s="174" t="str">
        <f>IF(AY$6="","",IF(AY$3="Maior",iferror(VLOOKUP($R180,Capa!$A:$AJ,AY$5,0),0),IF(ISERROR(1/VLOOKUP($R180,Capa!$A:$AJ,AY$5,0)),0,1/VLOOKUP($R180,Capa!$A:$AJ,AY$5,0))))</f>
        <v/>
      </c>
      <c r="AZ180" s="174" t="str">
        <f>IF(AZ$6="","",IF(AZ$3="Maior",iferror(VLOOKUP($R180,Capa!$A:$AJ,AZ$5,0),0),IF(ISERROR(1/VLOOKUP($R180,Capa!$A:$AJ,AZ$5,0)),0,1/VLOOKUP($R180,Capa!$A:$AJ,AZ$5,0))))</f>
        <v/>
      </c>
      <c r="BA180" s="174" t="str">
        <f>IF(BA$6="","",IF(BA$3="Maior",iferror(VLOOKUP($R180,Capa!$A:$AJ,BA$5,0),0),IF(ISERROR(1/VLOOKUP($R180,Capa!$A:$AJ,BA$5,0)),0,1/VLOOKUP($R180,Capa!$A:$AJ,BA$5,0))))</f>
        <v/>
      </c>
      <c r="BB180" s="174" t="str">
        <f>IF(BB$6="","",IF(BB$3="Maior",iferror(VLOOKUP($R180,Capa!$A:$AJ,BB$5,0),0),IF(ISERROR(1/VLOOKUP($R180,Capa!$A:$AJ,BB$5,0)),0,1/VLOOKUP($R180,Capa!$A:$AJ,BB$5,0))))</f>
        <v/>
      </c>
      <c r="BC180" s="174" t="str">
        <f>IF(BC$6="","",IF(BC$3="Maior",iferror(VLOOKUP($R180,Capa!$A:$AJ,BC$5,0),0),IF(ISERROR(1/VLOOKUP($R180,Capa!$A:$AJ,BC$5,0)),0,1/VLOOKUP($R180,Capa!$A:$AJ,BC$5,0))))</f>
        <v/>
      </c>
      <c r="BD180" s="174" t="str">
        <f>IF(BD$6="","",IF(BD$3="Maior",iferror(VLOOKUP($R180,Capa!$A:$AJ,BD$5,0),0),IF(ISERROR(1/VLOOKUP($R180,Capa!$A:$AJ,BD$5,0)),0,1/VLOOKUP($R180,Capa!$A:$AJ,BD$5,0))))</f>
        <v/>
      </c>
      <c r="BE180" s="174" t="str">
        <f>IF(BE$6="","",IF(BE$3="Maior",iferror(VLOOKUP($R180,Capa!$A:$AJ,BE$5,0),0),IF(ISERROR(1/VLOOKUP($R180,Capa!$A:$AJ,BE$5,0)),0,1/VLOOKUP($R180,Capa!$A:$AJ,BE$5,0))))</f>
        <v/>
      </c>
      <c r="BF180" s="174" t="str">
        <f>IF(BF$6="","",IF(BF$3="Maior",iferror(VLOOKUP($R180,Capa!$A:$AJ,BF$5,0),0),IF(ISERROR(1/VLOOKUP($R180,Capa!$A:$AJ,BF$5,0)),0,1/VLOOKUP($R180,Capa!$A:$AJ,BF$5,0))))</f>
        <v/>
      </c>
      <c r="BG180" s="174" t="str">
        <f>IF(BG$6="","",IF(BG$3="Maior",iferror(VLOOKUP($R180,Capa!$A:$AJ,BG$5,0),0),IF(ISERROR(1/VLOOKUP($R180,Capa!$A:$AJ,BG$5,0)),0,1/VLOOKUP($R180,Capa!$A:$AJ,BG$5,0))))</f>
        <v/>
      </c>
      <c r="BH180" s="174" t="str">
        <f>IF(BH$6="","",IF(BH$3="Maior",iferror(VLOOKUP($R180,Capa!$A:$AJ,BH$5,0),0),IF(ISERROR(1/VLOOKUP($R180,Capa!$A:$AJ,BH$5,0)),0,1/VLOOKUP($R180,Capa!$A:$AJ,BH$5,0))))</f>
        <v/>
      </c>
      <c r="BI180" s="174" t="str">
        <f>IF(BI$6="","",IF(BI$3="Maior",iferror(VLOOKUP($R180,Capa!$A:$AJ,BI$5,0),0),IF(ISERROR(1/VLOOKUP($R180,Capa!$A:$AJ,BI$5,0)),0,1/VLOOKUP($R180,Capa!$A:$AJ,BI$5,0))))</f>
        <v/>
      </c>
      <c r="BJ180" s="174" t="str">
        <f>IF(BJ$6="","",IF(BJ$3="Maior",iferror(VLOOKUP($R180,Capa!$A:$AJ,BJ$5,0),0),IF(ISERROR(1/VLOOKUP($R180,Capa!$A:$AJ,BJ$5,0)),0,1/VLOOKUP($R180,Capa!$A:$AJ,BJ$5,0))))</f>
        <v/>
      </c>
      <c r="BK180" s="174" t="str">
        <f>IF(BK$6="","",IF(BK$3="Maior",iferror(VLOOKUP($R180,Capa!$A:$AJ,BK$5,0),0),IF(ISERROR(1/VLOOKUP($R180,Capa!$A:$AJ,BK$5,0)),0,1/VLOOKUP($R180,Capa!$A:$AJ,BK$5,0))))</f>
        <v/>
      </c>
      <c r="BL180" s="174" t="str">
        <f>IF(BL$6="","",IF(BL$3="Maior",iferror(VLOOKUP($R180,Capa!$A:$AJ,BL$5,0),0),IF(ISERROR(1/VLOOKUP($R180,Capa!$A:$AJ,BL$5,0)),0,1/VLOOKUP($R180,Capa!$A:$AJ,BL$5,0))))</f>
        <v/>
      </c>
      <c r="BM180" s="174" t="str">
        <f>IF(BM$6="","",IF(BM$3="Maior",iferror(VLOOKUP($R180,Capa!$A:$AJ,BM$5,0),0),IF(ISERROR(1/VLOOKUP($R180,Capa!$A:$AJ,BM$5,0)),0,1/VLOOKUP($R180,Capa!$A:$AJ,BM$5,0))))</f>
        <v/>
      </c>
      <c r="BN180" s="174" t="str">
        <f>IF(BN$6="","",IF(BN$3="Maior",iferror(VLOOKUP($R180,Capa!$A:$AJ,BN$5,0),0),IF(ISERROR(1/VLOOKUP($R180,Capa!$A:$AJ,BN$5,0)),0,1/VLOOKUP($R180,Capa!$A:$AJ,BN$5,0))))</f>
        <v/>
      </c>
      <c r="BO180" s="174" t="str">
        <f>IF(BO$6="","",IF(BO$3="Maior",iferror(VLOOKUP($R180,Capa!$A:$AJ,BO$5,0),0),IF(ISERROR(1/VLOOKUP($R180,Capa!$A:$AJ,BO$5,0)),0,1/VLOOKUP($R180,Capa!$A:$AJ,BO$5,0))))</f>
        <v/>
      </c>
      <c r="BP180" s="174" t="str">
        <f>IF(BP$6="","",IF(BP$3="Maior",iferror(VLOOKUP($R180,Capa!$A:$AJ,BP$5,0),0),IF(ISERROR(1/VLOOKUP($R180,Capa!$A:$AJ,BP$5,0)),0,1/VLOOKUP($R180,Capa!$A:$AJ,BP$5,0))))</f>
        <v/>
      </c>
      <c r="BQ180" s="174" t="str">
        <f>IF(BQ$6="","",IF(BQ$3="Maior",iferror(VLOOKUP($R180,Capa!$A:$AJ,BQ$5,0),0),IF(ISERROR(1/VLOOKUP($R180,Capa!$A:$AJ,BQ$5,0)),0,1/VLOOKUP($R180,Capa!$A:$AJ,BQ$5,0))))</f>
        <v/>
      </c>
      <c r="BR180" s="175"/>
      <c r="BS180" s="147"/>
    </row>
    <row r="181">
      <c r="G181" s="11"/>
      <c r="H181" s="8">
        <v>175.0</v>
      </c>
      <c r="I181" s="165" t="str">
        <f t="shared" si="6"/>
        <v>DESK3</v>
      </c>
      <c r="J181" s="166" t="str">
        <f>(VLOOKUP($I181,Capa!$A:$B,2,0))</f>
        <v>Desktop SA</v>
      </c>
      <c r="K181" s="167" t="str">
        <f>VLOOKUP(left(I181,4),Setor!A:D,3,0)&amp;" | "&amp;VLOOKUP(left(I181,4),Setor!A:D,4,0)</f>
        <v>#N/A</v>
      </c>
      <c r="L181" s="168">
        <f>(VLOOKUP($I181,Capa!$A:$F,6,0))</f>
        <v>15.76</v>
      </c>
      <c r="M181" s="168">
        <f t="shared" si="7"/>
        <v>31216178</v>
      </c>
      <c r="N181" s="11" t="str">
        <f>IFERROR(__xludf.DUMMYFUNCTION("(VLOOKUP($I181,Capa!$A:$H,7,0))"),"")</f>
        <v/>
      </c>
      <c r="O181" s="169">
        <f>(VLOOKUP($I181,Capa!$A:$H,8,0))</f>
        <v>-0.1425462459</v>
      </c>
      <c r="P181" s="11" t="str">
        <f>IFERROR(__xludf.DUMMYFUNCTION("(VLOOKUP($I181,Capa!$A:$J,10,0))"),"")</f>
        <v/>
      </c>
      <c r="Q181" s="169">
        <f>(VLOOKUP($I181,Capa!$A:$K,11,0))</f>
        <v>0.7019438445</v>
      </c>
      <c r="R181" s="45" t="str">
        <f>'Dados StatusInvest'!A176</f>
        <v>CPLE3</v>
      </c>
      <c r="S181" s="170">
        <f t="shared" si="8"/>
        <v>604.0604</v>
      </c>
      <c r="T181" s="171">
        <f>VLOOKUP(R181,'Dados StatusInvest'!A:Z,26,0)</f>
        <v>278000000</v>
      </c>
      <c r="U181" s="172">
        <f t="shared" ref="U181:AS181" si="183">IF(AT181="","", RANK(AT181,AT$7:AT$626,0)+RANK(AT181,AT$7:AT$626,0)/10000)</f>
        <v>348.0348</v>
      </c>
      <c r="V181" s="172">
        <f t="shared" si="183"/>
        <v>256.0256</v>
      </c>
      <c r="W181" s="172" t="str">
        <f t="shared" si="183"/>
        <v/>
      </c>
      <c r="X181" s="172" t="str">
        <f t="shared" si="183"/>
        <v/>
      </c>
      <c r="Y181" s="172" t="str">
        <f t="shared" si="183"/>
        <v/>
      </c>
      <c r="Z181" s="172" t="str">
        <f t="shared" si="183"/>
        <v/>
      </c>
      <c r="AA181" s="172" t="str">
        <f t="shared" si="183"/>
        <v/>
      </c>
      <c r="AB181" s="172" t="str">
        <f t="shared" si="183"/>
        <v/>
      </c>
      <c r="AC181" s="172" t="str">
        <f t="shared" si="183"/>
        <v/>
      </c>
      <c r="AD181" s="172" t="str">
        <f t="shared" si="183"/>
        <v/>
      </c>
      <c r="AE181" s="172" t="str">
        <f t="shared" si="183"/>
        <v/>
      </c>
      <c r="AF181" s="172" t="str">
        <f t="shared" si="183"/>
        <v/>
      </c>
      <c r="AG181" s="172" t="str">
        <f t="shared" si="183"/>
        <v/>
      </c>
      <c r="AH181" s="172" t="str">
        <f t="shared" si="183"/>
        <v/>
      </c>
      <c r="AI181" s="172" t="str">
        <f t="shared" si="183"/>
        <v/>
      </c>
      <c r="AJ181" s="172" t="str">
        <f t="shared" si="183"/>
        <v/>
      </c>
      <c r="AK181" s="172" t="str">
        <f t="shared" si="183"/>
        <v/>
      </c>
      <c r="AL181" s="172" t="str">
        <f t="shared" si="183"/>
        <v/>
      </c>
      <c r="AM181" s="172" t="str">
        <f t="shared" si="183"/>
        <v/>
      </c>
      <c r="AN181" s="172" t="str">
        <f t="shared" si="183"/>
        <v/>
      </c>
      <c r="AO181" s="172" t="str">
        <f t="shared" si="183"/>
        <v/>
      </c>
      <c r="AP181" s="172" t="str">
        <f t="shared" si="183"/>
        <v/>
      </c>
      <c r="AQ181" s="172" t="str">
        <f t="shared" si="183"/>
        <v/>
      </c>
      <c r="AR181" s="172" t="str">
        <f t="shared" si="183"/>
        <v/>
      </c>
      <c r="AS181" s="172" t="str">
        <f t="shared" si="183"/>
        <v/>
      </c>
      <c r="AT181" s="173">
        <f>IF(AT$6="","",IF(AT$3="Maior",iferror(VLOOKUP($R181,Capa!$A:$AJ,AT$5,0),0),IF(ISERROR(1/VLOOKUP($R181,Capa!$A:$AJ,AT$5,0)),0,1/VLOOKUP($R181,Capa!$A:$AJ,AT$5,0))))</f>
        <v>-0.9877841263</v>
      </c>
      <c r="AU181" s="174">
        <f>IF(AU$6="","",IF(AU$3="Maior",iferror(VLOOKUP($R181,Capa!$A:$AJ,AU$5,0),0),IF(ISERROR(1/VLOOKUP($R181,Capa!$A:$AJ,AU$5,0)),0,1/VLOOKUP($R181,Capa!$A:$AJ,AU$5,0))))</f>
        <v>2.1</v>
      </c>
      <c r="AV181" s="174" t="str">
        <f>IF(AV$6="","",IF(AV$3="Maior",iferror(VLOOKUP($R181,Capa!$A:$AJ,AV$5,0),0),IF(ISERROR(1/VLOOKUP($R181,Capa!$A:$AJ,AV$5,0)),0,1/VLOOKUP($R181,Capa!$A:$AJ,AV$5,0))))</f>
        <v/>
      </c>
      <c r="AW181" s="174" t="str">
        <f>IF(AW$6="","",IF(AW$3="Maior",iferror(VLOOKUP($R181,Capa!$A:$AJ,AW$5,0),0),IF(ISERROR(1/VLOOKUP($R181,Capa!$A:$AJ,AW$5,0)),0,1/VLOOKUP($R181,Capa!$A:$AJ,AW$5,0))))</f>
        <v/>
      </c>
      <c r="AX181" s="174" t="str">
        <f>IF(AX$6="","",IF(AX$3="Maior",iferror(VLOOKUP($R181,Capa!$A:$AJ,AX$5,0),0),IF(ISERROR(1/VLOOKUP($R181,Capa!$A:$AJ,AX$5,0)),0,1/VLOOKUP($R181,Capa!$A:$AJ,AX$5,0))))</f>
        <v/>
      </c>
      <c r="AY181" s="174" t="str">
        <f>IF(AY$6="","",IF(AY$3="Maior",iferror(VLOOKUP($R181,Capa!$A:$AJ,AY$5,0),0),IF(ISERROR(1/VLOOKUP($R181,Capa!$A:$AJ,AY$5,0)),0,1/VLOOKUP($R181,Capa!$A:$AJ,AY$5,0))))</f>
        <v/>
      </c>
      <c r="AZ181" s="174" t="str">
        <f>IF(AZ$6="","",IF(AZ$3="Maior",iferror(VLOOKUP($R181,Capa!$A:$AJ,AZ$5,0),0),IF(ISERROR(1/VLOOKUP($R181,Capa!$A:$AJ,AZ$5,0)),0,1/VLOOKUP($R181,Capa!$A:$AJ,AZ$5,0))))</f>
        <v/>
      </c>
      <c r="BA181" s="174" t="str">
        <f>IF(BA$6="","",IF(BA$3="Maior",iferror(VLOOKUP($R181,Capa!$A:$AJ,BA$5,0),0),IF(ISERROR(1/VLOOKUP($R181,Capa!$A:$AJ,BA$5,0)),0,1/VLOOKUP($R181,Capa!$A:$AJ,BA$5,0))))</f>
        <v/>
      </c>
      <c r="BB181" s="174" t="str">
        <f>IF(BB$6="","",IF(BB$3="Maior",iferror(VLOOKUP($R181,Capa!$A:$AJ,BB$5,0),0),IF(ISERROR(1/VLOOKUP($R181,Capa!$A:$AJ,BB$5,0)),0,1/VLOOKUP($R181,Capa!$A:$AJ,BB$5,0))))</f>
        <v/>
      </c>
      <c r="BC181" s="174" t="str">
        <f>IF(BC$6="","",IF(BC$3="Maior",iferror(VLOOKUP($R181,Capa!$A:$AJ,BC$5,0),0),IF(ISERROR(1/VLOOKUP($R181,Capa!$A:$AJ,BC$5,0)),0,1/VLOOKUP($R181,Capa!$A:$AJ,BC$5,0))))</f>
        <v/>
      </c>
      <c r="BD181" s="174" t="str">
        <f>IF(BD$6="","",IF(BD$3="Maior",iferror(VLOOKUP($R181,Capa!$A:$AJ,BD$5,0),0),IF(ISERROR(1/VLOOKUP($R181,Capa!$A:$AJ,BD$5,0)),0,1/VLOOKUP($R181,Capa!$A:$AJ,BD$5,0))))</f>
        <v/>
      </c>
      <c r="BE181" s="174" t="str">
        <f>IF(BE$6="","",IF(BE$3="Maior",iferror(VLOOKUP($R181,Capa!$A:$AJ,BE$5,0),0),IF(ISERROR(1/VLOOKUP($R181,Capa!$A:$AJ,BE$5,0)),0,1/VLOOKUP($R181,Capa!$A:$AJ,BE$5,0))))</f>
        <v/>
      </c>
      <c r="BF181" s="174" t="str">
        <f>IF(BF$6="","",IF(BF$3="Maior",iferror(VLOOKUP($R181,Capa!$A:$AJ,BF$5,0),0),IF(ISERROR(1/VLOOKUP($R181,Capa!$A:$AJ,BF$5,0)),0,1/VLOOKUP($R181,Capa!$A:$AJ,BF$5,0))))</f>
        <v/>
      </c>
      <c r="BG181" s="174" t="str">
        <f>IF(BG$6="","",IF(BG$3="Maior",iferror(VLOOKUP($R181,Capa!$A:$AJ,BG$5,0),0),IF(ISERROR(1/VLOOKUP($R181,Capa!$A:$AJ,BG$5,0)),0,1/VLOOKUP($R181,Capa!$A:$AJ,BG$5,0))))</f>
        <v/>
      </c>
      <c r="BH181" s="174" t="str">
        <f>IF(BH$6="","",IF(BH$3="Maior",iferror(VLOOKUP($R181,Capa!$A:$AJ,BH$5,0),0),IF(ISERROR(1/VLOOKUP($R181,Capa!$A:$AJ,BH$5,0)),0,1/VLOOKUP($R181,Capa!$A:$AJ,BH$5,0))))</f>
        <v/>
      </c>
      <c r="BI181" s="174" t="str">
        <f>IF(BI$6="","",IF(BI$3="Maior",iferror(VLOOKUP($R181,Capa!$A:$AJ,BI$5,0),0),IF(ISERROR(1/VLOOKUP($R181,Capa!$A:$AJ,BI$5,0)),0,1/VLOOKUP($R181,Capa!$A:$AJ,BI$5,0))))</f>
        <v/>
      </c>
      <c r="BJ181" s="174" t="str">
        <f>IF(BJ$6="","",IF(BJ$3="Maior",iferror(VLOOKUP($R181,Capa!$A:$AJ,BJ$5,0),0),IF(ISERROR(1/VLOOKUP($R181,Capa!$A:$AJ,BJ$5,0)),0,1/VLOOKUP($R181,Capa!$A:$AJ,BJ$5,0))))</f>
        <v/>
      </c>
      <c r="BK181" s="174" t="str">
        <f>IF(BK$6="","",IF(BK$3="Maior",iferror(VLOOKUP($R181,Capa!$A:$AJ,BK$5,0),0),IF(ISERROR(1/VLOOKUP($R181,Capa!$A:$AJ,BK$5,0)),0,1/VLOOKUP($R181,Capa!$A:$AJ,BK$5,0))))</f>
        <v/>
      </c>
      <c r="BL181" s="174" t="str">
        <f>IF(BL$6="","",IF(BL$3="Maior",iferror(VLOOKUP($R181,Capa!$A:$AJ,BL$5,0),0),IF(ISERROR(1/VLOOKUP($R181,Capa!$A:$AJ,BL$5,0)),0,1/VLOOKUP($R181,Capa!$A:$AJ,BL$5,0))))</f>
        <v/>
      </c>
      <c r="BM181" s="174" t="str">
        <f>IF(BM$6="","",IF(BM$3="Maior",iferror(VLOOKUP($R181,Capa!$A:$AJ,BM$5,0),0),IF(ISERROR(1/VLOOKUP($R181,Capa!$A:$AJ,BM$5,0)),0,1/VLOOKUP($R181,Capa!$A:$AJ,BM$5,0))))</f>
        <v/>
      </c>
      <c r="BN181" s="174" t="str">
        <f>IF(BN$6="","",IF(BN$3="Maior",iferror(VLOOKUP($R181,Capa!$A:$AJ,BN$5,0),0),IF(ISERROR(1/VLOOKUP($R181,Capa!$A:$AJ,BN$5,0)),0,1/VLOOKUP($R181,Capa!$A:$AJ,BN$5,0))))</f>
        <v/>
      </c>
      <c r="BO181" s="174" t="str">
        <f>IF(BO$6="","",IF(BO$3="Maior",iferror(VLOOKUP($R181,Capa!$A:$AJ,BO$5,0),0),IF(ISERROR(1/VLOOKUP($R181,Capa!$A:$AJ,BO$5,0)),0,1/VLOOKUP($R181,Capa!$A:$AJ,BO$5,0))))</f>
        <v/>
      </c>
      <c r="BP181" s="174" t="str">
        <f>IF(BP$6="","",IF(BP$3="Maior",iferror(VLOOKUP($R181,Capa!$A:$AJ,BP$5,0),0),IF(ISERROR(1/VLOOKUP($R181,Capa!$A:$AJ,BP$5,0)),0,1/VLOOKUP($R181,Capa!$A:$AJ,BP$5,0))))</f>
        <v/>
      </c>
      <c r="BQ181" s="174" t="str">
        <f>IF(BQ$6="","",IF(BQ$3="Maior",iferror(VLOOKUP($R181,Capa!$A:$AJ,BQ$5,0),0),IF(ISERROR(1/VLOOKUP($R181,Capa!$A:$AJ,BQ$5,0)),0,1/VLOOKUP($R181,Capa!$A:$AJ,BQ$5,0))))</f>
        <v/>
      </c>
      <c r="BR181" s="175"/>
      <c r="BS181" s="147"/>
    </row>
    <row r="182">
      <c r="G182" s="11"/>
      <c r="H182" s="8">
        <v>176.0</v>
      </c>
      <c r="I182" s="165" t="str">
        <f t="shared" si="6"/>
        <v>MLAS3</v>
      </c>
      <c r="J182" s="166" t="str">
        <f>(VLOOKUP($I182,Capa!$A:$B,2,0))</f>
        <v>Grupo Multi SA</v>
      </c>
      <c r="K182" s="167" t="str">
        <f>VLOOKUP(left(I182,4),Setor!A:D,3,0)&amp;" | "&amp;VLOOKUP(left(I182,4),Setor!A:D,4,0)</f>
        <v>#N/A</v>
      </c>
      <c r="L182" s="168">
        <f>(VLOOKUP($I182,Capa!$A:$F,6,0))</f>
        <v>1.34</v>
      </c>
      <c r="M182" s="168">
        <f t="shared" si="7"/>
        <v>1690425</v>
      </c>
      <c r="N182" s="11" t="str">
        <f>IFERROR(__xludf.DUMMYFUNCTION("(VLOOKUP($I182,Capa!$A:$H,7,0))"),"")</f>
        <v/>
      </c>
      <c r="O182" s="169">
        <f>(VLOOKUP($I182,Capa!$A:$H,8,0))</f>
        <v>-0.02898550725</v>
      </c>
      <c r="P182" s="11" t="str">
        <f>IFERROR(__xludf.DUMMYFUNCTION("(VLOOKUP($I182,Capa!$A:$J,10,0))"),"")</f>
        <v/>
      </c>
      <c r="Q182" s="169">
        <f>(VLOOKUP($I182,Capa!$A:$K,11,0))</f>
        <v>0.03875968992</v>
      </c>
      <c r="R182" s="45" t="str">
        <f>'Dados StatusInvest'!A177</f>
        <v>CPLE5</v>
      </c>
      <c r="S182" s="170">
        <f t="shared" si="8"/>
        <v>407.0407</v>
      </c>
      <c r="T182" s="171">
        <f>VLOOKUP(R182,'Dados StatusInvest'!A:Z,26,0)</f>
        <v>408000000</v>
      </c>
      <c r="U182" s="172">
        <f t="shared" ref="U182:AS182" si="184">IF(AT182="","", RANK(AT182,AT$7:AT$626,0)+RANK(AT182,AT$7:AT$626,0)/10000)</f>
        <v>151.0151</v>
      </c>
      <c r="V182" s="172">
        <f t="shared" si="184"/>
        <v>256.0256</v>
      </c>
      <c r="W182" s="172" t="str">
        <f t="shared" si="184"/>
        <v/>
      </c>
      <c r="X182" s="172" t="str">
        <f t="shared" si="184"/>
        <v/>
      </c>
      <c r="Y182" s="172" t="str">
        <f t="shared" si="184"/>
        <v/>
      </c>
      <c r="Z182" s="172" t="str">
        <f t="shared" si="184"/>
        <v/>
      </c>
      <c r="AA182" s="172" t="str">
        <f t="shared" si="184"/>
        <v/>
      </c>
      <c r="AB182" s="172" t="str">
        <f t="shared" si="184"/>
        <v/>
      </c>
      <c r="AC182" s="172" t="str">
        <f t="shared" si="184"/>
        <v/>
      </c>
      <c r="AD182" s="172" t="str">
        <f t="shared" si="184"/>
        <v/>
      </c>
      <c r="AE182" s="172" t="str">
        <f t="shared" si="184"/>
        <v/>
      </c>
      <c r="AF182" s="172" t="str">
        <f t="shared" si="184"/>
        <v/>
      </c>
      <c r="AG182" s="172" t="str">
        <f t="shared" si="184"/>
        <v/>
      </c>
      <c r="AH182" s="172" t="str">
        <f t="shared" si="184"/>
        <v/>
      </c>
      <c r="AI182" s="172" t="str">
        <f t="shared" si="184"/>
        <v/>
      </c>
      <c r="AJ182" s="172" t="str">
        <f t="shared" si="184"/>
        <v/>
      </c>
      <c r="AK182" s="172" t="str">
        <f t="shared" si="184"/>
        <v/>
      </c>
      <c r="AL182" s="172" t="str">
        <f t="shared" si="184"/>
        <v/>
      </c>
      <c r="AM182" s="172" t="str">
        <f t="shared" si="184"/>
        <v/>
      </c>
      <c r="AN182" s="172" t="str">
        <f t="shared" si="184"/>
        <v/>
      </c>
      <c r="AO182" s="172" t="str">
        <f t="shared" si="184"/>
        <v/>
      </c>
      <c r="AP182" s="172" t="str">
        <f t="shared" si="184"/>
        <v/>
      </c>
      <c r="AQ182" s="172" t="str">
        <f t="shared" si="184"/>
        <v/>
      </c>
      <c r="AR182" s="172" t="str">
        <f t="shared" si="184"/>
        <v/>
      </c>
      <c r="AS182" s="172" t="str">
        <f t="shared" si="184"/>
        <v/>
      </c>
      <c r="AT182" s="173">
        <f>IF(AT$6="","",IF(AT$3="Maior",iferror(VLOOKUP($R182,Capa!$A:$AJ,AT$5,0),0),IF(ISERROR(1/VLOOKUP($R182,Capa!$A:$AJ,AT$5,0)),0,1/VLOOKUP($R182,Capa!$A:$AJ,AT$5,0))))</f>
        <v>-0.09082652134</v>
      </c>
      <c r="AU182" s="174">
        <f>IF(AU$6="","",IF(AU$3="Maior",iferror(VLOOKUP($R182,Capa!$A:$AJ,AU$5,0),0),IF(ISERROR(1/VLOOKUP($R182,Capa!$A:$AJ,AU$5,0)),0,1/VLOOKUP($R182,Capa!$A:$AJ,AU$5,0))))</f>
        <v>2.1</v>
      </c>
      <c r="AV182" s="174" t="str">
        <f>IF(AV$6="","",IF(AV$3="Maior",iferror(VLOOKUP($R182,Capa!$A:$AJ,AV$5,0),0),IF(ISERROR(1/VLOOKUP($R182,Capa!$A:$AJ,AV$5,0)),0,1/VLOOKUP($R182,Capa!$A:$AJ,AV$5,0))))</f>
        <v/>
      </c>
      <c r="AW182" s="174" t="str">
        <f>IF(AW$6="","",IF(AW$3="Maior",iferror(VLOOKUP($R182,Capa!$A:$AJ,AW$5,0),0),IF(ISERROR(1/VLOOKUP($R182,Capa!$A:$AJ,AW$5,0)),0,1/VLOOKUP($R182,Capa!$A:$AJ,AW$5,0))))</f>
        <v/>
      </c>
      <c r="AX182" s="174" t="str">
        <f>IF(AX$6="","",IF(AX$3="Maior",iferror(VLOOKUP($R182,Capa!$A:$AJ,AX$5,0),0),IF(ISERROR(1/VLOOKUP($R182,Capa!$A:$AJ,AX$5,0)),0,1/VLOOKUP($R182,Capa!$A:$AJ,AX$5,0))))</f>
        <v/>
      </c>
      <c r="AY182" s="174" t="str">
        <f>IF(AY$6="","",IF(AY$3="Maior",iferror(VLOOKUP($R182,Capa!$A:$AJ,AY$5,0),0),IF(ISERROR(1/VLOOKUP($R182,Capa!$A:$AJ,AY$5,0)),0,1/VLOOKUP($R182,Capa!$A:$AJ,AY$5,0))))</f>
        <v/>
      </c>
      <c r="AZ182" s="174" t="str">
        <f>IF(AZ$6="","",IF(AZ$3="Maior",iferror(VLOOKUP($R182,Capa!$A:$AJ,AZ$5,0),0),IF(ISERROR(1/VLOOKUP($R182,Capa!$A:$AJ,AZ$5,0)),0,1/VLOOKUP($R182,Capa!$A:$AJ,AZ$5,0))))</f>
        <v/>
      </c>
      <c r="BA182" s="174" t="str">
        <f>IF(BA$6="","",IF(BA$3="Maior",iferror(VLOOKUP($R182,Capa!$A:$AJ,BA$5,0),0),IF(ISERROR(1/VLOOKUP($R182,Capa!$A:$AJ,BA$5,0)),0,1/VLOOKUP($R182,Capa!$A:$AJ,BA$5,0))))</f>
        <v/>
      </c>
      <c r="BB182" s="174" t="str">
        <f>IF(BB$6="","",IF(BB$3="Maior",iferror(VLOOKUP($R182,Capa!$A:$AJ,BB$5,0),0),IF(ISERROR(1/VLOOKUP($R182,Capa!$A:$AJ,BB$5,0)),0,1/VLOOKUP($R182,Capa!$A:$AJ,BB$5,0))))</f>
        <v/>
      </c>
      <c r="BC182" s="174" t="str">
        <f>IF(BC$6="","",IF(BC$3="Maior",iferror(VLOOKUP($R182,Capa!$A:$AJ,BC$5,0),0),IF(ISERROR(1/VLOOKUP($R182,Capa!$A:$AJ,BC$5,0)),0,1/VLOOKUP($R182,Capa!$A:$AJ,BC$5,0))))</f>
        <v/>
      </c>
      <c r="BD182" s="174" t="str">
        <f>IF(BD$6="","",IF(BD$3="Maior",iferror(VLOOKUP($R182,Capa!$A:$AJ,BD$5,0),0),IF(ISERROR(1/VLOOKUP($R182,Capa!$A:$AJ,BD$5,0)),0,1/VLOOKUP($R182,Capa!$A:$AJ,BD$5,0))))</f>
        <v/>
      </c>
      <c r="BE182" s="174" t="str">
        <f>IF(BE$6="","",IF(BE$3="Maior",iferror(VLOOKUP($R182,Capa!$A:$AJ,BE$5,0),0),IF(ISERROR(1/VLOOKUP($R182,Capa!$A:$AJ,BE$5,0)),0,1/VLOOKUP($R182,Capa!$A:$AJ,BE$5,0))))</f>
        <v/>
      </c>
      <c r="BF182" s="174" t="str">
        <f>IF(BF$6="","",IF(BF$3="Maior",iferror(VLOOKUP($R182,Capa!$A:$AJ,BF$5,0),0),IF(ISERROR(1/VLOOKUP($R182,Capa!$A:$AJ,BF$5,0)),0,1/VLOOKUP($R182,Capa!$A:$AJ,BF$5,0))))</f>
        <v/>
      </c>
      <c r="BG182" s="174" t="str">
        <f>IF(BG$6="","",IF(BG$3="Maior",iferror(VLOOKUP($R182,Capa!$A:$AJ,BG$5,0),0),IF(ISERROR(1/VLOOKUP($R182,Capa!$A:$AJ,BG$5,0)),0,1/VLOOKUP($R182,Capa!$A:$AJ,BG$5,0))))</f>
        <v/>
      </c>
      <c r="BH182" s="174" t="str">
        <f>IF(BH$6="","",IF(BH$3="Maior",iferror(VLOOKUP($R182,Capa!$A:$AJ,BH$5,0),0),IF(ISERROR(1/VLOOKUP($R182,Capa!$A:$AJ,BH$5,0)),0,1/VLOOKUP($R182,Capa!$A:$AJ,BH$5,0))))</f>
        <v/>
      </c>
      <c r="BI182" s="174" t="str">
        <f>IF(BI$6="","",IF(BI$3="Maior",iferror(VLOOKUP($R182,Capa!$A:$AJ,BI$5,0),0),IF(ISERROR(1/VLOOKUP($R182,Capa!$A:$AJ,BI$5,0)),0,1/VLOOKUP($R182,Capa!$A:$AJ,BI$5,0))))</f>
        <v/>
      </c>
      <c r="BJ182" s="174" t="str">
        <f>IF(BJ$6="","",IF(BJ$3="Maior",iferror(VLOOKUP($R182,Capa!$A:$AJ,BJ$5,0),0),IF(ISERROR(1/VLOOKUP($R182,Capa!$A:$AJ,BJ$5,0)),0,1/VLOOKUP($R182,Capa!$A:$AJ,BJ$5,0))))</f>
        <v/>
      </c>
      <c r="BK182" s="174" t="str">
        <f>IF(BK$6="","",IF(BK$3="Maior",iferror(VLOOKUP($R182,Capa!$A:$AJ,BK$5,0),0),IF(ISERROR(1/VLOOKUP($R182,Capa!$A:$AJ,BK$5,0)),0,1/VLOOKUP($R182,Capa!$A:$AJ,BK$5,0))))</f>
        <v/>
      </c>
      <c r="BL182" s="174" t="str">
        <f>IF(BL$6="","",IF(BL$3="Maior",iferror(VLOOKUP($R182,Capa!$A:$AJ,BL$5,0),0),IF(ISERROR(1/VLOOKUP($R182,Capa!$A:$AJ,BL$5,0)),0,1/VLOOKUP($R182,Capa!$A:$AJ,BL$5,0))))</f>
        <v/>
      </c>
      <c r="BM182" s="174" t="str">
        <f>IF(BM$6="","",IF(BM$3="Maior",iferror(VLOOKUP($R182,Capa!$A:$AJ,BM$5,0),0),IF(ISERROR(1/VLOOKUP($R182,Capa!$A:$AJ,BM$5,0)),0,1/VLOOKUP($R182,Capa!$A:$AJ,BM$5,0))))</f>
        <v/>
      </c>
      <c r="BN182" s="174" t="str">
        <f>IF(BN$6="","",IF(BN$3="Maior",iferror(VLOOKUP($R182,Capa!$A:$AJ,BN$5,0),0),IF(ISERROR(1/VLOOKUP($R182,Capa!$A:$AJ,BN$5,0)),0,1/VLOOKUP($R182,Capa!$A:$AJ,BN$5,0))))</f>
        <v/>
      </c>
      <c r="BO182" s="174" t="str">
        <f>IF(BO$6="","",IF(BO$3="Maior",iferror(VLOOKUP($R182,Capa!$A:$AJ,BO$5,0),0),IF(ISERROR(1/VLOOKUP($R182,Capa!$A:$AJ,BO$5,0)),0,1/VLOOKUP($R182,Capa!$A:$AJ,BO$5,0))))</f>
        <v/>
      </c>
      <c r="BP182" s="174" t="str">
        <f>IF(BP$6="","",IF(BP$3="Maior",iferror(VLOOKUP($R182,Capa!$A:$AJ,BP$5,0),0),IF(ISERROR(1/VLOOKUP($R182,Capa!$A:$AJ,BP$5,0)),0,1/VLOOKUP($R182,Capa!$A:$AJ,BP$5,0))))</f>
        <v/>
      </c>
      <c r="BQ182" s="174" t="str">
        <f>IF(BQ$6="","",IF(BQ$3="Maior",iferror(VLOOKUP($R182,Capa!$A:$AJ,BQ$5,0),0),IF(ISERROR(1/VLOOKUP($R182,Capa!$A:$AJ,BQ$5,0)),0,1/VLOOKUP($R182,Capa!$A:$AJ,BQ$5,0))))</f>
        <v/>
      </c>
      <c r="BR182" s="175"/>
      <c r="BS182" s="147"/>
    </row>
    <row r="183">
      <c r="G183" s="11"/>
      <c r="H183" s="8">
        <v>177.0</v>
      </c>
      <c r="I183" s="165" t="str">
        <f t="shared" si="6"/>
        <v>ALUP11</v>
      </c>
      <c r="J183" s="166" t="str">
        <f>(VLOOKUP($I183,Capa!$A:$B,2,0))</f>
        <v>Alupar Investimento SA Unit</v>
      </c>
      <c r="K183" s="167" t="str">
        <f>VLOOKUP(left(I183,4),Setor!A:D,3,0)&amp;" | "&amp;VLOOKUP(left(I183,4),Setor!A:D,4,0)</f>
        <v>Utilidade Pública | Energia Elétrica</v>
      </c>
      <c r="L183" s="168">
        <f>(VLOOKUP($I183,Capa!$A:$F,6,0))</f>
        <v>35.92</v>
      </c>
      <c r="M183" s="168">
        <f t="shared" si="7"/>
        <v>32185667</v>
      </c>
      <c r="N183" s="11" t="str">
        <f>IFERROR(__xludf.DUMMYFUNCTION("(VLOOKUP($I183,Capa!$A:$H,7,0))"),"")</f>
        <v/>
      </c>
      <c r="O183" s="169">
        <f>(VLOOKUP($I183,Capa!$A:$H,8,0))</f>
        <v>0.05958702065</v>
      </c>
      <c r="P183" s="11" t="str">
        <f>IFERROR(__xludf.DUMMYFUNCTION("(VLOOKUP($I183,Capa!$A:$J,10,0))"),"")</f>
        <v/>
      </c>
      <c r="Q183" s="169">
        <f>(VLOOKUP($I183,Capa!$A:$K,11,0))</f>
        <v>0.3171983865</v>
      </c>
      <c r="R183" s="45" t="str">
        <f>'Dados StatusInvest'!A178</f>
        <v>CPLE6</v>
      </c>
      <c r="S183" s="170">
        <f t="shared" si="8"/>
        <v>404.0404</v>
      </c>
      <c r="T183" s="171">
        <f>VLOOKUP(R183,'Dados StatusInvest'!A:Z,26,0)</f>
        <v>121000000</v>
      </c>
      <c r="U183" s="172">
        <f t="shared" ref="U183:AS183" si="185">IF(AT183="","", RANK(AT183,AT$7:AT$626,0)+RANK(AT183,AT$7:AT$626,0)/10000)</f>
        <v>148.0148</v>
      </c>
      <c r="V183" s="172">
        <f t="shared" si="185"/>
        <v>256.0256</v>
      </c>
      <c r="W183" s="172" t="str">
        <f t="shared" si="185"/>
        <v/>
      </c>
      <c r="X183" s="172" t="str">
        <f t="shared" si="185"/>
        <v/>
      </c>
      <c r="Y183" s="172" t="str">
        <f t="shared" si="185"/>
        <v/>
      </c>
      <c r="Z183" s="172" t="str">
        <f t="shared" si="185"/>
        <v/>
      </c>
      <c r="AA183" s="172" t="str">
        <f t="shared" si="185"/>
        <v/>
      </c>
      <c r="AB183" s="172" t="str">
        <f t="shared" si="185"/>
        <v/>
      </c>
      <c r="AC183" s="172" t="str">
        <f t="shared" si="185"/>
        <v/>
      </c>
      <c r="AD183" s="172" t="str">
        <f t="shared" si="185"/>
        <v/>
      </c>
      <c r="AE183" s="172" t="str">
        <f t="shared" si="185"/>
        <v/>
      </c>
      <c r="AF183" s="172" t="str">
        <f t="shared" si="185"/>
        <v/>
      </c>
      <c r="AG183" s="172" t="str">
        <f t="shared" si="185"/>
        <v/>
      </c>
      <c r="AH183" s="172" t="str">
        <f t="shared" si="185"/>
        <v/>
      </c>
      <c r="AI183" s="172" t="str">
        <f t="shared" si="185"/>
        <v/>
      </c>
      <c r="AJ183" s="172" t="str">
        <f t="shared" si="185"/>
        <v/>
      </c>
      <c r="AK183" s="172" t="str">
        <f t="shared" si="185"/>
        <v/>
      </c>
      <c r="AL183" s="172" t="str">
        <f t="shared" si="185"/>
        <v/>
      </c>
      <c r="AM183" s="172" t="str">
        <f t="shared" si="185"/>
        <v/>
      </c>
      <c r="AN183" s="172" t="str">
        <f t="shared" si="185"/>
        <v/>
      </c>
      <c r="AO183" s="172" t="str">
        <f t="shared" si="185"/>
        <v/>
      </c>
      <c r="AP183" s="172" t="str">
        <f t="shared" si="185"/>
        <v/>
      </c>
      <c r="AQ183" s="172" t="str">
        <f t="shared" si="185"/>
        <v/>
      </c>
      <c r="AR183" s="172" t="str">
        <f t="shared" si="185"/>
        <v/>
      </c>
      <c r="AS183" s="172" t="str">
        <f t="shared" si="185"/>
        <v/>
      </c>
      <c r="AT183" s="173">
        <f>IF(AT$6="","",IF(AT$3="Maior",iferror(VLOOKUP($R183,Capa!$A:$AJ,AT$5,0),0),IF(ISERROR(1/VLOOKUP($R183,Capa!$A:$AJ,AT$5,0)),0,1/VLOOKUP($R183,Capa!$A:$AJ,AT$5,0))))</f>
        <v>-0.08673026886</v>
      </c>
      <c r="AU183" s="174">
        <f>IF(AU$6="","",IF(AU$3="Maior",iferror(VLOOKUP($R183,Capa!$A:$AJ,AU$5,0),0),IF(ISERROR(1/VLOOKUP($R183,Capa!$A:$AJ,AU$5,0)),0,1/VLOOKUP($R183,Capa!$A:$AJ,AU$5,0))))</f>
        <v>2.1</v>
      </c>
      <c r="AV183" s="174" t="str">
        <f>IF(AV$6="","",IF(AV$3="Maior",iferror(VLOOKUP($R183,Capa!$A:$AJ,AV$5,0),0),IF(ISERROR(1/VLOOKUP($R183,Capa!$A:$AJ,AV$5,0)),0,1/VLOOKUP($R183,Capa!$A:$AJ,AV$5,0))))</f>
        <v/>
      </c>
      <c r="AW183" s="174" t="str">
        <f>IF(AW$6="","",IF(AW$3="Maior",iferror(VLOOKUP($R183,Capa!$A:$AJ,AW$5,0),0),IF(ISERROR(1/VLOOKUP($R183,Capa!$A:$AJ,AW$5,0)),0,1/VLOOKUP($R183,Capa!$A:$AJ,AW$5,0))))</f>
        <v/>
      </c>
      <c r="AX183" s="174" t="str">
        <f>IF(AX$6="","",IF(AX$3="Maior",iferror(VLOOKUP($R183,Capa!$A:$AJ,AX$5,0),0),IF(ISERROR(1/VLOOKUP($R183,Capa!$A:$AJ,AX$5,0)),0,1/VLOOKUP($R183,Capa!$A:$AJ,AX$5,0))))</f>
        <v/>
      </c>
      <c r="AY183" s="174" t="str">
        <f>IF(AY$6="","",IF(AY$3="Maior",iferror(VLOOKUP($R183,Capa!$A:$AJ,AY$5,0),0),IF(ISERROR(1/VLOOKUP($R183,Capa!$A:$AJ,AY$5,0)),0,1/VLOOKUP($R183,Capa!$A:$AJ,AY$5,0))))</f>
        <v/>
      </c>
      <c r="AZ183" s="174" t="str">
        <f>IF(AZ$6="","",IF(AZ$3="Maior",iferror(VLOOKUP($R183,Capa!$A:$AJ,AZ$5,0),0),IF(ISERROR(1/VLOOKUP($R183,Capa!$A:$AJ,AZ$5,0)),0,1/VLOOKUP($R183,Capa!$A:$AJ,AZ$5,0))))</f>
        <v/>
      </c>
      <c r="BA183" s="174" t="str">
        <f>IF(BA$6="","",IF(BA$3="Maior",iferror(VLOOKUP($R183,Capa!$A:$AJ,BA$5,0),0),IF(ISERROR(1/VLOOKUP($R183,Capa!$A:$AJ,BA$5,0)),0,1/VLOOKUP($R183,Capa!$A:$AJ,BA$5,0))))</f>
        <v/>
      </c>
      <c r="BB183" s="174" t="str">
        <f>IF(BB$6="","",IF(BB$3="Maior",iferror(VLOOKUP($R183,Capa!$A:$AJ,BB$5,0),0),IF(ISERROR(1/VLOOKUP($R183,Capa!$A:$AJ,BB$5,0)),0,1/VLOOKUP($R183,Capa!$A:$AJ,BB$5,0))))</f>
        <v/>
      </c>
      <c r="BC183" s="174" t="str">
        <f>IF(BC$6="","",IF(BC$3="Maior",iferror(VLOOKUP($R183,Capa!$A:$AJ,BC$5,0),0),IF(ISERROR(1/VLOOKUP($R183,Capa!$A:$AJ,BC$5,0)),0,1/VLOOKUP($R183,Capa!$A:$AJ,BC$5,0))))</f>
        <v/>
      </c>
      <c r="BD183" s="174" t="str">
        <f>IF(BD$6="","",IF(BD$3="Maior",iferror(VLOOKUP($R183,Capa!$A:$AJ,BD$5,0),0),IF(ISERROR(1/VLOOKUP($R183,Capa!$A:$AJ,BD$5,0)),0,1/VLOOKUP($R183,Capa!$A:$AJ,BD$5,0))))</f>
        <v/>
      </c>
      <c r="BE183" s="174" t="str">
        <f>IF(BE$6="","",IF(BE$3="Maior",iferror(VLOOKUP($R183,Capa!$A:$AJ,BE$5,0),0),IF(ISERROR(1/VLOOKUP($R183,Capa!$A:$AJ,BE$5,0)),0,1/VLOOKUP($R183,Capa!$A:$AJ,BE$5,0))))</f>
        <v/>
      </c>
      <c r="BF183" s="174" t="str">
        <f>IF(BF$6="","",IF(BF$3="Maior",iferror(VLOOKUP($R183,Capa!$A:$AJ,BF$5,0),0),IF(ISERROR(1/VLOOKUP($R183,Capa!$A:$AJ,BF$5,0)),0,1/VLOOKUP($R183,Capa!$A:$AJ,BF$5,0))))</f>
        <v/>
      </c>
      <c r="BG183" s="174" t="str">
        <f>IF(BG$6="","",IF(BG$3="Maior",iferror(VLOOKUP($R183,Capa!$A:$AJ,BG$5,0),0),IF(ISERROR(1/VLOOKUP($R183,Capa!$A:$AJ,BG$5,0)),0,1/VLOOKUP($R183,Capa!$A:$AJ,BG$5,0))))</f>
        <v/>
      </c>
      <c r="BH183" s="174" t="str">
        <f>IF(BH$6="","",IF(BH$3="Maior",iferror(VLOOKUP($R183,Capa!$A:$AJ,BH$5,0),0),IF(ISERROR(1/VLOOKUP($R183,Capa!$A:$AJ,BH$5,0)),0,1/VLOOKUP($R183,Capa!$A:$AJ,BH$5,0))))</f>
        <v/>
      </c>
      <c r="BI183" s="174" t="str">
        <f>IF(BI$6="","",IF(BI$3="Maior",iferror(VLOOKUP($R183,Capa!$A:$AJ,BI$5,0),0),IF(ISERROR(1/VLOOKUP($R183,Capa!$A:$AJ,BI$5,0)),0,1/VLOOKUP($R183,Capa!$A:$AJ,BI$5,0))))</f>
        <v/>
      </c>
      <c r="BJ183" s="174" t="str">
        <f>IF(BJ$6="","",IF(BJ$3="Maior",iferror(VLOOKUP($R183,Capa!$A:$AJ,BJ$5,0),0),IF(ISERROR(1/VLOOKUP($R183,Capa!$A:$AJ,BJ$5,0)),0,1/VLOOKUP($R183,Capa!$A:$AJ,BJ$5,0))))</f>
        <v/>
      </c>
      <c r="BK183" s="174" t="str">
        <f>IF(BK$6="","",IF(BK$3="Maior",iferror(VLOOKUP($R183,Capa!$A:$AJ,BK$5,0),0),IF(ISERROR(1/VLOOKUP($R183,Capa!$A:$AJ,BK$5,0)),0,1/VLOOKUP($R183,Capa!$A:$AJ,BK$5,0))))</f>
        <v/>
      </c>
      <c r="BL183" s="174" t="str">
        <f>IF(BL$6="","",IF(BL$3="Maior",iferror(VLOOKUP($R183,Capa!$A:$AJ,BL$5,0),0),IF(ISERROR(1/VLOOKUP($R183,Capa!$A:$AJ,BL$5,0)),0,1/VLOOKUP($R183,Capa!$A:$AJ,BL$5,0))))</f>
        <v/>
      </c>
      <c r="BM183" s="174" t="str">
        <f>IF(BM$6="","",IF(BM$3="Maior",iferror(VLOOKUP($R183,Capa!$A:$AJ,BM$5,0),0),IF(ISERROR(1/VLOOKUP($R183,Capa!$A:$AJ,BM$5,0)),0,1/VLOOKUP($R183,Capa!$A:$AJ,BM$5,0))))</f>
        <v/>
      </c>
      <c r="BN183" s="174" t="str">
        <f>IF(BN$6="","",IF(BN$3="Maior",iferror(VLOOKUP($R183,Capa!$A:$AJ,BN$5,0),0),IF(ISERROR(1/VLOOKUP($R183,Capa!$A:$AJ,BN$5,0)),0,1/VLOOKUP($R183,Capa!$A:$AJ,BN$5,0))))</f>
        <v/>
      </c>
      <c r="BO183" s="174" t="str">
        <f>IF(BO$6="","",IF(BO$3="Maior",iferror(VLOOKUP($R183,Capa!$A:$AJ,BO$5,0),0),IF(ISERROR(1/VLOOKUP($R183,Capa!$A:$AJ,BO$5,0)),0,1/VLOOKUP($R183,Capa!$A:$AJ,BO$5,0))))</f>
        <v/>
      </c>
      <c r="BP183" s="174" t="str">
        <f>IF(BP$6="","",IF(BP$3="Maior",iferror(VLOOKUP($R183,Capa!$A:$AJ,BP$5,0),0),IF(ISERROR(1/VLOOKUP($R183,Capa!$A:$AJ,BP$5,0)),0,1/VLOOKUP($R183,Capa!$A:$AJ,BP$5,0))))</f>
        <v/>
      </c>
      <c r="BQ183" s="174" t="str">
        <f>IF(BQ$6="","",IF(BQ$3="Maior",iferror(VLOOKUP($R183,Capa!$A:$AJ,BQ$5,0),0),IF(ISERROR(1/VLOOKUP($R183,Capa!$A:$AJ,BQ$5,0)),0,1/VLOOKUP($R183,Capa!$A:$AJ,BQ$5,0))))</f>
        <v/>
      </c>
      <c r="BR183" s="175"/>
      <c r="BS183" s="147"/>
    </row>
    <row r="184">
      <c r="G184" s="11"/>
      <c r="H184" s="8">
        <v>178.0</v>
      </c>
      <c r="I184" s="165" t="str">
        <f t="shared" si="6"/>
        <v>ITUB4</v>
      </c>
      <c r="J184" s="166" t="str">
        <f>(VLOOKUP($I184,Capa!$A:$B,2,0))</f>
        <v>Itau Unibanco Holding SA Preference Shares</v>
      </c>
      <c r="K184" s="167" t="str">
        <f>VLOOKUP(left(I184,4),Setor!A:D,3,0)&amp;" | "&amp;VLOOKUP(left(I184,4),Setor!A:D,4,0)</f>
        <v>Financeiro | Intermediários Financeiros</v>
      </c>
      <c r="L184" s="168">
        <f>(VLOOKUP($I184,Capa!$A:$F,6,0))</f>
        <v>48.22</v>
      </c>
      <c r="M184" s="168">
        <f t="shared" si="7"/>
        <v>1650000000</v>
      </c>
      <c r="N184" s="11" t="str">
        <f>IFERROR(__xludf.DUMMYFUNCTION("(VLOOKUP($I184,Capa!$A:$H,7,0))"),"")</f>
        <v/>
      </c>
      <c r="O184" s="169">
        <f>(VLOOKUP($I184,Capa!$A:$H,8,0))</f>
        <v>0.157187425</v>
      </c>
      <c r="P184" s="11" t="str">
        <f>IFERROR(__xludf.DUMMYFUNCTION("(VLOOKUP($I184,Capa!$A:$J,10,0))"),"")</f>
        <v/>
      </c>
      <c r="Q184" s="169">
        <f>(VLOOKUP($I184,Capa!$A:$K,11,0))</f>
        <v>0.6656303972</v>
      </c>
      <c r="R184" s="45" t="str">
        <f>'Dados StatusInvest'!A179</f>
        <v>CPRE3</v>
      </c>
      <c r="S184" s="170">
        <f t="shared" si="8"/>
        <v>1122.0122</v>
      </c>
      <c r="T184" s="171">
        <f>VLOOKUP(R184,'Dados StatusInvest'!A:Z,26,0)</f>
        <v>0</v>
      </c>
      <c r="U184" s="172">
        <f t="shared" ref="U184:AS184" si="186">IF(AT184="","", RANK(AT184,AT$7:AT$626,0)+RANK(AT184,AT$7:AT$626,0)/10000)</f>
        <v>108.0108</v>
      </c>
      <c r="V184" s="172">
        <f t="shared" si="186"/>
        <v>14.0014</v>
      </c>
      <c r="W184" s="172" t="str">
        <f t="shared" si="186"/>
        <v/>
      </c>
      <c r="X184" s="172" t="str">
        <f t="shared" si="186"/>
        <v/>
      </c>
      <c r="Y184" s="172" t="str">
        <f t="shared" si="186"/>
        <v/>
      </c>
      <c r="Z184" s="172" t="str">
        <f t="shared" si="186"/>
        <v/>
      </c>
      <c r="AA184" s="172" t="str">
        <f t="shared" si="186"/>
        <v/>
      </c>
      <c r="AB184" s="172" t="str">
        <f t="shared" si="186"/>
        <v/>
      </c>
      <c r="AC184" s="172" t="str">
        <f t="shared" si="186"/>
        <v/>
      </c>
      <c r="AD184" s="172" t="str">
        <f t="shared" si="186"/>
        <v/>
      </c>
      <c r="AE184" s="172" t="str">
        <f t="shared" si="186"/>
        <v/>
      </c>
      <c r="AF184" s="172" t="str">
        <f t="shared" si="186"/>
        <v/>
      </c>
      <c r="AG184" s="172" t="str">
        <f t="shared" si="186"/>
        <v/>
      </c>
      <c r="AH184" s="172" t="str">
        <f t="shared" si="186"/>
        <v/>
      </c>
      <c r="AI184" s="172" t="str">
        <f t="shared" si="186"/>
        <v/>
      </c>
      <c r="AJ184" s="172" t="str">
        <f t="shared" si="186"/>
        <v/>
      </c>
      <c r="AK184" s="172" t="str">
        <f t="shared" si="186"/>
        <v/>
      </c>
      <c r="AL184" s="172" t="str">
        <f t="shared" si="186"/>
        <v/>
      </c>
      <c r="AM184" s="172" t="str">
        <f t="shared" si="186"/>
        <v/>
      </c>
      <c r="AN184" s="172" t="str">
        <f t="shared" si="186"/>
        <v/>
      </c>
      <c r="AO184" s="172" t="str">
        <f t="shared" si="186"/>
        <v/>
      </c>
      <c r="AP184" s="172" t="str">
        <f t="shared" si="186"/>
        <v/>
      </c>
      <c r="AQ184" s="172" t="str">
        <f t="shared" si="186"/>
        <v/>
      </c>
      <c r="AR184" s="172" t="str">
        <f t="shared" si="186"/>
        <v/>
      </c>
      <c r="AS184" s="172" t="str">
        <f t="shared" si="186"/>
        <v/>
      </c>
      <c r="AT184" s="173">
        <f>IF(AT$6="","",IF(AT$3="Maior",iferror(VLOOKUP($R184,Capa!$A:$AJ,AT$5,0),0),IF(ISERROR(1/VLOOKUP($R184,Capa!$A:$AJ,AT$5,0)),0,1/VLOOKUP($R184,Capa!$A:$AJ,AT$5,0))))</f>
        <v>-0.0002512026326</v>
      </c>
      <c r="AU184" s="174">
        <f>IF(AU$6="","",IF(AU$3="Maior",iferror(VLOOKUP($R184,Capa!$A:$AJ,AU$5,0),0),IF(ISERROR(1/VLOOKUP($R184,Capa!$A:$AJ,AU$5,0)),0,1/VLOOKUP($R184,Capa!$A:$AJ,AU$5,0))))</f>
        <v>61.47</v>
      </c>
      <c r="AV184" s="174" t="str">
        <f>IF(AV$6="","",IF(AV$3="Maior",iferror(VLOOKUP($R184,Capa!$A:$AJ,AV$5,0),0),IF(ISERROR(1/VLOOKUP($R184,Capa!$A:$AJ,AV$5,0)),0,1/VLOOKUP($R184,Capa!$A:$AJ,AV$5,0))))</f>
        <v/>
      </c>
      <c r="AW184" s="174" t="str">
        <f>IF(AW$6="","",IF(AW$3="Maior",iferror(VLOOKUP($R184,Capa!$A:$AJ,AW$5,0),0),IF(ISERROR(1/VLOOKUP($R184,Capa!$A:$AJ,AW$5,0)),0,1/VLOOKUP($R184,Capa!$A:$AJ,AW$5,0))))</f>
        <v/>
      </c>
      <c r="AX184" s="174" t="str">
        <f>IF(AX$6="","",IF(AX$3="Maior",iferror(VLOOKUP($R184,Capa!$A:$AJ,AX$5,0),0),IF(ISERROR(1/VLOOKUP($R184,Capa!$A:$AJ,AX$5,0)),0,1/VLOOKUP($R184,Capa!$A:$AJ,AX$5,0))))</f>
        <v/>
      </c>
      <c r="AY184" s="174" t="str">
        <f>IF(AY$6="","",IF(AY$3="Maior",iferror(VLOOKUP($R184,Capa!$A:$AJ,AY$5,0),0),IF(ISERROR(1/VLOOKUP($R184,Capa!$A:$AJ,AY$5,0)),0,1/VLOOKUP($R184,Capa!$A:$AJ,AY$5,0))))</f>
        <v/>
      </c>
      <c r="AZ184" s="174" t="str">
        <f>IF(AZ$6="","",IF(AZ$3="Maior",iferror(VLOOKUP($R184,Capa!$A:$AJ,AZ$5,0),0),IF(ISERROR(1/VLOOKUP($R184,Capa!$A:$AJ,AZ$5,0)),0,1/VLOOKUP($R184,Capa!$A:$AJ,AZ$5,0))))</f>
        <v/>
      </c>
      <c r="BA184" s="174" t="str">
        <f>IF(BA$6="","",IF(BA$3="Maior",iferror(VLOOKUP($R184,Capa!$A:$AJ,BA$5,0),0),IF(ISERROR(1/VLOOKUP($R184,Capa!$A:$AJ,BA$5,0)),0,1/VLOOKUP($R184,Capa!$A:$AJ,BA$5,0))))</f>
        <v/>
      </c>
      <c r="BB184" s="174" t="str">
        <f>IF(BB$6="","",IF(BB$3="Maior",iferror(VLOOKUP($R184,Capa!$A:$AJ,BB$5,0),0),IF(ISERROR(1/VLOOKUP($R184,Capa!$A:$AJ,BB$5,0)),0,1/VLOOKUP($R184,Capa!$A:$AJ,BB$5,0))))</f>
        <v/>
      </c>
      <c r="BC184" s="174" t="str">
        <f>IF(BC$6="","",IF(BC$3="Maior",iferror(VLOOKUP($R184,Capa!$A:$AJ,BC$5,0),0),IF(ISERROR(1/VLOOKUP($R184,Capa!$A:$AJ,BC$5,0)),0,1/VLOOKUP($R184,Capa!$A:$AJ,BC$5,0))))</f>
        <v/>
      </c>
      <c r="BD184" s="174" t="str">
        <f>IF(BD$6="","",IF(BD$3="Maior",iferror(VLOOKUP($R184,Capa!$A:$AJ,BD$5,0),0),IF(ISERROR(1/VLOOKUP($R184,Capa!$A:$AJ,BD$5,0)),0,1/VLOOKUP($R184,Capa!$A:$AJ,BD$5,0))))</f>
        <v/>
      </c>
      <c r="BE184" s="174" t="str">
        <f>IF(BE$6="","",IF(BE$3="Maior",iferror(VLOOKUP($R184,Capa!$A:$AJ,BE$5,0),0),IF(ISERROR(1/VLOOKUP($R184,Capa!$A:$AJ,BE$5,0)),0,1/VLOOKUP($R184,Capa!$A:$AJ,BE$5,0))))</f>
        <v/>
      </c>
      <c r="BF184" s="174" t="str">
        <f>IF(BF$6="","",IF(BF$3="Maior",iferror(VLOOKUP($R184,Capa!$A:$AJ,BF$5,0),0),IF(ISERROR(1/VLOOKUP($R184,Capa!$A:$AJ,BF$5,0)),0,1/VLOOKUP($R184,Capa!$A:$AJ,BF$5,0))))</f>
        <v/>
      </c>
      <c r="BG184" s="174" t="str">
        <f>IF(BG$6="","",IF(BG$3="Maior",iferror(VLOOKUP($R184,Capa!$A:$AJ,BG$5,0),0),IF(ISERROR(1/VLOOKUP($R184,Capa!$A:$AJ,BG$5,0)),0,1/VLOOKUP($R184,Capa!$A:$AJ,BG$5,0))))</f>
        <v/>
      </c>
      <c r="BH184" s="174" t="str">
        <f>IF(BH$6="","",IF(BH$3="Maior",iferror(VLOOKUP($R184,Capa!$A:$AJ,BH$5,0),0),IF(ISERROR(1/VLOOKUP($R184,Capa!$A:$AJ,BH$5,0)),0,1/VLOOKUP($R184,Capa!$A:$AJ,BH$5,0))))</f>
        <v/>
      </c>
      <c r="BI184" s="174" t="str">
        <f>IF(BI$6="","",IF(BI$3="Maior",iferror(VLOOKUP($R184,Capa!$A:$AJ,BI$5,0),0),IF(ISERROR(1/VLOOKUP($R184,Capa!$A:$AJ,BI$5,0)),0,1/VLOOKUP($R184,Capa!$A:$AJ,BI$5,0))))</f>
        <v/>
      </c>
      <c r="BJ184" s="174" t="str">
        <f>IF(BJ$6="","",IF(BJ$3="Maior",iferror(VLOOKUP($R184,Capa!$A:$AJ,BJ$5,0),0),IF(ISERROR(1/VLOOKUP($R184,Capa!$A:$AJ,BJ$5,0)),0,1/VLOOKUP($R184,Capa!$A:$AJ,BJ$5,0))))</f>
        <v/>
      </c>
      <c r="BK184" s="174" t="str">
        <f>IF(BK$6="","",IF(BK$3="Maior",iferror(VLOOKUP($R184,Capa!$A:$AJ,BK$5,0),0),IF(ISERROR(1/VLOOKUP($R184,Capa!$A:$AJ,BK$5,0)),0,1/VLOOKUP($R184,Capa!$A:$AJ,BK$5,0))))</f>
        <v/>
      </c>
      <c r="BL184" s="174" t="str">
        <f>IF(BL$6="","",IF(BL$3="Maior",iferror(VLOOKUP($R184,Capa!$A:$AJ,BL$5,0),0),IF(ISERROR(1/VLOOKUP($R184,Capa!$A:$AJ,BL$5,0)),0,1/VLOOKUP($R184,Capa!$A:$AJ,BL$5,0))))</f>
        <v/>
      </c>
      <c r="BM184" s="174" t="str">
        <f>IF(BM$6="","",IF(BM$3="Maior",iferror(VLOOKUP($R184,Capa!$A:$AJ,BM$5,0),0),IF(ISERROR(1/VLOOKUP($R184,Capa!$A:$AJ,BM$5,0)),0,1/VLOOKUP($R184,Capa!$A:$AJ,BM$5,0))))</f>
        <v/>
      </c>
      <c r="BN184" s="174" t="str">
        <f>IF(BN$6="","",IF(BN$3="Maior",iferror(VLOOKUP($R184,Capa!$A:$AJ,BN$5,0),0),IF(ISERROR(1/VLOOKUP($R184,Capa!$A:$AJ,BN$5,0)),0,1/VLOOKUP($R184,Capa!$A:$AJ,BN$5,0))))</f>
        <v/>
      </c>
      <c r="BO184" s="174" t="str">
        <f>IF(BO$6="","",IF(BO$3="Maior",iferror(VLOOKUP($R184,Capa!$A:$AJ,BO$5,0),0),IF(ISERROR(1/VLOOKUP($R184,Capa!$A:$AJ,BO$5,0)),0,1/VLOOKUP($R184,Capa!$A:$AJ,BO$5,0))))</f>
        <v/>
      </c>
      <c r="BP184" s="174" t="str">
        <f>IF(BP$6="","",IF(BP$3="Maior",iferror(VLOOKUP($R184,Capa!$A:$AJ,BP$5,0),0),IF(ISERROR(1/VLOOKUP($R184,Capa!$A:$AJ,BP$5,0)),0,1/VLOOKUP($R184,Capa!$A:$AJ,BP$5,0))))</f>
        <v/>
      </c>
      <c r="BQ184" s="174" t="str">
        <f>IF(BQ$6="","",IF(BQ$3="Maior",iferror(VLOOKUP($R184,Capa!$A:$AJ,BQ$5,0),0),IF(ISERROR(1/VLOOKUP($R184,Capa!$A:$AJ,BQ$5,0)),0,1/VLOOKUP($R184,Capa!$A:$AJ,BQ$5,0))))</f>
        <v/>
      </c>
      <c r="BR184" s="175"/>
      <c r="BS184" s="147"/>
    </row>
    <row r="185">
      <c r="G185" s="11"/>
      <c r="H185" s="8">
        <v>179.0</v>
      </c>
      <c r="I185" s="165" t="str">
        <f t="shared" si="6"/>
        <v>WEST3</v>
      </c>
      <c r="J185" s="166" t="str">
        <f>(VLOOKUP($I185,Capa!$A:$B,2,0))</f>
        <v>Westwing Comercio Varejista SA</v>
      </c>
      <c r="K185" s="167" t="str">
        <f>VLOOKUP(left(I185,4),Setor!A:D,3,0)&amp;" | "&amp;VLOOKUP(left(I185,4),Setor!A:D,4,0)</f>
        <v>#N/A</v>
      </c>
      <c r="L185" s="168">
        <f>(VLOOKUP($I185,Capa!$A:$F,6,0))</f>
        <v>6.02</v>
      </c>
      <c r="M185" s="168">
        <f t="shared" si="7"/>
        <v>979481.2</v>
      </c>
      <c r="N185" s="177" t="str">
        <f>IFERROR(__xludf.DUMMYFUNCTION("(VLOOKUP($I185,Capa!$A:$H,7,0))"),"")</f>
        <v/>
      </c>
      <c r="O185" s="177" t="str">
        <f>(VLOOKUP($I185,Capa!$A:$H,8,0))</f>
        <v/>
      </c>
      <c r="P185" s="169" t="str">
        <f>IFERROR(__xludf.DUMMYFUNCTION("(VLOOKUP($I185,Capa!$A:$J,10,0))"),"")</f>
        <v/>
      </c>
      <c r="Q185" s="169">
        <f>(VLOOKUP($I185,Capa!$A:$K,11,0))</f>
        <v>0.1666666667</v>
      </c>
      <c r="R185" s="45" t="str">
        <f>'Dados StatusInvest'!A180</f>
        <v>CREM3</v>
      </c>
      <c r="S185" s="170">
        <f t="shared" si="8"/>
        <v>1428.0428</v>
      </c>
      <c r="T185" s="171">
        <f>VLOOKUP(R185,'Dados StatusInvest'!A:Z,26,0)</f>
        <v>0</v>
      </c>
      <c r="U185" s="172">
        <f t="shared" ref="U185:AS185" si="187">IF(AT185="","", RANK(AT185,AT$7:AT$626,0)+RANK(AT185,AT$7:AT$626,0)/10000)</f>
        <v>161.0161</v>
      </c>
      <c r="V185" s="172">
        <f t="shared" si="187"/>
        <v>267.0267</v>
      </c>
      <c r="W185" s="172" t="str">
        <f t="shared" si="187"/>
        <v/>
      </c>
      <c r="X185" s="172" t="str">
        <f t="shared" si="187"/>
        <v/>
      </c>
      <c r="Y185" s="172" t="str">
        <f t="shared" si="187"/>
        <v/>
      </c>
      <c r="Z185" s="172" t="str">
        <f t="shared" si="187"/>
        <v/>
      </c>
      <c r="AA185" s="172" t="str">
        <f t="shared" si="187"/>
        <v/>
      </c>
      <c r="AB185" s="172" t="str">
        <f t="shared" si="187"/>
        <v/>
      </c>
      <c r="AC185" s="172" t="str">
        <f t="shared" si="187"/>
        <v/>
      </c>
      <c r="AD185" s="172" t="str">
        <f t="shared" si="187"/>
        <v/>
      </c>
      <c r="AE185" s="172" t="str">
        <f t="shared" si="187"/>
        <v/>
      </c>
      <c r="AF185" s="172" t="str">
        <f t="shared" si="187"/>
        <v/>
      </c>
      <c r="AG185" s="172" t="str">
        <f t="shared" si="187"/>
        <v/>
      </c>
      <c r="AH185" s="172" t="str">
        <f t="shared" si="187"/>
        <v/>
      </c>
      <c r="AI185" s="172" t="str">
        <f t="shared" si="187"/>
        <v/>
      </c>
      <c r="AJ185" s="172" t="str">
        <f t="shared" si="187"/>
        <v/>
      </c>
      <c r="AK185" s="172" t="str">
        <f t="shared" si="187"/>
        <v/>
      </c>
      <c r="AL185" s="172" t="str">
        <f t="shared" si="187"/>
        <v/>
      </c>
      <c r="AM185" s="172" t="str">
        <f t="shared" si="187"/>
        <v/>
      </c>
      <c r="AN185" s="172" t="str">
        <f t="shared" si="187"/>
        <v/>
      </c>
      <c r="AO185" s="172" t="str">
        <f t="shared" si="187"/>
        <v/>
      </c>
      <c r="AP185" s="172" t="str">
        <f t="shared" si="187"/>
        <v/>
      </c>
      <c r="AQ185" s="172" t="str">
        <f t="shared" si="187"/>
        <v/>
      </c>
      <c r="AR185" s="172" t="str">
        <f t="shared" si="187"/>
        <v/>
      </c>
      <c r="AS185" s="172" t="str">
        <f t="shared" si="187"/>
        <v/>
      </c>
      <c r="AT185" s="173">
        <f>IF(AT$6="","",IF(AT$3="Maior",iferror(VLOOKUP($R185,Capa!$A:$AJ,AT$5,0),0),IF(ISERROR(1/VLOOKUP($R185,Capa!$A:$AJ,AT$5,0)),0,1/VLOOKUP($R185,Capa!$A:$AJ,AT$5,0))))</f>
        <v>-0.1519756839</v>
      </c>
      <c r="AU185" s="174">
        <f>IF(AU$6="","",IF(AU$3="Maior",iferror(VLOOKUP($R185,Capa!$A:$AJ,AU$5,0),0),IF(ISERROR(1/VLOOKUP($R185,Capa!$A:$AJ,AU$5,0)),0,1/VLOOKUP($R185,Capa!$A:$AJ,AU$5,0))))</f>
        <v>0</v>
      </c>
      <c r="AV185" s="174" t="str">
        <f>IF(AV$6="","",IF(AV$3="Maior",iferror(VLOOKUP($R185,Capa!$A:$AJ,AV$5,0),0),IF(ISERROR(1/VLOOKUP($R185,Capa!$A:$AJ,AV$5,0)),0,1/VLOOKUP($R185,Capa!$A:$AJ,AV$5,0))))</f>
        <v/>
      </c>
      <c r="AW185" s="174" t="str">
        <f>IF(AW$6="","",IF(AW$3="Maior",iferror(VLOOKUP($R185,Capa!$A:$AJ,AW$5,0),0),IF(ISERROR(1/VLOOKUP($R185,Capa!$A:$AJ,AW$5,0)),0,1/VLOOKUP($R185,Capa!$A:$AJ,AW$5,0))))</f>
        <v/>
      </c>
      <c r="AX185" s="174" t="str">
        <f>IF(AX$6="","",IF(AX$3="Maior",iferror(VLOOKUP($R185,Capa!$A:$AJ,AX$5,0),0),IF(ISERROR(1/VLOOKUP($R185,Capa!$A:$AJ,AX$5,0)),0,1/VLOOKUP($R185,Capa!$A:$AJ,AX$5,0))))</f>
        <v/>
      </c>
      <c r="AY185" s="174" t="str">
        <f>IF(AY$6="","",IF(AY$3="Maior",iferror(VLOOKUP($R185,Capa!$A:$AJ,AY$5,0),0),IF(ISERROR(1/VLOOKUP($R185,Capa!$A:$AJ,AY$5,0)),0,1/VLOOKUP($R185,Capa!$A:$AJ,AY$5,0))))</f>
        <v/>
      </c>
      <c r="AZ185" s="174" t="str">
        <f>IF(AZ$6="","",IF(AZ$3="Maior",iferror(VLOOKUP($R185,Capa!$A:$AJ,AZ$5,0),0),IF(ISERROR(1/VLOOKUP($R185,Capa!$A:$AJ,AZ$5,0)),0,1/VLOOKUP($R185,Capa!$A:$AJ,AZ$5,0))))</f>
        <v/>
      </c>
      <c r="BA185" s="174" t="str">
        <f>IF(BA$6="","",IF(BA$3="Maior",iferror(VLOOKUP($R185,Capa!$A:$AJ,BA$5,0),0),IF(ISERROR(1/VLOOKUP($R185,Capa!$A:$AJ,BA$5,0)),0,1/VLOOKUP($R185,Capa!$A:$AJ,BA$5,0))))</f>
        <v/>
      </c>
      <c r="BB185" s="174" t="str">
        <f>IF(BB$6="","",IF(BB$3="Maior",iferror(VLOOKUP($R185,Capa!$A:$AJ,BB$5,0),0),IF(ISERROR(1/VLOOKUP($R185,Capa!$A:$AJ,BB$5,0)),0,1/VLOOKUP($R185,Capa!$A:$AJ,BB$5,0))))</f>
        <v/>
      </c>
      <c r="BC185" s="174" t="str">
        <f>IF(BC$6="","",IF(BC$3="Maior",iferror(VLOOKUP($R185,Capa!$A:$AJ,BC$5,0),0),IF(ISERROR(1/VLOOKUP($R185,Capa!$A:$AJ,BC$5,0)),0,1/VLOOKUP($R185,Capa!$A:$AJ,BC$5,0))))</f>
        <v/>
      </c>
      <c r="BD185" s="174" t="str">
        <f>IF(BD$6="","",IF(BD$3="Maior",iferror(VLOOKUP($R185,Capa!$A:$AJ,BD$5,0),0),IF(ISERROR(1/VLOOKUP($R185,Capa!$A:$AJ,BD$5,0)),0,1/VLOOKUP($R185,Capa!$A:$AJ,BD$5,0))))</f>
        <v/>
      </c>
      <c r="BE185" s="174" t="str">
        <f>IF(BE$6="","",IF(BE$3="Maior",iferror(VLOOKUP($R185,Capa!$A:$AJ,BE$5,0),0),IF(ISERROR(1/VLOOKUP($R185,Capa!$A:$AJ,BE$5,0)),0,1/VLOOKUP($R185,Capa!$A:$AJ,BE$5,0))))</f>
        <v/>
      </c>
      <c r="BF185" s="174" t="str">
        <f>IF(BF$6="","",IF(BF$3="Maior",iferror(VLOOKUP($R185,Capa!$A:$AJ,BF$5,0),0),IF(ISERROR(1/VLOOKUP($R185,Capa!$A:$AJ,BF$5,0)),0,1/VLOOKUP($R185,Capa!$A:$AJ,BF$5,0))))</f>
        <v/>
      </c>
      <c r="BG185" s="174" t="str">
        <f>IF(BG$6="","",IF(BG$3="Maior",iferror(VLOOKUP($R185,Capa!$A:$AJ,BG$5,0),0),IF(ISERROR(1/VLOOKUP($R185,Capa!$A:$AJ,BG$5,0)),0,1/VLOOKUP($R185,Capa!$A:$AJ,BG$5,0))))</f>
        <v/>
      </c>
      <c r="BH185" s="174" t="str">
        <f>IF(BH$6="","",IF(BH$3="Maior",iferror(VLOOKUP($R185,Capa!$A:$AJ,BH$5,0),0),IF(ISERROR(1/VLOOKUP($R185,Capa!$A:$AJ,BH$5,0)),0,1/VLOOKUP($R185,Capa!$A:$AJ,BH$5,0))))</f>
        <v/>
      </c>
      <c r="BI185" s="174" t="str">
        <f>IF(BI$6="","",IF(BI$3="Maior",iferror(VLOOKUP($R185,Capa!$A:$AJ,BI$5,0),0),IF(ISERROR(1/VLOOKUP($R185,Capa!$A:$AJ,BI$5,0)),0,1/VLOOKUP($R185,Capa!$A:$AJ,BI$5,0))))</f>
        <v/>
      </c>
      <c r="BJ185" s="174" t="str">
        <f>IF(BJ$6="","",IF(BJ$3="Maior",iferror(VLOOKUP($R185,Capa!$A:$AJ,BJ$5,0),0),IF(ISERROR(1/VLOOKUP($R185,Capa!$A:$AJ,BJ$5,0)),0,1/VLOOKUP($R185,Capa!$A:$AJ,BJ$5,0))))</f>
        <v/>
      </c>
      <c r="BK185" s="174" t="str">
        <f>IF(BK$6="","",IF(BK$3="Maior",iferror(VLOOKUP($R185,Capa!$A:$AJ,BK$5,0),0),IF(ISERROR(1/VLOOKUP($R185,Capa!$A:$AJ,BK$5,0)),0,1/VLOOKUP($R185,Capa!$A:$AJ,BK$5,0))))</f>
        <v/>
      </c>
      <c r="BL185" s="174" t="str">
        <f>IF(BL$6="","",IF(BL$3="Maior",iferror(VLOOKUP($R185,Capa!$A:$AJ,BL$5,0),0),IF(ISERROR(1/VLOOKUP($R185,Capa!$A:$AJ,BL$5,0)),0,1/VLOOKUP($R185,Capa!$A:$AJ,BL$5,0))))</f>
        <v/>
      </c>
      <c r="BM185" s="174" t="str">
        <f>IF(BM$6="","",IF(BM$3="Maior",iferror(VLOOKUP($R185,Capa!$A:$AJ,BM$5,0),0),IF(ISERROR(1/VLOOKUP($R185,Capa!$A:$AJ,BM$5,0)),0,1/VLOOKUP($R185,Capa!$A:$AJ,BM$5,0))))</f>
        <v/>
      </c>
      <c r="BN185" s="174" t="str">
        <f>IF(BN$6="","",IF(BN$3="Maior",iferror(VLOOKUP($R185,Capa!$A:$AJ,BN$5,0),0),IF(ISERROR(1/VLOOKUP($R185,Capa!$A:$AJ,BN$5,0)),0,1/VLOOKUP($R185,Capa!$A:$AJ,BN$5,0))))</f>
        <v/>
      </c>
      <c r="BO185" s="174" t="str">
        <f>IF(BO$6="","",IF(BO$3="Maior",iferror(VLOOKUP($R185,Capa!$A:$AJ,BO$5,0),0),IF(ISERROR(1/VLOOKUP($R185,Capa!$A:$AJ,BO$5,0)),0,1/VLOOKUP($R185,Capa!$A:$AJ,BO$5,0))))</f>
        <v/>
      </c>
      <c r="BP185" s="174" t="str">
        <f>IF(BP$6="","",IF(BP$3="Maior",iferror(VLOOKUP($R185,Capa!$A:$AJ,BP$5,0),0),IF(ISERROR(1/VLOOKUP($R185,Capa!$A:$AJ,BP$5,0)),0,1/VLOOKUP($R185,Capa!$A:$AJ,BP$5,0))))</f>
        <v/>
      </c>
      <c r="BQ185" s="174" t="str">
        <f>IF(BQ$6="","",IF(BQ$3="Maior",iferror(VLOOKUP($R185,Capa!$A:$AJ,BQ$5,0),0),IF(ISERROR(1/VLOOKUP($R185,Capa!$A:$AJ,BQ$5,0)),0,1/VLOOKUP($R185,Capa!$A:$AJ,BQ$5,0))))</f>
        <v/>
      </c>
      <c r="BR185" s="175"/>
      <c r="BS185" s="147"/>
    </row>
    <row r="186">
      <c r="G186" s="11"/>
      <c r="H186" s="8">
        <v>180.0</v>
      </c>
      <c r="I186" s="165" t="str">
        <f t="shared" si="6"/>
        <v>LJQQ3</v>
      </c>
      <c r="J186" s="166" t="str">
        <f>(VLOOKUP($I186,Capa!$A:$B,2,0))</f>
        <v>Lojas Quero-Quero SA</v>
      </c>
      <c r="K186" s="167" t="str">
        <f>VLOOKUP(left(I186,4),Setor!A:D,3,0)&amp;" | "&amp;VLOOKUP(left(I186,4),Setor!A:D,4,0)</f>
        <v>Consumo Cíclico | Comércio</v>
      </c>
      <c r="L186" s="168">
        <f>(VLOOKUP($I186,Capa!$A:$F,6,0))</f>
        <v>2.26</v>
      </c>
      <c r="M186" s="168">
        <f t="shared" si="7"/>
        <v>7529668</v>
      </c>
      <c r="N186" s="11" t="str">
        <f>IFERROR(__xludf.DUMMYFUNCTION("(VLOOKUP($I186,Capa!$A:$H,7,0))"),"")</f>
        <v/>
      </c>
      <c r="O186" s="169">
        <f>(VLOOKUP($I186,Capa!$A:$H,8,0))</f>
        <v>-0.0622406639</v>
      </c>
      <c r="P186" s="11" t="str">
        <f>IFERROR(__xludf.DUMMYFUNCTION("(VLOOKUP($I186,Capa!$A:$J,10,0))"),"")</f>
        <v/>
      </c>
      <c r="Q186" s="169">
        <f>(VLOOKUP($I186,Capa!$A:$K,11,0))</f>
        <v>-0.004405286344</v>
      </c>
      <c r="R186" s="45" t="str">
        <f>'Dados StatusInvest'!A181</f>
        <v>CRFB3</v>
      </c>
      <c r="S186" s="170">
        <f t="shared" si="8"/>
        <v>355.0355</v>
      </c>
      <c r="T186" s="171">
        <f>VLOOKUP(R186,'Dados StatusInvest'!A:Z,26,0)</f>
        <v>122000000</v>
      </c>
      <c r="U186" s="172">
        <f t="shared" ref="U186:AS186" si="188">IF(AT186="","", RANK(AT186,AT$7:AT$626,0)+RANK(AT186,AT$7:AT$626,0)/10000)</f>
        <v>165.0165</v>
      </c>
      <c r="V186" s="172">
        <f t="shared" si="188"/>
        <v>190.019</v>
      </c>
      <c r="W186" s="172" t="str">
        <f t="shared" si="188"/>
        <v/>
      </c>
      <c r="X186" s="172" t="str">
        <f t="shared" si="188"/>
        <v/>
      </c>
      <c r="Y186" s="172" t="str">
        <f t="shared" si="188"/>
        <v/>
      </c>
      <c r="Z186" s="172" t="str">
        <f t="shared" si="188"/>
        <v/>
      </c>
      <c r="AA186" s="172" t="str">
        <f t="shared" si="188"/>
        <v/>
      </c>
      <c r="AB186" s="172" t="str">
        <f t="shared" si="188"/>
        <v/>
      </c>
      <c r="AC186" s="172" t="str">
        <f t="shared" si="188"/>
        <v/>
      </c>
      <c r="AD186" s="172" t="str">
        <f t="shared" si="188"/>
        <v/>
      </c>
      <c r="AE186" s="172" t="str">
        <f t="shared" si="188"/>
        <v/>
      </c>
      <c r="AF186" s="172" t="str">
        <f t="shared" si="188"/>
        <v/>
      </c>
      <c r="AG186" s="172" t="str">
        <f t="shared" si="188"/>
        <v/>
      </c>
      <c r="AH186" s="172" t="str">
        <f t="shared" si="188"/>
        <v/>
      </c>
      <c r="AI186" s="172" t="str">
        <f t="shared" si="188"/>
        <v/>
      </c>
      <c r="AJ186" s="172" t="str">
        <f t="shared" si="188"/>
        <v/>
      </c>
      <c r="AK186" s="172" t="str">
        <f t="shared" si="188"/>
        <v/>
      </c>
      <c r="AL186" s="172" t="str">
        <f t="shared" si="188"/>
        <v/>
      </c>
      <c r="AM186" s="172" t="str">
        <f t="shared" si="188"/>
        <v/>
      </c>
      <c r="AN186" s="172" t="str">
        <f t="shared" si="188"/>
        <v/>
      </c>
      <c r="AO186" s="172" t="str">
        <f t="shared" si="188"/>
        <v/>
      </c>
      <c r="AP186" s="172" t="str">
        <f t="shared" si="188"/>
        <v/>
      </c>
      <c r="AQ186" s="172" t="str">
        <f t="shared" si="188"/>
        <v/>
      </c>
      <c r="AR186" s="172" t="str">
        <f t="shared" si="188"/>
        <v/>
      </c>
      <c r="AS186" s="172" t="str">
        <f t="shared" si="188"/>
        <v/>
      </c>
      <c r="AT186" s="173">
        <f>IF(AT$6="","",IF(AT$3="Maior",iferror(VLOOKUP($R186,Capa!$A:$AJ,AT$5,0),0),IF(ISERROR(1/VLOOKUP($R186,Capa!$A:$AJ,AT$5,0)),0,1/VLOOKUP($R186,Capa!$A:$AJ,AT$5,0))))</f>
        <v>-0.1607717042</v>
      </c>
      <c r="AU186" s="174">
        <f>IF(AU$6="","",IF(AU$3="Maior",iferror(VLOOKUP($R186,Capa!$A:$AJ,AU$5,0),0),IF(ISERROR(1/VLOOKUP($R186,Capa!$A:$AJ,AU$5,0)),0,1/VLOOKUP($R186,Capa!$A:$AJ,AU$5,0))))</f>
        <v>12.41</v>
      </c>
      <c r="AV186" s="174" t="str">
        <f>IF(AV$6="","",IF(AV$3="Maior",iferror(VLOOKUP($R186,Capa!$A:$AJ,AV$5,0),0),IF(ISERROR(1/VLOOKUP($R186,Capa!$A:$AJ,AV$5,0)),0,1/VLOOKUP($R186,Capa!$A:$AJ,AV$5,0))))</f>
        <v/>
      </c>
      <c r="AW186" s="174" t="str">
        <f>IF(AW$6="","",IF(AW$3="Maior",iferror(VLOOKUP($R186,Capa!$A:$AJ,AW$5,0),0),IF(ISERROR(1/VLOOKUP($R186,Capa!$A:$AJ,AW$5,0)),0,1/VLOOKUP($R186,Capa!$A:$AJ,AW$5,0))))</f>
        <v/>
      </c>
      <c r="AX186" s="174" t="str">
        <f>IF(AX$6="","",IF(AX$3="Maior",iferror(VLOOKUP($R186,Capa!$A:$AJ,AX$5,0),0),IF(ISERROR(1/VLOOKUP($R186,Capa!$A:$AJ,AX$5,0)),0,1/VLOOKUP($R186,Capa!$A:$AJ,AX$5,0))))</f>
        <v/>
      </c>
      <c r="AY186" s="174" t="str">
        <f>IF(AY$6="","",IF(AY$3="Maior",iferror(VLOOKUP($R186,Capa!$A:$AJ,AY$5,0),0),IF(ISERROR(1/VLOOKUP($R186,Capa!$A:$AJ,AY$5,0)),0,1/VLOOKUP($R186,Capa!$A:$AJ,AY$5,0))))</f>
        <v/>
      </c>
      <c r="AZ186" s="174" t="str">
        <f>IF(AZ$6="","",IF(AZ$3="Maior",iferror(VLOOKUP($R186,Capa!$A:$AJ,AZ$5,0),0),IF(ISERROR(1/VLOOKUP($R186,Capa!$A:$AJ,AZ$5,0)),0,1/VLOOKUP($R186,Capa!$A:$AJ,AZ$5,0))))</f>
        <v/>
      </c>
      <c r="BA186" s="174" t="str">
        <f>IF(BA$6="","",IF(BA$3="Maior",iferror(VLOOKUP($R186,Capa!$A:$AJ,BA$5,0),0),IF(ISERROR(1/VLOOKUP($R186,Capa!$A:$AJ,BA$5,0)),0,1/VLOOKUP($R186,Capa!$A:$AJ,BA$5,0))))</f>
        <v/>
      </c>
      <c r="BB186" s="174" t="str">
        <f>IF(BB$6="","",IF(BB$3="Maior",iferror(VLOOKUP($R186,Capa!$A:$AJ,BB$5,0),0),IF(ISERROR(1/VLOOKUP($R186,Capa!$A:$AJ,BB$5,0)),0,1/VLOOKUP($R186,Capa!$A:$AJ,BB$5,0))))</f>
        <v/>
      </c>
      <c r="BC186" s="174" t="str">
        <f>IF(BC$6="","",IF(BC$3="Maior",iferror(VLOOKUP($R186,Capa!$A:$AJ,BC$5,0),0),IF(ISERROR(1/VLOOKUP($R186,Capa!$A:$AJ,BC$5,0)),0,1/VLOOKUP($R186,Capa!$A:$AJ,BC$5,0))))</f>
        <v/>
      </c>
      <c r="BD186" s="174" t="str">
        <f>IF(BD$6="","",IF(BD$3="Maior",iferror(VLOOKUP($R186,Capa!$A:$AJ,BD$5,0),0),IF(ISERROR(1/VLOOKUP($R186,Capa!$A:$AJ,BD$5,0)),0,1/VLOOKUP($R186,Capa!$A:$AJ,BD$5,0))))</f>
        <v/>
      </c>
      <c r="BE186" s="174" t="str">
        <f>IF(BE$6="","",IF(BE$3="Maior",iferror(VLOOKUP($R186,Capa!$A:$AJ,BE$5,0),0),IF(ISERROR(1/VLOOKUP($R186,Capa!$A:$AJ,BE$5,0)),0,1/VLOOKUP($R186,Capa!$A:$AJ,BE$5,0))))</f>
        <v/>
      </c>
      <c r="BF186" s="174" t="str">
        <f>IF(BF$6="","",IF(BF$3="Maior",iferror(VLOOKUP($R186,Capa!$A:$AJ,BF$5,0),0),IF(ISERROR(1/VLOOKUP($R186,Capa!$A:$AJ,BF$5,0)),0,1/VLOOKUP($R186,Capa!$A:$AJ,BF$5,0))))</f>
        <v/>
      </c>
      <c r="BG186" s="174" t="str">
        <f>IF(BG$6="","",IF(BG$3="Maior",iferror(VLOOKUP($R186,Capa!$A:$AJ,BG$5,0),0),IF(ISERROR(1/VLOOKUP($R186,Capa!$A:$AJ,BG$5,0)),0,1/VLOOKUP($R186,Capa!$A:$AJ,BG$5,0))))</f>
        <v/>
      </c>
      <c r="BH186" s="174" t="str">
        <f>IF(BH$6="","",IF(BH$3="Maior",iferror(VLOOKUP($R186,Capa!$A:$AJ,BH$5,0),0),IF(ISERROR(1/VLOOKUP($R186,Capa!$A:$AJ,BH$5,0)),0,1/VLOOKUP($R186,Capa!$A:$AJ,BH$5,0))))</f>
        <v/>
      </c>
      <c r="BI186" s="174" t="str">
        <f>IF(BI$6="","",IF(BI$3="Maior",iferror(VLOOKUP($R186,Capa!$A:$AJ,BI$5,0),0),IF(ISERROR(1/VLOOKUP($R186,Capa!$A:$AJ,BI$5,0)),0,1/VLOOKUP($R186,Capa!$A:$AJ,BI$5,0))))</f>
        <v/>
      </c>
      <c r="BJ186" s="174" t="str">
        <f>IF(BJ$6="","",IF(BJ$3="Maior",iferror(VLOOKUP($R186,Capa!$A:$AJ,BJ$5,0),0),IF(ISERROR(1/VLOOKUP($R186,Capa!$A:$AJ,BJ$5,0)),0,1/VLOOKUP($R186,Capa!$A:$AJ,BJ$5,0))))</f>
        <v/>
      </c>
      <c r="BK186" s="174" t="str">
        <f>IF(BK$6="","",IF(BK$3="Maior",iferror(VLOOKUP($R186,Capa!$A:$AJ,BK$5,0),0),IF(ISERROR(1/VLOOKUP($R186,Capa!$A:$AJ,BK$5,0)),0,1/VLOOKUP($R186,Capa!$A:$AJ,BK$5,0))))</f>
        <v/>
      </c>
      <c r="BL186" s="174" t="str">
        <f>IF(BL$6="","",IF(BL$3="Maior",iferror(VLOOKUP($R186,Capa!$A:$AJ,BL$5,0),0),IF(ISERROR(1/VLOOKUP($R186,Capa!$A:$AJ,BL$5,0)),0,1/VLOOKUP($R186,Capa!$A:$AJ,BL$5,0))))</f>
        <v/>
      </c>
      <c r="BM186" s="174" t="str">
        <f>IF(BM$6="","",IF(BM$3="Maior",iferror(VLOOKUP($R186,Capa!$A:$AJ,BM$5,0),0),IF(ISERROR(1/VLOOKUP($R186,Capa!$A:$AJ,BM$5,0)),0,1/VLOOKUP($R186,Capa!$A:$AJ,BM$5,0))))</f>
        <v/>
      </c>
      <c r="BN186" s="174" t="str">
        <f>IF(BN$6="","",IF(BN$3="Maior",iferror(VLOOKUP($R186,Capa!$A:$AJ,BN$5,0),0),IF(ISERROR(1/VLOOKUP($R186,Capa!$A:$AJ,BN$5,0)),0,1/VLOOKUP($R186,Capa!$A:$AJ,BN$5,0))))</f>
        <v/>
      </c>
      <c r="BO186" s="174" t="str">
        <f>IF(BO$6="","",IF(BO$3="Maior",iferror(VLOOKUP($R186,Capa!$A:$AJ,BO$5,0),0),IF(ISERROR(1/VLOOKUP($R186,Capa!$A:$AJ,BO$5,0)),0,1/VLOOKUP($R186,Capa!$A:$AJ,BO$5,0))))</f>
        <v/>
      </c>
      <c r="BP186" s="174" t="str">
        <f>IF(BP$6="","",IF(BP$3="Maior",iferror(VLOOKUP($R186,Capa!$A:$AJ,BP$5,0),0),IF(ISERROR(1/VLOOKUP($R186,Capa!$A:$AJ,BP$5,0)),0,1/VLOOKUP($R186,Capa!$A:$AJ,BP$5,0))))</f>
        <v/>
      </c>
      <c r="BQ186" s="174" t="str">
        <f>IF(BQ$6="","",IF(BQ$3="Maior",iferror(VLOOKUP($R186,Capa!$A:$AJ,BQ$5,0),0),IF(ISERROR(1/VLOOKUP($R186,Capa!$A:$AJ,BQ$5,0)),0,1/VLOOKUP($R186,Capa!$A:$AJ,BQ$5,0))))</f>
        <v/>
      </c>
      <c r="BR186" s="175"/>
      <c r="BS186" s="147"/>
    </row>
    <row r="187">
      <c r="G187" s="11"/>
      <c r="H187" s="8">
        <v>181.0</v>
      </c>
      <c r="I187" s="165" t="str">
        <f t="shared" si="6"/>
        <v>ONCO3</v>
      </c>
      <c r="J187" s="166" t="str">
        <f>(VLOOKUP($I187,Capa!$A:$B,2,0))</f>
        <v>Oncoclinicas do Brasil Srvcs Mdcs SA</v>
      </c>
      <c r="K187" s="167" t="str">
        <f>VLOOKUP(left(I187,4),Setor!A:D,3,0)&amp;" | "&amp;VLOOKUP(left(I187,4),Setor!A:D,4,0)</f>
        <v>#N/A</v>
      </c>
      <c r="L187" s="168">
        <f>(VLOOKUP($I187,Capa!$A:$F,6,0))</f>
        <v>2.63</v>
      </c>
      <c r="M187" s="168">
        <f t="shared" si="7"/>
        <v>9970786</v>
      </c>
      <c r="N187" s="11" t="str">
        <f>IFERROR(__xludf.DUMMYFUNCTION("(VLOOKUP($I187,Capa!$A:$H,7,0))"),"")</f>
        <v/>
      </c>
      <c r="O187" s="169">
        <f>(VLOOKUP($I187,Capa!$A:$H,8,0))</f>
        <v>0.1144067797</v>
      </c>
      <c r="P187" s="11" t="str">
        <f>IFERROR(__xludf.DUMMYFUNCTION("(VLOOKUP($I187,Capa!$A:$J,10,0))"),"")</f>
        <v/>
      </c>
      <c r="Q187" s="169">
        <f>(VLOOKUP($I187,Capa!$A:$K,11,0))</f>
        <v>-0.3168831169</v>
      </c>
      <c r="R187" s="45" t="str">
        <f>'Dados StatusInvest'!A182</f>
        <v>CRIV3</v>
      </c>
      <c r="S187" s="170">
        <f t="shared" si="8"/>
        <v>2159.1159</v>
      </c>
      <c r="T187" s="171">
        <f>VLOOKUP(R187,'Dados StatusInvest'!A:Z,26,0)</f>
        <v>0</v>
      </c>
      <c r="U187" s="172">
        <f t="shared" ref="U187:AS187" si="189">IF(AT187="","", RANK(AT187,AT$7:AT$626,0)+RANK(AT187,AT$7:AT$626,0)/10000)</f>
        <v>557.0557</v>
      </c>
      <c r="V187" s="172">
        <f t="shared" si="189"/>
        <v>602.0602</v>
      </c>
      <c r="W187" s="172" t="str">
        <f t="shared" si="189"/>
        <v/>
      </c>
      <c r="X187" s="172" t="str">
        <f t="shared" si="189"/>
        <v/>
      </c>
      <c r="Y187" s="172" t="str">
        <f t="shared" si="189"/>
        <v/>
      </c>
      <c r="Z187" s="172" t="str">
        <f t="shared" si="189"/>
        <v/>
      </c>
      <c r="AA187" s="172" t="str">
        <f t="shared" si="189"/>
        <v/>
      </c>
      <c r="AB187" s="172" t="str">
        <f t="shared" si="189"/>
        <v/>
      </c>
      <c r="AC187" s="172" t="str">
        <f t="shared" si="189"/>
        <v/>
      </c>
      <c r="AD187" s="172" t="str">
        <f t="shared" si="189"/>
        <v/>
      </c>
      <c r="AE187" s="172" t="str">
        <f t="shared" si="189"/>
        <v/>
      </c>
      <c r="AF187" s="172" t="str">
        <f t="shared" si="189"/>
        <v/>
      </c>
      <c r="AG187" s="172" t="str">
        <f t="shared" si="189"/>
        <v/>
      </c>
      <c r="AH187" s="172" t="str">
        <f t="shared" si="189"/>
        <v/>
      </c>
      <c r="AI187" s="172" t="str">
        <f t="shared" si="189"/>
        <v/>
      </c>
      <c r="AJ187" s="172" t="str">
        <f t="shared" si="189"/>
        <v/>
      </c>
      <c r="AK187" s="172" t="str">
        <f t="shared" si="189"/>
        <v/>
      </c>
      <c r="AL187" s="172" t="str">
        <f t="shared" si="189"/>
        <v/>
      </c>
      <c r="AM187" s="172" t="str">
        <f t="shared" si="189"/>
        <v/>
      </c>
      <c r="AN187" s="172" t="str">
        <f t="shared" si="189"/>
        <v/>
      </c>
      <c r="AO187" s="172" t="str">
        <f t="shared" si="189"/>
        <v/>
      </c>
      <c r="AP187" s="172" t="str">
        <f t="shared" si="189"/>
        <v/>
      </c>
      <c r="AQ187" s="172" t="str">
        <f t="shared" si="189"/>
        <v/>
      </c>
      <c r="AR187" s="172" t="str">
        <f t="shared" si="189"/>
        <v/>
      </c>
      <c r="AS187" s="172" t="str">
        <f t="shared" si="189"/>
        <v/>
      </c>
      <c r="AT187" s="173">
        <f>IF(AT$6="","",IF(AT$3="Maior",iferror(VLOOKUP($R187,Capa!$A:$AJ,AT$5,0),0),IF(ISERROR(1/VLOOKUP($R187,Capa!$A:$AJ,AT$5,0)),0,1/VLOOKUP($R187,Capa!$A:$AJ,AT$5,0))))</f>
        <v>-6.25</v>
      </c>
      <c r="AU187" s="174">
        <f>IF(AU$6="","",IF(AU$3="Maior",iferror(VLOOKUP($R187,Capa!$A:$AJ,AU$5,0),0),IF(ISERROR(1/VLOOKUP($R187,Capa!$A:$AJ,AU$5,0)),0,1/VLOOKUP($R187,Capa!$A:$AJ,AU$5,0))))</f>
        <v>-21.36</v>
      </c>
      <c r="AV187" s="174" t="str">
        <f>IF(AV$6="","",IF(AV$3="Maior",iferror(VLOOKUP($R187,Capa!$A:$AJ,AV$5,0),0),IF(ISERROR(1/VLOOKUP($R187,Capa!$A:$AJ,AV$5,0)),0,1/VLOOKUP($R187,Capa!$A:$AJ,AV$5,0))))</f>
        <v/>
      </c>
      <c r="AW187" s="174" t="str">
        <f>IF(AW$6="","",IF(AW$3="Maior",iferror(VLOOKUP($R187,Capa!$A:$AJ,AW$5,0),0),IF(ISERROR(1/VLOOKUP($R187,Capa!$A:$AJ,AW$5,0)),0,1/VLOOKUP($R187,Capa!$A:$AJ,AW$5,0))))</f>
        <v/>
      </c>
      <c r="AX187" s="174" t="str">
        <f>IF(AX$6="","",IF(AX$3="Maior",iferror(VLOOKUP($R187,Capa!$A:$AJ,AX$5,0),0),IF(ISERROR(1/VLOOKUP($R187,Capa!$A:$AJ,AX$5,0)),0,1/VLOOKUP($R187,Capa!$A:$AJ,AX$5,0))))</f>
        <v/>
      </c>
      <c r="AY187" s="174" t="str">
        <f>IF(AY$6="","",IF(AY$3="Maior",iferror(VLOOKUP($R187,Capa!$A:$AJ,AY$5,0),0),IF(ISERROR(1/VLOOKUP($R187,Capa!$A:$AJ,AY$5,0)),0,1/VLOOKUP($R187,Capa!$A:$AJ,AY$5,0))))</f>
        <v/>
      </c>
      <c r="AZ187" s="174" t="str">
        <f>IF(AZ$6="","",IF(AZ$3="Maior",iferror(VLOOKUP($R187,Capa!$A:$AJ,AZ$5,0),0),IF(ISERROR(1/VLOOKUP($R187,Capa!$A:$AJ,AZ$5,0)),0,1/VLOOKUP($R187,Capa!$A:$AJ,AZ$5,0))))</f>
        <v/>
      </c>
      <c r="BA187" s="174" t="str">
        <f>IF(BA$6="","",IF(BA$3="Maior",iferror(VLOOKUP($R187,Capa!$A:$AJ,BA$5,0),0),IF(ISERROR(1/VLOOKUP($R187,Capa!$A:$AJ,BA$5,0)),0,1/VLOOKUP($R187,Capa!$A:$AJ,BA$5,0))))</f>
        <v/>
      </c>
      <c r="BB187" s="174" t="str">
        <f>IF(BB$6="","",IF(BB$3="Maior",iferror(VLOOKUP($R187,Capa!$A:$AJ,BB$5,0),0),IF(ISERROR(1/VLOOKUP($R187,Capa!$A:$AJ,BB$5,0)),0,1/VLOOKUP($R187,Capa!$A:$AJ,BB$5,0))))</f>
        <v/>
      </c>
      <c r="BC187" s="174" t="str">
        <f>IF(BC$6="","",IF(BC$3="Maior",iferror(VLOOKUP($R187,Capa!$A:$AJ,BC$5,0),0),IF(ISERROR(1/VLOOKUP($R187,Capa!$A:$AJ,BC$5,0)),0,1/VLOOKUP($R187,Capa!$A:$AJ,BC$5,0))))</f>
        <v/>
      </c>
      <c r="BD187" s="174" t="str">
        <f>IF(BD$6="","",IF(BD$3="Maior",iferror(VLOOKUP($R187,Capa!$A:$AJ,BD$5,0),0),IF(ISERROR(1/VLOOKUP($R187,Capa!$A:$AJ,BD$5,0)),0,1/VLOOKUP($R187,Capa!$A:$AJ,BD$5,0))))</f>
        <v/>
      </c>
      <c r="BE187" s="174" t="str">
        <f>IF(BE$6="","",IF(BE$3="Maior",iferror(VLOOKUP($R187,Capa!$A:$AJ,BE$5,0),0),IF(ISERROR(1/VLOOKUP($R187,Capa!$A:$AJ,BE$5,0)),0,1/VLOOKUP($R187,Capa!$A:$AJ,BE$5,0))))</f>
        <v/>
      </c>
      <c r="BF187" s="174" t="str">
        <f>IF(BF$6="","",IF(BF$3="Maior",iferror(VLOOKUP($R187,Capa!$A:$AJ,BF$5,0),0),IF(ISERROR(1/VLOOKUP($R187,Capa!$A:$AJ,BF$5,0)),0,1/VLOOKUP($R187,Capa!$A:$AJ,BF$5,0))))</f>
        <v/>
      </c>
      <c r="BG187" s="174" t="str">
        <f>IF(BG$6="","",IF(BG$3="Maior",iferror(VLOOKUP($R187,Capa!$A:$AJ,BG$5,0),0),IF(ISERROR(1/VLOOKUP($R187,Capa!$A:$AJ,BG$5,0)),0,1/VLOOKUP($R187,Capa!$A:$AJ,BG$5,0))))</f>
        <v/>
      </c>
      <c r="BH187" s="174" t="str">
        <f>IF(BH$6="","",IF(BH$3="Maior",iferror(VLOOKUP($R187,Capa!$A:$AJ,BH$5,0),0),IF(ISERROR(1/VLOOKUP($R187,Capa!$A:$AJ,BH$5,0)),0,1/VLOOKUP($R187,Capa!$A:$AJ,BH$5,0))))</f>
        <v/>
      </c>
      <c r="BI187" s="174" t="str">
        <f>IF(BI$6="","",IF(BI$3="Maior",iferror(VLOOKUP($R187,Capa!$A:$AJ,BI$5,0),0),IF(ISERROR(1/VLOOKUP($R187,Capa!$A:$AJ,BI$5,0)),0,1/VLOOKUP($R187,Capa!$A:$AJ,BI$5,0))))</f>
        <v/>
      </c>
      <c r="BJ187" s="174" t="str">
        <f>IF(BJ$6="","",IF(BJ$3="Maior",iferror(VLOOKUP($R187,Capa!$A:$AJ,BJ$5,0),0),IF(ISERROR(1/VLOOKUP($R187,Capa!$A:$AJ,BJ$5,0)),0,1/VLOOKUP($R187,Capa!$A:$AJ,BJ$5,0))))</f>
        <v/>
      </c>
      <c r="BK187" s="174" t="str">
        <f>IF(BK$6="","",IF(BK$3="Maior",iferror(VLOOKUP($R187,Capa!$A:$AJ,BK$5,0),0),IF(ISERROR(1/VLOOKUP($R187,Capa!$A:$AJ,BK$5,0)),0,1/VLOOKUP($R187,Capa!$A:$AJ,BK$5,0))))</f>
        <v/>
      </c>
      <c r="BL187" s="174" t="str">
        <f>IF(BL$6="","",IF(BL$3="Maior",iferror(VLOOKUP($R187,Capa!$A:$AJ,BL$5,0),0),IF(ISERROR(1/VLOOKUP($R187,Capa!$A:$AJ,BL$5,0)),0,1/VLOOKUP($R187,Capa!$A:$AJ,BL$5,0))))</f>
        <v/>
      </c>
      <c r="BM187" s="174" t="str">
        <f>IF(BM$6="","",IF(BM$3="Maior",iferror(VLOOKUP($R187,Capa!$A:$AJ,BM$5,0),0),IF(ISERROR(1/VLOOKUP($R187,Capa!$A:$AJ,BM$5,0)),0,1/VLOOKUP($R187,Capa!$A:$AJ,BM$5,0))))</f>
        <v/>
      </c>
      <c r="BN187" s="174" t="str">
        <f>IF(BN$6="","",IF(BN$3="Maior",iferror(VLOOKUP($R187,Capa!$A:$AJ,BN$5,0),0),IF(ISERROR(1/VLOOKUP($R187,Capa!$A:$AJ,BN$5,0)),0,1/VLOOKUP($R187,Capa!$A:$AJ,BN$5,0))))</f>
        <v/>
      </c>
      <c r="BO187" s="174" t="str">
        <f>IF(BO$6="","",IF(BO$3="Maior",iferror(VLOOKUP($R187,Capa!$A:$AJ,BO$5,0),0),IF(ISERROR(1/VLOOKUP($R187,Capa!$A:$AJ,BO$5,0)),0,1/VLOOKUP($R187,Capa!$A:$AJ,BO$5,0))))</f>
        <v/>
      </c>
      <c r="BP187" s="174" t="str">
        <f>IF(BP$6="","",IF(BP$3="Maior",iferror(VLOOKUP($R187,Capa!$A:$AJ,BP$5,0),0),IF(ISERROR(1/VLOOKUP($R187,Capa!$A:$AJ,BP$5,0)),0,1/VLOOKUP($R187,Capa!$A:$AJ,BP$5,0))))</f>
        <v/>
      </c>
      <c r="BQ187" s="174" t="str">
        <f>IF(BQ$6="","",IF(BQ$3="Maior",iferror(VLOOKUP($R187,Capa!$A:$AJ,BQ$5,0),0),IF(ISERROR(1/VLOOKUP($R187,Capa!$A:$AJ,BQ$5,0)),0,1/VLOOKUP($R187,Capa!$A:$AJ,BQ$5,0))))</f>
        <v/>
      </c>
      <c r="BR187" s="175"/>
      <c r="BS187" s="147"/>
    </row>
    <row r="188">
      <c r="G188" s="11"/>
      <c r="H188" s="8">
        <v>182.0</v>
      </c>
      <c r="I188" s="165" t="str">
        <f t="shared" si="6"/>
        <v>MRVE3</v>
      </c>
      <c r="J188" s="166" t="str">
        <f>(VLOOKUP($I188,Capa!$A:$B,2,0))</f>
        <v>MRV Engenharia e Participacoes SA</v>
      </c>
      <c r="K188" s="167" t="str">
        <f>VLOOKUP(left(I188,4),Setor!A:D,3,0)&amp;" | "&amp;VLOOKUP(left(I188,4),Setor!A:D,4,0)</f>
        <v>Consumo Cíclico | Construção Civil</v>
      </c>
      <c r="L188" s="168">
        <f>(VLOOKUP($I188,Capa!$A:$F,6,0))</f>
        <v>9.91</v>
      </c>
      <c r="M188" s="168">
        <f t="shared" si="7"/>
        <v>75413751</v>
      </c>
      <c r="N188" s="11" t="str">
        <f>IFERROR(__xludf.DUMMYFUNCTION("(VLOOKUP($I188,Capa!$A:$H,7,0))"),"")</f>
        <v/>
      </c>
      <c r="O188" s="169">
        <f>(VLOOKUP($I188,Capa!$A:$H,8,0))</f>
        <v>0.3022339028</v>
      </c>
      <c r="P188" s="11" t="str">
        <f>IFERROR(__xludf.DUMMYFUNCTION("(VLOOKUP($I188,Capa!$A:$J,10,0))"),"")</f>
        <v/>
      </c>
      <c r="Q188" s="169">
        <f>(VLOOKUP($I188,Capa!$A:$K,11,0))</f>
        <v>0.7416520211</v>
      </c>
      <c r="R188" s="45" t="str">
        <f>'Dados StatusInvest'!A183</f>
        <v>CRIV4</v>
      </c>
      <c r="S188" s="170">
        <f t="shared" si="8"/>
        <v>2159.1159</v>
      </c>
      <c r="T188" s="171">
        <f>VLOOKUP(R188,'Dados StatusInvest'!A:Z,26,0)</f>
        <v>0</v>
      </c>
      <c r="U188" s="172">
        <f t="shared" ref="U188:AS188" si="190">IF(AT188="","", RANK(AT188,AT$7:AT$626,0)+RANK(AT188,AT$7:AT$626,0)/10000)</f>
        <v>557.0557</v>
      </c>
      <c r="V188" s="172">
        <f t="shared" si="190"/>
        <v>602.0602</v>
      </c>
      <c r="W188" s="172" t="str">
        <f t="shared" si="190"/>
        <v/>
      </c>
      <c r="X188" s="172" t="str">
        <f t="shared" si="190"/>
        <v/>
      </c>
      <c r="Y188" s="172" t="str">
        <f t="shared" si="190"/>
        <v/>
      </c>
      <c r="Z188" s="172" t="str">
        <f t="shared" si="190"/>
        <v/>
      </c>
      <c r="AA188" s="172" t="str">
        <f t="shared" si="190"/>
        <v/>
      </c>
      <c r="AB188" s="172" t="str">
        <f t="shared" si="190"/>
        <v/>
      </c>
      <c r="AC188" s="172" t="str">
        <f t="shared" si="190"/>
        <v/>
      </c>
      <c r="AD188" s="172" t="str">
        <f t="shared" si="190"/>
        <v/>
      </c>
      <c r="AE188" s="172" t="str">
        <f t="shared" si="190"/>
        <v/>
      </c>
      <c r="AF188" s="172" t="str">
        <f t="shared" si="190"/>
        <v/>
      </c>
      <c r="AG188" s="172" t="str">
        <f t="shared" si="190"/>
        <v/>
      </c>
      <c r="AH188" s="172" t="str">
        <f t="shared" si="190"/>
        <v/>
      </c>
      <c r="AI188" s="172" t="str">
        <f t="shared" si="190"/>
        <v/>
      </c>
      <c r="AJ188" s="172" t="str">
        <f t="shared" si="190"/>
        <v/>
      </c>
      <c r="AK188" s="172" t="str">
        <f t="shared" si="190"/>
        <v/>
      </c>
      <c r="AL188" s="172" t="str">
        <f t="shared" si="190"/>
        <v/>
      </c>
      <c r="AM188" s="172" t="str">
        <f t="shared" si="190"/>
        <v/>
      </c>
      <c r="AN188" s="172" t="str">
        <f t="shared" si="190"/>
        <v/>
      </c>
      <c r="AO188" s="172" t="str">
        <f t="shared" si="190"/>
        <v/>
      </c>
      <c r="AP188" s="172" t="str">
        <f t="shared" si="190"/>
        <v/>
      </c>
      <c r="AQ188" s="172" t="str">
        <f t="shared" si="190"/>
        <v/>
      </c>
      <c r="AR188" s="172" t="str">
        <f t="shared" si="190"/>
        <v/>
      </c>
      <c r="AS188" s="172" t="str">
        <f t="shared" si="190"/>
        <v/>
      </c>
      <c r="AT188" s="173">
        <f>IF(AT$6="","",IF(AT$3="Maior",iferror(VLOOKUP($R188,Capa!$A:$AJ,AT$5,0),0),IF(ISERROR(1/VLOOKUP($R188,Capa!$A:$AJ,AT$5,0)),0,1/VLOOKUP($R188,Capa!$A:$AJ,AT$5,0))))</f>
        <v>-6.25</v>
      </c>
      <c r="AU188" s="174">
        <f>IF(AU$6="","",IF(AU$3="Maior",iferror(VLOOKUP($R188,Capa!$A:$AJ,AU$5,0),0),IF(ISERROR(1/VLOOKUP($R188,Capa!$A:$AJ,AU$5,0)),0,1/VLOOKUP($R188,Capa!$A:$AJ,AU$5,0))))</f>
        <v>-21.36</v>
      </c>
      <c r="AV188" s="174" t="str">
        <f>IF(AV$6="","",IF(AV$3="Maior",iferror(VLOOKUP($R188,Capa!$A:$AJ,AV$5,0),0),IF(ISERROR(1/VLOOKUP($R188,Capa!$A:$AJ,AV$5,0)),0,1/VLOOKUP($R188,Capa!$A:$AJ,AV$5,0))))</f>
        <v/>
      </c>
      <c r="AW188" s="174" t="str">
        <f>IF(AW$6="","",IF(AW$3="Maior",iferror(VLOOKUP($R188,Capa!$A:$AJ,AW$5,0),0),IF(ISERROR(1/VLOOKUP($R188,Capa!$A:$AJ,AW$5,0)),0,1/VLOOKUP($R188,Capa!$A:$AJ,AW$5,0))))</f>
        <v/>
      </c>
      <c r="AX188" s="174" t="str">
        <f>IF(AX$6="","",IF(AX$3="Maior",iferror(VLOOKUP($R188,Capa!$A:$AJ,AX$5,0),0),IF(ISERROR(1/VLOOKUP($R188,Capa!$A:$AJ,AX$5,0)),0,1/VLOOKUP($R188,Capa!$A:$AJ,AX$5,0))))</f>
        <v/>
      </c>
      <c r="AY188" s="174" t="str">
        <f>IF(AY$6="","",IF(AY$3="Maior",iferror(VLOOKUP($R188,Capa!$A:$AJ,AY$5,0),0),IF(ISERROR(1/VLOOKUP($R188,Capa!$A:$AJ,AY$5,0)),0,1/VLOOKUP($R188,Capa!$A:$AJ,AY$5,0))))</f>
        <v/>
      </c>
      <c r="AZ188" s="174" t="str">
        <f>IF(AZ$6="","",IF(AZ$3="Maior",iferror(VLOOKUP($R188,Capa!$A:$AJ,AZ$5,0),0),IF(ISERROR(1/VLOOKUP($R188,Capa!$A:$AJ,AZ$5,0)),0,1/VLOOKUP($R188,Capa!$A:$AJ,AZ$5,0))))</f>
        <v/>
      </c>
      <c r="BA188" s="174" t="str">
        <f>IF(BA$6="","",IF(BA$3="Maior",iferror(VLOOKUP($R188,Capa!$A:$AJ,BA$5,0),0),IF(ISERROR(1/VLOOKUP($R188,Capa!$A:$AJ,BA$5,0)),0,1/VLOOKUP($R188,Capa!$A:$AJ,BA$5,0))))</f>
        <v/>
      </c>
      <c r="BB188" s="174" t="str">
        <f>IF(BB$6="","",IF(BB$3="Maior",iferror(VLOOKUP($R188,Capa!$A:$AJ,BB$5,0),0),IF(ISERROR(1/VLOOKUP($R188,Capa!$A:$AJ,BB$5,0)),0,1/VLOOKUP($R188,Capa!$A:$AJ,BB$5,0))))</f>
        <v/>
      </c>
      <c r="BC188" s="174" t="str">
        <f>IF(BC$6="","",IF(BC$3="Maior",iferror(VLOOKUP($R188,Capa!$A:$AJ,BC$5,0),0),IF(ISERROR(1/VLOOKUP($R188,Capa!$A:$AJ,BC$5,0)),0,1/VLOOKUP($R188,Capa!$A:$AJ,BC$5,0))))</f>
        <v/>
      </c>
      <c r="BD188" s="174" t="str">
        <f>IF(BD$6="","",IF(BD$3="Maior",iferror(VLOOKUP($R188,Capa!$A:$AJ,BD$5,0),0),IF(ISERROR(1/VLOOKUP($R188,Capa!$A:$AJ,BD$5,0)),0,1/VLOOKUP($R188,Capa!$A:$AJ,BD$5,0))))</f>
        <v/>
      </c>
      <c r="BE188" s="174" t="str">
        <f>IF(BE$6="","",IF(BE$3="Maior",iferror(VLOOKUP($R188,Capa!$A:$AJ,BE$5,0),0),IF(ISERROR(1/VLOOKUP($R188,Capa!$A:$AJ,BE$5,0)),0,1/VLOOKUP($R188,Capa!$A:$AJ,BE$5,0))))</f>
        <v/>
      </c>
      <c r="BF188" s="174" t="str">
        <f>IF(BF$6="","",IF(BF$3="Maior",iferror(VLOOKUP($R188,Capa!$A:$AJ,BF$5,0),0),IF(ISERROR(1/VLOOKUP($R188,Capa!$A:$AJ,BF$5,0)),0,1/VLOOKUP($R188,Capa!$A:$AJ,BF$5,0))))</f>
        <v/>
      </c>
      <c r="BG188" s="174" t="str">
        <f>IF(BG$6="","",IF(BG$3="Maior",iferror(VLOOKUP($R188,Capa!$A:$AJ,BG$5,0),0),IF(ISERROR(1/VLOOKUP($R188,Capa!$A:$AJ,BG$5,0)),0,1/VLOOKUP($R188,Capa!$A:$AJ,BG$5,0))))</f>
        <v/>
      </c>
      <c r="BH188" s="174" t="str">
        <f>IF(BH$6="","",IF(BH$3="Maior",iferror(VLOOKUP($R188,Capa!$A:$AJ,BH$5,0),0),IF(ISERROR(1/VLOOKUP($R188,Capa!$A:$AJ,BH$5,0)),0,1/VLOOKUP($R188,Capa!$A:$AJ,BH$5,0))))</f>
        <v/>
      </c>
      <c r="BI188" s="174" t="str">
        <f>IF(BI$6="","",IF(BI$3="Maior",iferror(VLOOKUP($R188,Capa!$A:$AJ,BI$5,0),0),IF(ISERROR(1/VLOOKUP($R188,Capa!$A:$AJ,BI$5,0)),0,1/VLOOKUP($R188,Capa!$A:$AJ,BI$5,0))))</f>
        <v/>
      </c>
      <c r="BJ188" s="174" t="str">
        <f>IF(BJ$6="","",IF(BJ$3="Maior",iferror(VLOOKUP($R188,Capa!$A:$AJ,BJ$5,0),0),IF(ISERROR(1/VLOOKUP($R188,Capa!$A:$AJ,BJ$5,0)),0,1/VLOOKUP($R188,Capa!$A:$AJ,BJ$5,0))))</f>
        <v/>
      </c>
      <c r="BK188" s="174" t="str">
        <f>IF(BK$6="","",IF(BK$3="Maior",iferror(VLOOKUP($R188,Capa!$A:$AJ,BK$5,0),0),IF(ISERROR(1/VLOOKUP($R188,Capa!$A:$AJ,BK$5,0)),0,1/VLOOKUP($R188,Capa!$A:$AJ,BK$5,0))))</f>
        <v/>
      </c>
      <c r="BL188" s="174" t="str">
        <f>IF(BL$6="","",IF(BL$3="Maior",iferror(VLOOKUP($R188,Capa!$A:$AJ,BL$5,0),0),IF(ISERROR(1/VLOOKUP($R188,Capa!$A:$AJ,BL$5,0)),0,1/VLOOKUP($R188,Capa!$A:$AJ,BL$5,0))))</f>
        <v/>
      </c>
      <c r="BM188" s="174" t="str">
        <f>IF(BM$6="","",IF(BM$3="Maior",iferror(VLOOKUP($R188,Capa!$A:$AJ,BM$5,0),0),IF(ISERROR(1/VLOOKUP($R188,Capa!$A:$AJ,BM$5,0)),0,1/VLOOKUP($R188,Capa!$A:$AJ,BM$5,0))))</f>
        <v/>
      </c>
      <c r="BN188" s="174" t="str">
        <f>IF(BN$6="","",IF(BN$3="Maior",iferror(VLOOKUP($R188,Capa!$A:$AJ,BN$5,0),0),IF(ISERROR(1/VLOOKUP($R188,Capa!$A:$AJ,BN$5,0)),0,1/VLOOKUP($R188,Capa!$A:$AJ,BN$5,0))))</f>
        <v/>
      </c>
      <c r="BO188" s="174" t="str">
        <f>IF(BO$6="","",IF(BO$3="Maior",iferror(VLOOKUP($R188,Capa!$A:$AJ,BO$5,0),0),IF(ISERROR(1/VLOOKUP($R188,Capa!$A:$AJ,BO$5,0)),0,1/VLOOKUP($R188,Capa!$A:$AJ,BO$5,0))))</f>
        <v/>
      </c>
      <c r="BP188" s="174" t="str">
        <f>IF(BP$6="","",IF(BP$3="Maior",iferror(VLOOKUP($R188,Capa!$A:$AJ,BP$5,0),0),IF(ISERROR(1/VLOOKUP($R188,Capa!$A:$AJ,BP$5,0)),0,1/VLOOKUP($R188,Capa!$A:$AJ,BP$5,0))))</f>
        <v/>
      </c>
      <c r="BQ188" s="174" t="str">
        <f>IF(BQ$6="","",IF(BQ$3="Maior",iferror(VLOOKUP($R188,Capa!$A:$AJ,BQ$5,0),0),IF(ISERROR(1/VLOOKUP($R188,Capa!$A:$AJ,BQ$5,0)),0,1/VLOOKUP($R188,Capa!$A:$AJ,BQ$5,0))))</f>
        <v/>
      </c>
      <c r="BR188" s="175"/>
      <c r="BS188" s="147"/>
    </row>
    <row r="189">
      <c r="G189" s="11"/>
      <c r="H189" s="8">
        <v>183.0</v>
      </c>
      <c r="I189" s="165" t="str">
        <f t="shared" si="6"/>
        <v>TUPY3</v>
      </c>
      <c r="J189" s="166" t="str">
        <f>(VLOOKUP($I189,Capa!$A:$B,2,0))</f>
        <v>Tupy SA</v>
      </c>
      <c r="K189" s="167" t="str">
        <f>VLOOKUP(left(I189,4),Setor!A:D,3,0)&amp;" | "&amp;VLOOKUP(left(I189,4),Setor!A:D,4,0)</f>
        <v>Bens Industriais | Material de Transporte</v>
      </c>
      <c r="L189" s="168">
        <f>(VLOOKUP($I189,Capa!$A:$F,6,0))</f>
        <v>12.26</v>
      </c>
      <c r="M189" s="168">
        <f t="shared" si="7"/>
        <v>16508021</v>
      </c>
      <c r="N189" s="177" t="str">
        <f>IFERROR(__xludf.DUMMYFUNCTION("(VLOOKUP($I189,Capa!$A:$H,7,0))"),"")</f>
        <v/>
      </c>
      <c r="O189" s="169">
        <f>(VLOOKUP($I189,Capa!$A:$H,8,0))</f>
        <v>0.02680067002</v>
      </c>
      <c r="P189" s="169" t="str">
        <f>IFERROR(__xludf.DUMMYFUNCTION("(VLOOKUP($I189,Capa!$A:$J,10,0))"),"")</f>
        <v/>
      </c>
      <c r="Q189" s="169">
        <f>(VLOOKUP($I189,Capa!$A:$K,11,0))</f>
        <v>-0.4219707685</v>
      </c>
      <c r="R189" s="45" t="str">
        <f>'Dados StatusInvest'!A184</f>
        <v>CRPG3</v>
      </c>
      <c r="S189" s="170">
        <f t="shared" si="8"/>
        <v>1546.0546</v>
      </c>
      <c r="T189" s="171">
        <f>VLOOKUP(R189,'Dados StatusInvest'!A:Z,26,0)</f>
        <v>706.6</v>
      </c>
      <c r="U189" s="172">
        <f t="shared" ref="U189:AS189" si="191">IF(AT189="","", RANK(AT189,AT$7:AT$626,0)+RANK(AT189,AT$7:AT$626,0)/10000)</f>
        <v>279.0279</v>
      </c>
      <c r="V189" s="172">
        <f t="shared" si="191"/>
        <v>267.0267</v>
      </c>
      <c r="W189" s="172" t="str">
        <f t="shared" si="191"/>
        <v/>
      </c>
      <c r="X189" s="172" t="str">
        <f t="shared" si="191"/>
        <v/>
      </c>
      <c r="Y189" s="172" t="str">
        <f t="shared" si="191"/>
        <v/>
      </c>
      <c r="Z189" s="172" t="str">
        <f t="shared" si="191"/>
        <v/>
      </c>
      <c r="AA189" s="172" t="str">
        <f t="shared" si="191"/>
        <v/>
      </c>
      <c r="AB189" s="172" t="str">
        <f t="shared" si="191"/>
        <v/>
      </c>
      <c r="AC189" s="172" t="str">
        <f t="shared" si="191"/>
        <v/>
      </c>
      <c r="AD189" s="172" t="str">
        <f t="shared" si="191"/>
        <v/>
      </c>
      <c r="AE189" s="172" t="str">
        <f t="shared" si="191"/>
        <v/>
      </c>
      <c r="AF189" s="172" t="str">
        <f t="shared" si="191"/>
        <v/>
      </c>
      <c r="AG189" s="172" t="str">
        <f t="shared" si="191"/>
        <v/>
      </c>
      <c r="AH189" s="172" t="str">
        <f t="shared" si="191"/>
        <v/>
      </c>
      <c r="AI189" s="172" t="str">
        <f t="shared" si="191"/>
        <v/>
      </c>
      <c r="AJ189" s="172" t="str">
        <f t="shared" si="191"/>
        <v/>
      </c>
      <c r="AK189" s="172" t="str">
        <f t="shared" si="191"/>
        <v/>
      </c>
      <c r="AL189" s="172" t="str">
        <f t="shared" si="191"/>
        <v/>
      </c>
      <c r="AM189" s="172" t="str">
        <f t="shared" si="191"/>
        <v/>
      </c>
      <c r="AN189" s="172" t="str">
        <f t="shared" si="191"/>
        <v/>
      </c>
      <c r="AO189" s="172" t="str">
        <f t="shared" si="191"/>
        <v/>
      </c>
      <c r="AP189" s="172" t="str">
        <f t="shared" si="191"/>
        <v/>
      </c>
      <c r="AQ189" s="172" t="str">
        <f t="shared" si="191"/>
        <v/>
      </c>
      <c r="AR189" s="172" t="str">
        <f t="shared" si="191"/>
        <v/>
      </c>
      <c r="AS189" s="172" t="str">
        <f t="shared" si="191"/>
        <v/>
      </c>
      <c r="AT189" s="173">
        <f>IF(AT$6="","",IF(AT$3="Maior",iferror(VLOOKUP($R189,Capa!$A:$AJ,AT$5,0),0),IF(ISERROR(1/VLOOKUP($R189,Capa!$A:$AJ,AT$5,0)),0,1/VLOOKUP($R189,Capa!$A:$AJ,AT$5,0))))</f>
        <v>-0.5988023952</v>
      </c>
      <c r="AU189" s="174">
        <f>IF(AU$6="","",IF(AU$3="Maior",iferror(VLOOKUP($R189,Capa!$A:$AJ,AU$5,0),0),IF(ISERROR(1/VLOOKUP($R189,Capa!$A:$AJ,AU$5,0)),0,1/VLOOKUP($R189,Capa!$A:$AJ,AU$5,0))))</f>
        <v>0</v>
      </c>
      <c r="AV189" s="174" t="str">
        <f>IF(AV$6="","",IF(AV$3="Maior",iferror(VLOOKUP($R189,Capa!$A:$AJ,AV$5,0),0),IF(ISERROR(1/VLOOKUP($R189,Capa!$A:$AJ,AV$5,0)),0,1/VLOOKUP($R189,Capa!$A:$AJ,AV$5,0))))</f>
        <v/>
      </c>
      <c r="AW189" s="174" t="str">
        <f>IF(AW$6="","",IF(AW$3="Maior",iferror(VLOOKUP($R189,Capa!$A:$AJ,AW$5,0),0),IF(ISERROR(1/VLOOKUP($R189,Capa!$A:$AJ,AW$5,0)),0,1/VLOOKUP($R189,Capa!$A:$AJ,AW$5,0))))</f>
        <v/>
      </c>
      <c r="AX189" s="174" t="str">
        <f>IF(AX$6="","",IF(AX$3="Maior",iferror(VLOOKUP($R189,Capa!$A:$AJ,AX$5,0),0),IF(ISERROR(1/VLOOKUP($R189,Capa!$A:$AJ,AX$5,0)),0,1/VLOOKUP($R189,Capa!$A:$AJ,AX$5,0))))</f>
        <v/>
      </c>
      <c r="AY189" s="174" t="str">
        <f>IF(AY$6="","",IF(AY$3="Maior",iferror(VLOOKUP($R189,Capa!$A:$AJ,AY$5,0),0),IF(ISERROR(1/VLOOKUP($R189,Capa!$A:$AJ,AY$5,0)),0,1/VLOOKUP($R189,Capa!$A:$AJ,AY$5,0))))</f>
        <v/>
      </c>
      <c r="AZ189" s="174" t="str">
        <f>IF(AZ$6="","",IF(AZ$3="Maior",iferror(VLOOKUP($R189,Capa!$A:$AJ,AZ$5,0),0),IF(ISERROR(1/VLOOKUP($R189,Capa!$A:$AJ,AZ$5,0)),0,1/VLOOKUP($R189,Capa!$A:$AJ,AZ$5,0))))</f>
        <v/>
      </c>
      <c r="BA189" s="174" t="str">
        <f>IF(BA$6="","",IF(BA$3="Maior",iferror(VLOOKUP($R189,Capa!$A:$AJ,BA$5,0),0),IF(ISERROR(1/VLOOKUP($R189,Capa!$A:$AJ,BA$5,0)),0,1/VLOOKUP($R189,Capa!$A:$AJ,BA$5,0))))</f>
        <v/>
      </c>
      <c r="BB189" s="174" t="str">
        <f>IF(BB$6="","",IF(BB$3="Maior",iferror(VLOOKUP($R189,Capa!$A:$AJ,BB$5,0),0),IF(ISERROR(1/VLOOKUP($R189,Capa!$A:$AJ,BB$5,0)),0,1/VLOOKUP($R189,Capa!$A:$AJ,BB$5,0))))</f>
        <v/>
      </c>
      <c r="BC189" s="174" t="str">
        <f>IF(BC$6="","",IF(BC$3="Maior",iferror(VLOOKUP($R189,Capa!$A:$AJ,BC$5,0),0),IF(ISERROR(1/VLOOKUP($R189,Capa!$A:$AJ,BC$5,0)),0,1/VLOOKUP($R189,Capa!$A:$AJ,BC$5,0))))</f>
        <v/>
      </c>
      <c r="BD189" s="174" t="str">
        <f>IF(BD$6="","",IF(BD$3="Maior",iferror(VLOOKUP($R189,Capa!$A:$AJ,BD$5,0),0),IF(ISERROR(1/VLOOKUP($R189,Capa!$A:$AJ,BD$5,0)),0,1/VLOOKUP($R189,Capa!$A:$AJ,BD$5,0))))</f>
        <v/>
      </c>
      <c r="BE189" s="174" t="str">
        <f>IF(BE$6="","",IF(BE$3="Maior",iferror(VLOOKUP($R189,Capa!$A:$AJ,BE$5,0),0),IF(ISERROR(1/VLOOKUP($R189,Capa!$A:$AJ,BE$5,0)),0,1/VLOOKUP($R189,Capa!$A:$AJ,BE$5,0))))</f>
        <v/>
      </c>
      <c r="BF189" s="174" t="str">
        <f>IF(BF$6="","",IF(BF$3="Maior",iferror(VLOOKUP($R189,Capa!$A:$AJ,BF$5,0),0),IF(ISERROR(1/VLOOKUP($R189,Capa!$A:$AJ,BF$5,0)),0,1/VLOOKUP($R189,Capa!$A:$AJ,BF$5,0))))</f>
        <v/>
      </c>
      <c r="BG189" s="174" t="str">
        <f>IF(BG$6="","",IF(BG$3="Maior",iferror(VLOOKUP($R189,Capa!$A:$AJ,BG$5,0),0),IF(ISERROR(1/VLOOKUP($R189,Capa!$A:$AJ,BG$5,0)),0,1/VLOOKUP($R189,Capa!$A:$AJ,BG$5,0))))</f>
        <v/>
      </c>
      <c r="BH189" s="174" t="str">
        <f>IF(BH$6="","",IF(BH$3="Maior",iferror(VLOOKUP($R189,Capa!$A:$AJ,BH$5,0),0),IF(ISERROR(1/VLOOKUP($R189,Capa!$A:$AJ,BH$5,0)),0,1/VLOOKUP($R189,Capa!$A:$AJ,BH$5,0))))</f>
        <v/>
      </c>
      <c r="BI189" s="174" t="str">
        <f>IF(BI$6="","",IF(BI$3="Maior",iferror(VLOOKUP($R189,Capa!$A:$AJ,BI$5,0),0),IF(ISERROR(1/VLOOKUP($R189,Capa!$A:$AJ,BI$5,0)),0,1/VLOOKUP($R189,Capa!$A:$AJ,BI$5,0))))</f>
        <v/>
      </c>
      <c r="BJ189" s="174" t="str">
        <f>IF(BJ$6="","",IF(BJ$3="Maior",iferror(VLOOKUP($R189,Capa!$A:$AJ,BJ$5,0),0),IF(ISERROR(1/VLOOKUP($R189,Capa!$A:$AJ,BJ$5,0)),0,1/VLOOKUP($R189,Capa!$A:$AJ,BJ$5,0))))</f>
        <v/>
      </c>
      <c r="BK189" s="174" t="str">
        <f>IF(BK$6="","",IF(BK$3="Maior",iferror(VLOOKUP($R189,Capa!$A:$AJ,BK$5,0),0),IF(ISERROR(1/VLOOKUP($R189,Capa!$A:$AJ,BK$5,0)),0,1/VLOOKUP($R189,Capa!$A:$AJ,BK$5,0))))</f>
        <v/>
      </c>
      <c r="BL189" s="174" t="str">
        <f>IF(BL$6="","",IF(BL$3="Maior",iferror(VLOOKUP($R189,Capa!$A:$AJ,BL$5,0),0),IF(ISERROR(1/VLOOKUP($R189,Capa!$A:$AJ,BL$5,0)),0,1/VLOOKUP($R189,Capa!$A:$AJ,BL$5,0))))</f>
        <v/>
      </c>
      <c r="BM189" s="174" t="str">
        <f>IF(BM$6="","",IF(BM$3="Maior",iferror(VLOOKUP($R189,Capa!$A:$AJ,BM$5,0),0),IF(ISERROR(1/VLOOKUP($R189,Capa!$A:$AJ,BM$5,0)),0,1/VLOOKUP($R189,Capa!$A:$AJ,BM$5,0))))</f>
        <v/>
      </c>
      <c r="BN189" s="174" t="str">
        <f>IF(BN$6="","",IF(BN$3="Maior",iferror(VLOOKUP($R189,Capa!$A:$AJ,BN$5,0),0),IF(ISERROR(1/VLOOKUP($R189,Capa!$A:$AJ,BN$5,0)),0,1/VLOOKUP($R189,Capa!$A:$AJ,BN$5,0))))</f>
        <v/>
      </c>
      <c r="BO189" s="174" t="str">
        <f>IF(BO$6="","",IF(BO$3="Maior",iferror(VLOOKUP($R189,Capa!$A:$AJ,BO$5,0),0),IF(ISERROR(1/VLOOKUP($R189,Capa!$A:$AJ,BO$5,0)),0,1/VLOOKUP($R189,Capa!$A:$AJ,BO$5,0))))</f>
        <v/>
      </c>
      <c r="BP189" s="174" t="str">
        <f>IF(BP$6="","",IF(BP$3="Maior",iferror(VLOOKUP($R189,Capa!$A:$AJ,BP$5,0),0),IF(ISERROR(1/VLOOKUP($R189,Capa!$A:$AJ,BP$5,0)),0,1/VLOOKUP($R189,Capa!$A:$AJ,BP$5,0))))</f>
        <v/>
      </c>
      <c r="BQ189" s="174" t="str">
        <f>IF(BQ$6="","",IF(BQ$3="Maior",iferror(VLOOKUP($R189,Capa!$A:$AJ,BQ$5,0),0),IF(ISERROR(1/VLOOKUP($R189,Capa!$A:$AJ,BQ$5,0)),0,1/VLOOKUP($R189,Capa!$A:$AJ,BQ$5,0))))</f>
        <v/>
      </c>
      <c r="BR189" s="175"/>
      <c r="BS189" s="147"/>
    </row>
    <row r="190">
      <c r="G190" s="11"/>
      <c r="H190" s="8">
        <v>184.0</v>
      </c>
      <c r="I190" s="165" t="str">
        <f t="shared" si="6"/>
        <v>USIM3</v>
      </c>
      <c r="J190" s="166" t="str">
        <f>(VLOOKUP($I190,Capa!$A:$B,2,0))</f>
        <v>Usinas Siderurgicas de Mins Grs SA USMNS</v>
      </c>
      <c r="K190" s="167" t="str">
        <f>VLOOKUP(left(I190,4),Setor!A:D,3,0)&amp;" | "&amp;VLOOKUP(left(I190,4),Setor!A:D,4,0)</f>
        <v>Materiais Básicos | Siderurgia e Metalurgia</v>
      </c>
      <c r="L190" s="168">
        <f>(VLOOKUP($I190,Capa!$A:$F,6,0))</f>
        <v>6.2</v>
      </c>
      <c r="M190" s="168">
        <f t="shared" si="7"/>
        <v>3423355</v>
      </c>
      <c r="N190" s="177" t="str">
        <f>IFERROR(__xludf.DUMMYFUNCTION("(VLOOKUP($I190,Capa!$A:$H,7,0))"),"")</f>
        <v/>
      </c>
      <c r="O190" s="169">
        <f>(VLOOKUP($I190,Capa!$A:$H,8,0))</f>
        <v>-0.00481540931</v>
      </c>
      <c r="P190" s="169" t="str">
        <f>IFERROR(__xludf.DUMMYFUNCTION("(VLOOKUP($I190,Capa!$A:$J,10,0))"),"")</f>
        <v/>
      </c>
      <c r="Q190" s="169">
        <f>(VLOOKUP($I190,Capa!$A:$K,11,0))</f>
        <v>0.02819237148</v>
      </c>
      <c r="R190" s="45" t="str">
        <f>'Dados StatusInvest'!A185</f>
        <v>CRPG5</v>
      </c>
      <c r="S190" s="170">
        <f t="shared" si="8"/>
        <v>1540.054</v>
      </c>
      <c r="T190" s="171">
        <f>VLOOKUP(R190,'Dados StatusInvest'!A:Z,26,0)</f>
        <v>40301.24</v>
      </c>
      <c r="U190" s="172">
        <f t="shared" ref="U190:AS190" si="192">IF(AT190="","", RANK(AT190,AT$7:AT$626,0)+RANK(AT190,AT$7:AT$626,0)/10000)</f>
        <v>273.0273</v>
      </c>
      <c r="V190" s="172">
        <f t="shared" si="192"/>
        <v>267.0267</v>
      </c>
      <c r="W190" s="172" t="str">
        <f t="shared" si="192"/>
        <v/>
      </c>
      <c r="X190" s="172" t="str">
        <f t="shared" si="192"/>
        <v/>
      </c>
      <c r="Y190" s="172" t="str">
        <f t="shared" si="192"/>
        <v/>
      </c>
      <c r="Z190" s="172" t="str">
        <f t="shared" si="192"/>
        <v/>
      </c>
      <c r="AA190" s="172" t="str">
        <f t="shared" si="192"/>
        <v/>
      </c>
      <c r="AB190" s="172" t="str">
        <f t="shared" si="192"/>
        <v/>
      </c>
      <c r="AC190" s="172" t="str">
        <f t="shared" si="192"/>
        <v/>
      </c>
      <c r="AD190" s="172" t="str">
        <f t="shared" si="192"/>
        <v/>
      </c>
      <c r="AE190" s="172" t="str">
        <f t="shared" si="192"/>
        <v/>
      </c>
      <c r="AF190" s="172" t="str">
        <f t="shared" si="192"/>
        <v/>
      </c>
      <c r="AG190" s="172" t="str">
        <f t="shared" si="192"/>
        <v/>
      </c>
      <c r="AH190" s="172" t="str">
        <f t="shared" si="192"/>
        <v/>
      </c>
      <c r="AI190" s="172" t="str">
        <f t="shared" si="192"/>
        <v/>
      </c>
      <c r="AJ190" s="172" t="str">
        <f t="shared" si="192"/>
        <v/>
      </c>
      <c r="AK190" s="172" t="str">
        <f t="shared" si="192"/>
        <v/>
      </c>
      <c r="AL190" s="172" t="str">
        <f t="shared" si="192"/>
        <v/>
      </c>
      <c r="AM190" s="172" t="str">
        <f t="shared" si="192"/>
        <v/>
      </c>
      <c r="AN190" s="172" t="str">
        <f t="shared" si="192"/>
        <v/>
      </c>
      <c r="AO190" s="172" t="str">
        <f t="shared" si="192"/>
        <v/>
      </c>
      <c r="AP190" s="172" t="str">
        <f t="shared" si="192"/>
        <v/>
      </c>
      <c r="AQ190" s="172" t="str">
        <f t="shared" si="192"/>
        <v/>
      </c>
      <c r="AR190" s="172" t="str">
        <f t="shared" si="192"/>
        <v/>
      </c>
      <c r="AS190" s="172" t="str">
        <f t="shared" si="192"/>
        <v/>
      </c>
      <c r="AT190" s="173">
        <f>IF(AT$6="","",IF(AT$3="Maior",iferror(VLOOKUP($R190,Capa!$A:$AJ,AT$5,0),0),IF(ISERROR(1/VLOOKUP($R190,Capa!$A:$AJ,AT$5,0)),0,1/VLOOKUP($R190,Capa!$A:$AJ,AT$5,0))))</f>
        <v>-0.5714285714</v>
      </c>
      <c r="AU190" s="174">
        <f>IF(AU$6="","",IF(AU$3="Maior",iferror(VLOOKUP($R190,Capa!$A:$AJ,AU$5,0),0),IF(ISERROR(1/VLOOKUP($R190,Capa!$A:$AJ,AU$5,0)),0,1/VLOOKUP($R190,Capa!$A:$AJ,AU$5,0))))</f>
        <v>0</v>
      </c>
      <c r="AV190" s="174" t="str">
        <f>IF(AV$6="","",IF(AV$3="Maior",iferror(VLOOKUP($R190,Capa!$A:$AJ,AV$5,0),0),IF(ISERROR(1/VLOOKUP($R190,Capa!$A:$AJ,AV$5,0)),0,1/VLOOKUP($R190,Capa!$A:$AJ,AV$5,0))))</f>
        <v/>
      </c>
      <c r="AW190" s="174" t="str">
        <f>IF(AW$6="","",IF(AW$3="Maior",iferror(VLOOKUP($R190,Capa!$A:$AJ,AW$5,0),0),IF(ISERROR(1/VLOOKUP($R190,Capa!$A:$AJ,AW$5,0)),0,1/VLOOKUP($R190,Capa!$A:$AJ,AW$5,0))))</f>
        <v/>
      </c>
      <c r="AX190" s="174" t="str">
        <f>IF(AX$6="","",IF(AX$3="Maior",iferror(VLOOKUP($R190,Capa!$A:$AJ,AX$5,0),0),IF(ISERROR(1/VLOOKUP($R190,Capa!$A:$AJ,AX$5,0)),0,1/VLOOKUP($R190,Capa!$A:$AJ,AX$5,0))))</f>
        <v/>
      </c>
      <c r="AY190" s="174" t="str">
        <f>IF(AY$6="","",IF(AY$3="Maior",iferror(VLOOKUP($R190,Capa!$A:$AJ,AY$5,0),0),IF(ISERROR(1/VLOOKUP($R190,Capa!$A:$AJ,AY$5,0)),0,1/VLOOKUP($R190,Capa!$A:$AJ,AY$5,0))))</f>
        <v/>
      </c>
      <c r="AZ190" s="174" t="str">
        <f>IF(AZ$6="","",IF(AZ$3="Maior",iferror(VLOOKUP($R190,Capa!$A:$AJ,AZ$5,0),0),IF(ISERROR(1/VLOOKUP($R190,Capa!$A:$AJ,AZ$5,0)),0,1/VLOOKUP($R190,Capa!$A:$AJ,AZ$5,0))))</f>
        <v/>
      </c>
      <c r="BA190" s="174" t="str">
        <f>IF(BA$6="","",IF(BA$3="Maior",iferror(VLOOKUP($R190,Capa!$A:$AJ,BA$5,0),0),IF(ISERROR(1/VLOOKUP($R190,Capa!$A:$AJ,BA$5,0)),0,1/VLOOKUP($R190,Capa!$A:$AJ,BA$5,0))))</f>
        <v/>
      </c>
      <c r="BB190" s="174" t="str">
        <f>IF(BB$6="","",IF(BB$3="Maior",iferror(VLOOKUP($R190,Capa!$A:$AJ,BB$5,0),0),IF(ISERROR(1/VLOOKUP($R190,Capa!$A:$AJ,BB$5,0)),0,1/VLOOKUP($R190,Capa!$A:$AJ,BB$5,0))))</f>
        <v/>
      </c>
      <c r="BC190" s="174" t="str">
        <f>IF(BC$6="","",IF(BC$3="Maior",iferror(VLOOKUP($R190,Capa!$A:$AJ,BC$5,0),0),IF(ISERROR(1/VLOOKUP($R190,Capa!$A:$AJ,BC$5,0)),0,1/VLOOKUP($R190,Capa!$A:$AJ,BC$5,0))))</f>
        <v/>
      </c>
      <c r="BD190" s="174" t="str">
        <f>IF(BD$6="","",IF(BD$3="Maior",iferror(VLOOKUP($R190,Capa!$A:$AJ,BD$5,0),0),IF(ISERROR(1/VLOOKUP($R190,Capa!$A:$AJ,BD$5,0)),0,1/VLOOKUP($R190,Capa!$A:$AJ,BD$5,0))))</f>
        <v/>
      </c>
      <c r="BE190" s="174" t="str">
        <f>IF(BE$6="","",IF(BE$3="Maior",iferror(VLOOKUP($R190,Capa!$A:$AJ,BE$5,0),0),IF(ISERROR(1/VLOOKUP($R190,Capa!$A:$AJ,BE$5,0)),0,1/VLOOKUP($R190,Capa!$A:$AJ,BE$5,0))))</f>
        <v/>
      </c>
      <c r="BF190" s="174" t="str">
        <f>IF(BF$6="","",IF(BF$3="Maior",iferror(VLOOKUP($R190,Capa!$A:$AJ,BF$5,0),0),IF(ISERROR(1/VLOOKUP($R190,Capa!$A:$AJ,BF$5,0)),0,1/VLOOKUP($R190,Capa!$A:$AJ,BF$5,0))))</f>
        <v/>
      </c>
      <c r="BG190" s="174" t="str">
        <f>IF(BG$6="","",IF(BG$3="Maior",iferror(VLOOKUP($R190,Capa!$A:$AJ,BG$5,0),0),IF(ISERROR(1/VLOOKUP($R190,Capa!$A:$AJ,BG$5,0)),0,1/VLOOKUP($R190,Capa!$A:$AJ,BG$5,0))))</f>
        <v/>
      </c>
      <c r="BH190" s="174" t="str">
        <f>IF(BH$6="","",IF(BH$3="Maior",iferror(VLOOKUP($R190,Capa!$A:$AJ,BH$5,0),0),IF(ISERROR(1/VLOOKUP($R190,Capa!$A:$AJ,BH$5,0)),0,1/VLOOKUP($R190,Capa!$A:$AJ,BH$5,0))))</f>
        <v/>
      </c>
      <c r="BI190" s="174" t="str">
        <f>IF(BI$6="","",IF(BI$3="Maior",iferror(VLOOKUP($R190,Capa!$A:$AJ,BI$5,0),0),IF(ISERROR(1/VLOOKUP($R190,Capa!$A:$AJ,BI$5,0)),0,1/VLOOKUP($R190,Capa!$A:$AJ,BI$5,0))))</f>
        <v/>
      </c>
      <c r="BJ190" s="174" t="str">
        <f>IF(BJ$6="","",IF(BJ$3="Maior",iferror(VLOOKUP($R190,Capa!$A:$AJ,BJ$5,0),0),IF(ISERROR(1/VLOOKUP($R190,Capa!$A:$AJ,BJ$5,0)),0,1/VLOOKUP($R190,Capa!$A:$AJ,BJ$5,0))))</f>
        <v/>
      </c>
      <c r="BK190" s="174" t="str">
        <f>IF(BK$6="","",IF(BK$3="Maior",iferror(VLOOKUP($R190,Capa!$A:$AJ,BK$5,0),0),IF(ISERROR(1/VLOOKUP($R190,Capa!$A:$AJ,BK$5,0)),0,1/VLOOKUP($R190,Capa!$A:$AJ,BK$5,0))))</f>
        <v/>
      </c>
      <c r="BL190" s="174" t="str">
        <f>IF(BL$6="","",IF(BL$3="Maior",iferror(VLOOKUP($R190,Capa!$A:$AJ,BL$5,0),0),IF(ISERROR(1/VLOOKUP($R190,Capa!$A:$AJ,BL$5,0)),0,1/VLOOKUP($R190,Capa!$A:$AJ,BL$5,0))))</f>
        <v/>
      </c>
      <c r="BM190" s="174" t="str">
        <f>IF(BM$6="","",IF(BM$3="Maior",iferror(VLOOKUP($R190,Capa!$A:$AJ,BM$5,0),0),IF(ISERROR(1/VLOOKUP($R190,Capa!$A:$AJ,BM$5,0)),0,1/VLOOKUP($R190,Capa!$A:$AJ,BM$5,0))))</f>
        <v/>
      </c>
      <c r="BN190" s="174" t="str">
        <f>IF(BN$6="","",IF(BN$3="Maior",iferror(VLOOKUP($R190,Capa!$A:$AJ,BN$5,0),0),IF(ISERROR(1/VLOOKUP($R190,Capa!$A:$AJ,BN$5,0)),0,1/VLOOKUP($R190,Capa!$A:$AJ,BN$5,0))))</f>
        <v/>
      </c>
      <c r="BO190" s="174" t="str">
        <f>IF(BO$6="","",IF(BO$3="Maior",iferror(VLOOKUP($R190,Capa!$A:$AJ,BO$5,0),0),IF(ISERROR(1/VLOOKUP($R190,Capa!$A:$AJ,BO$5,0)),0,1/VLOOKUP($R190,Capa!$A:$AJ,BO$5,0))))</f>
        <v/>
      </c>
      <c r="BP190" s="174" t="str">
        <f>IF(BP$6="","",IF(BP$3="Maior",iferror(VLOOKUP($R190,Capa!$A:$AJ,BP$5,0),0),IF(ISERROR(1/VLOOKUP($R190,Capa!$A:$AJ,BP$5,0)),0,1/VLOOKUP($R190,Capa!$A:$AJ,BP$5,0))))</f>
        <v/>
      </c>
      <c r="BQ190" s="174" t="str">
        <f>IF(BQ$6="","",IF(BQ$3="Maior",iferror(VLOOKUP($R190,Capa!$A:$AJ,BQ$5,0),0),IF(ISERROR(1/VLOOKUP($R190,Capa!$A:$AJ,BQ$5,0)),0,1/VLOOKUP($R190,Capa!$A:$AJ,BQ$5,0))))</f>
        <v/>
      </c>
      <c r="BR190" s="175"/>
      <c r="BS190" s="147"/>
    </row>
    <row r="191">
      <c r="G191" s="11"/>
      <c r="H191" s="8">
        <v>185.0</v>
      </c>
      <c r="I191" s="165" t="str">
        <f t="shared" si="6"/>
        <v>AURE3</v>
      </c>
      <c r="J191" s="166" t="str">
        <f>(VLOOKUP($I191,Capa!$A:$B,2,0))</f>
        <v>Auren Energia SA</v>
      </c>
      <c r="K191" s="167" t="str">
        <f>VLOOKUP(left(I191,4),Setor!A:D,3,0)&amp;" | "&amp;VLOOKUP(left(I191,4),Setor!A:D,4,0)</f>
        <v>#N/A</v>
      </c>
      <c r="L191" s="168">
        <f>(VLOOKUP($I191,Capa!$A:$F,6,0))</f>
        <v>11.56</v>
      </c>
      <c r="M191" s="168">
        <f t="shared" si="7"/>
        <v>58479399</v>
      </c>
      <c r="N191" s="11" t="str">
        <f>IFERROR(__xludf.DUMMYFUNCTION("(VLOOKUP($I191,Capa!$A:$H,7,0))"),"")</f>
        <v/>
      </c>
      <c r="O191" s="169">
        <f>(VLOOKUP($I191,Capa!$A:$H,8,0))</f>
        <v>-0.01617021277</v>
      </c>
      <c r="P191" s="11" t="str">
        <f>IFERROR(__xludf.DUMMYFUNCTION("(VLOOKUP($I191,Capa!$A:$J,10,0))"),"")</f>
        <v/>
      </c>
      <c r="Q191" s="169">
        <f>(VLOOKUP($I191,Capa!$A:$K,11,0))</f>
        <v>0.3062146893</v>
      </c>
      <c r="R191" s="45" t="str">
        <f>'Dados StatusInvest'!A186</f>
        <v>CRPG6</v>
      </c>
      <c r="S191" s="170">
        <f t="shared" si="8"/>
        <v>1549.0549</v>
      </c>
      <c r="T191" s="171">
        <f>VLOOKUP(R191,'Dados StatusInvest'!A:Z,26,0)</f>
        <v>12718.36</v>
      </c>
      <c r="U191" s="172">
        <f t="shared" ref="U191:AS191" si="193">IF(AT191="","", RANK(AT191,AT$7:AT$626,0)+RANK(AT191,AT$7:AT$626,0)/10000)</f>
        <v>282.0282</v>
      </c>
      <c r="V191" s="172">
        <f t="shared" si="193"/>
        <v>267.0267</v>
      </c>
      <c r="W191" s="172" t="str">
        <f t="shared" si="193"/>
        <v/>
      </c>
      <c r="X191" s="172" t="str">
        <f t="shared" si="193"/>
        <v/>
      </c>
      <c r="Y191" s="172" t="str">
        <f t="shared" si="193"/>
        <v/>
      </c>
      <c r="Z191" s="172" t="str">
        <f t="shared" si="193"/>
        <v/>
      </c>
      <c r="AA191" s="172" t="str">
        <f t="shared" si="193"/>
        <v/>
      </c>
      <c r="AB191" s="172" t="str">
        <f t="shared" si="193"/>
        <v/>
      </c>
      <c r="AC191" s="172" t="str">
        <f t="shared" si="193"/>
        <v/>
      </c>
      <c r="AD191" s="172" t="str">
        <f t="shared" si="193"/>
        <v/>
      </c>
      <c r="AE191" s="172" t="str">
        <f t="shared" si="193"/>
        <v/>
      </c>
      <c r="AF191" s="172" t="str">
        <f t="shared" si="193"/>
        <v/>
      </c>
      <c r="AG191" s="172" t="str">
        <f t="shared" si="193"/>
        <v/>
      </c>
      <c r="AH191" s="172" t="str">
        <f t="shared" si="193"/>
        <v/>
      </c>
      <c r="AI191" s="172" t="str">
        <f t="shared" si="193"/>
        <v/>
      </c>
      <c r="AJ191" s="172" t="str">
        <f t="shared" si="193"/>
        <v/>
      </c>
      <c r="AK191" s="172" t="str">
        <f t="shared" si="193"/>
        <v/>
      </c>
      <c r="AL191" s="172" t="str">
        <f t="shared" si="193"/>
        <v/>
      </c>
      <c r="AM191" s="172" t="str">
        <f t="shared" si="193"/>
        <v/>
      </c>
      <c r="AN191" s="172" t="str">
        <f t="shared" si="193"/>
        <v/>
      </c>
      <c r="AO191" s="172" t="str">
        <f t="shared" si="193"/>
        <v/>
      </c>
      <c r="AP191" s="172" t="str">
        <f t="shared" si="193"/>
        <v/>
      </c>
      <c r="AQ191" s="172" t="str">
        <f t="shared" si="193"/>
        <v/>
      </c>
      <c r="AR191" s="172" t="str">
        <f t="shared" si="193"/>
        <v/>
      </c>
      <c r="AS191" s="172" t="str">
        <f t="shared" si="193"/>
        <v/>
      </c>
      <c r="AT191" s="173">
        <f>IF(AT$6="","",IF(AT$3="Maior",iferror(VLOOKUP($R191,Capa!$A:$AJ,AT$5,0),0),IF(ISERROR(1/VLOOKUP($R191,Capa!$A:$AJ,AT$5,0)),0,1/VLOOKUP($R191,Capa!$A:$AJ,AT$5,0))))</f>
        <v>-0.6059928027</v>
      </c>
      <c r="AU191" s="174">
        <f>IF(AU$6="","",IF(AU$3="Maior",iferror(VLOOKUP($R191,Capa!$A:$AJ,AU$5,0),0),IF(ISERROR(1/VLOOKUP($R191,Capa!$A:$AJ,AU$5,0)),0,1/VLOOKUP($R191,Capa!$A:$AJ,AU$5,0))))</f>
        <v>0</v>
      </c>
      <c r="AV191" s="174" t="str">
        <f>IF(AV$6="","",IF(AV$3="Maior",iferror(VLOOKUP($R191,Capa!$A:$AJ,AV$5,0),0),IF(ISERROR(1/VLOOKUP($R191,Capa!$A:$AJ,AV$5,0)),0,1/VLOOKUP($R191,Capa!$A:$AJ,AV$5,0))))</f>
        <v/>
      </c>
      <c r="AW191" s="174" t="str">
        <f>IF(AW$6="","",IF(AW$3="Maior",iferror(VLOOKUP($R191,Capa!$A:$AJ,AW$5,0),0),IF(ISERROR(1/VLOOKUP($R191,Capa!$A:$AJ,AW$5,0)),0,1/VLOOKUP($R191,Capa!$A:$AJ,AW$5,0))))</f>
        <v/>
      </c>
      <c r="AX191" s="174" t="str">
        <f>IF(AX$6="","",IF(AX$3="Maior",iferror(VLOOKUP($R191,Capa!$A:$AJ,AX$5,0),0),IF(ISERROR(1/VLOOKUP($R191,Capa!$A:$AJ,AX$5,0)),0,1/VLOOKUP($R191,Capa!$A:$AJ,AX$5,0))))</f>
        <v/>
      </c>
      <c r="AY191" s="174" t="str">
        <f>IF(AY$6="","",IF(AY$3="Maior",iferror(VLOOKUP($R191,Capa!$A:$AJ,AY$5,0),0),IF(ISERROR(1/VLOOKUP($R191,Capa!$A:$AJ,AY$5,0)),0,1/VLOOKUP($R191,Capa!$A:$AJ,AY$5,0))))</f>
        <v/>
      </c>
      <c r="AZ191" s="174" t="str">
        <f>IF(AZ$6="","",IF(AZ$3="Maior",iferror(VLOOKUP($R191,Capa!$A:$AJ,AZ$5,0),0),IF(ISERROR(1/VLOOKUP($R191,Capa!$A:$AJ,AZ$5,0)),0,1/VLOOKUP($R191,Capa!$A:$AJ,AZ$5,0))))</f>
        <v/>
      </c>
      <c r="BA191" s="174" t="str">
        <f>IF(BA$6="","",IF(BA$3="Maior",iferror(VLOOKUP($R191,Capa!$A:$AJ,BA$5,0),0),IF(ISERROR(1/VLOOKUP($R191,Capa!$A:$AJ,BA$5,0)),0,1/VLOOKUP($R191,Capa!$A:$AJ,BA$5,0))))</f>
        <v/>
      </c>
      <c r="BB191" s="174" t="str">
        <f>IF(BB$6="","",IF(BB$3="Maior",iferror(VLOOKUP($R191,Capa!$A:$AJ,BB$5,0),0),IF(ISERROR(1/VLOOKUP($R191,Capa!$A:$AJ,BB$5,0)),0,1/VLOOKUP($R191,Capa!$A:$AJ,BB$5,0))))</f>
        <v/>
      </c>
      <c r="BC191" s="174" t="str">
        <f>IF(BC$6="","",IF(BC$3="Maior",iferror(VLOOKUP($R191,Capa!$A:$AJ,BC$5,0),0),IF(ISERROR(1/VLOOKUP($R191,Capa!$A:$AJ,BC$5,0)),0,1/VLOOKUP($R191,Capa!$A:$AJ,BC$5,0))))</f>
        <v/>
      </c>
      <c r="BD191" s="174" t="str">
        <f>IF(BD$6="","",IF(BD$3="Maior",iferror(VLOOKUP($R191,Capa!$A:$AJ,BD$5,0),0),IF(ISERROR(1/VLOOKUP($R191,Capa!$A:$AJ,BD$5,0)),0,1/VLOOKUP($R191,Capa!$A:$AJ,BD$5,0))))</f>
        <v/>
      </c>
      <c r="BE191" s="174" t="str">
        <f>IF(BE$6="","",IF(BE$3="Maior",iferror(VLOOKUP($R191,Capa!$A:$AJ,BE$5,0),0),IF(ISERROR(1/VLOOKUP($R191,Capa!$A:$AJ,BE$5,0)),0,1/VLOOKUP($R191,Capa!$A:$AJ,BE$5,0))))</f>
        <v/>
      </c>
      <c r="BF191" s="174" t="str">
        <f>IF(BF$6="","",IF(BF$3="Maior",iferror(VLOOKUP($R191,Capa!$A:$AJ,BF$5,0),0),IF(ISERROR(1/VLOOKUP($R191,Capa!$A:$AJ,BF$5,0)),0,1/VLOOKUP($R191,Capa!$A:$AJ,BF$5,0))))</f>
        <v/>
      </c>
      <c r="BG191" s="174" t="str">
        <f>IF(BG$6="","",IF(BG$3="Maior",iferror(VLOOKUP($R191,Capa!$A:$AJ,BG$5,0),0),IF(ISERROR(1/VLOOKUP($R191,Capa!$A:$AJ,BG$5,0)),0,1/VLOOKUP($R191,Capa!$A:$AJ,BG$5,0))))</f>
        <v/>
      </c>
      <c r="BH191" s="174" t="str">
        <f>IF(BH$6="","",IF(BH$3="Maior",iferror(VLOOKUP($R191,Capa!$A:$AJ,BH$5,0),0),IF(ISERROR(1/VLOOKUP($R191,Capa!$A:$AJ,BH$5,0)),0,1/VLOOKUP($R191,Capa!$A:$AJ,BH$5,0))))</f>
        <v/>
      </c>
      <c r="BI191" s="174" t="str">
        <f>IF(BI$6="","",IF(BI$3="Maior",iferror(VLOOKUP($R191,Capa!$A:$AJ,BI$5,0),0),IF(ISERROR(1/VLOOKUP($R191,Capa!$A:$AJ,BI$5,0)),0,1/VLOOKUP($R191,Capa!$A:$AJ,BI$5,0))))</f>
        <v/>
      </c>
      <c r="BJ191" s="174" t="str">
        <f>IF(BJ$6="","",IF(BJ$3="Maior",iferror(VLOOKUP($R191,Capa!$A:$AJ,BJ$5,0),0),IF(ISERROR(1/VLOOKUP($R191,Capa!$A:$AJ,BJ$5,0)),0,1/VLOOKUP($R191,Capa!$A:$AJ,BJ$5,0))))</f>
        <v/>
      </c>
      <c r="BK191" s="174" t="str">
        <f>IF(BK$6="","",IF(BK$3="Maior",iferror(VLOOKUP($R191,Capa!$A:$AJ,BK$5,0),0),IF(ISERROR(1/VLOOKUP($R191,Capa!$A:$AJ,BK$5,0)),0,1/VLOOKUP($R191,Capa!$A:$AJ,BK$5,0))))</f>
        <v/>
      </c>
      <c r="BL191" s="174" t="str">
        <f>IF(BL$6="","",IF(BL$3="Maior",iferror(VLOOKUP($R191,Capa!$A:$AJ,BL$5,0),0),IF(ISERROR(1/VLOOKUP($R191,Capa!$A:$AJ,BL$5,0)),0,1/VLOOKUP($R191,Capa!$A:$AJ,BL$5,0))))</f>
        <v/>
      </c>
      <c r="BM191" s="174" t="str">
        <f>IF(BM$6="","",IF(BM$3="Maior",iferror(VLOOKUP($R191,Capa!$A:$AJ,BM$5,0),0),IF(ISERROR(1/VLOOKUP($R191,Capa!$A:$AJ,BM$5,0)),0,1/VLOOKUP($R191,Capa!$A:$AJ,BM$5,0))))</f>
        <v/>
      </c>
      <c r="BN191" s="174" t="str">
        <f>IF(BN$6="","",IF(BN$3="Maior",iferror(VLOOKUP($R191,Capa!$A:$AJ,BN$5,0),0),IF(ISERROR(1/VLOOKUP($R191,Capa!$A:$AJ,BN$5,0)),0,1/VLOOKUP($R191,Capa!$A:$AJ,BN$5,0))))</f>
        <v/>
      </c>
      <c r="BO191" s="174" t="str">
        <f>IF(BO$6="","",IF(BO$3="Maior",iferror(VLOOKUP($R191,Capa!$A:$AJ,BO$5,0),0),IF(ISERROR(1/VLOOKUP($R191,Capa!$A:$AJ,BO$5,0)),0,1/VLOOKUP($R191,Capa!$A:$AJ,BO$5,0))))</f>
        <v/>
      </c>
      <c r="BP191" s="174" t="str">
        <f>IF(BP$6="","",IF(BP$3="Maior",iferror(VLOOKUP($R191,Capa!$A:$AJ,BP$5,0),0),IF(ISERROR(1/VLOOKUP($R191,Capa!$A:$AJ,BP$5,0)),0,1/VLOOKUP($R191,Capa!$A:$AJ,BP$5,0))))</f>
        <v/>
      </c>
      <c r="BQ191" s="174" t="str">
        <f>IF(BQ$6="","",IF(BQ$3="Maior",iferror(VLOOKUP($R191,Capa!$A:$AJ,BQ$5,0),0),IF(ISERROR(1/VLOOKUP($R191,Capa!$A:$AJ,BQ$5,0)),0,1/VLOOKUP($R191,Capa!$A:$AJ,BQ$5,0))))</f>
        <v/>
      </c>
      <c r="BR191" s="175"/>
      <c r="BS191" s="147"/>
    </row>
    <row r="192">
      <c r="G192" s="11"/>
      <c r="H192" s="8">
        <v>186.0</v>
      </c>
      <c r="I192" s="165" t="str">
        <f t="shared" si="6"/>
        <v>USIM5</v>
      </c>
      <c r="J192" s="166" t="str">
        <f>(VLOOKUP($I192,Capa!$A:$B,2,0))</f>
        <v>Usinas Siderurgicas de Mins Grs SA USMNS Preference Shares Class A</v>
      </c>
      <c r="K192" s="167" t="str">
        <f>VLOOKUP(left(I192,4),Setor!A:D,3,0)&amp;" | "&amp;VLOOKUP(left(I192,4),Setor!A:D,4,0)</f>
        <v>Materiais Básicos | Siderurgia e Metalurgia</v>
      </c>
      <c r="L192" s="168">
        <f>(VLOOKUP($I192,Capa!$A:$F,6,0))</f>
        <v>6.16</v>
      </c>
      <c r="M192" s="168">
        <f t="shared" si="7"/>
        <v>107000000</v>
      </c>
      <c r="N192" s="177" t="str">
        <f>IFERROR(__xludf.DUMMYFUNCTION("(VLOOKUP($I192,Capa!$A:$H,7,0))"),"")</f>
        <v/>
      </c>
      <c r="O192" s="169">
        <f>(VLOOKUP($I192,Capa!$A:$H,8,0))</f>
        <v>-0.01754385965</v>
      </c>
      <c r="P192" s="169" t="str">
        <f>IFERROR(__xludf.DUMMYFUNCTION("(VLOOKUP($I192,Capa!$A:$J,10,0))"),"")</f>
        <v/>
      </c>
      <c r="Q192" s="169">
        <f>(VLOOKUP($I192,Capa!$A:$K,11,0))</f>
        <v>0.004893964111</v>
      </c>
      <c r="R192" s="45" t="str">
        <f>'Dados StatusInvest'!A187</f>
        <v>CSAB3</v>
      </c>
      <c r="S192" s="170">
        <f t="shared" si="8"/>
        <v>1726.0726</v>
      </c>
      <c r="T192" s="171">
        <f>VLOOKUP(R192,'Dados StatusInvest'!A:Z,26,0)</f>
        <v>0</v>
      </c>
      <c r="U192" s="172">
        <f t="shared" ref="U192:AS192" si="194">IF(AT192="","", RANK(AT192,AT$7:AT$626,0)+RANK(AT192,AT$7:AT$626,0)/10000)</f>
        <v>185.0185</v>
      </c>
      <c r="V192" s="172">
        <f t="shared" si="194"/>
        <v>541.0541</v>
      </c>
      <c r="W192" s="172" t="str">
        <f t="shared" si="194"/>
        <v/>
      </c>
      <c r="X192" s="172" t="str">
        <f t="shared" si="194"/>
        <v/>
      </c>
      <c r="Y192" s="172" t="str">
        <f t="shared" si="194"/>
        <v/>
      </c>
      <c r="Z192" s="172" t="str">
        <f t="shared" si="194"/>
        <v/>
      </c>
      <c r="AA192" s="172" t="str">
        <f t="shared" si="194"/>
        <v/>
      </c>
      <c r="AB192" s="172" t="str">
        <f t="shared" si="194"/>
        <v/>
      </c>
      <c r="AC192" s="172" t="str">
        <f t="shared" si="194"/>
        <v/>
      </c>
      <c r="AD192" s="172" t="str">
        <f t="shared" si="194"/>
        <v/>
      </c>
      <c r="AE192" s="172" t="str">
        <f t="shared" si="194"/>
        <v/>
      </c>
      <c r="AF192" s="172" t="str">
        <f t="shared" si="194"/>
        <v/>
      </c>
      <c r="AG192" s="172" t="str">
        <f t="shared" si="194"/>
        <v/>
      </c>
      <c r="AH192" s="172" t="str">
        <f t="shared" si="194"/>
        <v/>
      </c>
      <c r="AI192" s="172" t="str">
        <f t="shared" si="194"/>
        <v/>
      </c>
      <c r="AJ192" s="172" t="str">
        <f t="shared" si="194"/>
        <v/>
      </c>
      <c r="AK192" s="172" t="str">
        <f t="shared" si="194"/>
        <v/>
      </c>
      <c r="AL192" s="172" t="str">
        <f t="shared" si="194"/>
        <v/>
      </c>
      <c r="AM192" s="172" t="str">
        <f t="shared" si="194"/>
        <v/>
      </c>
      <c r="AN192" s="172" t="str">
        <f t="shared" si="194"/>
        <v/>
      </c>
      <c r="AO192" s="172" t="str">
        <f t="shared" si="194"/>
        <v/>
      </c>
      <c r="AP192" s="172" t="str">
        <f t="shared" si="194"/>
        <v/>
      </c>
      <c r="AQ192" s="172" t="str">
        <f t="shared" si="194"/>
        <v/>
      </c>
      <c r="AR192" s="172" t="str">
        <f t="shared" si="194"/>
        <v/>
      </c>
      <c r="AS192" s="172" t="str">
        <f t="shared" si="194"/>
        <v/>
      </c>
      <c r="AT192" s="173">
        <f>IF(AT$6="","",IF(AT$3="Maior",iferror(VLOOKUP($R192,Capa!$A:$AJ,AT$5,0),0),IF(ISERROR(1/VLOOKUP($R192,Capa!$A:$AJ,AT$5,0)),0,1/VLOOKUP($R192,Capa!$A:$AJ,AT$5,0))))</f>
        <v>-0.2352941176</v>
      </c>
      <c r="AU192" s="174">
        <f>IF(AU$6="","",IF(AU$3="Maior",iferror(VLOOKUP($R192,Capa!$A:$AJ,AU$5,0),0),IF(ISERROR(1/VLOOKUP($R192,Capa!$A:$AJ,AU$5,0)),0,1/VLOOKUP($R192,Capa!$A:$AJ,AU$5,0))))</f>
        <v>-1.31</v>
      </c>
      <c r="AV192" s="174" t="str">
        <f>IF(AV$6="","",IF(AV$3="Maior",iferror(VLOOKUP($R192,Capa!$A:$AJ,AV$5,0),0),IF(ISERROR(1/VLOOKUP($R192,Capa!$A:$AJ,AV$5,0)),0,1/VLOOKUP($R192,Capa!$A:$AJ,AV$5,0))))</f>
        <v/>
      </c>
      <c r="AW192" s="174" t="str">
        <f>IF(AW$6="","",IF(AW$3="Maior",iferror(VLOOKUP($R192,Capa!$A:$AJ,AW$5,0),0),IF(ISERROR(1/VLOOKUP($R192,Capa!$A:$AJ,AW$5,0)),0,1/VLOOKUP($R192,Capa!$A:$AJ,AW$5,0))))</f>
        <v/>
      </c>
      <c r="AX192" s="174" t="str">
        <f>IF(AX$6="","",IF(AX$3="Maior",iferror(VLOOKUP($R192,Capa!$A:$AJ,AX$5,0),0),IF(ISERROR(1/VLOOKUP($R192,Capa!$A:$AJ,AX$5,0)),0,1/VLOOKUP($R192,Capa!$A:$AJ,AX$5,0))))</f>
        <v/>
      </c>
      <c r="AY192" s="174" t="str">
        <f>IF(AY$6="","",IF(AY$3="Maior",iferror(VLOOKUP($R192,Capa!$A:$AJ,AY$5,0),0),IF(ISERROR(1/VLOOKUP($R192,Capa!$A:$AJ,AY$5,0)),0,1/VLOOKUP($R192,Capa!$A:$AJ,AY$5,0))))</f>
        <v/>
      </c>
      <c r="AZ192" s="174" t="str">
        <f>IF(AZ$6="","",IF(AZ$3="Maior",iferror(VLOOKUP($R192,Capa!$A:$AJ,AZ$5,0),0),IF(ISERROR(1/VLOOKUP($R192,Capa!$A:$AJ,AZ$5,0)),0,1/VLOOKUP($R192,Capa!$A:$AJ,AZ$5,0))))</f>
        <v/>
      </c>
      <c r="BA192" s="174" t="str">
        <f>IF(BA$6="","",IF(BA$3="Maior",iferror(VLOOKUP($R192,Capa!$A:$AJ,BA$5,0),0),IF(ISERROR(1/VLOOKUP($R192,Capa!$A:$AJ,BA$5,0)),0,1/VLOOKUP($R192,Capa!$A:$AJ,BA$5,0))))</f>
        <v/>
      </c>
      <c r="BB192" s="174" t="str">
        <f>IF(BB$6="","",IF(BB$3="Maior",iferror(VLOOKUP($R192,Capa!$A:$AJ,BB$5,0),0),IF(ISERROR(1/VLOOKUP($R192,Capa!$A:$AJ,BB$5,0)),0,1/VLOOKUP($R192,Capa!$A:$AJ,BB$5,0))))</f>
        <v/>
      </c>
      <c r="BC192" s="174" t="str">
        <f>IF(BC$6="","",IF(BC$3="Maior",iferror(VLOOKUP($R192,Capa!$A:$AJ,BC$5,0),0),IF(ISERROR(1/VLOOKUP($R192,Capa!$A:$AJ,BC$5,0)),0,1/VLOOKUP($R192,Capa!$A:$AJ,BC$5,0))))</f>
        <v/>
      </c>
      <c r="BD192" s="174" t="str">
        <f>IF(BD$6="","",IF(BD$3="Maior",iferror(VLOOKUP($R192,Capa!$A:$AJ,BD$5,0),0),IF(ISERROR(1/VLOOKUP($R192,Capa!$A:$AJ,BD$5,0)),0,1/VLOOKUP($R192,Capa!$A:$AJ,BD$5,0))))</f>
        <v/>
      </c>
      <c r="BE192" s="174" t="str">
        <f>IF(BE$6="","",IF(BE$3="Maior",iferror(VLOOKUP($R192,Capa!$A:$AJ,BE$5,0),0),IF(ISERROR(1/VLOOKUP($R192,Capa!$A:$AJ,BE$5,0)),0,1/VLOOKUP($R192,Capa!$A:$AJ,BE$5,0))))</f>
        <v/>
      </c>
      <c r="BF192" s="174" t="str">
        <f>IF(BF$6="","",IF(BF$3="Maior",iferror(VLOOKUP($R192,Capa!$A:$AJ,BF$5,0),0),IF(ISERROR(1/VLOOKUP($R192,Capa!$A:$AJ,BF$5,0)),0,1/VLOOKUP($R192,Capa!$A:$AJ,BF$5,0))))</f>
        <v/>
      </c>
      <c r="BG192" s="174" t="str">
        <f>IF(BG$6="","",IF(BG$3="Maior",iferror(VLOOKUP($R192,Capa!$A:$AJ,BG$5,0),0),IF(ISERROR(1/VLOOKUP($R192,Capa!$A:$AJ,BG$5,0)),0,1/VLOOKUP($R192,Capa!$A:$AJ,BG$5,0))))</f>
        <v/>
      </c>
      <c r="BH192" s="174" t="str">
        <f>IF(BH$6="","",IF(BH$3="Maior",iferror(VLOOKUP($R192,Capa!$A:$AJ,BH$5,0),0),IF(ISERROR(1/VLOOKUP($R192,Capa!$A:$AJ,BH$5,0)),0,1/VLOOKUP($R192,Capa!$A:$AJ,BH$5,0))))</f>
        <v/>
      </c>
      <c r="BI192" s="174" t="str">
        <f>IF(BI$6="","",IF(BI$3="Maior",iferror(VLOOKUP($R192,Capa!$A:$AJ,BI$5,0),0),IF(ISERROR(1/VLOOKUP($R192,Capa!$A:$AJ,BI$5,0)),0,1/VLOOKUP($R192,Capa!$A:$AJ,BI$5,0))))</f>
        <v/>
      </c>
      <c r="BJ192" s="174" t="str">
        <f>IF(BJ$6="","",IF(BJ$3="Maior",iferror(VLOOKUP($R192,Capa!$A:$AJ,BJ$5,0),0),IF(ISERROR(1/VLOOKUP($R192,Capa!$A:$AJ,BJ$5,0)),0,1/VLOOKUP($R192,Capa!$A:$AJ,BJ$5,0))))</f>
        <v/>
      </c>
      <c r="BK192" s="174" t="str">
        <f>IF(BK$6="","",IF(BK$3="Maior",iferror(VLOOKUP($R192,Capa!$A:$AJ,BK$5,0),0),IF(ISERROR(1/VLOOKUP($R192,Capa!$A:$AJ,BK$5,0)),0,1/VLOOKUP($R192,Capa!$A:$AJ,BK$5,0))))</f>
        <v/>
      </c>
      <c r="BL192" s="174" t="str">
        <f>IF(BL$6="","",IF(BL$3="Maior",iferror(VLOOKUP($R192,Capa!$A:$AJ,BL$5,0),0),IF(ISERROR(1/VLOOKUP($R192,Capa!$A:$AJ,BL$5,0)),0,1/VLOOKUP($R192,Capa!$A:$AJ,BL$5,0))))</f>
        <v/>
      </c>
      <c r="BM192" s="174" t="str">
        <f>IF(BM$6="","",IF(BM$3="Maior",iferror(VLOOKUP($R192,Capa!$A:$AJ,BM$5,0),0),IF(ISERROR(1/VLOOKUP($R192,Capa!$A:$AJ,BM$5,0)),0,1/VLOOKUP($R192,Capa!$A:$AJ,BM$5,0))))</f>
        <v/>
      </c>
      <c r="BN192" s="174" t="str">
        <f>IF(BN$6="","",IF(BN$3="Maior",iferror(VLOOKUP($R192,Capa!$A:$AJ,BN$5,0),0),IF(ISERROR(1/VLOOKUP($R192,Capa!$A:$AJ,BN$5,0)),0,1/VLOOKUP($R192,Capa!$A:$AJ,BN$5,0))))</f>
        <v/>
      </c>
      <c r="BO192" s="174" t="str">
        <f>IF(BO$6="","",IF(BO$3="Maior",iferror(VLOOKUP($R192,Capa!$A:$AJ,BO$5,0),0),IF(ISERROR(1/VLOOKUP($R192,Capa!$A:$AJ,BO$5,0)),0,1/VLOOKUP($R192,Capa!$A:$AJ,BO$5,0))))</f>
        <v/>
      </c>
      <c r="BP192" s="174" t="str">
        <f>IF(BP$6="","",IF(BP$3="Maior",iferror(VLOOKUP($R192,Capa!$A:$AJ,BP$5,0),0),IF(ISERROR(1/VLOOKUP($R192,Capa!$A:$AJ,BP$5,0)),0,1/VLOOKUP($R192,Capa!$A:$AJ,BP$5,0))))</f>
        <v/>
      </c>
      <c r="BQ192" s="174" t="str">
        <f>IF(BQ$6="","",IF(BQ$3="Maior",iferror(VLOOKUP($R192,Capa!$A:$AJ,BQ$5,0),0),IF(ISERROR(1/VLOOKUP($R192,Capa!$A:$AJ,BQ$5,0)),0,1/VLOOKUP($R192,Capa!$A:$AJ,BQ$5,0))))</f>
        <v/>
      </c>
      <c r="BR192" s="175"/>
      <c r="BS192" s="147"/>
    </row>
    <row r="193">
      <c r="G193" s="11"/>
      <c r="H193" s="8">
        <v>187.0</v>
      </c>
      <c r="I193" s="165" t="str">
        <f t="shared" si="6"/>
        <v>CMIG4</v>
      </c>
      <c r="J193" s="166" t="str">
        <f>(VLOOKUP($I193,Capa!$A:$B,2,0))</f>
        <v>Energy of Minas Gerais Co Preference Shares</v>
      </c>
      <c r="K193" s="167" t="str">
        <f>VLOOKUP(left(I193,4),Setor!A:D,3,0)&amp;" | "&amp;VLOOKUP(left(I193,4),Setor!A:D,4,0)</f>
        <v>Utilidade Pública | Energia Elétrica</v>
      </c>
      <c r="L193" s="168">
        <f>(VLOOKUP($I193,Capa!$A:$F,6,0))</f>
        <v>11.67</v>
      </c>
      <c r="M193" s="168">
        <f t="shared" si="7"/>
        <v>155000000</v>
      </c>
      <c r="N193" s="11" t="str">
        <f>IFERROR(__xludf.DUMMYFUNCTION("(VLOOKUP($I193,Capa!$A:$H,7,0))"),"")</f>
        <v/>
      </c>
      <c r="O193" s="169">
        <f>(VLOOKUP($I193,Capa!$A:$H,8,0))</f>
        <v>0.04569892473</v>
      </c>
      <c r="P193" s="11" t="str">
        <f>IFERROR(__xludf.DUMMYFUNCTION("(VLOOKUP($I193,Capa!$A:$J,10,0))"),"")</f>
        <v/>
      </c>
      <c r="Q193" s="169">
        <f>(VLOOKUP($I193,Capa!$A:$K,11,0))</f>
        <v>0.04196428571</v>
      </c>
      <c r="R193" s="45" t="str">
        <f>'Dados StatusInvest'!A188</f>
        <v>CSAB4</v>
      </c>
      <c r="S193" s="170">
        <f t="shared" si="8"/>
        <v>1701.0701</v>
      </c>
      <c r="T193" s="171">
        <f>VLOOKUP(R193,'Dados StatusInvest'!A:Z,26,0)</f>
        <v>0</v>
      </c>
      <c r="U193" s="172">
        <f t="shared" ref="U193:AS193" si="195">IF(AT193="","", RANK(AT193,AT$7:AT$626,0)+RANK(AT193,AT$7:AT$626,0)/10000)</f>
        <v>160.016</v>
      </c>
      <c r="V193" s="172">
        <f t="shared" si="195"/>
        <v>541.0541</v>
      </c>
      <c r="W193" s="172" t="str">
        <f t="shared" si="195"/>
        <v/>
      </c>
      <c r="X193" s="172" t="str">
        <f t="shared" si="195"/>
        <v/>
      </c>
      <c r="Y193" s="172" t="str">
        <f t="shared" si="195"/>
        <v/>
      </c>
      <c r="Z193" s="172" t="str">
        <f t="shared" si="195"/>
        <v/>
      </c>
      <c r="AA193" s="172" t="str">
        <f t="shared" si="195"/>
        <v/>
      </c>
      <c r="AB193" s="172" t="str">
        <f t="shared" si="195"/>
        <v/>
      </c>
      <c r="AC193" s="172" t="str">
        <f t="shared" si="195"/>
        <v/>
      </c>
      <c r="AD193" s="172" t="str">
        <f t="shared" si="195"/>
        <v/>
      </c>
      <c r="AE193" s="172" t="str">
        <f t="shared" si="195"/>
        <v/>
      </c>
      <c r="AF193" s="172" t="str">
        <f t="shared" si="195"/>
        <v/>
      </c>
      <c r="AG193" s="172" t="str">
        <f t="shared" si="195"/>
        <v/>
      </c>
      <c r="AH193" s="172" t="str">
        <f t="shared" si="195"/>
        <v/>
      </c>
      <c r="AI193" s="172" t="str">
        <f t="shared" si="195"/>
        <v/>
      </c>
      <c r="AJ193" s="172" t="str">
        <f t="shared" si="195"/>
        <v/>
      </c>
      <c r="AK193" s="172" t="str">
        <f t="shared" si="195"/>
        <v/>
      </c>
      <c r="AL193" s="172" t="str">
        <f t="shared" si="195"/>
        <v/>
      </c>
      <c r="AM193" s="172" t="str">
        <f t="shared" si="195"/>
        <v/>
      </c>
      <c r="AN193" s="172" t="str">
        <f t="shared" si="195"/>
        <v/>
      </c>
      <c r="AO193" s="172" t="str">
        <f t="shared" si="195"/>
        <v/>
      </c>
      <c r="AP193" s="172" t="str">
        <f t="shared" si="195"/>
        <v/>
      </c>
      <c r="AQ193" s="172" t="str">
        <f t="shared" si="195"/>
        <v/>
      </c>
      <c r="AR193" s="172" t="str">
        <f t="shared" si="195"/>
        <v/>
      </c>
      <c r="AS193" s="172" t="str">
        <f t="shared" si="195"/>
        <v/>
      </c>
      <c r="AT193" s="173">
        <f>IF(AT$6="","",IF(AT$3="Maior",iferror(VLOOKUP($R193,Capa!$A:$AJ,AT$5,0),0),IF(ISERROR(1/VLOOKUP($R193,Capa!$A:$AJ,AT$5,0)),0,1/VLOOKUP($R193,Capa!$A:$AJ,AT$5,0))))</f>
        <v>-0.1464128843</v>
      </c>
      <c r="AU193" s="174">
        <f>IF(AU$6="","",IF(AU$3="Maior",iferror(VLOOKUP($R193,Capa!$A:$AJ,AU$5,0),0),IF(ISERROR(1/VLOOKUP($R193,Capa!$A:$AJ,AU$5,0)),0,1/VLOOKUP($R193,Capa!$A:$AJ,AU$5,0))))</f>
        <v>-1.31</v>
      </c>
      <c r="AV193" s="174" t="str">
        <f>IF(AV$6="","",IF(AV$3="Maior",iferror(VLOOKUP($R193,Capa!$A:$AJ,AV$5,0),0),IF(ISERROR(1/VLOOKUP($R193,Capa!$A:$AJ,AV$5,0)),0,1/VLOOKUP($R193,Capa!$A:$AJ,AV$5,0))))</f>
        <v/>
      </c>
      <c r="AW193" s="174" t="str">
        <f>IF(AW$6="","",IF(AW$3="Maior",iferror(VLOOKUP($R193,Capa!$A:$AJ,AW$5,0),0),IF(ISERROR(1/VLOOKUP($R193,Capa!$A:$AJ,AW$5,0)),0,1/VLOOKUP($R193,Capa!$A:$AJ,AW$5,0))))</f>
        <v/>
      </c>
      <c r="AX193" s="174" t="str">
        <f>IF(AX$6="","",IF(AX$3="Maior",iferror(VLOOKUP($R193,Capa!$A:$AJ,AX$5,0),0),IF(ISERROR(1/VLOOKUP($R193,Capa!$A:$AJ,AX$5,0)),0,1/VLOOKUP($R193,Capa!$A:$AJ,AX$5,0))))</f>
        <v/>
      </c>
      <c r="AY193" s="174" t="str">
        <f>IF(AY$6="","",IF(AY$3="Maior",iferror(VLOOKUP($R193,Capa!$A:$AJ,AY$5,0),0),IF(ISERROR(1/VLOOKUP($R193,Capa!$A:$AJ,AY$5,0)),0,1/VLOOKUP($R193,Capa!$A:$AJ,AY$5,0))))</f>
        <v/>
      </c>
      <c r="AZ193" s="174" t="str">
        <f>IF(AZ$6="","",IF(AZ$3="Maior",iferror(VLOOKUP($R193,Capa!$A:$AJ,AZ$5,0),0),IF(ISERROR(1/VLOOKUP($R193,Capa!$A:$AJ,AZ$5,0)),0,1/VLOOKUP($R193,Capa!$A:$AJ,AZ$5,0))))</f>
        <v/>
      </c>
      <c r="BA193" s="174" t="str">
        <f>IF(BA$6="","",IF(BA$3="Maior",iferror(VLOOKUP($R193,Capa!$A:$AJ,BA$5,0),0),IF(ISERROR(1/VLOOKUP($R193,Capa!$A:$AJ,BA$5,0)),0,1/VLOOKUP($R193,Capa!$A:$AJ,BA$5,0))))</f>
        <v/>
      </c>
      <c r="BB193" s="174" t="str">
        <f>IF(BB$6="","",IF(BB$3="Maior",iferror(VLOOKUP($R193,Capa!$A:$AJ,BB$5,0),0),IF(ISERROR(1/VLOOKUP($R193,Capa!$A:$AJ,BB$5,0)),0,1/VLOOKUP($R193,Capa!$A:$AJ,BB$5,0))))</f>
        <v/>
      </c>
      <c r="BC193" s="174" t="str">
        <f>IF(BC$6="","",IF(BC$3="Maior",iferror(VLOOKUP($R193,Capa!$A:$AJ,BC$5,0),0),IF(ISERROR(1/VLOOKUP($R193,Capa!$A:$AJ,BC$5,0)),0,1/VLOOKUP($R193,Capa!$A:$AJ,BC$5,0))))</f>
        <v/>
      </c>
      <c r="BD193" s="174" t="str">
        <f>IF(BD$6="","",IF(BD$3="Maior",iferror(VLOOKUP($R193,Capa!$A:$AJ,BD$5,0),0),IF(ISERROR(1/VLOOKUP($R193,Capa!$A:$AJ,BD$5,0)),0,1/VLOOKUP($R193,Capa!$A:$AJ,BD$5,0))))</f>
        <v/>
      </c>
      <c r="BE193" s="174" t="str">
        <f>IF(BE$6="","",IF(BE$3="Maior",iferror(VLOOKUP($R193,Capa!$A:$AJ,BE$5,0),0),IF(ISERROR(1/VLOOKUP($R193,Capa!$A:$AJ,BE$5,0)),0,1/VLOOKUP($R193,Capa!$A:$AJ,BE$5,0))))</f>
        <v/>
      </c>
      <c r="BF193" s="174" t="str">
        <f>IF(BF$6="","",IF(BF$3="Maior",iferror(VLOOKUP($R193,Capa!$A:$AJ,BF$5,0),0),IF(ISERROR(1/VLOOKUP($R193,Capa!$A:$AJ,BF$5,0)),0,1/VLOOKUP($R193,Capa!$A:$AJ,BF$5,0))))</f>
        <v/>
      </c>
      <c r="BG193" s="174" t="str">
        <f>IF(BG$6="","",IF(BG$3="Maior",iferror(VLOOKUP($R193,Capa!$A:$AJ,BG$5,0),0),IF(ISERROR(1/VLOOKUP($R193,Capa!$A:$AJ,BG$5,0)),0,1/VLOOKUP($R193,Capa!$A:$AJ,BG$5,0))))</f>
        <v/>
      </c>
      <c r="BH193" s="174" t="str">
        <f>IF(BH$6="","",IF(BH$3="Maior",iferror(VLOOKUP($R193,Capa!$A:$AJ,BH$5,0),0),IF(ISERROR(1/VLOOKUP($R193,Capa!$A:$AJ,BH$5,0)),0,1/VLOOKUP($R193,Capa!$A:$AJ,BH$5,0))))</f>
        <v/>
      </c>
      <c r="BI193" s="174" t="str">
        <f>IF(BI$6="","",IF(BI$3="Maior",iferror(VLOOKUP($R193,Capa!$A:$AJ,BI$5,0),0),IF(ISERROR(1/VLOOKUP($R193,Capa!$A:$AJ,BI$5,0)),0,1/VLOOKUP($R193,Capa!$A:$AJ,BI$5,0))))</f>
        <v/>
      </c>
      <c r="BJ193" s="174" t="str">
        <f>IF(BJ$6="","",IF(BJ$3="Maior",iferror(VLOOKUP($R193,Capa!$A:$AJ,BJ$5,0),0),IF(ISERROR(1/VLOOKUP($R193,Capa!$A:$AJ,BJ$5,0)),0,1/VLOOKUP($R193,Capa!$A:$AJ,BJ$5,0))))</f>
        <v/>
      </c>
      <c r="BK193" s="174" t="str">
        <f>IF(BK$6="","",IF(BK$3="Maior",iferror(VLOOKUP($R193,Capa!$A:$AJ,BK$5,0),0),IF(ISERROR(1/VLOOKUP($R193,Capa!$A:$AJ,BK$5,0)),0,1/VLOOKUP($R193,Capa!$A:$AJ,BK$5,0))))</f>
        <v/>
      </c>
      <c r="BL193" s="174" t="str">
        <f>IF(BL$6="","",IF(BL$3="Maior",iferror(VLOOKUP($R193,Capa!$A:$AJ,BL$5,0),0),IF(ISERROR(1/VLOOKUP($R193,Capa!$A:$AJ,BL$5,0)),0,1/VLOOKUP($R193,Capa!$A:$AJ,BL$5,0))))</f>
        <v/>
      </c>
      <c r="BM193" s="174" t="str">
        <f>IF(BM$6="","",IF(BM$3="Maior",iferror(VLOOKUP($R193,Capa!$A:$AJ,BM$5,0),0),IF(ISERROR(1/VLOOKUP($R193,Capa!$A:$AJ,BM$5,0)),0,1/VLOOKUP($R193,Capa!$A:$AJ,BM$5,0))))</f>
        <v/>
      </c>
      <c r="BN193" s="174" t="str">
        <f>IF(BN$6="","",IF(BN$3="Maior",iferror(VLOOKUP($R193,Capa!$A:$AJ,BN$5,0),0),IF(ISERROR(1/VLOOKUP($R193,Capa!$A:$AJ,BN$5,0)),0,1/VLOOKUP($R193,Capa!$A:$AJ,BN$5,0))))</f>
        <v/>
      </c>
      <c r="BO193" s="174" t="str">
        <f>IF(BO$6="","",IF(BO$3="Maior",iferror(VLOOKUP($R193,Capa!$A:$AJ,BO$5,0),0),IF(ISERROR(1/VLOOKUP($R193,Capa!$A:$AJ,BO$5,0)),0,1/VLOOKUP($R193,Capa!$A:$AJ,BO$5,0))))</f>
        <v/>
      </c>
      <c r="BP193" s="174" t="str">
        <f>IF(BP$6="","",IF(BP$3="Maior",iferror(VLOOKUP($R193,Capa!$A:$AJ,BP$5,0),0),IF(ISERROR(1/VLOOKUP($R193,Capa!$A:$AJ,BP$5,0)),0,1/VLOOKUP($R193,Capa!$A:$AJ,BP$5,0))))</f>
        <v/>
      </c>
      <c r="BQ193" s="174" t="str">
        <f>IF(BQ$6="","",IF(BQ$3="Maior",iferror(VLOOKUP($R193,Capa!$A:$AJ,BQ$5,0),0),IF(ISERROR(1/VLOOKUP($R193,Capa!$A:$AJ,BQ$5,0)),0,1/VLOOKUP($R193,Capa!$A:$AJ,BQ$5,0))))</f>
        <v/>
      </c>
      <c r="BR193" s="175"/>
      <c r="BS193" s="147"/>
    </row>
    <row r="194">
      <c r="G194" s="11"/>
      <c r="H194" s="8">
        <v>188.0</v>
      </c>
      <c r="I194" s="165" t="str">
        <f t="shared" si="6"/>
        <v>SCAR3</v>
      </c>
      <c r="J194" s="166" t="str">
        <f>(VLOOKUP($I194,Capa!$A:$B,2,0))</f>
        <v>Sao Carlos Empreendimentos e Part. SA</v>
      </c>
      <c r="K194" s="167" t="str">
        <f>VLOOKUP(left(I194,4),Setor!A:D,3,0)&amp;" | "&amp;VLOOKUP(left(I194,4),Setor!A:D,4,0)</f>
        <v>Financeiro | Exploração de Imóveis</v>
      </c>
      <c r="L194" s="168">
        <f>(VLOOKUP($I194,Capa!$A:$F,6,0))</f>
        <v>15.25</v>
      </c>
      <c r="M194" s="168">
        <f t="shared" si="7"/>
        <v>755916</v>
      </c>
      <c r="N194" s="177" t="str">
        <f>IFERROR(__xludf.DUMMYFUNCTION("(VLOOKUP($I194,Capa!$A:$H,7,0))"),"")</f>
        <v/>
      </c>
      <c r="O194" s="169">
        <f>(VLOOKUP($I194,Capa!$A:$H,8,0))</f>
        <v>0.0877318117</v>
      </c>
      <c r="P194" s="169" t="str">
        <f>IFERROR(__xludf.DUMMYFUNCTION("(VLOOKUP($I194,Capa!$A:$J,10,0))"),"")</f>
        <v/>
      </c>
      <c r="Q194" s="169">
        <f>(VLOOKUP($I194,Capa!$A:$K,11,0))</f>
        <v>-0.115942029</v>
      </c>
      <c r="R194" s="45" t="str">
        <f>'Dados StatusInvest'!A189</f>
        <v>CSAN3</v>
      </c>
      <c r="S194" s="170">
        <f t="shared" si="8"/>
        <v>778.0778</v>
      </c>
      <c r="T194" s="171">
        <f>VLOOKUP(R194,'Dados StatusInvest'!A:Z,26,0)</f>
        <v>220000000</v>
      </c>
      <c r="U194" s="172">
        <f t="shared" ref="U194:AS194" si="196">IF(AT194="","", RANK(AT194,AT$7:AT$626,0)+RANK(AT194,AT$7:AT$626,0)/10000)</f>
        <v>511.0511</v>
      </c>
      <c r="V194" s="172">
        <f t="shared" si="196"/>
        <v>267.0267</v>
      </c>
      <c r="W194" s="172" t="str">
        <f t="shared" si="196"/>
        <v/>
      </c>
      <c r="X194" s="172" t="str">
        <f t="shared" si="196"/>
        <v/>
      </c>
      <c r="Y194" s="172" t="str">
        <f t="shared" si="196"/>
        <v/>
      </c>
      <c r="Z194" s="172" t="str">
        <f t="shared" si="196"/>
        <v/>
      </c>
      <c r="AA194" s="172" t="str">
        <f t="shared" si="196"/>
        <v/>
      </c>
      <c r="AB194" s="172" t="str">
        <f t="shared" si="196"/>
        <v/>
      </c>
      <c r="AC194" s="172" t="str">
        <f t="shared" si="196"/>
        <v/>
      </c>
      <c r="AD194" s="172" t="str">
        <f t="shared" si="196"/>
        <v/>
      </c>
      <c r="AE194" s="172" t="str">
        <f t="shared" si="196"/>
        <v/>
      </c>
      <c r="AF194" s="172" t="str">
        <f t="shared" si="196"/>
        <v/>
      </c>
      <c r="AG194" s="172" t="str">
        <f t="shared" si="196"/>
        <v/>
      </c>
      <c r="AH194" s="172" t="str">
        <f t="shared" si="196"/>
        <v/>
      </c>
      <c r="AI194" s="172" t="str">
        <f t="shared" si="196"/>
        <v/>
      </c>
      <c r="AJ194" s="172" t="str">
        <f t="shared" si="196"/>
        <v/>
      </c>
      <c r="AK194" s="172" t="str">
        <f t="shared" si="196"/>
        <v/>
      </c>
      <c r="AL194" s="172" t="str">
        <f t="shared" si="196"/>
        <v/>
      </c>
      <c r="AM194" s="172" t="str">
        <f t="shared" si="196"/>
        <v/>
      </c>
      <c r="AN194" s="172" t="str">
        <f t="shared" si="196"/>
        <v/>
      </c>
      <c r="AO194" s="172" t="str">
        <f t="shared" si="196"/>
        <v/>
      </c>
      <c r="AP194" s="172" t="str">
        <f t="shared" si="196"/>
        <v/>
      </c>
      <c r="AQ194" s="172" t="str">
        <f t="shared" si="196"/>
        <v/>
      </c>
      <c r="AR194" s="172" t="str">
        <f t="shared" si="196"/>
        <v/>
      </c>
      <c r="AS194" s="172" t="str">
        <f t="shared" si="196"/>
        <v/>
      </c>
      <c r="AT194" s="173">
        <f>IF(AT$6="","",IF(AT$3="Maior",iferror(VLOOKUP($R194,Capa!$A:$AJ,AT$5,0),0),IF(ISERROR(1/VLOOKUP($R194,Capa!$A:$AJ,AT$5,0)),0,1/VLOOKUP($R194,Capa!$A:$AJ,AT$5,0))))</f>
        <v>-3.61479808</v>
      </c>
      <c r="AU194" s="174">
        <f>IF(AU$6="","",IF(AU$3="Maior",iferror(VLOOKUP($R194,Capa!$A:$AJ,AU$5,0),0),IF(ISERROR(1/VLOOKUP($R194,Capa!$A:$AJ,AU$5,0)),0,1/VLOOKUP($R194,Capa!$A:$AJ,AU$5,0))))</f>
        <v>0</v>
      </c>
      <c r="AV194" s="174" t="str">
        <f>IF(AV$6="","",IF(AV$3="Maior",iferror(VLOOKUP($R194,Capa!$A:$AJ,AV$5,0),0),IF(ISERROR(1/VLOOKUP($R194,Capa!$A:$AJ,AV$5,0)),0,1/VLOOKUP($R194,Capa!$A:$AJ,AV$5,0))))</f>
        <v/>
      </c>
      <c r="AW194" s="174" t="str">
        <f>IF(AW$6="","",IF(AW$3="Maior",iferror(VLOOKUP($R194,Capa!$A:$AJ,AW$5,0),0),IF(ISERROR(1/VLOOKUP($R194,Capa!$A:$AJ,AW$5,0)),0,1/VLOOKUP($R194,Capa!$A:$AJ,AW$5,0))))</f>
        <v/>
      </c>
      <c r="AX194" s="174" t="str">
        <f>IF(AX$6="","",IF(AX$3="Maior",iferror(VLOOKUP($R194,Capa!$A:$AJ,AX$5,0),0),IF(ISERROR(1/VLOOKUP($R194,Capa!$A:$AJ,AX$5,0)),0,1/VLOOKUP($R194,Capa!$A:$AJ,AX$5,0))))</f>
        <v/>
      </c>
      <c r="AY194" s="174" t="str">
        <f>IF(AY$6="","",IF(AY$3="Maior",iferror(VLOOKUP($R194,Capa!$A:$AJ,AY$5,0),0),IF(ISERROR(1/VLOOKUP($R194,Capa!$A:$AJ,AY$5,0)),0,1/VLOOKUP($R194,Capa!$A:$AJ,AY$5,0))))</f>
        <v/>
      </c>
      <c r="AZ194" s="174" t="str">
        <f>IF(AZ$6="","",IF(AZ$3="Maior",iferror(VLOOKUP($R194,Capa!$A:$AJ,AZ$5,0),0),IF(ISERROR(1/VLOOKUP($R194,Capa!$A:$AJ,AZ$5,0)),0,1/VLOOKUP($R194,Capa!$A:$AJ,AZ$5,0))))</f>
        <v/>
      </c>
      <c r="BA194" s="174" t="str">
        <f>IF(BA$6="","",IF(BA$3="Maior",iferror(VLOOKUP($R194,Capa!$A:$AJ,BA$5,0),0),IF(ISERROR(1/VLOOKUP($R194,Capa!$A:$AJ,BA$5,0)),0,1/VLOOKUP($R194,Capa!$A:$AJ,BA$5,0))))</f>
        <v/>
      </c>
      <c r="BB194" s="174" t="str">
        <f>IF(BB$6="","",IF(BB$3="Maior",iferror(VLOOKUP($R194,Capa!$A:$AJ,BB$5,0),0),IF(ISERROR(1/VLOOKUP($R194,Capa!$A:$AJ,BB$5,0)),0,1/VLOOKUP($R194,Capa!$A:$AJ,BB$5,0))))</f>
        <v/>
      </c>
      <c r="BC194" s="174" t="str">
        <f>IF(BC$6="","",IF(BC$3="Maior",iferror(VLOOKUP($R194,Capa!$A:$AJ,BC$5,0),0),IF(ISERROR(1/VLOOKUP($R194,Capa!$A:$AJ,BC$5,0)),0,1/VLOOKUP($R194,Capa!$A:$AJ,BC$5,0))))</f>
        <v/>
      </c>
      <c r="BD194" s="174" t="str">
        <f>IF(BD$6="","",IF(BD$3="Maior",iferror(VLOOKUP($R194,Capa!$A:$AJ,BD$5,0),0),IF(ISERROR(1/VLOOKUP($R194,Capa!$A:$AJ,BD$5,0)),0,1/VLOOKUP($R194,Capa!$A:$AJ,BD$5,0))))</f>
        <v/>
      </c>
      <c r="BE194" s="174" t="str">
        <f>IF(BE$6="","",IF(BE$3="Maior",iferror(VLOOKUP($R194,Capa!$A:$AJ,BE$5,0),0),IF(ISERROR(1/VLOOKUP($R194,Capa!$A:$AJ,BE$5,0)),0,1/VLOOKUP($R194,Capa!$A:$AJ,BE$5,0))))</f>
        <v/>
      </c>
      <c r="BF194" s="174" t="str">
        <f>IF(BF$6="","",IF(BF$3="Maior",iferror(VLOOKUP($R194,Capa!$A:$AJ,BF$5,0),0),IF(ISERROR(1/VLOOKUP($R194,Capa!$A:$AJ,BF$5,0)),0,1/VLOOKUP($R194,Capa!$A:$AJ,BF$5,0))))</f>
        <v/>
      </c>
      <c r="BG194" s="174" t="str">
        <f>IF(BG$6="","",IF(BG$3="Maior",iferror(VLOOKUP($R194,Capa!$A:$AJ,BG$5,0),0),IF(ISERROR(1/VLOOKUP($R194,Capa!$A:$AJ,BG$5,0)),0,1/VLOOKUP($R194,Capa!$A:$AJ,BG$5,0))))</f>
        <v/>
      </c>
      <c r="BH194" s="174" t="str">
        <f>IF(BH$6="","",IF(BH$3="Maior",iferror(VLOOKUP($R194,Capa!$A:$AJ,BH$5,0),0),IF(ISERROR(1/VLOOKUP($R194,Capa!$A:$AJ,BH$5,0)),0,1/VLOOKUP($R194,Capa!$A:$AJ,BH$5,0))))</f>
        <v/>
      </c>
      <c r="BI194" s="174" t="str">
        <f>IF(BI$6="","",IF(BI$3="Maior",iferror(VLOOKUP($R194,Capa!$A:$AJ,BI$5,0),0),IF(ISERROR(1/VLOOKUP($R194,Capa!$A:$AJ,BI$5,0)),0,1/VLOOKUP($R194,Capa!$A:$AJ,BI$5,0))))</f>
        <v/>
      </c>
      <c r="BJ194" s="174" t="str">
        <f>IF(BJ$6="","",IF(BJ$3="Maior",iferror(VLOOKUP($R194,Capa!$A:$AJ,BJ$5,0),0),IF(ISERROR(1/VLOOKUP($R194,Capa!$A:$AJ,BJ$5,0)),0,1/VLOOKUP($R194,Capa!$A:$AJ,BJ$5,0))))</f>
        <v/>
      </c>
      <c r="BK194" s="174" t="str">
        <f>IF(BK$6="","",IF(BK$3="Maior",iferror(VLOOKUP($R194,Capa!$A:$AJ,BK$5,0),0),IF(ISERROR(1/VLOOKUP($R194,Capa!$A:$AJ,BK$5,0)),0,1/VLOOKUP($R194,Capa!$A:$AJ,BK$5,0))))</f>
        <v/>
      </c>
      <c r="BL194" s="174" t="str">
        <f>IF(BL$6="","",IF(BL$3="Maior",iferror(VLOOKUP($R194,Capa!$A:$AJ,BL$5,0),0),IF(ISERROR(1/VLOOKUP($R194,Capa!$A:$AJ,BL$5,0)),0,1/VLOOKUP($R194,Capa!$A:$AJ,BL$5,0))))</f>
        <v/>
      </c>
      <c r="BM194" s="174" t="str">
        <f>IF(BM$6="","",IF(BM$3="Maior",iferror(VLOOKUP($R194,Capa!$A:$AJ,BM$5,0),0),IF(ISERROR(1/VLOOKUP($R194,Capa!$A:$AJ,BM$5,0)),0,1/VLOOKUP($R194,Capa!$A:$AJ,BM$5,0))))</f>
        <v/>
      </c>
      <c r="BN194" s="174" t="str">
        <f>IF(BN$6="","",IF(BN$3="Maior",iferror(VLOOKUP($R194,Capa!$A:$AJ,BN$5,0),0),IF(ISERROR(1/VLOOKUP($R194,Capa!$A:$AJ,BN$5,0)),0,1/VLOOKUP($R194,Capa!$A:$AJ,BN$5,0))))</f>
        <v/>
      </c>
      <c r="BO194" s="174" t="str">
        <f>IF(BO$6="","",IF(BO$3="Maior",iferror(VLOOKUP($R194,Capa!$A:$AJ,BO$5,0),0),IF(ISERROR(1/VLOOKUP($R194,Capa!$A:$AJ,BO$5,0)),0,1/VLOOKUP($R194,Capa!$A:$AJ,BO$5,0))))</f>
        <v/>
      </c>
      <c r="BP194" s="174" t="str">
        <f>IF(BP$6="","",IF(BP$3="Maior",iferror(VLOOKUP($R194,Capa!$A:$AJ,BP$5,0),0),IF(ISERROR(1/VLOOKUP($R194,Capa!$A:$AJ,BP$5,0)),0,1/VLOOKUP($R194,Capa!$A:$AJ,BP$5,0))))</f>
        <v/>
      </c>
      <c r="BQ194" s="174" t="str">
        <f>IF(BQ$6="","",IF(BQ$3="Maior",iferror(VLOOKUP($R194,Capa!$A:$AJ,BQ$5,0),0),IF(ISERROR(1/VLOOKUP($R194,Capa!$A:$AJ,BQ$5,0)),0,1/VLOOKUP($R194,Capa!$A:$AJ,BQ$5,0))))</f>
        <v/>
      </c>
      <c r="BR194" s="175"/>
      <c r="BS194" s="147"/>
    </row>
    <row r="195">
      <c r="G195" s="11"/>
      <c r="H195" s="8">
        <v>189.0</v>
      </c>
      <c r="I195" s="165" t="str">
        <f t="shared" si="6"/>
        <v>POSI3</v>
      </c>
      <c r="J195" s="166" t="str">
        <f>(VLOOKUP($I195,Capa!$A:$B,2,0))</f>
        <v>Positivo Tecnologia SA</v>
      </c>
      <c r="K195" s="167" t="str">
        <f>VLOOKUP(left(I195,4),Setor!A:D,3,0)&amp;" | "&amp;VLOOKUP(left(I195,4),Setor!A:D,4,0)</f>
        <v>Tecnologia da Informação | Computadores e Equipamentos</v>
      </c>
      <c r="L195" s="168">
        <f>(VLOOKUP($I195,Capa!$A:$F,6,0))</f>
        <v>4.03</v>
      </c>
      <c r="M195" s="168">
        <f t="shared" si="7"/>
        <v>6662684</v>
      </c>
      <c r="N195" s="11" t="str">
        <f>IFERROR(__xludf.DUMMYFUNCTION("(VLOOKUP($I195,Capa!$A:$H,7,0))"),"")</f>
        <v/>
      </c>
      <c r="O195" s="169">
        <f>(VLOOKUP($I195,Capa!$A:$H,8,0))</f>
        <v>-0.04047619048</v>
      </c>
      <c r="P195" s="11" t="str">
        <f>IFERROR(__xludf.DUMMYFUNCTION("(VLOOKUP($I195,Capa!$A:$J,10,0))"),"")</f>
        <v/>
      </c>
      <c r="Q195" s="169">
        <f>(VLOOKUP($I195,Capa!$A:$K,11,0))</f>
        <v>-0.2686025408</v>
      </c>
      <c r="R195" s="45" t="str">
        <f>'Dados StatusInvest'!A190</f>
        <v>CSED3</v>
      </c>
      <c r="S195" s="170">
        <f t="shared" si="8"/>
        <v>567.0567</v>
      </c>
      <c r="T195" s="171">
        <f>VLOOKUP(R195,'Dados StatusInvest'!A:Z,26,0)</f>
        <v>3622381</v>
      </c>
      <c r="U195" s="172">
        <f t="shared" ref="U195:AS195" si="197">IF(AT195="","", RANK(AT195,AT$7:AT$626,0)+RANK(AT195,AT$7:AT$626,0)/10000)</f>
        <v>404.0404</v>
      </c>
      <c r="V195" s="172">
        <f t="shared" si="197"/>
        <v>163.0163</v>
      </c>
      <c r="W195" s="172" t="str">
        <f t="shared" si="197"/>
        <v/>
      </c>
      <c r="X195" s="172" t="str">
        <f t="shared" si="197"/>
        <v/>
      </c>
      <c r="Y195" s="172" t="str">
        <f t="shared" si="197"/>
        <v/>
      </c>
      <c r="Z195" s="172" t="str">
        <f t="shared" si="197"/>
        <v/>
      </c>
      <c r="AA195" s="172" t="str">
        <f t="shared" si="197"/>
        <v/>
      </c>
      <c r="AB195" s="172" t="str">
        <f t="shared" si="197"/>
        <v/>
      </c>
      <c r="AC195" s="172" t="str">
        <f t="shared" si="197"/>
        <v/>
      </c>
      <c r="AD195" s="172" t="str">
        <f t="shared" si="197"/>
        <v/>
      </c>
      <c r="AE195" s="172" t="str">
        <f t="shared" si="197"/>
        <v/>
      </c>
      <c r="AF195" s="172" t="str">
        <f t="shared" si="197"/>
        <v/>
      </c>
      <c r="AG195" s="172" t="str">
        <f t="shared" si="197"/>
        <v/>
      </c>
      <c r="AH195" s="172" t="str">
        <f t="shared" si="197"/>
        <v/>
      </c>
      <c r="AI195" s="172" t="str">
        <f t="shared" si="197"/>
        <v/>
      </c>
      <c r="AJ195" s="172" t="str">
        <f t="shared" si="197"/>
        <v/>
      </c>
      <c r="AK195" s="172" t="str">
        <f t="shared" si="197"/>
        <v/>
      </c>
      <c r="AL195" s="172" t="str">
        <f t="shared" si="197"/>
        <v/>
      </c>
      <c r="AM195" s="172" t="str">
        <f t="shared" si="197"/>
        <v/>
      </c>
      <c r="AN195" s="172" t="str">
        <f t="shared" si="197"/>
        <v/>
      </c>
      <c r="AO195" s="172" t="str">
        <f t="shared" si="197"/>
        <v/>
      </c>
      <c r="AP195" s="172" t="str">
        <f t="shared" si="197"/>
        <v/>
      </c>
      <c r="AQ195" s="172" t="str">
        <f t="shared" si="197"/>
        <v/>
      </c>
      <c r="AR195" s="172" t="str">
        <f t="shared" si="197"/>
        <v/>
      </c>
      <c r="AS195" s="172" t="str">
        <f t="shared" si="197"/>
        <v/>
      </c>
      <c r="AT195" s="173">
        <f>IF(AT$6="","",IF(AT$3="Maior",iferror(VLOOKUP($R195,Capa!$A:$AJ,AT$5,0),0),IF(ISERROR(1/VLOOKUP($R195,Capa!$A:$AJ,AT$5,0)),0,1/VLOOKUP($R195,Capa!$A:$AJ,AT$5,0))))</f>
        <v>-1.425935246</v>
      </c>
      <c r="AU195" s="174">
        <f>IF(AU$6="","",IF(AU$3="Maior",iferror(VLOOKUP($R195,Capa!$A:$AJ,AU$5,0),0),IF(ISERROR(1/VLOOKUP($R195,Capa!$A:$AJ,AU$5,0)),0,1/VLOOKUP($R195,Capa!$A:$AJ,AU$5,0))))</f>
        <v>15.88</v>
      </c>
      <c r="AV195" s="174" t="str">
        <f>IF(AV$6="","",IF(AV$3="Maior",iferror(VLOOKUP($R195,Capa!$A:$AJ,AV$5,0),0),IF(ISERROR(1/VLOOKUP($R195,Capa!$A:$AJ,AV$5,0)),0,1/VLOOKUP($R195,Capa!$A:$AJ,AV$5,0))))</f>
        <v/>
      </c>
      <c r="AW195" s="174" t="str">
        <f>IF(AW$6="","",IF(AW$3="Maior",iferror(VLOOKUP($R195,Capa!$A:$AJ,AW$5,0),0),IF(ISERROR(1/VLOOKUP($R195,Capa!$A:$AJ,AW$5,0)),0,1/VLOOKUP($R195,Capa!$A:$AJ,AW$5,0))))</f>
        <v/>
      </c>
      <c r="AX195" s="174" t="str">
        <f>IF(AX$6="","",IF(AX$3="Maior",iferror(VLOOKUP($R195,Capa!$A:$AJ,AX$5,0),0),IF(ISERROR(1/VLOOKUP($R195,Capa!$A:$AJ,AX$5,0)),0,1/VLOOKUP($R195,Capa!$A:$AJ,AX$5,0))))</f>
        <v/>
      </c>
      <c r="AY195" s="174" t="str">
        <f>IF(AY$6="","",IF(AY$3="Maior",iferror(VLOOKUP($R195,Capa!$A:$AJ,AY$5,0),0),IF(ISERROR(1/VLOOKUP($R195,Capa!$A:$AJ,AY$5,0)),0,1/VLOOKUP($R195,Capa!$A:$AJ,AY$5,0))))</f>
        <v/>
      </c>
      <c r="AZ195" s="174" t="str">
        <f>IF(AZ$6="","",IF(AZ$3="Maior",iferror(VLOOKUP($R195,Capa!$A:$AJ,AZ$5,0),0),IF(ISERROR(1/VLOOKUP($R195,Capa!$A:$AJ,AZ$5,0)),0,1/VLOOKUP($R195,Capa!$A:$AJ,AZ$5,0))))</f>
        <v/>
      </c>
      <c r="BA195" s="174" t="str">
        <f>IF(BA$6="","",IF(BA$3="Maior",iferror(VLOOKUP($R195,Capa!$A:$AJ,BA$5,0),0),IF(ISERROR(1/VLOOKUP($R195,Capa!$A:$AJ,BA$5,0)),0,1/VLOOKUP($R195,Capa!$A:$AJ,BA$5,0))))</f>
        <v/>
      </c>
      <c r="BB195" s="174" t="str">
        <f>IF(BB$6="","",IF(BB$3="Maior",iferror(VLOOKUP($R195,Capa!$A:$AJ,BB$5,0),0),IF(ISERROR(1/VLOOKUP($R195,Capa!$A:$AJ,BB$5,0)),0,1/VLOOKUP($R195,Capa!$A:$AJ,BB$5,0))))</f>
        <v/>
      </c>
      <c r="BC195" s="174" t="str">
        <f>IF(BC$6="","",IF(BC$3="Maior",iferror(VLOOKUP($R195,Capa!$A:$AJ,BC$5,0),0),IF(ISERROR(1/VLOOKUP($R195,Capa!$A:$AJ,BC$5,0)),0,1/VLOOKUP($R195,Capa!$A:$AJ,BC$5,0))))</f>
        <v/>
      </c>
      <c r="BD195" s="174" t="str">
        <f>IF(BD$6="","",IF(BD$3="Maior",iferror(VLOOKUP($R195,Capa!$A:$AJ,BD$5,0),0),IF(ISERROR(1/VLOOKUP($R195,Capa!$A:$AJ,BD$5,0)),0,1/VLOOKUP($R195,Capa!$A:$AJ,BD$5,0))))</f>
        <v/>
      </c>
      <c r="BE195" s="174" t="str">
        <f>IF(BE$6="","",IF(BE$3="Maior",iferror(VLOOKUP($R195,Capa!$A:$AJ,BE$5,0),0),IF(ISERROR(1/VLOOKUP($R195,Capa!$A:$AJ,BE$5,0)),0,1/VLOOKUP($R195,Capa!$A:$AJ,BE$5,0))))</f>
        <v/>
      </c>
      <c r="BF195" s="174" t="str">
        <f>IF(BF$6="","",IF(BF$3="Maior",iferror(VLOOKUP($R195,Capa!$A:$AJ,BF$5,0),0),IF(ISERROR(1/VLOOKUP($R195,Capa!$A:$AJ,BF$5,0)),0,1/VLOOKUP($R195,Capa!$A:$AJ,BF$5,0))))</f>
        <v/>
      </c>
      <c r="BG195" s="174" t="str">
        <f>IF(BG$6="","",IF(BG$3="Maior",iferror(VLOOKUP($R195,Capa!$A:$AJ,BG$5,0),0),IF(ISERROR(1/VLOOKUP($R195,Capa!$A:$AJ,BG$5,0)),0,1/VLOOKUP($R195,Capa!$A:$AJ,BG$5,0))))</f>
        <v/>
      </c>
      <c r="BH195" s="174" t="str">
        <f>IF(BH$6="","",IF(BH$3="Maior",iferror(VLOOKUP($R195,Capa!$A:$AJ,BH$5,0),0),IF(ISERROR(1/VLOOKUP($R195,Capa!$A:$AJ,BH$5,0)),0,1/VLOOKUP($R195,Capa!$A:$AJ,BH$5,0))))</f>
        <v/>
      </c>
      <c r="BI195" s="174" t="str">
        <f>IF(BI$6="","",IF(BI$3="Maior",iferror(VLOOKUP($R195,Capa!$A:$AJ,BI$5,0),0),IF(ISERROR(1/VLOOKUP($R195,Capa!$A:$AJ,BI$5,0)),0,1/VLOOKUP($R195,Capa!$A:$AJ,BI$5,0))))</f>
        <v/>
      </c>
      <c r="BJ195" s="174" t="str">
        <f>IF(BJ$6="","",IF(BJ$3="Maior",iferror(VLOOKUP($R195,Capa!$A:$AJ,BJ$5,0),0),IF(ISERROR(1/VLOOKUP($R195,Capa!$A:$AJ,BJ$5,0)),0,1/VLOOKUP($R195,Capa!$A:$AJ,BJ$5,0))))</f>
        <v/>
      </c>
      <c r="BK195" s="174" t="str">
        <f>IF(BK$6="","",IF(BK$3="Maior",iferror(VLOOKUP($R195,Capa!$A:$AJ,BK$5,0),0),IF(ISERROR(1/VLOOKUP($R195,Capa!$A:$AJ,BK$5,0)),0,1/VLOOKUP($R195,Capa!$A:$AJ,BK$5,0))))</f>
        <v/>
      </c>
      <c r="BL195" s="174" t="str">
        <f>IF(BL$6="","",IF(BL$3="Maior",iferror(VLOOKUP($R195,Capa!$A:$AJ,BL$5,0),0),IF(ISERROR(1/VLOOKUP($R195,Capa!$A:$AJ,BL$5,0)),0,1/VLOOKUP($R195,Capa!$A:$AJ,BL$5,0))))</f>
        <v/>
      </c>
      <c r="BM195" s="174" t="str">
        <f>IF(BM$6="","",IF(BM$3="Maior",iferror(VLOOKUP($R195,Capa!$A:$AJ,BM$5,0),0),IF(ISERROR(1/VLOOKUP($R195,Capa!$A:$AJ,BM$5,0)),0,1/VLOOKUP($R195,Capa!$A:$AJ,BM$5,0))))</f>
        <v/>
      </c>
      <c r="BN195" s="174" t="str">
        <f>IF(BN$6="","",IF(BN$3="Maior",iferror(VLOOKUP($R195,Capa!$A:$AJ,BN$5,0),0),IF(ISERROR(1/VLOOKUP($R195,Capa!$A:$AJ,BN$5,0)),0,1/VLOOKUP($R195,Capa!$A:$AJ,BN$5,0))))</f>
        <v/>
      </c>
      <c r="BO195" s="174" t="str">
        <f>IF(BO$6="","",IF(BO$3="Maior",iferror(VLOOKUP($R195,Capa!$A:$AJ,BO$5,0),0),IF(ISERROR(1/VLOOKUP($R195,Capa!$A:$AJ,BO$5,0)),0,1/VLOOKUP($R195,Capa!$A:$AJ,BO$5,0))))</f>
        <v/>
      </c>
      <c r="BP195" s="174" t="str">
        <f>IF(BP$6="","",IF(BP$3="Maior",iferror(VLOOKUP($R195,Capa!$A:$AJ,BP$5,0),0),IF(ISERROR(1/VLOOKUP($R195,Capa!$A:$AJ,BP$5,0)),0,1/VLOOKUP($R195,Capa!$A:$AJ,BP$5,0))))</f>
        <v/>
      </c>
      <c r="BQ195" s="174" t="str">
        <f>IF(BQ$6="","",IF(BQ$3="Maior",iferror(VLOOKUP($R195,Capa!$A:$AJ,BQ$5,0),0),IF(ISERROR(1/VLOOKUP($R195,Capa!$A:$AJ,BQ$5,0)),0,1/VLOOKUP($R195,Capa!$A:$AJ,BQ$5,0))))</f>
        <v/>
      </c>
      <c r="BR195" s="175"/>
      <c r="BS195" s="147"/>
    </row>
    <row r="196">
      <c r="G196" s="11"/>
      <c r="H196" s="8">
        <v>190.0</v>
      </c>
      <c r="I196" s="165" t="str">
        <f t="shared" si="6"/>
        <v>DASA3</v>
      </c>
      <c r="J196" s="166" t="str">
        <f>(VLOOKUP($I196,Capa!$A:$B,2,0))</f>
        <v>Diagnosticos da America SA</v>
      </c>
      <c r="K196" s="167" t="str">
        <f>VLOOKUP(left(I196,4),Setor!A:D,3,0)&amp;" | "&amp;VLOOKUP(left(I196,4),Setor!A:D,4,0)</f>
        <v>Saúde | Análises e Diagnósticos</v>
      </c>
      <c r="L196" s="168">
        <f>(VLOOKUP($I196,Capa!$A:$F,6,0))</f>
        <v>4.17</v>
      </c>
      <c r="M196" s="168">
        <f t="shared" si="7"/>
        <v>6882380</v>
      </c>
      <c r="N196" s="11" t="str">
        <f>IFERROR(__xludf.DUMMYFUNCTION("(VLOOKUP($I196,Capa!$A:$H,7,0))"),"")</f>
        <v/>
      </c>
      <c r="O196" s="169">
        <f>(VLOOKUP($I196,Capa!$A:$H,8,0))</f>
        <v>0.07474226804</v>
      </c>
      <c r="P196" s="11" t="str">
        <f>IFERROR(__xludf.DUMMYFUNCTION("(VLOOKUP($I196,Capa!$A:$J,10,0))"),"")</f>
        <v/>
      </c>
      <c r="Q196" s="169">
        <f>(VLOOKUP($I196,Capa!$A:$K,11,0))</f>
        <v>1.396551724</v>
      </c>
      <c r="R196" s="45" t="str">
        <f>'Dados StatusInvest'!A191</f>
        <v>CSMG3</v>
      </c>
      <c r="S196" s="170">
        <f t="shared" si="8"/>
        <v>417.0417</v>
      </c>
      <c r="T196" s="171">
        <f>VLOOKUP(R196,'Dados StatusInvest'!A:Z,26,0)</f>
        <v>160000000</v>
      </c>
      <c r="U196" s="172">
        <f t="shared" ref="U196:AS196" si="198">IF(AT196="","", RANK(AT196,AT$7:AT$626,0)+RANK(AT196,AT$7:AT$626,0)/10000)</f>
        <v>226.0226</v>
      </c>
      <c r="V196" s="172">
        <f t="shared" si="198"/>
        <v>191.0191</v>
      </c>
      <c r="W196" s="172" t="str">
        <f t="shared" si="198"/>
        <v/>
      </c>
      <c r="X196" s="172" t="str">
        <f t="shared" si="198"/>
        <v/>
      </c>
      <c r="Y196" s="172" t="str">
        <f t="shared" si="198"/>
        <v/>
      </c>
      <c r="Z196" s="172" t="str">
        <f t="shared" si="198"/>
        <v/>
      </c>
      <c r="AA196" s="172" t="str">
        <f t="shared" si="198"/>
        <v/>
      </c>
      <c r="AB196" s="172" t="str">
        <f t="shared" si="198"/>
        <v/>
      </c>
      <c r="AC196" s="172" t="str">
        <f t="shared" si="198"/>
        <v/>
      </c>
      <c r="AD196" s="172" t="str">
        <f t="shared" si="198"/>
        <v/>
      </c>
      <c r="AE196" s="172" t="str">
        <f t="shared" si="198"/>
        <v/>
      </c>
      <c r="AF196" s="172" t="str">
        <f t="shared" si="198"/>
        <v/>
      </c>
      <c r="AG196" s="172" t="str">
        <f t="shared" si="198"/>
        <v/>
      </c>
      <c r="AH196" s="172" t="str">
        <f t="shared" si="198"/>
        <v/>
      </c>
      <c r="AI196" s="172" t="str">
        <f t="shared" si="198"/>
        <v/>
      </c>
      <c r="AJ196" s="172" t="str">
        <f t="shared" si="198"/>
        <v/>
      </c>
      <c r="AK196" s="172" t="str">
        <f t="shared" si="198"/>
        <v/>
      </c>
      <c r="AL196" s="172" t="str">
        <f t="shared" si="198"/>
        <v/>
      </c>
      <c r="AM196" s="172" t="str">
        <f t="shared" si="198"/>
        <v/>
      </c>
      <c r="AN196" s="172" t="str">
        <f t="shared" si="198"/>
        <v/>
      </c>
      <c r="AO196" s="172" t="str">
        <f t="shared" si="198"/>
        <v/>
      </c>
      <c r="AP196" s="172" t="str">
        <f t="shared" si="198"/>
        <v/>
      </c>
      <c r="AQ196" s="172" t="str">
        <f t="shared" si="198"/>
        <v/>
      </c>
      <c r="AR196" s="172" t="str">
        <f t="shared" si="198"/>
        <v/>
      </c>
      <c r="AS196" s="172" t="str">
        <f t="shared" si="198"/>
        <v/>
      </c>
      <c r="AT196" s="173">
        <f>IF(AT$6="","",IF(AT$3="Maior",iferror(VLOOKUP($R196,Capa!$A:$AJ,AT$5,0),0),IF(ISERROR(1/VLOOKUP($R196,Capa!$A:$AJ,AT$5,0)),0,1/VLOOKUP($R196,Capa!$A:$AJ,AT$5,0))))</f>
        <v>-0.3739133846</v>
      </c>
      <c r="AU196" s="174">
        <f>IF(AU$6="","",IF(AU$3="Maior",iferror(VLOOKUP($R196,Capa!$A:$AJ,AU$5,0),0),IF(ISERROR(1/VLOOKUP($R196,Capa!$A:$AJ,AU$5,0)),0,1/VLOOKUP($R196,Capa!$A:$AJ,AU$5,0))))</f>
        <v>12.36</v>
      </c>
      <c r="AV196" s="174" t="str">
        <f>IF(AV$6="","",IF(AV$3="Maior",iferror(VLOOKUP($R196,Capa!$A:$AJ,AV$5,0),0),IF(ISERROR(1/VLOOKUP($R196,Capa!$A:$AJ,AV$5,0)),0,1/VLOOKUP($R196,Capa!$A:$AJ,AV$5,0))))</f>
        <v/>
      </c>
      <c r="AW196" s="174" t="str">
        <f>IF(AW$6="","",IF(AW$3="Maior",iferror(VLOOKUP($R196,Capa!$A:$AJ,AW$5,0),0),IF(ISERROR(1/VLOOKUP($R196,Capa!$A:$AJ,AW$5,0)),0,1/VLOOKUP($R196,Capa!$A:$AJ,AW$5,0))))</f>
        <v/>
      </c>
      <c r="AX196" s="174" t="str">
        <f>IF(AX$6="","",IF(AX$3="Maior",iferror(VLOOKUP($R196,Capa!$A:$AJ,AX$5,0),0),IF(ISERROR(1/VLOOKUP($R196,Capa!$A:$AJ,AX$5,0)),0,1/VLOOKUP($R196,Capa!$A:$AJ,AX$5,0))))</f>
        <v/>
      </c>
      <c r="AY196" s="174" t="str">
        <f>IF(AY$6="","",IF(AY$3="Maior",iferror(VLOOKUP($R196,Capa!$A:$AJ,AY$5,0),0),IF(ISERROR(1/VLOOKUP($R196,Capa!$A:$AJ,AY$5,0)),0,1/VLOOKUP($R196,Capa!$A:$AJ,AY$5,0))))</f>
        <v/>
      </c>
      <c r="AZ196" s="174" t="str">
        <f>IF(AZ$6="","",IF(AZ$3="Maior",iferror(VLOOKUP($R196,Capa!$A:$AJ,AZ$5,0),0),IF(ISERROR(1/VLOOKUP($R196,Capa!$A:$AJ,AZ$5,0)),0,1/VLOOKUP($R196,Capa!$A:$AJ,AZ$5,0))))</f>
        <v/>
      </c>
      <c r="BA196" s="174" t="str">
        <f>IF(BA$6="","",IF(BA$3="Maior",iferror(VLOOKUP($R196,Capa!$A:$AJ,BA$5,0),0),IF(ISERROR(1/VLOOKUP($R196,Capa!$A:$AJ,BA$5,0)),0,1/VLOOKUP($R196,Capa!$A:$AJ,BA$5,0))))</f>
        <v/>
      </c>
      <c r="BB196" s="174" t="str">
        <f>IF(BB$6="","",IF(BB$3="Maior",iferror(VLOOKUP($R196,Capa!$A:$AJ,BB$5,0),0),IF(ISERROR(1/VLOOKUP($R196,Capa!$A:$AJ,BB$5,0)),0,1/VLOOKUP($R196,Capa!$A:$AJ,BB$5,0))))</f>
        <v/>
      </c>
      <c r="BC196" s="174" t="str">
        <f>IF(BC$6="","",IF(BC$3="Maior",iferror(VLOOKUP($R196,Capa!$A:$AJ,BC$5,0),0),IF(ISERROR(1/VLOOKUP($R196,Capa!$A:$AJ,BC$5,0)),0,1/VLOOKUP($R196,Capa!$A:$AJ,BC$5,0))))</f>
        <v/>
      </c>
      <c r="BD196" s="174" t="str">
        <f>IF(BD$6="","",IF(BD$3="Maior",iferror(VLOOKUP($R196,Capa!$A:$AJ,BD$5,0),0),IF(ISERROR(1/VLOOKUP($R196,Capa!$A:$AJ,BD$5,0)),0,1/VLOOKUP($R196,Capa!$A:$AJ,BD$5,0))))</f>
        <v/>
      </c>
      <c r="BE196" s="174" t="str">
        <f>IF(BE$6="","",IF(BE$3="Maior",iferror(VLOOKUP($R196,Capa!$A:$AJ,BE$5,0),0),IF(ISERROR(1/VLOOKUP($R196,Capa!$A:$AJ,BE$5,0)),0,1/VLOOKUP($R196,Capa!$A:$AJ,BE$5,0))))</f>
        <v/>
      </c>
      <c r="BF196" s="174" t="str">
        <f>IF(BF$6="","",IF(BF$3="Maior",iferror(VLOOKUP($R196,Capa!$A:$AJ,BF$5,0),0),IF(ISERROR(1/VLOOKUP($R196,Capa!$A:$AJ,BF$5,0)),0,1/VLOOKUP($R196,Capa!$A:$AJ,BF$5,0))))</f>
        <v/>
      </c>
      <c r="BG196" s="174" t="str">
        <f>IF(BG$6="","",IF(BG$3="Maior",iferror(VLOOKUP($R196,Capa!$A:$AJ,BG$5,0),0),IF(ISERROR(1/VLOOKUP($R196,Capa!$A:$AJ,BG$5,0)),0,1/VLOOKUP($R196,Capa!$A:$AJ,BG$5,0))))</f>
        <v/>
      </c>
      <c r="BH196" s="174" t="str">
        <f>IF(BH$6="","",IF(BH$3="Maior",iferror(VLOOKUP($R196,Capa!$A:$AJ,BH$5,0),0),IF(ISERROR(1/VLOOKUP($R196,Capa!$A:$AJ,BH$5,0)),0,1/VLOOKUP($R196,Capa!$A:$AJ,BH$5,0))))</f>
        <v/>
      </c>
      <c r="BI196" s="174" t="str">
        <f>IF(BI$6="","",IF(BI$3="Maior",iferror(VLOOKUP($R196,Capa!$A:$AJ,BI$5,0),0),IF(ISERROR(1/VLOOKUP($R196,Capa!$A:$AJ,BI$5,0)),0,1/VLOOKUP($R196,Capa!$A:$AJ,BI$5,0))))</f>
        <v/>
      </c>
      <c r="BJ196" s="174" t="str">
        <f>IF(BJ$6="","",IF(BJ$3="Maior",iferror(VLOOKUP($R196,Capa!$A:$AJ,BJ$5,0),0),IF(ISERROR(1/VLOOKUP($R196,Capa!$A:$AJ,BJ$5,0)),0,1/VLOOKUP($R196,Capa!$A:$AJ,BJ$5,0))))</f>
        <v/>
      </c>
      <c r="BK196" s="174" t="str">
        <f>IF(BK$6="","",IF(BK$3="Maior",iferror(VLOOKUP($R196,Capa!$A:$AJ,BK$5,0),0),IF(ISERROR(1/VLOOKUP($R196,Capa!$A:$AJ,BK$5,0)),0,1/VLOOKUP($R196,Capa!$A:$AJ,BK$5,0))))</f>
        <v/>
      </c>
      <c r="BL196" s="174" t="str">
        <f>IF(BL$6="","",IF(BL$3="Maior",iferror(VLOOKUP($R196,Capa!$A:$AJ,BL$5,0),0),IF(ISERROR(1/VLOOKUP($R196,Capa!$A:$AJ,BL$5,0)),0,1/VLOOKUP($R196,Capa!$A:$AJ,BL$5,0))))</f>
        <v/>
      </c>
      <c r="BM196" s="174" t="str">
        <f>IF(BM$6="","",IF(BM$3="Maior",iferror(VLOOKUP($R196,Capa!$A:$AJ,BM$5,0),0),IF(ISERROR(1/VLOOKUP($R196,Capa!$A:$AJ,BM$5,0)),0,1/VLOOKUP($R196,Capa!$A:$AJ,BM$5,0))))</f>
        <v/>
      </c>
      <c r="BN196" s="174" t="str">
        <f>IF(BN$6="","",IF(BN$3="Maior",iferror(VLOOKUP($R196,Capa!$A:$AJ,BN$5,0),0),IF(ISERROR(1/VLOOKUP($R196,Capa!$A:$AJ,BN$5,0)),0,1/VLOOKUP($R196,Capa!$A:$AJ,BN$5,0))))</f>
        <v/>
      </c>
      <c r="BO196" s="174" t="str">
        <f>IF(BO$6="","",IF(BO$3="Maior",iferror(VLOOKUP($R196,Capa!$A:$AJ,BO$5,0),0),IF(ISERROR(1/VLOOKUP($R196,Capa!$A:$AJ,BO$5,0)),0,1/VLOOKUP($R196,Capa!$A:$AJ,BO$5,0))))</f>
        <v/>
      </c>
      <c r="BP196" s="174" t="str">
        <f>IF(BP$6="","",IF(BP$3="Maior",iferror(VLOOKUP($R196,Capa!$A:$AJ,BP$5,0),0),IF(ISERROR(1/VLOOKUP($R196,Capa!$A:$AJ,BP$5,0)),0,1/VLOOKUP($R196,Capa!$A:$AJ,BP$5,0))))</f>
        <v/>
      </c>
      <c r="BQ196" s="174" t="str">
        <f>IF(BQ$6="","",IF(BQ$3="Maior",iferror(VLOOKUP($R196,Capa!$A:$AJ,BQ$5,0),0),IF(ISERROR(1/VLOOKUP($R196,Capa!$A:$AJ,BQ$5,0)),0,1/VLOOKUP($R196,Capa!$A:$AJ,BQ$5,0))))</f>
        <v/>
      </c>
      <c r="BR196" s="175"/>
      <c r="BS196" s="147"/>
    </row>
    <row r="197">
      <c r="G197" s="11"/>
      <c r="H197" s="8">
        <v>191.0</v>
      </c>
      <c r="I197" s="165" t="str">
        <f t="shared" si="6"/>
        <v>ETER3</v>
      </c>
      <c r="J197" s="166" t="str">
        <f>(VLOOKUP($I197,Capa!$A:$B,2,0))</f>
        <v>Eternit SA em Recuperacao Judicial</v>
      </c>
      <c r="K197" s="167" t="str">
        <f>VLOOKUP(left(I197,4),Setor!A:D,3,0)&amp;" | "&amp;VLOOKUP(left(I197,4),Setor!A:D,4,0)</f>
        <v>Bens Industriais | Construção e Engenharia</v>
      </c>
      <c r="L197" s="168">
        <f>(VLOOKUP($I197,Capa!$A:$F,6,0))</f>
        <v>4.13</v>
      </c>
      <c r="M197" s="168">
        <f t="shared" si="7"/>
        <v>610840.6</v>
      </c>
      <c r="N197" s="11" t="str">
        <f>IFERROR(__xludf.DUMMYFUNCTION("(VLOOKUP($I197,Capa!$A:$H,7,0))"),"")</f>
        <v/>
      </c>
      <c r="O197" s="169">
        <f>(VLOOKUP($I197,Capa!$A:$H,8,0))</f>
        <v>0.0350877193</v>
      </c>
      <c r="P197" s="11" t="str">
        <f>IFERROR(__xludf.DUMMYFUNCTION("(VLOOKUP($I197,Capa!$A:$J,10,0))"),"")</f>
        <v/>
      </c>
      <c r="Q197" s="169">
        <f>(VLOOKUP($I197,Capa!$A:$K,11,0))</f>
        <v>-0.2598566308</v>
      </c>
      <c r="R197" s="45" t="str">
        <f>'Dados StatusInvest'!A192</f>
        <v>CSNA3</v>
      </c>
      <c r="S197" s="170">
        <f t="shared" si="8"/>
        <v>304.0304</v>
      </c>
      <c r="T197" s="171">
        <f>VLOOKUP(R197,'Dados StatusInvest'!A:Z,26,0)</f>
        <v>139000000</v>
      </c>
      <c r="U197" s="172">
        <f t="shared" ref="U197:AS197" si="199">IF(AT197="","", RANK(AT197,AT$7:AT$626,0)+RANK(AT197,AT$7:AT$626,0)/10000)</f>
        <v>37.0037</v>
      </c>
      <c r="V197" s="172">
        <f t="shared" si="199"/>
        <v>267.0267</v>
      </c>
      <c r="W197" s="172" t="str">
        <f t="shared" si="199"/>
        <v/>
      </c>
      <c r="X197" s="172" t="str">
        <f t="shared" si="199"/>
        <v/>
      </c>
      <c r="Y197" s="172" t="str">
        <f t="shared" si="199"/>
        <v/>
      </c>
      <c r="Z197" s="172" t="str">
        <f t="shared" si="199"/>
        <v/>
      </c>
      <c r="AA197" s="172" t="str">
        <f t="shared" si="199"/>
        <v/>
      </c>
      <c r="AB197" s="172" t="str">
        <f t="shared" si="199"/>
        <v/>
      </c>
      <c r="AC197" s="172" t="str">
        <f t="shared" si="199"/>
        <v/>
      </c>
      <c r="AD197" s="172" t="str">
        <f t="shared" si="199"/>
        <v/>
      </c>
      <c r="AE197" s="172" t="str">
        <f t="shared" si="199"/>
        <v/>
      </c>
      <c r="AF197" s="172" t="str">
        <f t="shared" si="199"/>
        <v/>
      </c>
      <c r="AG197" s="172" t="str">
        <f t="shared" si="199"/>
        <v/>
      </c>
      <c r="AH197" s="172" t="str">
        <f t="shared" si="199"/>
        <v/>
      </c>
      <c r="AI197" s="172" t="str">
        <f t="shared" si="199"/>
        <v/>
      </c>
      <c r="AJ197" s="172" t="str">
        <f t="shared" si="199"/>
        <v/>
      </c>
      <c r="AK197" s="172" t="str">
        <f t="shared" si="199"/>
        <v/>
      </c>
      <c r="AL197" s="172" t="str">
        <f t="shared" si="199"/>
        <v/>
      </c>
      <c r="AM197" s="172" t="str">
        <f t="shared" si="199"/>
        <v/>
      </c>
      <c r="AN197" s="172" t="str">
        <f t="shared" si="199"/>
        <v/>
      </c>
      <c r="AO197" s="172" t="str">
        <f t="shared" si="199"/>
        <v/>
      </c>
      <c r="AP197" s="172" t="str">
        <f t="shared" si="199"/>
        <v/>
      </c>
      <c r="AQ197" s="172" t="str">
        <f t="shared" si="199"/>
        <v/>
      </c>
      <c r="AR197" s="172" t="str">
        <f t="shared" si="199"/>
        <v/>
      </c>
      <c r="AS197" s="172" t="str">
        <f t="shared" si="199"/>
        <v/>
      </c>
      <c r="AT197" s="173">
        <f>IF(AT$6="","",IF(AT$3="Maior",iferror(VLOOKUP($R197,Capa!$A:$AJ,AT$5,0),0),IF(ISERROR(1/VLOOKUP($R197,Capa!$A:$AJ,AT$5,0)),0,1/VLOOKUP($R197,Capa!$A:$AJ,AT$5,0))))</f>
        <v>0.002629775733</v>
      </c>
      <c r="AU197" s="174">
        <f>IF(AU$6="","",IF(AU$3="Maior",iferror(VLOOKUP($R197,Capa!$A:$AJ,AU$5,0),0),IF(ISERROR(1/VLOOKUP($R197,Capa!$A:$AJ,AU$5,0)),0,1/VLOOKUP($R197,Capa!$A:$AJ,AU$5,0))))</f>
        <v>0</v>
      </c>
      <c r="AV197" s="174" t="str">
        <f>IF(AV$6="","",IF(AV$3="Maior",iferror(VLOOKUP($R197,Capa!$A:$AJ,AV$5,0),0),IF(ISERROR(1/VLOOKUP($R197,Capa!$A:$AJ,AV$5,0)),0,1/VLOOKUP($R197,Capa!$A:$AJ,AV$5,0))))</f>
        <v/>
      </c>
      <c r="AW197" s="174" t="str">
        <f>IF(AW$6="","",IF(AW$3="Maior",iferror(VLOOKUP($R197,Capa!$A:$AJ,AW$5,0),0),IF(ISERROR(1/VLOOKUP($R197,Capa!$A:$AJ,AW$5,0)),0,1/VLOOKUP($R197,Capa!$A:$AJ,AW$5,0))))</f>
        <v/>
      </c>
      <c r="AX197" s="174" t="str">
        <f>IF(AX$6="","",IF(AX$3="Maior",iferror(VLOOKUP($R197,Capa!$A:$AJ,AX$5,0),0),IF(ISERROR(1/VLOOKUP($R197,Capa!$A:$AJ,AX$5,0)),0,1/VLOOKUP($R197,Capa!$A:$AJ,AX$5,0))))</f>
        <v/>
      </c>
      <c r="AY197" s="174" t="str">
        <f>IF(AY$6="","",IF(AY$3="Maior",iferror(VLOOKUP($R197,Capa!$A:$AJ,AY$5,0),0),IF(ISERROR(1/VLOOKUP($R197,Capa!$A:$AJ,AY$5,0)),0,1/VLOOKUP($R197,Capa!$A:$AJ,AY$5,0))))</f>
        <v/>
      </c>
      <c r="AZ197" s="174" t="str">
        <f>IF(AZ$6="","",IF(AZ$3="Maior",iferror(VLOOKUP($R197,Capa!$A:$AJ,AZ$5,0),0),IF(ISERROR(1/VLOOKUP($R197,Capa!$A:$AJ,AZ$5,0)),0,1/VLOOKUP($R197,Capa!$A:$AJ,AZ$5,0))))</f>
        <v/>
      </c>
      <c r="BA197" s="174" t="str">
        <f>IF(BA$6="","",IF(BA$3="Maior",iferror(VLOOKUP($R197,Capa!$A:$AJ,BA$5,0),0),IF(ISERROR(1/VLOOKUP($R197,Capa!$A:$AJ,BA$5,0)),0,1/VLOOKUP($R197,Capa!$A:$AJ,BA$5,0))))</f>
        <v/>
      </c>
      <c r="BB197" s="174" t="str">
        <f>IF(BB$6="","",IF(BB$3="Maior",iferror(VLOOKUP($R197,Capa!$A:$AJ,BB$5,0),0),IF(ISERROR(1/VLOOKUP($R197,Capa!$A:$AJ,BB$5,0)),0,1/VLOOKUP($R197,Capa!$A:$AJ,BB$5,0))))</f>
        <v/>
      </c>
      <c r="BC197" s="174" t="str">
        <f>IF(BC$6="","",IF(BC$3="Maior",iferror(VLOOKUP($R197,Capa!$A:$AJ,BC$5,0),0),IF(ISERROR(1/VLOOKUP($R197,Capa!$A:$AJ,BC$5,0)),0,1/VLOOKUP($R197,Capa!$A:$AJ,BC$5,0))))</f>
        <v/>
      </c>
      <c r="BD197" s="174" t="str">
        <f>IF(BD$6="","",IF(BD$3="Maior",iferror(VLOOKUP($R197,Capa!$A:$AJ,BD$5,0),0),IF(ISERROR(1/VLOOKUP($R197,Capa!$A:$AJ,BD$5,0)),0,1/VLOOKUP($R197,Capa!$A:$AJ,BD$5,0))))</f>
        <v/>
      </c>
      <c r="BE197" s="174" t="str">
        <f>IF(BE$6="","",IF(BE$3="Maior",iferror(VLOOKUP($R197,Capa!$A:$AJ,BE$5,0),0),IF(ISERROR(1/VLOOKUP($R197,Capa!$A:$AJ,BE$5,0)),0,1/VLOOKUP($R197,Capa!$A:$AJ,BE$5,0))))</f>
        <v/>
      </c>
      <c r="BF197" s="174" t="str">
        <f>IF(BF$6="","",IF(BF$3="Maior",iferror(VLOOKUP($R197,Capa!$A:$AJ,BF$5,0),0),IF(ISERROR(1/VLOOKUP($R197,Capa!$A:$AJ,BF$5,0)),0,1/VLOOKUP($R197,Capa!$A:$AJ,BF$5,0))))</f>
        <v/>
      </c>
      <c r="BG197" s="174" t="str">
        <f>IF(BG$6="","",IF(BG$3="Maior",iferror(VLOOKUP($R197,Capa!$A:$AJ,BG$5,0),0),IF(ISERROR(1/VLOOKUP($R197,Capa!$A:$AJ,BG$5,0)),0,1/VLOOKUP($R197,Capa!$A:$AJ,BG$5,0))))</f>
        <v/>
      </c>
      <c r="BH197" s="174" t="str">
        <f>IF(BH$6="","",IF(BH$3="Maior",iferror(VLOOKUP($R197,Capa!$A:$AJ,BH$5,0),0),IF(ISERROR(1/VLOOKUP($R197,Capa!$A:$AJ,BH$5,0)),0,1/VLOOKUP($R197,Capa!$A:$AJ,BH$5,0))))</f>
        <v/>
      </c>
      <c r="BI197" s="174" t="str">
        <f>IF(BI$6="","",IF(BI$3="Maior",iferror(VLOOKUP($R197,Capa!$A:$AJ,BI$5,0),0),IF(ISERROR(1/VLOOKUP($R197,Capa!$A:$AJ,BI$5,0)),0,1/VLOOKUP($R197,Capa!$A:$AJ,BI$5,0))))</f>
        <v/>
      </c>
      <c r="BJ197" s="174" t="str">
        <f>IF(BJ$6="","",IF(BJ$3="Maior",iferror(VLOOKUP($R197,Capa!$A:$AJ,BJ$5,0),0),IF(ISERROR(1/VLOOKUP($R197,Capa!$A:$AJ,BJ$5,0)),0,1/VLOOKUP($R197,Capa!$A:$AJ,BJ$5,0))))</f>
        <v/>
      </c>
      <c r="BK197" s="174" t="str">
        <f>IF(BK$6="","",IF(BK$3="Maior",iferror(VLOOKUP($R197,Capa!$A:$AJ,BK$5,0),0),IF(ISERROR(1/VLOOKUP($R197,Capa!$A:$AJ,BK$5,0)),0,1/VLOOKUP($R197,Capa!$A:$AJ,BK$5,0))))</f>
        <v/>
      </c>
      <c r="BL197" s="174" t="str">
        <f>IF(BL$6="","",IF(BL$3="Maior",iferror(VLOOKUP($R197,Capa!$A:$AJ,BL$5,0),0),IF(ISERROR(1/VLOOKUP($R197,Capa!$A:$AJ,BL$5,0)),0,1/VLOOKUP($R197,Capa!$A:$AJ,BL$5,0))))</f>
        <v/>
      </c>
      <c r="BM197" s="174" t="str">
        <f>IF(BM$6="","",IF(BM$3="Maior",iferror(VLOOKUP($R197,Capa!$A:$AJ,BM$5,0),0),IF(ISERROR(1/VLOOKUP($R197,Capa!$A:$AJ,BM$5,0)),0,1/VLOOKUP($R197,Capa!$A:$AJ,BM$5,0))))</f>
        <v/>
      </c>
      <c r="BN197" s="174" t="str">
        <f>IF(BN$6="","",IF(BN$3="Maior",iferror(VLOOKUP($R197,Capa!$A:$AJ,BN$5,0),0),IF(ISERROR(1/VLOOKUP($R197,Capa!$A:$AJ,BN$5,0)),0,1/VLOOKUP($R197,Capa!$A:$AJ,BN$5,0))))</f>
        <v/>
      </c>
      <c r="BO197" s="174" t="str">
        <f>IF(BO$6="","",IF(BO$3="Maior",iferror(VLOOKUP($R197,Capa!$A:$AJ,BO$5,0),0),IF(ISERROR(1/VLOOKUP($R197,Capa!$A:$AJ,BO$5,0)),0,1/VLOOKUP($R197,Capa!$A:$AJ,BO$5,0))))</f>
        <v/>
      </c>
      <c r="BP197" s="174" t="str">
        <f>IF(BP$6="","",IF(BP$3="Maior",iferror(VLOOKUP($R197,Capa!$A:$AJ,BP$5,0),0),IF(ISERROR(1/VLOOKUP($R197,Capa!$A:$AJ,BP$5,0)),0,1/VLOOKUP($R197,Capa!$A:$AJ,BP$5,0))))</f>
        <v/>
      </c>
      <c r="BQ197" s="174" t="str">
        <f>IF(BQ$6="","",IF(BQ$3="Maior",iferror(VLOOKUP($R197,Capa!$A:$AJ,BQ$5,0),0),IF(ISERROR(1/VLOOKUP($R197,Capa!$A:$AJ,BQ$5,0)),0,1/VLOOKUP($R197,Capa!$A:$AJ,BQ$5,0))))</f>
        <v/>
      </c>
      <c r="BR197" s="175"/>
      <c r="BS197" s="147"/>
    </row>
    <row r="198">
      <c r="G198" s="11"/>
      <c r="H198" s="8">
        <v>192.0</v>
      </c>
      <c r="I198" s="165" t="str">
        <f t="shared" si="6"/>
        <v>BEEF3</v>
      </c>
      <c r="J198" s="166" t="str">
        <f>(VLOOKUP($I198,Capa!$A:$B,2,0))</f>
        <v>Minerva SA</v>
      </c>
      <c r="K198" s="167" t="str">
        <f>VLOOKUP(left(I198,4),Setor!A:D,3,0)&amp;" | "&amp;VLOOKUP(left(I198,4),Setor!A:D,4,0)</f>
        <v>Consumo não Cíclico | Alimentos Processados</v>
      </c>
      <c r="L198" s="168">
        <f>(VLOOKUP($I198,Capa!$A:$F,6,0))</f>
        <v>5.64</v>
      </c>
      <c r="M198" s="168">
        <f t="shared" si="7"/>
        <v>76635501</v>
      </c>
      <c r="N198" s="11" t="str">
        <f>IFERROR(__xludf.DUMMYFUNCTION("(VLOOKUP($I198,Capa!$A:$H,7,0))"),"")</f>
        <v/>
      </c>
      <c r="O198" s="169">
        <f>(VLOOKUP($I198,Capa!$A:$H,8,0))</f>
        <v>-0.0472972973</v>
      </c>
      <c r="P198" s="11" t="str">
        <f>IFERROR(__xludf.DUMMYFUNCTION("(VLOOKUP($I198,Capa!$A:$J,10,0))"),"")</f>
        <v/>
      </c>
      <c r="Q198" s="169">
        <f>(VLOOKUP($I198,Capa!$A:$K,11,0))</f>
        <v>0.4029850746</v>
      </c>
      <c r="R198" s="45" t="str">
        <f>'Dados StatusInvest'!A193</f>
        <v>CSRN3</v>
      </c>
      <c r="S198" s="170">
        <f t="shared" si="8"/>
        <v>1292.0292</v>
      </c>
      <c r="T198" s="171">
        <f>VLOOKUP(R198,'Dados StatusInvest'!A:Z,26,0)</f>
        <v>0</v>
      </c>
      <c r="U198" s="172">
        <f t="shared" ref="U198:AS198" si="200">IF(AT198="","", RANK(AT198,AT$7:AT$626,0)+RANK(AT198,AT$7:AT$626,0)/10000)</f>
        <v>152.0152</v>
      </c>
      <c r="V198" s="172">
        <f t="shared" si="200"/>
        <v>140.014</v>
      </c>
      <c r="W198" s="172" t="str">
        <f t="shared" si="200"/>
        <v/>
      </c>
      <c r="X198" s="172" t="str">
        <f t="shared" si="200"/>
        <v/>
      </c>
      <c r="Y198" s="172" t="str">
        <f t="shared" si="200"/>
        <v/>
      </c>
      <c r="Z198" s="172" t="str">
        <f t="shared" si="200"/>
        <v/>
      </c>
      <c r="AA198" s="172" t="str">
        <f t="shared" si="200"/>
        <v/>
      </c>
      <c r="AB198" s="172" t="str">
        <f t="shared" si="200"/>
        <v/>
      </c>
      <c r="AC198" s="172" t="str">
        <f t="shared" si="200"/>
        <v/>
      </c>
      <c r="AD198" s="172" t="str">
        <f t="shared" si="200"/>
        <v/>
      </c>
      <c r="AE198" s="172" t="str">
        <f t="shared" si="200"/>
        <v/>
      </c>
      <c r="AF198" s="172" t="str">
        <f t="shared" si="200"/>
        <v/>
      </c>
      <c r="AG198" s="172" t="str">
        <f t="shared" si="200"/>
        <v/>
      </c>
      <c r="AH198" s="172" t="str">
        <f t="shared" si="200"/>
        <v/>
      </c>
      <c r="AI198" s="172" t="str">
        <f t="shared" si="200"/>
        <v/>
      </c>
      <c r="AJ198" s="172" t="str">
        <f t="shared" si="200"/>
        <v/>
      </c>
      <c r="AK198" s="172" t="str">
        <f t="shared" si="200"/>
        <v/>
      </c>
      <c r="AL198" s="172" t="str">
        <f t="shared" si="200"/>
        <v/>
      </c>
      <c r="AM198" s="172" t="str">
        <f t="shared" si="200"/>
        <v/>
      </c>
      <c r="AN198" s="172" t="str">
        <f t="shared" si="200"/>
        <v/>
      </c>
      <c r="AO198" s="172" t="str">
        <f t="shared" si="200"/>
        <v/>
      </c>
      <c r="AP198" s="172" t="str">
        <f t="shared" si="200"/>
        <v/>
      </c>
      <c r="AQ198" s="172" t="str">
        <f t="shared" si="200"/>
        <v/>
      </c>
      <c r="AR198" s="172" t="str">
        <f t="shared" si="200"/>
        <v/>
      </c>
      <c r="AS198" s="172" t="str">
        <f t="shared" si="200"/>
        <v/>
      </c>
      <c r="AT198" s="173">
        <f>IF(AT$6="","",IF(AT$3="Maior",iferror(VLOOKUP($R198,Capa!$A:$AJ,AT$5,0),0),IF(ISERROR(1/VLOOKUP($R198,Capa!$A:$AJ,AT$5,0)),0,1/VLOOKUP($R198,Capa!$A:$AJ,AT$5,0))))</f>
        <v>-0.09910802775</v>
      </c>
      <c r="AU198" s="174">
        <f>IF(AU$6="","",IF(AU$3="Maior",iferror(VLOOKUP($R198,Capa!$A:$AJ,AU$5,0),0),IF(ISERROR(1/VLOOKUP($R198,Capa!$A:$AJ,AU$5,0)),0,1/VLOOKUP($R198,Capa!$A:$AJ,AU$5,0))))</f>
        <v>19.34</v>
      </c>
      <c r="AV198" s="174" t="str">
        <f>IF(AV$6="","",IF(AV$3="Maior",iferror(VLOOKUP($R198,Capa!$A:$AJ,AV$5,0),0),IF(ISERROR(1/VLOOKUP($R198,Capa!$A:$AJ,AV$5,0)),0,1/VLOOKUP($R198,Capa!$A:$AJ,AV$5,0))))</f>
        <v/>
      </c>
      <c r="AW198" s="174" t="str">
        <f>IF(AW$6="","",IF(AW$3="Maior",iferror(VLOOKUP($R198,Capa!$A:$AJ,AW$5,0),0),IF(ISERROR(1/VLOOKUP($R198,Capa!$A:$AJ,AW$5,0)),0,1/VLOOKUP($R198,Capa!$A:$AJ,AW$5,0))))</f>
        <v/>
      </c>
      <c r="AX198" s="174" t="str">
        <f>IF(AX$6="","",IF(AX$3="Maior",iferror(VLOOKUP($R198,Capa!$A:$AJ,AX$5,0),0),IF(ISERROR(1/VLOOKUP($R198,Capa!$A:$AJ,AX$5,0)),0,1/VLOOKUP($R198,Capa!$A:$AJ,AX$5,0))))</f>
        <v/>
      </c>
      <c r="AY198" s="174" t="str">
        <f>IF(AY$6="","",IF(AY$3="Maior",iferror(VLOOKUP($R198,Capa!$A:$AJ,AY$5,0),0),IF(ISERROR(1/VLOOKUP($R198,Capa!$A:$AJ,AY$5,0)),0,1/VLOOKUP($R198,Capa!$A:$AJ,AY$5,0))))</f>
        <v/>
      </c>
      <c r="AZ198" s="174" t="str">
        <f>IF(AZ$6="","",IF(AZ$3="Maior",iferror(VLOOKUP($R198,Capa!$A:$AJ,AZ$5,0),0),IF(ISERROR(1/VLOOKUP($R198,Capa!$A:$AJ,AZ$5,0)),0,1/VLOOKUP($R198,Capa!$A:$AJ,AZ$5,0))))</f>
        <v/>
      </c>
      <c r="BA198" s="174" t="str">
        <f>IF(BA$6="","",IF(BA$3="Maior",iferror(VLOOKUP($R198,Capa!$A:$AJ,BA$5,0),0),IF(ISERROR(1/VLOOKUP($R198,Capa!$A:$AJ,BA$5,0)),0,1/VLOOKUP($R198,Capa!$A:$AJ,BA$5,0))))</f>
        <v/>
      </c>
      <c r="BB198" s="174" t="str">
        <f>IF(BB$6="","",IF(BB$3="Maior",iferror(VLOOKUP($R198,Capa!$A:$AJ,BB$5,0),0),IF(ISERROR(1/VLOOKUP($R198,Capa!$A:$AJ,BB$5,0)),0,1/VLOOKUP($R198,Capa!$A:$AJ,BB$5,0))))</f>
        <v/>
      </c>
      <c r="BC198" s="174" t="str">
        <f>IF(BC$6="","",IF(BC$3="Maior",iferror(VLOOKUP($R198,Capa!$A:$AJ,BC$5,0),0),IF(ISERROR(1/VLOOKUP($R198,Capa!$A:$AJ,BC$5,0)),0,1/VLOOKUP($R198,Capa!$A:$AJ,BC$5,0))))</f>
        <v/>
      </c>
      <c r="BD198" s="174" t="str">
        <f>IF(BD$6="","",IF(BD$3="Maior",iferror(VLOOKUP($R198,Capa!$A:$AJ,BD$5,0),0),IF(ISERROR(1/VLOOKUP($R198,Capa!$A:$AJ,BD$5,0)),0,1/VLOOKUP($R198,Capa!$A:$AJ,BD$5,0))))</f>
        <v/>
      </c>
      <c r="BE198" s="174" t="str">
        <f>IF(BE$6="","",IF(BE$3="Maior",iferror(VLOOKUP($R198,Capa!$A:$AJ,BE$5,0),0),IF(ISERROR(1/VLOOKUP($R198,Capa!$A:$AJ,BE$5,0)),0,1/VLOOKUP($R198,Capa!$A:$AJ,BE$5,0))))</f>
        <v/>
      </c>
      <c r="BF198" s="174" t="str">
        <f>IF(BF$6="","",IF(BF$3="Maior",iferror(VLOOKUP($R198,Capa!$A:$AJ,BF$5,0),0),IF(ISERROR(1/VLOOKUP($R198,Capa!$A:$AJ,BF$5,0)),0,1/VLOOKUP($R198,Capa!$A:$AJ,BF$5,0))))</f>
        <v/>
      </c>
      <c r="BG198" s="174" t="str">
        <f>IF(BG$6="","",IF(BG$3="Maior",iferror(VLOOKUP($R198,Capa!$A:$AJ,BG$5,0),0),IF(ISERROR(1/VLOOKUP($R198,Capa!$A:$AJ,BG$5,0)),0,1/VLOOKUP($R198,Capa!$A:$AJ,BG$5,0))))</f>
        <v/>
      </c>
      <c r="BH198" s="174" t="str">
        <f>IF(BH$6="","",IF(BH$3="Maior",iferror(VLOOKUP($R198,Capa!$A:$AJ,BH$5,0),0),IF(ISERROR(1/VLOOKUP($R198,Capa!$A:$AJ,BH$5,0)),0,1/VLOOKUP($R198,Capa!$A:$AJ,BH$5,0))))</f>
        <v/>
      </c>
      <c r="BI198" s="174" t="str">
        <f>IF(BI$6="","",IF(BI$3="Maior",iferror(VLOOKUP($R198,Capa!$A:$AJ,BI$5,0),0),IF(ISERROR(1/VLOOKUP($R198,Capa!$A:$AJ,BI$5,0)),0,1/VLOOKUP($R198,Capa!$A:$AJ,BI$5,0))))</f>
        <v/>
      </c>
      <c r="BJ198" s="174" t="str">
        <f>IF(BJ$6="","",IF(BJ$3="Maior",iferror(VLOOKUP($R198,Capa!$A:$AJ,BJ$5,0),0),IF(ISERROR(1/VLOOKUP($R198,Capa!$A:$AJ,BJ$5,0)),0,1/VLOOKUP($R198,Capa!$A:$AJ,BJ$5,0))))</f>
        <v/>
      </c>
      <c r="BK198" s="174" t="str">
        <f>IF(BK$6="","",IF(BK$3="Maior",iferror(VLOOKUP($R198,Capa!$A:$AJ,BK$5,0),0),IF(ISERROR(1/VLOOKUP($R198,Capa!$A:$AJ,BK$5,0)),0,1/VLOOKUP($R198,Capa!$A:$AJ,BK$5,0))))</f>
        <v/>
      </c>
      <c r="BL198" s="174" t="str">
        <f>IF(BL$6="","",IF(BL$3="Maior",iferror(VLOOKUP($R198,Capa!$A:$AJ,BL$5,0),0),IF(ISERROR(1/VLOOKUP($R198,Capa!$A:$AJ,BL$5,0)),0,1/VLOOKUP($R198,Capa!$A:$AJ,BL$5,0))))</f>
        <v/>
      </c>
      <c r="BM198" s="174" t="str">
        <f>IF(BM$6="","",IF(BM$3="Maior",iferror(VLOOKUP($R198,Capa!$A:$AJ,BM$5,0),0),IF(ISERROR(1/VLOOKUP($R198,Capa!$A:$AJ,BM$5,0)),0,1/VLOOKUP($R198,Capa!$A:$AJ,BM$5,0))))</f>
        <v/>
      </c>
      <c r="BN198" s="174" t="str">
        <f>IF(BN$6="","",IF(BN$3="Maior",iferror(VLOOKUP($R198,Capa!$A:$AJ,BN$5,0),0),IF(ISERROR(1/VLOOKUP($R198,Capa!$A:$AJ,BN$5,0)),0,1/VLOOKUP($R198,Capa!$A:$AJ,BN$5,0))))</f>
        <v/>
      </c>
      <c r="BO198" s="174" t="str">
        <f>IF(BO$6="","",IF(BO$3="Maior",iferror(VLOOKUP($R198,Capa!$A:$AJ,BO$5,0),0),IF(ISERROR(1/VLOOKUP($R198,Capa!$A:$AJ,BO$5,0)),0,1/VLOOKUP($R198,Capa!$A:$AJ,BO$5,0))))</f>
        <v/>
      </c>
      <c r="BP198" s="174" t="str">
        <f>IF(BP$6="","",IF(BP$3="Maior",iferror(VLOOKUP($R198,Capa!$A:$AJ,BP$5,0),0),IF(ISERROR(1/VLOOKUP($R198,Capa!$A:$AJ,BP$5,0)),0,1/VLOOKUP($R198,Capa!$A:$AJ,BP$5,0))))</f>
        <v/>
      </c>
      <c r="BQ198" s="174" t="str">
        <f>IF(BQ$6="","",IF(BQ$3="Maior",iferror(VLOOKUP($R198,Capa!$A:$AJ,BQ$5,0),0),IF(ISERROR(1/VLOOKUP($R198,Capa!$A:$AJ,BQ$5,0)),0,1/VLOOKUP($R198,Capa!$A:$AJ,BQ$5,0))))</f>
        <v/>
      </c>
      <c r="BR198" s="175"/>
      <c r="BS198" s="147"/>
    </row>
    <row r="199">
      <c r="G199" s="11"/>
      <c r="H199" s="8">
        <v>193.0</v>
      </c>
      <c r="I199" s="165" t="str">
        <f t="shared" si="6"/>
        <v>ANIM3</v>
      </c>
      <c r="J199" s="166" t="str">
        <f>(VLOOKUP($I199,Capa!$A:$B,2,0))</f>
        <v>Anima Holding SA</v>
      </c>
      <c r="K199" s="167" t="str">
        <f>VLOOKUP(left(I199,4),Setor!A:D,3,0)&amp;" | "&amp;VLOOKUP(left(I199,4),Setor!A:D,4,0)</f>
        <v>Consumo Cíclico | Diversos</v>
      </c>
      <c r="L199" s="168">
        <f>(VLOOKUP($I199,Capa!$A:$F,6,0))</f>
        <v>4.87</v>
      </c>
      <c r="M199" s="168">
        <f t="shared" si="7"/>
        <v>45686853</v>
      </c>
      <c r="N199" s="11" t="str">
        <f>IFERROR(__xludf.DUMMYFUNCTION("(VLOOKUP($I199,Capa!$A:$H,7,0))"),"")</f>
        <v/>
      </c>
      <c r="O199" s="169">
        <f>(VLOOKUP($I199,Capa!$A:$H,8,0))</f>
        <v>0.1018099548</v>
      </c>
      <c r="P199" s="11" t="str">
        <f>IFERROR(__xludf.DUMMYFUNCTION("(VLOOKUP($I199,Capa!$A:$J,10,0))"),"")</f>
        <v/>
      </c>
      <c r="Q199" s="169">
        <f>(VLOOKUP($I199,Capa!$A:$K,11,0))</f>
        <v>1.233944954</v>
      </c>
      <c r="R199" s="45" t="str">
        <f>'Dados StatusInvest'!A194</f>
        <v>CSRN5</v>
      </c>
      <c r="S199" s="170">
        <f t="shared" si="8"/>
        <v>1290.029</v>
      </c>
      <c r="T199" s="171">
        <f>VLOOKUP(R199,'Dados StatusInvest'!A:Z,26,0)</f>
        <v>0</v>
      </c>
      <c r="U199" s="172">
        <f t="shared" ref="U199:AS199" si="201">IF(AT199="","", RANK(AT199,AT$7:AT$626,0)+RANK(AT199,AT$7:AT$626,0)/10000)</f>
        <v>150.015</v>
      </c>
      <c r="V199" s="172">
        <f t="shared" si="201"/>
        <v>140.014</v>
      </c>
      <c r="W199" s="172" t="str">
        <f t="shared" si="201"/>
        <v/>
      </c>
      <c r="X199" s="172" t="str">
        <f t="shared" si="201"/>
        <v/>
      </c>
      <c r="Y199" s="172" t="str">
        <f t="shared" si="201"/>
        <v/>
      </c>
      <c r="Z199" s="172" t="str">
        <f t="shared" si="201"/>
        <v/>
      </c>
      <c r="AA199" s="172" t="str">
        <f t="shared" si="201"/>
        <v/>
      </c>
      <c r="AB199" s="172" t="str">
        <f t="shared" si="201"/>
        <v/>
      </c>
      <c r="AC199" s="172" t="str">
        <f t="shared" si="201"/>
        <v/>
      </c>
      <c r="AD199" s="172" t="str">
        <f t="shared" si="201"/>
        <v/>
      </c>
      <c r="AE199" s="172" t="str">
        <f t="shared" si="201"/>
        <v/>
      </c>
      <c r="AF199" s="172" t="str">
        <f t="shared" si="201"/>
        <v/>
      </c>
      <c r="AG199" s="172" t="str">
        <f t="shared" si="201"/>
        <v/>
      </c>
      <c r="AH199" s="172" t="str">
        <f t="shared" si="201"/>
        <v/>
      </c>
      <c r="AI199" s="172" t="str">
        <f t="shared" si="201"/>
        <v/>
      </c>
      <c r="AJ199" s="172" t="str">
        <f t="shared" si="201"/>
        <v/>
      </c>
      <c r="AK199" s="172" t="str">
        <f t="shared" si="201"/>
        <v/>
      </c>
      <c r="AL199" s="172" t="str">
        <f t="shared" si="201"/>
        <v/>
      </c>
      <c r="AM199" s="172" t="str">
        <f t="shared" si="201"/>
        <v/>
      </c>
      <c r="AN199" s="172" t="str">
        <f t="shared" si="201"/>
        <v/>
      </c>
      <c r="AO199" s="172" t="str">
        <f t="shared" si="201"/>
        <v/>
      </c>
      <c r="AP199" s="172" t="str">
        <f t="shared" si="201"/>
        <v/>
      </c>
      <c r="AQ199" s="172" t="str">
        <f t="shared" si="201"/>
        <v/>
      </c>
      <c r="AR199" s="172" t="str">
        <f t="shared" si="201"/>
        <v/>
      </c>
      <c r="AS199" s="172" t="str">
        <f t="shared" si="201"/>
        <v/>
      </c>
      <c r="AT199" s="173">
        <f>IF(AT$6="","",IF(AT$3="Maior",iferror(VLOOKUP($R199,Capa!$A:$AJ,AT$5,0),0),IF(ISERROR(1/VLOOKUP($R199,Capa!$A:$AJ,AT$5,0)),0,1/VLOOKUP($R199,Capa!$A:$AJ,AT$5,0))))</f>
        <v>-0.08920606601</v>
      </c>
      <c r="AU199" s="174">
        <f>IF(AU$6="","",IF(AU$3="Maior",iferror(VLOOKUP($R199,Capa!$A:$AJ,AU$5,0),0),IF(ISERROR(1/VLOOKUP($R199,Capa!$A:$AJ,AU$5,0)),0,1/VLOOKUP($R199,Capa!$A:$AJ,AU$5,0))))</f>
        <v>19.34</v>
      </c>
      <c r="AV199" s="174" t="str">
        <f>IF(AV$6="","",IF(AV$3="Maior",iferror(VLOOKUP($R199,Capa!$A:$AJ,AV$5,0),0),IF(ISERROR(1/VLOOKUP($R199,Capa!$A:$AJ,AV$5,0)),0,1/VLOOKUP($R199,Capa!$A:$AJ,AV$5,0))))</f>
        <v/>
      </c>
      <c r="AW199" s="174" t="str">
        <f>IF(AW$6="","",IF(AW$3="Maior",iferror(VLOOKUP($R199,Capa!$A:$AJ,AW$5,0),0),IF(ISERROR(1/VLOOKUP($R199,Capa!$A:$AJ,AW$5,0)),0,1/VLOOKUP($R199,Capa!$A:$AJ,AW$5,0))))</f>
        <v/>
      </c>
      <c r="AX199" s="174" t="str">
        <f>IF(AX$6="","",IF(AX$3="Maior",iferror(VLOOKUP($R199,Capa!$A:$AJ,AX$5,0),0),IF(ISERROR(1/VLOOKUP($R199,Capa!$A:$AJ,AX$5,0)),0,1/VLOOKUP($R199,Capa!$A:$AJ,AX$5,0))))</f>
        <v/>
      </c>
      <c r="AY199" s="174" t="str">
        <f>IF(AY$6="","",IF(AY$3="Maior",iferror(VLOOKUP($R199,Capa!$A:$AJ,AY$5,0),0),IF(ISERROR(1/VLOOKUP($R199,Capa!$A:$AJ,AY$5,0)),0,1/VLOOKUP($R199,Capa!$A:$AJ,AY$5,0))))</f>
        <v/>
      </c>
      <c r="AZ199" s="174" t="str">
        <f>IF(AZ$6="","",IF(AZ$3="Maior",iferror(VLOOKUP($R199,Capa!$A:$AJ,AZ$5,0),0),IF(ISERROR(1/VLOOKUP($R199,Capa!$A:$AJ,AZ$5,0)),0,1/VLOOKUP($R199,Capa!$A:$AJ,AZ$5,0))))</f>
        <v/>
      </c>
      <c r="BA199" s="174" t="str">
        <f>IF(BA$6="","",IF(BA$3="Maior",iferror(VLOOKUP($R199,Capa!$A:$AJ,BA$5,0),0),IF(ISERROR(1/VLOOKUP($R199,Capa!$A:$AJ,BA$5,0)),0,1/VLOOKUP($R199,Capa!$A:$AJ,BA$5,0))))</f>
        <v/>
      </c>
      <c r="BB199" s="174" t="str">
        <f>IF(BB$6="","",IF(BB$3="Maior",iferror(VLOOKUP($R199,Capa!$A:$AJ,BB$5,0),0),IF(ISERROR(1/VLOOKUP($R199,Capa!$A:$AJ,BB$5,0)),0,1/VLOOKUP($R199,Capa!$A:$AJ,BB$5,0))))</f>
        <v/>
      </c>
      <c r="BC199" s="174" t="str">
        <f>IF(BC$6="","",IF(BC$3="Maior",iferror(VLOOKUP($R199,Capa!$A:$AJ,BC$5,0),0),IF(ISERROR(1/VLOOKUP($R199,Capa!$A:$AJ,BC$5,0)),0,1/VLOOKUP($R199,Capa!$A:$AJ,BC$5,0))))</f>
        <v/>
      </c>
      <c r="BD199" s="174" t="str">
        <f>IF(BD$6="","",IF(BD$3="Maior",iferror(VLOOKUP($R199,Capa!$A:$AJ,BD$5,0),0),IF(ISERROR(1/VLOOKUP($R199,Capa!$A:$AJ,BD$5,0)),0,1/VLOOKUP($R199,Capa!$A:$AJ,BD$5,0))))</f>
        <v/>
      </c>
      <c r="BE199" s="174" t="str">
        <f>IF(BE$6="","",IF(BE$3="Maior",iferror(VLOOKUP($R199,Capa!$A:$AJ,BE$5,0),0),IF(ISERROR(1/VLOOKUP($R199,Capa!$A:$AJ,BE$5,0)),0,1/VLOOKUP($R199,Capa!$A:$AJ,BE$5,0))))</f>
        <v/>
      </c>
      <c r="BF199" s="174" t="str">
        <f>IF(BF$6="","",IF(BF$3="Maior",iferror(VLOOKUP($R199,Capa!$A:$AJ,BF$5,0),0),IF(ISERROR(1/VLOOKUP($R199,Capa!$A:$AJ,BF$5,0)),0,1/VLOOKUP($R199,Capa!$A:$AJ,BF$5,0))))</f>
        <v/>
      </c>
      <c r="BG199" s="174" t="str">
        <f>IF(BG$6="","",IF(BG$3="Maior",iferror(VLOOKUP($R199,Capa!$A:$AJ,BG$5,0),0),IF(ISERROR(1/VLOOKUP($R199,Capa!$A:$AJ,BG$5,0)),0,1/VLOOKUP($R199,Capa!$A:$AJ,BG$5,0))))</f>
        <v/>
      </c>
      <c r="BH199" s="174" t="str">
        <f>IF(BH$6="","",IF(BH$3="Maior",iferror(VLOOKUP($R199,Capa!$A:$AJ,BH$5,0),0),IF(ISERROR(1/VLOOKUP($R199,Capa!$A:$AJ,BH$5,0)),0,1/VLOOKUP($R199,Capa!$A:$AJ,BH$5,0))))</f>
        <v/>
      </c>
      <c r="BI199" s="174" t="str">
        <f>IF(BI$6="","",IF(BI$3="Maior",iferror(VLOOKUP($R199,Capa!$A:$AJ,BI$5,0),0),IF(ISERROR(1/VLOOKUP($R199,Capa!$A:$AJ,BI$5,0)),0,1/VLOOKUP($R199,Capa!$A:$AJ,BI$5,0))))</f>
        <v/>
      </c>
      <c r="BJ199" s="174" t="str">
        <f>IF(BJ$6="","",IF(BJ$3="Maior",iferror(VLOOKUP($R199,Capa!$A:$AJ,BJ$5,0),0),IF(ISERROR(1/VLOOKUP($R199,Capa!$A:$AJ,BJ$5,0)),0,1/VLOOKUP($R199,Capa!$A:$AJ,BJ$5,0))))</f>
        <v/>
      </c>
      <c r="BK199" s="174" t="str">
        <f>IF(BK$6="","",IF(BK$3="Maior",iferror(VLOOKUP($R199,Capa!$A:$AJ,BK$5,0),0),IF(ISERROR(1/VLOOKUP($R199,Capa!$A:$AJ,BK$5,0)),0,1/VLOOKUP($R199,Capa!$A:$AJ,BK$5,0))))</f>
        <v/>
      </c>
      <c r="BL199" s="174" t="str">
        <f>IF(BL$6="","",IF(BL$3="Maior",iferror(VLOOKUP($R199,Capa!$A:$AJ,BL$5,0),0),IF(ISERROR(1/VLOOKUP($R199,Capa!$A:$AJ,BL$5,0)),0,1/VLOOKUP($R199,Capa!$A:$AJ,BL$5,0))))</f>
        <v/>
      </c>
      <c r="BM199" s="174" t="str">
        <f>IF(BM$6="","",IF(BM$3="Maior",iferror(VLOOKUP($R199,Capa!$A:$AJ,BM$5,0),0),IF(ISERROR(1/VLOOKUP($R199,Capa!$A:$AJ,BM$5,0)),0,1/VLOOKUP($R199,Capa!$A:$AJ,BM$5,0))))</f>
        <v/>
      </c>
      <c r="BN199" s="174" t="str">
        <f>IF(BN$6="","",IF(BN$3="Maior",iferror(VLOOKUP($R199,Capa!$A:$AJ,BN$5,0),0),IF(ISERROR(1/VLOOKUP($R199,Capa!$A:$AJ,BN$5,0)),0,1/VLOOKUP($R199,Capa!$A:$AJ,BN$5,0))))</f>
        <v/>
      </c>
      <c r="BO199" s="174" t="str">
        <f>IF(BO$6="","",IF(BO$3="Maior",iferror(VLOOKUP($R199,Capa!$A:$AJ,BO$5,0),0),IF(ISERROR(1/VLOOKUP($R199,Capa!$A:$AJ,BO$5,0)),0,1/VLOOKUP($R199,Capa!$A:$AJ,BO$5,0))))</f>
        <v/>
      </c>
      <c r="BP199" s="174" t="str">
        <f>IF(BP$6="","",IF(BP$3="Maior",iferror(VLOOKUP($R199,Capa!$A:$AJ,BP$5,0),0),IF(ISERROR(1/VLOOKUP($R199,Capa!$A:$AJ,BP$5,0)),0,1/VLOOKUP($R199,Capa!$A:$AJ,BP$5,0))))</f>
        <v/>
      </c>
      <c r="BQ199" s="174" t="str">
        <f>IF(BQ$6="","",IF(BQ$3="Maior",iferror(VLOOKUP($R199,Capa!$A:$AJ,BQ$5,0),0),IF(ISERROR(1/VLOOKUP($R199,Capa!$A:$AJ,BQ$5,0)),0,1/VLOOKUP($R199,Capa!$A:$AJ,BQ$5,0))))</f>
        <v/>
      </c>
      <c r="BR199" s="175"/>
      <c r="BS199" s="147"/>
    </row>
    <row r="200">
      <c r="G200" s="11"/>
      <c r="H200" s="8">
        <v>194.0</v>
      </c>
      <c r="I200" s="165" t="str">
        <f t="shared" si="6"/>
        <v>ECOR3</v>
      </c>
      <c r="J200" s="166" t="str">
        <f>(VLOOKUP($I200,Capa!$A:$B,2,0))</f>
        <v>Ecorodovias Infraestrutura e Logistca SA</v>
      </c>
      <c r="K200" s="167" t="str">
        <f>VLOOKUP(left(I200,4),Setor!A:D,3,0)&amp;" | "&amp;VLOOKUP(left(I200,4),Setor!A:D,4,0)</f>
        <v>Bens Industriais | Transporte</v>
      </c>
      <c r="L200" s="168">
        <f>(VLOOKUP($I200,Capa!$A:$F,6,0))</f>
        <v>10.65</v>
      </c>
      <c r="M200" s="168">
        <f t="shared" si="7"/>
        <v>89504737</v>
      </c>
      <c r="N200" s="11" t="str">
        <f>IFERROR(__xludf.DUMMYFUNCTION("(VLOOKUP($I200,Capa!$A:$H,7,0))"),"")</f>
        <v/>
      </c>
      <c r="O200" s="169">
        <f>(VLOOKUP($I200,Capa!$A:$H,8,0))</f>
        <v>-0.01022304833</v>
      </c>
      <c r="P200" s="11" t="str">
        <f>IFERROR(__xludf.DUMMYFUNCTION("(VLOOKUP($I200,Capa!$A:$J,10,0))"),"")</f>
        <v/>
      </c>
      <c r="Q200" s="169">
        <f>(VLOOKUP($I200,Capa!$A:$K,11,0))</f>
        <v>1.040229885</v>
      </c>
      <c r="R200" s="45" t="str">
        <f>'Dados StatusInvest'!A195</f>
        <v>CSRN6</v>
      </c>
      <c r="S200" s="170">
        <f t="shared" si="8"/>
        <v>1289.0289</v>
      </c>
      <c r="T200" s="171">
        <f>VLOOKUP(R200,'Dados StatusInvest'!A:Z,26,0)</f>
        <v>0</v>
      </c>
      <c r="U200" s="172">
        <f t="shared" ref="U200:AS200" si="202">IF(AT200="","", RANK(AT200,AT$7:AT$626,0)+RANK(AT200,AT$7:AT$626,0)/10000)</f>
        <v>149.0149</v>
      </c>
      <c r="V200" s="172">
        <f t="shared" si="202"/>
        <v>140.014</v>
      </c>
      <c r="W200" s="172" t="str">
        <f t="shared" si="202"/>
        <v/>
      </c>
      <c r="X200" s="172" t="str">
        <f t="shared" si="202"/>
        <v/>
      </c>
      <c r="Y200" s="172" t="str">
        <f t="shared" si="202"/>
        <v/>
      </c>
      <c r="Z200" s="172" t="str">
        <f t="shared" si="202"/>
        <v/>
      </c>
      <c r="AA200" s="172" t="str">
        <f t="shared" si="202"/>
        <v/>
      </c>
      <c r="AB200" s="172" t="str">
        <f t="shared" si="202"/>
        <v/>
      </c>
      <c r="AC200" s="172" t="str">
        <f t="shared" si="202"/>
        <v/>
      </c>
      <c r="AD200" s="172" t="str">
        <f t="shared" si="202"/>
        <v/>
      </c>
      <c r="AE200" s="172" t="str">
        <f t="shared" si="202"/>
        <v/>
      </c>
      <c r="AF200" s="172" t="str">
        <f t="shared" si="202"/>
        <v/>
      </c>
      <c r="AG200" s="172" t="str">
        <f t="shared" si="202"/>
        <v/>
      </c>
      <c r="AH200" s="172" t="str">
        <f t="shared" si="202"/>
        <v/>
      </c>
      <c r="AI200" s="172" t="str">
        <f t="shared" si="202"/>
        <v/>
      </c>
      <c r="AJ200" s="172" t="str">
        <f t="shared" si="202"/>
        <v/>
      </c>
      <c r="AK200" s="172" t="str">
        <f t="shared" si="202"/>
        <v/>
      </c>
      <c r="AL200" s="172" t="str">
        <f t="shared" si="202"/>
        <v/>
      </c>
      <c r="AM200" s="172" t="str">
        <f t="shared" si="202"/>
        <v/>
      </c>
      <c r="AN200" s="172" t="str">
        <f t="shared" si="202"/>
        <v/>
      </c>
      <c r="AO200" s="172" t="str">
        <f t="shared" si="202"/>
        <v/>
      </c>
      <c r="AP200" s="172" t="str">
        <f t="shared" si="202"/>
        <v/>
      </c>
      <c r="AQ200" s="172" t="str">
        <f t="shared" si="202"/>
        <v/>
      </c>
      <c r="AR200" s="172" t="str">
        <f t="shared" si="202"/>
        <v/>
      </c>
      <c r="AS200" s="172" t="str">
        <f t="shared" si="202"/>
        <v/>
      </c>
      <c r="AT200" s="173">
        <f>IF(AT$6="","",IF(AT$3="Maior",iferror(VLOOKUP($R200,Capa!$A:$AJ,AT$5,0),0),IF(ISERROR(1/VLOOKUP($R200,Capa!$A:$AJ,AT$5,0)),0,1/VLOOKUP($R200,Capa!$A:$AJ,AT$5,0))))</f>
        <v>-0.08695652174</v>
      </c>
      <c r="AU200" s="174">
        <f>IF(AU$6="","",IF(AU$3="Maior",iferror(VLOOKUP($R200,Capa!$A:$AJ,AU$5,0),0),IF(ISERROR(1/VLOOKUP($R200,Capa!$A:$AJ,AU$5,0)),0,1/VLOOKUP($R200,Capa!$A:$AJ,AU$5,0))))</f>
        <v>19.34</v>
      </c>
      <c r="AV200" s="174" t="str">
        <f>IF(AV$6="","",IF(AV$3="Maior",iferror(VLOOKUP($R200,Capa!$A:$AJ,AV$5,0),0),IF(ISERROR(1/VLOOKUP($R200,Capa!$A:$AJ,AV$5,0)),0,1/VLOOKUP($R200,Capa!$A:$AJ,AV$5,0))))</f>
        <v/>
      </c>
      <c r="AW200" s="174" t="str">
        <f>IF(AW$6="","",IF(AW$3="Maior",iferror(VLOOKUP($R200,Capa!$A:$AJ,AW$5,0),0),IF(ISERROR(1/VLOOKUP($R200,Capa!$A:$AJ,AW$5,0)),0,1/VLOOKUP($R200,Capa!$A:$AJ,AW$5,0))))</f>
        <v/>
      </c>
      <c r="AX200" s="174" t="str">
        <f>IF(AX$6="","",IF(AX$3="Maior",iferror(VLOOKUP($R200,Capa!$A:$AJ,AX$5,0),0),IF(ISERROR(1/VLOOKUP($R200,Capa!$A:$AJ,AX$5,0)),0,1/VLOOKUP($R200,Capa!$A:$AJ,AX$5,0))))</f>
        <v/>
      </c>
      <c r="AY200" s="174" t="str">
        <f>IF(AY$6="","",IF(AY$3="Maior",iferror(VLOOKUP($R200,Capa!$A:$AJ,AY$5,0),0),IF(ISERROR(1/VLOOKUP($R200,Capa!$A:$AJ,AY$5,0)),0,1/VLOOKUP($R200,Capa!$A:$AJ,AY$5,0))))</f>
        <v/>
      </c>
      <c r="AZ200" s="174" t="str">
        <f>IF(AZ$6="","",IF(AZ$3="Maior",iferror(VLOOKUP($R200,Capa!$A:$AJ,AZ$5,0),0),IF(ISERROR(1/VLOOKUP($R200,Capa!$A:$AJ,AZ$5,0)),0,1/VLOOKUP($R200,Capa!$A:$AJ,AZ$5,0))))</f>
        <v/>
      </c>
      <c r="BA200" s="174" t="str">
        <f>IF(BA$6="","",IF(BA$3="Maior",iferror(VLOOKUP($R200,Capa!$A:$AJ,BA$5,0),0),IF(ISERROR(1/VLOOKUP($R200,Capa!$A:$AJ,BA$5,0)),0,1/VLOOKUP($R200,Capa!$A:$AJ,BA$5,0))))</f>
        <v/>
      </c>
      <c r="BB200" s="174" t="str">
        <f>IF(BB$6="","",IF(BB$3="Maior",iferror(VLOOKUP($R200,Capa!$A:$AJ,BB$5,0),0),IF(ISERROR(1/VLOOKUP($R200,Capa!$A:$AJ,BB$5,0)),0,1/VLOOKUP($R200,Capa!$A:$AJ,BB$5,0))))</f>
        <v/>
      </c>
      <c r="BC200" s="174" t="str">
        <f>IF(BC$6="","",IF(BC$3="Maior",iferror(VLOOKUP($R200,Capa!$A:$AJ,BC$5,0),0),IF(ISERROR(1/VLOOKUP($R200,Capa!$A:$AJ,BC$5,0)),0,1/VLOOKUP($R200,Capa!$A:$AJ,BC$5,0))))</f>
        <v/>
      </c>
      <c r="BD200" s="174" t="str">
        <f>IF(BD$6="","",IF(BD$3="Maior",iferror(VLOOKUP($R200,Capa!$A:$AJ,BD$5,0),0),IF(ISERROR(1/VLOOKUP($R200,Capa!$A:$AJ,BD$5,0)),0,1/VLOOKUP($R200,Capa!$A:$AJ,BD$5,0))))</f>
        <v/>
      </c>
      <c r="BE200" s="174" t="str">
        <f>IF(BE$6="","",IF(BE$3="Maior",iferror(VLOOKUP($R200,Capa!$A:$AJ,BE$5,0),0),IF(ISERROR(1/VLOOKUP($R200,Capa!$A:$AJ,BE$5,0)),0,1/VLOOKUP($R200,Capa!$A:$AJ,BE$5,0))))</f>
        <v/>
      </c>
      <c r="BF200" s="174" t="str">
        <f>IF(BF$6="","",IF(BF$3="Maior",iferror(VLOOKUP($R200,Capa!$A:$AJ,BF$5,0),0),IF(ISERROR(1/VLOOKUP($R200,Capa!$A:$AJ,BF$5,0)),0,1/VLOOKUP($R200,Capa!$A:$AJ,BF$5,0))))</f>
        <v/>
      </c>
      <c r="BG200" s="174" t="str">
        <f>IF(BG$6="","",IF(BG$3="Maior",iferror(VLOOKUP($R200,Capa!$A:$AJ,BG$5,0),0),IF(ISERROR(1/VLOOKUP($R200,Capa!$A:$AJ,BG$5,0)),0,1/VLOOKUP($R200,Capa!$A:$AJ,BG$5,0))))</f>
        <v/>
      </c>
      <c r="BH200" s="174" t="str">
        <f>IF(BH$6="","",IF(BH$3="Maior",iferror(VLOOKUP($R200,Capa!$A:$AJ,BH$5,0),0),IF(ISERROR(1/VLOOKUP($R200,Capa!$A:$AJ,BH$5,0)),0,1/VLOOKUP($R200,Capa!$A:$AJ,BH$5,0))))</f>
        <v/>
      </c>
      <c r="BI200" s="174" t="str">
        <f>IF(BI$6="","",IF(BI$3="Maior",iferror(VLOOKUP($R200,Capa!$A:$AJ,BI$5,0),0),IF(ISERROR(1/VLOOKUP($R200,Capa!$A:$AJ,BI$5,0)),0,1/VLOOKUP($R200,Capa!$A:$AJ,BI$5,0))))</f>
        <v/>
      </c>
      <c r="BJ200" s="174" t="str">
        <f>IF(BJ$6="","",IF(BJ$3="Maior",iferror(VLOOKUP($R200,Capa!$A:$AJ,BJ$5,0),0),IF(ISERROR(1/VLOOKUP($R200,Capa!$A:$AJ,BJ$5,0)),0,1/VLOOKUP($R200,Capa!$A:$AJ,BJ$5,0))))</f>
        <v/>
      </c>
      <c r="BK200" s="174" t="str">
        <f>IF(BK$6="","",IF(BK$3="Maior",iferror(VLOOKUP($R200,Capa!$A:$AJ,BK$5,0),0),IF(ISERROR(1/VLOOKUP($R200,Capa!$A:$AJ,BK$5,0)),0,1/VLOOKUP($R200,Capa!$A:$AJ,BK$5,0))))</f>
        <v/>
      </c>
      <c r="BL200" s="174" t="str">
        <f>IF(BL$6="","",IF(BL$3="Maior",iferror(VLOOKUP($R200,Capa!$A:$AJ,BL$5,0),0),IF(ISERROR(1/VLOOKUP($R200,Capa!$A:$AJ,BL$5,0)),0,1/VLOOKUP($R200,Capa!$A:$AJ,BL$5,0))))</f>
        <v/>
      </c>
      <c r="BM200" s="174" t="str">
        <f>IF(BM$6="","",IF(BM$3="Maior",iferror(VLOOKUP($R200,Capa!$A:$AJ,BM$5,0),0),IF(ISERROR(1/VLOOKUP($R200,Capa!$A:$AJ,BM$5,0)),0,1/VLOOKUP($R200,Capa!$A:$AJ,BM$5,0))))</f>
        <v/>
      </c>
      <c r="BN200" s="174" t="str">
        <f>IF(BN$6="","",IF(BN$3="Maior",iferror(VLOOKUP($R200,Capa!$A:$AJ,BN$5,0),0),IF(ISERROR(1/VLOOKUP($R200,Capa!$A:$AJ,BN$5,0)),0,1/VLOOKUP($R200,Capa!$A:$AJ,BN$5,0))))</f>
        <v/>
      </c>
      <c r="BO200" s="174" t="str">
        <f>IF(BO$6="","",IF(BO$3="Maior",iferror(VLOOKUP($R200,Capa!$A:$AJ,BO$5,0),0),IF(ISERROR(1/VLOOKUP($R200,Capa!$A:$AJ,BO$5,0)),0,1/VLOOKUP($R200,Capa!$A:$AJ,BO$5,0))))</f>
        <v/>
      </c>
      <c r="BP200" s="174" t="str">
        <f>IF(BP$6="","",IF(BP$3="Maior",iferror(VLOOKUP($R200,Capa!$A:$AJ,BP$5,0),0),IF(ISERROR(1/VLOOKUP($R200,Capa!$A:$AJ,BP$5,0)),0,1/VLOOKUP($R200,Capa!$A:$AJ,BP$5,0))))</f>
        <v/>
      </c>
      <c r="BQ200" s="174" t="str">
        <f>IF(BQ$6="","",IF(BQ$3="Maior",iferror(VLOOKUP($R200,Capa!$A:$AJ,BQ$5,0),0),IF(ISERROR(1/VLOOKUP($R200,Capa!$A:$AJ,BQ$5,0)),0,1/VLOOKUP($R200,Capa!$A:$AJ,BQ$5,0))))</f>
        <v/>
      </c>
      <c r="BR200" s="175"/>
      <c r="BS200" s="147"/>
    </row>
    <row r="201">
      <c r="G201" s="11"/>
      <c r="H201" s="8">
        <v>195.0</v>
      </c>
      <c r="I201" s="165" t="str">
        <f t="shared" si="6"/>
        <v>MOVI3</v>
      </c>
      <c r="J201" s="166" t="str">
        <f>(VLOOKUP($I201,Capa!$A:$B,2,0))</f>
        <v>Movida Participacoes SA</v>
      </c>
      <c r="K201" s="167" t="str">
        <f>VLOOKUP(left(I201,4),Setor!A:D,3,0)&amp;" | "&amp;VLOOKUP(left(I201,4),Setor!A:D,4,0)</f>
        <v>Consumo Cíclico | Diversos</v>
      </c>
      <c r="L201" s="168">
        <f>(VLOOKUP($I201,Capa!$A:$F,6,0))</f>
        <v>13.57</v>
      </c>
      <c r="M201" s="168">
        <f t="shared" si="7"/>
        <v>56136252</v>
      </c>
      <c r="N201" s="11" t="str">
        <f>IFERROR(__xludf.DUMMYFUNCTION("(VLOOKUP($I201,Capa!$A:$H,7,0))"),"")</f>
        <v/>
      </c>
      <c r="O201" s="169">
        <f>(VLOOKUP($I201,Capa!$A:$H,8,0))</f>
        <v>0.302303263</v>
      </c>
      <c r="P201" s="11" t="str">
        <f>IFERROR(__xludf.DUMMYFUNCTION("(VLOOKUP($I201,Capa!$A:$J,10,0))"),"")</f>
        <v/>
      </c>
      <c r="Q201" s="169">
        <f>(VLOOKUP($I201,Capa!$A:$K,11,0))</f>
        <v>2.452926209</v>
      </c>
      <c r="R201" s="45" t="str">
        <f>'Dados StatusInvest'!A196</f>
        <v>CSUD3</v>
      </c>
      <c r="S201" s="170">
        <f t="shared" si="8"/>
        <v>353.0353</v>
      </c>
      <c r="T201" s="171">
        <f>VLOOKUP(R201,'Dados StatusInvest'!A:Z,26,0)</f>
        <v>1283933</v>
      </c>
      <c r="U201" s="172">
        <f t="shared" ref="U201:AS201" si="203">IF(AT201="","", RANK(AT201,AT$7:AT$626,0)+RANK(AT201,AT$7:AT$626,0)/10000)</f>
        <v>261.0261</v>
      </c>
      <c r="V201" s="172">
        <f t="shared" si="203"/>
        <v>92.0092</v>
      </c>
      <c r="W201" s="172" t="str">
        <f t="shared" si="203"/>
        <v/>
      </c>
      <c r="X201" s="172" t="str">
        <f t="shared" si="203"/>
        <v/>
      </c>
      <c r="Y201" s="172" t="str">
        <f t="shared" si="203"/>
        <v/>
      </c>
      <c r="Z201" s="172" t="str">
        <f t="shared" si="203"/>
        <v/>
      </c>
      <c r="AA201" s="172" t="str">
        <f t="shared" si="203"/>
        <v/>
      </c>
      <c r="AB201" s="172" t="str">
        <f t="shared" si="203"/>
        <v/>
      </c>
      <c r="AC201" s="172" t="str">
        <f t="shared" si="203"/>
        <v/>
      </c>
      <c r="AD201" s="172" t="str">
        <f t="shared" si="203"/>
        <v/>
      </c>
      <c r="AE201" s="172" t="str">
        <f t="shared" si="203"/>
        <v/>
      </c>
      <c r="AF201" s="172" t="str">
        <f t="shared" si="203"/>
        <v/>
      </c>
      <c r="AG201" s="172" t="str">
        <f t="shared" si="203"/>
        <v/>
      </c>
      <c r="AH201" s="172" t="str">
        <f t="shared" si="203"/>
        <v/>
      </c>
      <c r="AI201" s="172" t="str">
        <f t="shared" si="203"/>
        <v/>
      </c>
      <c r="AJ201" s="172" t="str">
        <f t="shared" si="203"/>
        <v/>
      </c>
      <c r="AK201" s="172" t="str">
        <f t="shared" si="203"/>
        <v/>
      </c>
      <c r="AL201" s="172" t="str">
        <f t="shared" si="203"/>
        <v/>
      </c>
      <c r="AM201" s="172" t="str">
        <f t="shared" si="203"/>
        <v/>
      </c>
      <c r="AN201" s="172" t="str">
        <f t="shared" si="203"/>
        <v/>
      </c>
      <c r="AO201" s="172" t="str">
        <f t="shared" si="203"/>
        <v/>
      </c>
      <c r="AP201" s="172" t="str">
        <f t="shared" si="203"/>
        <v/>
      </c>
      <c r="AQ201" s="172" t="str">
        <f t="shared" si="203"/>
        <v/>
      </c>
      <c r="AR201" s="172" t="str">
        <f t="shared" si="203"/>
        <v/>
      </c>
      <c r="AS201" s="172" t="str">
        <f t="shared" si="203"/>
        <v/>
      </c>
      <c r="AT201" s="173">
        <f>IF(AT$6="","",IF(AT$3="Maior",iferror(VLOOKUP($R201,Capa!$A:$AJ,AT$5,0),0),IF(ISERROR(1/VLOOKUP($R201,Capa!$A:$AJ,AT$5,0)),0,1/VLOOKUP($R201,Capa!$A:$AJ,AT$5,0))))</f>
        <v>-0.5388468401</v>
      </c>
      <c r="AU201" s="174">
        <f>IF(AU$6="","",IF(AU$3="Maior",iferror(VLOOKUP($R201,Capa!$A:$AJ,AU$5,0),0),IF(ISERROR(1/VLOOKUP($R201,Capa!$A:$AJ,AU$5,0)),0,1/VLOOKUP($R201,Capa!$A:$AJ,AU$5,0))))</f>
        <v>28.57</v>
      </c>
      <c r="AV201" s="174" t="str">
        <f>IF(AV$6="","",IF(AV$3="Maior",iferror(VLOOKUP($R201,Capa!$A:$AJ,AV$5,0),0),IF(ISERROR(1/VLOOKUP($R201,Capa!$A:$AJ,AV$5,0)),0,1/VLOOKUP($R201,Capa!$A:$AJ,AV$5,0))))</f>
        <v/>
      </c>
      <c r="AW201" s="174" t="str">
        <f>IF(AW$6="","",IF(AW$3="Maior",iferror(VLOOKUP($R201,Capa!$A:$AJ,AW$5,0),0),IF(ISERROR(1/VLOOKUP($R201,Capa!$A:$AJ,AW$5,0)),0,1/VLOOKUP($R201,Capa!$A:$AJ,AW$5,0))))</f>
        <v/>
      </c>
      <c r="AX201" s="174" t="str">
        <f>IF(AX$6="","",IF(AX$3="Maior",iferror(VLOOKUP($R201,Capa!$A:$AJ,AX$5,0),0),IF(ISERROR(1/VLOOKUP($R201,Capa!$A:$AJ,AX$5,0)),0,1/VLOOKUP($R201,Capa!$A:$AJ,AX$5,0))))</f>
        <v/>
      </c>
      <c r="AY201" s="174" t="str">
        <f>IF(AY$6="","",IF(AY$3="Maior",iferror(VLOOKUP($R201,Capa!$A:$AJ,AY$5,0),0),IF(ISERROR(1/VLOOKUP($R201,Capa!$A:$AJ,AY$5,0)),0,1/VLOOKUP($R201,Capa!$A:$AJ,AY$5,0))))</f>
        <v/>
      </c>
      <c r="AZ201" s="174" t="str">
        <f>IF(AZ$6="","",IF(AZ$3="Maior",iferror(VLOOKUP($R201,Capa!$A:$AJ,AZ$5,0),0),IF(ISERROR(1/VLOOKUP($R201,Capa!$A:$AJ,AZ$5,0)),0,1/VLOOKUP($R201,Capa!$A:$AJ,AZ$5,0))))</f>
        <v/>
      </c>
      <c r="BA201" s="174" t="str">
        <f>IF(BA$6="","",IF(BA$3="Maior",iferror(VLOOKUP($R201,Capa!$A:$AJ,BA$5,0),0),IF(ISERROR(1/VLOOKUP($R201,Capa!$A:$AJ,BA$5,0)),0,1/VLOOKUP($R201,Capa!$A:$AJ,BA$5,0))))</f>
        <v/>
      </c>
      <c r="BB201" s="174" t="str">
        <f>IF(BB$6="","",IF(BB$3="Maior",iferror(VLOOKUP($R201,Capa!$A:$AJ,BB$5,0),0),IF(ISERROR(1/VLOOKUP($R201,Capa!$A:$AJ,BB$5,0)),0,1/VLOOKUP($R201,Capa!$A:$AJ,BB$5,0))))</f>
        <v/>
      </c>
      <c r="BC201" s="174" t="str">
        <f>IF(BC$6="","",IF(BC$3="Maior",iferror(VLOOKUP($R201,Capa!$A:$AJ,BC$5,0),0),IF(ISERROR(1/VLOOKUP($R201,Capa!$A:$AJ,BC$5,0)),0,1/VLOOKUP($R201,Capa!$A:$AJ,BC$5,0))))</f>
        <v/>
      </c>
      <c r="BD201" s="174" t="str">
        <f>IF(BD$6="","",IF(BD$3="Maior",iferror(VLOOKUP($R201,Capa!$A:$AJ,BD$5,0),0),IF(ISERROR(1/VLOOKUP($R201,Capa!$A:$AJ,BD$5,0)),0,1/VLOOKUP($R201,Capa!$A:$AJ,BD$5,0))))</f>
        <v/>
      </c>
      <c r="BE201" s="174" t="str">
        <f>IF(BE$6="","",IF(BE$3="Maior",iferror(VLOOKUP($R201,Capa!$A:$AJ,BE$5,0),0),IF(ISERROR(1/VLOOKUP($R201,Capa!$A:$AJ,BE$5,0)),0,1/VLOOKUP($R201,Capa!$A:$AJ,BE$5,0))))</f>
        <v/>
      </c>
      <c r="BF201" s="174" t="str">
        <f>IF(BF$6="","",IF(BF$3="Maior",iferror(VLOOKUP($R201,Capa!$A:$AJ,BF$5,0),0),IF(ISERROR(1/VLOOKUP($R201,Capa!$A:$AJ,BF$5,0)),0,1/VLOOKUP($R201,Capa!$A:$AJ,BF$5,0))))</f>
        <v/>
      </c>
      <c r="BG201" s="174" t="str">
        <f>IF(BG$6="","",IF(BG$3="Maior",iferror(VLOOKUP($R201,Capa!$A:$AJ,BG$5,0),0),IF(ISERROR(1/VLOOKUP($R201,Capa!$A:$AJ,BG$5,0)),0,1/VLOOKUP($R201,Capa!$A:$AJ,BG$5,0))))</f>
        <v/>
      </c>
      <c r="BH201" s="174" t="str">
        <f>IF(BH$6="","",IF(BH$3="Maior",iferror(VLOOKUP($R201,Capa!$A:$AJ,BH$5,0),0),IF(ISERROR(1/VLOOKUP($R201,Capa!$A:$AJ,BH$5,0)),0,1/VLOOKUP($R201,Capa!$A:$AJ,BH$5,0))))</f>
        <v/>
      </c>
      <c r="BI201" s="174" t="str">
        <f>IF(BI$6="","",IF(BI$3="Maior",iferror(VLOOKUP($R201,Capa!$A:$AJ,BI$5,0),0),IF(ISERROR(1/VLOOKUP($R201,Capa!$A:$AJ,BI$5,0)),0,1/VLOOKUP($R201,Capa!$A:$AJ,BI$5,0))))</f>
        <v/>
      </c>
      <c r="BJ201" s="174" t="str">
        <f>IF(BJ$6="","",IF(BJ$3="Maior",iferror(VLOOKUP($R201,Capa!$A:$AJ,BJ$5,0),0),IF(ISERROR(1/VLOOKUP($R201,Capa!$A:$AJ,BJ$5,0)),0,1/VLOOKUP($R201,Capa!$A:$AJ,BJ$5,0))))</f>
        <v/>
      </c>
      <c r="BK201" s="174" t="str">
        <f>IF(BK$6="","",IF(BK$3="Maior",iferror(VLOOKUP($R201,Capa!$A:$AJ,BK$5,0),0),IF(ISERROR(1/VLOOKUP($R201,Capa!$A:$AJ,BK$5,0)),0,1/VLOOKUP($R201,Capa!$A:$AJ,BK$5,0))))</f>
        <v/>
      </c>
      <c r="BL201" s="174" t="str">
        <f>IF(BL$6="","",IF(BL$3="Maior",iferror(VLOOKUP($R201,Capa!$A:$AJ,BL$5,0),0),IF(ISERROR(1/VLOOKUP($R201,Capa!$A:$AJ,BL$5,0)),0,1/VLOOKUP($R201,Capa!$A:$AJ,BL$5,0))))</f>
        <v/>
      </c>
      <c r="BM201" s="174" t="str">
        <f>IF(BM$6="","",IF(BM$3="Maior",iferror(VLOOKUP($R201,Capa!$A:$AJ,BM$5,0),0),IF(ISERROR(1/VLOOKUP($R201,Capa!$A:$AJ,BM$5,0)),0,1/VLOOKUP($R201,Capa!$A:$AJ,BM$5,0))))</f>
        <v/>
      </c>
      <c r="BN201" s="174" t="str">
        <f>IF(BN$6="","",IF(BN$3="Maior",iferror(VLOOKUP($R201,Capa!$A:$AJ,BN$5,0),0),IF(ISERROR(1/VLOOKUP($R201,Capa!$A:$AJ,BN$5,0)),0,1/VLOOKUP($R201,Capa!$A:$AJ,BN$5,0))))</f>
        <v/>
      </c>
      <c r="BO201" s="174" t="str">
        <f>IF(BO$6="","",IF(BO$3="Maior",iferror(VLOOKUP($R201,Capa!$A:$AJ,BO$5,0),0),IF(ISERROR(1/VLOOKUP($R201,Capa!$A:$AJ,BO$5,0)),0,1/VLOOKUP($R201,Capa!$A:$AJ,BO$5,0))))</f>
        <v/>
      </c>
      <c r="BP201" s="174" t="str">
        <f>IF(BP$6="","",IF(BP$3="Maior",iferror(VLOOKUP($R201,Capa!$A:$AJ,BP$5,0),0),IF(ISERROR(1/VLOOKUP($R201,Capa!$A:$AJ,BP$5,0)),0,1/VLOOKUP($R201,Capa!$A:$AJ,BP$5,0))))</f>
        <v/>
      </c>
      <c r="BQ201" s="174" t="str">
        <f>IF(BQ$6="","",IF(BQ$3="Maior",iferror(VLOOKUP($R201,Capa!$A:$AJ,BQ$5,0),0),IF(ISERROR(1/VLOOKUP($R201,Capa!$A:$AJ,BQ$5,0)),0,1/VLOOKUP($R201,Capa!$A:$AJ,BQ$5,0))))</f>
        <v/>
      </c>
      <c r="BR201" s="175"/>
      <c r="BS201" s="147"/>
    </row>
    <row r="202">
      <c r="G202" s="11"/>
      <c r="H202" s="8">
        <v>196.0</v>
      </c>
      <c r="I202" s="165" t="str">
        <f t="shared" si="6"/>
        <v>CSAN3</v>
      </c>
      <c r="J202" s="166" t="str">
        <f>(VLOOKUP($I202,Capa!$A:$B,2,0))</f>
        <v>Cosan SA</v>
      </c>
      <c r="K202" s="167" t="str">
        <f>VLOOKUP(left(I202,4),Setor!A:D,3,0)&amp;" | "&amp;VLOOKUP(left(I202,4),Setor!A:D,4,0)</f>
        <v>Petróleo, Gás e Biocombustíveis | Petróleo, Gás e Biocombustíveis</v>
      </c>
      <c r="L202" s="168">
        <f>(VLOOKUP($I202,Capa!$A:$F,6,0))</f>
        <v>6.35</v>
      </c>
      <c r="M202" s="168">
        <f t="shared" si="7"/>
        <v>220000000</v>
      </c>
      <c r="N202" s="11" t="str">
        <f>IFERROR(__xludf.DUMMYFUNCTION("(VLOOKUP($I202,Capa!$A:$H,7,0))"),"")</f>
        <v/>
      </c>
      <c r="O202" s="169">
        <f>(VLOOKUP($I202,Capa!$A:$H,8,0))</f>
        <v>0.1891385768</v>
      </c>
      <c r="P202" s="11" t="str">
        <f>IFERROR(__xludf.DUMMYFUNCTION("(VLOOKUP($I202,Capa!$A:$J,10,0))"),"")</f>
        <v/>
      </c>
      <c r="Q202" s="169">
        <f>(VLOOKUP($I202,Capa!$A:$K,11,0))</f>
        <v>-0.1499330656</v>
      </c>
      <c r="R202" s="45" t="str">
        <f>'Dados StatusInvest'!A197</f>
        <v>CTAX3</v>
      </c>
      <c r="S202" s="170">
        <f t="shared" si="8"/>
        <v>1879.0879</v>
      </c>
      <c r="T202" s="171">
        <f>VLOOKUP(R202,'Dados StatusInvest'!A:Z,26,0)</f>
        <v>3160.71</v>
      </c>
      <c r="U202" s="172">
        <f t="shared" ref="U202:AS202" si="204">IF(AT202="","", RANK(AT202,AT$7:AT$626,0)+RANK(AT202,AT$7:AT$626,0)/10000)</f>
        <v>612.0612</v>
      </c>
      <c r="V202" s="172">
        <f t="shared" si="204"/>
        <v>267.0267</v>
      </c>
      <c r="W202" s="172" t="str">
        <f t="shared" si="204"/>
        <v/>
      </c>
      <c r="X202" s="172" t="str">
        <f t="shared" si="204"/>
        <v/>
      </c>
      <c r="Y202" s="172" t="str">
        <f t="shared" si="204"/>
        <v/>
      </c>
      <c r="Z202" s="172" t="str">
        <f t="shared" si="204"/>
        <v/>
      </c>
      <c r="AA202" s="172" t="str">
        <f t="shared" si="204"/>
        <v/>
      </c>
      <c r="AB202" s="172" t="str">
        <f t="shared" si="204"/>
        <v/>
      </c>
      <c r="AC202" s="172" t="str">
        <f t="shared" si="204"/>
        <v/>
      </c>
      <c r="AD202" s="172" t="str">
        <f t="shared" si="204"/>
        <v/>
      </c>
      <c r="AE202" s="172" t="str">
        <f t="shared" si="204"/>
        <v/>
      </c>
      <c r="AF202" s="172" t="str">
        <f t="shared" si="204"/>
        <v/>
      </c>
      <c r="AG202" s="172" t="str">
        <f t="shared" si="204"/>
        <v/>
      </c>
      <c r="AH202" s="172" t="str">
        <f t="shared" si="204"/>
        <v/>
      </c>
      <c r="AI202" s="172" t="str">
        <f t="shared" si="204"/>
        <v/>
      </c>
      <c r="AJ202" s="172" t="str">
        <f t="shared" si="204"/>
        <v/>
      </c>
      <c r="AK202" s="172" t="str">
        <f t="shared" si="204"/>
        <v/>
      </c>
      <c r="AL202" s="172" t="str">
        <f t="shared" si="204"/>
        <v/>
      </c>
      <c r="AM202" s="172" t="str">
        <f t="shared" si="204"/>
        <v/>
      </c>
      <c r="AN202" s="172" t="str">
        <f t="shared" si="204"/>
        <v/>
      </c>
      <c r="AO202" s="172" t="str">
        <f t="shared" si="204"/>
        <v/>
      </c>
      <c r="AP202" s="172" t="str">
        <f t="shared" si="204"/>
        <v/>
      </c>
      <c r="AQ202" s="172" t="str">
        <f t="shared" si="204"/>
        <v/>
      </c>
      <c r="AR202" s="172" t="str">
        <f t="shared" si="204"/>
        <v/>
      </c>
      <c r="AS202" s="172" t="str">
        <f t="shared" si="204"/>
        <v/>
      </c>
      <c r="AT202" s="173">
        <f>IF(AT$6="","",IF(AT$3="Maior",iferror(VLOOKUP($R202,Capa!$A:$AJ,AT$5,0),0),IF(ISERROR(1/VLOOKUP($R202,Capa!$A:$AJ,AT$5,0)),0,1/VLOOKUP($R202,Capa!$A:$AJ,AT$5,0))))</f>
        <v>-50</v>
      </c>
      <c r="AU202" s="174">
        <f>IF(AU$6="","",IF(AU$3="Maior",iferror(VLOOKUP($R202,Capa!$A:$AJ,AU$5,0),0),IF(ISERROR(1/VLOOKUP($R202,Capa!$A:$AJ,AU$5,0)),0,1/VLOOKUP($R202,Capa!$A:$AJ,AU$5,0))))</f>
        <v>0</v>
      </c>
      <c r="AV202" s="174" t="str">
        <f>IF(AV$6="","",IF(AV$3="Maior",iferror(VLOOKUP($R202,Capa!$A:$AJ,AV$5,0),0),IF(ISERROR(1/VLOOKUP($R202,Capa!$A:$AJ,AV$5,0)),0,1/VLOOKUP($R202,Capa!$A:$AJ,AV$5,0))))</f>
        <v/>
      </c>
      <c r="AW202" s="174" t="str">
        <f>IF(AW$6="","",IF(AW$3="Maior",iferror(VLOOKUP($R202,Capa!$A:$AJ,AW$5,0),0),IF(ISERROR(1/VLOOKUP($R202,Capa!$A:$AJ,AW$5,0)),0,1/VLOOKUP($R202,Capa!$A:$AJ,AW$5,0))))</f>
        <v/>
      </c>
      <c r="AX202" s="174" t="str">
        <f>IF(AX$6="","",IF(AX$3="Maior",iferror(VLOOKUP($R202,Capa!$A:$AJ,AX$5,0),0),IF(ISERROR(1/VLOOKUP($R202,Capa!$A:$AJ,AX$5,0)),0,1/VLOOKUP($R202,Capa!$A:$AJ,AX$5,0))))</f>
        <v/>
      </c>
      <c r="AY202" s="174" t="str">
        <f>IF(AY$6="","",IF(AY$3="Maior",iferror(VLOOKUP($R202,Capa!$A:$AJ,AY$5,0),0),IF(ISERROR(1/VLOOKUP($R202,Capa!$A:$AJ,AY$5,0)),0,1/VLOOKUP($R202,Capa!$A:$AJ,AY$5,0))))</f>
        <v/>
      </c>
      <c r="AZ202" s="174" t="str">
        <f>IF(AZ$6="","",IF(AZ$3="Maior",iferror(VLOOKUP($R202,Capa!$A:$AJ,AZ$5,0),0),IF(ISERROR(1/VLOOKUP($R202,Capa!$A:$AJ,AZ$5,0)),0,1/VLOOKUP($R202,Capa!$A:$AJ,AZ$5,0))))</f>
        <v/>
      </c>
      <c r="BA202" s="174" t="str">
        <f>IF(BA$6="","",IF(BA$3="Maior",iferror(VLOOKUP($R202,Capa!$A:$AJ,BA$5,0),0),IF(ISERROR(1/VLOOKUP($R202,Capa!$A:$AJ,BA$5,0)),0,1/VLOOKUP($R202,Capa!$A:$AJ,BA$5,0))))</f>
        <v/>
      </c>
      <c r="BB202" s="174" t="str">
        <f>IF(BB$6="","",IF(BB$3="Maior",iferror(VLOOKUP($R202,Capa!$A:$AJ,BB$5,0),0),IF(ISERROR(1/VLOOKUP($R202,Capa!$A:$AJ,BB$5,0)),0,1/VLOOKUP($R202,Capa!$A:$AJ,BB$5,0))))</f>
        <v/>
      </c>
      <c r="BC202" s="174" t="str">
        <f>IF(BC$6="","",IF(BC$3="Maior",iferror(VLOOKUP($R202,Capa!$A:$AJ,BC$5,0),0),IF(ISERROR(1/VLOOKUP($R202,Capa!$A:$AJ,BC$5,0)),0,1/VLOOKUP($R202,Capa!$A:$AJ,BC$5,0))))</f>
        <v/>
      </c>
      <c r="BD202" s="174" t="str">
        <f>IF(BD$6="","",IF(BD$3="Maior",iferror(VLOOKUP($R202,Capa!$A:$AJ,BD$5,0),0),IF(ISERROR(1/VLOOKUP($R202,Capa!$A:$AJ,BD$5,0)),0,1/VLOOKUP($R202,Capa!$A:$AJ,BD$5,0))))</f>
        <v/>
      </c>
      <c r="BE202" s="174" t="str">
        <f>IF(BE$6="","",IF(BE$3="Maior",iferror(VLOOKUP($R202,Capa!$A:$AJ,BE$5,0),0),IF(ISERROR(1/VLOOKUP($R202,Capa!$A:$AJ,BE$5,0)),0,1/VLOOKUP($R202,Capa!$A:$AJ,BE$5,0))))</f>
        <v/>
      </c>
      <c r="BF202" s="174" t="str">
        <f>IF(BF$6="","",IF(BF$3="Maior",iferror(VLOOKUP($R202,Capa!$A:$AJ,BF$5,0),0),IF(ISERROR(1/VLOOKUP($R202,Capa!$A:$AJ,BF$5,0)),0,1/VLOOKUP($R202,Capa!$A:$AJ,BF$5,0))))</f>
        <v/>
      </c>
      <c r="BG202" s="174" t="str">
        <f>IF(BG$6="","",IF(BG$3="Maior",iferror(VLOOKUP($R202,Capa!$A:$AJ,BG$5,0),0),IF(ISERROR(1/VLOOKUP($R202,Capa!$A:$AJ,BG$5,0)),0,1/VLOOKUP($R202,Capa!$A:$AJ,BG$5,0))))</f>
        <v/>
      </c>
      <c r="BH202" s="174" t="str">
        <f>IF(BH$6="","",IF(BH$3="Maior",iferror(VLOOKUP($R202,Capa!$A:$AJ,BH$5,0),0),IF(ISERROR(1/VLOOKUP($R202,Capa!$A:$AJ,BH$5,0)),0,1/VLOOKUP($R202,Capa!$A:$AJ,BH$5,0))))</f>
        <v/>
      </c>
      <c r="BI202" s="174" t="str">
        <f>IF(BI$6="","",IF(BI$3="Maior",iferror(VLOOKUP($R202,Capa!$A:$AJ,BI$5,0),0),IF(ISERROR(1/VLOOKUP($R202,Capa!$A:$AJ,BI$5,0)),0,1/VLOOKUP($R202,Capa!$A:$AJ,BI$5,0))))</f>
        <v/>
      </c>
      <c r="BJ202" s="174" t="str">
        <f>IF(BJ$6="","",IF(BJ$3="Maior",iferror(VLOOKUP($R202,Capa!$A:$AJ,BJ$5,0),0),IF(ISERROR(1/VLOOKUP($R202,Capa!$A:$AJ,BJ$5,0)),0,1/VLOOKUP($R202,Capa!$A:$AJ,BJ$5,0))))</f>
        <v/>
      </c>
      <c r="BK202" s="174" t="str">
        <f>IF(BK$6="","",IF(BK$3="Maior",iferror(VLOOKUP($R202,Capa!$A:$AJ,BK$5,0),0),IF(ISERROR(1/VLOOKUP($R202,Capa!$A:$AJ,BK$5,0)),0,1/VLOOKUP($R202,Capa!$A:$AJ,BK$5,0))))</f>
        <v/>
      </c>
      <c r="BL202" s="174" t="str">
        <f>IF(BL$6="","",IF(BL$3="Maior",iferror(VLOOKUP($R202,Capa!$A:$AJ,BL$5,0),0),IF(ISERROR(1/VLOOKUP($R202,Capa!$A:$AJ,BL$5,0)),0,1/VLOOKUP($R202,Capa!$A:$AJ,BL$5,0))))</f>
        <v/>
      </c>
      <c r="BM202" s="174" t="str">
        <f>IF(BM$6="","",IF(BM$3="Maior",iferror(VLOOKUP($R202,Capa!$A:$AJ,BM$5,0),0),IF(ISERROR(1/VLOOKUP($R202,Capa!$A:$AJ,BM$5,0)),0,1/VLOOKUP($R202,Capa!$A:$AJ,BM$5,0))))</f>
        <v/>
      </c>
      <c r="BN202" s="174" t="str">
        <f>IF(BN$6="","",IF(BN$3="Maior",iferror(VLOOKUP($R202,Capa!$A:$AJ,BN$5,0),0),IF(ISERROR(1/VLOOKUP($R202,Capa!$A:$AJ,BN$5,0)),0,1/VLOOKUP($R202,Capa!$A:$AJ,BN$5,0))))</f>
        <v/>
      </c>
      <c r="BO202" s="174" t="str">
        <f>IF(BO$6="","",IF(BO$3="Maior",iferror(VLOOKUP($R202,Capa!$A:$AJ,BO$5,0),0),IF(ISERROR(1/VLOOKUP($R202,Capa!$A:$AJ,BO$5,0)),0,1/VLOOKUP($R202,Capa!$A:$AJ,BO$5,0))))</f>
        <v/>
      </c>
      <c r="BP202" s="174" t="str">
        <f>IF(BP$6="","",IF(BP$3="Maior",iferror(VLOOKUP($R202,Capa!$A:$AJ,BP$5,0),0),IF(ISERROR(1/VLOOKUP($R202,Capa!$A:$AJ,BP$5,0)),0,1/VLOOKUP($R202,Capa!$A:$AJ,BP$5,0))))</f>
        <v/>
      </c>
      <c r="BQ202" s="174" t="str">
        <f>IF(BQ$6="","",IF(BQ$3="Maior",iferror(VLOOKUP($R202,Capa!$A:$AJ,BQ$5,0),0),IF(ISERROR(1/VLOOKUP($R202,Capa!$A:$AJ,BQ$5,0)),0,1/VLOOKUP($R202,Capa!$A:$AJ,BQ$5,0))))</f>
        <v/>
      </c>
      <c r="BR202" s="175"/>
      <c r="BS202" s="147"/>
    </row>
    <row r="203">
      <c r="G203" s="11"/>
      <c r="H203" s="8">
        <v>197.0</v>
      </c>
      <c r="I203" s="165" t="str">
        <f t="shared" si="6"/>
        <v>BRAV3</v>
      </c>
      <c r="J203" s="166" t="str">
        <f>(VLOOKUP($I203,Capa!$A:$B,2,0))</f>
        <v>Brava Energia SA</v>
      </c>
      <c r="K203" s="167" t="str">
        <f>VLOOKUP(left(I203,4),Setor!A:D,3,0)&amp;" | "&amp;VLOOKUP(left(I203,4),Setor!A:D,4,0)</f>
        <v>#N/A</v>
      </c>
      <c r="L203" s="168">
        <f>(VLOOKUP($I203,Capa!$A:$F,6,0))</f>
        <v>18.71</v>
      </c>
      <c r="M203" s="168">
        <f t="shared" si="7"/>
        <v>137000000</v>
      </c>
      <c r="N203" s="11" t="str">
        <f>IFERROR(__xludf.DUMMYFUNCTION("(VLOOKUP($I203,Capa!$A:$H,7,0))"),"")</f>
        <v/>
      </c>
      <c r="O203" s="169">
        <f>(VLOOKUP($I203,Capa!$A:$H,8,0))</f>
        <v>0.05467869222</v>
      </c>
      <c r="P203" s="11" t="str">
        <f>IFERROR(__xludf.DUMMYFUNCTION("(VLOOKUP($I203,Capa!$A:$J,10,0))"),"")</f>
        <v/>
      </c>
      <c r="Q203" s="169">
        <f>(VLOOKUP($I203,Capa!$A:$K,11,0))</f>
        <v>-0.03952772074</v>
      </c>
      <c r="R203" s="45" t="str">
        <f>'Dados StatusInvest'!A198</f>
        <v>CTCA3</v>
      </c>
      <c r="S203" s="170">
        <f t="shared" si="8"/>
        <v>1067.0067</v>
      </c>
      <c r="T203" s="171">
        <f>VLOOKUP(R203,'Dados StatusInvest'!A:Z,26,0)</f>
        <v>0</v>
      </c>
      <c r="U203" s="172">
        <f t="shared" ref="U203:AS203" si="205">IF(AT203="","", RANK(AT203,AT$7:AT$626,0)+RANK(AT203,AT$7:AT$626,0)/10000)</f>
        <v>51.0051</v>
      </c>
      <c r="V203" s="172">
        <f t="shared" si="205"/>
        <v>16.0016</v>
      </c>
      <c r="W203" s="172" t="str">
        <f t="shared" si="205"/>
        <v/>
      </c>
      <c r="X203" s="172" t="str">
        <f t="shared" si="205"/>
        <v/>
      </c>
      <c r="Y203" s="172" t="str">
        <f t="shared" si="205"/>
        <v/>
      </c>
      <c r="Z203" s="172" t="str">
        <f t="shared" si="205"/>
        <v/>
      </c>
      <c r="AA203" s="172" t="str">
        <f t="shared" si="205"/>
        <v/>
      </c>
      <c r="AB203" s="172" t="str">
        <f t="shared" si="205"/>
        <v/>
      </c>
      <c r="AC203" s="172" t="str">
        <f t="shared" si="205"/>
        <v/>
      </c>
      <c r="AD203" s="172" t="str">
        <f t="shared" si="205"/>
        <v/>
      </c>
      <c r="AE203" s="172" t="str">
        <f t="shared" si="205"/>
        <v/>
      </c>
      <c r="AF203" s="172" t="str">
        <f t="shared" si="205"/>
        <v/>
      </c>
      <c r="AG203" s="172" t="str">
        <f t="shared" si="205"/>
        <v/>
      </c>
      <c r="AH203" s="172" t="str">
        <f t="shared" si="205"/>
        <v/>
      </c>
      <c r="AI203" s="172" t="str">
        <f t="shared" si="205"/>
        <v/>
      </c>
      <c r="AJ203" s="172" t="str">
        <f t="shared" si="205"/>
        <v/>
      </c>
      <c r="AK203" s="172" t="str">
        <f t="shared" si="205"/>
        <v/>
      </c>
      <c r="AL203" s="172" t="str">
        <f t="shared" si="205"/>
        <v/>
      </c>
      <c r="AM203" s="172" t="str">
        <f t="shared" si="205"/>
        <v/>
      </c>
      <c r="AN203" s="172" t="str">
        <f t="shared" si="205"/>
        <v/>
      </c>
      <c r="AO203" s="172" t="str">
        <f t="shared" si="205"/>
        <v/>
      </c>
      <c r="AP203" s="172" t="str">
        <f t="shared" si="205"/>
        <v/>
      </c>
      <c r="AQ203" s="172" t="str">
        <f t="shared" si="205"/>
        <v/>
      </c>
      <c r="AR203" s="172" t="str">
        <f t="shared" si="205"/>
        <v/>
      </c>
      <c r="AS203" s="172" t="str">
        <f t="shared" si="205"/>
        <v/>
      </c>
      <c r="AT203" s="173">
        <f>IF(AT$6="","",IF(AT$3="Maior",iferror(VLOOKUP($R203,Capa!$A:$AJ,AT$5,0),0),IF(ISERROR(1/VLOOKUP($R203,Capa!$A:$AJ,AT$5,0)),0,1/VLOOKUP($R203,Capa!$A:$AJ,AT$5,0))))</f>
        <v>0</v>
      </c>
      <c r="AU203" s="174">
        <f>IF(AU$6="","",IF(AU$3="Maior",iferror(VLOOKUP($R203,Capa!$A:$AJ,AU$5,0),0),IF(ISERROR(1/VLOOKUP($R203,Capa!$A:$AJ,AU$5,0)),0,1/VLOOKUP($R203,Capa!$A:$AJ,AU$5,0))))</f>
        <v>60.86</v>
      </c>
      <c r="AV203" s="174" t="str">
        <f>IF(AV$6="","",IF(AV$3="Maior",iferror(VLOOKUP($R203,Capa!$A:$AJ,AV$5,0),0),IF(ISERROR(1/VLOOKUP($R203,Capa!$A:$AJ,AV$5,0)),0,1/VLOOKUP($R203,Capa!$A:$AJ,AV$5,0))))</f>
        <v/>
      </c>
      <c r="AW203" s="174" t="str">
        <f>IF(AW$6="","",IF(AW$3="Maior",iferror(VLOOKUP($R203,Capa!$A:$AJ,AW$5,0),0),IF(ISERROR(1/VLOOKUP($R203,Capa!$A:$AJ,AW$5,0)),0,1/VLOOKUP($R203,Capa!$A:$AJ,AW$5,0))))</f>
        <v/>
      </c>
      <c r="AX203" s="174" t="str">
        <f>IF(AX$6="","",IF(AX$3="Maior",iferror(VLOOKUP($R203,Capa!$A:$AJ,AX$5,0),0),IF(ISERROR(1/VLOOKUP($R203,Capa!$A:$AJ,AX$5,0)),0,1/VLOOKUP($R203,Capa!$A:$AJ,AX$5,0))))</f>
        <v/>
      </c>
      <c r="AY203" s="174" t="str">
        <f>IF(AY$6="","",IF(AY$3="Maior",iferror(VLOOKUP($R203,Capa!$A:$AJ,AY$5,0),0),IF(ISERROR(1/VLOOKUP($R203,Capa!$A:$AJ,AY$5,0)),0,1/VLOOKUP($R203,Capa!$A:$AJ,AY$5,0))))</f>
        <v/>
      </c>
      <c r="AZ203" s="174" t="str">
        <f>IF(AZ$6="","",IF(AZ$3="Maior",iferror(VLOOKUP($R203,Capa!$A:$AJ,AZ$5,0),0),IF(ISERROR(1/VLOOKUP($R203,Capa!$A:$AJ,AZ$5,0)),0,1/VLOOKUP($R203,Capa!$A:$AJ,AZ$5,0))))</f>
        <v/>
      </c>
      <c r="BA203" s="174" t="str">
        <f>IF(BA$6="","",IF(BA$3="Maior",iferror(VLOOKUP($R203,Capa!$A:$AJ,BA$5,0),0),IF(ISERROR(1/VLOOKUP($R203,Capa!$A:$AJ,BA$5,0)),0,1/VLOOKUP($R203,Capa!$A:$AJ,BA$5,0))))</f>
        <v/>
      </c>
      <c r="BB203" s="174" t="str">
        <f>IF(BB$6="","",IF(BB$3="Maior",iferror(VLOOKUP($R203,Capa!$A:$AJ,BB$5,0),0),IF(ISERROR(1/VLOOKUP($R203,Capa!$A:$AJ,BB$5,0)),0,1/VLOOKUP($R203,Capa!$A:$AJ,BB$5,0))))</f>
        <v/>
      </c>
      <c r="BC203" s="174" t="str">
        <f>IF(BC$6="","",IF(BC$3="Maior",iferror(VLOOKUP($R203,Capa!$A:$AJ,BC$5,0),0),IF(ISERROR(1/VLOOKUP($R203,Capa!$A:$AJ,BC$5,0)),0,1/VLOOKUP($R203,Capa!$A:$AJ,BC$5,0))))</f>
        <v/>
      </c>
      <c r="BD203" s="174" t="str">
        <f>IF(BD$6="","",IF(BD$3="Maior",iferror(VLOOKUP($R203,Capa!$A:$AJ,BD$5,0),0),IF(ISERROR(1/VLOOKUP($R203,Capa!$A:$AJ,BD$5,0)),0,1/VLOOKUP($R203,Capa!$A:$AJ,BD$5,0))))</f>
        <v/>
      </c>
      <c r="BE203" s="174" t="str">
        <f>IF(BE$6="","",IF(BE$3="Maior",iferror(VLOOKUP($R203,Capa!$A:$AJ,BE$5,0),0),IF(ISERROR(1/VLOOKUP($R203,Capa!$A:$AJ,BE$5,0)),0,1/VLOOKUP($R203,Capa!$A:$AJ,BE$5,0))))</f>
        <v/>
      </c>
      <c r="BF203" s="174" t="str">
        <f>IF(BF$6="","",IF(BF$3="Maior",iferror(VLOOKUP($R203,Capa!$A:$AJ,BF$5,0),0),IF(ISERROR(1/VLOOKUP($R203,Capa!$A:$AJ,BF$5,0)),0,1/VLOOKUP($R203,Capa!$A:$AJ,BF$5,0))))</f>
        <v/>
      </c>
      <c r="BG203" s="174" t="str">
        <f>IF(BG$6="","",IF(BG$3="Maior",iferror(VLOOKUP($R203,Capa!$A:$AJ,BG$5,0),0),IF(ISERROR(1/VLOOKUP($R203,Capa!$A:$AJ,BG$5,0)),0,1/VLOOKUP($R203,Capa!$A:$AJ,BG$5,0))))</f>
        <v/>
      </c>
      <c r="BH203" s="174" t="str">
        <f>IF(BH$6="","",IF(BH$3="Maior",iferror(VLOOKUP($R203,Capa!$A:$AJ,BH$5,0),0),IF(ISERROR(1/VLOOKUP($R203,Capa!$A:$AJ,BH$5,0)),0,1/VLOOKUP($R203,Capa!$A:$AJ,BH$5,0))))</f>
        <v/>
      </c>
      <c r="BI203" s="174" t="str">
        <f>IF(BI$6="","",IF(BI$3="Maior",iferror(VLOOKUP($R203,Capa!$A:$AJ,BI$5,0),0),IF(ISERROR(1/VLOOKUP($R203,Capa!$A:$AJ,BI$5,0)),0,1/VLOOKUP($R203,Capa!$A:$AJ,BI$5,0))))</f>
        <v/>
      </c>
      <c r="BJ203" s="174" t="str">
        <f>IF(BJ$6="","",IF(BJ$3="Maior",iferror(VLOOKUP($R203,Capa!$A:$AJ,BJ$5,0),0),IF(ISERROR(1/VLOOKUP($R203,Capa!$A:$AJ,BJ$5,0)),0,1/VLOOKUP($R203,Capa!$A:$AJ,BJ$5,0))))</f>
        <v/>
      </c>
      <c r="BK203" s="174" t="str">
        <f>IF(BK$6="","",IF(BK$3="Maior",iferror(VLOOKUP($R203,Capa!$A:$AJ,BK$5,0),0),IF(ISERROR(1/VLOOKUP($R203,Capa!$A:$AJ,BK$5,0)),0,1/VLOOKUP($R203,Capa!$A:$AJ,BK$5,0))))</f>
        <v/>
      </c>
      <c r="BL203" s="174" t="str">
        <f>IF(BL$6="","",IF(BL$3="Maior",iferror(VLOOKUP($R203,Capa!$A:$AJ,BL$5,0),0),IF(ISERROR(1/VLOOKUP($R203,Capa!$A:$AJ,BL$5,0)),0,1/VLOOKUP($R203,Capa!$A:$AJ,BL$5,0))))</f>
        <v/>
      </c>
      <c r="BM203" s="174" t="str">
        <f>IF(BM$6="","",IF(BM$3="Maior",iferror(VLOOKUP($R203,Capa!$A:$AJ,BM$5,0),0),IF(ISERROR(1/VLOOKUP($R203,Capa!$A:$AJ,BM$5,0)),0,1/VLOOKUP($R203,Capa!$A:$AJ,BM$5,0))))</f>
        <v/>
      </c>
      <c r="BN203" s="174" t="str">
        <f>IF(BN$6="","",IF(BN$3="Maior",iferror(VLOOKUP($R203,Capa!$A:$AJ,BN$5,0),0),IF(ISERROR(1/VLOOKUP($R203,Capa!$A:$AJ,BN$5,0)),0,1/VLOOKUP($R203,Capa!$A:$AJ,BN$5,0))))</f>
        <v/>
      </c>
      <c r="BO203" s="174" t="str">
        <f>IF(BO$6="","",IF(BO$3="Maior",iferror(VLOOKUP($R203,Capa!$A:$AJ,BO$5,0),0),IF(ISERROR(1/VLOOKUP($R203,Capa!$A:$AJ,BO$5,0)),0,1/VLOOKUP($R203,Capa!$A:$AJ,BO$5,0))))</f>
        <v/>
      </c>
      <c r="BP203" s="174" t="str">
        <f>IF(BP$6="","",IF(BP$3="Maior",iferror(VLOOKUP($R203,Capa!$A:$AJ,BP$5,0),0),IF(ISERROR(1/VLOOKUP($R203,Capa!$A:$AJ,BP$5,0)),0,1/VLOOKUP($R203,Capa!$A:$AJ,BP$5,0))))</f>
        <v/>
      </c>
      <c r="BQ203" s="174" t="str">
        <f>IF(BQ$6="","",IF(BQ$3="Maior",iferror(VLOOKUP($R203,Capa!$A:$AJ,BQ$5,0),0),IF(ISERROR(1/VLOOKUP($R203,Capa!$A:$AJ,BQ$5,0)),0,1/VLOOKUP($R203,Capa!$A:$AJ,BQ$5,0))))</f>
        <v/>
      </c>
      <c r="BR203" s="175"/>
      <c r="BS203" s="147"/>
    </row>
    <row r="204">
      <c r="G204" s="11"/>
      <c r="H204" s="8">
        <v>198.0</v>
      </c>
      <c r="I204" s="165" t="str">
        <f t="shared" si="6"/>
        <v>BBDC4</v>
      </c>
      <c r="J204" s="166" t="str">
        <f>(VLOOKUP($I204,Capa!$A:$B,2,0))</f>
        <v>Banco Bradesco SA Preference Shares</v>
      </c>
      <c r="K204" s="167" t="str">
        <f>VLOOKUP(left(I204,4),Setor!A:D,3,0)&amp;" | "&amp;VLOOKUP(left(I204,4),Setor!A:D,4,0)</f>
        <v>Financeiro | Intermediários Financeiros</v>
      </c>
      <c r="L204" s="168">
        <f>(VLOOKUP($I204,Capa!$A:$F,6,0))</f>
        <v>21.19</v>
      </c>
      <c r="M204" s="168">
        <f t="shared" si="7"/>
        <v>827000000</v>
      </c>
      <c r="N204" s="11" t="str">
        <f>IFERROR(__xludf.DUMMYFUNCTION("(VLOOKUP($I204,Capa!$A:$H,7,0))"),"")</f>
        <v/>
      </c>
      <c r="O204" s="169">
        <f>(VLOOKUP($I204,Capa!$A:$H,8,0))</f>
        <v>0.07236842105</v>
      </c>
      <c r="P204" s="11" t="str">
        <f>IFERROR(__xludf.DUMMYFUNCTION("(VLOOKUP($I204,Capa!$A:$J,10,0))"),"")</f>
        <v/>
      </c>
      <c r="Q204" s="169">
        <f>(VLOOKUP($I204,Capa!$A:$K,11,0))</f>
        <v>0.7732217573</v>
      </c>
      <c r="R204" s="45" t="str">
        <f>'Dados StatusInvest'!A199</f>
        <v>CTKA3</v>
      </c>
      <c r="S204" s="170">
        <f t="shared" si="8"/>
        <v>1586.0586</v>
      </c>
      <c r="T204" s="171">
        <f>VLOOKUP(R204,'Dados StatusInvest'!A:Z,26,0)</f>
        <v>1666.67</v>
      </c>
      <c r="U204" s="172">
        <f t="shared" ref="U204:AS204" si="206">IF(AT204="","", RANK(AT204,AT$7:AT$626,0)+RANK(AT204,AT$7:AT$626,0)/10000)</f>
        <v>319.0319</v>
      </c>
      <c r="V204" s="172">
        <f t="shared" si="206"/>
        <v>267.0267</v>
      </c>
      <c r="W204" s="172" t="str">
        <f t="shared" si="206"/>
        <v/>
      </c>
      <c r="X204" s="172" t="str">
        <f t="shared" si="206"/>
        <v/>
      </c>
      <c r="Y204" s="172" t="str">
        <f t="shared" si="206"/>
        <v/>
      </c>
      <c r="Z204" s="172" t="str">
        <f t="shared" si="206"/>
        <v/>
      </c>
      <c r="AA204" s="172" t="str">
        <f t="shared" si="206"/>
        <v/>
      </c>
      <c r="AB204" s="172" t="str">
        <f t="shared" si="206"/>
        <v/>
      </c>
      <c r="AC204" s="172" t="str">
        <f t="shared" si="206"/>
        <v/>
      </c>
      <c r="AD204" s="172" t="str">
        <f t="shared" si="206"/>
        <v/>
      </c>
      <c r="AE204" s="172" t="str">
        <f t="shared" si="206"/>
        <v/>
      </c>
      <c r="AF204" s="172" t="str">
        <f t="shared" si="206"/>
        <v/>
      </c>
      <c r="AG204" s="172" t="str">
        <f t="shared" si="206"/>
        <v/>
      </c>
      <c r="AH204" s="172" t="str">
        <f t="shared" si="206"/>
        <v/>
      </c>
      <c r="AI204" s="172" t="str">
        <f t="shared" si="206"/>
        <v/>
      </c>
      <c r="AJ204" s="172" t="str">
        <f t="shared" si="206"/>
        <v/>
      </c>
      <c r="AK204" s="172" t="str">
        <f t="shared" si="206"/>
        <v/>
      </c>
      <c r="AL204" s="172" t="str">
        <f t="shared" si="206"/>
        <v/>
      </c>
      <c r="AM204" s="172" t="str">
        <f t="shared" si="206"/>
        <v/>
      </c>
      <c r="AN204" s="172" t="str">
        <f t="shared" si="206"/>
        <v/>
      </c>
      <c r="AO204" s="172" t="str">
        <f t="shared" si="206"/>
        <v/>
      </c>
      <c r="AP204" s="172" t="str">
        <f t="shared" si="206"/>
        <v/>
      </c>
      <c r="AQ204" s="172" t="str">
        <f t="shared" si="206"/>
        <v/>
      </c>
      <c r="AR204" s="172" t="str">
        <f t="shared" si="206"/>
        <v/>
      </c>
      <c r="AS204" s="172" t="str">
        <f t="shared" si="206"/>
        <v/>
      </c>
      <c r="AT204" s="173">
        <f>IF(AT$6="","",IF(AT$3="Maior",iferror(VLOOKUP($R204,Capa!$A:$AJ,AT$5,0),0),IF(ISERROR(1/VLOOKUP($R204,Capa!$A:$AJ,AT$5,0)),0,1/VLOOKUP($R204,Capa!$A:$AJ,AT$5,0))))</f>
        <v>-0.78125</v>
      </c>
      <c r="AU204" s="174">
        <f>IF(AU$6="","",IF(AU$3="Maior",iferror(VLOOKUP($R204,Capa!$A:$AJ,AU$5,0),0),IF(ISERROR(1/VLOOKUP($R204,Capa!$A:$AJ,AU$5,0)),0,1/VLOOKUP($R204,Capa!$A:$AJ,AU$5,0))))</f>
        <v>0</v>
      </c>
      <c r="AV204" s="174" t="str">
        <f>IF(AV$6="","",IF(AV$3="Maior",iferror(VLOOKUP($R204,Capa!$A:$AJ,AV$5,0),0),IF(ISERROR(1/VLOOKUP($R204,Capa!$A:$AJ,AV$5,0)),0,1/VLOOKUP($R204,Capa!$A:$AJ,AV$5,0))))</f>
        <v/>
      </c>
      <c r="AW204" s="174" t="str">
        <f>IF(AW$6="","",IF(AW$3="Maior",iferror(VLOOKUP($R204,Capa!$A:$AJ,AW$5,0),0),IF(ISERROR(1/VLOOKUP($R204,Capa!$A:$AJ,AW$5,0)),0,1/VLOOKUP($R204,Capa!$A:$AJ,AW$5,0))))</f>
        <v/>
      </c>
      <c r="AX204" s="174" t="str">
        <f>IF(AX$6="","",IF(AX$3="Maior",iferror(VLOOKUP($R204,Capa!$A:$AJ,AX$5,0),0),IF(ISERROR(1/VLOOKUP($R204,Capa!$A:$AJ,AX$5,0)),0,1/VLOOKUP($R204,Capa!$A:$AJ,AX$5,0))))</f>
        <v/>
      </c>
      <c r="AY204" s="174" t="str">
        <f>IF(AY$6="","",IF(AY$3="Maior",iferror(VLOOKUP($R204,Capa!$A:$AJ,AY$5,0),0),IF(ISERROR(1/VLOOKUP($R204,Capa!$A:$AJ,AY$5,0)),0,1/VLOOKUP($R204,Capa!$A:$AJ,AY$5,0))))</f>
        <v/>
      </c>
      <c r="AZ204" s="174" t="str">
        <f>IF(AZ$6="","",IF(AZ$3="Maior",iferror(VLOOKUP($R204,Capa!$A:$AJ,AZ$5,0),0),IF(ISERROR(1/VLOOKUP($R204,Capa!$A:$AJ,AZ$5,0)),0,1/VLOOKUP($R204,Capa!$A:$AJ,AZ$5,0))))</f>
        <v/>
      </c>
      <c r="BA204" s="174" t="str">
        <f>IF(BA$6="","",IF(BA$3="Maior",iferror(VLOOKUP($R204,Capa!$A:$AJ,BA$5,0),0),IF(ISERROR(1/VLOOKUP($R204,Capa!$A:$AJ,BA$5,0)),0,1/VLOOKUP($R204,Capa!$A:$AJ,BA$5,0))))</f>
        <v/>
      </c>
      <c r="BB204" s="174" t="str">
        <f>IF(BB$6="","",IF(BB$3="Maior",iferror(VLOOKUP($R204,Capa!$A:$AJ,BB$5,0),0),IF(ISERROR(1/VLOOKUP($R204,Capa!$A:$AJ,BB$5,0)),0,1/VLOOKUP($R204,Capa!$A:$AJ,BB$5,0))))</f>
        <v/>
      </c>
      <c r="BC204" s="174" t="str">
        <f>IF(BC$6="","",IF(BC$3="Maior",iferror(VLOOKUP($R204,Capa!$A:$AJ,BC$5,0),0),IF(ISERROR(1/VLOOKUP($R204,Capa!$A:$AJ,BC$5,0)),0,1/VLOOKUP($R204,Capa!$A:$AJ,BC$5,0))))</f>
        <v/>
      </c>
      <c r="BD204" s="174" t="str">
        <f>IF(BD$6="","",IF(BD$3="Maior",iferror(VLOOKUP($R204,Capa!$A:$AJ,BD$5,0),0),IF(ISERROR(1/VLOOKUP($R204,Capa!$A:$AJ,BD$5,0)),0,1/VLOOKUP($R204,Capa!$A:$AJ,BD$5,0))))</f>
        <v/>
      </c>
      <c r="BE204" s="174" t="str">
        <f>IF(BE$6="","",IF(BE$3="Maior",iferror(VLOOKUP($R204,Capa!$A:$AJ,BE$5,0),0),IF(ISERROR(1/VLOOKUP($R204,Capa!$A:$AJ,BE$5,0)),0,1/VLOOKUP($R204,Capa!$A:$AJ,BE$5,0))))</f>
        <v/>
      </c>
      <c r="BF204" s="174" t="str">
        <f>IF(BF$6="","",IF(BF$3="Maior",iferror(VLOOKUP($R204,Capa!$A:$AJ,BF$5,0),0),IF(ISERROR(1/VLOOKUP($R204,Capa!$A:$AJ,BF$5,0)),0,1/VLOOKUP($R204,Capa!$A:$AJ,BF$5,0))))</f>
        <v/>
      </c>
      <c r="BG204" s="174" t="str">
        <f>IF(BG$6="","",IF(BG$3="Maior",iferror(VLOOKUP($R204,Capa!$A:$AJ,BG$5,0),0),IF(ISERROR(1/VLOOKUP($R204,Capa!$A:$AJ,BG$5,0)),0,1/VLOOKUP($R204,Capa!$A:$AJ,BG$5,0))))</f>
        <v/>
      </c>
      <c r="BH204" s="174" t="str">
        <f>IF(BH$6="","",IF(BH$3="Maior",iferror(VLOOKUP($R204,Capa!$A:$AJ,BH$5,0),0),IF(ISERROR(1/VLOOKUP($R204,Capa!$A:$AJ,BH$5,0)),0,1/VLOOKUP($R204,Capa!$A:$AJ,BH$5,0))))</f>
        <v/>
      </c>
      <c r="BI204" s="174" t="str">
        <f>IF(BI$6="","",IF(BI$3="Maior",iferror(VLOOKUP($R204,Capa!$A:$AJ,BI$5,0),0),IF(ISERROR(1/VLOOKUP($R204,Capa!$A:$AJ,BI$5,0)),0,1/VLOOKUP($R204,Capa!$A:$AJ,BI$5,0))))</f>
        <v/>
      </c>
      <c r="BJ204" s="174" t="str">
        <f>IF(BJ$6="","",IF(BJ$3="Maior",iferror(VLOOKUP($R204,Capa!$A:$AJ,BJ$5,0),0),IF(ISERROR(1/VLOOKUP($R204,Capa!$A:$AJ,BJ$5,0)),0,1/VLOOKUP($R204,Capa!$A:$AJ,BJ$5,0))))</f>
        <v/>
      </c>
      <c r="BK204" s="174" t="str">
        <f>IF(BK$6="","",IF(BK$3="Maior",iferror(VLOOKUP($R204,Capa!$A:$AJ,BK$5,0),0),IF(ISERROR(1/VLOOKUP($R204,Capa!$A:$AJ,BK$5,0)),0,1/VLOOKUP($R204,Capa!$A:$AJ,BK$5,0))))</f>
        <v/>
      </c>
      <c r="BL204" s="174" t="str">
        <f>IF(BL$6="","",IF(BL$3="Maior",iferror(VLOOKUP($R204,Capa!$A:$AJ,BL$5,0),0),IF(ISERROR(1/VLOOKUP($R204,Capa!$A:$AJ,BL$5,0)),0,1/VLOOKUP($R204,Capa!$A:$AJ,BL$5,0))))</f>
        <v/>
      </c>
      <c r="BM204" s="174" t="str">
        <f>IF(BM$6="","",IF(BM$3="Maior",iferror(VLOOKUP($R204,Capa!$A:$AJ,BM$5,0),0),IF(ISERROR(1/VLOOKUP($R204,Capa!$A:$AJ,BM$5,0)),0,1/VLOOKUP($R204,Capa!$A:$AJ,BM$5,0))))</f>
        <v/>
      </c>
      <c r="BN204" s="174" t="str">
        <f>IF(BN$6="","",IF(BN$3="Maior",iferror(VLOOKUP($R204,Capa!$A:$AJ,BN$5,0),0),IF(ISERROR(1/VLOOKUP($R204,Capa!$A:$AJ,BN$5,0)),0,1/VLOOKUP($R204,Capa!$A:$AJ,BN$5,0))))</f>
        <v/>
      </c>
      <c r="BO204" s="174" t="str">
        <f>IF(BO$6="","",IF(BO$3="Maior",iferror(VLOOKUP($R204,Capa!$A:$AJ,BO$5,0),0),IF(ISERROR(1/VLOOKUP($R204,Capa!$A:$AJ,BO$5,0)),0,1/VLOOKUP($R204,Capa!$A:$AJ,BO$5,0))))</f>
        <v/>
      </c>
      <c r="BP204" s="174" t="str">
        <f>IF(BP$6="","",IF(BP$3="Maior",iferror(VLOOKUP($R204,Capa!$A:$AJ,BP$5,0),0),IF(ISERROR(1/VLOOKUP($R204,Capa!$A:$AJ,BP$5,0)),0,1/VLOOKUP($R204,Capa!$A:$AJ,BP$5,0))))</f>
        <v/>
      </c>
      <c r="BQ204" s="174" t="str">
        <f>IF(BQ$6="","",IF(BQ$3="Maior",iferror(VLOOKUP($R204,Capa!$A:$AJ,BQ$5,0),0),IF(ISERROR(1/VLOOKUP($R204,Capa!$A:$AJ,BQ$5,0)),0,1/VLOOKUP($R204,Capa!$A:$AJ,BQ$5,0))))</f>
        <v/>
      </c>
      <c r="BR204" s="175"/>
      <c r="BS204" s="147"/>
    </row>
    <row r="205">
      <c r="G205" s="11"/>
      <c r="H205" s="8">
        <v>199.0</v>
      </c>
      <c r="I205" s="165" t="str">
        <f t="shared" si="6"/>
        <v>PTBL3</v>
      </c>
      <c r="J205" s="166" t="str">
        <f>(VLOOKUP($I205,Capa!$A:$B,2,0))</f>
        <v>PBG SA</v>
      </c>
      <c r="K205" s="167" t="str">
        <f>VLOOKUP(left(I205,4),Setor!A:D,3,0)&amp;" | "&amp;VLOOKUP(left(I205,4),Setor!A:D,4,0)</f>
        <v>Bens Industriais | Construção e Engenharia</v>
      </c>
      <c r="L205" s="168">
        <f>(VLOOKUP($I205,Capa!$A:$F,6,0))</f>
        <v>3.26</v>
      </c>
      <c r="M205" s="168">
        <f t="shared" si="7"/>
        <v>887835.4</v>
      </c>
      <c r="N205" s="11" t="str">
        <f>IFERROR(__xludf.DUMMYFUNCTION("(VLOOKUP($I205,Capa!$A:$H,7,0))"),"")</f>
        <v/>
      </c>
      <c r="O205" s="169">
        <f>(VLOOKUP($I205,Capa!$A:$H,8,0))</f>
        <v>0.01875</v>
      </c>
      <c r="P205" s="11" t="str">
        <f>IFERROR(__xludf.DUMMYFUNCTION("(VLOOKUP($I205,Capa!$A:$J,10,0))"),"")</f>
        <v/>
      </c>
      <c r="Q205" s="169">
        <f>(VLOOKUP($I205,Capa!$A:$K,11,0))</f>
        <v>-0.1950617284</v>
      </c>
      <c r="R205" s="45" t="str">
        <f>'Dados StatusInvest'!A200</f>
        <v>CTKA4</v>
      </c>
      <c r="S205" s="170">
        <f t="shared" si="8"/>
        <v>1587.0587</v>
      </c>
      <c r="T205" s="171">
        <f>VLOOKUP(R205,'Dados StatusInvest'!A:Z,26,0)</f>
        <v>55933.88</v>
      </c>
      <c r="U205" s="172">
        <f t="shared" ref="U205:AS205" si="207">IF(AT205="","", RANK(AT205,AT$7:AT$626,0)+RANK(AT205,AT$7:AT$626,0)/10000)</f>
        <v>320.032</v>
      </c>
      <c r="V205" s="172">
        <f t="shared" si="207"/>
        <v>267.0267</v>
      </c>
      <c r="W205" s="172" t="str">
        <f t="shared" si="207"/>
        <v/>
      </c>
      <c r="X205" s="172" t="str">
        <f t="shared" si="207"/>
        <v/>
      </c>
      <c r="Y205" s="172" t="str">
        <f t="shared" si="207"/>
        <v/>
      </c>
      <c r="Z205" s="172" t="str">
        <f t="shared" si="207"/>
        <v/>
      </c>
      <c r="AA205" s="172" t="str">
        <f t="shared" si="207"/>
        <v/>
      </c>
      <c r="AB205" s="172" t="str">
        <f t="shared" si="207"/>
        <v/>
      </c>
      <c r="AC205" s="172" t="str">
        <f t="shared" si="207"/>
        <v/>
      </c>
      <c r="AD205" s="172" t="str">
        <f t="shared" si="207"/>
        <v/>
      </c>
      <c r="AE205" s="172" t="str">
        <f t="shared" si="207"/>
        <v/>
      </c>
      <c r="AF205" s="172" t="str">
        <f t="shared" si="207"/>
        <v/>
      </c>
      <c r="AG205" s="172" t="str">
        <f t="shared" si="207"/>
        <v/>
      </c>
      <c r="AH205" s="172" t="str">
        <f t="shared" si="207"/>
        <v/>
      </c>
      <c r="AI205" s="172" t="str">
        <f t="shared" si="207"/>
        <v/>
      </c>
      <c r="AJ205" s="172" t="str">
        <f t="shared" si="207"/>
        <v/>
      </c>
      <c r="AK205" s="172" t="str">
        <f t="shared" si="207"/>
        <v/>
      </c>
      <c r="AL205" s="172" t="str">
        <f t="shared" si="207"/>
        <v/>
      </c>
      <c r="AM205" s="172" t="str">
        <f t="shared" si="207"/>
        <v/>
      </c>
      <c r="AN205" s="172" t="str">
        <f t="shared" si="207"/>
        <v/>
      </c>
      <c r="AO205" s="172" t="str">
        <f t="shared" si="207"/>
        <v/>
      </c>
      <c r="AP205" s="172" t="str">
        <f t="shared" si="207"/>
        <v/>
      </c>
      <c r="AQ205" s="172" t="str">
        <f t="shared" si="207"/>
        <v/>
      </c>
      <c r="AR205" s="172" t="str">
        <f t="shared" si="207"/>
        <v/>
      </c>
      <c r="AS205" s="172" t="str">
        <f t="shared" si="207"/>
        <v/>
      </c>
      <c r="AT205" s="173">
        <f>IF(AT$6="","",IF(AT$3="Maior",iferror(VLOOKUP($R205,Capa!$A:$AJ,AT$5,0),0),IF(ISERROR(1/VLOOKUP($R205,Capa!$A:$AJ,AT$5,0)),0,1/VLOOKUP($R205,Capa!$A:$AJ,AT$5,0))))</f>
        <v>-0.784240221</v>
      </c>
      <c r="AU205" s="174">
        <f>IF(AU$6="","",IF(AU$3="Maior",iferror(VLOOKUP($R205,Capa!$A:$AJ,AU$5,0),0),IF(ISERROR(1/VLOOKUP($R205,Capa!$A:$AJ,AU$5,0)),0,1/VLOOKUP($R205,Capa!$A:$AJ,AU$5,0))))</f>
        <v>0</v>
      </c>
      <c r="AV205" s="174" t="str">
        <f>IF(AV$6="","",IF(AV$3="Maior",iferror(VLOOKUP($R205,Capa!$A:$AJ,AV$5,0),0),IF(ISERROR(1/VLOOKUP($R205,Capa!$A:$AJ,AV$5,0)),0,1/VLOOKUP($R205,Capa!$A:$AJ,AV$5,0))))</f>
        <v/>
      </c>
      <c r="AW205" s="174" t="str">
        <f>IF(AW$6="","",IF(AW$3="Maior",iferror(VLOOKUP($R205,Capa!$A:$AJ,AW$5,0),0),IF(ISERROR(1/VLOOKUP($R205,Capa!$A:$AJ,AW$5,0)),0,1/VLOOKUP($R205,Capa!$A:$AJ,AW$5,0))))</f>
        <v/>
      </c>
      <c r="AX205" s="174" t="str">
        <f>IF(AX$6="","",IF(AX$3="Maior",iferror(VLOOKUP($R205,Capa!$A:$AJ,AX$5,0),0),IF(ISERROR(1/VLOOKUP($R205,Capa!$A:$AJ,AX$5,0)),0,1/VLOOKUP($R205,Capa!$A:$AJ,AX$5,0))))</f>
        <v/>
      </c>
      <c r="AY205" s="174" t="str">
        <f>IF(AY$6="","",IF(AY$3="Maior",iferror(VLOOKUP($R205,Capa!$A:$AJ,AY$5,0),0),IF(ISERROR(1/VLOOKUP($R205,Capa!$A:$AJ,AY$5,0)),0,1/VLOOKUP($R205,Capa!$A:$AJ,AY$5,0))))</f>
        <v/>
      </c>
      <c r="AZ205" s="174" t="str">
        <f>IF(AZ$6="","",IF(AZ$3="Maior",iferror(VLOOKUP($R205,Capa!$A:$AJ,AZ$5,0),0),IF(ISERROR(1/VLOOKUP($R205,Capa!$A:$AJ,AZ$5,0)),0,1/VLOOKUP($R205,Capa!$A:$AJ,AZ$5,0))))</f>
        <v/>
      </c>
      <c r="BA205" s="174" t="str">
        <f>IF(BA$6="","",IF(BA$3="Maior",iferror(VLOOKUP($R205,Capa!$A:$AJ,BA$5,0),0),IF(ISERROR(1/VLOOKUP($R205,Capa!$A:$AJ,BA$5,0)),0,1/VLOOKUP($R205,Capa!$A:$AJ,BA$5,0))))</f>
        <v/>
      </c>
      <c r="BB205" s="174" t="str">
        <f>IF(BB$6="","",IF(BB$3="Maior",iferror(VLOOKUP($R205,Capa!$A:$AJ,BB$5,0),0),IF(ISERROR(1/VLOOKUP($R205,Capa!$A:$AJ,BB$5,0)),0,1/VLOOKUP($R205,Capa!$A:$AJ,BB$5,0))))</f>
        <v/>
      </c>
      <c r="BC205" s="174" t="str">
        <f>IF(BC$6="","",IF(BC$3="Maior",iferror(VLOOKUP($R205,Capa!$A:$AJ,BC$5,0),0),IF(ISERROR(1/VLOOKUP($R205,Capa!$A:$AJ,BC$5,0)),0,1/VLOOKUP($R205,Capa!$A:$AJ,BC$5,0))))</f>
        <v/>
      </c>
      <c r="BD205" s="174" t="str">
        <f>IF(BD$6="","",IF(BD$3="Maior",iferror(VLOOKUP($R205,Capa!$A:$AJ,BD$5,0),0),IF(ISERROR(1/VLOOKUP($R205,Capa!$A:$AJ,BD$5,0)),0,1/VLOOKUP($R205,Capa!$A:$AJ,BD$5,0))))</f>
        <v/>
      </c>
      <c r="BE205" s="174" t="str">
        <f>IF(BE$6="","",IF(BE$3="Maior",iferror(VLOOKUP($R205,Capa!$A:$AJ,BE$5,0),0),IF(ISERROR(1/VLOOKUP($R205,Capa!$A:$AJ,BE$5,0)),0,1/VLOOKUP($R205,Capa!$A:$AJ,BE$5,0))))</f>
        <v/>
      </c>
      <c r="BF205" s="174" t="str">
        <f>IF(BF$6="","",IF(BF$3="Maior",iferror(VLOOKUP($R205,Capa!$A:$AJ,BF$5,0),0),IF(ISERROR(1/VLOOKUP($R205,Capa!$A:$AJ,BF$5,0)),0,1/VLOOKUP($R205,Capa!$A:$AJ,BF$5,0))))</f>
        <v/>
      </c>
      <c r="BG205" s="174" t="str">
        <f>IF(BG$6="","",IF(BG$3="Maior",iferror(VLOOKUP($R205,Capa!$A:$AJ,BG$5,0),0),IF(ISERROR(1/VLOOKUP($R205,Capa!$A:$AJ,BG$5,0)),0,1/VLOOKUP($R205,Capa!$A:$AJ,BG$5,0))))</f>
        <v/>
      </c>
      <c r="BH205" s="174" t="str">
        <f>IF(BH$6="","",IF(BH$3="Maior",iferror(VLOOKUP($R205,Capa!$A:$AJ,BH$5,0),0),IF(ISERROR(1/VLOOKUP($R205,Capa!$A:$AJ,BH$5,0)),0,1/VLOOKUP($R205,Capa!$A:$AJ,BH$5,0))))</f>
        <v/>
      </c>
      <c r="BI205" s="174" t="str">
        <f>IF(BI$6="","",IF(BI$3="Maior",iferror(VLOOKUP($R205,Capa!$A:$AJ,BI$5,0),0),IF(ISERROR(1/VLOOKUP($R205,Capa!$A:$AJ,BI$5,0)),0,1/VLOOKUP($R205,Capa!$A:$AJ,BI$5,0))))</f>
        <v/>
      </c>
      <c r="BJ205" s="174" t="str">
        <f>IF(BJ$6="","",IF(BJ$3="Maior",iferror(VLOOKUP($R205,Capa!$A:$AJ,BJ$5,0),0),IF(ISERROR(1/VLOOKUP($R205,Capa!$A:$AJ,BJ$5,0)),0,1/VLOOKUP($R205,Capa!$A:$AJ,BJ$5,0))))</f>
        <v/>
      </c>
      <c r="BK205" s="174" t="str">
        <f>IF(BK$6="","",IF(BK$3="Maior",iferror(VLOOKUP($R205,Capa!$A:$AJ,BK$5,0),0),IF(ISERROR(1/VLOOKUP($R205,Capa!$A:$AJ,BK$5,0)),0,1/VLOOKUP($R205,Capa!$A:$AJ,BK$5,0))))</f>
        <v/>
      </c>
      <c r="BL205" s="174" t="str">
        <f>IF(BL$6="","",IF(BL$3="Maior",iferror(VLOOKUP($R205,Capa!$A:$AJ,BL$5,0),0),IF(ISERROR(1/VLOOKUP($R205,Capa!$A:$AJ,BL$5,0)),0,1/VLOOKUP($R205,Capa!$A:$AJ,BL$5,0))))</f>
        <v/>
      </c>
      <c r="BM205" s="174" t="str">
        <f>IF(BM$6="","",IF(BM$3="Maior",iferror(VLOOKUP($R205,Capa!$A:$AJ,BM$5,0),0),IF(ISERROR(1/VLOOKUP($R205,Capa!$A:$AJ,BM$5,0)),0,1/VLOOKUP($R205,Capa!$A:$AJ,BM$5,0))))</f>
        <v/>
      </c>
      <c r="BN205" s="174" t="str">
        <f>IF(BN$6="","",IF(BN$3="Maior",iferror(VLOOKUP($R205,Capa!$A:$AJ,BN$5,0),0),IF(ISERROR(1/VLOOKUP($R205,Capa!$A:$AJ,BN$5,0)),0,1/VLOOKUP($R205,Capa!$A:$AJ,BN$5,0))))</f>
        <v/>
      </c>
      <c r="BO205" s="174" t="str">
        <f>IF(BO$6="","",IF(BO$3="Maior",iferror(VLOOKUP($R205,Capa!$A:$AJ,BO$5,0),0),IF(ISERROR(1/VLOOKUP($R205,Capa!$A:$AJ,BO$5,0)),0,1/VLOOKUP($R205,Capa!$A:$AJ,BO$5,0))))</f>
        <v/>
      </c>
      <c r="BP205" s="174" t="str">
        <f>IF(BP$6="","",IF(BP$3="Maior",iferror(VLOOKUP($R205,Capa!$A:$AJ,BP$5,0),0),IF(ISERROR(1/VLOOKUP($R205,Capa!$A:$AJ,BP$5,0)),0,1/VLOOKUP($R205,Capa!$A:$AJ,BP$5,0))))</f>
        <v/>
      </c>
      <c r="BQ205" s="174" t="str">
        <f>IF(BQ$6="","",IF(BQ$3="Maior",iferror(VLOOKUP($R205,Capa!$A:$AJ,BQ$5,0),0),IF(ISERROR(1/VLOOKUP($R205,Capa!$A:$AJ,BQ$5,0)),0,1/VLOOKUP($R205,Capa!$A:$AJ,BQ$5,0))))</f>
        <v/>
      </c>
      <c r="BR205" s="175"/>
      <c r="BS205" s="147"/>
    </row>
    <row r="206">
      <c r="G206" s="11"/>
      <c r="H206" s="8">
        <v>200.0</v>
      </c>
      <c r="I206" s="165" t="str">
        <f t="shared" si="6"/>
        <v>PETZ3</v>
      </c>
      <c r="J206" s="166" t="str">
        <f>(VLOOKUP($I206,Capa!$A:$B,2,0))</f>
        <v/>
      </c>
      <c r="K206" s="167" t="str">
        <f>VLOOKUP(left(I206,4),Setor!A:D,3,0)&amp;" | "&amp;VLOOKUP(left(I206,4),Setor!A:D,4,0)</f>
        <v>Consumo Cíclico | Comércio</v>
      </c>
      <c r="L206" s="168" t="str">
        <f>(VLOOKUP($I206,Capa!$A:$F,6,0))</f>
        <v/>
      </c>
      <c r="M206" s="168">
        <f t="shared" si="7"/>
        <v>23680881</v>
      </c>
      <c r="N206" s="11" t="str">
        <f>(VLOOKUP($I206,Capa!$A:$H,7,0))</f>
        <v/>
      </c>
      <c r="O206" s="169" t="str">
        <f>(VLOOKUP($I206,Capa!$A:$H,8,0))</f>
        <v/>
      </c>
      <c r="P206" s="11" t="str">
        <f>(VLOOKUP($I206,Capa!$A:$J,10,0))</f>
        <v/>
      </c>
      <c r="Q206" s="169" t="str">
        <f>(VLOOKUP($I206,Capa!$A:$K,11,0))</f>
        <v/>
      </c>
      <c r="R206" s="45" t="str">
        <f>'Dados StatusInvest'!A201</f>
        <v>CTNM3</v>
      </c>
      <c r="S206" s="170">
        <f t="shared" si="8"/>
        <v>1854.0854</v>
      </c>
      <c r="T206" s="171">
        <f>VLOOKUP(R206,'Dados StatusInvest'!A:Z,26,0)</f>
        <v>0</v>
      </c>
      <c r="U206" s="172">
        <f t="shared" ref="U206:AS206" si="208">IF(AT206="","", RANK(AT206,AT$7:AT$626,0)+RANK(AT206,AT$7:AT$626,0)/10000)</f>
        <v>587.0587</v>
      </c>
      <c r="V206" s="172">
        <f t="shared" si="208"/>
        <v>267.0267</v>
      </c>
      <c r="W206" s="172" t="str">
        <f t="shared" si="208"/>
        <v/>
      </c>
      <c r="X206" s="172" t="str">
        <f t="shared" si="208"/>
        <v/>
      </c>
      <c r="Y206" s="172" t="str">
        <f t="shared" si="208"/>
        <v/>
      </c>
      <c r="Z206" s="172" t="str">
        <f t="shared" si="208"/>
        <v/>
      </c>
      <c r="AA206" s="172" t="str">
        <f t="shared" si="208"/>
        <v/>
      </c>
      <c r="AB206" s="172" t="str">
        <f t="shared" si="208"/>
        <v/>
      </c>
      <c r="AC206" s="172" t="str">
        <f t="shared" si="208"/>
        <v/>
      </c>
      <c r="AD206" s="172" t="str">
        <f t="shared" si="208"/>
        <v/>
      </c>
      <c r="AE206" s="172" t="str">
        <f t="shared" si="208"/>
        <v/>
      </c>
      <c r="AF206" s="172" t="str">
        <f t="shared" si="208"/>
        <v/>
      </c>
      <c r="AG206" s="172" t="str">
        <f t="shared" si="208"/>
        <v/>
      </c>
      <c r="AH206" s="172" t="str">
        <f t="shared" si="208"/>
        <v/>
      </c>
      <c r="AI206" s="172" t="str">
        <f t="shared" si="208"/>
        <v/>
      </c>
      <c r="AJ206" s="172" t="str">
        <f t="shared" si="208"/>
        <v/>
      </c>
      <c r="AK206" s="172" t="str">
        <f t="shared" si="208"/>
        <v/>
      </c>
      <c r="AL206" s="172" t="str">
        <f t="shared" si="208"/>
        <v/>
      </c>
      <c r="AM206" s="172" t="str">
        <f t="shared" si="208"/>
        <v/>
      </c>
      <c r="AN206" s="172" t="str">
        <f t="shared" si="208"/>
        <v/>
      </c>
      <c r="AO206" s="172" t="str">
        <f t="shared" si="208"/>
        <v/>
      </c>
      <c r="AP206" s="172" t="str">
        <f t="shared" si="208"/>
        <v/>
      </c>
      <c r="AQ206" s="172" t="str">
        <f t="shared" si="208"/>
        <v/>
      </c>
      <c r="AR206" s="172" t="str">
        <f t="shared" si="208"/>
        <v/>
      </c>
      <c r="AS206" s="172" t="str">
        <f t="shared" si="208"/>
        <v/>
      </c>
      <c r="AT206" s="173">
        <f>IF(AT$6="","",IF(AT$3="Maior",iferror(VLOOKUP($R206,Capa!$A:$AJ,AT$5,0),0),IF(ISERROR(1/VLOOKUP($R206,Capa!$A:$AJ,AT$5,0)),0,1/VLOOKUP($R206,Capa!$A:$AJ,AT$5,0))))</f>
        <v>-11.11111111</v>
      </c>
      <c r="AU206" s="174">
        <f>IF(AU$6="","",IF(AU$3="Maior",iferror(VLOOKUP($R206,Capa!$A:$AJ,AU$5,0),0),IF(ISERROR(1/VLOOKUP($R206,Capa!$A:$AJ,AU$5,0)),0,1/VLOOKUP($R206,Capa!$A:$AJ,AU$5,0))))</f>
        <v>0</v>
      </c>
      <c r="AV206" s="174" t="str">
        <f>IF(AV$6="","",IF(AV$3="Maior",iferror(VLOOKUP($R206,Capa!$A:$AJ,AV$5,0),0),IF(ISERROR(1/VLOOKUP($R206,Capa!$A:$AJ,AV$5,0)),0,1/VLOOKUP($R206,Capa!$A:$AJ,AV$5,0))))</f>
        <v/>
      </c>
      <c r="AW206" s="174" t="str">
        <f>IF(AW$6="","",IF(AW$3="Maior",iferror(VLOOKUP($R206,Capa!$A:$AJ,AW$5,0),0),IF(ISERROR(1/VLOOKUP($R206,Capa!$A:$AJ,AW$5,0)),0,1/VLOOKUP($R206,Capa!$A:$AJ,AW$5,0))))</f>
        <v/>
      </c>
      <c r="AX206" s="174" t="str">
        <f>IF(AX$6="","",IF(AX$3="Maior",iferror(VLOOKUP($R206,Capa!$A:$AJ,AX$5,0),0),IF(ISERROR(1/VLOOKUP($R206,Capa!$A:$AJ,AX$5,0)),0,1/VLOOKUP($R206,Capa!$A:$AJ,AX$5,0))))</f>
        <v/>
      </c>
      <c r="AY206" s="174" t="str">
        <f>IF(AY$6="","",IF(AY$3="Maior",iferror(VLOOKUP($R206,Capa!$A:$AJ,AY$5,0),0),IF(ISERROR(1/VLOOKUP($R206,Capa!$A:$AJ,AY$5,0)),0,1/VLOOKUP($R206,Capa!$A:$AJ,AY$5,0))))</f>
        <v/>
      </c>
      <c r="AZ206" s="174" t="str">
        <f>IF(AZ$6="","",IF(AZ$3="Maior",iferror(VLOOKUP($R206,Capa!$A:$AJ,AZ$5,0),0),IF(ISERROR(1/VLOOKUP($R206,Capa!$A:$AJ,AZ$5,0)),0,1/VLOOKUP($R206,Capa!$A:$AJ,AZ$5,0))))</f>
        <v/>
      </c>
      <c r="BA206" s="174" t="str">
        <f>IF(BA$6="","",IF(BA$3="Maior",iferror(VLOOKUP($R206,Capa!$A:$AJ,BA$5,0),0),IF(ISERROR(1/VLOOKUP($R206,Capa!$A:$AJ,BA$5,0)),0,1/VLOOKUP($R206,Capa!$A:$AJ,BA$5,0))))</f>
        <v/>
      </c>
      <c r="BB206" s="174" t="str">
        <f>IF(BB$6="","",IF(BB$3="Maior",iferror(VLOOKUP($R206,Capa!$A:$AJ,BB$5,0),0),IF(ISERROR(1/VLOOKUP($R206,Capa!$A:$AJ,BB$5,0)),0,1/VLOOKUP($R206,Capa!$A:$AJ,BB$5,0))))</f>
        <v/>
      </c>
      <c r="BC206" s="174" t="str">
        <f>IF(BC$6="","",IF(BC$3="Maior",iferror(VLOOKUP($R206,Capa!$A:$AJ,BC$5,0),0),IF(ISERROR(1/VLOOKUP($R206,Capa!$A:$AJ,BC$5,0)),0,1/VLOOKUP($R206,Capa!$A:$AJ,BC$5,0))))</f>
        <v/>
      </c>
      <c r="BD206" s="174" t="str">
        <f>IF(BD$6="","",IF(BD$3="Maior",iferror(VLOOKUP($R206,Capa!$A:$AJ,BD$5,0),0),IF(ISERROR(1/VLOOKUP($R206,Capa!$A:$AJ,BD$5,0)),0,1/VLOOKUP($R206,Capa!$A:$AJ,BD$5,0))))</f>
        <v/>
      </c>
      <c r="BE206" s="174" t="str">
        <f>IF(BE$6="","",IF(BE$3="Maior",iferror(VLOOKUP($R206,Capa!$A:$AJ,BE$5,0),0),IF(ISERROR(1/VLOOKUP($R206,Capa!$A:$AJ,BE$5,0)),0,1/VLOOKUP($R206,Capa!$A:$AJ,BE$5,0))))</f>
        <v/>
      </c>
      <c r="BF206" s="174" t="str">
        <f>IF(BF$6="","",IF(BF$3="Maior",iferror(VLOOKUP($R206,Capa!$A:$AJ,BF$5,0),0),IF(ISERROR(1/VLOOKUP($R206,Capa!$A:$AJ,BF$5,0)),0,1/VLOOKUP($R206,Capa!$A:$AJ,BF$5,0))))</f>
        <v/>
      </c>
      <c r="BG206" s="174" t="str">
        <f>IF(BG$6="","",IF(BG$3="Maior",iferror(VLOOKUP($R206,Capa!$A:$AJ,BG$5,0),0),IF(ISERROR(1/VLOOKUP($R206,Capa!$A:$AJ,BG$5,0)),0,1/VLOOKUP($R206,Capa!$A:$AJ,BG$5,0))))</f>
        <v/>
      </c>
      <c r="BH206" s="174" t="str">
        <f>IF(BH$6="","",IF(BH$3="Maior",iferror(VLOOKUP($R206,Capa!$A:$AJ,BH$5,0),0),IF(ISERROR(1/VLOOKUP($R206,Capa!$A:$AJ,BH$5,0)),0,1/VLOOKUP($R206,Capa!$A:$AJ,BH$5,0))))</f>
        <v/>
      </c>
      <c r="BI206" s="174" t="str">
        <f>IF(BI$6="","",IF(BI$3="Maior",iferror(VLOOKUP($R206,Capa!$A:$AJ,BI$5,0),0),IF(ISERROR(1/VLOOKUP($R206,Capa!$A:$AJ,BI$5,0)),0,1/VLOOKUP($R206,Capa!$A:$AJ,BI$5,0))))</f>
        <v/>
      </c>
      <c r="BJ206" s="174" t="str">
        <f>IF(BJ$6="","",IF(BJ$3="Maior",iferror(VLOOKUP($R206,Capa!$A:$AJ,BJ$5,0),0),IF(ISERROR(1/VLOOKUP($R206,Capa!$A:$AJ,BJ$5,0)),0,1/VLOOKUP($R206,Capa!$A:$AJ,BJ$5,0))))</f>
        <v/>
      </c>
      <c r="BK206" s="174" t="str">
        <f>IF(BK$6="","",IF(BK$3="Maior",iferror(VLOOKUP($R206,Capa!$A:$AJ,BK$5,0),0),IF(ISERROR(1/VLOOKUP($R206,Capa!$A:$AJ,BK$5,0)),0,1/VLOOKUP($R206,Capa!$A:$AJ,BK$5,0))))</f>
        <v/>
      </c>
      <c r="BL206" s="174" t="str">
        <f>IF(BL$6="","",IF(BL$3="Maior",iferror(VLOOKUP($R206,Capa!$A:$AJ,BL$5,0),0),IF(ISERROR(1/VLOOKUP($R206,Capa!$A:$AJ,BL$5,0)),0,1/VLOOKUP($R206,Capa!$A:$AJ,BL$5,0))))</f>
        <v/>
      </c>
      <c r="BM206" s="174" t="str">
        <f>IF(BM$6="","",IF(BM$3="Maior",iferror(VLOOKUP($R206,Capa!$A:$AJ,BM$5,0),0),IF(ISERROR(1/VLOOKUP($R206,Capa!$A:$AJ,BM$5,0)),0,1/VLOOKUP($R206,Capa!$A:$AJ,BM$5,0))))</f>
        <v/>
      </c>
      <c r="BN206" s="174" t="str">
        <f>IF(BN$6="","",IF(BN$3="Maior",iferror(VLOOKUP($R206,Capa!$A:$AJ,BN$5,0),0),IF(ISERROR(1/VLOOKUP($R206,Capa!$A:$AJ,BN$5,0)),0,1/VLOOKUP($R206,Capa!$A:$AJ,BN$5,0))))</f>
        <v/>
      </c>
      <c r="BO206" s="174" t="str">
        <f>IF(BO$6="","",IF(BO$3="Maior",iferror(VLOOKUP($R206,Capa!$A:$AJ,BO$5,0),0),IF(ISERROR(1/VLOOKUP($R206,Capa!$A:$AJ,BO$5,0)),0,1/VLOOKUP($R206,Capa!$A:$AJ,BO$5,0))))</f>
        <v/>
      </c>
      <c r="BP206" s="174" t="str">
        <f>IF(BP$6="","",IF(BP$3="Maior",iferror(VLOOKUP($R206,Capa!$A:$AJ,BP$5,0),0),IF(ISERROR(1/VLOOKUP($R206,Capa!$A:$AJ,BP$5,0)),0,1/VLOOKUP($R206,Capa!$A:$AJ,BP$5,0))))</f>
        <v/>
      </c>
      <c r="BQ206" s="174" t="str">
        <f>IF(BQ$6="","",IF(BQ$3="Maior",iferror(VLOOKUP($R206,Capa!$A:$AJ,BQ$5,0),0),IF(ISERROR(1/VLOOKUP($R206,Capa!$A:$AJ,BQ$5,0)),0,1/VLOOKUP($R206,Capa!$A:$AJ,BQ$5,0))))</f>
        <v/>
      </c>
      <c r="BR206" s="175"/>
      <c r="BS206" s="147"/>
    </row>
    <row r="207">
      <c r="G207" s="11"/>
      <c r="H207" s="8">
        <v>201.0</v>
      </c>
      <c r="I207" s="165" t="str">
        <f t="shared" si="6"/>
        <v>JALL3</v>
      </c>
      <c r="J207" s="166" t="str">
        <f>(VLOOKUP($I207,Capa!$A:$B,2,0))</f>
        <v>Jalles Machado SA</v>
      </c>
      <c r="K207" s="167" t="str">
        <f>VLOOKUP(left(I207,4),Setor!A:D,3,0)&amp;" | "&amp;VLOOKUP(left(I207,4),Setor!A:D,4,0)</f>
        <v>#N/A</v>
      </c>
      <c r="L207" s="168">
        <f>(VLOOKUP($I207,Capa!$A:$F,6,0))</f>
        <v>3</v>
      </c>
      <c r="M207" s="168">
        <f t="shared" si="7"/>
        <v>4181944</v>
      </c>
      <c r="N207" s="11" t="str">
        <f>IFERROR(__xludf.DUMMYFUNCTION("(VLOOKUP($I207,Capa!$A:$H,7,0))"),"")</f>
        <v/>
      </c>
      <c r="O207" s="169">
        <f>(VLOOKUP($I207,Capa!$A:$H,8,0))</f>
        <v>0.02739726027</v>
      </c>
      <c r="P207" s="11" t="str">
        <f>IFERROR(__xludf.DUMMYFUNCTION("(VLOOKUP($I207,Capa!$A:$J,10,0))"),"")</f>
        <v/>
      </c>
      <c r="Q207" s="169">
        <f>(VLOOKUP($I207,Capa!$A:$K,11,0))</f>
        <v>-0.3377483444</v>
      </c>
      <c r="R207" s="45" t="str">
        <f>'Dados StatusInvest'!A202</f>
        <v>CTNM4</v>
      </c>
      <c r="S207" s="170">
        <f t="shared" si="8"/>
        <v>1884.0884</v>
      </c>
      <c r="T207" s="171">
        <f>VLOOKUP(R207,'Dados StatusInvest'!A:Z,26,0)</f>
        <v>0</v>
      </c>
      <c r="U207" s="172">
        <f t="shared" ref="U207:AS207" si="209">IF(AT207="","", RANK(AT207,AT$7:AT$626,0)+RANK(AT207,AT$7:AT$626,0)/10000)</f>
        <v>617.0617</v>
      </c>
      <c r="V207" s="172">
        <f t="shared" si="209"/>
        <v>267.0267</v>
      </c>
      <c r="W207" s="172" t="str">
        <f t="shared" si="209"/>
        <v/>
      </c>
      <c r="X207" s="172" t="str">
        <f t="shared" si="209"/>
        <v/>
      </c>
      <c r="Y207" s="172" t="str">
        <f t="shared" si="209"/>
        <v/>
      </c>
      <c r="Z207" s="172" t="str">
        <f t="shared" si="209"/>
        <v/>
      </c>
      <c r="AA207" s="172" t="str">
        <f t="shared" si="209"/>
        <v/>
      </c>
      <c r="AB207" s="172" t="str">
        <f t="shared" si="209"/>
        <v/>
      </c>
      <c r="AC207" s="172" t="str">
        <f t="shared" si="209"/>
        <v/>
      </c>
      <c r="AD207" s="172" t="str">
        <f t="shared" si="209"/>
        <v/>
      </c>
      <c r="AE207" s="172" t="str">
        <f t="shared" si="209"/>
        <v/>
      </c>
      <c r="AF207" s="172" t="str">
        <f t="shared" si="209"/>
        <v/>
      </c>
      <c r="AG207" s="172" t="str">
        <f t="shared" si="209"/>
        <v/>
      </c>
      <c r="AH207" s="172" t="str">
        <f t="shared" si="209"/>
        <v/>
      </c>
      <c r="AI207" s="172" t="str">
        <f t="shared" si="209"/>
        <v/>
      </c>
      <c r="AJ207" s="172" t="str">
        <f t="shared" si="209"/>
        <v/>
      </c>
      <c r="AK207" s="172" t="str">
        <f t="shared" si="209"/>
        <v/>
      </c>
      <c r="AL207" s="172" t="str">
        <f t="shared" si="209"/>
        <v/>
      </c>
      <c r="AM207" s="172" t="str">
        <f t="shared" si="209"/>
        <v/>
      </c>
      <c r="AN207" s="172" t="str">
        <f t="shared" si="209"/>
        <v/>
      </c>
      <c r="AO207" s="172" t="str">
        <f t="shared" si="209"/>
        <v/>
      </c>
      <c r="AP207" s="172" t="str">
        <f t="shared" si="209"/>
        <v/>
      </c>
      <c r="AQ207" s="172" t="str">
        <f t="shared" si="209"/>
        <v/>
      </c>
      <c r="AR207" s="172" t="str">
        <f t="shared" si="209"/>
        <v/>
      </c>
      <c r="AS207" s="172" t="str">
        <f t="shared" si="209"/>
        <v/>
      </c>
      <c r="AT207" s="173">
        <f>IF(AT$6="","",IF(AT$3="Maior",iferror(VLOOKUP($R207,Capa!$A:$AJ,AT$5,0),0),IF(ISERROR(1/VLOOKUP($R207,Capa!$A:$AJ,AT$5,0)),0,1/VLOOKUP($R207,Capa!$A:$AJ,AT$5,0))))</f>
        <v>-100</v>
      </c>
      <c r="AU207" s="174">
        <f>IF(AU$6="","",IF(AU$3="Maior",iferror(VLOOKUP($R207,Capa!$A:$AJ,AU$5,0),0),IF(ISERROR(1/VLOOKUP($R207,Capa!$A:$AJ,AU$5,0)),0,1/VLOOKUP($R207,Capa!$A:$AJ,AU$5,0))))</f>
        <v>0</v>
      </c>
      <c r="AV207" s="174" t="str">
        <f>IF(AV$6="","",IF(AV$3="Maior",iferror(VLOOKUP($R207,Capa!$A:$AJ,AV$5,0),0),IF(ISERROR(1/VLOOKUP($R207,Capa!$A:$AJ,AV$5,0)),0,1/VLOOKUP($R207,Capa!$A:$AJ,AV$5,0))))</f>
        <v/>
      </c>
      <c r="AW207" s="174" t="str">
        <f>IF(AW$6="","",IF(AW$3="Maior",iferror(VLOOKUP($R207,Capa!$A:$AJ,AW$5,0),0),IF(ISERROR(1/VLOOKUP($R207,Capa!$A:$AJ,AW$5,0)),0,1/VLOOKUP($R207,Capa!$A:$AJ,AW$5,0))))</f>
        <v/>
      </c>
      <c r="AX207" s="174" t="str">
        <f>IF(AX$6="","",IF(AX$3="Maior",iferror(VLOOKUP($R207,Capa!$A:$AJ,AX$5,0),0),IF(ISERROR(1/VLOOKUP($R207,Capa!$A:$AJ,AX$5,0)),0,1/VLOOKUP($R207,Capa!$A:$AJ,AX$5,0))))</f>
        <v/>
      </c>
      <c r="AY207" s="174" t="str">
        <f>IF(AY$6="","",IF(AY$3="Maior",iferror(VLOOKUP($R207,Capa!$A:$AJ,AY$5,0),0),IF(ISERROR(1/VLOOKUP($R207,Capa!$A:$AJ,AY$5,0)),0,1/VLOOKUP($R207,Capa!$A:$AJ,AY$5,0))))</f>
        <v/>
      </c>
      <c r="AZ207" s="174" t="str">
        <f>IF(AZ$6="","",IF(AZ$3="Maior",iferror(VLOOKUP($R207,Capa!$A:$AJ,AZ$5,0),0),IF(ISERROR(1/VLOOKUP($R207,Capa!$A:$AJ,AZ$5,0)),0,1/VLOOKUP($R207,Capa!$A:$AJ,AZ$5,0))))</f>
        <v/>
      </c>
      <c r="BA207" s="174" t="str">
        <f>IF(BA$6="","",IF(BA$3="Maior",iferror(VLOOKUP($R207,Capa!$A:$AJ,BA$5,0),0),IF(ISERROR(1/VLOOKUP($R207,Capa!$A:$AJ,BA$5,0)),0,1/VLOOKUP($R207,Capa!$A:$AJ,BA$5,0))))</f>
        <v/>
      </c>
      <c r="BB207" s="174" t="str">
        <f>IF(BB$6="","",IF(BB$3="Maior",iferror(VLOOKUP($R207,Capa!$A:$AJ,BB$5,0),0),IF(ISERROR(1/VLOOKUP($R207,Capa!$A:$AJ,BB$5,0)),0,1/VLOOKUP($R207,Capa!$A:$AJ,BB$5,0))))</f>
        <v/>
      </c>
      <c r="BC207" s="174" t="str">
        <f>IF(BC$6="","",IF(BC$3="Maior",iferror(VLOOKUP($R207,Capa!$A:$AJ,BC$5,0),0),IF(ISERROR(1/VLOOKUP($R207,Capa!$A:$AJ,BC$5,0)),0,1/VLOOKUP($R207,Capa!$A:$AJ,BC$5,0))))</f>
        <v/>
      </c>
      <c r="BD207" s="174" t="str">
        <f>IF(BD$6="","",IF(BD$3="Maior",iferror(VLOOKUP($R207,Capa!$A:$AJ,BD$5,0),0),IF(ISERROR(1/VLOOKUP($R207,Capa!$A:$AJ,BD$5,0)),0,1/VLOOKUP($R207,Capa!$A:$AJ,BD$5,0))))</f>
        <v/>
      </c>
      <c r="BE207" s="174" t="str">
        <f>IF(BE$6="","",IF(BE$3="Maior",iferror(VLOOKUP($R207,Capa!$A:$AJ,BE$5,0),0),IF(ISERROR(1/VLOOKUP($R207,Capa!$A:$AJ,BE$5,0)),0,1/VLOOKUP($R207,Capa!$A:$AJ,BE$5,0))))</f>
        <v/>
      </c>
      <c r="BF207" s="174" t="str">
        <f>IF(BF$6="","",IF(BF$3="Maior",iferror(VLOOKUP($R207,Capa!$A:$AJ,BF$5,0),0),IF(ISERROR(1/VLOOKUP($R207,Capa!$A:$AJ,BF$5,0)),0,1/VLOOKUP($R207,Capa!$A:$AJ,BF$5,0))))</f>
        <v/>
      </c>
      <c r="BG207" s="174" t="str">
        <f>IF(BG$6="","",IF(BG$3="Maior",iferror(VLOOKUP($R207,Capa!$A:$AJ,BG$5,0),0),IF(ISERROR(1/VLOOKUP($R207,Capa!$A:$AJ,BG$5,0)),0,1/VLOOKUP($R207,Capa!$A:$AJ,BG$5,0))))</f>
        <v/>
      </c>
      <c r="BH207" s="174" t="str">
        <f>IF(BH$6="","",IF(BH$3="Maior",iferror(VLOOKUP($R207,Capa!$A:$AJ,BH$5,0),0),IF(ISERROR(1/VLOOKUP($R207,Capa!$A:$AJ,BH$5,0)),0,1/VLOOKUP($R207,Capa!$A:$AJ,BH$5,0))))</f>
        <v/>
      </c>
      <c r="BI207" s="174" t="str">
        <f>IF(BI$6="","",IF(BI$3="Maior",iferror(VLOOKUP($R207,Capa!$A:$AJ,BI$5,0),0),IF(ISERROR(1/VLOOKUP($R207,Capa!$A:$AJ,BI$5,0)),0,1/VLOOKUP($R207,Capa!$A:$AJ,BI$5,0))))</f>
        <v/>
      </c>
      <c r="BJ207" s="174" t="str">
        <f>IF(BJ$6="","",IF(BJ$3="Maior",iferror(VLOOKUP($R207,Capa!$A:$AJ,BJ$5,0),0),IF(ISERROR(1/VLOOKUP($R207,Capa!$A:$AJ,BJ$5,0)),0,1/VLOOKUP($R207,Capa!$A:$AJ,BJ$5,0))))</f>
        <v/>
      </c>
      <c r="BK207" s="174" t="str">
        <f>IF(BK$6="","",IF(BK$3="Maior",iferror(VLOOKUP($R207,Capa!$A:$AJ,BK$5,0),0),IF(ISERROR(1/VLOOKUP($R207,Capa!$A:$AJ,BK$5,0)),0,1/VLOOKUP($R207,Capa!$A:$AJ,BK$5,0))))</f>
        <v/>
      </c>
      <c r="BL207" s="174" t="str">
        <f>IF(BL$6="","",IF(BL$3="Maior",iferror(VLOOKUP($R207,Capa!$A:$AJ,BL$5,0),0),IF(ISERROR(1/VLOOKUP($R207,Capa!$A:$AJ,BL$5,0)),0,1/VLOOKUP($R207,Capa!$A:$AJ,BL$5,0))))</f>
        <v/>
      </c>
      <c r="BM207" s="174" t="str">
        <f>IF(BM$6="","",IF(BM$3="Maior",iferror(VLOOKUP($R207,Capa!$A:$AJ,BM$5,0),0),IF(ISERROR(1/VLOOKUP($R207,Capa!$A:$AJ,BM$5,0)),0,1/VLOOKUP($R207,Capa!$A:$AJ,BM$5,0))))</f>
        <v/>
      </c>
      <c r="BN207" s="174" t="str">
        <f>IF(BN$6="","",IF(BN$3="Maior",iferror(VLOOKUP($R207,Capa!$A:$AJ,BN$5,0),0),IF(ISERROR(1/VLOOKUP($R207,Capa!$A:$AJ,BN$5,0)),0,1/VLOOKUP($R207,Capa!$A:$AJ,BN$5,0))))</f>
        <v/>
      </c>
      <c r="BO207" s="174" t="str">
        <f>IF(BO$6="","",IF(BO$3="Maior",iferror(VLOOKUP($R207,Capa!$A:$AJ,BO$5,0),0),IF(ISERROR(1/VLOOKUP($R207,Capa!$A:$AJ,BO$5,0)),0,1/VLOOKUP($R207,Capa!$A:$AJ,BO$5,0))))</f>
        <v/>
      </c>
      <c r="BP207" s="174" t="str">
        <f>IF(BP$6="","",IF(BP$3="Maior",iferror(VLOOKUP($R207,Capa!$A:$AJ,BP$5,0),0),IF(ISERROR(1/VLOOKUP($R207,Capa!$A:$AJ,BP$5,0)),0,1/VLOOKUP($R207,Capa!$A:$AJ,BP$5,0))))</f>
        <v/>
      </c>
      <c r="BQ207" s="174" t="str">
        <f>IF(BQ$6="","",IF(BQ$3="Maior",iferror(VLOOKUP($R207,Capa!$A:$AJ,BQ$5,0),0),IF(ISERROR(1/VLOOKUP($R207,Capa!$A:$AJ,BQ$5,0)),0,1/VLOOKUP($R207,Capa!$A:$AJ,BQ$5,0))))</f>
        <v/>
      </c>
      <c r="BR207" s="175"/>
      <c r="BS207" s="147"/>
    </row>
    <row r="208">
      <c r="G208" s="11"/>
      <c r="H208" s="8">
        <v>202.0</v>
      </c>
      <c r="I208" s="165" t="str">
        <f t="shared" si="6"/>
        <v>BRSR6</v>
      </c>
      <c r="J208" s="166" t="str">
        <f>(VLOOKUP($I208,Capa!$A:$B,2,0))</f>
        <v>Banco do Estado do Rio Grande do Sul SA Preference Shares Class B</v>
      </c>
      <c r="K208" s="167" t="str">
        <f>VLOOKUP(left(I208,4),Setor!A:D,3,0)&amp;" | "&amp;VLOOKUP(left(I208,4),Setor!A:D,4,0)</f>
        <v>Financeiro | Intermediários Financeiros</v>
      </c>
      <c r="L208" s="168">
        <f>(VLOOKUP($I208,Capa!$A:$F,6,0))</f>
        <v>18.73</v>
      </c>
      <c r="M208" s="168">
        <f t="shared" si="7"/>
        <v>32073916</v>
      </c>
      <c r="N208" s="11" t="str">
        <f>IFERROR(__xludf.DUMMYFUNCTION("(VLOOKUP($I208,Capa!$A:$H,7,0))"),"")</f>
        <v/>
      </c>
      <c r="O208" s="169">
        <f>(VLOOKUP($I208,Capa!$A:$H,8,0))</f>
        <v>0.09404205607</v>
      </c>
      <c r="P208" s="11" t="str">
        <f>IFERROR(__xludf.DUMMYFUNCTION("(VLOOKUP($I208,Capa!$A:$J,10,0))"),"")</f>
        <v/>
      </c>
      <c r="Q208" s="169">
        <f>(VLOOKUP($I208,Capa!$A:$K,11,0))</f>
        <v>0.7753554502</v>
      </c>
      <c r="R208" s="45" t="str">
        <f>'Dados StatusInvest'!A203</f>
        <v>CTSA3</v>
      </c>
      <c r="S208" s="170">
        <f t="shared" si="8"/>
        <v>1874.0874</v>
      </c>
      <c r="T208" s="171">
        <f>VLOOKUP(R208,'Dados StatusInvest'!A:Z,26,0)</f>
        <v>1979.23</v>
      </c>
      <c r="U208" s="172">
        <f t="shared" ref="U208:AS208" si="210">IF(AT208="","", RANK(AT208,AT$7:AT$626,0)+RANK(AT208,AT$7:AT$626,0)/10000)</f>
        <v>607.0607</v>
      </c>
      <c r="V208" s="172">
        <f t="shared" si="210"/>
        <v>267.0267</v>
      </c>
      <c r="W208" s="172" t="str">
        <f t="shared" si="210"/>
        <v/>
      </c>
      <c r="X208" s="172" t="str">
        <f t="shared" si="210"/>
        <v/>
      </c>
      <c r="Y208" s="172" t="str">
        <f t="shared" si="210"/>
        <v/>
      </c>
      <c r="Z208" s="172" t="str">
        <f t="shared" si="210"/>
        <v/>
      </c>
      <c r="AA208" s="172" t="str">
        <f t="shared" si="210"/>
        <v/>
      </c>
      <c r="AB208" s="172" t="str">
        <f t="shared" si="210"/>
        <v/>
      </c>
      <c r="AC208" s="172" t="str">
        <f t="shared" si="210"/>
        <v/>
      </c>
      <c r="AD208" s="172" t="str">
        <f t="shared" si="210"/>
        <v/>
      </c>
      <c r="AE208" s="172" t="str">
        <f t="shared" si="210"/>
        <v/>
      </c>
      <c r="AF208" s="172" t="str">
        <f t="shared" si="210"/>
        <v/>
      </c>
      <c r="AG208" s="172" t="str">
        <f t="shared" si="210"/>
        <v/>
      </c>
      <c r="AH208" s="172" t="str">
        <f t="shared" si="210"/>
        <v/>
      </c>
      <c r="AI208" s="172" t="str">
        <f t="shared" si="210"/>
        <v/>
      </c>
      <c r="AJ208" s="172" t="str">
        <f t="shared" si="210"/>
        <v/>
      </c>
      <c r="AK208" s="172" t="str">
        <f t="shared" si="210"/>
        <v/>
      </c>
      <c r="AL208" s="172" t="str">
        <f t="shared" si="210"/>
        <v/>
      </c>
      <c r="AM208" s="172" t="str">
        <f t="shared" si="210"/>
        <v/>
      </c>
      <c r="AN208" s="172" t="str">
        <f t="shared" si="210"/>
        <v/>
      </c>
      <c r="AO208" s="172" t="str">
        <f t="shared" si="210"/>
        <v/>
      </c>
      <c r="AP208" s="172" t="str">
        <f t="shared" si="210"/>
        <v/>
      </c>
      <c r="AQ208" s="172" t="str">
        <f t="shared" si="210"/>
        <v/>
      </c>
      <c r="AR208" s="172" t="str">
        <f t="shared" si="210"/>
        <v/>
      </c>
      <c r="AS208" s="172" t="str">
        <f t="shared" si="210"/>
        <v/>
      </c>
      <c r="AT208" s="173">
        <f>IF(AT$6="","",IF(AT$3="Maior",iferror(VLOOKUP($R208,Capa!$A:$AJ,AT$5,0),0),IF(ISERROR(1/VLOOKUP($R208,Capa!$A:$AJ,AT$5,0)),0,1/VLOOKUP($R208,Capa!$A:$AJ,AT$5,0))))</f>
        <v>-33.33333333</v>
      </c>
      <c r="AU208" s="174">
        <f>IF(AU$6="","",IF(AU$3="Maior",iferror(VLOOKUP($R208,Capa!$A:$AJ,AU$5,0),0),IF(ISERROR(1/VLOOKUP($R208,Capa!$A:$AJ,AU$5,0)),0,1/VLOOKUP($R208,Capa!$A:$AJ,AU$5,0))))</f>
        <v>0</v>
      </c>
      <c r="AV208" s="174" t="str">
        <f>IF(AV$6="","",IF(AV$3="Maior",iferror(VLOOKUP($R208,Capa!$A:$AJ,AV$5,0),0),IF(ISERROR(1/VLOOKUP($R208,Capa!$A:$AJ,AV$5,0)),0,1/VLOOKUP($R208,Capa!$A:$AJ,AV$5,0))))</f>
        <v/>
      </c>
      <c r="AW208" s="174" t="str">
        <f>IF(AW$6="","",IF(AW$3="Maior",iferror(VLOOKUP($R208,Capa!$A:$AJ,AW$5,0),0),IF(ISERROR(1/VLOOKUP($R208,Capa!$A:$AJ,AW$5,0)),0,1/VLOOKUP($R208,Capa!$A:$AJ,AW$5,0))))</f>
        <v/>
      </c>
      <c r="AX208" s="174" t="str">
        <f>IF(AX$6="","",IF(AX$3="Maior",iferror(VLOOKUP($R208,Capa!$A:$AJ,AX$5,0),0),IF(ISERROR(1/VLOOKUP($R208,Capa!$A:$AJ,AX$5,0)),0,1/VLOOKUP($R208,Capa!$A:$AJ,AX$5,0))))</f>
        <v/>
      </c>
      <c r="AY208" s="174" t="str">
        <f>IF(AY$6="","",IF(AY$3="Maior",iferror(VLOOKUP($R208,Capa!$A:$AJ,AY$5,0),0),IF(ISERROR(1/VLOOKUP($R208,Capa!$A:$AJ,AY$5,0)),0,1/VLOOKUP($R208,Capa!$A:$AJ,AY$5,0))))</f>
        <v/>
      </c>
      <c r="AZ208" s="174" t="str">
        <f>IF(AZ$6="","",IF(AZ$3="Maior",iferror(VLOOKUP($R208,Capa!$A:$AJ,AZ$5,0),0),IF(ISERROR(1/VLOOKUP($R208,Capa!$A:$AJ,AZ$5,0)),0,1/VLOOKUP($R208,Capa!$A:$AJ,AZ$5,0))))</f>
        <v/>
      </c>
      <c r="BA208" s="174" t="str">
        <f>IF(BA$6="","",IF(BA$3="Maior",iferror(VLOOKUP($R208,Capa!$A:$AJ,BA$5,0),0),IF(ISERROR(1/VLOOKUP($R208,Capa!$A:$AJ,BA$5,0)),0,1/VLOOKUP($R208,Capa!$A:$AJ,BA$5,0))))</f>
        <v/>
      </c>
      <c r="BB208" s="174" t="str">
        <f>IF(BB$6="","",IF(BB$3="Maior",iferror(VLOOKUP($R208,Capa!$A:$AJ,BB$5,0),0),IF(ISERROR(1/VLOOKUP($R208,Capa!$A:$AJ,BB$5,0)),0,1/VLOOKUP($R208,Capa!$A:$AJ,BB$5,0))))</f>
        <v/>
      </c>
      <c r="BC208" s="174" t="str">
        <f>IF(BC$6="","",IF(BC$3="Maior",iferror(VLOOKUP($R208,Capa!$A:$AJ,BC$5,0),0),IF(ISERROR(1/VLOOKUP($R208,Capa!$A:$AJ,BC$5,0)),0,1/VLOOKUP($R208,Capa!$A:$AJ,BC$5,0))))</f>
        <v/>
      </c>
      <c r="BD208" s="174" t="str">
        <f>IF(BD$6="","",IF(BD$3="Maior",iferror(VLOOKUP($R208,Capa!$A:$AJ,BD$5,0),0),IF(ISERROR(1/VLOOKUP($R208,Capa!$A:$AJ,BD$5,0)),0,1/VLOOKUP($R208,Capa!$A:$AJ,BD$5,0))))</f>
        <v/>
      </c>
      <c r="BE208" s="174" t="str">
        <f>IF(BE$6="","",IF(BE$3="Maior",iferror(VLOOKUP($R208,Capa!$A:$AJ,BE$5,0),0),IF(ISERROR(1/VLOOKUP($R208,Capa!$A:$AJ,BE$5,0)),0,1/VLOOKUP($R208,Capa!$A:$AJ,BE$5,0))))</f>
        <v/>
      </c>
      <c r="BF208" s="174" t="str">
        <f>IF(BF$6="","",IF(BF$3="Maior",iferror(VLOOKUP($R208,Capa!$A:$AJ,BF$5,0),0),IF(ISERROR(1/VLOOKUP($R208,Capa!$A:$AJ,BF$5,0)),0,1/VLOOKUP($R208,Capa!$A:$AJ,BF$5,0))))</f>
        <v/>
      </c>
      <c r="BG208" s="174" t="str">
        <f>IF(BG$6="","",IF(BG$3="Maior",iferror(VLOOKUP($R208,Capa!$A:$AJ,BG$5,0),0),IF(ISERROR(1/VLOOKUP($R208,Capa!$A:$AJ,BG$5,0)),0,1/VLOOKUP($R208,Capa!$A:$AJ,BG$5,0))))</f>
        <v/>
      </c>
      <c r="BH208" s="174" t="str">
        <f>IF(BH$6="","",IF(BH$3="Maior",iferror(VLOOKUP($R208,Capa!$A:$AJ,BH$5,0),0),IF(ISERROR(1/VLOOKUP($R208,Capa!$A:$AJ,BH$5,0)),0,1/VLOOKUP($R208,Capa!$A:$AJ,BH$5,0))))</f>
        <v/>
      </c>
      <c r="BI208" s="174" t="str">
        <f>IF(BI$6="","",IF(BI$3="Maior",iferror(VLOOKUP($R208,Capa!$A:$AJ,BI$5,0),0),IF(ISERROR(1/VLOOKUP($R208,Capa!$A:$AJ,BI$5,0)),0,1/VLOOKUP($R208,Capa!$A:$AJ,BI$5,0))))</f>
        <v/>
      </c>
      <c r="BJ208" s="174" t="str">
        <f>IF(BJ$6="","",IF(BJ$3="Maior",iferror(VLOOKUP($R208,Capa!$A:$AJ,BJ$5,0),0),IF(ISERROR(1/VLOOKUP($R208,Capa!$A:$AJ,BJ$5,0)),0,1/VLOOKUP($R208,Capa!$A:$AJ,BJ$5,0))))</f>
        <v/>
      </c>
      <c r="BK208" s="174" t="str">
        <f>IF(BK$6="","",IF(BK$3="Maior",iferror(VLOOKUP($R208,Capa!$A:$AJ,BK$5,0),0),IF(ISERROR(1/VLOOKUP($R208,Capa!$A:$AJ,BK$5,0)),0,1/VLOOKUP($R208,Capa!$A:$AJ,BK$5,0))))</f>
        <v/>
      </c>
      <c r="BL208" s="174" t="str">
        <f>IF(BL$6="","",IF(BL$3="Maior",iferror(VLOOKUP($R208,Capa!$A:$AJ,BL$5,0),0),IF(ISERROR(1/VLOOKUP($R208,Capa!$A:$AJ,BL$5,0)),0,1/VLOOKUP($R208,Capa!$A:$AJ,BL$5,0))))</f>
        <v/>
      </c>
      <c r="BM208" s="174" t="str">
        <f>IF(BM$6="","",IF(BM$3="Maior",iferror(VLOOKUP($R208,Capa!$A:$AJ,BM$5,0),0),IF(ISERROR(1/VLOOKUP($R208,Capa!$A:$AJ,BM$5,0)),0,1/VLOOKUP($R208,Capa!$A:$AJ,BM$5,0))))</f>
        <v/>
      </c>
      <c r="BN208" s="174" t="str">
        <f>IF(BN$6="","",IF(BN$3="Maior",iferror(VLOOKUP($R208,Capa!$A:$AJ,BN$5,0),0),IF(ISERROR(1/VLOOKUP($R208,Capa!$A:$AJ,BN$5,0)),0,1/VLOOKUP($R208,Capa!$A:$AJ,BN$5,0))))</f>
        <v/>
      </c>
      <c r="BO208" s="174" t="str">
        <f>IF(BO$6="","",IF(BO$3="Maior",iferror(VLOOKUP($R208,Capa!$A:$AJ,BO$5,0),0),IF(ISERROR(1/VLOOKUP($R208,Capa!$A:$AJ,BO$5,0)),0,1/VLOOKUP($R208,Capa!$A:$AJ,BO$5,0))))</f>
        <v/>
      </c>
      <c r="BP208" s="174" t="str">
        <f>IF(BP$6="","",IF(BP$3="Maior",iferror(VLOOKUP($R208,Capa!$A:$AJ,BP$5,0),0),IF(ISERROR(1/VLOOKUP($R208,Capa!$A:$AJ,BP$5,0)),0,1/VLOOKUP($R208,Capa!$A:$AJ,BP$5,0))))</f>
        <v/>
      </c>
      <c r="BQ208" s="174" t="str">
        <f>IF(BQ$6="","",IF(BQ$3="Maior",iferror(VLOOKUP($R208,Capa!$A:$AJ,BQ$5,0),0),IF(ISERROR(1/VLOOKUP($R208,Capa!$A:$AJ,BQ$5,0)),0,1/VLOOKUP($R208,Capa!$A:$AJ,BQ$5,0))))</f>
        <v/>
      </c>
      <c r="BR208" s="175"/>
      <c r="BS208" s="147"/>
    </row>
    <row r="209">
      <c r="G209" s="11"/>
      <c r="H209" s="8">
        <v>203.0</v>
      </c>
      <c r="I209" s="165" t="str">
        <f t="shared" si="6"/>
        <v>BRKM5</v>
      </c>
      <c r="J209" s="166" t="str">
        <f>(VLOOKUP($I209,Capa!$A:$B,2,0))</f>
        <v>Braskem SA Preference Shares Class A</v>
      </c>
      <c r="K209" s="167" t="str">
        <f>VLOOKUP(left(I209,4),Setor!A:D,3,0)&amp;" | "&amp;VLOOKUP(left(I209,4),Setor!A:D,4,0)</f>
        <v>Materiais Básicos | Químicos</v>
      </c>
      <c r="L209" s="168">
        <f>(VLOOKUP($I209,Capa!$A:$F,6,0))</f>
        <v>9.75</v>
      </c>
      <c r="M209" s="168">
        <f t="shared" si="7"/>
        <v>41769222</v>
      </c>
      <c r="N209" s="11" t="str">
        <f>IFERROR(__xludf.DUMMYFUNCTION("(VLOOKUP($I209,Capa!$A:$H,7,0))"),"")</f>
        <v/>
      </c>
      <c r="O209" s="169">
        <f>(VLOOKUP($I209,Capa!$A:$H,8,0))</f>
        <v>0.148409894</v>
      </c>
      <c r="P209" s="11" t="str">
        <f>IFERROR(__xludf.DUMMYFUNCTION("(VLOOKUP($I209,Capa!$A:$J,10,0))"),"")</f>
        <v/>
      </c>
      <c r="Q209" s="169">
        <f>(VLOOKUP($I209,Capa!$A:$K,11,0))</f>
        <v>-0.2523006135</v>
      </c>
      <c r="R209" s="45" t="str">
        <f>'Dados StatusInvest'!A204</f>
        <v>CTSA4</v>
      </c>
      <c r="S209" s="170">
        <f t="shared" si="8"/>
        <v>1880.088</v>
      </c>
      <c r="T209" s="171">
        <f>VLOOKUP(R209,'Dados StatusInvest'!A:Z,26,0)</f>
        <v>985.47</v>
      </c>
      <c r="U209" s="172">
        <f t="shared" ref="U209:AS209" si="211">IF(AT209="","", RANK(AT209,AT$7:AT$626,0)+RANK(AT209,AT$7:AT$626,0)/10000)</f>
        <v>613.0613</v>
      </c>
      <c r="V209" s="172">
        <f t="shared" si="211"/>
        <v>267.0267</v>
      </c>
      <c r="W209" s="172" t="str">
        <f t="shared" si="211"/>
        <v/>
      </c>
      <c r="X209" s="172" t="str">
        <f t="shared" si="211"/>
        <v/>
      </c>
      <c r="Y209" s="172" t="str">
        <f t="shared" si="211"/>
        <v/>
      </c>
      <c r="Z209" s="172" t="str">
        <f t="shared" si="211"/>
        <v/>
      </c>
      <c r="AA209" s="172" t="str">
        <f t="shared" si="211"/>
        <v/>
      </c>
      <c r="AB209" s="172" t="str">
        <f t="shared" si="211"/>
        <v/>
      </c>
      <c r="AC209" s="172" t="str">
        <f t="shared" si="211"/>
        <v/>
      </c>
      <c r="AD209" s="172" t="str">
        <f t="shared" si="211"/>
        <v/>
      </c>
      <c r="AE209" s="172" t="str">
        <f t="shared" si="211"/>
        <v/>
      </c>
      <c r="AF209" s="172" t="str">
        <f t="shared" si="211"/>
        <v/>
      </c>
      <c r="AG209" s="172" t="str">
        <f t="shared" si="211"/>
        <v/>
      </c>
      <c r="AH209" s="172" t="str">
        <f t="shared" si="211"/>
        <v/>
      </c>
      <c r="AI209" s="172" t="str">
        <f t="shared" si="211"/>
        <v/>
      </c>
      <c r="AJ209" s="172" t="str">
        <f t="shared" si="211"/>
        <v/>
      </c>
      <c r="AK209" s="172" t="str">
        <f t="shared" si="211"/>
        <v/>
      </c>
      <c r="AL209" s="172" t="str">
        <f t="shared" si="211"/>
        <v/>
      </c>
      <c r="AM209" s="172" t="str">
        <f t="shared" si="211"/>
        <v/>
      </c>
      <c r="AN209" s="172" t="str">
        <f t="shared" si="211"/>
        <v/>
      </c>
      <c r="AO209" s="172" t="str">
        <f t="shared" si="211"/>
        <v/>
      </c>
      <c r="AP209" s="172" t="str">
        <f t="shared" si="211"/>
        <v/>
      </c>
      <c r="AQ209" s="172" t="str">
        <f t="shared" si="211"/>
        <v/>
      </c>
      <c r="AR209" s="172" t="str">
        <f t="shared" si="211"/>
        <v/>
      </c>
      <c r="AS209" s="172" t="str">
        <f t="shared" si="211"/>
        <v/>
      </c>
      <c r="AT209" s="173">
        <f>IF(AT$6="","",IF(AT$3="Maior",iferror(VLOOKUP($R209,Capa!$A:$AJ,AT$5,0),0),IF(ISERROR(1/VLOOKUP($R209,Capa!$A:$AJ,AT$5,0)),0,1/VLOOKUP($R209,Capa!$A:$AJ,AT$5,0))))</f>
        <v>-50</v>
      </c>
      <c r="AU209" s="174">
        <f>IF(AU$6="","",IF(AU$3="Maior",iferror(VLOOKUP($R209,Capa!$A:$AJ,AU$5,0),0),IF(ISERROR(1/VLOOKUP($R209,Capa!$A:$AJ,AU$5,0)),0,1/VLOOKUP($R209,Capa!$A:$AJ,AU$5,0))))</f>
        <v>0</v>
      </c>
      <c r="AV209" s="174" t="str">
        <f>IF(AV$6="","",IF(AV$3="Maior",iferror(VLOOKUP($R209,Capa!$A:$AJ,AV$5,0),0),IF(ISERROR(1/VLOOKUP($R209,Capa!$A:$AJ,AV$5,0)),0,1/VLOOKUP($R209,Capa!$A:$AJ,AV$5,0))))</f>
        <v/>
      </c>
      <c r="AW209" s="174" t="str">
        <f>IF(AW$6="","",IF(AW$3="Maior",iferror(VLOOKUP($R209,Capa!$A:$AJ,AW$5,0),0),IF(ISERROR(1/VLOOKUP($R209,Capa!$A:$AJ,AW$5,0)),0,1/VLOOKUP($R209,Capa!$A:$AJ,AW$5,0))))</f>
        <v/>
      </c>
      <c r="AX209" s="174" t="str">
        <f>IF(AX$6="","",IF(AX$3="Maior",iferror(VLOOKUP($R209,Capa!$A:$AJ,AX$5,0),0),IF(ISERROR(1/VLOOKUP($R209,Capa!$A:$AJ,AX$5,0)),0,1/VLOOKUP($R209,Capa!$A:$AJ,AX$5,0))))</f>
        <v/>
      </c>
      <c r="AY209" s="174" t="str">
        <f>IF(AY$6="","",IF(AY$3="Maior",iferror(VLOOKUP($R209,Capa!$A:$AJ,AY$5,0),0),IF(ISERROR(1/VLOOKUP($R209,Capa!$A:$AJ,AY$5,0)),0,1/VLOOKUP($R209,Capa!$A:$AJ,AY$5,0))))</f>
        <v/>
      </c>
      <c r="AZ209" s="174" t="str">
        <f>IF(AZ$6="","",IF(AZ$3="Maior",iferror(VLOOKUP($R209,Capa!$A:$AJ,AZ$5,0),0),IF(ISERROR(1/VLOOKUP($R209,Capa!$A:$AJ,AZ$5,0)),0,1/VLOOKUP($R209,Capa!$A:$AJ,AZ$5,0))))</f>
        <v/>
      </c>
      <c r="BA209" s="174" t="str">
        <f>IF(BA$6="","",IF(BA$3="Maior",iferror(VLOOKUP($R209,Capa!$A:$AJ,BA$5,0),0),IF(ISERROR(1/VLOOKUP($R209,Capa!$A:$AJ,BA$5,0)),0,1/VLOOKUP($R209,Capa!$A:$AJ,BA$5,0))))</f>
        <v/>
      </c>
      <c r="BB209" s="174" t="str">
        <f>IF(BB$6="","",IF(BB$3="Maior",iferror(VLOOKUP($R209,Capa!$A:$AJ,BB$5,0),0),IF(ISERROR(1/VLOOKUP($R209,Capa!$A:$AJ,BB$5,0)),0,1/VLOOKUP($R209,Capa!$A:$AJ,BB$5,0))))</f>
        <v/>
      </c>
      <c r="BC209" s="174" t="str">
        <f>IF(BC$6="","",IF(BC$3="Maior",iferror(VLOOKUP($R209,Capa!$A:$AJ,BC$5,0),0),IF(ISERROR(1/VLOOKUP($R209,Capa!$A:$AJ,BC$5,0)),0,1/VLOOKUP($R209,Capa!$A:$AJ,BC$5,0))))</f>
        <v/>
      </c>
      <c r="BD209" s="174" t="str">
        <f>IF(BD$6="","",IF(BD$3="Maior",iferror(VLOOKUP($R209,Capa!$A:$AJ,BD$5,0),0),IF(ISERROR(1/VLOOKUP($R209,Capa!$A:$AJ,BD$5,0)),0,1/VLOOKUP($R209,Capa!$A:$AJ,BD$5,0))))</f>
        <v/>
      </c>
      <c r="BE209" s="174" t="str">
        <f>IF(BE$6="","",IF(BE$3="Maior",iferror(VLOOKUP($R209,Capa!$A:$AJ,BE$5,0),0),IF(ISERROR(1/VLOOKUP($R209,Capa!$A:$AJ,BE$5,0)),0,1/VLOOKUP($R209,Capa!$A:$AJ,BE$5,0))))</f>
        <v/>
      </c>
      <c r="BF209" s="174" t="str">
        <f>IF(BF$6="","",IF(BF$3="Maior",iferror(VLOOKUP($R209,Capa!$A:$AJ,BF$5,0),0),IF(ISERROR(1/VLOOKUP($R209,Capa!$A:$AJ,BF$5,0)),0,1/VLOOKUP($R209,Capa!$A:$AJ,BF$5,0))))</f>
        <v/>
      </c>
      <c r="BG209" s="174" t="str">
        <f>IF(BG$6="","",IF(BG$3="Maior",iferror(VLOOKUP($R209,Capa!$A:$AJ,BG$5,0),0),IF(ISERROR(1/VLOOKUP($R209,Capa!$A:$AJ,BG$5,0)),0,1/VLOOKUP($R209,Capa!$A:$AJ,BG$5,0))))</f>
        <v/>
      </c>
      <c r="BH209" s="174" t="str">
        <f>IF(BH$6="","",IF(BH$3="Maior",iferror(VLOOKUP($R209,Capa!$A:$AJ,BH$5,0),0),IF(ISERROR(1/VLOOKUP($R209,Capa!$A:$AJ,BH$5,0)),0,1/VLOOKUP($R209,Capa!$A:$AJ,BH$5,0))))</f>
        <v/>
      </c>
      <c r="BI209" s="174" t="str">
        <f>IF(BI$6="","",IF(BI$3="Maior",iferror(VLOOKUP($R209,Capa!$A:$AJ,BI$5,0),0),IF(ISERROR(1/VLOOKUP($R209,Capa!$A:$AJ,BI$5,0)),0,1/VLOOKUP($R209,Capa!$A:$AJ,BI$5,0))))</f>
        <v/>
      </c>
      <c r="BJ209" s="174" t="str">
        <f>IF(BJ$6="","",IF(BJ$3="Maior",iferror(VLOOKUP($R209,Capa!$A:$AJ,BJ$5,0),0),IF(ISERROR(1/VLOOKUP($R209,Capa!$A:$AJ,BJ$5,0)),0,1/VLOOKUP($R209,Capa!$A:$AJ,BJ$5,0))))</f>
        <v/>
      </c>
      <c r="BK209" s="174" t="str">
        <f>IF(BK$6="","",IF(BK$3="Maior",iferror(VLOOKUP($R209,Capa!$A:$AJ,BK$5,0),0),IF(ISERROR(1/VLOOKUP($R209,Capa!$A:$AJ,BK$5,0)),0,1/VLOOKUP($R209,Capa!$A:$AJ,BK$5,0))))</f>
        <v/>
      </c>
      <c r="BL209" s="174" t="str">
        <f>IF(BL$6="","",IF(BL$3="Maior",iferror(VLOOKUP($R209,Capa!$A:$AJ,BL$5,0),0),IF(ISERROR(1/VLOOKUP($R209,Capa!$A:$AJ,BL$5,0)),0,1/VLOOKUP($R209,Capa!$A:$AJ,BL$5,0))))</f>
        <v/>
      </c>
      <c r="BM209" s="174" t="str">
        <f>IF(BM$6="","",IF(BM$3="Maior",iferror(VLOOKUP($R209,Capa!$A:$AJ,BM$5,0),0),IF(ISERROR(1/VLOOKUP($R209,Capa!$A:$AJ,BM$5,0)),0,1/VLOOKUP($R209,Capa!$A:$AJ,BM$5,0))))</f>
        <v/>
      </c>
      <c r="BN209" s="174" t="str">
        <f>IF(BN$6="","",IF(BN$3="Maior",iferror(VLOOKUP($R209,Capa!$A:$AJ,BN$5,0),0),IF(ISERROR(1/VLOOKUP($R209,Capa!$A:$AJ,BN$5,0)),0,1/VLOOKUP($R209,Capa!$A:$AJ,BN$5,0))))</f>
        <v/>
      </c>
      <c r="BO209" s="174" t="str">
        <f>IF(BO$6="","",IF(BO$3="Maior",iferror(VLOOKUP($R209,Capa!$A:$AJ,BO$5,0),0),IF(ISERROR(1/VLOOKUP($R209,Capa!$A:$AJ,BO$5,0)),0,1/VLOOKUP($R209,Capa!$A:$AJ,BO$5,0))))</f>
        <v/>
      </c>
      <c r="BP209" s="174" t="str">
        <f>IF(BP$6="","",IF(BP$3="Maior",iferror(VLOOKUP($R209,Capa!$A:$AJ,BP$5,0),0),IF(ISERROR(1/VLOOKUP($R209,Capa!$A:$AJ,BP$5,0)),0,1/VLOOKUP($R209,Capa!$A:$AJ,BP$5,0))))</f>
        <v/>
      </c>
      <c r="BQ209" s="174" t="str">
        <f>IF(BQ$6="","",IF(BQ$3="Maior",iferror(VLOOKUP($R209,Capa!$A:$AJ,BQ$5,0),0),IF(ISERROR(1/VLOOKUP($R209,Capa!$A:$AJ,BQ$5,0)),0,1/VLOOKUP($R209,Capa!$A:$AJ,BQ$5,0))))</f>
        <v/>
      </c>
      <c r="BR209" s="175"/>
      <c r="BS209" s="147"/>
    </row>
    <row r="210">
      <c r="G210" s="11"/>
      <c r="H210" s="8">
        <v>204.0</v>
      </c>
      <c r="I210" s="165" t="str">
        <f t="shared" si="6"/>
        <v>BHIA3</v>
      </c>
      <c r="J210" s="166" t="str">
        <f>(VLOOKUP($I210,Capa!$A:$B,2,0))</f>
        <v>Grupo Casas Bahia SA</v>
      </c>
      <c r="K210" s="167" t="str">
        <f>VLOOKUP(left(I210,4),Setor!A:D,3,0)&amp;" | "&amp;VLOOKUP(left(I210,4),Setor!A:D,4,0)</f>
        <v>#N/A</v>
      </c>
      <c r="L210" s="168">
        <f>(VLOOKUP($I210,Capa!$A:$F,6,0))</f>
        <v>3.01</v>
      </c>
      <c r="M210" s="168">
        <f t="shared" si="7"/>
        <v>12991516</v>
      </c>
      <c r="N210" s="11" t="str">
        <f>IFERROR(__xludf.DUMMYFUNCTION("(VLOOKUP($I210,Capa!$A:$H,7,0))"),"")</f>
        <v/>
      </c>
      <c r="O210" s="169">
        <f>(VLOOKUP($I210,Capa!$A:$H,8,0))</f>
        <v>0.02380952381</v>
      </c>
      <c r="P210" s="11" t="str">
        <f>IFERROR(__xludf.DUMMYFUNCTION("(VLOOKUP($I210,Capa!$A:$J,10,0))"),"")</f>
        <v/>
      </c>
      <c r="Q210" s="169">
        <f>(VLOOKUP($I210,Capa!$A:$K,11,0))</f>
        <v>-0.04140127389</v>
      </c>
      <c r="R210" s="45" t="str">
        <f>'Dados StatusInvest'!A205</f>
        <v>CTSA8</v>
      </c>
      <c r="S210" s="170">
        <f t="shared" si="8"/>
        <v>1318.0318</v>
      </c>
      <c r="T210" s="171">
        <f>VLOOKUP(R210,'Dados StatusInvest'!A:Z,26,0)</f>
        <v>0</v>
      </c>
      <c r="U210" s="172">
        <f t="shared" ref="U210:AS210" si="212">IF(AT210="","", RANK(AT210,AT$7:AT$626,0)+RANK(AT210,AT$7:AT$626,0)/10000)</f>
        <v>51.0051</v>
      </c>
      <c r="V210" s="172">
        <f t="shared" si="212"/>
        <v>267.0267</v>
      </c>
      <c r="W210" s="172" t="str">
        <f t="shared" si="212"/>
        <v/>
      </c>
      <c r="X210" s="172" t="str">
        <f t="shared" si="212"/>
        <v/>
      </c>
      <c r="Y210" s="172" t="str">
        <f t="shared" si="212"/>
        <v/>
      </c>
      <c r="Z210" s="172" t="str">
        <f t="shared" si="212"/>
        <v/>
      </c>
      <c r="AA210" s="172" t="str">
        <f t="shared" si="212"/>
        <v/>
      </c>
      <c r="AB210" s="172" t="str">
        <f t="shared" si="212"/>
        <v/>
      </c>
      <c r="AC210" s="172" t="str">
        <f t="shared" si="212"/>
        <v/>
      </c>
      <c r="AD210" s="172" t="str">
        <f t="shared" si="212"/>
        <v/>
      </c>
      <c r="AE210" s="172" t="str">
        <f t="shared" si="212"/>
        <v/>
      </c>
      <c r="AF210" s="172" t="str">
        <f t="shared" si="212"/>
        <v/>
      </c>
      <c r="AG210" s="172" t="str">
        <f t="shared" si="212"/>
        <v/>
      </c>
      <c r="AH210" s="172" t="str">
        <f t="shared" si="212"/>
        <v/>
      </c>
      <c r="AI210" s="172" t="str">
        <f t="shared" si="212"/>
        <v/>
      </c>
      <c r="AJ210" s="172" t="str">
        <f t="shared" si="212"/>
        <v/>
      </c>
      <c r="AK210" s="172" t="str">
        <f t="shared" si="212"/>
        <v/>
      </c>
      <c r="AL210" s="172" t="str">
        <f t="shared" si="212"/>
        <v/>
      </c>
      <c r="AM210" s="172" t="str">
        <f t="shared" si="212"/>
        <v/>
      </c>
      <c r="AN210" s="172" t="str">
        <f t="shared" si="212"/>
        <v/>
      </c>
      <c r="AO210" s="172" t="str">
        <f t="shared" si="212"/>
        <v/>
      </c>
      <c r="AP210" s="172" t="str">
        <f t="shared" si="212"/>
        <v/>
      </c>
      <c r="AQ210" s="172" t="str">
        <f t="shared" si="212"/>
        <v/>
      </c>
      <c r="AR210" s="172" t="str">
        <f t="shared" si="212"/>
        <v/>
      </c>
      <c r="AS210" s="172" t="str">
        <f t="shared" si="212"/>
        <v/>
      </c>
      <c r="AT210" s="173">
        <f>IF(AT$6="","",IF(AT$3="Maior",iferror(VLOOKUP($R210,Capa!$A:$AJ,AT$5,0),0),IF(ISERROR(1/VLOOKUP($R210,Capa!$A:$AJ,AT$5,0)),0,1/VLOOKUP($R210,Capa!$A:$AJ,AT$5,0))))</f>
        <v>0</v>
      </c>
      <c r="AU210" s="174">
        <f>IF(AU$6="","",IF(AU$3="Maior",iferror(VLOOKUP($R210,Capa!$A:$AJ,AU$5,0),0),IF(ISERROR(1/VLOOKUP($R210,Capa!$A:$AJ,AU$5,0)),0,1/VLOOKUP($R210,Capa!$A:$AJ,AU$5,0))))</f>
        <v>0</v>
      </c>
      <c r="AV210" s="174" t="str">
        <f>IF(AV$6="","",IF(AV$3="Maior",iferror(VLOOKUP($R210,Capa!$A:$AJ,AV$5,0),0),IF(ISERROR(1/VLOOKUP($R210,Capa!$A:$AJ,AV$5,0)),0,1/VLOOKUP($R210,Capa!$A:$AJ,AV$5,0))))</f>
        <v/>
      </c>
      <c r="AW210" s="174" t="str">
        <f>IF(AW$6="","",IF(AW$3="Maior",iferror(VLOOKUP($R210,Capa!$A:$AJ,AW$5,0),0),IF(ISERROR(1/VLOOKUP($R210,Capa!$A:$AJ,AW$5,0)),0,1/VLOOKUP($R210,Capa!$A:$AJ,AW$5,0))))</f>
        <v/>
      </c>
      <c r="AX210" s="174" t="str">
        <f>IF(AX$6="","",IF(AX$3="Maior",iferror(VLOOKUP($R210,Capa!$A:$AJ,AX$5,0),0),IF(ISERROR(1/VLOOKUP($R210,Capa!$A:$AJ,AX$5,0)),0,1/VLOOKUP($R210,Capa!$A:$AJ,AX$5,0))))</f>
        <v/>
      </c>
      <c r="AY210" s="174" t="str">
        <f>IF(AY$6="","",IF(AY$3="Maior",iferror(VLOOKUP($R210,Capa!$A:$AJ,AY$5,0),0),IF(ISERROR(1/VLOOKUP($R210,Capa!$A:$AJ,AY$5,0)),0,1/VLOOKUP($R210,Capa!$A:$AJ,AY$5,0))))</f>
        <v/>
      </c>
      <c r="AZ210" s="174" t="str">
        <f>IF(AZ$6="","",IF(AZ$3="Maior",iferror(VLOOKUP($R210,Capa!$A:$AJ,AZ$5,0),0),IF(ISERROR(1/VLOOKUP($R210,Capa!$A:$AJ,AZ$5,0)),0,1/VLOOKUP($R210,Capa!$A:$AJ,AZ$5,0))))</f>
        <v/>
      </c>
      <c r="BA210" s="174" t="str">
        <f>IF(BA$6="","",IF(BA$3="Maior",iferror(VLOOKUP($R210,Capa!$A:$AJ,BA$5,0),0),IF(ISERROR(1/VLOOKUP($R210,Capa!$A:$AJ,BA$5,0)),0,1/VLOOKUP($R210,Capa!$A:$AJ,BA$5,0))))</f>
        <v/>
      </c>
      <c r="BB210" s="174" t="str">
        <f>IF(BB$6="","",IF(BB$3="Maior",iferror(VLOOKUP($R210,Capa!$A:$AJ,BB$5,0),0),IF(ISERROR(1/VLOOKUP($R210,Capa!$A:$AJ,BB$5,0)),0,1/VLOOKUP($R210,Capa!$A:$AJ,BB$5,0))))</f>
        <v/>
      </c>
      <c r="BC210" s="174" t="str">
        <f>IF(BC$6="","",IF(BC$3="Maior",iferror(VLOOKUP($R210,Capa!$A:$AJ,BC$5,0),0),IF(ISERROR(1/VLOOKUP($R210,Capa!$A:$AJ,BC$5,0)),0,1/VLOOKUP($R210,Capa!$A:$AJ,BC$5,0))))</f>
        <v/>
      </c>
      <c r="BD210" s="174" t="str">
        <f>IF(BD$6="","",IF(BD$3="Maior",iferror(VLOOKUP($R210,Capa!$A:$AJ,BD$5,0),0),IF(ISERROR(1/VLOOKUP($R210,Capa!$A:$AJ,BD$5,0)),0,1/VLOOKUP($R210,Capa!$A:$AJ,BD$5,0))))</f>
        <v/>
      </c>
      <c r="BE210" s="174" t="str">
        <f>IF(BE$6="","",IF(BE$3="Maior",iferror(VLOOKUP($R210,Capa!$A:$AJ,BE$5,0),0),IF(ISERROR(1/VLOOKUP($R210,Capa!$A:$AJ,BE$5,0)),0,1/VLOOKUP($R210,Capa!$A:$AJ,BE$5,0))))</f>
        <v/>
      </c>
      <c r="BF210" s="174" t="str">
        <f>IF(BF$6="","",IF(BF$3="Maior",iferror(VLOOKUP($R210,Capa!$A:$AJ,BF$5,0),0),IF(ISERROR(1/VLOOKUP($R210,Capa!$A:$AJ,BF$5,0)),0,1/VLOOKUP($R210,Capa!$A:$AJ,BF$5,0))))</f>
        <v/>
      </c>
      <c r="BG210" s="174" t="str">
        <f>IF(BG$6="","",IF(BG$3="Maior",iferror(VLOOKUP($R210,Capa!$A:$AJ,BG$5,0),0),IF(ISERROR(1/VLOOKUP($R210,Capa!$A:$AJ,BG$5,0)),0,1/VLOOKUP($R210,Capa!$A:$AJ,BG$5,0))))</f>
        <v/>
      </c>
      <c r="BH210" s="174" t="str">
        <f>IF(BH$6="","",IF(BH$3="Maior",iferror(VLOOKUP($R210,Capa!$A:$AJ,BH$5,0),0),IF(ISERROR(1/VLOOKUP($R210,Capa!$A:$AJ,BH$5,0)),0,1/VLOOKUP($R210,Capa!$A:$AJ,BH$5,0))))</f>
        <v/>
      </c>
      <c r="BI210" s="174" t="str">
        <f>IF(BI$6="","",IF(BI$3="Maior",iferror(VLOOKUP($R210,Capa!$A:$AJ,BI$5,0),0),IF(ISERROR(1/VLOOKUP($R210,Capa!$A:$AJ,BI$5,0)),0,1/VLOOKUP($R210,Capa!$A:$AJ,BI$5,0))))</f>
        <v/>
      </c>
      <c r="BJ210" s="174" t="str">
        <f>IF(BJ$6="","",IF(BJ$3="Maior",iferror(VLOOKUP($R210,Capa!$A:$AJ,BJ$5,0),0),IF(ISERROR(1/VLOOKUP($R210,Capa!$A:$AJ,BJ$5,0)),0,1/VLOOKUP($R210,Capa!$A:$AJ,BJ$5,0))))</f>
        <v/>
      </c>
      <c r="BK210" s="174" t="str">
        <f>IF(BK$6="","",IF(BK$3="Maior",iferror(VLOOKUP($R210,Capa!$A:$AJ,BK$5,0),0),IF(ISERROR(1/VLOOKUP($R210,Capa!$A:$AJ,BK$5,0)),0,1/VLOOKUP($R210,Capa!$A:$AJ,BK$5,0))))</f>
        <v/>
      </c>
      <c r="BL210" s="174" t="str">
        <f>IF(BL$6="","",IF(BL$3="Maior",iferror(VLOOKUP($R210,Capa!$A:$AJ,BL$5,0),0),IF(ISERROR(1/VLOOKUP($R210,Capa!$A:$AJ,BL$5,0)),0,1/VLOOKUP($R210,Capa!$A:$AJ,BL$5,0))))</f>
        <v/>
      </c>
      <c r="BM210" s="174" t="str">
        <f>IF(BM$6="","",IF(BM$3="Maior",iferror(VLOOKUP($R210,Capa!$A:$AJ,BM$5,0),0),IF(ISERROR(1/VLOOKUP($R210,Capa!$A:$AJ,BM$5,0)),0,1/VLOOKUP($R210,Capa!$A:$AJ,BM$5,0))))</f>
        <v/>
      </c>
      <c r="BN210" s="174" t="str">
        <f>IF(BN$6="","",IF(BN$3="Maior",iferror(VLOOKUP($R210,Capa!$A:$AJ,BN$5,0),0),IF(ISERROR(1/VLOOKUP($R210,Capa!$A:$AJ,BN$5,0)),0,1/VLOOKUP($R210,Capa!$A:$AJ,BN$5,0))))</f>
        <v/>
      </c>
      <c r="BO210" s="174" t="str">
        <f>IF(BO$6="","",IF(BO$3="Maior",iferror(VLOOKUP($R210,Capa!$A:$AJ,BO$5,0),0),IF(ISERROR(1/VLOOKUP($R210,Capa!$A:$AJ,BO$5,0)),0,1/VLOOKUP($R210,Capa!$A:$AJ,BO$5,0))))</f>
        <v/>
      </c>
      <c r="BP210" s="174" t="str">
        <f>IF(BP$6="","",IF(BP$3="Maior",iferror(VLOOKUP($R210,Capa!$A:$AJ,BP$5,0),0),IF(ISERROR(1/VLOOKUP($R210,Capa!$A:$AJ,BP$5,0)),0,1/VLOOKUP($R210,Capa!$A:$AJ,BP$5,0))))</f>
        <v/>
      </c>
      <c r="BQ210" s="174" t="str">
        <f>IF(BQ$6="","",IF(BQ$3="Maior",iferror(VLOOKUP($R210,Capa!$A:$AJ,BQ$5,0),0),IF(ISERROR(1/VLOOKUP($R210,Capa!$A:$AJ,BQ$5,0)),0,1/VLOOKUP($R210,Capa!$A:$AJ,BQ$5,0))))</f>
        <v/>
      </c>
      <c r="BR210" s="175"/>
      <c r="BS210" s="147"/>
    </row>
    <row r="211">
      <c r="G211" s="11"/>
      <c r="H211" s="8">
        <v>205.0</v>
      </c>
      <c r="I211" s="165" t="str">
        <f t="shared" si="6"/>
        <v>AZEV4</v>
      </c>
      <c r="J211" s="166" t="str">
        <f>(VLOOKUP($I211,Capa!$A:$B,2,0))</f>
        <v>Azevedo &amp; Travassos SA Preference Shares</v>
      </c>
      <c r="K211" s="167" t="str">
        <f>VLOOKUP(left(I211,4),Setor!A:D,3,0)&amp;" | "&amp;VLOOKUP(left(I211,4),Setor!A:D,4,0)</f>
        <v>Bens Industriais | Construção e Engenharia</v>
      </c>
      <c r="L211" s="168">
        <f>(VLOOKUP($I211,Capa!$A:$F,6,0))</f>
        <v>0.19</v>
      </c>
      <c r="M211" s="168">
        <f t="shared" si="7"/>
        <v>927072.3</v>
      </c>
      <c r="N211" s="11" t="str">
        <f>IFERROR(__xludf.DUMMYFUNCTION("(VLOOKUP($I211,Capa!$A:$H,7,0))"),"")</f>
        <v/>
      </c>
      <c r="O211" s="169">
        <f>(VLOOKUP($I211,Capa!$A:$H,8,0))</f>
        <v>-0.09523809524</v>
      </c>
      <c r="P211" s="11" t="str">
        <f>IFERROR(__xludf.DUMMYFUNCTION("(VLOOKUP($I211,Capa!$A:$J,10,0))"),"")</f>
        <v/>
      </c>
      <c r="Q211" s="169">
        <f>(VLOOKUP($I211,Capa!$A:$K,11,0))</f>
        <v>-0.7738095238</v>
      </c>
      <c r="R211" s="45" t="str">
        <f>'Dados StatusInvest'!A206</f>
        <v>CURY3</v>
      </c>
      <c r="S211" s="170">
        <f t="shared" si="8"/>
        <v>214.0214</v>
      </c>
      <c r="T211" s="171">
        <f>VLOOKUP(R211,'Dados StatusInvest'!A:Z,26,0)</f>
        <v>116000000</v>
      </c>
      <c r="U211" s="172">
        <f t="shared" ref="U211:AS211" si="213">IF(AT211="","", RANK(AT211,AT$7:AT$626,0)+RANK(AT211,AT$7:AT$626,0)/10000)</f>
        <v>167.0167</v>
      </c>
      <c r="V211" s="172">
        <f t="shared" si="213"/>
        <v>47.0047</v>
      </c>
      <c r="W211" s="172" t="str">
        <f t="shared" si="213"/>
        <v/>
      </c>
      <c r="X211" s="172" t="str">
        <f t="shared" si="213"/>
        <v/>
      </c>
      <c r="Y211" s="172" t="str">
        <f t="shared" si="213"/>
        <v/>
      </c>
      <c r="Z211" s="172" t="str">
        <f t="shared" si="213"/>
        <v/>
      </c>
      <c r="AA211" s="172" t="str">
        <f t="shared" si="213"/>
        <v/>
      </c>
      <c r="AB211" s="172" t="str">
        <f t="shared" si="213"/>
        <v/>
      </c>
      <c r="AC211" s="172" t="str">
        <f t="shared" si="213"/>
        <v/>
      </c>
      <c r="AD211" s="172" t="str">
        <f t="shared" si="213"/>
        <v/>
      </c>
      <c r="AE211" s="172" t="str">
        <f t="shared" si="213"/>
        <v/>
      </c>
      <c r="AF211" s="172" t="str">
        <f t="shared" si="213"/>
        <v/>
      </c>
      <c r="AG211" s="172" t="str">
        <f t="shared" si="213"/>
        <v/>
      </c>
      <c r="AH211" s="172" t="str">
        <f t="shared" si="213"/>
        <v/>
      </c>
      <c r="AI211" s="172" t="str">
        <f t="shared" si="213"/>
        <v/>
      </c>
      <c r="AJ211" s="172" t="str">
        <f t="shared" si="213"/>
        <v/>
      </c>
      <c r="AK211" s="172" t="str">
        <f t="shared" si="213"/>
        <v/>
      </c>
      <c r="AL211" s="172" t="str">
        <f t="shared" si="213"/>
        <v/>
      </c>
      <c r="AM211" s="172" t="str">
        <f t="shared" si="213"/>
        <v/>
      </c>
      <c r="AN211" s="172" t="str">
        <f t="shared" si="213"/>
        <v/>
      </c>
      <c r="AO211" s="172" t="str">
        <f t="shared" si="213"/>
        <v/>
      </c>
      <c r="AP211" s="172" t="str">
        <f t="shared" si="213"/>
        <v/>
      </c>
      <c r="AQ211" s="172" t="str">
        <f t="shared" si="213"/>
        <v/>
      </c>
      <c r="AR211" s="172" t="str">
        <f t="shared" si="213"/>
        <v/>
      </c>
      <c r="AS211" s="172" t="str">
        <f t="shared" si="213"/>
        <v/>
      </c>
      <c r="AT211" s="173">
        <f>IF(AT$6="","",IF(AT$3="Maior",iferror(VLOOKUP($R211,Capa!$A:$AJ,AT$5,0),0),IF(ISERROR(1/VLOOKUP($R211,Capa!$A:$AJ,AT$5,0)),0,1/VLOOKUP($R211,Capa!$A:$AJ,AT$5,0))))</f>
        <v>-0.1726936702</v>
      </c>
      <c r="AU211" s="174">
        <f>IF(AU$6="","",IF(AU$3="Maior",iferror(VLOOKUP($R211,Capa!$A:$AJ,AU$5,0),0),IF(ISERROR(1/VLOOKUP($R211,Capa!$A:$AJ,AU$5,0)),0,1/VLOOKUP($R211,Capa!$A:$AJ,AU$5,0))))</f>
        <v>40.32</v>
      </c>
      <c r="AV211" s="174" t="str">
        <f>IF(AV$6="","",IF(AV$3="Maior",iferror(VLOOKUP($R211,Capa!$A:$AJ,AV$5,0),0),IF(ISERROR(1/VLOOKUP($R211,Capa!$A:$AJ,AV$5,0)),0,1/VLOOKUP($R211,Capa!$A:$AJ,AV$5,0))))</f>
        <v/>
      </c>
      <c r="AW211" s="174" t="str">
        <f>IF(AW$6="","",IF(AW$3="Maior",iferror(VLOOKUP($R211,Capa!$A:$AJ,AW$5,0),0),IF(ISERROR(1/VLOOKUP($R211,Capa!$A:$AJ,AW$5,0)),0,1/VLOOKUP($R211,Capa!$A:$AJ,AW$5,0))))</f>
        <v/>
      </c>
      <c r="AX211" s="174" t="str">
        <f>IF(AX$6="","",IF(AX$3="Maior",iferror(VLOOKUP($R211,Capa!$A:$AJ,AX$5,0),0),IF(ISERROR(1/VLOOKUP($R211,Capa!$A:$AJ,AX$5,0)),0,1/VLOOKUP($R211,Capa!$A:$AJ,AX$5,0))))</f>
        <v/>
      </c>
      <c r="AY211" s="174" t="str">
        <f>IF(AY$6="","",IF(AY$3="Maior",iferror(VLOOKUP($R211,Capa!$A:$AJ,AY$5,0),0),IF(ISERROR(1/VLOOKUP($R211,Capa!$A:$AJ,AY$5,0)),0,1/VLOOKUP($R211,Capa!$A:$AJ,AY$5,0))))</f>
        <v/>
      </c>
      <c r="AZ211" s="174" t="str">
        <f>IF(AZ$6="","",IF(AZ$3="Maior",iferror(VLOOKUP($R211,Capa!$A:$AJ,AZ$5,0),0),IF(ISERROR(1/VLOOKUP($R211,Capa!$A:$AJ,AZ$5,0)),0,1/VLOOKUP($R211,Capa!$A:$AJ,AZ$5,0))))</f>
        <v/>
      </c>
      <c r="BA211" s="174" t="str">
        <f>IF(BA$6="","",IF(BA$3="Maior",iferror(VLOOKUP($R211,Capa!$A:$AJ,BA$5,0),0),IF(ISERROR(1/VLOOKUP($R211,Capa!$A:$AJ,BA$5,0)),0,1/VLOOKUP($R211,Capa!$A:$AJ,BA$5,0))))</f>
        <v/>
      </c>
      <c r="BB211" s="174" t="str">
        <f>IF(BB$6="","",IF(BB$3="Maior",iferror(VLOOKUP($R211,Capa!$A:$AJ,BB$5,0),0),IF(ISERROR(1/VLOOKUP($R211,Capa!$A:$AJ,BB$5,0)),0,1/VLOOKUP($R211,Capa!$A:$AJ,BB$5,0))))</f>
        <v/>
      </c>
      <c r="BC211" s="174" t="str">
        <f>IF(BC$6="","",IF(BC$3="Maior",iferror(VLOOKUP($R211,Capa!$A:$AJ,BC$5,0),0),IF(ISERROR(1/VLOOKUP($R211,Capa!$A:$AJ,BC$5,0)),0,1/VLOOKUP($R211,Capa!$A:$AJ,BC$5,0))))</f>
        <v/>
      </c>
      <c r="BD211" s="174" t="str">
        <f>IF(BD$6="","",IF(BD$3="Maior",iferror(VLOOKUP($R211,Capa!$A:$AJ,BD$5,0),0),IF(ISERROR(1/VLOOKUP($R211,Capa!$A:$AJ,BD$5,0)),0,1/VLOOKUP($R211,Capa!$A:$AJ,BD$5,0))))</f>
        <v/>
      </c>
      <c r="BE211" s="174" t="str">
        <f>IF(BE$6="","",IF(BE$3="Maior",iferror(VLOOKUP($R211,Capa!$A:$AJ,BE$5,0),0),IF(ISERROR(1/VLOOKUP($R211,Capa!$A:$AJ,BE$5,0)),0,1/VLOOKUP($R211,Capa!$A:$AJ,BE$5,0))))</f>
        <v/>
      </c>
      <c r="BF211" s="174" t="str">
        <f>IF(BF$6="","",IF(BF$3="Maior",iferror(VLOOKUP($R211,Capa!$A:$AJ,BF$5,0),0),IF(ISERROR(1/VLOOKUP($R211,Capa!$A:$AJ,BF$5,0)),0,1/VLOOKUP($R211,Capa!$A:$AJ,BF$5,0))))</f>
        <v/>
      </c>
      <c r="BG211" s="174" t="str">
        <f>IF(BG$6="","",IF(BG$3="Maior",iferror(VLOOKUP($R211,Capa!$A:$AJ,BG$5,0),0),IF(ISERROR(1/VLOOKUP($R211,Capa!$A:$AJ,BG$5,0)),0,1/VLOOKUP($R211,Capa!$A:$AJ,BG$5,0))))</f>
        <v/>
      </c>
      <c r="BH211" s="174" t="str">
        <f>IF(BH$6="","",IF(BH$3="Maior",iferror(VLOOKUP($R211,Capa!$A:$AJ,BH$5,0),0),IF(ISERROR(1/VLOOKUP($R211,Capa!$A:$AJ,BH$5,0)),0,1/VLOOKUP($R211,Capa!$A:$AJ,BH$5,0))))</f>
        <v/>
      </c>
      <c r="BI211" s="174" t="str">
        <f>IF(BI$6="","",IF(BI$3="Maior",iferror(VLOOKUP($R211,Capa!$A:$AJ,BI$5,0),0),IF(ISERROR(1/VLOOKUP($R211,Capa!$A:$AJ,BI$5,0)),0,1/VLOOKUP($R211,Capa!$A:$AJ,BI$5,0))))</f>
        <v/>
      </c>
      <c r="BJ211" s="174" t="str">
        <f>IF(BJ$6="","",IF(BJ$3="Maior",iferror(VLOOKUP($R211,Capa!$A:$AJ,BJ$5,0),0),IF(ISERROR(1/VLOOKUP($R211,Capa!$A:$AJ,BJ$5,0)),0,1/VLOOKUP($R211,Capa!$A:$AJ,BJ$5,0))))</f>
        <v/>
      </c>
      <c r="BK211" s="174" t="str">
        <f>IF(BK$6="","",IF(BK$3="Maior",iferror(VLOOKUP($R211,Capa!$A:$AJ,BK$5,0),0),IF(ISERROR(1/VLOOKUP($R211,Capa!$A:$AJ,BK$5,0)),0,1/VLOOKUP($R211,Capa!$A:$AJ,BK$5,0))))</f>
        <v/>
      </c>
      <c r="BL211" s="174" t="str">
        <f>IF(BL$6="","",IF(BL$3="Maior",iferror(VLOOKUP($R211,Capa!$A:$AJ,BL$5,0),0),IF(ISERROR(1/VLOOKUP($R211,Capa!$A:$AJ,BL$5,0)),0,1/VLOOKUP($R211,Capa!$A:$AJ,BL$5,0))))</f>
        <v/>
      </c>
      <c r="BM211" s="174" t="str">
        <f>IF(BM$6="","",IF(BM$3="Maior",iferror(VLOOKUP($R211,Capa!$A:$AJ,BM$5,0),0),IF(ISERROR(1/VLOOKUP($R211,Capa!$A:$AJ,BM$5,0)),0,1/VLOOKUP($R211,Capa!$A:$AJ,BM$5,0))))</f>
        <v/>
      </c>
      <c r="BN211" s="174" t="str">
        <f>IF(BN$6="","",IF(BN$3="Maior",iferror(VLOOKUP($R211,Capa!$A:$AJ,BN$5,0),0),IF(ISERROR(1/VLOOKUP($R211,Capa!$A:$AJ,BN$5,0)),0,1/VLOOKUP($R211,Capa!$A:$AJ,BN$5,0))))</f>
        <v/>
      </c>
      <c r="BO211" s="174" t="str">
        <f>IF(BO$6="","",IF(BO$3="Maior",iferror(VLOOKUP($R211,Capa!$A:$AJ,BO$5,0),0),IF(ISERROR(1/VLOOKUP($R211,Capa!$A:$AJ,BO$5,0)),0,1/VLOOKUP($R211,Capa!$A:$AJ,BO$5,0))))</f>
        <v/>
      </c>
      <c r="BP211" s="174" t="str">
        <f>IF(BP$6="","",IF(BP$3="Maior",iferror(VLOOKUP($R211,Capa!$A:$AJ,BP$5,0),0),IF(ISERROR(1/VLOOKUP($R211,Capa!$A:$AJ,BP$5,0)),0,1/VLOOKUP($R211,Capa!$A:$AJ,BP$5,0))))</f>
        <v/>
      </c>
      <c r="BQ211" s="174" t="str">
        <f>IF(BQ$6="","",IF(BQ$3="Maior",iferror(VLOOKUP($R211,Capa!$A:$AJ,BQ$5,0),0),IF(ISERROR(1/VLOOKUP($R211,Capa!$A:$AJ,BQ$5,0)),0,1/VLOOKUP($R211,Capa!$A:$AJ,BQ$5,0))))</f>
        <v/>
      </c>
      <c r="BR211" s="175"/>
      <c r="BS211" s="147"/>
    </row>
    <row r="212">
      <c r="G212" s="11"/>
      <c r="H212" s="8">
        <v>206.0</v>
      </c>
      <c r="I212" s="165" t="str">
        <f t="shared" si="6"/>
        <v>AMER3</v>
      </c>
      <c r="J212" s="166" t="str">
        <f>(VLOOKUP($I212,Capa!$A:$B,2,0))</f>
        <v>Americanas SA - Em Recuperacao Judicial</v>
      </c>
      <c r="K212" s="167" t="str">
        <f>VLOOKUP(left(I212,4),Setor!A:D,3,0)&amp;" | "&amp;VLOOKUP(left(I212,4),Setor!A:D,4,0)</f>
        <v>#N/A</v>
      </c>
      <c r="L212" s="168">
        <f>(VLOOKUP($I212,Capa!$A:$F,6,0))</f>
        <v>5.61</v>
      </c>
      <c r="M212" s="168">
        <f t="shared" si="7"/>
        <v>11446965</v>
      </c>
      <c r="N212" s="11" t="str">
        <f>IFERROR(__xludf.DUMMYFUNCTION("(VLOOKUP($I212,Capa!$A:$H,7,0))"),"")</f>
        <v/>
      </c>
      <c r="O212" s="169">
        <f>(VLOOKUP($I212,Capa!$A:$H,8,0))</f>
        <v>0.1785714286</v>
      </c>
      <c r="P212" s="11" t="str">
        <f>IFERROR(__xludf.DUMMYFUNCTION("(VLOOKUP($I212,Capa!$A:$J,10,0))"),"")</f>
        <v/>
      </c>
      <c r="Q212" s="169">
        <f>(VLOOKUP($I212,Capa!$A:$K,11,0))</f>
        <v>-0.02264808362</v>
      </c>
      <c r="R212" s="45" t="str">
        <f>'Dados StatusInvest'!A207</f>
        <v>CVCB3</v>
      </c>
      <c r="S212" s="170">
        <f t="shared" si="8"/>
        <v>659.0659</v>
      </c>
      <c r="T212" s="171">
        <f>VLOOKUP(R212,'Dados StatusInvest'!A:Z,26,0)</f>
        <v>88875473</v>
      </c>
      <c r="U212" s="172">
        <f t="shared" ref="U212:AS212" si="214">IF(AT212="","", RANK(AT212,AT$7:AT$626,0)+RANK(AT212,AT$7:AT$626,0)/10000)</f>
        <v>392.0392</v>
      </c>
      <c r="V212" s="172">
        <f t="shared" si="214"/>
        <v>267.0267</v>
      </c>
      <c r="W212" s="172" t="str">
        <f t="shared" si="214"/>
        <v/>
      </c>
      <c r="X212" s="172" t="str">
        <f t="shared" si="214"/>
        <v/>
      </c>
      <c r="Y212" s="172" t="str">
        <f t="shared" si="214"/>
        <v/>
      </c>
      <c r="Z212" s="172" t="str">
        <f t="shared" si="214"/>
        <v/>
      </c>
      <c r="AA212" s="172" t="str">
        <f t="shared" si="214"/>
        <v/>
      </c>
      <c r="AB212" s="172" t="str">
        <f t="shared" si="214"/>
        <v/>
      </c>
      <c r="AC212" s="172" t="str">
        <f t="shared" si="214"/>
        <v/>
      </c>
      <c r="AD212" s="172" t="str">
        <f t="shared" si="214"/>
        <v/>
      </c>
      <c r="AE212" s="172" t="str">
        <f t="shared" si="214"/>
        <v/>
      </c>
      <c r="AF212" s="172" t="str">
        <f t="shared" si="214"/>
        <v/>
      </c>
      <c r="AG212" s="172" t="str">
        <f t="shared" si="214"/>
        <v/>
      </c>
      <c r="AH212" s="172" t="str">
        <f t="shared" si="214"/>
        <v/>
      </c>
      <c r="AI212" s="172" t="str">
        <f t="shared" si="214"/>
        <v/>
      </c>
      <c r="AJ212" s="172" t="str">
        <f t="shared" si="214"/>
        <v/>
      </c>
      <c r="AK212" s="172" t="str">
        <f t="shared" si="214"/>
        <v/>
      </c>
      <c r="AL212" s="172" t="str">
        <f t="shared" si="214"/>
        <v/>
      </c>
      <c r="AM212" s="172" t="str">
        <f t="shared" si="214"/>
        <v/>
      </c>
      <c r="AN212" s="172" t="str">
        <f t="shared" si="214"/>
        <v/>
      </c>
      <c r="AO212" s="172" t="str">
        <f t="shared" si="214"/>
        <v/>
      </c>
      <c r="AP212" s="172" t="str">
        <f t="shared" si="214"/>
        <v/>
      </c>
      <c r="AQ212" s="172" t="str">
        <f t="shared" si="214"/>
        <v/>
      </c>
      <c r="AR212" s="172" t="str">
        <f t="shared" si="214"/>
        <v/>
      </c>
      <c r="AS212" s="172" t="str">
        <f t="shared" si="214"/>
        <v/>
      </c>
      <c r="AT212" s="173">
        <f>IF(AT$6="","",IF(AT$3="Maior",iferror(VLOOKUP($R212,Capa!$A:$AJ,AT$5,0),0),IF(ISERROR(1/VLOOKUP($R212,Capa!$A:$AJ,AT$5,0)),0,1/VLOOKUP($R212,Capa!$A:$AJ,AT$5,0))))</f>
        <v>-1.285263043</v>
      </c>
      <c r="AU212" s="174">
        <f>IF(AU$6="","",IF(AU$3="Maior",iferror(VLOOKUP($R212,Capa!$A:$AJ,AU$5,0),0),IF(ISERROR(1/VLOOKUP($R212,Capa!$A:$AJ,AU$5,0)),0,1/VLOOKUP($R212,Capa!$A:$AJ,AU$5,0))))</f>
        <v>0</v>
      </c>
      <c r="AV212" s="174" t="str">
        <f>IF(AV$6="","",IF(AV$3="Maior",iferror(VLOOKUP($R212,Capa!$A:$AJ,AV$5,0),0),IF(ISERROR(1/VLOOKUP($R212,Capa!$A:$AJ,AV$5,0)),0,1/VLOOKUP($R212,Capa!$A:$AJ,AV$5,0))))</f>
        <v/>
      </c>
      <c r="AW212" s="174" t="str">
        <f>IF(AW$6="","",IF(AW$3="Maior",iferror(VLOOKUP($R212,Capa!$A:$AJ,AW$5,0),0),IF(ISERROR(1/VLOOKUP($R212,Capa!$A:$AJ,AW$5,0)),0,1/VLOOKUP($R212,Capa!$A:$AJ,AW$5,0))))</f>
        <v/>
      </c>
      <c r="AX212" s="174" t="str">
        <f>IF(AX$6="","",IF(AX$3="Maior",iferror(VLOOKUP($R212,Capa!$A:$AJ,AX$5,0),0),IF(ISERROR(1/VLOOKUP($R212,Capa!$A:$AJ,AX$5,0)),0,1/VLOOKUP($R212,Capa!$A:$AJ,AX$5,0))))</f>
        <v/>
      </c>
      <c r="AY212" s="174" t="str">
        <f>IF(AY$6="","",IF(AY$3="Maior",iferror(VLOOKUP($R212,Capa!$A:$AJ,AY$5,0),0),IF(ISERROR(1/VLOOKUP($R212,Capa!$A:$AJ,AY$5,0)),0,1/VLOOKUP($R212,Capa!$A:$AJ,AY$5,0))))</f>
        <v/>
      </c>
      <c r="AZ212" s="174" t="str">
        <f>IF(AZ$6="","",IF(AZ$3="Maior",iferror(VLOOKUP($R212,Capa!$A:$AJ,AZ$5,0),0),IF(ISERROR(1/VLOOKUP($R212,Capa!$A:$AJ,AZ$5,0)),0,1/VLOOKUP($R212,Capa!$A:$AJ,AZ$5,0))))</f>
        <v/>
      </c>
      <c r="BA212" s="174" t="str">
        <f>IF(BA$6="","",IF(BA$3="Maior",iferror(VLOOKUP($R212,Capa!$A:$AJ,BA$5,0),0),IF(ISERROR(1/VLOOKUP($R212,Capa!$A:$AJ,BA$5,0)),0,1/VLOOKUP($R212,Capa!$A:$AJ,BA$5,0))))</f>
        <v/>
      </c>
      <c r="BB212" s="174" t="str">
        <f>IF(BB$6="","",IF(BB$3="Maior",iferror(VLOOKUP($R212,Capa!$A:$AJ,BB$5,0),0),IF(ISERROR(1/VLOOKUP($R212,Capa!$A:$AJ,BB$5,0)),0,1/VLOOKUP($R212,Capa!$A:$AJ,BB$5,0))))</f>
        <v/>
      </c>
      <c r="BC212" s="174" t="str">
        <f>IF(BC$6="","",IF(BC$3="Maior",iferror(VLOOKUP($R212,Capa!$A:$AJ,BC$5,0),0),IF(ISERROR(1/VLOOKUP($R212,Capa!$A:$AJ,BC$5,0)),0,1/VLOOKUP($R212,Capa!$A:$AJ,BC$5,0))))</f>
        <v/>
      </c>
      <c r="BD212" s="174" t="str">
        <f>IF(BD$6="","",IF(BD$3="Maior",iferror(VLOOKUP($R212,Capa!$A:$AJ,BD$5,0),0),IF(ISERROR(1/VLOOKUP($R212,Capa!$A:$AJ,BD$5,0)),0,1/VLOOKUP($R212,Capa!$A:$AJ,BD$5,0))))</f>
        <v/>
      </c>
      <c r="BE212" s="174" t="str">
        <f>IF(BE$6="","",IF(BE$3="Maior",iferror(VLOOKUP($R212,Capa!$A:$AJ,BE$5,0),0),IF(ISERROR(1/VLOOKUP($R212,Capa!$A:$AJ,BE$5,0)),0,1/VLOOKUP($R212,Capa!$A:$AJ,BE$5,0))))</f>
        <v/>
      </c>
      <c r="BF212" s="174" t="str">
        <f>IF(BF$6="","",IF(BF$3="Maior",iferror(VLOOKUP($R212,Capa!$A:$AJ,BF$5,0),0),IF(ISERROR(1/VLOOKUP($R212,Capa!$A:$AJ,BF$5,0)),0,1/VLOOKUP($R212,Capa!$A:$AJ,BF$5,0))))</f>
        <v/>
      </c>
      <c r="BG212" s="174" t="str">
        <f>IF(BG$6="","",IF(BG$3="Maior",iferror(VLOOKUP($R212,Capa!$A:$AJ,BG$5,0),0),IF(ISERROR(1/VLOOKUP($R212,Capa!$A:$AJ,BG$5,0)),0,1/VLOOKUP($R212,Capa!$A:$AJ,BG$5,0))))</f>
        <v/>
      </c>
      <c r="BH212" s="174" t="str">
        <f>IF(BH$6="","",IF(BH$3="Maior",iferror(VLOOKUP($R212,Capa!$A:$AJ,BH$5,0),0),IF(ISERROR(1/VLOOKUP($R212,Capa!$A:$AJ,BH$5,0)),0,1/VLOOKUP($R212,Capa!$A:$AJ,BH$5,0))))</f>
        <v/>
      </c>
      <c r="BI212" s="174" t="str">
        <f>IF(BI$6="","",IF(BI$3="Maior",iferror(VLOOKUP($R212,Capa!$A:$AJ,BI$5,0),0),IF(ISERROR(1/VLOOKUP($R212,Capa!$A:$AJ,BI$5,0)),0,1/VLOOKUP($R212,Capa!$A:$AJ,BI$5,0))))</f>
        <v/>
      </c>
      <c r="BJ212" s="174" t="str">
        <f>IF(BJ$6="","",IF(BJ$3="Maior",iferror(VLOOKUP($R212,Capa!$A:$AJ,BJ$5,0),0),IF(ISERROR(1/VLOOKUP($R212,Capa!$A:$AJ,BJ$5,0)),0,1/VLOOKUP($R212,Capa!$A:$AJ,BJ$5,0))))</f>
        <v/>
      </c>
      <c r="BK212" s="174" t="str">
        <f>IF(BK$6="","",IF(BK$3="Maior",iferror(VLOOKUP($R212,Capa!$A:$AJ,BK$5,0),0),IF(ISERROR(1/VLOOKUP($R212,Capa!$A:$AJ,BK$5,0)),0,1/VLOOKUP($R212,Capa!$A:$AJ,BK$5,0))))</f>
        <v/>
      </c>
      <c r="BL212" s="174" t="str">
        <f>IF(BL$6="","",IF(BL$3="Maior",iferror(VLOOKUP($R212,Capa!$A:$AJ,BL$5,0),0),IF(ISERROR(1/VLOOKUP($R212,Capa!$A:$AJ,BL$5,0)),0,1/VLOOKUP($R212,Capa!$A:$AJ,BL$5,0))))</f>
        <v/>
      </c>
      <c r="BM212" s="174" t="str">
        <f>IF(BM$6="","",IF(BM$3="Maior",iferror(VLOOKUP($R212,Capa!$A:$AJ,BM$5,0),0),IF(ISERROR(1/VLOOKUP($R212,Capa!$A:$AJ,BM$5,0)),0,1/VLOOKUP($R212,Capa!$A:$AJ,BM$5,0))))</f>
        <v/>
      </c>
      <c r="BN212" s="174" t="str">
        <f>IF(BN$6="","",IF(BN$3="Maior",iferror(VLOOKUP($R212,Capa!$A:$AJ,BN$5,0),0),IF(ISERROR(1/VLOOKUP($R212,Capa!$A:$AJ,BN$5,0)),0,1/VLOOKUP($R212,Capa!$A:$AJ,BN$5,0))))</f>
        <v/>
      </c>
      <c r="BO212" s="174" t="str">
        <f>IF(BO$6="","",IF(BO$3="Maior",iferror(VLOOKUP($R212,Capa!$A:$AJ,BO$5,0),0),IF(ISERROR(1/VLOOKUP($R212,Capa!$A:$AJ,BO$5,0)),0,1/VLOOKUP($R212,Capa!$A:$AJ,BO$5,0))))</f>
        <v/>
      </c>
      <c r="BP212" s="174" t="str">
        <f>IF(BP$6="","",IF(BP$3="Maior",iferror(VLOOKUP($R212,Capa!$A:$AJ,BP$5,0),0),IF(ISERROR(1/VLOOKUP($R212,Capa!$A:$AJ,BP$5,0)),0,1/VLOOKUP($R212,Capa!$A:$AJ,BP$5,0))))</f>
        <v/>
      </c>
      <c r="BQ212" s="174" t="str">
        <f>IF(BQ$6="","",IF(BQ$3="Maior",iferror(VLOOKUP($R212,Capa!$A:$AJ,BQ$5,0),0),IF(ISERROR(1/VLOOKUP($R212,Capa!$A:$AJ,BQ$5,0)),0,1/VLOOKUP($R212,Capa!$A:$AJ,BQ$5,0))))</f>
        <v/>
      </c>
      <c r="BR212" s="175"/>
      <c r="BS212" s="147"/>
    </row>
    <row r="213">
      <c r="G213" s="11"/>
      <c r="H213" s="8">
        <v>207.0</v>
      </c>
      <c r="I213" s="165" t="str">
        <f t="shared" si="6"/>
        <v>HBOR3</v>
      </c>
      <c r="J213" s="166" t="str">
        <f>(VLOOKUP($I213,Capa!$A:$B,2,0))</f>
        <v>Helbor Empreendimentos SA</v>
      </c>
      <c r="K213" s="167" t="str">
        <f>VLOOKUP(left(I213,4),Setor!A:D,3,0)&amp;" | "&amp;VLOOKUP(left(I213,4),Setor!A:D,4,0)</f>
        <v>Consumo Cíclico | Construção Civil</v>
      </c>
      <c r="L213" s="168">
        <f>(VLOOKUP($I213,Capa!$A:$F,6,0))</f>
        <v>3.23</v>
      </c>
      <c r="M213" s="168">
        <f t="shared" si="7"/>
        <v>2913298</v>
      </c>
      <c r="N213" s="11" t="str">
        <f>IFERROR(__xludf.DUMMYFUNCTION("(VLOOKUP($I213,Capa!$A:$H,7,0))"),"")</f>
        <v/>
      </c>
      <c r="O213" s="169">
        <f>(VLOOKUP($I213,Capa!$A:$H,8,0))</f>
        <v>0.26171875</v>
      </c>
      <c r="P213" s="11" t="str">
        <f>IFERROR(__xludf.DUMMYFUNCTION("(VLOOKUP($I213,Capa!$A:$J,10,0))"),"")</f>
        <v/>
      </c>
      <c r="Q213" s="169">
        <f>(VLOOKUP($I213,Capa!$A:$K,11,0))</f>
        <v>0.9938271605</v>
      </c>
      <c r="R213" s="45" t="str">
        <f>'Dados StatusInvest'!A208</f>
        <v>CXSE3</v>
      </c>
      <c r="S213" s="170">
        <f t="shared" si="8"/>
        <v>303.0303</v>
      </c>
      <c r="T213" s="171">
        <f>VLOOKUP(R213,'Dados StatusInvest'!A:Z,26,0)</f>
        <v>73724892</v>
      </c>
      <c r="U213" s="172">
        <f t="shared" ref="U213:AS213" si="215">IF(AT213="","", RANK(AT213,AT$7:AT$626,0)+RANK(AT213,AT$7:AT$626,0)/10000)</f>
        <v>183.0183</v>
      </c>
      <c r="V213" s="172">
        <f t="shared" si="215"/>
        <v>120.012</v>
      </c>
      <c r="W213" s="172" t="str">
        <f t="shared" si="215"/>
        <v/>
      </c>
      <c r="X213" s="172" t="str">
        <f t="shared" si="215"/>
        <v/>
      </c>
      <c r="Y213" s="172" t="str">
        <f t="shared" si="215"/>
        <v/>
      </c>
      <c r="Z213" s="172" t="str">
        <f t="shared" si="215"/>
        <v/>
      </c>
      <c r="AA213" s="172" t="str">
        <f t="shared" si="215"/>
        <v/>
      </c>
      <c r="AB213" s="172" t="str">
        <f t="shared" si="215"/>
        <v/>
      </c>
      <c r="AC213" s="172" t="str">
        <f t="shared" si="215"/>
        <v/>
      </c>
      <c r="AD213" s="172" t="str">
        <f t="shared" si="215"/>
        <v/>
      </c>
      <c r="AE213" s="172" t="str">
        <f t="shared" si="215"/>
        <v/>
      </c>
      <c r="AF213" s="172" t="str">
        <f t="shared" si="215"/>
        <v/>
      </c>
      <c r="AG213" s="172" t="str">
        <f t="shared" si="215"/>
        <v/>
      </c>
      <c r="AH213" s="172" t="str">
        <f t="shared" si="215"/>
        <v/>
      </c>
      <c r="AI213" s="172" t="str">
        <f t="shared" si="215"/>
        <v/>
      </c>
      <c r="AJ213" s="172" t="str">
        <f t="shared" si="215"/>
        <v/>
      </c>
      <c r="AK213" s="172" t="str">
        <f t="shared" si="215"/>
        <v/>
      </c>
      <c r="AL213" s="172" t="str">
        <f t="shared" si="215"/>
        <v/>
      </c>
      <c r="AM213" s="172" t="str">
        <f t="shared" si="215"/>
        <v/>
      </c>
      <c r="AN213" s="172" t="str">
        <f t="shared" si="215"/>
        <v/>
      </c>
      <c r="AO213" s="172" t="str">
        <f t="shared" si="215"/>
        <v/>
      </c>
      <c r="AP213" s="172" t="str">
        <f t="shared" si="215"/>
        <v/>
      </c>
      <c r="AQ213" s="172" t="str">
        <f t="shared" si="215"/>
        <v/>
      </c>
      <c r="AR213" s="172" t="str">
        <f t="shared" si="215"/>
        <v/>
      </c>
      <c r="AS213" s="172" t="str">
        <f t="shared" si="215"/>
        <v/>
      </c>
      <c r="AT213" s="173">
        <f>IF(AT$6="","",IF(AT$3="Maior",iferror(VLOOKUP($R213,Capa!$A:$AJ,AT$5,0),0),IF(ISERROR(1/VLOOKUP($R213,Capa!$A:$AJ,AT$5,0)),0,1/VLOOKUP($R213,Capa!$A:$AJ,AT$5,0))))</f>
        <v>-0.2240081348</v>
      </c>
      <c r="AU213" s="174">
        <f>IF(AU$6="","",IF(AU$3="Maior",iferror(VLOOKUP($R213,Capa!$A:$AJ,AU$5,0),0),IF(ISERROR(1/VLOOKUP($R213,Capa!$A:$AJ,AU$5,0)),0,1/VLOOKUP($R213,Capa!$A:$AJ,AU$5,0))))</f>
        <v>23.35</v>
      </c>
      <c r="AV213" s="174" t="str">
        <f>IF(AV$6="","",IF(AV$3="Maior",iferror(VLOOKUP($R213,Capa!$A:$AJ,AV$5,0),0),IF(ISERROR(1/VLOOKUP($R213,Capa!$A:$AJ,AV$5,0)),0,1/VLOOKUP($R213,Capa!$A:$AJ,AV$5,0))))</f>
        <v/>
      </c>
      <c r="AW213" s="174" t="str">
        <f>IF(AW$6="","",IF(AW$3="Maior",iferror(VLOOKUP($R213,Capa!$A:$AJ,AW$5,0),0),IF(ISERROR(1/VLOOKUP($R213,Capa!$A:$AJ,AW$5,0)),0,1/VLOOKUP($R213,Capa!$A:$AJ,AW$5,0))))</f>
        <v/>
      </c>
      <c r="AX213" s="174" t="str">
        <f>IF(AX$6="","",IF(AX$3="Maior",iferror(VLOOKUP($R213,Capa!$A:$AJ,AX$5,0),0),IF(ISERROR(1/VLOOKUP($R213,Capa!$A:$AJ,AX$5,0)),0,1/VLOOKUP($R213,Capa!$A:$AJ,AX$5,0))))</f>
        <v/>
      </c>
      <c r="AY213" s="174" t="str">
        <f>IF(AY$6="","",IF(AY$3="Maior",iferror(VLOOKUP($R213,Capa!$A:$AJ,AY$5,0),0),IF(ISERROR(1/VLOOKUP($R213,Capa!$A:$AJ,AY$5,0)),0,1/VLOOKUP($R213,Capa!$A:$AJ,AY$5,0))))</f>
        <v/>
      </c>
      <c r="AZ213" s="174" t="str">
        <f>IF(AZ$6="","",IF(AZ$3="Maior",iferror(VLOOKUP($R213,Capa!$A:$AJ,AZ$5,0),0),IF(ISERROR(1/VLOOKUP($R213,Capa!$A:$AJ,AZ$5,0)),0,1/VLOOKUP($R213,Capa!$A:$AJ,AZ$5,0))))</f>
        <v/>
      </c>
      <c r="BA213" s="174" t="str">
        <f>IF(BA$6="","",IF(BA$3="Maior",iferror(VLOOKUP($R213,Capa!$A:$AJ,BA$5,0),0),IF(ISERROR(1/VLOOKUP($R213,Capa!$A:$AJ,BA$5,0)),0,1/VLOOKUP($R213,Capa!$A:$AJ,BA$5,0))))</f>
        <v/>
      </c>
      <c r="BB213" s="174" t="str">
        <f>IF(BB$6="","",IF(BB$3="Maior",iferror(VLOOKUP($R213,Capa!$A:$AJ,BB$5,0),0),IF(ISERROR(1/VLOOKUP($R213,Capa!$A:$AJ,BB$5,0)),0,1/VLOOKUP($R213,Capa!$A:$AJ,BB$5,0))))</f>
        <v/>
      </c>
      <c r="BC213" s="174" t="str">
        <f>IF(BC$6="","",IF(BC$3="Maior",iferror(VLOOKUP($R213,Capa!$A:$AJ,BC$5,0),0),IF(ISERROR(1/VLOOKUP($R213,Capa!$A:$AJ,BC$5,0)),0,1/VLOOKUP($R213,Capa!$A:$AJ,BC$5,0))))</f>
        <v/>
      </c>
      <c r="BD213" s="174" t="str">
        <f>IF(BD$6="","",IF(BD$3="Maior",iferror(VLOOKUP($R213,Capa!$A:$AJ,BD$5,0),0),IF(ISERROR(1/VLOOKUP($R213,Capa!$A:$AJ,BD$5,0)),0,1/VLOOKUP($R213,Capa!$A:$AJ,BD$5,0))))</f>
        <v/>
      </c>
      <c r="BE213" s="174" t="str">
        <f>IF(BE$6="","",IF(BE$3="Maior",iferror(VLOOKUP($R213,Capa!$A:$AJ,BE$5,0),0),IF(ISERROR(1/VLOOKUP($R213,Capa!$A:$AJ,BE$5,0)),0,1/VLOOKUP($R213,Capa!$A:$AJ,BE$5,0))))</f>
        <v/>
      </c>
      <c r="BF213" s="174" t="str">
        <f>IF(BF$6="","",IF(BF$3="Maior",iferror(VLOOKUP($R213,Capa!$A:$AJ,BF$5,0),0),IF(ISERROR(1/VLOOKUP($R213,Capa!$A:$AJ,BF$5,0)),0,1/VLOOKUP($R213,Capa!$A:$AJ,BF$5,0))))</f>
        <v/>
      </c>
      <c r="BG213" s="174" t="str">
        <f>IF(BG$6="","",IF(BG$3="Maior",iferror(VLOOKUP($R213,Capa!$A:$AJ,BG$5,0),0),IF(ISERROR(1/VLOOKUP($R213,Capa!$A:$AJ,BG$5,0)),0,1/VLOOKUP($R213,Capa!$A:$AJ,BG$5,0))))</f>
        <v/>
      </c>
      <c r="BH213" s="174" t="str">
        <f>IF(BH$6="","",IF(BH$3="Maior",iferror(VLOOKUP($R213,Capa!$A:$AJ,BH$5,0),0),IF(ISERROR(1/VLOOKUP($R213,Capa!$A:$AJ,BH$5,0)),0,1/VLOOKUP($R213,Capa!$A:$AJ,BH$5,0))))</f>
        <v/>
      </c>
      <c r="BI213" s="174" t="str">
        <f>IF(BI$6="","",IF(BI$3="Maior",iferror(VLOOKUP($R213,Capa!$A:$AJ,BI$5,0),0),IF(ISERROR(1/VLOOKUP($R213,Capa!$A:$AJ,BI$5,0)),0,1/VLOOKUP($R213,Capa!$A:$AJ,BI$5,0))))</f>
        <v/>
      </c>
      <c r="BJ213" s="174" t="str">
        <f>IF(BJ$6="","",IF(BJ$3="Maior",iferror(VLOOKUP($R213,Capa!$A:$AJ,BJ$5,0),0),IF(ISERROR(1/VLOOKUP($R213,Capa!$A:$AJ,BJ$5,0)),0,1/VLOOKUP($R213,Capa!$A:$AJ,BJ$5,0))))</f>
        <v/>
      </c>
      <c r="BK213" s="174" t="str">
        <f>IF(BK$6="","",IF(BK$3="Maior",iferror(VLOOKUP($R213,Capa!$A:$AJ,BK$5,0),0),IF(ISERROR(1/VLOOKUP($R213,Capa!$A:$AJ,BK$5,0)),0,1/VLOOKUP($R213,Capa!$A:$AJ,BK$5,0))))</f>
        <v/>
      </c>
      <c r="BL213" s="174" t="str">
        <f>IF(BL$6="","",IF(BL$3="Maior",iferror(VLOOKUP($R213,Capa!$A:$AJ,BL$5,0),0),IF(ISERROR(1/VLOOKUP($R213,Capa!$A:$AJ,BL$5,0)),0,1/VLOOKUP($R213,Capa!$A:$AJ,BL$5,0))))</f>
        <v/>
      </c>
      <c r="BM213" s="174" t="str">
        <f>IF(BM$6="","",IF(BM$3="Maior",iferror(VLOOKUP($R213,Capa!$A:$AJ,BM$5,0),0),IF(ISERROR(1/VLOOKUP($R213,Capa!$A:$AJ,BM$5,0)),0,1/VLOOKUP($R213,Capa!$A:$AJ,BM$5,0))))</f>
        <v/>
      </c>
      <c r="BN213" s="174" t="str">
        <f>IF(BN$6="","",IF(BN$3="Maior",iferror(VLOOKUP($R213,Capa!$A:$AJ,BN$5,0),0),IF(ISERROR(1/VLOOKUP($R213,Capa!$A:$AJ,BN$5,0)),0,1/VLOOKUP($R213,Capa!$A:$AJ,BN$5,0))))</f>
        <v/>
      </c>
      <c r="BO213" s="174" t="str">
        <f>IF(BO$6="","",IF(BO$3="Maior",iferror(VLOOKUP($R213,Capa!$A:$AJ,BO$5,0),0),IF(ISERROR(1/VLOOKUP($R213,Capa!$A:$AJ,BO$5,0)),0,1/VLOOKUP($R213,Capa!$A:$AJ,BO$5,0))))</f>
        <v/>
      </c>
      <c r="BP213" s="174" t="str">
        <f>IF(BP$6="","",IF(BP$3="Maior",iferror(VLOOKUP($R213,Capa!$A:$AJ,BP$5,0),0),IF(ISERROR(1/VLOOKUP($R213,Capa!$A:$AJ,BP$5,0)),0,1/VLOOKUP($R213,Capa!$A:$AJ,BP$5,0))))</f>
        <v/>
      </c>
      <c r="BQ213" s="174" t="str">
        <f>IF(BQ$6="","",IF(BQ$3="Maior",iferror(VLOOKUP($R213,Capa!$A:$AJ,BQ$5,0),0),IF(ISERROR(1/VLOOKUP($R213,Capa!$A:$AJ,BQ$5,0)),0,1/VLOOKUP($R213,Capa!$A:$AJ,BQ$5,0))))</f>
        <v/>
      </c>
      <c r="BR213" s="175"/>
      <c r="BS213" s="147"/>
    </row>
    <row r="214">
      <c r="G214" s="11"/>
      <c r="H214" s="8">
        <v>208.0</v>
      </c>
      <c r="I214" s="165" t="str">
        <f t="shared" si="6"/>
        <v>VVEO3</v>
      </c>
      <c r="J214" s="166" t="str">
        <f>(VLOOKUP($I214,Capa!$A:$B,2,0))</f>
        <v>CM Hospitalar SA</v>
      </c>
      <c r="K214" s="167" t="str">
        <f>VLOOKUP(left(I214,4),Setor!A:D,3,0)&amp;" | "&amp;VLOOKUP(left(I214,4),Setor!A:D,4,0)</f>
        <v>#N/A</v>
      </c>
      <c r="L214" s="168">
        <f>(VLOOKUP($I214,Capa!$A:$F,6,0))</f>
        <v>1.54</v>
      </c>
      <c r="M214" s="168">
        <f t="shared" si="7"/>
        <v>1848521</v>
      </c>
      <c r="N214" s="177" t="str">
        <f>IFERROR(__xludf.DUMMYFUNCTION("(VLOOKUP($I214,Capa!$A:$H,7,0))"),"")</f>
        <v/>
      </c>
      <c r="O214" s="169">
        <f>(VLOOKUP($I214,Capa!$A:$H,8,0))</f>
        <v>0.1079136691</v>
      </c>
      <c r="P214" s="169" t="str">
        <f>IFERROR(__xludf.DUMMYFUNCTION("(VLOOKUP($I214,Capa!$A:$J,10,0))"),"")</f>
        <v/>
      </c>
      <c r="Q214" s="169">
        <f>(VLOOKUP($I214,Capa!$A:$K,11,0))</f>
        <v>-0.006451612903</v>
      </c>
      <c r="R214" s="45" t="str">
        <f>'Dados StatusInvest'!A209</f>
        <v>CYRE3</v>
      </c>
      <c r="S214" s="170">
        <f t="shared" si="8"/>
        <v>372.0372</v>
      </c>
      <c r="T214" s="171">
        <f>VLOOKUP(R214,'Dados StatusInvest'!A:Z,26,0)</f>
        <v>161000000</v>
      </c>
      <c r="U214" s="172">
        <f t="shared" ref="U214:AS214" si="216">IF(AT214="","", RANK(AT214,AT$7:AT$626,0)+RANK(AT214,AT$7:AT$626,0)/10000)</f>
        <v>306.0306</v>
      </c>
      <c r="V214" s="172">
        <f t="shared" si="216"/>
        <v>66.0066</v>
      </c>
      <c r="W214" s="172" t="str">
        <f t="shared" si="216"/>
        <v/>
      </c>
      <c r="X214" s="172" t="str">
        <f t="shared" si="216"/>
        <v/>
      </c>
      <c r="Y214" s="172" t="str">
        <f t="shared" si="216"/>
        <v/>
      </c>
      <c r="Z214" s="172" t="str">
        <f t="shared" si="216"/>
        <v/>
      </c>
      <c r="AA214" s="172" t="str">
        <f t="shared" si="216"/>
        <v/>
      </c>
      <c r="AB214" s="172" t="str">
        <f t="shared" si="216"/>
        <v/>
      </c>
      <c r="AC214" s="172" t="str">
        <f t="shared" si="216"/>
        <v/>
      </c>
      <c r="AD214" s="172" t="str">
        <f t="shared" si="216"/>
        <v/>
      </c>
      <c r="AE214" s="172" t="str">
        <f t="shared" si="216"/>
        <v/>
      </c>
      <c r="AF214" s="172" t="str">
        <f t="shared" si="216"/>
        <v/>
      </c>
      <c r="AG214" s="172" t="str">
        <f t="shared" si="216"/>
        <v/>
      </c>
      <c r="AH214" s="172" t="str">
        <f t="shared" si="216"/>
        <v/>
      </c>
      <c r="AI214" s="172" t="str">
        <f t="shared" si="216"/>
        <v/>
      </c>
      <c r="AJ214" s="172" t="str">
        <f t="shared" si="216"/>
        <v/>
      </c>
      <c r="AK214" s="172" t="str">
        <f t="shared" si="216"/>
        <v/>
      </c>
      <c r="AL214" s="172" t="str">
        <f t="shared" si="216"/>
        <v/>
      </c>
      <c r="AM214" s="172" t="str">
        <f t="shared" si="216"/>
        <v/>
      </c>
      <c r="AN214" s="172" t="str">
        <f t="shared" si="216"/>
        <v/>
      </c>
      <c r="AO214" s="172" t="str">
        <f t="shared" si="216"/>
        <v/>
      </c>
      <c r="AP214" s="172" t="str">
        <f t="shared" si="216"/>
        <v/>
      </c>
      <c r="AQ214" s="172" t="str">
        <f t="shared" si="216"/>
        <v/>
      </c>
      <c r="AR214" s="172" t="str">
        <f t="shared" si="216"/>
        <v/>
      </c>
      <c r="AS214" s="172" t="str">
        <f t="shared" si="216"/>
        <v/>
      </c>
      <c r="AT214" s="173">
        <f>IF(AT$6="","",IF(AT$3="Maior",iferror(VLOOKUP($R214,Capa!$A:$AJ,AT$5,0),0),IF(ISERROR(1/VLOOKUP($R214,Capa!$A:$AJ,AT$5,0)),0,1/VLOOKUP($R214,Capa!$A:$AJ,AT$5,0))))</f>
        <v>-0.7113410395</v>
      </c>
      <c r="AU214" s="174">
        <f>IF(AU$6="","",IF(AU$3="Maior",iferror(VLOOKUP($R214,Capa!$A:$AJ,AU$5,0),0),IF(ISERROR(1/VLOOKUP($R214,Capa!$A:$AJ,AU$5,0)),0,1/VLOOKUP($R214,Capa!$A:$AJ,AU$5,0))))</f>
        <v>34.36</v>
      </c>
      <c r="AV214" s="174" t="str">
        <f>IF(AV$6="","",IF(AV$3="Maior",iferror(VLOOKUP($R214,Capa!$A:$AJ,AV$5,0),0),IF(ISERROR(1/VLOOKUP($R214,Capa!$A:$AJ,AV$5,0)),0,1/VLOOKUP($R214,Capa!$A:$AJ,AV$5,0))))</f>
        <v/>
      </c>
      <c r="AW214" s="174" t="str">
        <f>IF(AW$6="","",IF(AW$3="Maior",iferror(VLOOKUP($R214,Capa!$A:$AJ,AW$5,0),0),IF(ISERROR(1/VLOOKUP($R214,Capa!$A:$AJ,AW$5,0)),0,1/VLOOKUP($R214,Capa!$A:$AJ,AW$5,0))))</f>
        <v/>
      </c>
      <c r="AX214" s="174" t="str">
        <f>IF(AX$6="","",IF(AX$3="Maior",iferror(VLOOKUP($R214,Capa!$A:$AJ,AX$5,0),0),IF(ISERROR(1/VLOOKUP($R214,Capa!$A:$AJ,AX$5,0)),0,1/VLOOKUP($R214,Capa!$A:$AJ,AX$5,0))))</f>
        <v/>
      </c>
      <c r="AY214" s="174" t="str">
        <f>IF(AY$6="","",IF(AY$3="Maior",iferror(VLOOKUP($R214,Capa!$A:$AJ,AY$5,0),0),IF(ISERROR(1/VLOOKUP($R214,Capa!$A:$AJ,AY$5,0)),0,1/VLOOKUP($R214,Capa!$A:$AJ,AY$5,0))))</f>
        <v/>
      </c>
      <c r="AZ214" s="174" t="str">
        <f>IF(AZ$6="","",IF(AZ$3="Maior",iferror(VLOOKUP($R214,Capa!$A:$AJ,AZ$5,0),0),IF(ISERROR(1/VLOOKUP($R214,Capa!$A:$AJ,AZ$5,0)),0,1/VLOOKUP($R214,Capa!$A:$AJ,AZ$5,0))))</f>
        <v/>
      </c>
      <c r="BA214" s="174" t="str">
        <f>IF(BA$6="","",IF(BA$3="Maior",iferror(VLOOKUP($R214,Capa!$A:$AJ,BA$5,0),0),IF(ISERROR(1/VLOOKUP($R214,Capa!$A:$AJ,BA$5,0)),0,1/VLOOKUP($R214,Capa!$A:$AJ,BA$5,0))))</f>
        <v/>
      </c>
      <c r="BB214" s="174" t="str">
        <f>IF(BB$6="","",IF(BB$3="Maior",iferror(VLOOKUP($R214,Capa!$A:$AJ,BB$5,0),0),IF(ISERROR(1/VLOOKUP($R214,Capa!$A:$AJ,BB$5,0)),0,1/VLOOKUP($R214,Capa!$A:$AJ,BB$5,0))))</f>
        <v/>
      </c>
      <c r="BC214" s="174" t="str">
        <f>IF(BC$6="","",IF(BC$3="Maior",iferror(VLOOKUP($R214,Capa!$A:$AJ,BC$5,0),0),IF(ISERROR(1/VLOOKUP($R214,Capa!$A:$AJ,BC$5,0)),0,1/VLOOKUP($R214,Capa!$A:$AJ,BC$5,0))))</f>
        <v/>
      </c>
      <c r="BD214" s="174" t="str">
        <f>IF(BD$6="","",IF(BD$3="Maior",iferror(VLOOKUP($R214,Capa!$A:$AJ,BD$5,0),0),IF(ISERROR(1/VLOOKUP($R214,Capa!$A:$AJ,BD$5,0)),0,1/VLOOKUP($R214,Capa!$A:$AJ,BD$5,0))))</f>
        <v/>
      </c>
      <c r="BE214" s="174" t="str">
        <f>IF(BE$6="","",IF(BE$3="Maior",iferror(VLOOKUP($R214,Capa!$A:$AJ,BE$5,0),0),IF(ISERROR(1/VLOOKUP($R214,Capa!$A:$AJ,BE$5,0)),0,1/VLOOKUP($R214,Capa!$A:$AJ,BE$5,0))))</f>
        <v/>
      </c>
      <c r="BF214" s="174" t="str">
        <f>IF(BF$6="","",IF(BF$3="Maior",iferror(VLOOKUP($R214,Capa!$A:$AJ,BF$5,0),0),IF(ISERROR(1/VLOOKUP($R214,Capa!$A:$AJ,BF$5,0)),0,1/VLOOKUP($R214,Capa!$A:$AJ,BF$5,0))))</f>
        <v/>
      </c>
      <c r="BG214" s="174" t="str">
        <f>IF(BG$6="","",IF(BG$3="Maior",iferror(VLOOKUP($R214,Capa!$A:$AJ,BG$5,0),0),IF(ISERROR(1/VLOOKUP($R214,Capa!$A:$AJ,BG$5,0)),0,1/VLOOKUP($R214,Capa!$A:$AJ,BG$5,0))))</f>
        <v/>
      </c>
      <c r="BH214" s="174" t="str">
        <f>IF(BH$6="","",IF(BH$3="Maior",iferror(VLOOKUP($R214,Capa!$A:$AJ,BH$5,0),0),IF(ISERROR(1/VLOOKUP($R214,Capa!$A:$AJ,BH$5,0)),0,1/VLOOKUP($R214,Capa!$A:$AJ,BH$5,0))))</f>
        <v/>
      </c>
      <c r="BI214" s="174" t="str">
        <f>IF(BI$6="","",IF(BI$3="Maior",iferror(VLOOKUP($R214,Capa!$A:$AJ,BI$5,0),0),IF(ISERROR(1/VLOOKUP($R214,Capa!$A:$AJ,BI$5,0)),0,1/VLOOKUP($R214,Capa!$A:$AJ,BI$5,0))))</f>
        <v/>
      </c>
      <c r="BJ214" s="174" t="str">
        <f>IF(BJ$6="","",IF(BJ$3="Maior",iferror(VLOOKUP($R214,Capa!$A:$AJ,BJ$5,0),0),IF(ISERROR(1/VLOOKUP($R214,Capa!$A:$AJ,BJ$5,0)),0,1/VLOOKUP($R214,Capa!$A:$AJ,BJ$5,0))))</f>
        <v/>
      </c>
      <c r="BK214" s="174" t="str">
        <f>IF(BK$6="","",IF(BK$3="Maior",iferror(VLOOKUP($R214,Capa!$A:$AJ,BK$5,0),0),IF(ISERROR(1/VLOOKUP($R214,Capa!$A:$AJ,BK$5,0)),0,1/VLOOKUP($R214,Capa!$A:$AJ,BK$5,0))))</f>
        <v/>
      </c>
      <c r="BL214" s="174" t="str">
        <f>IF(BL$6="","",IF(BL$3="Maior",iferror(VLOOKUP($R214,Capa!$A:$AJ,BL$5,0),0),IF(ISERROR(1/VLOOKUP($R214,Capa!$A:$AJ,BL$5,0)),0,1/VLOOKUP($R214,Capa!$A:$AJ,BL$5,0))))</f>
        <v/>
      </c>
      <c r="BM214" s="174" t="str">
        <f>IF(BM$6="","",IF(BM$3="Maior",iferror(VLOOKUP($R214,Capa!$A:$AJ,BM$5,0),0),IF(ISERROR(1/VLOOKUP($R214,Capa!$A:$AJ,BM$5,0)),0,1/VLOOKUP($R214,Capa!$A:$AJ,BM$5,0))))</f>
        <v/>
      </c>
      <c r="BN214" s="174" t="str">
        <f>IF(BN$6="","",IF(BN$3="Maior",iferror(VLOOKUP($R214,Capa!$A:$AJ,BN$5,0),0),IF(ISERROR(1/VLOOKUP($R214,Capa!$A:$AJ,BN$5,0)),0,1/VLOOKUP($R214,Capa!$A:$AJ,BN$5,0))))</f>
        <v/>
      </c>
      <c r="BO214" s="174" t="str">
        <f>IF(BO$6="","",IF(BO$3="Maior",iferror(VLOOKUP($R214,Capa!$A:$AJ,BO$5,0),0),IF(ISERROR(1/VLOOKUP($R214,Capa!$A:$AJ,BO$5,0)),0,1/VLOOKUP($R214,Capa!$A:$AJ,BO$5,0))))</f>
        <v/>
      </c>
      <c r="BP214" s="174" t="str">
        <f>IF(BP$6="","",IF(BP$3="Maior",iferror(VLOOKUP($R214,Capa!$A:$AJ,BP$5,0),0),IF(ISERROR(1/VLOOKUP($R214,Capa!$A:$AJ,BP$5,0)),0,1/VLOOKUP($R214,Capa!$A:$AJ,BP$5,0))))</f>
        <v/>
      </c>
      <c r="BQ214" s="174" t="str">
        <f>IF(BQ$6="","",IF(BQ$3="Maior",iferror(VLOOKUP($R214,Capa!$A:$AJ,BQ$5,0),0),IF(ISERROR(1/VLOOKUP($R214,Capa!$A:$AJ,BQ$5,0)),0,1/VLOOKUP($R214,Capa!$A:$AJ,BQ$5,0))))</f>
        <v/>
      </c>
      <c r="BR214" s="175"/>
      <c r="BS214" s="147"/>
    </row>
    <row r="215">
      <c r="G215" s="11"/>
      <c r="H215" s="8">
        <v>209.0</v>
      </c>
      <c r="I215" s="165" t="str">
        <f t="shared" si="6"/>
        <v>SIMH3</v>
      </c>
      <c r="J215" s="166" t="str">
        <f>(VLOOKUP($I215,Capa!$A:$B,2,0))</f>
        <v>Simpar SA</v>
      </c>
      <c r="K215" s="167" t="str">
        <f>VLOOKUP(left(I215,4),Setor!A:D,3,0)&amp;" | "&amp;VLOOKUP(left(I215,4),Setor!A:D,4,0)</f>
        <v>Financeiro | Holdings Diversificadas</v>
      </c>
      <c r="L215" s="168">
        <f>(VLOOKUP($I215,Capa!$A:$F,6,0))</f>
        <v>13.56</v>
      </c>
      <c r="M215" s="168">
        <f t="shared" si="7"/>
        <v>44767676</v>
      </c>
      <c r="N215" s="177" t="str">
        <f>IFERROR(__xludf.DUMMYFUNCTION("(VLOOKUP($I215,Capa!$A:$H,7,0))"),"")</f>
        <v/>
      </c>
      <c r="O215" s="169">
        <f>(VLOOKUP($I215,Capa!$A:$H,8,0))</f>
        <v>1.317948718</v>
      </c>
      <c r="P215" s="169" t="str">
        <f>IFERROR(__xludf.DUMMYFUNCTION("(VLOOKUP($I215,Capa!$A:$J,10,0))"),"")</f>
        <v/>
      </c>
      <c r="Q215" s="169">
        <f>(VLOOKUP($I215,Capa!$A:$K,11,0))</f>
        <v>2.625668449</v>
      </c>
      <c r="R215" s="45" t="str">
        <f>'Dados StatusInvest'!A210</f>
        <v>CYRE4</v>
      </c>
      <c r="S215" s="170">
        <f t="shared" si="8"/>
        <v>375.0375</v>
      </c>
      <c r="T215" s="171">
        <f>VLOOKUP(R215,'Dados StatusInvest'!A:Z,26,0)</f>
        <v>17486544</v>
      </c>
      <c r="U215" s="172">
        <f t="shared" ref="U215:AS215" si="217">IF(AT215="","", RANK(AT215,AT$7:AT$626,0)+RANK(AT215,AT$7:AT$626,0)/10000)</f>
        <v>309.0309</v>
      </c>
      <c r="V215" s="172">
        <f t="shared" si="217"/>
        <v>66.0066</v>
      </c>
      <c r="W215" s="172" t="str">
        <f t="shared" si="217"/>
        <v/>
      </c>
      <c r="X215" s="172" t="str">
        <f t="shared" si="217"/>
        <v/>
      </c>
      <c r="Y215" s="172" t="str">
        <f t="shared" si="217"/>
        <v/>
      </c>
      <c r="Z215" s="172" t="str">
        <f t="shared" si="217"/>
        <v/>
      </c>
      <c r="AA215" s="172" t="str">
        <f t="shared" si="217"/>
        <v/>
      </c>
      <c r="AB215" s="172" t="str">
        <f t="shared" si="217"/>
        <v/>
      </c>
      <c r="AC215" s="172" t="str">
        <f t="shared" si="217"/>
        <v/>
      </c>
      <c r="AD215" s="172" t="str">
        <f t="shared" si="217"/>
        <v/>
      </c>
      <c r="AE215" s="172" t="str">
        <f t="shared" si="217"/>
        <v/>
      </c>
      <c r="AF215" s="172" t="str">
        <f t="shared" si="217"/>
        <v/>
      </c>
      <c r="AG215" s="172" t="str">
        <f t="shared" si="217"/>
        <v/>
      </c>
      <c r="AH215" s="172" t="str">
        <f t="shared" si="217"/>
        <v/>
      </c>
      <c r="AI215" s="172" t="str">
        <f t="shared" si="217"/>
        <v/>
      </c>
      <c r="AJ215" s="172" t="str">
        <f t="shared" si="217"/>
        <v/>
      </c>
      <c r="AK215" s="172" t="str">
        <f t="shared" si="217"/>
        <v/>
      </c>
      <c r="AL215" s="172" t="str">
        <f t="shared" si="217"/>
        <v/>
      </c>
      <c r="AM215" s="172" t="str">
        <f t="shared" si="217"/>
        <v/>
      </c>
      <c r="AN215" s="172" t="str">
        <f t="shared" si="217"/>
        <v/>
      </c>
      <c r="AO215" s="172" t="str">
        <f t="shared" si="217"/>
        <v/>
      </c>
      <c r="AP215" s="172" t="str">
        <f t="shared" si="217"/>
        <v/>
      </c>
      <c r="AQ215" s="172" t="str">
        <f t="shared" si="217"/>
        <v/>
      </c>
      <c r="AR215" s="172" t="str">
        <f t="shared" si="217"/>
        <v/>
      </c>
      <c r="AS215" s="172" t="str">
        <f t="shared" si="217"/>
        <v/>
      </c>
      <c r="AT215" s="173">
        <f>IF(AT$6="","",IF(AT$3="Maior",iferror(VLOOKUP($R215,Capa!$A:$AJ,AT$5,0),0),IF(ISERROR(1/VLOOKUP($R215,Capa!$A:$AJ,AT$5,0)),0,1/VLOOKUP($R215,Capa!$A:$AJ,AT$5,0))))</f>
        <v>-0.7456192397</v>
      </c>
      <c r="AU215" s="174">
        <f>IF(AU$6="","",IF(AU$3="Maior",iferror(VLOOKUP($R215,Capa!$A:$AJ,AU$5,0),0),IF(ISERROR(1/VLOOKUP($R215,Capa!$A:$AJ,AU$5,0)),0,1/VLOOKUP($R215,Capa!$A:$AJ,AU$5,0))))</f>
        <v>34.36</v>
      </c>
      <c r="AV215" s="174" t="str">
        <f>IF(AV$6="","",IF(AV$3="Maior",iferror(VLOOKUP($R215,Capa!$A:$AJ,AV$5,0),0),IF(ISERROR(1/VLOOKUP($R215,Capa!$A:$AJ,AV$5,0)),0,1/VLOOKUP($R215,Capa!$A:$AJ,AV$5,0))))</f>
        <v/>
      </c>
      <c r="AW215" s="174" t="str">
        <f>IF(AW$6="","",IF(AW$3="Maior",iferror(VLOOKUP($R215,Capa!$A:$AJ,AW$5,0),0),IF(ISERROR(1/VLOOKUP($R215,Capa!$A:$AJ,AW$5,0)),0,1/VLOOKUP($R215,Capa!$A:$AJ,AW$5,0))))</f>
        <v/>
      </c>
      <c r="AX215" s="174" t="str">
        <f>IF(AX$6="","",IF(AX$3="Maior",iferror(VLOOKUP($R215,Capa!$A:$AJ,AX$5,0),0),IF(ISERROR(1/VLOOKUP($R215,Capa!$A:$AJ,AX$5,0)),0,1/VLOOKUP($R215,Capa!$A:$AJ,AX$5,0))))</f>
        <v/>
      </c>
      <c r="AY215" s="174" t="str">
        <f>IF(AY$6="","",IF(AY$3="Maior",iferror(VLOOKUP($R215,Capa!$A:$AJ,AY$5,0),0),IF(ISERROR(1/VLOOKUP($R215,Capa!$A:$AJ,AY$5,0)),0,1/VLOOKUP($R215,Capa!$A:$AJ,AY$5,0))))</f>
        <v/>
      </c>
      <c r="AZ215" s="174" t="str">
        <f>IF(AZ$6="","",IF(AZ$3="Maior",iferror(VLOOKUP($R215,Capa!$A:$AJ,AZ$5,0),0),IF(ISERROR(1/VLOOKUP($R215,Capa!$A:$AJ,AZ$5,0)),0,1/VLOOKUP($R215,Capa!$A:$AJ,AZ$5,0))))</f>
        <v/>
      </c>
      <c r="BA215" s="174" t="str">
        <f>IF(BA$6="","",IF(BA$3="Maior",iferror(VLOOKUP($R215,Capa!$A:$AJ,BA$5,0),0),IF(ISERROR(1/VLOOKUP($R215,Capa!$A:$AJ,BA$5,0)),0,1/VLOOKUP($R215,Capa!$A:$AJ,BA$5,0))))</f>
        <v/>
      </c>
      <c r="BB215" s="174" t="str">
        <f>IF(BB$6="","",IF(BB$3="Maior",iferror(VLOOKUP($R215,Capa!$A:$AJ,BB$5,0),0),IF(ISERROR(1/VLOOKUP($R215,Capa!$A:$AJ,BB$5,0)),0,1/VLOOKUP($R215,Capa!$A:$AJ,BB$5,0))))</f>
        <v/>
      </c>
      <c r="BC215" s="174" t="str">
        <f>IF(BC$6="","",IF(BC$3="Maior",iferror(VLOOKUP($R215,Capa!$A:$AJ,BC$5,0),0),IF(ISERROR(1/VLOOKUP($R215,Capa!$A:$AJ,BC$5,0)),0,1/VLOOKUP($R215,Capa!$A:$AJ,BC$5,0))))</f>
        <v/>
      </c>
      <c r="BD215" s="174" t="str">
        <f>IF(BD$6="","",IF(BD$3="Maior",iferror(VLOOKUP($R215,Capa!$A:$AJ,BD$5,0),0),IF(ISERROR(1/VLOOKUP($R215,Capa!$A:$AJ,BD$5,0)),0,1/VLOOKUP($R215,Capa!$A:$AJ,BD$5,0))))</f>
        <v/>
      </c>
      <c r="BE215" s="174" t="str">
        <f>IF(BE$6="","",IF(BE$3="Maior",iferror(VLOOKUP($R215,Capa!$A:$AJ,BE$5,0),0),IF(ISERROR(1/VLOOKUP($R215,Capa!$A:$AJ,BE$5,0)),0,1/VLOOKUP($R215,Capa!$A:$AJ,BE$5,0))))</f>
        <v/>
      </c>
      <c r="BF215" s="174" t="str">
        <f>IF(BF$6="","",IF(BF$3="Maior",iferror(VLOOKUP($R215,Capa!$A:$AJ,BF$5,0),0),IF(ISERROR(1/VLOOKUP($R215,Capa!$A:$AJ,BF$5,0)),0,1/VLOOKUP($R215,Capa!$A:$AJ,BF$5,0))))</f>
        <v/>
      </c>
      <c r="BG215" s="174" t="str">
        <f>IF(BG$6="","",IF(BG$3="Maior",iferror(VLOOKUP($R215,Capa!$A:$AJ,BG$5,0),0),IF(ISERROR(1/VLOOKUP($R215,Capa!$A:$AJ,BG$5,0)),0,1/VLOOKUP($R215,Capa!$A:$AJ,BG$5,0))))</f>
        <v/>
      </c>
      <c r="BH215" s="174" t="str">
        <f>IF(BH$6="","",IF(BH$3="Maior",iferror(VLOOKUP($R215,Capa!$A:$AJ,BH$5,0),0),IF(ISERROR(1/VLOOKUP($R215,Capa!$A:$AJ,BH$5,0)),0,1/VLOOKUP($R215,Capa!$A:$AJ,BH$5,0))))</f>
        <v/>
      </c>
      <c r="BI215" s="174" t="str">
        <f>IF(BI$6="","",IF(BI$3="Maior",iferror(VLOOKUP($R215,Capa!$A:$AJ,BI$5,0),0),IF(ISERROR(1/VLOOKUP($R215,Capa!$A:$AJ,BI$5,0)),0,1/VLOOKUP($R215,Capa!$A:$AJ,BI$5,0))))</f>
        <v/>
      </c>
      <c r="BJ215" s="174" t="str">
        <f>IF(BJ$6="","",IF(BJ$3="Maior",iferror(VLOOKUP($R215,Capa!$A:$AJ,BJ$5,0),0),IF(ISERROR(1/VLOOKUP($R215,Capa!$A:$AJ,BJ$5,0)),0,1/VLOOKUP($R215,Capa!$A:$AJ,BJ$5,0))))</f>
        <v/>
      </c>
      <c r="BK215" s="174" t="str">
        <f>IF(BK$6="","",IF(BK$3="Maior",iferror(VLOOKUP($R215,Capa!$A:$AJ,BK$5,0),0),IF(ISERROR(1/VLOOKUP($R215,Capa!$A:$AJ,BK$5,0)),0,1/VLOOKUP($R215,Capa!$A:$AJ,BK$5,0))))</f>
        <v/>
      </c>
      <c r="BL215" s="174" t="str">
        <f>IF(BL$6="","",IF(BL$3="Maior",iferror(VLOOKUP($R215,Capa!$A:$AJ,BL$5,0),0),IF(ISERROR(1/VLOOKUP($R215,Capa!$A:$AJ,BL$5,0)),0,1/VLOOKUP($R215,Capa!$A:$AJ,BL$5,0))))</f>
        <v/>
      </c>
      <c r="BM215" s="174" t="str">
        <f>IF(BM$6="","",IF(BM$3="Maior",iferror(VLOOKUP($R215,Capa!$A:$AJ,BM$5,0),0),IF(ISERROR(1/VLOOKUP($R215,Capa!$A:$AJ,BM$5,0)),0,1/VLOOKUP($R215,Capa!$A:$AJ,BM$5,0))))</f>
        <v/>
      </c>
      <c r="BN215" s="174" t="str">
        <f>IF(BN$6="","",IF(BN$3="Maior",iferror(VLOOKUP($R215,Capa!$A:$AJ,BN$5,0),0),IF(ISERROR(1/VLOOKUP($R215,Capa!$A:$AJ,BN$5,0)),0,1/VLOOKUP($R215,Capa!$A:$AJ,BN$5,0))))</f>
        <v/>
      </c>
      <c r="BO215" s="174" t="str">
        <f>IF(BO$6="","",IF(BO$3="Maior",iferror(VLOOKUP($R215,Capa!$A:$AJ,BO$5,0),0),IF(ISERROR(1/VLOOKUP($R215,Capa!$A:$AJ,BO$5,0)),0,1/VLOOKUP($R215,Capa!$A:$AJ,BO$5,0))))</f>
        <v/>
      </c>
      <c r="BP215" s="174" t="str">
        <f>IF(BP$6="","",IF(BP$3="Maior",iferror(VLOOKUP($R215,Capa!$A:$AJ,BP$5,0),0),IF(ISERROR(1/VLOOKUP($R215,Capa!$A:$AJ,BP$5,0)),0,1/VLOOKUP($R215,Capa!$A:$AJ,BP$5,0))))</f>
        <v/>
      </c>
      <c r="BQ215" s="174" t="str">
        <f>IF(BQ$6="","",IF(BQ$3="Maior",iferror(VLOOKUP($R215,Capa!$A:$AJ,BQ$5,0),0),IF(ISERROR(1/VLOOKUP($R215,Capa!$A:$AJ,BQ$5,0)),0,1/VLOOKUP($R215,Capa!$A:$AJ,BQ$5,0))))</f>
        <v/>
      </c>
      <c r="BR215" s="175"/>
      <c r="BS215" s="147"/>
    </row>
    <row r="216">
      <c r="G216" s="11"/>
      <c r="H216" s="8">
        <v>210.0</v>
      </c>
      <c r="I216" s="165" t="str">
        <f t="shared" si="6"/>
        <v>MWET4</v>
      </c>
      <c r="J216" s="166" t="str">
        <f>(VLOOKUP($I216,Capa!$A:$B,2,0))</f>
        <v>Wetzel SA Preference Shares</v>
      </c>
      <c r="K216" s="167" t="str">
        <f>VLOOKUP(left(I216,4),Setor!A:D,3,0)&amp;" | "&amp;VLOOKUP(left(I216,4),Setor!A:D,4,0)</f>
        <v>Bens Industriais | Material de Transporte</v>
      </c>
      <c r="L216" s="168">
        <f>(VLOOKUP($I216,Capa!$A:$F,6,0))</f>
        <v>10.7</v>
      </c>
      <c r="M216" s="168">
        <f t="shared" si="7"/>
        <v>854734.8</v>
      </c>
      <c r="N216" s="11" t="str">
        <f>IFERROR(__xludf.DUMMYFUNCTION("(VLOOKUP($I216,Capa!$A:$H,7,0))"),"")</f>
        <v/>
      </c>
      <c r="O216" s="169">
        <f>(VLOOKUP($I216,Capa!$A:$H,8,0))</f>
        <v>0.2558685446</v>
      </c>
      <c r="P216" s="11" t="str">
        <f>IFERROR(__xludf.DUMMYFUNCTION("(VLOOKUP($I216,Capa!$A:$J,10,0))"),"")</f>
        <v/>
      </c>
      <c r="Q216" s="169" t="str">
        <f>(VLOOKUP($I216,Capa!$A:$K,11,0))</f>
        <v/>
      </c>
      <c r="R216" s="45" t="str">
        <f>'Dados StatusInvest'!A211</f>
        <v>DASA3</v>
      </c>
      <c r="S216" s="170">
        <f t="shared" si="8"/>
        <v>748.0748</v>
      </c>
      <c r="T216" s="171">
        <f>VLOOKUP(R216,'Dados StatusInvest'!A:Z,26,0)</f>
        <v>6882380</v>
      </c>
      <c r="U216" s="172">
        <f t="shared" ref="U216:AS216" si="218">IF(AT216="","", RANK(AT216,AT$7:AT$626,0)+RANK(AT216,AT$7:AT$626,0)/10000)</f>
        <v>481.0481</v>
      </c>
      <c r="V216" s="172">
        <f t="shared" si="218"/>
        <v>267.0267</v>
      </c>
      <c r="W216" s="172" t="str">
        <f t="shared" si="218"/>
        <v/>
      </c>
      <c r="X216" s="172" t="str">
        <f t="shared" si="218"/>
        <v/>
      </c>
      <c r="Y216" s="172" t="str">
        <f t="shared" si="218"/>
        <v/>
      </c>
      <c r="Z216" s="172" t="str">
        <f t="shared" si="218"/>
        <v/>
      </c>
      <c r="AA216" s="172" t="str">
        <f t="shared" si="218"/>
        <v/>
      </c>
      <c r="AB216" s="172" t="str">
        <f t="shared" si="218"/>
        <v/>
      </c>
      <c r="AC216" s="172" t="str">
        <f t="shared" si="218"/>
        <v/>
      </c>
      <c r="AD216" s="172" t="str">
        <f t="shared" si="218"/>
        <v/>
      </c>
      <c r="AE216" s="172" t="str">
        <f t="shared" si="218"/>
        <v/>
      </c>
      <c r="AF216" s="172" t="str">
        <f t="shared" si="218"/>
        <v/>
      </c>
      <c r="AG216" s="172" t="str">
        <f t="shared" si="218"/>
        <v/>
      </c>
      <c r="AH216" s="172" t="str">
        <f t="shared" si="218"/>
        <v/>
      </c>
      <c r="AI216" s="172" t="str">
        <f t="shared" si="218"/>
        <v/>
      </c>
      <c r="AJ216" s="172" t="str">
        <f t="shared" si="218"/>
        <v/>
      </c>
      <c r="AK216" s="172" t="str">
        <f t="shared" si="218"/>
        <v/>
      </c>
      <c r="AL216" s="172" t="str">
        <f t="shared" si="218"/>
        <v/>
      </c>
      <c r="AM216" s="172" t="str">
        <f t="shared" si="218"/>
        <v/>
      </c>
      <c r="AN216" s="172" t="str">
        <f t="shared" si="218"/>
        <v/>
      </c>
      <c r="AO216" s="172" t="str">
        <f t="shared" si="218"/>
        <v/>
      </c>
      <c r="AP216" s="172" t="str">
        <f t="shared" si="218"/>
        <v/>
      </c>
      <c r="AQ216" s="172" t="str">
        <f t="shared" si="218"/>
        <v/>
      </c>
      <c r="AR216" s="172" t="str">
        <f t="shared" si="218"/>
        <v/>
      </c>
      <c r="AS216" s="172" t="str">
        <f t="shared" si="218"/>
        <v/>
      </c>
      <c r="AT216" s="173">
        <f>IF(AT$6="","",IF(AT$3="Maior",iferror(VLOOKUP($R216,Capa!$A:$AJ,AT$5,0),0),IF(ISERROR(1/VLOOKUP($R216,Capa!$A:$AJ,AT$5,0)),0,1/VLOOKUP($R216,Capa!$A:$AJ,AT$5,0))))</f>
        <v>-2.700432844</v>
      </c>
      <c r="AU216" s="174">
        <f>IF(AU$6="","",IF(AU$3="Maior",iferror(VLOOKUP($R216,Capa!$A:$AJ,AU$5,0),0),IF(ISERROR(1/VLOOKUP($R216,Capa!$A:$AJ,AU$5,0)),0,1/VLOOKUP($R216,Capa!$A:$AJ,AU$5,0))))</f>
        <v>0</v>
      </c>
      <c r="AV216" s="174" t="str">
        <f>IF(AV$6="","",IF(AV$3="Maior",iferror(VLOOKUP($R216,Capa!$A:$AJ,AV$5,0),0),IF(ISERROR(1/VLOOKUP($R216,Capa!$A:$AJ,AV$5,0)),0,1/VLOOKUP($R216,Capa!$A:$AJ,AV$5,0))))</f>
        <v/>
      </c>
      <c r="AW216" s="174" t="str">
        <f>IF(AW$6="","",IF(AW$3="Maior",iferror(VLOOKUP($R216,Capa!$A:$AJ,AW$5,0),0),IF(ISERROR(1/VLOOKUP($R216,Capa!$A:$AJ,AW$5,0)),0,1/VLOOKUP($R216,Capa!$A:$AJ,AW$5,0))))</f>
        <v/>
      </c>
      <c r="AX216" s="174" t="str">
        <f>IF(AX$6="","",IF(AX$3="Maior",iferror(VLOOKUP($R216,Capa!$A:$AJ,AX$5,0),0),IF(ISERROR(1/VLOOKUP($R216,Capa!$A:$AJ,AX$5,0)),0,1/VLOOKUP($R216,Capa!$A:$AJ,AX$5,0))))</f>
        <v/>
      </c>
      <c r="AY216" s="174" t="str">
        <f>IF(AY$6="","",IF(AY$3="Maior",iferror(VLOOKUP($R216,Capa!$A:$AJ,AY$5,0),0),IF(ISERROR(1/VLOOKUP($R216,Capa!$A:$AJ,AY$5,0)),0,1/VLOOKUP($R216,Capa!$A:$AJ,AY$5,0))))</f>
        <v/>
      </c>
      <c r="AZ216" s="174" t="str">
        <f>IF(AZ$6="","",IF(AZ$3="Maior",iferror(VLOOKUP($R216,Capa!$A:$AJ,AZ$5,0),0),IF(ISERROR(1/VLOOKUP($R216,Capa!$A:$AJ,AZ$5,0)),0,1/VLOOKUP($R216,Capa!$A:$AJ,AZ$5,0))))</f>
        <v/>
      </c>
      <c r="BA216" s="174" t="str">
        <f>IF(BA$6="","",IF(BA$3="Maior",iferror(VLOOKUP($R216,Capa!$A:$AJ,BA$5,0),0),IF(ISERROR(1/VLOOKUP($R216,Capa!$A:$AJ,BA$5,0)),0,1/VLOOKUP($R216,Capa!$A:$AJ,BA$5,0))))</f>
        <v/>
      </c>
      <c r="BB216" s="174" t="str">
        <f>IF(BB$6="","",IF(BB$3="Maior",iferror(VLOOKUP($R216,Capa!$A:$AJ,BB$5,0),0),IF(ISERROR(1/VLOOKUP($R216,Capa!$A:$AJ,BB$5,0)),0,1/VLOOKUP($R216,Capa!$A:$AJ,BB$5,0))))</f>
        <v/>
      </c>
      <c r="BC216" s="174" t="str">
        <f>IF(BC$6="","",IF(BC$3="Maior",iferror(VLOOKUP($R216,Capa!$A:$AJ,BC$5,0),0),IF(ISERROR(1/VLOOKUP($R216,Capa!$A:$AJ,BC$5,0)),0,1/VLOOKUP($R216,Capa!$A:$AJ,BC$5,0))))</f>
        <v/>
      </c>
      <c r="BD216" s="174" t="str">
        <f>IF(BD$6="","",IF(BD$3="Maior",iferror(VLOOKUP($R216,Capa!$A:$AJ,BD$5,0),0),IF(ISERROR(1/VLOOKUP($R216,Capa!$A:$AJ,BD$5,0)),0,1/VLOOKUP($R216,Capa!$A:$AJ,BD$5,0))))</f>
        <v/>
      </c>
      <c r="BE216" s="174" t="str">
        <f>IF(BE$6="","",IF(BE$3="Maior",iferror(VLOOKUP($R216,Capa!$A:$AJ,BE$5,0),0),IF(ISERROR(1/VLOOKUP($R216,Capa!$A:$AJ,BE$5,0)),0,1/VLOOKUP($R216,Capa!$A:$AJ,BE$5,0))))</f>
        <v/>
      </c>
      <c r="BF216" s="174" t="str">
        <f>IF(BF$6="","",IF(BF$3="Maior",iferror(VLOOKUP($R216,Capa!$A:$AJ,BF$5,0),0),IF(ISERROR(1/VLOOKUP($R216,Capa!$A:$AJ,BF$5,0)),0,1/VLOOKUP($R216,Capa!$A:$AJ,BF$5,0))))</f>
        <v/>
      </c>
      <c r="BG216" s="174" t="str">
        <f>IF(BG$6="","",IF(BG$3="Maior",iferror(VLOOKUP($R216,Capa!$A:$AJ,BG$5,0),0),IF(ISERROR(1/VLOOKUP($R216,Capa!$A:$AJ,BG$5,0)),0,1/VLOOKUP($R216,Capa!$A:$AJ,BG$5,0))))</f>
        <v/>
      </c>
      <c r="BH216" s="174" t="str">
        <f>IF(BH$6="","",IF(BH$3="Maior",iferror(VLOOKUP($R216,Capa!$A:$AJ,BH$5,0),0),IF(ISERROR(1/VLOOKUP($R216,Capa!$A:$AJ,BH$5,0)),0,1/VLOOKUP($R216,Capa!$A:$AJ,BH$5,0))))</f>
        <v/>
      </c>
      <c r="BI216" s="174" t="str">
        <f>IF(BI$6="","",IF(BI$3="Maior",iferror(VLOOKUP($R216,Capa!$A:$AJ,BI$5,0),0),IF(ISERROR(1/VLOOKUP($R216,Capa!$A:$AJ,BI$5,0)),0,1/VLOOKUP($R216,Capa!$A:$AJ,BI$5,0))))</f>
        <v/>
      </c>
      <c r="BJ216" s="174" t="str">
        <f>IF(BJ$6="","",IF(BJ$3="Maior",iferror(VLOOKUP($R216,Capa!$A:$AJ,BJ$5,0),0),IF(ISERROR(1/VLOOKUP($R216,Capa!$A:$AJ,BJ$5,0)),0,1/VLOOKUP($R216,Capa!$A:$AJ,BJ$5,0))))</f>
        <v/>
      </c>
      <c r="BK216" s="174" t="str">
        <f>IF(BK$6="","",IF(BK$3="Maior",iferror(VLOOKUP($R216,Capa!$A:$AJ,BK$5,0),0),IF(ISERROR(1/VLOOKUP($R216,Capa!$A:$AJ,BK$5,0)),0,1/VLOOKUP($R216,Capa!$A:$AJ,BK$5,0))))</f>
        <v/>
      </c>
      <c r="BL216" s="174" t="str">
        <f>IF(BL$6="","",IF(BL$3="Maior",iferror(VLOOKUP($R216,Capa!$A:$AJ,BL$5,0),0),IF(ISERROR(1/VLOOKUP($R216,Capa!$A:$AJ,BL$5,0)),0,1/VLOOKUP($R216,Capa!$A:$AJ,BL$5,0))))</f>
        <v/>
      </c>
      <c r="BM216" s="174" t="str">
        <f>IF(BM$6="","",IF(BM$3="Maior",iferror(VLOOKUP($R216,Capa!$A:$AJ,BM$5,0),0),IF(ISERROR(1/VLOOKUP($R216,Capa!$A:$AJ,BM$5,0)),0,1/VLOOKUP($R216,Capa!$A:$AJ,BM$5,0))))</f>
        <v/>
      </c>
      <c r="BN216" s="174" t="str">
        <f>IF(BN$6="","",IF(BN$3="Maior",iferror(VLOOKUP($R216,Capa!$A:$AJ,BN$5,0),0),IF(ISERROR(1/VLOOKUP($R216,Capa!$A:$AJ,BN$5,0)),0,1/VLOOKUP($R216,Capa!$A:$AJ,BN$5,0))))</f>
        <v/>
      </c>
      <c r="BO216" s="174" t="str">
        <f>IF(BO$6="","",IF(BO$3="Maior",iferror(VLOOKUP($R216,Capa!$A:$AJ,BO$5,0),0),IF(ISERROR(1/VLOOKUP($R216,Capa!$A:$AJ,BO$5,0)),0,1/VLOOKUP($R216,Capa!$A:$AJ,BO$5,0))))</f>
        <v/>
      </c>
      <c r="BP216" s="174" t="str">
        <f>IF(BP$6="","",IF(BP$3="Maior",iferror(VLOOKUP($R216,Capa!$A:$AJ,BP$5,0),0),IF(ISERROR(1/VLOOKUP($R216,Capa!$A:$AJ,BP$5,0)),0,1/VLOOKUP($R216,Capa!$A:$AJ,BP$5,0))))</f>
        <v/>
      </c>
      <c r="BQ216" s="174" t="str">
        <f>IF(BQ$6="","",IF(BQ$3="Maior",iferror(VLOOKUP($R216,Capa!$A:$AJ,BQ$5,0),0),IF(ISERROR(1/VLOOKUP($R216,Capa!$A:$AJ,BQ$5,0)),0,1/VLOOKUP($R216,Capa!$A:$AJ,BQ$5,0))))</f>
        <v/>
      </c>
      <c r="BR216" s="175"/>
      <c r="BS216" s="147"/>
    </row>
    <row r="217">
      <c r="G217" s="11"/>
      <c r="H217" s="8">
        <v>211.0</v>
      </c>
      <c r="I217" s="165" t="str">
        <f t="shared" si="6"/>
        <v>MWET4</v>
      </c>
      <c r="J217" s="166" t="str">
        <f>(VLOOKUP($I217,Capa!$A:$B,2,0))</f>
        <v>Wetzel SA Preference Shares</v>
      </c>
      <c r="K217" s="167" t="str">
        <f>VLOOKUP(left(I217,4),Setor!A:D,3,0)&amp;" | "&amp;VLOOKUP(left(I217,4),Setor!A:D,4,0)</f>
        <v>Bens Industriais | Material de Transporte</v>
      </c>
      <c r="L217" s="168">
        <f>(VLOOKUP($I217,Capa!$A:$F,6,0))</f>
        <v>10.7</v>
      </c>
      <c r="M217" s="168">
        <f t="shared" si="7"/>
        <v>854734.8</v>
      </c>
      <c r="N217" s="11" t="str">
        <f>IFERROR(__xludf.DUMMYFUNCTION("(VLOOKUP($I217,Capa!$A:$H,7,0))"),"")</f>
        <v/>
      </c>
      <c r="O217" s="169">
        <f>(VLOOKUP($I217,Capa!$A:$H,8,0))</f>
        <v>0.2558685446</v>
      </c>
      <c r="P217" s="11" t="str">
        <f>IFERROR(__xludf.DUMMYFUNCTION("(VLOOKUP($I217,Capa!$A:$J,10,0))"),"")</f>
        <v/>
      </c>
      <c r="Q217" s="169" t="str">
        <f>(VLOOKUP($I217,Capa!$A:$K,11,0))</f>
        <v/>
      </c>
      <c r="R217" s="45" t="str">
        <f>'Dados StatusInvest'!A212</f>
        <v>DESK3</v>
      </c>
      <c r="S217" s="170">
        <f t="shared" si="8"/>
        <v>676.0676</v>
      </c>
      <c r="T217" s="171">
        <f>VLOOKUP(R217,'Dados StatusInvest'!A:Z,26,0)</f>
        <v>31216178</v>
      </c>
      <c r="U217" s="172">
        <f t="shared" ref="U217:AS217" si="219">IF(AT217="","", RANK(AT217,AT$7:AT$626,0)+RANK(AT217,AT$7:AT$626,0)/10000)</f>
        <v>409.0409</v>
      </c>
      <c r="V217" s="172">
        <f t="shared" si="219"/>
        <v>267.0267</v>
      </c>
      <c r="W217" s="172" t="str">
        <f t="shared" si="219"/>
        <v/>
      </c>
      <c r="X217" s="172" t="str">
        <f t="shared" si="219"/>
        <v/>
      </c>
      <c r="Y217" s="172" t="str">
        <f t="shared" si="219"/>
        <v/>
      </c>
      <c r="Z217" s="172" t="str">
        <f t="shared" si="219"/>
        <v/>
      </c>
      <c r="AA217" s="172" t="str">
        <f t="shared" si="219"/>
        <v/>
      </c>
      <c r="AB217" s="172" t="str">
        <f t="shared" si="219"/>
        <v/>
      </c>
      <c r="AC217" s="172" t="str">
        <f t="shared" si="219"/>
        <v/>
      </c>
      <c r="AD217" s="172" t="str">
        <f t="shared" si="219"/>
        <v/>
      </c>
      <c r="AE217" s="172" t="str">
        <f t="shared" si="219"/>
        <v/>
      </c>
      <c r="AF217" s="172" t="str">
        <f t="shared" si="219"/>
        <v/>
      </c>
      <c r="AG217" s="172" t="str">
        <f t="shared" si="219"/>
        <v/>
      </c>
      <c r="AH217" s="172" t="str">
        <f t="shared" si="219"/>
        <v/>
      </c>
      <c r="AI217" s="172" t="str">
        <f t="shared" si="219"/>
        <v/>
      </c>
      <c r="AJ217" s="172" t="str">
        <f t="shared" si="219"/>
        <v/>
      </c>
      <c r="AK217" s="172" t="str">
        <f t="shared" si="219"/>
        <v/>
      </c>
      <c r="AL217" s="172" t="str">
        <f t="shared" si="219"/>
        <v/>
      </c>
      <c r="AM217" s="172" t="str">
        <f t="shared" si="219"/>
        <v/>
      </c>
      <c r="AN217" s="172" t="str">
        <f t="shared" si="219"/>
        <v/>
      </c>
      <c r="AO217" s="172" t="str">
        <f t="shared" si="219"/>
        <v/>
      </c>
      <c r="AP217" s="172" t="str">
        <f t="shared" si="219"/>
        <v/>
      </c>
      <c r="AQ217" s="172" t="str">
        <f t="shared" si="219"/>
        <v/>
      </c>
      <c r="AR217" s="172" t="str">
        <f t="shared" si="219"/>
        <v/>
      </c>
      <c r="AS217" s="172" t="str">
        <f t="shared" si="219"/>
        <v/>
      </c>
      <c r="AT217" s="173">
        <f>IF(AT$6="","",IF(AT$3="Maior",iferror(VLOOKUP($R217,Capa!$A:$AJ,AT$5,0),0),IF(ISERROR(1/VLOOKUP($R217,Capa!$A:$AJ,AT$5,0)),0,1/VLOOKUP($R217,Capa!$A:$AJ,AT$5,0))))</f>
        <v>-1.439508009</v>
      </c>
      <c r="AU217" s="174">
        <f>IF(AU$6="","",IF(AU$3="Maior",iferror(VLOOKUP($R217,Capa!$A:$AJ,AU$5,0),0),IF(ISERROR(1/VLOOKUP($R217,Capa!$A:$AJ,AU$5,0)),0,1/VLOOKUP($R217,Capa!$A:$AJ,AU$5,0))))</f>
        <v>0</v>
      </c>
      <c r="AV217" s="174" t="str">
        <f>IF(AV$6="","",IF(AV$3="Maior",iferror(VLOOKUP($R217,Capa!$A:$AJ,AV$5,0),0),IF(ISERROR(1/VLOOKUP($R217,Capa!$A:$AJ,AV$5,0)),0,1/VLOOKUP($R217,Capa!$A:$AJ,AV$5,0))))</f>
        <v/>
      </c>
      <c r="AW217" s="174" t="str">
        <f>IF(AW$6="","",IF(AW$3="Maior",iferror(VLOOKUP($R217,Capa!$A:$AJ,AW$5,0),0),IF(ISERROR(1/VLOOKUP($R217,Capa!$A:$AJ,AW$5,0)),0,1/VLOOKUP($R217,Capa!$A:$AJ,AW$5,0))))</f>
        <v/>
      </c>
      <c r="AX217" s="174" t="str">
        <f>IF(AX$6="","",IF(AX$3="Maior",iferror(VLOOKUP($R217,Capa!$A:$AJ,AX$5,0),0),IF(ISERROR(1/VLOOKUP($R217,Capa!$A:$AJ,AX$5,0)),0,1/VLOOKUP($R217,Capa!$A:$AJ,AX$5,0))))</f>
        <v/>
      </c>
      <c r="AY217" s="174" t="str">
        <f>IF(AY$6="","",IF(AY$3="Maior",iferror(VLOOKUP($R217,Capa!$A:$AJ,AY$5,0),0),IF(ISERROR(1/VLOOKUP($R217,Capa!$A:$AJ,AY$5,0)),0,1/VLOOKUP($R217,Capa!$A:$AJ,AY$5,0))))</f>
        <v/>
      </c>
      <c r="AZ217" s="174" t="str">
        <f>IF(AZ$6="","",IF(AZ$3="Maior",iferror(VLOOKUP($R217,Capa!$A:$AJ,AZ$5,0),0),IF(ISERROR(1/VLOOKUP($R217,Capa!$A:$AJ,AZ$5,0)),0,1/VLOOKUP($R217,Capa!$A:$AJ,AZ$5,0))))</f>
        <v/>
      </c>
      <c r="BA217" s="174" t="str">
        <f>IF(BA$6="","",IF(BA$3="Maior",iferror(VLOOKUP($R217,Capa!$A:$AJ,BA$5,0),0),IF(ISERROR(1/VLOOKUP($R217,Capa!$A:$AJ,BA$5,0)),0,1/VLOOKUP($R217,Capa!$A:$AJ,BA$5,0))))</f>
        <v/>
      </c>
      <c r="BB217" s="174" t="str">
        <f>IF(BB$6="","",IF(BB$3="Maior",iferror(VLOOKUP($R217,Capa!$A:$AJ,BB$5,0),0),IF(ISERROR(1/VLOOKUP($R217,Capa!$A:$AJ,BB$5,0)),0,1/VLOOKUP($R217,Capa!$A:$AJ,BB$5,0))))</f>
        <v/>
      </c>
      <c r="BC217" s="174" t="str">
        <f>IF(BC$6="","",IF(BC$3="Maior",iferror(VLOOKUP($R217,Capa!$A:$AJ,BC$5,0),0),IF(ISERROR(1/VLOOKUP($R217,Capa!$A:$AJ,BC$5,0)),0,1/VLOOKUP($R217,Capa!$A:$AJ,BC$5,0))))</f>
        <v/>
      </c>
      <c r="BD217" s="174" t="str">
        <f>IF(BD$6="","",IF(BD$3="Maior",iferror(VLOOKUP($R217,Capa!$A:$AJ,BD$5,0),0),IF(ISERROR(1/VLOOKUP($R217,Capa!$A:$AJ,BD$5,0)),0,1/VLOOKUP($R217,Capa!$A:$AJ,BD$5,0))))</f>
        <v/>
      </c>
      <c r="BE217" s="174" t="str">
        <f>IF(BE$6="","",IF(BE$3="Maior",iferror(VLOOKUP($R217,Capa!$A:$AJ,BE$5,0),0),IF(ISERROR(1/VLOOKUP($R217,Capa!$A:$AJ,BE$5,0)),0,1/VLOOKUP($R217,Capa!$A:$AJ,BE$5,0))))</f>
        <v/>
      </c>
      <c r="BF217" s="174" t="str">
        <f>IF(BF$6="","",IF(BF$3="Maior",iferror(VLOOKUP($R217,Capa!$A:$AJ,BF$5,0),0),IF(ISERROR(1/VLOOKUP($R217,Capa!$A:$AJ,BF$5,0)),0,1/VLOOKUP($R217,Capa!$A:$AJ,BF$5,0))))</f>
        <v/>
      </c>
      <c r="BG217" s="174" t="str">
        <f>IF(BG$6="","",IF(BG$3="Maior",iferror(VLOOKUP($R217,Capa!$A:$AJ,BG$5,0),0),IF(ISERROR(1/VLOOKUP($R217,Capa!$A:$AJ,BG$5,0)),0,1/VLOOKUP($R217,Capa!$A:$AJ,BG$5,0))))</f>
        <v/>
      </c>
      <c r="BH217" s="174" t="str">
        <f>IF(BH$6="","",IF(BH$3="Maior",iferror(VLOOKUP($R217,Capa!$A:$AJ,BH$5,0),0),IF(ISERROR(1/VLOOKUP($R217,Capa!$A:$AJ,BH$5,0)),0,1/VLOOKUP($R217,Capa!$A:$AJ,BH$5,0))))</f>
        <v/>
      </c>
      <c r="BI217" s="174" t="str">
        <f>IF(BI$6="","",IF(BI$3="Maior",iferror(VLOOKUP($R217,Capa!$A:$AJ,BI$5,0),0),IF(ISERROR(1/VLOOKUP($R217,Capa!$A:$AJ,BI$5,0)),0,1/VLOOKUP($R217,Capa!$A:$AJ,BI$5,0))))</f>
        <v/>
      </c>
      <c r="BJ217" s="174" t="str">
        <f>IF(BJ$6="","",IF(BJ$3="Maior",iferror(VLOOKUP($R217,Capa!$A:$AJ,BJ$5,0),0),IF(ISERROR(1/VLOOKUP($R217,Capa!$A:$AJ,BJ$5,0)),0,1/VLOOKUP($R217,Capa!$A:$AJ,BJ$5,0))))</f>
        <v/>
      </c>
      <c r="BK217" s="174" t="str">
        <f>IF(BK$6="","",IF(BK$3="Maior",iferror(VLOOKUP($R217,Capa!$A:$AJ,BK$5,0),0),IF(ISERROR(1/VLOOKUP($R217,Capa!$A:$AJ,BK$5,0)),0,1/VLOOKUP($R217,Capa!$A:$AJ,BK$5,0))))</f>
        <v/>
      </c>
      <c r="BL217" s="174" t="str">
        <f>IF(BL$6="","",IF(BL$3="Maior",iferror(VLOOKUP($R217,Capa!$A:$AJ,BL$5,0),0),IF(ISERROR(1/VLOOKUP($R217,Capa!$A:$AJ,BL$5,0)),0,1/VLOOKUP($R217,Capa!$A:$AJ,BL$5,0))))</f>
        <v/>
      </c>
      <c r="BM217" s="174" t="str">
        <f>IF(BM$6="","",IF(BM$3="Maior",iferror(VLOOKUP($R217,Capa!$A:$AJ,BM$5,0),0),IF(ISERROR(1/VLOOKUP($R217,Capa!$A:$AJ,BM$5,0)),0,1/VLOOKUP($R217,Capa!$A:$AJ,BM$5,0))))</f>
        <v/>
      </c>
      <c r="BN217" s="174" t="str">
        <f>IF(BN$6="","",IF(BN$3="Maior",iferror(VLOOKUP($R217,Capa!$A:$AJ,BN$5,0),0),IF(ISERROR(1/VLOOKUP($R217,Capa!$A:$AJ,BN$5,0)),0,1/VLOOKUP($R217,Capa!$A:$AJ,BN$5,0))))</f>
        <v/>
      </c>
      <c r="BO217" s="174" t="str">
        <f>IF(BO$6="","",IF(BO$3="Maior",iferror(VLOOKUP($R217,Capa!$A:$AJ,BO$5,0),0),IF(ISERROR(1/VLOOKUP($R217,Capa!$A:$AJ,BO$5,0)),0,1/VLOOKUP($R217,Capa!$A:$AJ,BO$5,0))))</f>
        <v/>
      </c>
      <c r="BP217" s="174" t="str">
        <f>IF(BP$6="","",IF(BP$3="Maior",iferror(VLOOKUP($R217,Capa!$A:$AJ,BP$5,0),0),IF(ISERROR(1/VLOOKUP($R217,Capa!$A:$AJ,BP$5,0)),0,1/VLOOKUP($R217,Capa!$A:$AJ,BP$5,0))))</f>
        <v/>
      </c>
      <c r="BQ217" s="174" t="str">
        <f>IF(BQ$6="","",IF(BQ$3="Maior",iferror(VLOOKUP($R217,Capa!$A:$AJ,BQ$5,0),0),IF(ISERROR(1/VLOOKUP($R217,Capa!$A:$AJ,BQ$5,0)),0,1/VLOOKUP($R217,Capa!$A:$AJ,BQ$5,0))))</f>
        <v/>
      </c>
      <c r="BR217" s="175"/>
      <c r="BS217" s="147"/>
    </row>
    <row r="218">
      <c r="G218" s="11"/>
      <c r="H218" s="8">
        <v>212.0</v>
      </c>
      <c r="I218" s="165" t="str">
        <f t="shared" si="6"/>
        <v>IFCM3</v>
      </c>
      <c r="J218" s="166" t="str">
        <f>(VLOOKUP($I218,Capa!$A:$B,2,0))</f>
        <v>Infracommerce CXaaS SA</v>
      </c>
      <c r="K218" s="167" t="str">
        <f>VLOOKUP(left(I218,4),Setor!A:D,3,0)&amp;" | "&amp;VLOOKUP(left(I218,4),Setor!A:D,4,0)</f>
        <v>#N/A</v>
      </c>
      <c r="L218" s="168">
        <f>(VLOOKUP($I218,Capa!$A:$F,6,0))</f>
        <v>0.57</v>
      </c>
      <c r="M218" s="168">
        <f t="shared" si="7"/>
        <v>634200.1</v>
      </c>
      <c r="N218" s="11" t="str">
        <f>IFERROR(__xludf.DUMMYFUNCTION("(VLOOKUP($I218,Capa!$A:$H,7,0))"),"")</f>
        <v/>
      </c>
      <c r="O218" s="169">
        <f>(VLOOKUP($I218,Capa!$A:$H,8,0))</f>
        <v>-0.3214285714</v>
      </c>
      <c r="P218" s="11" t="str">
        <f>IFERROR(__xludf.DUMMYFUNCTION("(VLOOKUP($I218,Capa!$A:$J,10,0))"),"")</f>
        <v/>
      </c>
      <c r="Q218" s="169">
        <f>(VLOOKUP($I218,Capa!$A:$K,11,0))</f>
        <v>-0.9956627606</v>
      </c>
      <c r="R218" s="45" t="str">
        <f>'Dados StatusInvest'!A213</f>
        <v>DEXP3</v>
      </c>
      <c r="S218" s="170">
        <f t="shared" si="8"/>
        <v>312.0312</v>
      </c>
      <c r="T218" s="171">
        <f>VLOOKUP(R218,'Dados StatusInvest'!A:Z,26,0)</f>
        <v>1340591</v>
      </c>
      <c r="U218" s="172">
        <f t="shared" ref="U218:AS218" si="220">IF(AT218="","", RANK(AT218,AT$7:AT$626,0)+RANK(AT218,AT$7:AT$626,0)/10000)</f>
        <v>277.0277</v>
      </c>
      <c r="V218" s="172">
        <f t="shared" si="220"/>
        <v>35.0035</v>
      </c>
      <c r="W218" s="172" t="str">
        <f t="shared" si="220"/>
        <v/>
      </c>
      <c r="X218" s="172" t="str">
        <f t="shared" si="220"/>
        <v/>
      </c>
      <c r="Y218" s="172" t="str">
        <f t="shared" si="220"/>
        <v/>
      </c>
      <c r="Z218" s="172" t="str">
        <f t="shared" si="220"/>
        <v/>
      </c>
      <c r="AA218" s="172" t="str">
        <f t="shared" si="220"/>
        <v/>
      </c>
      <c r="AB218" s="172" t="str">
        <f t="shared" si="220"/>
        <v/>
      </c>
      <c r="AC218" s="172" t="str">
        <f t="shared" si="220"/>
        <v/>
      </c>
      <c r="AD218" s="172" t="str">
        <f t="shared" si="220"/>
        <v/>
      </c>
      <c r="AE218" s="172" t="str">
        <f t="shared" si="220"/>
        <v/>
      </c>
      <c r="AF218" s="172" t="str">
        <f t="shared" si="220"/>
        <v/>
      </c>
      <c r="AG218" s="172" t="str">
        <f t="shared" si="220"/>
        <v/>
      </c>
      <c r="AH218" s="172" t="str">
        <f t="shared" si="220"/>
        <v/>
      </c>
      <c r="AI218" s="172" t="str">
        <f t="shared" si="220"/>
        <v/>
      </c>
      <c r="AJ218" s="172" t="str">
        <f t="shared" si="220"/>
        <v/>
      </c>
      <c r="AK218" s="172" t="str">
        <f t="shared" si="220"/>
        <v/>
      </c>
      <c r="AL218" s="172" t="str">
        <f t="shared" si="220"/>
        <v/>
      </c>
      <c r="AM218" s="172" t="str">
        <f t="shared" si="220"/>
        <v/>
      </c>
      <c r="AN218" s="172" t="str">
        <f t="shared" si="220"/>
        <v/>
      </c>
      <c r="AO218" s="172" t="str">
        <f t="shared" si="220"/>
        <v/>
      </c>
      <c r="AP218" s="172" t="str">
        <f t="shared" si="220"/>
        <v/>
      </c>
      <c r="AQ218" s="172" t="str">
        <f t="shared" si="220"/>
        <v/>
      </c>
      <c r="AR218" s="172" t="str">
        <f t="shared" si="220"/>
        <v/>
      </c>
      <c r="AS218" s="172" t="str">
        <f t="shared" si="220"/>
        <v/>
      </c>
      <c r="AT218" s="173">
        <f>IF(AT$6="","",IF(AT$3="Maior",iferror(VLOOKUP($R218,Capa!$A:$AJ,AT$5,0),0),IF(ISERROR(1/VLOOKUP($R218,Capa!$A:$AJ,AT$5,0)),0,1/VLOOKUP($R218,Capa!$A:$AJ,AT$5,0))))</f>
        <v>-0.5882889456</v>
      </c>
      <c r="AU218" s="174">
        <f>IF(AU$6="","",IF(AU$3="Maior",iferror(VLOOKUP($R218,Capa!$A:$AJ,AU$5,0),0),IF(ISERROR(1/VLOOKUP($R218,Capa!$A:$AJ,AU$5,0)),0,1/VLOOKUP($R218,Capa!$A:$AJ,AU$5,0))))</f>
        <v>44.31</v>
      </c>
      <c r="AV218" s="174" t="str">
        <f>IF(AV$6="","",IF(AV$3="Maior",iferror(VLOOKUP($R218,Capa!$A:$AJ,AV$5,0),0),IF(ISERROR(1/VLOOKUP($R218,Capa!$A:$AJ,AV$5,0)),0,1/VLOOKUP($R218,Capa!$A:$AJ,AV$5,0))))</f>
        <v/>
      </c>
      <c r="AW218" s="174" t="str">
        <f>IF(AW$6="","",IF(AW$3="Maior",iferror(VLOOKUP($R218,Capa!$A:$AJ,AW$5,0),0),IF(ISERROR(1/VLOOKUP($R218,Capa!$A:$AJ,AW$5,0)),0,1/VLOOKUP($R218,Capa!$A:$AJ,AW$5,0))))</f>
        <v/>
      </c>
      <c r="AX218" s="174" t="str">
        <f>IF(AX$6="","",IF(AX$3="Maior",iferror(VLOOKUP($R218,Capa!$A:$AJ,AX$5,0),0),IF(ISERROR(1/VLOOKUP($R218,Capa!$A:$AJ,AX$5,0)),0,1/VLOOKUP($R218,Capa!$A:$AJ,AX$5,0))))</f>
        <v/>
      </c>
      <c r="AY218" s="174" t="str">
        <f>IF(AY$6="","",IF(AY$3="Maior",iferror(VLOOKUP($R218,Capa!$A:$AJ,AY$5,0),0),IF(ISERROR(1/VLOOKUP($R218,Capa!$A:$AJ,AY$5,0)),0,1/VLOOKUP($R218,Capa!$A:$AJ,AY$5,0))))</f>
        <v/>
      </c>
      <c r="AZ218" s="174" t="str">
        <f>IF(AZ$6="","",IF(AZ$3="Maior",iferror(VLOOKUP($R218,Capa!$A:$AJ,AZ$5,0),0),IF(ISERROR(1/VLOOKUP($R218,Capa!$A:$AJ,AZ$5,0)),0,1/VLOOKUP($R218,Capa!$A:$AJ,AZ$5,0))))</f>
        <v/>
      </c>
      <c r="BA218" s="174" t="str">
        <f>IF(BA$6="","",IF(BA$3="Maior",iferror(VLOOKUP($R218,Capa!$A:$AJ,BA$5,0),0),IF(ISERROR(1/VLOOKUP($R218,Capa!$A:$AJ,BA$5,0)),0,1/VLOOKUP($R218,Capa!$A:$AJ,BA$5,0))))</f>
        <v/>
      </c>
      <c r="BB218" s="174" t="str">
        <f>IF(BB$6="","",IF(BB$3="Maior",iferror(VLOOKUP($R218,Capa!$A:$AJ,BB$5,0),0),IF(ISERROR(1/VLOOKUP($R218,Capa!$A:$AJ,BB$5,0)),0,1/VLOOKUP($R218,Capa!$A:$AJ,BB$5,0))))</f>
        <v/>
      </c>
      <c r="BC218" s="174" t="str">
        <f>IF(BC$6="","",IF(BC$3="Maior",iferror(VLOOKUP($R218,Capa!$A:$AJ,BC$5,0),0),IF(ISERROR(1/VLOOKUP($R218,Capa!$A:$AJ,BC$5,0)),0,1/VLOOKUP($R218,Capa!$A:$AJ,BC$5,0))))</f>
        <v/>
      </c>
      <c r="BD218" s="174" t="str">
        <f>IF(BD$6="","",IF(BD$3="Maior",iferror(VLOOKUP($R218,Capa!$A:$AJ,BD$5,0),0),IF(ISERROR(1/VLOOKUP($R218,Capa!$A:$AJ,BD$5,0)),0,1/VLOOKUP($R218,Capa!$A:$AJ,BD$5,0))))</f>
        <v/>
      </c>
      <c r="BE218" s="174" t="str">
        <f>IF(BE$6="","",IF(BE$3="Maior",iferror(VLOOKUP($R218,Capa!$A:$AJ,BE$5,0),0),IF(ISERROR(1/VLOOKUP($R218,Capa!$A:$AJ,BE$5,0)),0,1/VLOOKUP($R218,Capa!$A:$AJ,BE$5,0))))</f>
        <v/>
      </c>
      <c r="BF218" s="174" t="str">
        <f>IF(BF$6="","",IF(BF$3="Maior",iferror(VLOOKUP($R218,Capa!$A:$AJ,BF$5,0),0),IF(ISERROR(1/VLOOKUP($R218,Capa!$A:$AJ,BF$5,0)),0,1/VLOOKUP($R218,Capa!$A:$AJ,BF$5,0))))</f>
        <v/>
      </c>
      <c r="BG218" s="174" t="str">
        <f>IF(BG$6="","",IF(BG$3="Maior",iferror(VLOOKUP($R218,Capa!$A:$AJ,BG$5,0),0),IF(ISERROR(1/VLOOKUP($R218,Capa!$A:$AJ,BG$5,0)),0,1/VLOOKUP($R218,Capa!$A:$AJ,BG$5,0))))</f>
        <v/>
      </c>
      <c r="BH218" s="174" t="str">
        <f>IF(BH$6="","",IF(BH$3="Maior",iferror(VLOOKUP($R218,Capa!$A:$AJ,BH$5,0),0),IF(ISERROR(1/VLOOKUP($R218,Capa!$A:$AJ,BH$5,0)),0,1/VLOOKUP($R218,Capa!$A:$AJ,BH$5,0))))</f>
        <v/>
      </c>
      <c r="BI218" s="174" t="str">
        <f>IF(BI$6="","",IF(BI$3="Maior",iferror(VLOOKUP($R218,Capa!$A:$AJ,BI$5,0),0),IF(ISERROR(1/VLOOKUP($R218,Capa!$A:$AJ,BI$5,0)),0,1/VLOOKUP($R218,Capa!$A:$AJ,BI$5,0))))</f>
        <v/>
      </c>
      <c r="BJ218" s="174" t="str">
        <f>IF(BJ$6="","",IF(BJ$3="Maior",iferror(VLOOKUP($R218,Capa!$A:$AJ,BJ$5,0),0),IF(ISERROR(1/VLOOKUP($R218,Capa!$A:$AJ,BJ$5,0)),0,1/VLOOKUP($R218,Capa!$A:$AJ,BJ$5,0))))</f>
        <v/>
      </c>
      <c r="BK218" s="174" t="str">
        <f>IF(BK$6="","",IF(BK$3="Maior",iferror(VLOOKUP($R218,Capa!$A:$AJ,BK$5,0),0),IF(ISERROR(1/VLOOKUP($R218,Capa!$A:$AJ,BK$5,0)),0,1/VLOOKUP($R218,Capa!$A:$AJ,BK$5,0))))</f>
        <v/>
      </c>
      <c r="BL218" s="174" t="str">
        <f>IF(BL$6="","",IF(BL$3="Maior",iferror(VLOOKUP($R218,Capa!$A:$AJ,BL$5,0),0),IF(ISERROR(1/VLOOKUP($R218,Capa!$A:$AJ,BL$5,0)),0,1/VLOOKUP($R218,Capa!$A:$AJ,BL$5,0))))</f>
        <v/>
      </c>
      <c r="BM218" s="174" t="str">
        <f>IF(BM$6="","",IF(BM$3="Maior",iferror(VLOOKUP($R218,Capa!$A:$AJ,BM$5,0),0),IF(ISERROR(1/VLOOKUP($R218,Capa!$A:$AJ,BM$5,0)),0,1/VLOOKUP($R218,Capa!$A:$AJ,BM$5,0))))</f>
        <v/>
      </c>
      <c r="BN218" s="174" t="str">
        <f>IF(BN$6="","",IF(BN$3="Maior",iferror(VLOOKUP($R218,Capa!$A:$AJ,BN$5,0),0),IF(ISERROR(1/VLOOKUP($R218,Capa!$A:$AJ,BN$5,0)),0,1/VLOOKUP($R218,Capa!$A:$AJ,BN$5,0))))</f>
        <v/>
      </c>
      <c r="BO218" s="174" t="str">
        <f>IF(BO$6="","",IF(BO$3="Maior",iferror(VLOOKUP($R218,Capa!$A:$AJ,BO$5,0),0),IF(ISERROR(1/VLOOKUP($R218,Capa!$A:$AJ,BO$5,0)),0,1/VLOOKUP($R218,Capa!$A:$AJ,BO$5,0))))</f>
        <v/>
      </c>
      <c r="BP218" s="174" t="str">
        <f>IF(BP$6="","",IF(BP$3="Maior",iferror(VLOOKUP($R218,Capa!$A:$AJ,BP$5,0),0),IF(ISERROR(1/VLOOKUP($R218,Capa!$A:$AJ,BP$5,0)),0,1/VLOOKUP($R218,Capa!$A:$AJ,BP$5,0))))</f>
        <v/>
      </c>
      <c r="BQ218" s="174" t="str">
        <f>IF(BQ$6="","",IF(BQ$3="Maior",iferror(VLOOKUP($R218,Capa!$A:$AJ,BQ$5,0),0),IF(ISERROR(1/VLOOKUP($R218,Capa!$A:$AJ,BQ$5,0)),0,1/VLOOKUP($R218,Capa!$A:$AJ,BQ$5,0))))</f>
        <v/>
      </c>
      <c r="BR218" s="175"/>
      <c r="BS218" s="147"/>
    </row>
    <row r="219">
      <c r="G219" s="11"/>
      <c r="H219" s="8">
        <v>213.0</v>
      </c>
      <c r="I219" s="165" t="str">
        <f t="shared" si="6"/>
        <v>RAIZ4</v>
      </c>
      <c r="J219" s="166" t="str">
        <f>(VLOOKUP($I219,Capa!$A:$B,2,0))</f>
        <v>Raizen SA</v>
      </c>
      <c r="K219" s="167" t="str">
        <f>VLOOKUP(left(I219,4),Setor!A:D,3,0)&amp;" | "&amp;VLOOKUP(left(I219,4),Setor!A:D,4,0)</f>
        <v>Petróleo, Gás e Biocombustíveis | Petróleo, Gás e Biocombustíveis</v>
      </c>
      <c r="L219" s="168">
        <f>(VLOOKUP($I219,Capa!$A:$F,6,0))</f>
        <v>0.59</v>
      </c>
      <c r="M219" s="168">
        <f t="shared" si="7"/>
        <v>43964509</v>
      </c>
      <c r="N219" s="11" t="str">
        <f>IFERROR(__xludf.DUMMYFUNCTION("(VLOOKUP($I219,Capa!$A:$H,7,0))"),"")</f>
        <v/>
      </c>
      <c r="O219" s="169">
        <f>(VLOOKUP($I219,Capa!$A:$H,8,0))</f>
        <v>-0.2716049383</v>
      </c>
      <c r="P219" s="11" t="str">
        <f>IFERROR(__xludf.DUMMYFUNCTION("(VLOOKUP($I219,Capa!$A:$J,10,0))"),"")</f>
        <v/>
      </c>
      <c r="Q219" s="169">
        <f>(VLOOKUP($I219,Capa!$A:$K,11,0))</f>
        <v>-0.6628571429</v>
      </c>
      <c r="R219" s="45" t="str">
        <f>'Dados StatusInvest'!A214</f>
        <v>DEXP4</v>
      </c>
      <c r="S219" s="170">
        <f t="shared" si="8"/>
        <v>1316.0316</v>
      </c>
      <c r="T219" s="171">
        <f>VLOOKUP(R219,'Dados StatusInvest'!A:Z,26,0)</f>
        <v>34692.7</v>
      </c>
      <c r="U219" s="172">
        <f t="shared" ref="U219:AS219" si="221">IF(AT219="","", RANK(AT219,AT$7:AT$626,0)+RANK(AT219,AT$7:AT$626,0)/10000)</f>
        <v>281.0281</v>
      </c>
      <c r="V219" s="172">
        <f t="shared" si="221"/>
        <v>35.0035</v>
      </c>
      <c r="W219" s="172" t="str">
        <f t="shared" si="221"/>
        <v/>
      </c>
      <c r="X219" s="172" t="str">
        <f t="shared" si="221"/>
        <v/>
      </c>
      <c r="Y219" s="172" t="str">
        <f t="shared" si="221"/>
        <v/>
      </c>
      <c r="Z219" s="172" t="str">
        <f t="shared" si="221"/>
        <v/>
      </c>
      <c r="AA219" s="172" t="str">
        <f t="shared" si="221"/>
        <v/>
      </c>
      <c r="AB219" s="172" t="str">
        <f t="shared" si="221"/>
        <v/>
      </c>
      <c r="AC219" s="172" t="str">
        <f t="shared" si="221"/>
        <v/>
      </c>
      <c r="AD219" s="172" t="str">
        <f t="shared" si="221"/>
        <v/>
      </c>
      <c r="AE219" s="172" t="str">
        <f t="shared" si="221"/>
        <v/>
      </c>
      <c r="AF219" s="172" t="str">
        <f t="shared" si="221"/>
        <v/>
      </c>
      <c r="AG219" s="172" t="str">
        <f t="shared" si="221"/>
        <v/>
      </c>
      <c r="AH219" s="172" t="str">
        <f t="shared" si="221"/>
        <v/>
      </c>
      <c r="AI219" s="172" t="str">
        <f t="shared" si="221"/>
        <v/>
      </c>
      <c r="AJ219" s="172" t="str">
        <f t="shared" si="221"/>
        <v/>
      </c>
      <c r="AK219" s="172" t="str">
        <f t="shared" si="221"/>
        <v/>
      </c>
      <c r="AL219" s="172" t="str">
        <f t="shared" si="221"/>
        <v/>
      </c>
      <c r="AM219" s="172" t="str">
        <f t="shared" si="221"/>
        <v/>
      </c>
      <c r="AN219" s="172" t="str">
        <f t="shared" si="221"/>
        <v/>
      </c>
      <c r="AO219" s="172" t="str">
        <f t="shared" si="221"/>
        <v/>
      </c>
      <c r="AP219" s="172" t="str">
        <f t="shared" si="221"/>
        <v/>
      </c>
      <c r="AQ219" s="172" t="str">
        <f t="shared" si="221"/>
        <v/>
      </c>
      <c r="AR219" s="172" t="str">
        <f t="shared" si="221"/>
        <v/>
      </c>
      <c r="AS219" s="172" t="str">
        <f t="shared" si="221"/>
        <v/>
      </c>
      <c r="AT219" s="173">
        <f>IF(AT$6="","",IF(AT$3="Maior",iferror(VLOOKUP($R219,Capa!$A:$AJ,AT$5,0),0),IF(ISERROR(1/VLOOKUP($R219,Capa!$A:$AJ,AT$5,0)),0,1/VLOOKUP($R219,Capa!$A:$AJ,AT$5,0))))</f>
        <v>-0.6024096386</v>
      </c>
      <c r="AU219" s="174">
        <f>IF(AU$6="","",IF(AU$3="Maior",iferror(VLOOKUP($R219,Capa!$A:$AJ,AU$5,0),0),IF(ISERROR(1/VLOOKUP($R219,Capa!$A:$AJ,AU$5,0)),0,1/VLOOKUP($R219,Capa!$A:$AJ,AU$5,0))))</f>
        <v>44.31</v>
      </c>
      <c r="AV219" s="174" t="str">
        <f>IF(AV$6="","",IF(AV$3="Maior",iferror(VLOOKUP($R219,Capa!$A:$AJ,AV$5,0),0),IF(ISERROR(1/VLOOKUP($R219,Capa!$A:$AJ,AV$5,0)),0,1/VLOOKUP($R219,Capa!$A:$AJ,AV$5,0))))</f>
        <v/>
      </c>
      <c r="AW219" s="174" t="str">
        <f>IF(AW$6="","",IF(AW$3="Maior",iferror(VLOOKUP($R219,Capa!$A:$AJ,AW$5,0),0),IF(ISERROR(1/VLOOKUP($R219,Capa!$A:$AJ,AW$5,0)),0,1/VLOOKUP($R219,Capa!$A:$AJ,AW$5,0))))</f>
        <v/>
      </c>
      <c r="AX219" s="174" t="str">
        <f>IF(AX$6="","",IF(AX$3="Maior",iferror(VLOOKUP($R219,Capa!$A:$AJ,AX$5,0),0),IF(ISERROR(1/VLOOKUP($R219,Capa!$A:$AJ,AX$5,0)),0,1/VLOOKUP($R219,Capa!$A:$AJ,AX$5,0))))</f>
        <v/>
      </c>
      <c r="AY219" s="174" t="str">
        <f>IF(AY$6="","",IF(AY$3="Maior",iferror(VLOOKUP($R219,Capa!$A:$AJ,AY$5,0),0),IF(ISERROR(1/VLOOKUP($R219,Capa!$A:$AJ,AY$5,0)),0,1/VLOOKUP($R219,Capa!$A:$AJ,AY$5,0))))</f>
        <v/>
      </c>
      <c r="AZ219" s="174" t="str">
        <f>IF(AZ$6="","",IF(AZ$3="Maior",iferror(VLOOKUP($R219,Capa!$A:$AJ,AZ$5,0),0),IF(ISERROR(1/VLOOKUP($R219,Capa!$A:$AJ,AZ$5,0)),0,1/VLOOKUP($R219,Capa!$A:$AJ,AZ$5,0))))</f>
        <v/>
      </c>
      <c r="BA219" s="174" t="str">
        <f>IF(BA$6="","",IF(BA$3="Maior",iferror(VLOOKUP($R219,Capa!$A:$AJ,BA$5,0),0),IF(ISERROR(1/VLOOKUP($R219,Capa!$A:$AJ,BA$5,0)),0,1/VLOOKUP($R219,Capa!$A:$AJ,BA$5,0))))</f>
        <v/>
      </c>
      <c r="BB219" s="174" t="str">
        <f>IF(BB$6="","",IF(BB$3="Maior",iferror(VLOOKUP($R219,Capa!$A:$AJ,BB$5,0),0),IF(ISERROR(1/VLOOKUP($R219,Capa!$A:$AJ,BB$5,0)),0,1/VLOOKUP($R219,Capa!$A:$AJ,BB$5,0))))</f>
        <v/>
      </c>
      <c r="BC219" s="174" t="str">
        <f>IF(BC$6="","",IF(BC$3="Maior",iferror(VLOOKUP($R219,Capa!$A:$AJ,BC$5,0),0),IF(ISERROR(1/VLOOKUP($R219,Capa!$A:$AJ,BC$5,0)),0,1/VLOOKUP($R219,Capa!$A:$AJ,BC$5,0))))</f>
        <v/>
      </c>
      <c r="BD219" s="174" t="str">
        <f>IF(BD$6="","",IF(BD$3="Maior",iferror(VLOOKUP($R219,Capa!$A:$AJ,BD$5,0),0),IF(ISERROR(1/VLOOKUP($R219,Capa!$A:$AJ,BD$5,0)),0,1/VLOOKUP($R219,Capa!$A:$AJ,BD$5,0))))</f>
        <v/>
      </c>
      <c r="BE219" s="174" t="str">
        <f>IF(BE$6="","",IF(BE$3="Maior",iferror(VLOOKUP($R219,Capa!$A:$AJ,BE$5,0),0),IF(ISERROR(1/VLOOKUP($R219,Capa!$A:$AJ,BE$5,0)),0,1/VLOOKUP($R219,Capa!$A:$AJ,BE$5,0))))</f>
        <v/>
      </c>
      <c r="BF219" s="174" t="str">
        <f>IF(BF$6="","",IF(BF$3="Maior",iferror(VLOOKUP($R219,Capa!$A:$AJ,BF$5,0),0),IF(ISERROR(1/VLOOKUP($R219,Capa!$A:$AJ,BF$5,0)),0,1/VLOOKUP($R219,Capa!$A:$AJ,BF$5,0))))</f>
        <v/>
      </c>
      <c r="BG219" s="174" t="str">
        <f>IF(BG$6="","",IF(BG$3="Maior",iferror(VLOOKUP($R219,Capa!$A:$AJ,BG$5,0),0),IF(ISERROR(1/VLOOKUP($R219,Capa!$A:$AJ,BG$5,0)),0,1/VLOOKUP($R219,Capa!$A:$AJ,BG$5,0))))</f>
        <v/>
      </c>
      <c r="BH219" s="174" t="str">
        <f>IF(BH$6="","",IF(BH$3="Maior",iferror(VLOOKUP($R219,Capa!$A:$AJ,BH$5,0),0),IF(ISERROR(1/VLOOKUP($R219,Capa!$A:$AJ,BH$5,0)),0,1/VLOOKUP($R219,Capa!$A:$AJ,BH$5,0))))</f>
        <v/>
      </c>
      <c r="BI219" s="174" t="str">
        <f>IF(BI$6="","",IF(BI$3="Maior",iferror(VLOOKUP($R219,Capa!$A:$AJ,BI$5,0),0),IF(ISERROR(1/VLOOKUP($R219,Capa!$A:$AJ,BI$5,0)),0,1/VLOOKUP($R219,Capa!$A:$AJ,BI$5,0))))</f>
        <v/>
      </c>
      <c r="BJ219" s="174" t="str">
        <f>IF(BJ$6="","",IF(BJ$3="Maior",iferror(VLOOKUP($R219,Capa!$A:$AJ,BJ$5,0),0),IF(ISERROR(1/VLOOKUP($R219,Capa!$A:$AJ,BJ$5,0)),0,1/VLOOKUP($R219,Capa!$A:$AJ,BJ$5,0))))</f>
        <v/>
      </c>
      <c r="BK219" s="174" t="str">
        <f>IF(BK$6="","",IF(BK$3="Maior",iferror(VLOOKUP($R219,Capa!$A:$AJ,BK$5,0),0),IF(ISERROR(1/VLOOKUP($R219,Capa!$A:$AJ,BK$5,0)),0,1/VLOOKUP($R219,Capa!$A:$AJ,BK$5,0))))</f>
        <v/>
      </c>
      <c r="BL219" s="174" t="str">
        <f>IF(BL$6="","",IF(BL$3="Maior",iferror(VLOOKUP($R219,Capa!$A:$AJ,BL$5,0),0),IF(ISERROR(1/VLOOKUP($R219,Capa!$A:$AJ,BL$5,0)),0,1/VLOOKUP($R219,Capa!$A:$AJ,BL$5,0))))</f>
        <v/>
      </c>
      <c r="BM219" s="174" t="str">
        <f>IF(BM$6="","",IF(BM$3="Maior",iferror(VLOOKUP($R219,Capa!$A:$AJ,BM$5,0),0),IF(ISERROR(1/VLOOKUP($R219,Capa!$A:$AJ,BM$5,0)),0,1/VLOOKUP($R219,Capa!$A:$AJ,BM$5,0))))</f>
        <v/>
      </c>
      <c r="BN219" s="174" t="str">
        <f>IF(BN$6="","",IF(BN$3="Maior",iferror(VLOOKUP($R219,Capa!$A:$AJ,BN$5,0),0),IF(ISERROR(1/VLOOKUP($R219,Capa!$A:$AJ,BN$5,0)),0,1/VLOOKUP($R219,Capa!$A:$AJ,BN$5,0))))</f>
        <v/>
      </c>
      <c r="BO219" s="174" t="str">
        <f>IF(BO$6="","",IF(BO$3="Maior",iferror(VLOOKUP($R219,Capa!$A:$AJ,BO$5,0),0),IF(ISERROR(1/VLOOKUP($R219,Capa!$A:$AJ,BO$5,0)),0,1/VLOOKUP($R219,Capa!$A:$AJ,BO$5,0))))</f>
        <v/>
      </c>
      <c r="BP219" s="174" t="str">
        <f>IF(BP$6="","",IF(BP$3="Maior",iferror(VLOOKUP($R219,Capa!$A:$AJ,BP$5,0),0),IF(ISERROR(1/VLOOKUP($R219,Capa!$A:$AJ,BP$5,0)),0,1/VLOOKUP($R219,Capa!$A:$AJ,BP$5,0))))</f>
        <v/>
      </c>
      <c r="BQ219" s="174" t="str">
        <f>IF(BQ$6="","",IF(BQ$3="Maior",iferror(VLOOKUP($R219,Capa!$A:$AJ,BQ$5,0),0),IF(ISERROR(1/VLOOKUP($R219,Capa!$A:$AJ,BQ$5,0)),0,1/VLOOKUP($R219,Capa!$A:$AJ,BQ$5,0))))</f>
        <v/>
      </c>
      <c r="BR219" s="175"/>
      <c r="BS219" s="147"/>
    </row>
    <row r="220">
      <c r="G220" s="11"/>
      <c r="H220" s="8">
        <v>214.0</v>
      </c>
      <c r="I220" s="165" t="str">
        <f t="shared" si="6"/>
        <v>PMAM3</v>
      </c>
      <c r="J220" s="166" t="str">
        <f>(VLOOKUP($I220,Capa!$A:$B,2,0))</f>
        <v>Paranapanema SA Em Recuperacao Judicial</v>
      </c>
      <c r="K220" s="167" t="str">
        <f>VLOOKUP(left(I220,4),Setor!A:D,3,0)&amp;" | "&amp;VLOOKUP(left(I220,4),Setor!A:D,4,0)</f>
        <v>Materiais Básicos | Siderurgia e Metalurgia</v>
      </c>
      <c r="L220" s="168">
        <f>(VLOOKUP($I220,Capa!$A:$F,6,0))</f>
        <v>0.71</v>
      </c>
      <c r="M220" s="168">
        <f t="shared" si="7"/>
        <v>3162417</v>
      </c>
      <c r="N220" s="11" t="str">
        <f>IFERROR(__xludf.DUMMYFUNCTION("(VLOOKUP($I220,Capa!$A:$H,7,0))"),"")</f>
        <v/>
      </c>
      <c r="O220" s="169">
        <f>(VLOOKUP($I220,Capa!$A:$H,8,0))</f>
        <v>-0.297029703</v>
      </c>
      <c r="P220" s="11" t="str">
        <f>IFERROR(__xludf.DUMMYFUNCTION("(VLOOKUP($I220,Capa!$A:$J,10,0))"),"")</f>
        <v/>
      </c>
      <c r="Q220" s="169">
        <f>(VLOOKUP($I220,Capa!$A:$K,11,0))</f>
        <v>-0.4892086331</v>
      </c>
      <c r="R220" s="45" t="str">
        <f>'Dados StatusInvest'!A215</f>
        <v>DIRR3</v>
      </c>
      <c r="S220" s="170">
        <f t="shared" si="8"/>
        <v>338.0338</v>
      </c>
      <c r="T220" s="171">
        <f>VLOOKUP(R220,'Dados StatusInvest'!A:Z,26,0)</f>
        <v>117000000</v>
      </c>
      <c r="U220" s="172">
        <f t="shared" ref="U220:AS220" si="222">IF(AT220="","", RANK(AT220,AT$7:AT$626,0)+RANK(AT220,AT$7:AT$626,0)/10000)</f>
        <v>313.0313</v>
      </c>
      <c r="V220" s="172">
        <f t="shared" si="222"/>
        <v>25.0025</v>
      </c>
      <c r="W220" s="172" t="str">
        <f t="shared" si="222"/>
        <v/>
      </c>
      <c r="X220" s="172" t="str">
        <f t="shared" si="222"/>
        <v/>
      </c>
      <c r="Y220" s="172" t="str">
        <f t="shared" si="222"/>
        <v/>
      </c>
      <c r="Z220" s="172" t="str">
        <f t="shared" si="222"/>
        <v/>
      </c>
      <c r="AA220" s="172" t="str">
        <f t="shared" si="222"/>
        <v/>
      </c>
      <c r="AB220" s="172" t="str">
        <f t="shared" si="222"/>
        <v/>
      </c>
      <c r="AC220" s="172" t="str">
        <f t="shared" si="222"/>
        <v/>
      </c>
      <c r="AD220" s="172" t="str">
        <f t="shared" si="222"/>
        <v/>
      </c>
      <c r="AE220" s="172" t="str">
        <f t="shared" si="222"/>
        <v/>
      </c>
      <c r="AF220" s="172" t="str">
        <f t="shared" si="222"/>
        <v/>
      </c>
      <c r="AG220" s="172" t="str">
        <f t="shared" si="222"/>
        <v/>
      </c>
      <c r="AH220" s="172" t="str">
        <f t="shared" si="222"/>
        <v/>
      </c>
      <c r="AI220" s="172" t="str">
        <f t="shared" si="222"/>
        <v/>
      </c>
      <c r="AJ220" s="172" t="str">
        <f t="shared" si="222"/>
        <v/>
      </c>
      <c r="AK220" s="172" t="str">
        <f t="shared" si="222"/>
        <v/>
      </c>
      <c r="AL220" s="172" t="str">
        <f t="shared" si="222"/>
        <v/>
      </c>
      <c r="AM220" s="172" t="str">
        <f t="shared" si="222"/>
        <v/>
      </c>
      <c r="AN220" s="172" t="str">
        <f t="shared" si="222"/>
        <v/>
      </c>
      <c r="AO220" s="172" t="str">
        <f t="shared" si="222"/>
        <v/>
      </c>
      <c r="AP220" s="172" t="str">
        <f t="shared" si="222"/>
        <v/>
      </c>
      <c r="AQ220" s="172" t="str">
        <f t="shared" si="222"/>
        <v/>
      </c>
      <c r="AR220" s="172" t="str">
        <f t="shared" si="222"/>
        <v/>
      </c>
      <c r="AS220" s="172" t="str">
        <f t="shared" si="222"/>
        <v/>
      </c>
      <c r="AT220" s="173">
        <f>IF(AT$6="","",IF(AT$3="Maior",iferror(VLOOKUP($R220,Capa!$A:$AJ,AT$5,0),0),IF(ISERROR(1/VLOOKUP($R220,Capa!$A:$AJ,AT$5,0)),0,1/VLOOKUP($R220,Capa!$A:$AJ,AT$5,0))))</f>
        <v>-0.7648663194</v>
      </c>
      <c r="AU220" s="174">
        <f>IF(AU$6="","",IF(AU$3="Maior",iferror(VLOOKUP($R220,Capa!$A:$AJ,AU$5,0),0),IF(ISERROR(1/VLOOKUP($R220,Capa!$A:$AJ,AU$5,0)),0,1/VLOOKUP($R220,Capa!$A:$AJ,AU$5,0))))</f>
        <v>49.86</v>
      </c>
      <c r="AV220" s="174" t="str">
        <f>IF(AV$6="","",IF(AV$3="Maior",iferror(VLOOKUP($R220,Capa!$A:$AJ,AV$5,0),0),IF(ISERROR(1/VLOOKUP($R220,Capa!$A:$AJ,AV$5,0)),0,1/VLOOKUP($R220,Capa!$A:$AJ,AV$5,0))))</f>
        <v/>
      </c>
      <c r="AW220" s="174" t="str">
        <f>IF(AW$6="","",IF(AW$3="Maior",iferror(VLOOKUP($R220,Capa!$A:$AJ,AW$5,0),0),IF(ISERROR(1/VLOOKUP($R220,Capa!$A:$AJ,AW$5,0)),0,1/VLOOKUP($R220,Capa!$A:$AJ,AW$5,0))))</f>
        <v/>
      </c>
      <c r="AX220" s="174" t="str">
        <f>IF(AX$6="","",IF(AX$3="Maior",iferror(VLOOKUP($R220,Capa!$A:$AJ,AX$5,0),0),IF(ISERROR(1/VLOOKUP($R220,Capa!$A:$AJ,AX$5,0)),0,1/VLOOKUP($R220,Capa!$A:$AJ,AX$5,0))))</f>
        <v/>
      </c>
      <c r="AY220" s="174" t="str">
        <f>IF(AY$6="","",IF(AY$3="Maior",iferror(VLOOKUP($R220,Capa!$A:$AJ,AY$5,0),0),IF(ISERROR(1/VLOOKUP($R220,Capa!$A:$AJ,AY$5,0)),0,1/VLOOKUP($R220,Capa!$A:$AJ,AY$5,0))))</f>
        <v/>
      </c>
      <c r="AZ220" s="174" t="str">
        <f>IF(AZ$6="","",IF(AZ$3="Maior",iferror(VLOOKUP($R220,Capa!$A:$AJ,AZ$5,0),0),IF(ISERROR(1/VLOOKUP($R220,Capa!$A:$AJ,AZ$5,0)),0,1/VLOOKUP($R220,Capa!$A:$AJ,AZ$5,0))))</f>
        <v/>
      </c>
      <c r="BA220" s="174" t="str">
        <f>IF(BA$6="","",IF(BA$3="Maior",iferror(VLOOKUP($R220,Capa!$A:$AJ,BA$5,0),0),IF(ISERROR(1/VLOOKUP($R220,Capa!$A:$AJ,BA$5,0)),0,1/VLOOKUP($R220,Capa!$A:$AJ,BA$5,0))))</f>
        <v/>
      </c>
      <c r="BB220" s="174" t="str">
        <f>IF(BB$6="","",IF(BB$3="Maior",iferror(VLOOKUP($R220,Capa!$A:$AJ,BB$5,0),0),IF(ISERROR(1/VLOOKUP($R220,Capa!$A:$AJ,BB$5,0)),0,1/VLOOKUP($R220,Capa!$A:$AJ,BB$5,0))))</f>
        <v/>
      </c>
      <c r="BC220" s="174" t="str">
        <f>IF(BC$6="","",IF(BC$3="Maior",iferror(VLOOKUP($R220,Capa!$A:$AJ,BC$5,0),0),IF(ISERROR(1/VLOOKUP($R220,Capa!$A:$AJ,BC$5,0)),0,1/VLOOKUP($R220,Capa!$A:$AJ,BC$5,0))))</f>
        <v/>
      </c>
      <c r="BD220" s="174" t="str">
        <f>IF(BD$6="","",IF(BD$3="Maior",iferror(VLOOKUP($R220,Capa!$A:$AJ,BD$5,0),0),IF(ISERROR(1/VLOOKUP($R220,Capa!$A:$AJ,BD$5,0)),0,1/VLOOKUP($R220,Capa!$A:$AJ,BD$5,0))))</f>
        <v/>
      </c>
      <c r="BE220" s="174" t="str">
        <f>IF(BE$6="","",IF(BE$3="Maior",iferror(VLOOKUP($R220,Capa!$A:$AJ,BE$5,0),0),IF(ISERROR(1/VLOOKUP($R220,Capa!$A:$AJ,BE$5,0)),0,1/VLOOKUP($R220,Capa!$A:$AJ,BE$5,0))))</f>
        <v/>
      </c>
      <c r="BF220" s="174" t="str">
        <f>IF(BF$6="","",IF(BF$3="Maior",iferror(VLOOKUP($R220,Capa!$A:$AJ,BF$5,0),0),IF(ISERROR(1/VLOOKUP($R220,Capa!$A:$AJ,BF$5,0)),0,1/VLOOKUP($R220,Capa!$A:$AJ,BF$5,0))))</f>
        <v/>
      </c>
      <c r="BG220" s="174" t="str">
        <f>IF(BG$6="","",IF(BG$3="Maior",iferror(VLOOKUP($R220,Capa!$A:$AJ,BG$5,0),0),IF(ISERROR(1/VLOOKUP($R220,Capa!$A:$AJ,BG$5,0)),0,1/VLOOKUP($R220,Capa!$A:$AJ,BG$5,0))))</f>
        <v/>
      </c>
      <c r="BH220" s="174" t="str">
        <f>IF(BH$6="","",IF(BH$3="Maior",iferror(VLOOKUP($R220,Capa!$A:$AJ,BH$5,0),0),IF(ISERROR(1/VLOOKUP($R220,Capa!$A:$AJ,BH$5,0)),0,1/VLOOKUP($R220,Capa!$A:$AJ,BH$5,0))))</f>
        <v/>
      </c>
      <c r="BI220" s="174" t="str">
        <f>IF(BI$6="","",IF(BI$3="Maior",iferror(VLOOKUP($R220,Capa!$A:$AJ,BI$5,0),0),IF(ISERROR(1/VLOOKUP($R220,Capa!$A:$AJ,BI$5,0)),0,1/VLOOKUP($R220,Capa!$A:$AJ,BI$5,0))))</f>
        <v/>
      </c>
      <c r="BJ220" s="174" t="str">
        <f>IF(BJ$6="","",IF(BJ$3="Maior",iferror(VLOOKUP($R220,Capa!$A:$AJ,BJ$5,0),0),IF(ISERROR(1/VLOOKUP($R220,Capa!$A:$AJ,BJ$5,0)),0,1/VLOOKUP($R220,Capa!$A:$AJ,BJ$5,0))))</f>
        <v/>
      </c>
      <c r="BK220" s="174" t="str">
        <f>IF(BK$6="","",IF(BK$3="Maior",iferror(VLOOKUP($R220,Capa!$A:$AJ,BK$5,0),0),IF(ISERROR(1/VLOOKUP($R220,Capa!$A:$AJ,BK$5,0)),0,1/VLOOKUP($R220,Capa!$A:$AJ,BK$5,0))))</f>
        <v/>
      </c>
      <c r="BL220" s="174" t="str">
        <f>IF(BL$6="","",IF(BL$3="Maior",iferror(VLOOKUP($R220,Capa!$A:$AJ,BL$5,0),0),IF(ISERROR(1/VLOOKUP($R220,Capa!$A:$AJ,BL$5,0)),0,1/VLOOKUP($R220,Capa!$A:$AJ,BL$5,0))))</f>
        <v/>
      </c>
      <c r="BM220" s="174" t="str">
        <f>IF(BM$6="","",IF(BM$3="Maior",iferror(VLOOKUP($R220,Capa!$A:$AJ,BM$5,0),0),IF(ISERROR(1/VLOOKUP($R220,Capa!$A:$AJ,BM$5,0)),0,1/VLOOKUP($R220,Capa!$A:$AJ,BM$5,0))))</f>
        <v/>
      </c>
      <c r="BN220" s="174" t="str">
        <f>IF(BN$6="","",IF(BN$3="Maior",iferror(VLOOKUP($R220,Capa!$A:$AJ,BN$5,0),0),IF(ISERROR(1/VLOOKUP($R220,Capa!$A:$AJ,BN$5,0)),0,1/VLOOKUP($R220,Capa!$A:$AJ,BN$5,0))))</f>
        <v/>
      </c>
      <c r="BO220" s="174" t="str">
        <f>IF(BO$6="","",IF(BO$3="Maior",iferror(VLOOKUP($R220,Capa!$A:$AJ,BO$5,0),0),IF(ISERROR(1/VLOOKUP($R220,Capa!$A:$AJ,BO$5,0)),0,1/VLOOKUP($R220,Capa!$A:$AJ,BO$5,0))))</f>
        <v/>
      </c>
      <c r="BP220" s="174" t="str">
        <f>IF(BP$6="","",IF(BP$3="Maior",iferror(VLOOKUP($R220,Capa!$A:$AJ,BP$5,0),0),IF(ISERROR(1/VLOOKUP($R220,Capa!$A:$AJ,BP$5,0)),0,1/VLOOKUP($R220,Capa!$A:$AJ,BP$5,0))))</f>
        <v/>
      </c>
      <c r="BQ220" s="174" t="str">
        <f>IF(BQ$6="","",IF(BQ$3="Maior",iferror(VLOOKUP($R220,Capa!$A:$AJ,BQ$5,0),0),IF(ISERROR(1/VLOOKUP($R220,Capa!$A:$AJ,BQ$5,0)),0,1/VLOOKUP($R220,Capa!$A:$AJ,BQ$5,0))))</f>
        <v/>
      </c>
      <c r="BR220" s="175"/>
      <c r="BS220" s="147"/>
    </row>
    <row r="221">
      <c r="G221" s="11"/>
      <c r="H221" s="8">
        <v>215.0</v>
      </c>
      <c r="I221" s="165" t="str">
        <f t="shared" si="6"/>
        <v>BMGB4</v>
      </c>
      <c r="J221" s="166" t="str">
        <f>(VLOOKUP($I221,Capa!$A:$B,2,0))</f>
        <v>Banco BMG Sa</v>
      </c>
      <c r="K221" s="167" t="str">
        <f>VLOOKUP(left(I221,4),Setor!A:D,3,0)&amp;" | "&amp;VLOOKUP(left(I221,4),Setor!A:D,4,0)</f>
        <v>Financeiro | Intermediários Financeiros</v>
      </c>
      <c r="L221" s="168">
        <f>(VLOOKUP($I221,Capa!$A:$F,6,0))</f>
        <v>4.79</v>
      </c>
      <c r="M221" s="168">
        <f t="shared" si="7"/>
        <v>6577541</v>
      </c>
      <c r="N221" s="11" t="str">
        <f>IFERROR(__xludf.DUMMYFUNCTION("(VLOOKUP($I221,Capa!$A:$H,7,0))"),"")</f>
        <v/>
      </c>
      <c r="O221" s="169">
        <f>(VLOOKUP($I221,Capa!$A:$H,8,0))</f>
        <v>-0.0928030303</v>
      </c>
      <c r="P221" s="11" t="str">
        <f>IFERROR(__xludf.DUMMYFUNCTION("(VLOOKUP($I221,Capa!$A:$J,10,0))"),"")</f>
        <v/>
      </c>
      <c r="Q221" s="169">
        <f>(VLOOKUP($I221,Capa!$A:$K,11,0))</f>
        <v>0.2572178478</v>
      </c>
      <c r="R221" s="45" t="str">
        <f>'Dados StatusInvest'!A216</f>
        <v>DMMO3</v>
      </c>
      <c r="S221" s="170">
        <f t="shared" si="8"/>
        <v>1444.0444</v>
      </c>
      <c r="T221" s="171">
        <f>VLOOKUP(R221,'Dados StatusInvest'!A:Z,26,0)</f>
        <v>0</v>
      </c>
      <c r="U221" s="172">
        <f t="shared" ref="U221:AS221" si="223">IF(AT221="","", RANK(AT221,AT$7:AT$626,0)+RANK(AT221,AT$7:AT$626,0)/10000)</f>
        <v>177.0177</v>
      </c>
      <c r="V221" s="172">
        <f t="shared" si="223"/>
        <v>267.0267</v>
      </c>
      <c r="W221" s="172" t="str">
        <f t="shared" si="223"/>
        <v/>
      </c>
      <c r="X221" s="172" t="str">
        <f t="shared" si="223"/>
        <v/>
      </c>
      <c r="Y221" s="172" t="str">
        <f t="shared" si="223"/>
        <v/>
      </c>
      <c r="Z221" s="172" t="str">
        <f t="shared" si="223"/>
        <v/>
      </c>
      <c r="AA221" s="172" t="str">
        <f t="shared" si="223"/>
        <v/>
      </c>
      <c r="AB221" s="172" t="str">
        <f t="shared" si="223"/>
        <v/>
      </c>
      <c r="AC221" s="172" t="str">
        <f t="shared" si="223"/>
        <v/>
      </c>
      <c r="AD221" s="172" t="str">
        <f t="shared" si="223"/>
        <v/>
      </c>
      <c r="AE221" s="172" t="str">
        <f t="shared" si="223"/>
        <v/>
      </c>
      <c r="AF221" s="172" t="str">
        <f t="shared" si="223"/>
        <v/>
      </c>
      <c r="AG221" s="172" t="str">
        <f t="shared" si="223"/>
        <v/>
      </c>
      <c r="AH221" s="172" t="str">
        <f t="shared" si="223"/>
        <v/>
      </c>
      <c r="AI221" s="172" t="str">
        <f t="shared" si="223"/>
        <v/>
      </c>
      <c r="AJ221" s="172" t="str">
        <f t="shared" si="223"/>
        <v/>
      </c>
      <c r="AK221" s="172" t="str">
        <f t="shared" si="223"/>
        <v/>
      </c>
      <c r="AL221" s="172" t="str">
        <f t="shared" si="223"/>
        <v/>
      </c>
      <c r="AM221" s="172" t="str">
        <f t="shared" si="223"/>
        <v/>
      </c>
      <c r="AN221" s="172" t="str">
        <f t="shared" si="223"/>
        <v/>
      </c>
      <c r="AO221" s="172" t="str">
        <f t="shared" si="223"/>
        <v/>
      </c>
      <c r="AP221" s="172" t="str">
        <f t="shared" si="223"/>
        <v/>
      </c>
      <c r="AQ221" s="172" t="str">
        <f t="shared" si="223"/>
        <v/>
      </c>
      <c r="AR221" s="172" t="str">
        <f t="shared" si="223"/>
        <v/>
      </c>
      <c r="AS221" s="172" t="str">
        <f t="shared" si="223"/>
        <v/>
      </c>
      <c r="AT221" s="173">
        <f>IF(AT$6="","",IF(AT$3="Maior",iferror(VLOOKUP($R221,Capa!$A:$AJ,AT$5,0),0),IF(ISERROR(1/VLOOKUP($R221,Capa!$A:$AJ,AT$5,0)),0,1/VLOOKUP($R221,Capa!$A:$AJ,AT$5,0))))</f>
        <v>-0.2109704641</v>
      </c>
      <c r="AU221" s="174">
        <f>IF(AU$6="","",IF(AU$3="Maior",iferror(VLOOKUP($R221,Capa!$A:$AJ,AU$5,0),0),IF(ISERROR(1/VLOOKUP($R221,Capa!$A:$AJ,AU$5,0)),0,1/VLOOKUP($R221,Capa!$A:$AJ,AU$5,0))))</f>
        <v>0</v>
      </c>
      <c r="AV221" s="174" t="str">
        <f>IF(AV$6="","",IF(AV$3="Maior",iferror(VLOOKUP($R221,Capa!$A:$AJ,AV$5,0),0),IF(ISERROR(1/VLOOKUP($R221,Capa!$A:$AJ,AV$5,0)),0,1/VLOOKUP($R221,Capa!$A:$AJ,AV$5,0))))</f>
        <v/>
      </c>
      <c r="AW221" s="174" t="str">
        <f>IF(AW$6="","",IF(AW$3="Maior",iferror(VLOOKUP($R221,Capa!$A:$AJ,AW$5,0),0),IF(ISERROR(1/VLOOKUP($R221,Capa!$A:$AJ,AW$5,0)),0,1/VLOOKUP($R221,Capa!$A:$AJ,AW$5,0))))</f>
        <v/>
      </c>
      <c r="AX221" s="174" t="str">
        <f>IF(AX$6="","",IF(AX$3="Maior",iferror(VLOOKUP($R221,Capa!$A:$AJ,AX$5,0),0),IF(ISERROR(1/VLOOKUP($R221,Capa!$A:$AJ,AX$5,0)),0,1/VLOOKUP($R221,Capa!$A:$AJ,AX$5,0))))</f>
        <v/>
      </c>
      <c r="AY221" s="174" t="str">
        <f>IF(AY$6="","",IF(AY$3="Maior",iferror(VLOOKUP($R221,Capa!$A:$AJ,AY$5,0),0),IF(ISERROR(1/VLOOKUP($R221,Capa!$A:$AJ,AY$5,0)),0,1/VLOOKUP($R221,Capa!$A:$AJ,AY$5,0))))</f>
        <v/>
      </c>
      <c r="AZ221" s="174" t="str">
        <f>IF(AZ$6="","",IF(AZ$3="Maior",iferror(VLOOKUP($R221,Capa!$A:$AJ,AZ$5,0),0),IF(ISERROR(1/VLOOKUP($R221,Capa!$A:$AJ,AZ$5,0)),0,1/VLOOKUP($R221,Capa!$A:$AJ,AZ$5,0))))</f>
        <v/>
      </c>
      <c r="BA221" s="174" t="str">
        <f>IF(BA$6="","",IF(BA$3="Maior",iferror(VLOOKUP($R221,Capa!$A:$AJ,BA$5,0),0),IF(ISERROR(1/VLOOKUP($R221,Capa!$A:$AJ,BA$5,0)),0,1/VLOOKUP($R221,Capa!$A:$AJ,BA$5,0))))</f>
        <v/>
      </c>
      <c r="BB221" s="174" t="str">
        <f>IF(BB$6="","",IF(BB$3="Maior",iferror(VLOOKUP($R221,Capa!$A:$AJ,BB$5,0),0),IF(ISERROR(1/VLOOKUP($R221,Capa!$A:$AJ,BB$5,0)),0,1/VLOOKUP($R221,Capa!$A:$AJ,BB$5,0))))</f>
        <v/>
      </c>
      <c r="BC221" s="174" t="str">
        <f>IF(BC$6="","",IF(BC$3="Maior",iferror(VLOOKUP($R221,Capa!$A:$AJ,BC$5,0),0),IF(ISERROR(1/VLOOKUP($R221,Capa!$A:$AJ,BC$5,0)),0,1/VLOOKUP($R221,Capa!$A:$AJ,BC$5,0))))</f>
        <v/>
      </c>
      <c r="BD221" s="174" t="str">
        <f>IF(BD$6="","",IF(BD$3="Maior",iferror(VLOOKUP($R221,Capa!$A:$AJ,BD$5,0),0),IF(ISERROR(1/VLOOKUP($R221,Capa!$A:$AJ,BD$5,0)),0,1/VLOOKUP($R221,Capa!$A:$AJ,BD$5,0))))</f>
        <v/>
      </c>
      <c r="BE221" s="174" t="str">
        <f>IF(BE$6="","",IF(BE$3="Maior",iferror(VLOOKUP($R221,Capa!$A:$AJ,BE$5,0),0),IF(ISERROR(1/VLOOKUP($R221,Capa!$A:$AJ,BE$5,0)),0,1/VLOOKUP($R221,Capa!$A:$AJ,BE$5,0))))</f>
        <v/>
      </c>
      <c r="BF221" s="174" t="str">
        <f>IF(BF$6="","",IF(BF$3="Maior",iferror(VLOOKUP($R221,Capa!$A:$AJ,BF$5,0),0),IF(ISERROR(1/VLOOKUP($R221,Capa!$A:$AJ,BF$5,0)),0,1/VLOOKUP($R221,Capa!$A:$AJ,BF$5,0))))</f>
        <v/>
      </c>
      <c r="BG221" s="174" t="str">
        <f>IF(BG$6="","",IF(BG$3="Maior",iferror(VLOOKUP($R221,Capa!$A:$AJ,BG$5,0),0),IF(ISERROR(1/VLOOKUP($R221,Capa!$A:$AJ,BG$5,0)),0,1/VLOOKUP($R221,Capa!$A:$AJ,BG$5,0))))</f>
        <v/>
      </c>
      <c r="BH221" s="174" t="str">
        <f>IF(BH$6="","",IF(BH$3="Maior",iferror(VLOOKUP($R221,Capa!$A:$AJ,BH$5,0),0),IF(ISERROR(1/VLOOKUP($R221,Capa!$A:$AJ,BH$5,0)),0,1/VLOOKUP($R221,Capa!$A:$AJ,BH$5,0))))</f>
        <v/>
      </c>
      <c r="BI221" s="174" t="str">
        <f>IF(BI$6="","",IF(BI$3="Maior",iferror(VLOOKUP($R221,Capa!$A:$AJ,BI$5,0),0),IF(ISERROR(1/VLOOKUP($R221,Capa!$A:$AJ,BI$5,0)),0,1/VLOOKUP($R221,Capa!$A:$AJ,BI$5,0))))</f>
        <v/>
      </c>
      <c r="BJ221" s="174" t="str">
        <f>IF(BJ$6="","",IF(BJ$3="Maior",iferror(VLOOKUP($R221,Capa!$A:$AJ,BJ$5,0),0),IF(ISERROR(1/VLOOKUP($R221,Capa!$A:$AJ,BJ$5,0)),0,1/VLOOKUP($R221,Capa!$A:$AJ,BJ$5,0))))</f>
        <v/>
      </c>
      <c r="BK221" s="174" t="str">
        <f>IF(BK$6="","",IF(BK$3="Maior",iferror(VLOOKUP($R221,Capa!$A:$AJ,BK$5,0),0),IF(ISERROR(1/VLOOKUP($R221,Capa!$A:$AJ,BK$5,0)),0,1/VLOOKUP($R221,Capa!$A:$AJ,BK$5,0))))</f>
        <v/>
      </c>
      <c r="BL221" s="174" t="str">
        <f>IF(BL$6="","",IF(BL$3="Maior",iferror(VLOOKUP($R221,Capa!$A:$AJ,BL$5,0),0),IF(ISERROR(1/VLOOKUP($R221,Capa!$A:$AJ,BL$5,0)),0,1/VLOOKUP($R221,Capa!$A:$AJ,BL$5,0))))</f>
        <v/>
      </c>
      <c r="BM221" s="174" t="str">
        <f>IF(BM$6="","",IF(BM$3="Maior",iferror(VLOOKUP($R221,Capa!$A:$AJ,BM$5,0),0),IF(ISERROR(1/VLOOKUP($R221,Capa!$A:$AJ,BM$5,0)),0,1/VLOOKUP($R221,Capa!$A:$AJ,BM$5,0))))</f>
        <v/>
      </c>
      <c r="BN221" s="174" t="str">
        <f>IF(BN$6="","",IF(BN$3="Maior",iferror(VLOOKUP($R221,Capa!$A:$AJ,BN$5,0),0),IF(ISERROR(1/VLOOKUP($R221,Capa!$A:$AJ,BN$5,0)),0,1/VLOOKUP($R221,Capa!$A:$AJ,BN$5,0))))</f>
        <v/>
      </c>
      <c r="BO221" s="174" t="str">
        <f>IF(BO$6="","",IF(BO$3="Maior",iferror(VLOOKUP($R221,Capa!$A:$AJ,BO$5,0),0),IF(ISERROR(1/VLOOKUP($R221,Capa!$A:$AJ,BO$5,0)),0,1/VLOOKUP($R221,Capa!$A:$AJ,BO$5,0))))</f>
        <v/>
      </c>
      <c r="BP221" s="174" t="str">
        <f>IF(BP$6="","",IF(BP$3="Maior",iferror(VLOOKUP($R221,Capa!$A:$AJ,BP$5,0),0),IF(ISERROR(1/VLOOKUP($R221,Capa!$A:$AJ,BP$5,0)),0,1/VLOOKUP($R221,Capa!$A:$AJ,BP$5,0))))</f>
        <v/>
      </c>
      <c r="BQ221" s="174" t="str">
        <f>IF(BQ$6="","",IF(BQ$3="Maior",iferror(VLOOKUP($R221,Capa!$A:$AJ,BQ$5,0),0),IF(ISERROR(1/VLOOKUP($R221,Capa!$A:$AJ,BQ$5,0)),0,1/VLOOKUP($R221,Capa!$A:$AJ,BQ$5,0))))</f>
        <v/>
      </c>
      <c r="BR221" s="175"/>
      <c r="BS221" s="147"/>
    </row>
    <row r="222">
      <c r="G222" s="11"/>
      <c r="H222" s="8">
        <v>216.0</v>
      </c>
      <c r="I222" s="165" t="str">
        <f t="shared" si="6"/>
        <v>PINE4</v>
      </c>
      <c r="J222" s="166" t="str">
        <f>(VLOOKUP($I222,Capa!$A:$B,2,0))</f>
        <v>Banco Pine SA Preference Shares</v>
      </c>
      <c r="K222" s="167" t="str">
        <f>VLOOKUP(left(I222,4),Setor!A:D,3,0)&amp;" | "&amp;VLOOKUP(left(I222,4),Setor!A:D,4,0)</f>
        <v>Financeiro | Intermediários Financeiros</v>
      </c>
      <c r="L222" s="168">
        <f>(VLOOKUP($I222,Capa!$A:$F,6,0))</f>
        <v>12.61</v>
      </c>
      <c r="M222" s="168">
        <f t="shared" si="7"/>
        <v>6497650</v>
      </c>
      <c r="N222" s="11" t="str">
        <f>IFERROR(__xludf.DUMMYFUNCTION("(VLOOKUP($I222,Capa!$A:$H,7,0))"),"")</f>
        <v/>
      </c>
      <c r="O222" s="169">
        <f>(VLOOKUP($I222,Capa!$A:$H,8,0))</f>
        <v>-0.06868537666</v>
      </c>
      <c r="P222" s="11" t="str">
        <f>IFERROR(__xludf.DUMMYFUNCTION("(VLOOKUP($I222,Capa!$A:$J,10,0))"),"")</f>
        <v/>
      </c>
      <c r="Q222" s="169">
        <f>(VLOOKUP($I222,Capa!$A:$K,11,0))</f>
        <v>1.905529954</v>
      </c>
      <c r="R222" s="45" t="str">
        <f>'Dados StatusInvest'!A217</f>
        <v>DMVF3</v>
      </c>
      <c r="S222" s="170">
        <f t="shared" si="8"/>
        <v>1754.0754</v>
      </c>
      <c r="T222" s="171">
        <f>VLOOKUP(R222,'Dados StatusInvest'!A:Z,26,0)</f>
        <v>301687.2</v>
      </c>
      <c r="U222" s="172">
        <f t="shared" ref="U222:AS222" si="224">IF(AT222="","", RANK(AT222,AT$7:AT$626,0)+RANK(AT222,AT$7:AT$626,0)/10000)</f>
        <v>487.0487</v>
      </c>
      <c r="V222" s="172">
        <f t="shared" si="224"/>
        <v>267.0267</v>
      </c>
      <c r="W222" s="172" t="str">
        <f t="shared" si="224"/>
        <v/>
      </c>
      <c r="X222" s="172" t="str">
        <f t="shared" si="224"/>
        <v/>
      </c>
      <c r="Y222" s="172" t="str">
        <f t="shared" si="224"/>
        <v/>
      </c>
      <c r="Z222" s="172" t="str">
        <f t="shared" si="224"/>
        <v/>
      </c>
      <c r="AA222" s="172" t="str">
        <f t="shared" si="224"/>
        <v/>
      </c>
      <c r="AB222" s="172" t="str">
        <f t="shared" si="224"/>
        <v/>
      </c>
      <c r="AC222" s="172" t="str">
        <f t="shared" si="224"/>
        <v/>
      </c>
      <c r="AD222" s="172" t="str">
        <f t="shared" si="224"/>
        <v/>
      </c>
      <c r="AE222" s="172" t="str">
        <f t="shared" si="224"/>
        <v/>
      </c>
      <c r="AF222" s="172" t="str">
        <f t="shared" si="224"/>
        <v/>
      </c>
      <c r="AG222" s="172" t="str">
        <f t="shared" si="224"/>
        <v/>
      </c>
      <c r="AH222" s="172" t="str">
        <f t="shared" si="224"/>
        <v/>
      </c>
      <c r="AI222" s="172" t="str">
        <f t="shared" si="224"/>
        <v/>
      </c>
      <c r="AJ222" s="172" t="str">
        <f t="shared" si="224"/>
        <v/>
      </c>
      <c r="AK222" s="172" t="str">
        <f t="shared" si="224"/>
        <v/>
      </c>
      <c r="AL222" s="172" t="str">
        <f t="shared" si="224"/>
        <v/>
      </c>
      <c r="AM222" s="172" t="str">
        <f t="shared" si="224"/>
        <v/>
      </c>
      <c r="AN222" s="172" t="str">
        <f t="shared" si="224"/>
        <v/>
      </c>
      <c r="AO222" s="172" t="str">
        <f t="shared" si="224"/>
        <v/>
      </c>
      <c r="AP222" s="172" t="str">
        <f t="shared" si="224"/>
        <v/>
      </c>
      <c r="AQ222" s="172" t="str">
        <f t="shared" si="224"/>
        <v/>
      </c>
      <c r="AR222" s="172" t="str">
        <f t="shared" si="224"/>
        <v/>
      </c>
      <c r="AS222" s="172" t="str">
        <f t="shared" si="224"/>
        <v/>
      </c>
      <c r="AT222" s="173">
        <f>IF(AT$6="","",IF(AT$3="Maior",iferror(VLOOKUP($R222,Capa!$A:$AJ,AT$5,0),0),IF(ISERROR(1/VLOOKUP($R222,Capa!$A:$AJ,AT$5,0)),0,1/VLOOKUP($R222,Capa!$A:$AJ,AT$5,0))))</f>
        <v>-2.752800126</v>
      </c>
      <c r="AU222" s="174">
        <f>IF(AU$6="","",IF(AU$3="Maior",iferror(VLOOKUP($R222,Capa!$A:$AJ,AU$5,0),0),IF(ISERROR(1/VLOOKUP($R222,Capa!$A:$AJ,AU$5,0)),0,1/VLOOKUP($R222,Capa!$A:$AJ,AU$5,0))))</f>
        <v>0</v>
      </c>
      <c r="AV222" s="174" t="str">
        <f>IF(AV$6="","",IF(AV$3="Maior",iferror(VLOOKUP($R222,Capa!$A:$AJ,AV$5,0),0),IF(ISERROR(1/VLOOKUP($R222,Capa!$A:$AJ,AV$5,0)),0,1/VLOOKUP($R222,Capa!$A:$AJ,AV$5,0))))</f>
        <v/>
      </c>
      <c r="AW222" s="174" t="str">
        <f>IF(AW$6="","",IF(AW$3="Maior",iferror(VLOOKUP($R222,Capa!$A:$AJ,AW$5,0),0),IF(ISERROR(1/VLOOKUP($R222,Capa!$A:$AJ,AW$5,0)),0,1/VLOOKUP($R222,Capa!$A:$AJ,AW$5,0))))</f>
        <v/>
      </c>
      <c r="AX222" s="174" t="str">
        <f>IF(AX$6="","",IF(AX$3="Maior",iferror(VLOOKUP($R222,Capa!$A:$AJ,AX$5,0),0),IF(ISERROR(1/VLOOKUP($R222,Capa!$A:$AJ,AX$5,0)),0,1/VLOOKUP($R222,Capa!$A:$AJ,AX$5,0))))</f>
        <v/>
      </c>
      <c r="AY222" s="174" t="str">
        <f>IF(AY$6="","",IF(AY$3="Maior",iferror(VLOOKUP($R222,Capa!$A:$AJ,AY$5,0),0),IF(ISERROR(1/VLOOKUP($R222,Capa!$A:$AJ,AY$5,0)),0,1/VLOOKUP($R222,Capa!$A:$AJ,AY$5,0))))</f>
        <v/>
      </c>
      <c r="AZ222" s="174" t="str">
        <f>IF(AZ$6="","",IF(AZ$3="Maior",iferror(VLOOKUP($R222,Capa!$A:$AJ,AZ$5,0),0),IF(ISERROR(1/VLOOKUP($R222,Capa!$A:$AJ,AZ$5,0)),0,1/VLOOKUP($R222,Capa!$A:$AJ,AZ$5,0))))</f>
        <v/>
      </c>
      <c r="BA222" s="174" t="str">
        <f>IF(BA$6="","",IF(BA$3="Maior",iferror(VLOOKUP($R222,Capa!$A:$AJ,BA$5,0),0),IF(ISERROR(1/VLOOKUP($R222,Capa!$A:$AJ,BA$5,0)),0,1/VLOOKUP($R222,Capa!$A:$AJ,BA$5,0))))</f>
        <v/>
      </c>
      <c r="BB222" s="174" t="str">
        <f>IF(BB$6="","",IF(BB$3="Maior",iferror(VLOOKUP($R222,Capa!$A:$AJ,BB$5,0),0),IF(ISERROR(1/VLOOKUP($R222,Capa!$A:$AJ,BB$5,0)),0,1/VLOOKUP($R222,Capa!$A:$AJ,BB$5,0))))</f>
        <v/>
      </c>
      <c r="BC222" s="174" t="str">
        <f>IF(BC$6="","",IF(BC$3="Maior",iferror(VLOOKUP($R222,Capa!$A:$AJ,BC$5,0),0),IF(ISERROR(1/VLOOKUP($R222,Capa!$A:$AJ,BC$5,0)),0,1/VLOOKUP($R222,Capa!$A:$AJ,BC$5,0))))</f>
        <v/>
      </c>
      <c r="BD222" s="174" t="str">
        <f>IF(BD$6="","",IF(BD$3="Maior",iferror(VLOOKUP($R222,Capa!$A:$AJ,BD$5,0),0),IF(ISERROR(1/VLOOKUP($R222,Capa!$A:$AJ,BD$5,0)),0,1/VLOOKUP($R222,Capa!$A:$AJ,BD$5,0))))</f>
        <v/>
      </c>
      <c r="BE222" s="174" t="str">
        <f>IF(BE$6="","",IF(BE$3="Maior",iferror(VLOOKUP($R222,Capa!$A:$AJ,BE$5,0),0),IF(ISERROR(1/VLOOKUP($R222,Capa!$A:$AJ,BE$5,0)),0,1/VLOOKUP($R222,Capa!$A:$AJ,BE$5,0))))</f>
        <v/>
      </c>
      <c r="BF222" s="174" t="str">
        <f>IF(BF$6="","",IF(BF$3="Maior",iferror(VLOOKUP($R222,Capa!$A:$AJ,BF$5,0),0),IF(ISERROR(1/VLOOKUP($R222,Capa!$A:$AJ,BF$5,0)),0,1/VLOOKUP($R222,Capa!$A:$AJ,BF$5,0))))</f>
        <v/>
      </c>
      <c r="BG222" s="174" t="str">
        <f>IF(BG$6="","",IF(BG$3="Maior",iferror(VLOOKUP($R222,Capa!$A:$AJ,BG$5,0),0),IF(ISERROR(1/VLOOKUP($R222,Capa!$A:$AJ,BG$5,0)),0,1/VLOOKUP($R222,Capa!$A:$AJ,BG$5,0))))</f>
        <v/>
      </c>
      <c r="BH222" s="174" t="str">
        <f>IF(BH$6="","",IF(BH$3="Maior",iferror(VLOOKUP($R222,Capa!$A:$AJ,BH$5,0),0),IF(ISERROR(1/VLOOKUP($R222,Capa!$A:$AJ,BH$5,0)),0,1/VLOOKUP($R222,Capa!$A:$AJ,BH$5,0))))</f>
        <v/>
      </c>
      <c r="BI222" s="174" t="str">
        <f>IF(BI$6="","",IF(BI$3="Maior",iferror(VLOOKUP($R222,Capa!$A:$AJ,BI$5,0),0),IF(ISERROR(1/VLOOKUP($R222,Capa!$A:$AJ,BI$5,0)),0,1/VLOOKUP($R222,Capa!$A:$AJ,BI$5,0))))</f>
        <v/>
      </c>
      <c r="BJ222" s="174" t="str">
        <f>IF(BJ$6="","",IF(BJ$3="Maior",iferror(VLOOKUP($R222,Capa!$A:$AJ,BJ$5,0),0),IF(ISERROR(1/VLOOKUP($R222,Capa!$A:$AJ,BJ$5,0)),0,1/VLOOKUP($R222,Capa!$A:$AJ,BJ$5,0))))</f>
        <v/>
      </c>
      <c r="BK222" s="174" t="str">
        <f>IF(BK$6="","",IF(BK$3="Maior",iferror(VLOOKUP($R222,Capa!$A:$AJ,BK$5,0),0),IF(ISERROR(1/VLOOKUP($R222,Capa!$A:$AJ,BK$5,0)),0,1/VLOOKUP($R222,Capa!$A:$AJ,BK$5,0))))</f>
        <v/>
      </c>
      <c r="BL222" s="174" t="str">
        <f>IF(BL$6="","",IF(BL$3="Maior",iferror(VLOOKUP($R222,Capa!$A:$AJ,BL$5,0),0),IF(ISERROR(1/VLOOKUP($R222,Capa!$A:$AJ,BL$5,0)),0,1/VLOOKUP($R222,Capa!$A:$AJ,BL$5,0))))</f>
        <v/>
      </c>
      <c r="BM222" s="174" t="str">
        <f>IF(BM$6="","",IF(BM$3="Maior",iferror(VLOOKUP($R222,Capa!$A:$AJ,BM$5,0),0),IF(ISERROR(1/VLOOKUP($R222,Capa!$A:$AJ,BM$5,0)),0,1/VLOOKUP($R222,Capa!$A:$AJ,BM$5,0))))</f>
        <v/>
      </c>
      <c r="BN222" s="174" t="str">
        <f>IF(BN$6="","",IF(BN$3="Maior",iferror(VLOOKUP($R222,Capa!$A:$AJ,BN$5,0),0),IF(ISERROR(1/VLOOKUP($R222,Capa!$A:$AJ,BN$5,0)),0,1/VLOOKUP($R222,Capa!$A:$AJ,BN$5,0))))</f>
        <v/>
      </c>
      <c r="BO222" s="174" t="str">
        <f>IF(BO$6="","",IF(BO$3="Maior",iferror(VLOOKUP($R222,Capa!$A:$AJ,BO$5,0),0),IF(ISERROR(1/VLOOKUP($R222,Capa!$A:$AJ,BO$5,0)),0,1/VLOOKUP($R222,Capa!$A:$AJ,BO$5,0))))</f>
        <v/>
      </c>
      <c r="BP222" s="174" t="str">
        <f>IF(BP$6="","",IF(BP$3="Maior",iferror(VLOOKUP($R222,Capa!$A:$AJ,BP$5,0),0),IF(ISERROR(1/VLOOKUP($R222,Capa!$A:$AJ,BP$5,0)),0,1/VLOOKUP($R222,Capa!$A:$AJ,BP$5,0))))</f>
        <v/>
      </c>
      <c r="BQ222" s="174" t="str">
        <f>IF(BQ$6="","",IF(BQ$3="Maior",iferror(VLOOKUP($R222,Capa!$A:$AJ,BQ$5,0),0),IF(ISERROR(1/VLOOKUP($R222,Capa!$A:$AJ,BQ$5,0)),0,1/VLOOKUP($R222,Capa!$A:$AJ,BQ$5,0))))</f>
        <v/>
      </c>
      <c r="BR222" s="175"/>
      <c r="BS222" s="147"/>
    </row>
    <row r="223">
      <c r="G223" s="11"/>
      <c r="H223" s="8">
        <v>217.0</v>
      </c>
      <c r="I223" s="165" t="str">
        <f t="shared" si="6"/>
        <v>AMBP3</v>
      </c>
      <c r="J223" s="166" t="str">
        <f>(VLOOKUP($I223,Capa!$A:$B,2,0))</f>
        <v>Ambipar Participacoes e Empreendmnts SA</v>
      </c>
      <c r="K223" s="167" t="str">
        <f>VLOOKUP(left(I223,4),Setor!A:D,3,0)&amp;" | "&amp;VLOOKUP(left(I223,4),Setor!A:D,4,0)</f>
        <v>Bens Industriais | Serviços Diversos</v>
      </c>
      <c r="L223" s="168">
        <f>(VLOOKUP($I223,Capa!$A:$F,6,0))</f>
        <v>0.26</v>
      </c>
      <c r="M223" s="168">
        <f t="shared" si="7"/>
        <v>2280300</v>
      </c>
      <c r="N223" s="11" t="str">
        <f>IFERROR(__xludf.DUMMYFUNCTION("(VLOOKUP($I223,Capa!$A:$H,7,0))"),"")</f>
        <v/>
      </c>
      <c r="O223" s="169">
        <f>(VLOOKUP($I223,Capa!$A:$H,8,0))</f>
        <v>-0.1034482759</v>
      </c>
      <c r="P223" s="11" t="str">
        <f>IFERROR(__xludf.DUMMYFUNCTION("(VLOOKUP($I223,Capa!$A:$J,10,0))"),"")</f>
        <v/>
      </c>
      <c r="Q223" s="169">
        <f>(VLOOKUP($I223,Capa!$A:$K,11,0))</f>
        <v>-0.9783693844</v>
      </c>
      <c r="R223" s="45" t="str">
        <f>'Dados StatusInvest'!A218</f>
        <v>DOHL3</v>
      </c>
      <c r="S223" s="170">
        <f t="shared" si="8"/>
        <v>1943.0943</v>
      </c>
      <c r="T223" s="171">
        <f>VLOOKUP(R223,'Dados StatusInvest'!A:Z,26,0)</f>
        <v>1953</v>
      </c>
      <c r="U223" s="172">
        <f t="shared" ref="U223:AS223" si="225">IF(AT223="","", RANK(AT223,AT$7:AT$626,0)+RANK(AT223,AT$7:AT$626,0)/10000)</f>
        <v>333.0333</v>
      </c>
      <c r="V223" s="172">
        <f t="shared" si="225"/>
        <v>610.061</v>
      </c>
      <c r="W223" s="172" t="str">
        <f t="shared" si="225"/>
        <v/>
      </c>
      <c r="X223" s="172" t="str">
        <f t="shared" si="225"/>
        <v/>
      </c>
      <c r="Y223" s="172" t="str">
        <f t="shared" si="225"/>
        <v/>
      </c>
      <c r="Z223" s="172" t="str">
        <f t="shared" si="225"/>
        <v/>
      </c>
      <c r="AA223" s="172" t="str">
        <f t="shared" si="225"/>
        <v/>
      </c>
      <c r="AB223" s="172" t="str">
        <f t="shared" si="225"/>
        <v/>
      </c>
      <c r="AC223" s="172" t="str">
        <f t="shared" si="225"/>
        <v/>
      </c>
      <c r="AD223" s="172" t="str">
        <f t="shared" si="225"/>
        <v/>
      </c>
      <c r="AE223" s="172" t="str">
        <f t="shared" si="225"/>
        <v/>
      </c>
      <c r="AF223" s="172" t="str">
        <f t="shared" si="225"/>
        <v/>
      </c>
      <c r="AG223" s="172" t="str">
        <f t="shared" si="225"/>
        <v/>
      </c>
      <c r="AH223" s="172" t="str">
        <f t="shared" si="225"/>
        <v/>
      </c>
      <c r="AI223" s="172" t="str">
        <f t="shared" si="225"/>
        <v/>
      </c>
      <c r="AJ223" s="172" t="str">
        <f t="shared" si="225"/>
        <v/>
      </c>
      <c r="AK223" s="172" t="str">
        <f t="shared" si="225"/>
        <v/>
      </c>
      <c r="AL223" s="172" t="str">
        <f t="shared" si="225"/>
        <v/>
      </c>
      <c r="AM223" s="172" t="str">
        <f t="shared" si="225"/>
        <v/>
      </c>
      <c r="AN223" s="172" t="str">
        <f t="shared" si="225"/>
        <v/>
      </c>
      <c r="AO223" s="172" t="str">
        <f t="shared" si="225"/>
        <v/>
      </c>
      <c r="AP223" s="172" t="str">
        <f t="shared" si="225"/>
        <v/>
      </c>
      <c r="AQ223" s="172" t="str">
        <f t="shared" si="225"/>
        <v/>
      </c>
      <c r="AR223" s="172" t="str">
        <f t="shared" si="225"/>
        <v/>
      </c>
      <c r="AS223" s="172" t="str">
        <f t="shared" si="225"/>
        <v/>
      </c>
      <c r="AT223" s="173">
        <f>IF(AT$6="","",IF(AT$3="Maior",iferror(VLOOKUP($R223,Capa!$A:$AJ,AT$5,0),0),IF(ISERROR(1/VLOOKUP($R223,Capa!$A:$AJ,AT$5,0)),0,1/VLOOKUP($R223,Capa!$A:$AJ,AT$5,0))))</f>
        <v>-0.8771929825</v>
      </c>
      <c r="AU223" s="174">
        <f>IF(AU$6="","",IF(AU$3="Maior",iferror(VLOOKUP($R223,Capa!$A:$AJ,AU$5,0),0),IF(ISERROR(1/VLOOKUP($R223,Capa!$A:$AJ,AU$5,0)),0,1/VLOOKUP($R223,Capa!$A:$AJ,AU$5,0))))</f>
        <v>-29.67</v>
      </c>
      <c r="AV223" s="174" t="str">
        <f>IF(AV$6="","",IF(AV$3="Maior",iferror(VLOOKUP($R223,Capa!$A:$AJ,AV$5,0),0),IF(ISERROR(1/VLOOKUP($R223,Capa!$A:$AJ,AV$5,0)),0,1/VLOOKUP($R223,Capa!$A:$AJ,AV$5,0))))</f>
        <v/>
      </c>
      <c r="AW223" s="174" t="str">
        <f>IF(AW$6="","",IF(AW$3="Maior",iferror(VLOOKUP($R223,Capa!$A:$AJ,AW$5,0),0),IF(ISERROR(1/VLOOKUP($R223,Capa!$A:$AJ,AW$5,0)),0,1/VLOOKUP($R223,Capa!$A:$AJ,AW$5,0))))</f>
        <v/>
      </c>
      <c r="AX223" s="174" t="str">
        <f>IF(AX$6="","",IF(AX$3="Maior",iferror(VLOOKUP($R223,Capa!$A:$AJ,AX$5,0),0),IF(ISERROR(1/VLOOKUP($R223,Capa!$A:$AJ,AX$5,0)),0,1/VLOOKUP($R223,Capa!$A:$AJ,AX$5,0))))</f>
        <v/>
      </c>
      <c r="AY223" s="174" t="str">
        <f>IF(AY$6="","",IF(AY$3="Maior",iferror(VLOOKUP($R223,Capa!$A:$AJ,AY$5,0),0),IF(ISERROR(1/VLOOKUP($R223,Capa!$A:$AJ,AY$5,0)),0,1/VLOOKUP($R223,Capa!$A:$AJ,AY$5,0))))</f>
        <v/>
      </c>
      <c r="AZ223" s="174" t="str">
        <f>IF(AZ$6="","",IF(AZ$3="Maior",iferror(VLOOKUP($R223,Capa!$A:$AJ,AZ$5,0),0),IF(ISERROR(1/VLOOKUP($R223,Capa!$A:$AJ,AZ$5,0)),0,1/VLOOKUP($R223,Capa!$A:$AJ,AZ$5,0))))</f>
        <v/>
      </c>
      <c r="BA223" s="174" t="str">
        <f>IF(BA$6="","",IF(BA$3="Maior",iferror(VLOOKUP($R223,Capa!$A:$AJ,BA$5,0),0),IF(ISERROR(1/VLOOKUP($R223,Capa!$A:$AJ,BA$5,0)),0,1/VLOOKUP($R223,Capa!$A:$AJ,BA$5,0))))</f>
        <v/>
      </c>
      <c r="BB223" s="174" t="str">
        <f>IF(BB$6="","",IF(BB$3="Maior",iferror(VLOOKUP($R223,Capa!$A:$AJ,BB$5,0),0),IF(ISERROR(1/VLOOKUP($R223,Capa!$A:$AJ,BB$5,0)),0,1/VLOOKUP($R223,Capa!$A:$AJ,BB$5,0))))</f>
        <v/>
      </c>
      <c r="BC223" s="174" t="str">
        <f>IF(BC$6="","",IF(BC$3="Maior",iferror(VLOOKUP($R223,Capa!$A:$AJ,BC$5,0),0),IF(ISERROR(1/VLOOKUP($R223,Capa!$A:$AJ,BC$5,0)),0,1/VLOOKUP($R223,Capa!$A:$AJ,BC$5,0))))</f>
        <v/>
      </c>
      <c r="BD223" s="174" t="str">
        <f>IF(BD$6="","",IF(BD$3="Maior",iferror(VLOOKUP($R223,Capa!$A:$AJ,BD$5,0),0),IF(ISERROR(1/VLOOKUP($R223,Capa!$A:$AJ,BD$5,0)),0,1/VLOOKUP($R223,Capa!$A:$AJ,BD$5,0))))</f>
        <v/>
      </c>
      <c r="BE223" s="174" t="str">
        <f>IF(BE$6="","",IF(BE$3="Maior",iferror(VLOOKUP($R223,Capa!$A:$AJ,BE$5,0),0),IF(ISERROR(1/VLOOKUP($R223,Capa!$A:$AJ,BE$5,0)),0,1/VLOOKUP($R223,Capa!$A:$AJ,BE$5,0))))</f>
        <v/>
      </c>
      <c r="BF223" s="174" t="str">
        <f>IF(BF$6="","",IF(BF$3="Maior",iferror(VLOOKUP($R223,Capa!$A:$AJ,BF$5,0),0),IF(ISERROR(1/VLOOKUP($R223,Capa!$A:$AJ,BF$5,0)),0,1/VLOOKUP($R223,Capa!$A:$AJ,BF$5,0))))</f>
        <v/>
      </c>
      <c r="BG223" s="174" t="str">
        <f>IF(BG$6="","",IF(BG$3="Maior",iferror(VLOOKUP($R223,Capa!$A:$AJ,BG$5,0),0),IF(ISERROR(1/VLOOKUP($R223,Capa!$A:$AJ,BG$5,0)),0,1/VLOOKUP($R223,Capa!$A:$AJ,BG$5,0))))</f>
        <v/>
      </c>
      <c r="BH223" s="174" t="str">
        <f>IF(BH$6="","",IF(BH$3="Maior",iferror(VLOOKUP($R223,Capa!$A:$AJ,BH$5,0),0),IF(ISERROR(1/VLOOKUP($R223,Capa!$A:$AJ,BH$5,0)),0,1/VLOOKUP($R223,Capa!$A:$AJ,BH$5,0))))</f>
        <v/>
      </c>
      <c r="BI223" s="174" t="str">
        <f>IF(BI$6="","",IF(BI$3="Maior",iferror(VLOOKUP($R223,Capa!$A:$AJ,BI$5,0),0),IF(ISERROR(1/VLOOKUP($R223,Capa!$A:$AJ,BI$5,0)),0,1/VLOOKUP($R223,Capa!$A:$AJ,BI$5,0))))</f>
        <v/>
      </c>
      <c r="BJ223" s="174" t="str">
        <f>IF(BJ$6="","",IF(BJ$3="Maior",iferror(VLOOKUP($R223,Capa!$A:$AJ,BJ$5,0),0),IF(ISERROR(1/VLOOKUP($R223,Capa!$A:$AJ,BJ$5,0)),0,1/VLOOKUP($R223,Capa!$A:$AJ,BJ$5,0))))</f>
        <v/>
      </c>
      <c r="BK223" s="174" t="str">
        <f>IF(BK$6="","",IF(BK$3="Maior",iferror(VLOOKUP($R223,Capa!$A:$AJ,BK$5,0),0),IF(ISERROR(1/VLOOKUP($R223,Capa!$A:$AJ,BK$5,0)),0,1/VLOOKUP($R223,Capa!$A:$AJ,BK$5,0))))</f>
        <v/>
      </c>
      <c r="BL223" s="174" t="str">
        <f>IF(BL$6="","",IF(BL$3="Maior",iferror(VLOOKUP($R223,Capa!$A:$AJ,BL$5,0),0),IF(ISERROR(1/VLOOKUP($R223,Capa!$A:$AJ,BL$5,0)),0,1/VLOOKUP($R223,Capa!$A:$AJ,BL$5,0))))</f>
        <v/>
      </c>
      <c r="BM223" s="174" t="str">
        <f>IF(BM$6="","",IF(BM$3="Maior",iferror(VLOOKUP($R223,Capa!$A:$AJ,BM$5,0),0),IF(ISERROR(1/VLOOKUP($R223,Capa!$A:$AJ,BM$5,0)),0,1/VLOOKUP($R223,Capa!$A:$AJ,BM$5,0))))</f>
        <v/>
      </c>
      <c r="BN223" s="174" t="str">
        <f>IF(BN$6="","",IF(BN$3="Maior",iferror(VLOOKUP($R223,Capa!$A:$AJ,BN$5,0),0),IF(ISERROR(1/VLOOKUP($R223,Capa!$A:$AJ,BN$5,0)),0,1/VLOOKUP($R223,Capa!$A:$AJ,BN$5,0))))</f>
        <v/>
      </c>
      <c r="BO223" s="174" t="str">
        <f>IF(BO$6="","",IF(BO$3="Maior",iferror(VLOOKUP($R223,Capa!$A:$AJ,BO$5,0),0),IF(ISERROR(1/VLOOKUP($R223,Capa!$A:$AJ,BO$5,0)),0,1/VLOOKUP($R223,Capa!$A:$AJ,BO$5,0))))</f>
        <v/>
      </c>
      <c r="BP223" s="174" t="str">
        <f>IF(BP$6="","",IF(BP$3="Maior",iferror(VLOOKUP($R223,Capa!$A:$AJ,BP$5,0),0),IF(ISERROR(1/VLOOKUP($R223,Capa!$A:$AJ,BP$5,0)),0,1/VLOOKUP($R223,Capa!$A:$AJ,BP$5,0))))</f>
        <v/>
      </c>
      <c r="BQ223" s="174" t="str">
        <f>IF(BQ$6="","",IF(BQ$3="Maior",iferror(VLOOKUP($R223,Capa!$A:$AJ,BQ$5,0),0),IF(ISERROR(1/VLOOKUP($R223,Capa!$A:$AJ,BQ$5,0)),0,1/VLOOKUP($R223,Capa!$A:$AJ,BQ$5,0))))</f>
        <v/>
      </c>
      <c r="BR223" s="175"/>
      <c r="BS223" s="147"/>
    </row>
    <row r="224">
      <c r="G224" s="11"/>
      <c r="H224" s="8">
        <v>218.0</v>
      </c>
      <c r="I224" s="165" t="str">
        <f t="shared" si="6"/>
        <v>CMIN3</v>
      </c>
      <c r="J224" s="166" t="str">
        <f>(VLOOKUP($I224,Capa!$A:$B,2,0))</f>
        <v>CSN Mineracao SA</v>
      </c>
      <c r="K224" s="167" t="str">
        <f>VLOOKUP(left(I224,4),Setor!A:D,3,0)&amp;" | "&amp;VLOOKUP(left(I224,4),Setor!A:D,4,0)</f>
        <v>Petróleo, Gás e Biocombustíveis | Petróleo, Gás e Biocombustíveis</v>
      </c>
      <c r="L224" s="168">
        <f>(VLOOKUP($I224,Capa!$A:$F,6,0))</f>
        <v>5.27</v>
      </c>
      <c r="M224" s="168">
        <f t="shared" si="7"/>
        <v>46805200</v>
      </c>
      <c r="N224" s="11" t="str">
        <f>IFERROR(__xludf.DUMMYFUNCTION("(VLOOKUP($I224,Capa!$A:$H,7,0))"),"")</f>
        <v/>
      </c>
      <c r="O224" s="169">
        <f>(VLOOKUP($I224,Capa!$A:$H,8,0))</f>
        <v>-0.0818815331</v>
      </c>
      <c r="P224" s="11" t="str">
        <f>IFERROR(__xludf.DUMMYFUNCTION("(VLOOKUP($I224,Capa!$A:$J,10,0))"),"")</f>
        <v/>
      </c>
      <c r="Q224" s="169">
        <f>(VLOOKUP($I224,Capa!$A:$K,11,0))</f>
        <v>-0.01679104478</v>
      </c>
      <c r="R224" s="45" t="str">
        <f>'Dados StatusInvest'!A219</f>
        <v>DOHL4</v>
      </c>
      <c r="S224" s="170">
        <f t="shared" si="8"/>
        <v>2030.103</v>
      </c>
      <c r="T224" s="171">
        <f>VLOOKUP(R224,'Dados StatusInvest'!A:Z,26,0)</f>
        <v>10433.43</v>
      </c>
      <c r="U224" s="172">
        <f t="shared" ref="U224:AS224" si="226">IF(AT224="","", RANK(AT224,AT$7:AT$626,0)+RANK(AT224,AT$7:AT$626,0)/10000)</f>
        <v>420.042</v>
      </c>
      <c r="V224" s="172">
        <f t="shared" si="226"/>
        <v>610.061</v>
      </c>
      <c r="W224" s="172" t="str">
        <f t="shared" si="226"/>
        <v/>
      </c>
      <c r="X224" s="172" t="str">
        <f t="shared" si="226"/>
        <v/>
      </c>
      <c r="Y224" s="172" t="str">
        <f t="shared" si="226"/>
        <v/>
      </c>
      <c r="Z224" s="172" t="str">
        <f t="shared" si="226"/>
        <v/>
      </c>
      <c r="AA224" s="172" t="str">
        <f t="shared" si="226"/>
        <v/>
      </c>
      <c r="AB224" s="172" t="str">
        <f t="shared" si="226"/>
        <v/>
      </c>
      <c r="AC224" s="172" t="str">
        <f t="shared" si="226"/>
        <v/>
      </c>
      <c r="AD224" s="172" t="str">
        <f t="shared" si="226"/>
        <v/>
      </c>
      <c r="AE224" s="172" t="str">
        <f t="shared" si="226"/>
        <v/>
      </c>
      <c r="AF224" s="172" t="str">
        <f t="shared" si="226"/>
        <v/>
      </c>
      <c r="AG224" s="172" t="str">
        <f t="shared" si="226"/>
        <v/>
      </c>
      <c r="AH224" s="172" t="str">
        <f t="shared" si="226"/>
        <v/>
      </c>
      <c r="AI224" s="172" t="str">
        <f t="shared" si="226"/>
        <v/>
      </c>
      <c r="AJ224" s="172" t="str">
        <f t="shared" si="226"/>
        <v/>
      </c>
      <c r="AK224" s="172" t="str">
        <f t="shared" si="226"/>
        <v/>
      </c>
      <c r="AL224" s="172" t="str">
        <f t="shared" si="226"/>
        <v/>
      </c>
      <c r="AM224" s="172" t="str">
        <f t="shared" si="226"/>
        <v/>
      </c>
      <c r="AN224" s="172" t="str">
        <f t="shared" si="226"/>
        <v/>
      </c>
      <c r="AO224" s="172" t="str">
        <f t="shared" si="226"/>
        <v/>
      </c>
      <c r="AP224" s="172" t="str">
        <f t="shared" si="226"/>
        <v/>
      </c>
      <c r="AQ224" s="172" t="str">
        <f t="shared" si="226"/>
        <v/>
      </c>
      <c r="AR224" s="172" t="str">
        <f t="shared" si="226"/>
        <v/>
      </c>
      <c r="AS224" s="172" t="str">
        <f t="shared" si="226"/>
        <v/>
      </c>
      <c r="AT224" s="173">
        <f>IF(AT$6="","",IF(AT$3="Maior",iferror(VLOOKUP($R224,Capa!$A:$AJ,AT$5,0),0),IF(ISERROR(1/VLOOKUP($R224,Capa!$A:$AJ,AT$5,0)),0,1/VLOOKUP($R224,Capa!$A:$AJ,AT$5,0))))</f>
        <v>-1.515151515</v>
      </c>
      <c r="AU224" s="174">
        <f>IF(AU$6="","",IF(AU$3="Maior",iferror(VLOOKUP($R224,Capa!$A:$AJ,AU$5,0),0),IF(ISERROR(1/VLOOKUP($R224,Capa!$A:$AJ,AU$5,0)),0,1/VLOOKUP($R224,Capa!$A:$AJ,AU$5,0))))</f>
        <v>-29.67</v>
      </c>
      <c r="AV224" s="174" t="str">
        <f>IF(AV$6="","",IF(AV$3="Maior",iferror(VLOOKUP($R224,Capa!$A:$AJ,AV$5,0),0),IF(ISERROR(1/VLOOKUP($R224,Capa!$A:$AJ,AV$5,0)),0,1/VLOOKUP($R224,Capa!$A:$AJ,AV$5,0))))</f>
        <v/>
      </c>
      <c r="AW224" s="174" t="str">
        <f>IF(AW$6="","",IF(AW$3="Maior",iferror(VLOOKUP($R224,Capa!$A:$AJ,AW$5,0),0),IF(ISERROR(1/VLOOKUP($R224,Capa!$A:$AJ,AW$5,0)),0,1/VLOOKUP($R224,Capa!$A:$AJ,AW$5,0))))</f>
        <v/>
      </c>
      <c r="AX224" s="174" t="str">
        <f>IF(AX$6="","",IF(AX$3="Maior",iferror(VLOOKUP($R224,Capa!$A:$AJ,AX$5,0),0),IF(ISERROR(1/VLOOKUP($R224,Capa!$A:$AJ,AX$5,0)),0,1/VLOOKUP($R224,Capa!$A:$AJ,AX$5,0))))</f>
        <v/>
      </c>
      <c r="AY224" s="174" t="str">
        <f>IF(AY$6="","",IF(AY$3="Maior",iferror(VLOOKUP($R224,Capa!$A:$AJ,AY$5,0),0),IF(ISERROR(1/VLOOKUP($R224,Capa!$A:$AJ,AY$5,0)),0,1/VLOOKUP($R224,Capa!$A:$AJ,AY$5,0))))</f>
        <v/>
      </c>
      <c r="AZ224" s="174" t="str">
        <f>IF(AZ$6="","",IF(AZ$3="Maior",iferror(VLOOKUP($R224,Capa!$A:$AJ,AZ$5,0),0),IF(ISERROR(1/VLOOKUP($R224,Capa!$A:$AJ,AZ$5,0)),0,1/VLOOKUP($R224,Capa!$A:$AJ,AZ$5,0))))</f>
        <v/>
      </c>
      <c r="BA224" s="174" t="str">
        <f>IF(BA$6="","",IF(BA$3="Maior",iferror(VLOOKUP($R224,Capa!$A:$AJ,BA$5,0),0),IF(ISERROR(1/VLOOKUP($R224,Capa!$A:$AJ,BA$5,0)),0,1/VLOOKUP($R224,Capa!$A:$AJ,BA$5,0))))</f>
        <v/>
      </c>
      <c r="BB224" s="174" t="str">
        <f>IF(BB$6="","",IF(BB$3="Maior",iferror(VLOOKUP($R224,Capa!$A:$AJ,BB$5,0),0),IF(ISERROR(1/VLOOKUP($R224,Capa!$A:$AJ,BB$5,0)),0,1/VLOOKUP($R224,Capa!$A:$AJ,BB$5,0))))</f>
        <v/>
      </c>
      <c r="BC224" s="174" t="str">
        <f>IF(BC$6="","",IF(BC$3="Maior",iferror(VLOOKUP($R224,Capa!$A:$AJ,BC$5,0),0),IF(ISERROR(1/VLOOKUP($R224,Capa!$A:$AJ,BC$5,0)),0,1/VLOOKUP($R224,Capa!$A:$AJ,BC$5,0))))</f>
        <v/>
      </c>
      <c r="BD224" s="174" t="str">
        <f>IF(BD$6="","",IF(BD$3="Maior",iferror(VLOOKUP($R224,Capa!$A:$AJ,BD$5,0),0),IF(ISERROR(1/VLOOKUP($R224,Capa!$A:$AJ,BD$5,0)),0,1/VLOOKUP($R224,Capa!$A:$AJ,BD$5,0))))</f>
        <v/>
      </c>
      <c r="BE224" s="174" t="str">
        <f>IF(BE$6="","",IF(BE$3="Maior",iferror(VLOOKUP($R224,Capa!$A:$AJ,BE$5,0),0),IF(ISERROR(1/VLOOKUP($R224,Capa!$A:$AJ,BE$5,0)),0,1/VLOOKUP($R224,Capa!$A:$AJ,BE$5,0))))</f>
        <v/>
      </c>
      <c r="BF224" s="174" t="str">
        <f>IF(BF$6="","",IF(BF$3="Maior",iferror(VLOOKUP($R224,Capa!$A:$AJ,BF$5,0),0),IF(ISERROR(1/VLOOKUP($R224,Capa!$A:$AJ,BF$5,0)),0,1/VLOOKUP($R224,Capa!$A:$AJ,BF$5,0))))</f>
        <v/>
      </c>
      <c r="BG224" s="174" t="str">
        <f>IF(BG$6="","",IF(BG$3="Maior",iferror(VLOOKUP($R224,Capa!$A:$AJ,BG$5,0),0),IF(ISERROR(1/VLOOKUP($R224,Capa!$A:$AJ,BG$5,0)),0,1/VLOOKUP($R224,Capa!$A:$AJ,BG$5,0))))</f>
        <v/>
      </c>
      <c r="BH224" s="174" t="str">
        <f>IF(BH$6="","",IF(BH$3="Maior",iferror(VLOOKUP($R224,Capa!$A:$AJ,BH$5,0),0),IF(ISERROR(1/VLOOKUP($R224,Capa!$A:$AJ,BH$5,0)),0,1/VLOOKUP($R224,Capa!$A:$AJ,BH$5,0))))</f>
        <v/>
      </c>
      <c r="BI224" s="174" t="str">
        <f>IF(BI$6="","",IF(BI$3="Maior",iferror(VLOOKUP($R224,Capa!$A:$AJ,BI$5,0),0),IF(ISERROR(1/VLOOKUP($R224,Capa!$A:$AJ,BI$5,0)),0,1/VLOOKUP($R224,Capa!$A:$AJ,BI$5,0))))</f>
        <v/>
      </c>
      <c r="BJ224" s="174" t="str">
        <f>IF(BJ$6="","",IF(BJ$3="Maior",iferror(VLOOKUP($R224,Capa!$A:$AJ,BJ$5,0),0),IF(ISERROR(1/VLOOKUP($R224,Capa!$A:$AJ,BJ$5,0)),0,1/VLOOKUP($R224,Capa!$A:$AJ,BJ$5,0))))</f>
        <v/>
      </c>
      <c r="BK224" s="174" t="str">
        <f>IF(BK$6="","",IF(BK$3="Maior",iferror(VLOOKUP($R224,Capa!$A:$AJ,BK$5,0),0),IF(ISERROR(1/VLOOKUP($R224,Capa!$A:$AJ,BK$5,0)),0,1/VLOOKUP($R224,Capa!$A:$AJ,BK$5,0))))</f>
        <v/>
      </c>
      <c r="BL224" s="174" t="str">
        <f>IF(BL$6="","",IF(BL$3="Maior",iferror(VLOOKUP($R224,Capa!$A:$AJ,BL$5,0),0),IF(ISERROR(1/VLOOKUP($R224,Capa!$A:$AJ,BL$5,0)),0,1/VLOOKUP($R224,Capa!$A:$AJ,BL$5,0))))</f>
        <v/>
      </c>
      <c r="BM224" s="174" t="str">
        <f>IF(BM$6="","",IF(BM$3="Maior",iferror(VLOOKUP($R224,Capa!$A:$AJ,BM$5,0),0),IF(ISERROR(1/VLOOKUP($R224,Capa!$A:$AJ,BM$5,0)),0,1/VLOOKUP($R224,Capa!$A:$AJ,BM$5,0))))</f>
        <v/>
      </c>
      <c r="BN224" s="174" t="str">
        <f>IF(BN$6="","",IF(BN$3="Maior",iferror(VLOOKUP($R224,Capa!$A:$AJ,BN$5,0),0),IF(ISERROR(1/VLOOKUP($R224,Capa!$A:$AJ,BN$5,0)),0,1/VLOOKUP($R224,Capa!$A:$AJ,BN$5,0))))</f>
        <v/>
      </c>
      <c r="BO224" s="174" t="str">
        <f>IF(BO$6="","",IF(BO$3="Maior",iferror(VLOOKUP($R224,Capa!$A:$AJ,BO$5,0),0),IF(ISERROR(1/VLOOKUP($R224,Capa!$A:$AJ,BO$5,0)),0,1/VLOOKUP($R224,Capa!$A:$AJ,BO$5,0))))</f>
        <v/>
      </c>
      <c r="BP224" s="174" t="str">
        <f>IF(BP$6="","",IF(BP$3="Maior",iferror(VLOOKUP($R224,Capa!$A:$AJ,BP$5,0),0),IF(ISERROR(1/VLOOKUP($R224,Capa!$A:$AJ,BP$5,0)),0,1/VLOOKUP($R224,Capa!$A:$AJ,BP$5,0))))</f>
        <v/>
      </c>
      <c r="BQ224" s="174" t="str">
        <f>IF(BQ$6="","",IF(BQ$3="Maior",iferror(VLOOKUP($R224,Capa!$A:$AJ,BQ$5,0),0),IF(ISERROR(1/VLOOKUP($R224,Capa!$A:$AJ,BQ$5,0)),0,1/VLOOKUP($R224,Capa!$A:$AJ,BQ$5,0))))</f>
        <v/>
      </c>
      <c r="BR224" s="175"/>
      <c r="BS224" s="147"/>
    </row>
    <row r="225">
      <c r="G225" s="11"/>
      <c r="H225" s="8">
        <v>219.0</v>
      </c>
      <c r="I225" s="165" t="str">
        <f t="shared" si="6"/>
        <v>WIZC3</v>
      </c>
      <c r="J225" s="166" t="str">
        <f>(VLOOKUP($I225,Capa!$A:$B,2,0))</f>
        <v>Wiz Co Participacos e Cortgm de Sgurs SA</v>
      </c>
      <c r="K225" s="167" t="str">
        <f>VLOOKUP(left(I225,4),Setor!A:D,3,0)&amp;" | "&amp;VLOOKUP(left(I225,4),Setor!A:D,4,0)</f>
        <v>#N/A</v>
      </c>
      <c r="L225" s="168">
        <f>(VLOOKUP($I225,Capa!$A:$F,6,0))</f>
        <v>9.01</v>
      </c>
      <c r="M225" s="168">
        <f t="shared" si="7"/>
        <v>5751102</v>
      </c>
      <c r="N225" s="177" t="str">
        <f>IFERROR(__xludf.DUMMYFUNCTION("(VLOOKUP($I225,Capa!$A:$H,7,0))"),"")</f>
        <v/>
      </c>
      <c r="O225" s="177" t="str">
        <f>(VLOOKUP($I225,Capa!$A:$H,8,0))</f>
        <v/>
      </c>
      <c r="P225" s="169" t="str">
        <f>IFERROR(__xludf.DUMMYFUNCTION("(VLOOKUP($I225,Capa!$A:$J,10,0))"),"")</f>
        <v/>
      </c>
      <c r="Q225" s="169">
        <f>(VLOOKUP($I225,Capa!$A:$K,11,0))</f>
        <v>0.5041736227</v>
      </c>
      <c r="R225" s="45" t="str">
        <f>'Dados StatusInvest'!A220</f>
        <v>DOTZ3</v>
      </c>
      <c r="S225" s="170">
        <f t="shared" si="8"/>
        <v>1770.077</v>
      </c>
      <c r="T225" s="171">
        <f>VLOOKUP(R225,'Dados StatusInvest'!A:Z,26,0)</f>
        <v>47562.48</v>
      </c>
      <c r="U225" s="172">
        <f t="shared" ref="U225:AS225" si="227">IF(AT225="","", RANK(AT225,AT$7:AT$626,0)+RANK(AT225,AT$7:AT$626,0)/10000)</f>
        <v>503.0503</v>
      </c>
      <c r="V225" s="172">
        <f t="shared" si="227"/>
        <v>267.0267</v>
      </c>
      <c r="W225" s="172" t="str">
        <f t="shared" si="227"/>
        <v/>
      </c>
      <c r="X225" s="172" t="str">
        <f t="shared" si="227"/>
        <v/>
      </c>
      <c r="Y225" s="172" t="str">
        <f t="shared" si="227"/>
        <v/>
      </c>
      <c r="Z225" s="172" t="str">
        <f t="shared" si="227"/>
        <v/>
      </c>
      <c r="AA225" s="172" t="str">
        <f t="shared" si="227"/>
        <v/>
      </c>
      <c r="AB225" s="172" t="str">
        <f t="shared" si="227"/>
        <v/>
      </c>
      <c r="AC225" s="172" t="str">
        <f t="shared" si="227"/>
        <v/>
      </c>
      <c r="AD225" s="172" t="str">
        <f t="shared" si="227"/>
        <v/>
      </c>
      <c r="AE225" s="172" t="str">
        <f t="shared" si="227"/>
        <v/>
      </c>
      <c r="AF225" s="172" t="str">
        <f t="shared" si="227"/>
        <v/>
      </c>
      <c r="AG225" s="172" t="str">
        <f t="shared" si="227"/>
        <v/>
      </c>
      <c r="AH225" s="172" t="str">
        <f t="shared" si="227"/>
        <v/>
      </c>
      <c r="AI225" s="172" t="str">
        <f t="shared" si="227"/>
        <v/>
      </c>
      <c r="AJ225" s="172" t="str">
        <f t="shared" si="227"/>
        <v/>
      </c>
      <c r="AK225" s="172" t="str">
        <f t="shared" si="227"/>
        <v/>
      </c>
      <c r="AL225" s="172" t="str">
        <f t="shared" si="227"/>
        <v/>
      </c>
      <c r="AM225" s="172" t="str">
        <f t="shared" si="227"/>
        <v/>
      </c>
      <c r="AN225" s="172" t="str">
        <f t="shared" si="227"/>
        <v/>
      </c>
      <c r="AO225" s="172" t="str">
        <f t="shared" si="227"/>
        <v/>
      </c>
      <c r="AP225" s="172" t="str">
        <f t="shared" si="227"/>
        <v/>
      </c>
      <c r="AQ225" s="172" t="str">
        <f t="shared" si="227"/>
        <v/>
      </c>
      <c r="AR225" s="172" t="str">
        <f t="shared" si="227"/>
        <v/>
      </c>
      <c r="AS225" s="172" t="str">
        <f t="shared" si="227"/>
        <v/>
      </c>
      <c r="AT225" s="173">
        <f>IF(AT$6="","",IF(AT$3="Maior",iferror(VLOOKUP($R225,Capa!$A:$AJ,AT$5,0),0),IF(ISERROR(1/VLOOKUP($R225,Capa!$A:$AJ,AT$5,0)),0,1/VLOOKUP($R225,Capa!$A:$AJ,AT$5,0))))</f>
        <v>-3.225806452</v>
      </c>
      <c r="AU225" s="174">
        <f>IF(AU$6="","",IF(AU$3="Maior",iferror(VLOOKUP($R225,Capa!$A:$AJ,AU$5,0),0),IF(ISERROR(1/VLOOKUP($R225,Capa!$A:$AJ,AU$5,0)),0,1/VLOOKUP($R225,Capa!$A:$AJ,AU$5,0))))</f>
        <v>0</v>
      </c>
      <c r="AV225" s="174" t="str">
        <f>IF(AV$6="","",IF(AV$3="Maior",iferror(VLOOKUP($R225,Capa!$A:$AJ,AV$5,0),0),IF(ISERROR(1/VLOOKUP($R225,Capa!$A:$AJ,AV$5,0)),0,1/VLOOKUP($R225,Capa!$A:$AJ,AV$5,0))))</f>
        <v/>
      </c>
      <c r="AW225" s="174" t="str">
        <f>IF(AW$6="","",IF(AW$3="Maior",iferror(VLOOKUP($R225,Capa!$A:$AJ,AW$5,0),0),IF(ISERROR(1/VLOOKUP($R225,Capa!$A:$AJ,AW$5,0)),0,1/VLOOKUP($R225,Capa!$A:$AJ,AW$5,0))))</f>
        <v/>
      </c>
      <c r="AX225" s="174" t="str">
        <f>IF(AX$6="","",IF(AX$3="Maior",iferror(VLOOKUP($R225,Capa!$A:$AJ,AX$5,0),0),IF(ISERROR(1/VLOOKUP($R225,Capa!$A:$AJ,AX$5,0)),0,1/VLOOKUP($R225,Capa!$A:$AJ,AX$5,0))))</f>
        <v/>
      </c>
      <c r="AY225" s="174" t="str">
        <f>IF(AY$6="","",IF(AY$3="Maior",iferror(VLOOKUP($R225,Capa!$A:$AJ,AY$5,0),0),IF(ISERROR(1/VLOOKUP($R225,Capa!$A:$AJ,AY$5,0)),0,1/VLOOKUP($R225,Capa!$A:$AJ,AY$5,0))))</f>
        <v/>
      </c>
      <c r="AZ225" s="174" t="str">
        <f>IF(AZ$6="","",IF(AZ$3="Maior",iferror(VLOOKUP($R225,Capa!$A:$AJ,AZ$5,0),0),IF(ISERROR(1/VLOOKUP($R225,Capa!$A:$AJ,AZ$5,0)),0,1/VLOOKUP($R225,Capa!$A:$AJ,AZ$5,0))))</f>
        <v/>
      </c>
      <c r="BA225" s="174" t="str">
        <f>IF(BA$6="","",IF(BA$3="Maior",iferror(VLOOKUP($R225,Capa!$A:$AJ,BA$5,0),0),IF(ISERROR(1/VLOOKUP($R225,Capa!$A:$AJ,BA$5,0)),0,1/VLOOKUP($R225,Capa!$A:$AJ,BA$5,0))))</f>
        <v/>
      </c>
      <c r="BB225" s="174" t="str">
        <f>IF(BB$6="","",IF(BB$3="Maior",iferror(VLOOKUP($R225,Capa!$A:$AJ,BB$5,0),0),IF(ISERROR(1/VLOOKUP($R225,Capa!$A:$AJ,BB$5,0)),0,1/VLOOKUP($R225,Capa!$A:$AJ,BB$5,0))))</f>
        <v/>
      </c>
      <c r="BC225" s="174" t="str">
        <f>IF(BC$6="","",IF(BC$3="Maior",iferror(VLOOKUP($R225,Capa!$A:$AJ,BC$5,0),0),IF(ISERROR(1/VLOOKUP($R225,Capa!$A:$AJ,BC$5,0)),0,1/VLOOKUP($R225,Capa!$A:$AJ,BC$5,0))))</f>
        <v/>
      </c>
      <c r="BD225" s="174" t="str">
        <f>IF(BD$6="","",IF(BD$3="Maior",iferror(VLOOKUP($R225,Capa!$A:$AJ,BD$5,0),0),IF(ISERROR(1/VLOOKUP($R225,Capa!$A:$AJ,BD$5,0)),0,1/VLOOKUP($R225,Capa!$A:$AJ,BD$5,0))))</f>
        <v/>
      </c>
      <c r="BE225" s="174" t="str">
        <f>IF(BE$6="","",IF(BE$3="Maior",iferror(VLOOKUP($R225,Capa!$A:$AJ,BE$5,0),0),IF(ISERROR(1/VLOOKUP($R225,Capa!$A:$AJ,BE$5,0)),0,1/VLOOKUP($R225,Capa!$A:$AJ,BE$5,0))))</f>
        <v/>
      </c>
      <c r="BF225" s="174" t="str">
        <f>IF(BF$6="","",IF(BF$3="Maior",iferror(VLOOKUP($R225,Capa!$A:$AJ,BF$5,0),0),IF(ISERROR(1/VLOOKUP($R225,Capa!$A:$AJ,BF$5,0)),0,1/VLOOKUP($R225,Capa!$A:$AJ,BF$5,0))))</f>
        <v/>
      </c>
      <c r="BG225" s="174" t="str">
        <f>IF(BG$6="","",IF(BG$3="Maior",iferror(VLOOKUP($R225,Capa!$A:$AJ,BG$5,0),0),IF(ISERROR(1/VLOOKUP($R225,Capa!$A:$AJ,BG$5,0)),0,1/VLOOKUP($R225,Capa!$A:$AJ,BG$5,0))))</f>
        <v/>
      </c>
      <c r="BH225" s="174" t="str">
        <f>IF(BH$6="","",IF(BH$3="Maior",iferror(VLOOKUP($R225,Capa!$A:$AJ,BH$5,0),0),IF(ISERROR(1/VLOOKUP($R225,Capa!$A:$AJ,BH$5,0)),0,1/VLOOKUP($R225,Capa!$A:$AJ,BH$5,0))))</f>
        <v/>
      </c>
      <c r="BI225" s="174" t="str">
        <f>IF(BI$6="","",IF(BI$3="Maior",iferror(VLOOKUP($R225,Capa!$A:$AJ,BI$5,0),0),IF(ISERROR(1/VLOOKUP($R225,Capa!$A:$AJ,BI$5,0)),0,1/VLOOKUP($R225,Capa!$A:$AJ,BI$5,0))))</f>
        <v/>
      </c>
      <c r="BJ225" s="174" t="str">
        <f>IF(BJ$6="","",IF(BJ$3="Maior",iferror(VLOOKUP($R225,Capa!$A:$AJ,BJ$5,0),0),IF(ISERROR(1/VLOOKUP($R225,Capa!$A:$AJ,BJ$5,0)),0,1/VLOOKUP($R225,Capa!$A:$AJ,BJ$5,0))))</f>
        <v/>
      </c>
      <c r="BK225" s="174" t="str">
        <f>IF(BK$6="","",IF(BK$3="Maior",iferror(VLOOKUP($R225,Capa!$A:$AJ,BK$5,0),0),IF(ISERROR(1/VLOOKUP($R225,Capa!$A:$AJ,BK$5,0)),0,1/VLOOKUP($R225,Capa!$A:$AJ,BK$5,0))))</f>
        <v/>
      </c>
      <c r="BL225" s="174" t="str">
        <f>IF(BL$6="","",IF(BL$3="Maior",iferror(VLOOKUP($R225,Capa!$A:$AJ,BL$5,0),0),IF(ISERROR(1/VLOOKUP($R225,Capa!$A:$AJ,BL$5,0)),0,1/VLOOKUP($R225,Capa!$A:$AJ,BL$5,0))))</f>
        <v/>
      </c>
      <c r="BM225" s="174" t="str">
        <f>IF(BM$6="","",IF(BM$3="Maior",iferror(VLOOKUP($R225,Capa!$A:$AJ,BM$5,0),0),IF(ISERROR(1/VLOOKUP($R225,Capa!$A:$AJ,BM$5,0)),0,1/VLOOKUP($R225,Capa!$A:$AJ,BM$5,0))))</f>
        <v/>
      </c>
      <c r="BN225" s="174" t="str">
        <f>IF(BN$6="","",IF(BN$3="Maior",iferror(VLOOKUP($R225,Capa!$A:$AJ,BN$5,0),0),IF(ISERROR(1/VLOOKUP($R225,Capa!$A:$AJ,BN$5,0)),0,1/VLOOKUP($R225,Capa!$A:$AJ,BN$5,0))))</f>
        <v/>
      </c>
      <c r="BO225" s="174" t="str">
        <f>IF(BO$6="","",IF(BO$3="Maior",iferror(VLOOKUP($R225,Capa!$A:$AJ,BO$5,0),0),IF(ISERROR(1/VLOOKUP($R225,Capa!$A:$AJ,BO$5,0)),0,1/VLOOKUP($R225,Capa!$A:$AJ,BO$5,0))))</f>
        <v/>
      </c>
      <c r="BP225" s="174" t="str">
        <f>IF(BP$6="","",IF(BP$3="Maior",iferror(VLOOKUP($R225,Capa!$A:$AJ,BP$5,0),0),IF(ISERROR(1/VLOOKUP($R225,Capa!$A:$AJ,BP$5,0)),0,1/VLOOKUP($R225,Capa!$A:$AJ,BP$5,0))))</f>
        <v/>
      </c>
      <c r="BQ225" s="174" t="str">
        <f>IF(BQ$6="","",IF(BQ$3="Maior",iferror(VLOOKUP($R225,Capa!$A:$AJ,BQ$5,0),0),IF(ISERROR(1/VLOOKUP($R225,Capa!$A:$AJ,BQ$5,0)),0,1/VLOOKUP($R225,Capa!$A:$AJ,BQ$5,0))))</f>
        <v/>
      </c>
      <c r="BR225" s="175"/>
      <c r="BS225" s="147"/>
    </row>
    <row r="226">
      <c r="G226" s="11"/>
      <c r="H226" s="8">
        <v>220.0</v>
      </c>
      <c r="I226" s="165" t="str">
        <f t="shared" si="6"/>
        <v>PDGR3</v>
      </c>
      <c r="J226" s="166" t="str">
        <f>(VLOOKUP($I226,Capa!$A:$B,2,0))</f>
        <v>PDG Realty SA Emprendmnts e Prtcpacs</v>
      </c>
      <c r="K226" s="167" t="str">
        <f>VLOOKUP(left(I226,4),Setor!A:D,3,0)&amp;" | "&amp;VLOOKUP(left(I226,4),Setor!A:D,4,0)</f>
        <v>Consumo Cíclico | Construção Civil</v>
      </c>
      <c r="L226" s="168">
        <f>(VLOOKUP($I226,Capa!$A:$F,6,0))</f>
        <v>2.37</v>
      </c>
      <c r="M226" s="168">
        <f t="shared" si="7"/>
        <v>862953.7</v>
      </c>
      <c r="N226" s="11" t="str">
        <f>IFERROR(__xludf.DUMMYFUNCTION("(VLOOKUP($I226,Capa!$A:$H,7,0))"),"")</f>
        <v/>
      </c>
      <c r="O226" s="169">
        <f>(VLOOKUP($I226,Capa!$A:$H,8,0))</f>
        <v>0.8091603053</v>
      </c>
      <c r="P226" s="11" t="str">
        <f>IFERROR(__xludf.DUMMYFUNCTION("(VLOOKUP($I226,Capa!$A:$J,10,0))"),"")</f>
        <v/>
      </c>
      <c r="Q226" s="169">
        <f>(VLOOKUP($I226,Capa!$A:$K,11,0))</f>
        <v>-0.9970491558</v>
      </c>
      <c r="R226" s="45" t="str">
        <f>'Dados StatusInvest'!A221</f>
        <v>DTCY3</v>
      </c>
      <c r="S226" s="170">
        <f t="shared" si="8"/>
        <v>1385.0385</v>
      </c>
      <c r="T226" s="171">
        <f>VLOOKUP(R226,'Dados StatusInvest'!A:Z,26,0)</f>
        <v>1955.13</v>
      </c>
      <c r="U226" s="172">
        <f t="shared" ref="U226:AS226" si="228">IF(AT226="","", RANK(AT226,AT$7:AT$626,0)+RANK(AT226,AT$7:AT$626,0)/10000)</f>
        <v>118.0118</v>
      </c>
      <c r="V226" s="172">
        <f t="shared" si="228"/>
        <v>267.0267</v>
      </c>
      <c r="W226" s="172" t="str">
        <f t="shared" si="228"/>
        <v/>
      </c>
      <c r="X226" s="172" t="str">
        <f t="shared" si="228"/>
        <v/>
      </c>
      <c r="Y226" s="172" t="str">
        <f t="shared" si="228"/>
        <v/>
      </c>
      <c r="Z226" s="172" t="str">
        <f t="shared" si="228"/>
        <v/>
      </c>
      <c r="AA226" s="172" t="str">
        <f t="shared" si="228"/>
        <v/>
      </c>
      <c r="AB226" s="172" t="str">
        <f t="shared" si="228"/>
        <v/>
      </c>
      <c r="AC226" s="172" t="str">
        <f t="shared" si="228"/>
        <v/>
      </c>
      <c r="AD226" s="172" t="str">
        <f t="shared" si="228"/>
        <v/>
      </c>
      <c r="AE226" s="172" t="str">
        <f t="shared" si="228"/>
        <v/>
      </c>
      <c r="AF226" s="172" t="str">
        <f t="shared" si="228"/>
        <v/>
      </c>
      <c r="AG226" s="172" t="str">
        <f t="shared" si="228"/>
        <v/>
      </c>
      <c r="AH226" s="172" t="str">
        <f t="shared" si="228"/>
        <v/>
      </c>
      <c r="AI226" s="172" t="str">
        <f t="shared" si="228"/>
        <v/>
      </c>
      <c r="AJ226" s="172" t="str">
        <f t="shared" si="228"/>
        <v/>
      </c>
      <c r="AK226" s="172" t="str">
        <f t="shared" si="228"/>
        <v/>
      </c>
      <c r="AL226" s="172" t="str">
        <f t="shared" si="228"/>
        <v/>
      </c>
      <c r="AM226" s="172" t="str">
        <f t="shared" si="228"/>
        <v/>
      </c>
      <c r="AN226" s="172" t="str">
        <f t="shared" si="228"/>
        <v/>
      </c>
      <c r="AO226" s="172" t="str">
        <f t="shared" si="228"/>
        <v/>
      </c>
      <c r="AP226" s="172" t="str">
        <f t="shared" si="228"/>
        <v/>
      </c>
      <c r="AQ226" s="172" t="str">
        <f t="shared" si="228"/>
        <v/>
      </c>
      <c r="AR226" s="172" t="str">
        <f t="shared" si="228"/>
        <v/>
      </c>
      <c r="AS226" s="172" t="str">
        <f t="shared" si="228"/>
        <v/>
      </c>
      <c r="AT226" s="173">
        <f>IF(AT$6="","",IF(AT$3="Maior",iferror(VLOOKUP($R226,Capa!$A:$AJ,AT$5,0),0),IF(ISERROR(1/VLOOKUP($R226,Capa!$A:$AJ,AT$5,0)),0,1/VLOOKUP($R226,Capa!$A:$AJ,AT$5,0))))</f>
        <v>-0.008121497604</v>
      </c>
      <c r="AU226" s="174">
        <f>IF(AU$6="","",IF(AU$3="Maior",iferror(VLOOKUP($R226,Capa!$A:$AJ,AU$5,0),0),IF(ISERROR(1/VLOOKUP($R226,Capa!$A:$AJ,AU$5,0)),0,1/VLOOKUP($R226,Capa!$A:$AJ,AU$5,0))))</f>
        <v>0</v>
      </c>
      <c r="AV226" s="174" t="str">
        <f>IF(AV$6="","",IF(AV$3="Maior",iferror(VLOOKUP($R226,Capa!$A:$AJ,AV$5,0),0),IF(ISERROR(1/VLOOKUP($R226,Capa!$A:$AJ,AV$5,0)),0,1/VLOOKUP($R226,Capa!$A:$AJ,AV$5,0))))</f>
        <v/>
      </c>
      <c r="AW226" s="174" t="str">
        <f>IF(AW$6="","",IF(AW$3="Maior",iferror(VLOOKUP($R226,Capa!$A:$AJ,AW$5,0),0),IF(ISERROR(1/VLOOKUP($R226,Capa!$A:$AJ,AW$5,0)),0,1/VLOOKUP($R226,Capa!$A:$AJ,AW$5,0))))</f>
        <v/>
      </c>
      <c r="AX226" s="174" t="str">
        <f>IF(AX$6="","",IF(AX$3="Maior",iferror(VLOOKUP($R226,Capa!$A:$AJ,AX$5,0),0),IF(ISERROR(1/VLOOKUP($R226,Capa!$A:$AJ,AX$5,0)),0,1/VLOOKUP($R226,Capa!$A:$AJ,AX$5,0))))</f>
        <v/>
      </c>
      <c r="AY226" s="174" t="str">
        <f>IF(AY$6="","",IF(AY$3="Maior",iferror(VLOOKUP($R226,Capa!$A:$AJ,AY$5,0),0),IF(ISERROR(1/VLOOKUP($R226,Capa!$A:$AJ,AY$5,0)),0,1/VLOOKUP($R226,Capa!$A:$AJ,AY$5,0))))</f>
        <v/>
      </c>
      <c r="AZ226" s="174" t="str">
        <f>IF(AZ$6="","",IF(AZ$3="Maior",iferror(VLOOKUP($R226,Capa!$A:$AJ,AZ$5,0),0),IF(ISERROR(1/VLOOKUP($R226,Capa!$A:$AJ,AZ$5,0)),0,1/VLOOKUP($R226,Capa!$A:$AJ,AZ$5,0))))</f>
        <v/>
      </c>
      <c r="BA226" s="174" t="str">
        <f>IF(BA$6="","",IF(BA$3="Maior",iferror(VLOOKUP($R226,Capa!$A:$AJ,BA$5,0),0),IF(ISERROR(1/VLOOKUP($R226,Capa!$A:$AJ,BA$5,0)),0,1/VLOOKUP($R226,Capa!$A:$AJ,BA$5,0))))</f>
        <v/>
      </c>
      <c r="BB226" s="174" t="str">
        <f>IF(BB$6="","",IF(BB$3="Maior",iferror(VLOOKUP($R226,Capa!$A:$AJ,BB$5,0),0),IF(ISERROR(1/VLOOKUP($R226,Capa!$A:$AJ,BB$5,0)),0,1/VLOOKUP($R226,Capa!$A:$AJ,BB$5,0))))</f>
        <v/>
      </c>
      <c r="BC226" s="174" t="str">
        <f>IF(BC$6="","",IF(BC$3="Maior",iferror(VLOOKUP($R226,Capa!$A:$AJ,BC$5,0),0),IF(ISERROR(1/VLOOKUP($R226,Capa!$A:$AJ,BC$5,0)),0,1/VLOOKUP($R226,Capa!$A:$AJ,BC$5,0))))</f>
        <v/>
      </c>
      <c r="BD226" s="174" t="str">
        <f>IF(BD$6="","",IF(BD$3="Maior",iferror(VLOOKUP($R226,Capa!$A:$AJ,BD$5,0),0),IF(ISERROR(1/VLOOKUP($R226,Capa!$A:$AJ,BD$5,0)),0,1/VLOOKUP($R226,Capa!$A:$AJ,BD$5,0))))</f>
        <v/>
      </c>
      <c r="BE226" s="174" t="str">
        <f>IF(BE$6="","",IF(BE$3="Maior",iferror(VLOOKUP($R226,Capa!$A:$AJ,BE$5,0),0),IF(ISERROR(1/VLOOKUP($R226,Capa!$A:$AJ,BE$5,0)),0,1/VLOOKUP($R226,Capa!$A:$AJ,BE$5,0))))</f>
        <v/>
      </c>
      <c r="BF226" s="174" t="str">
        <f>IF(BF$6="","",IF(BF$3="Maior",iferror(VLOOKUP($R226,Capa!$A:$AJ,BF$5,0),0),IF(ISERROR(1/VLOOKUP($R226,Capa!$A:$AJ,BF$5,0)),0,1/VLOOKUP($R226,Capa!$A:$AJ,BF$5,0))))</f>
        <v/>
      </c>
      <c r="BG226" s="174" t="str">
        <f>IF(BG$6="","",IF(BG$3="Maior",iferror(VLOOKUP($R226,Capa!$A:$AJ,BG$5,0),0),IF(ISERROR(1/VLOOKUP($R226,Capa!$A:$AJ,BG$5,0)),0,1/VLOOKUP($R226,Capa!$A:$AJ,BG$5,0))))</f>
        <v/>
      </c>
      <c r="BH226" s="174" t="str">
        <f>IF(BH$6="","",IF(BH$3="Maior",iferror(VLOOKUP($R226,Capa!$A:$AJ,BH$5,0),0),IF(ISERROR(1/VLOOKUP($R226,Capa!$A:$AJ,BH$5,0)),0,1/VLOOKUP($R226,Capa!$A:$AJ,BH$5,0))))</f>
        <v/>
      </c>
      <c r="BI226" s="174" t="str">
        <f>IF(BI$6="","",IF(BI$3="Maior",iferror(VLOOKUP($R226,Capa!$A:$AJ,BI$5,0),0),IF(ISERROR(1/VLOOKUP($R226,Capa!$A:$AJ,BI$5,0)),0,1/VLOOKUP($R226,Capa!$A:$AJ,BI$5,0))))</f>
        <v/>
      </c>
      <c r="BJ226" s="174" t="str">
        <f>IF(BJ$6="","",IF(BJ$3="Maior",iferror(VLOOKUP($R226,Capa!$A:$AJ,BJ$5,0),0),IF(ISERROR(1/VLOOKUP($R226,Capa!$A:$AJ,BJ$5,0)),0,1/VLOOKUP($R226,Capa!$A:$AJ,BJ$5,0))))</f>
        <v/>
      </c>
      <c r="BK226" s="174" t="str">
        <f>IF(BK$6="","",IF(BK$3="Maior",iferror(VLOOKUP($R226,Capa!$A:$AJ,BK$5,0),0),IF(ISERROR(1/VLOOKUP($R226,Capa!$A:$AJ,BK$5,0)),0,1/VLOOKUP($R226,Capa!$A:$AJ,BK$5,0))))</f>
        <v/>
      </c>
      <c r="BL226" s="174" t="str">
        <f>IF(BL$6="","",IF(BL$3="Maior",iferror(VLOOKUP($R226,Capa!$A:$AJ,BL$5,0),0),IF(ISERROR(1/VLOOKUP($R226,Capa!$A:$AJ,BL$5,0)),0,1/VLOOKUP($R226,Capa!$A:$AJ,BL$5,0))))</f>
        <v/>
      </c>
      <c r="BM226" s="174" t="str">
        <f>IF(BM$6="","",IF(BM$3="Maior",iferror(VLOOKUP($R226,Capa!$A:$AJ,BM$5,0),0),IF(ISERROR(1/VLOOKUP($R226,Capa!$A:$AJ,BM$5,0)),0,1/VLOOKUP($R226,Capa!$A:$AJ,BM$5,0))))</f>
        <v/>
      </c>
      <c r="BN226" s="174" t="str">
        <f>IF(BN$6="","",IF(BN$3="Maior",iferror(VLOOKUP($R226,Capa!$A:$AJ,BN$5,0),0),IF(ISERROR(1/VLOOKUP($R226,Capa!$A:$AJ,BN$5,0)),0,1/VLOOKUP($R226,Capa!$A:$AJ,BN$5,0))))</f>
        <v/>
      </c>
      <c r="BO226" s="174" t="str">
        <f>IF(BO$6="","",IF(BO$3="Maior",iferror(VLOOKUP($R226,Capa!$A:$AJ,BO$5,0),0),IF(ISERROR(1/VLOOKUP($R226,Capa!$A:$AJ,BO$5,0)),0,1/VLOOKUP($R226,Capa!$A:$AJ,BO$5,0))))</f>
        <v/>
      </c>
      <c r="BP226" s="174" t="str">
        <f>IF(BP$6="","",IF(BP$3="Maior",iferror(VLOOKUP($R226,Capa!$A:$AJ,BP$5,0),0),IF(ISERROR(1/VLOOKUP($R226,Capa!$A:$AJ,BP$5,0)),0,1/VLOOKUP($R226,Capa!$A:$AJ,BP$5,0))))</f>
        <v/>
      </c>
      <c r="BQ226" s="174" t="str">
        <f>IF(BQ$6="","",IF(BQ$3="Maior",iferror(VLOOKUP($R226,Capa!$A:$AJ,BQ$5,0),0),IF(ISERROR(1/VLOOKUP($R226,Capa!$A:$AJ,BQ$5,0)),0,1/VLOOKUP($R226,Capa!$A:$AJ,BQ$5,0))))</f>
        <v/>
      </c>
      <c r="BR226" s="175"/>
      <c r="BS226" s="147"/>
    </row>
    <row r="227">
      <c r="G227" s="11"/>
      <c r="H227" s="8">
        <v>221.0</v>
      </c>
      <c r="I227" s="165" t="str">
        <f t="shared" si="6"/>
        <v>FESA4</v>
      </c>
      <c r="J227" s="166" t="str">
        <f>(VLOOKUP($I227,Capa!$A:$B,2,0))</f>
        <v>Companhia de Ferro Ligas da Bah Frbs Preference Shares</v>
      </c>
      <c r="K227" s="167" t="str">
        <f>VLOOKUP(left(I227,4),Setor!A:D,3,0)&amp;" | "&amp;VLOOKUP(left(I227,4),Setor!A:D,4,0)</f>
        <v>Materiais Básicos | Siderurgia e Metalurgia</v>
      </c>
      <c r="L227" s="168">
        <f>(VLOOKUP($I227,Capa!$A:$F,6,0))</f>
        <v>7.85</v>
      </c>
      <c r="M227" s="168">
        <f t="shared" si="7"/>
        <v>7903421</v>
      </c>
      <c r="N227" s="11" t="str">
        <f>IFERROR(__xludf.DUMMYFUNCTION("(VLOOKUP($I227,Capa!$A:$H,7,0))"),"")</f>
        <v/>
      </c>
      <c r="O227" s="169">
        <f>(VLOOKUP($I227,Capa!$A:$H,8,0))</f>
        <v>0.1376811594</v>
      </c>
      <c r="P227" s="11" t="str">
        <f>IFERROR(__xludf.DUMMYFUNCTION("(VLOOKUP($I227,Capa!$A:$J,10,0))"),"")</f>
        <v/>
      </c>
      <c r="Q227" s="169">
        <f>(VLOOKUP($I227,Capa!$A:$K,11,0))</f>
        <v>-0.002541296061</v>
      </c>
      <c r="R227" s="45" t="str">
        <f>'Dados StatusInvest'!A222</f>
        <v>DTCY4</v>
      </c>
      <c r="S227" s="170">
        <f t="shared" si="8"/>
        <v>1378.0378</v>
      </c>
      <c r="T227" s="171">
        <f>VLOOKUP(R227,'Dados StatusInvest'!A:Z,26,0)</f>
        <v>0</v>
      </c>
      <c r="U227" s="172">
        <f t="shared" ref="U227:AS227" si="229">IF(AT227="","", RANK(AT227,AT$7:AT$626,0)+RANK(AT227,AT$7:AT$626,0)/10000)</f>
        <v>111.0111</v>
      </c>
      <c r="V227" s="172">
        <f t="shared" si="229"/>
        <v>267.0267</v>
      </c>
      <c r="W227" s="172" t="str">
        <f t="shared" si="229"/>
        <v/>
      </c>
      <c r="X227" s="172" t="str">
        <f t="shared" si="229"/>
        <v/>
      </c>
      <c r="Y227" s="172" t="str">
        <f t="shared" si="229"/>
        <v/>
      </c>
      <c r="Z227" s="172" t="str">
        <f t="shared" si="229"/>
        <v/>
      </c>
      <c r="AA227" s="172" t="str">
        <f t="shared" si="229"/>
        <v/>
      </c>
      <c r="AB227" s="172" t="str">
        <f t="shared" si="229"/>
        <v/>
      </c>
      <c r="AC227" s="172" t="str">
        <f t="shared" si="229"/>
        <v/>
      </c>
      <c r="AD227" s="172" t="str">
        <f t="shared" si="229"/>
        <v/>
      </c>
      <c r="AE227" s="172" t="str">
        <f t="shared" si="229"/>
        <v/>
      </c>
      <c r="AF227" s="172" t="str">
        <f t="shared" si="229"/>
        <v/>
      </c>
      <c r="AG227" s="172" t="str">
        <f t="shared" si="229"/>
        <v/>
      </c>
      <c r="AH227" s="172" t="str">
        <f t="shared" si="229"/>
        <v/>
      </c>
      <c r="AI227" s="172" t="str">
        <f t="shared" si="229"/>
        <v/>
      </c>
      <c r="AJ227" s="172" t="str">
        <f t="shared" si="229"/>
        <v/>
      </c>
      <c r="AK227" s="172" t="str">
        <f t="shared" si="229"/>
        <v/>
      </c>
      <c r="AL227" s="172" t="str">
        <f t="shared" si="229"/>
        <v/>
      </c>
      <c r="AM227" s="172" t="str">
        <f t="shared" si="229"/>
        <v/>
      </c>
      <c r="AN227" s="172" t="str">
        <f t="shared" si="229"/>
        <v/>
      </c>
      <c r="AO227" s="172" t="str">
        <f t="shared" si="229"/>
        <v/>
      </c>
      <c r="AP227" s="172" t="str">
        <f t="shared" si="229"/>
        <v/>
      </c>
      <c r="AQ227" s="172" t="str">
        <f t="shared" si="229"/>
        <v/>
      </c>
      <c r="AR227" s="172" t="str">
        <f t="shared" si="229"/>
        <v/>
      </c>
      <c r="AS227" s="172" t="str">
        <f t="shared" si="229"/>
        <v/>
      </c>
      <c r="AT227" s="173">
        <f>IF(AT$6="","",IF(AT$3="Maior",iferror(VLOOKUP($R227,Capa!$A:$AJ,AT$5,0),0),IF(ISERROR(1/VLOOKUP($R227,Capa!$A:$AJ,AT$5,0)),0,1/VLOOKUP($R227,Capa!$A:$AJ,AT$5,0))))</f>
        <v>-0.0003028843678</v>
      </c>
      <c r="AU227" s="174">
        <f>IF(AU$6="","",IF(AU$3="Maior",iferror(VLOOKUP($R227,Capa!$A:$AJ,AU$5,0),0),IF(ISERROR(1/VLOOKUP($R227,Capa!$A:$AJ,AU$5,0)),0,1/VLOOKUP($R227,Capa!$A:$AJ,AU$5,0))))</f>
        <v>0</v>
      </c>
      <c r="AV227" s="174" t="str">
        <f>IF(AV$6="","",IF(AV$3="Maior",iferror(VLOOKUP($R227,Capa!$A:$AJ,AV$5,0),0),IF(ISERROR(1/VLOOKUP($R227,Capa!$A:$AJ,AV$5,0)),0,1/VLOOKUP($R227,Capa!$A:$AJ,AV$5,0))))</f>
        <v/>
      </c>
      <c r="AW227" s="174" t="str">
        <f>IF(AW$6="","",IF(AW$3="Maior",iferror(VLOOKUP($R227,Capa!$A:$AJ,AW$5,0),0),IF(ISERROR(1/VLOOKUP($R227,Capa!$A:$AJ,AW$5,0)),0,1/VLOOKUP($R227,Capa!$A:$AJ,AW$5,0))))</f>
        <v/>
      </c>
      <c r="AX227" s="174" t="str">
        <f>IF(AX$6="","",IF(AX$3="Maior",iferror(VLOOKUP($R227,Capa!$A:$AJ,AX$5,0),0),IF(ISERROR(1/VLOOKUP($R227,Capa!$A:$AJ,AX$5,0)),0,1/VLOOKUP($R227,Capa!$A:$AJ,AX$5,0))))</f>
        <v/>
      </c>
      <c r="AY227" s="174" t="str">
        <f>IF(AY$6="","",IF(AY$3="Maior",iferror(VLOOKUP($R227,Capa!$A:$AJ,AY$5,0),0),IF(ISERROR(1/VLOOKUP($R227,Capa!$A:$AJ,AY$5,0)),0,1/VLOOKUP($R227,Capa!$A:$AJ,AY$5,0))))</f>
        <v/>
      </c>
      <c r="AZ227" s="174" t="str">
        <f>IF(AZ$6="","",IF(AZ$3="Maior",iferror(VLOOKUP($R227,Capa!$A:$AJ,AZ$5,0),0),IF(ISERROR(1/VLOOKUP($R227,Capa!$A:$AJ,AZ$5,0)),0,1/VLOOKUP($R227,Capa!$A:$AJ,AZ$5,0))))</f>
        <v/>
      </c>
      <c r="BA227" s="174" t="str">
        <f>IF(BA$6="","",IF(BA$3="Maior",iferror(VLOOKUP($R227,Capa!$A:$AJ,BA$5,0),0),IF(ISERROR(1/VLOOKUP($R227,Capa!$A:$AJ,BA$5,0)),0,1/VLOOKUP($R227,Capa!$A:$AJ,BA$5,0))))</f>
        <v/>
      </c>
      <c r="BB227" s="174" t="str">
        <f>IF(BB$6="","",IF(BB$3="Maior",iferror(VLOOKUP($R227,Capa!$A:$AJ,BB$5,0),0),IF(ISERROR(1/VLOOKUP($R227,Capa!$A:$AJ,BB$5,0)),0,1/VLOOKUP($R227,Capa!$A:$AJ,BB$5,0))))</f>
        <v/>
      </c>
      <c r="BC227" s="174" t="str">
        <f>IF(BC$6="","",IF(BC$3="Maior",iferror(VLOOKUP($R227,Capa!$A:$AJ,BC$5,0),0),IF(ISERROR(1/VLOOKUP($R227,Capa!$A:$AJ,BC$5,0)),0,1/VLOOKUP($R227,Capa!$A:$AJ,BC$5,0))))</f>
        <v/>
      </c>
      <c r="BD227" s="174" t="str">
        <f>IF(BD$6="","",IF(BD$3="Maior",iferror(VLOOKUP($R227,Capa!$A:$AJ,BD$5,0),0),IF(ISERROR(1/VLOOKUP($R227,Capa!$A:$AJ,BD$5,0)),0,1/VLOOKUP($R227,Capa!$A:$AJ,BD$5,0))))</f>
        <v/>
      </c>
      <c r="BE227" s="174" t="str">
        <f>IF(BE$6="","",IF(BE$3="Maior",iferror(VLOOKUP($R227,Capa!$A:$AJ,BE$5,0),0),IF(ISERROR(1/VLOOKUP($R227,Capa!$A:$AJ,BE$5,0)),0,1/VLOOKUP($R227,Capa!$A:$AJ,BE$5,0))))</f>
        <v/>
      </c>
      <c r="BF227" s="174" t="str">
        <f>IF(BF$6="","",IF(BF$3="Maior",iferror(VLOOKUP($R227,Capa!$A:$AJ,BF$5,0),0),IF(ISERROR(1/VLOOKUP($R227,Capa!$A:$AJ,BF$5,0)),0,1/VLOOKUP($R227,Capa!$A:$AJ,BF$5,0))))</f>
        <v/>
      </c>
      <c r="BG227" s="174" t="str">
        <f>IF(BG$6="","",IF(BG$3="Maior",iferror(VLOOKUP($R227,Capa!$A:$AJ,BG$5,0),0),IF(ISERROR(1/VLOOKUP($R227,Capa!$A:$AJ,BG$5,0)),0,1/VLOOKUP($R227,Capa!$A:$AJ,BG$5,0))))</f>
        <v/>
      </c>
      <c r="BH227" s="174" t="str">
        <f>IF(BH$6="","",IF(BH$3="Maior",iferror(VLOOKUP($R227,Capa!$A:$AJ,BH$5,0),0),IF(ISERROR(1/VLOOKUP($R227,Capa!$A:$AJ,BH$5,0)),0,1/VLOOKUP($R227,Capa!$A:$AJ,BH$5,0))))</f>
        <v/>
      </c>
      <c r="BI227" s="174" t="str">
        <f>IF(BI$6="","",IF(BI$3="Maior",iferror(VLOOKUP($R227,Capa!$A:$AJ,BI$5,0),0),IF(ISERROR(1/VLOOKUP($R227,Capa!$A:$AJ,BI$5,0)),0,1/VLOOKUP($R227,Capa!$A:$AJ,BI$5,0))))</f>
        <v/>
      </c>
      <c r="BJ227" s="174" t="str">
        <f>IF(BJ$6="","",IF(BJ$3="Maior",iferror(VLOOKUP($R227,Capa!$A:$AJ,BJ$5,0),0),IF(ISERROR(1/VLOOKUP($R227,Capa!$A:$AJ,BJ$5,0)),0,1/VLOOKUP($R227,Capa!$A:$AJ,BJ$5,0))))</f>
        <v/>
      </c>
      <c r="BK227" s="174" t="str">
        <f>IF(BK$6="","",IF(BK$3="Maior",iferror(VLOOKUP($R227,Capa!$A:$AJ,BK$5,0),0),IF(ISERROR(1/VLOOKUP($R227,Capa!$A:$AJ,BK$5,0)),0,1/VLOOKUP($R227,Capa!$A:$AJ,BK$5,0))))</f>
        <v/>
      </c>
      <c r="BL227" s="174" t="str">
        <f>IF(BL$6="","",IF(BL$3="Maior",iferror(VLOOKUP($R227,Capa!$A:$AJ,BL$5,0),0),IF(ISERROR(1/VLOOKUP($R227,Capa!$A:$AJ,BL$5,0)),0,1/VLOOKUP($R227,Capa!$A:$AJ,BL$5,0))))</f>
        <v/>
      </c>
      <c r="BM227" s="174" t="str">
        <f>IF(BM$6="","",IF(BM$3="Maior",iferror(VLOOKUP($R227,Capa!$A:$AJ,BM$5,0),0),IF(ISERROR(1/VLOOKUP($R227,Capa!$A:$AJ,BM$5,0)),0,1/VLOOKUP($R227,Capa!$A:$AJ,BM$5,0))))</f>
        <v/>
      </c>
      <c r="BN227" s="174" t="str">
        <f>IF(BN$6="","",IF(BN$3="Maior",iferror(VLOOKUP($R227,Capa!$A:$AJ,BN$5,0),0),IF(ISERROR(1/VLOOKUP($R227,Capa!$A:$AJ,BN$5,0)),0,1/VLOOKUP($R227,Capa!$A:$AJ,BN$5,0))))</f>
        <v/>
      </c>
      <c r="BO227" s="174" t="str">
        <f>IF(BO$6="","",IF(BO$3="Maior",iferror(VLOOKUP($R227,Capa!$A:$AJ,BO$5,0),0),IF(ISERROR(1/VLOOKUP($R227,Capa!$A:$AJ,BO$5,0)),0,1/VLOOKUP($R227,Capa!$A:$AJ,BO$5,0))))</f>
        <v/>
      </c>
      <c r="BP227" s="174" t="str">
        <f>IF(BP$6="","",IF(BP$3="Maior",iferror(VLOOKUP($R227,Capa!$A:$AJ,BP$5,0),0),IF(ISERROR(1/VLOOKUP($R227,Capa!$A:$AJ,BP$5,0)),0,1/VLOOKUP($R227,Capa!$A:$AJ,BP$5,0))))</f>
        <v/>
      </c>
      <c r="BQ227" s="174" t="str">
        <f>IF(BQ$6="","",IF(BQ$3="Maior",iferror(VLOOKUP($R227,Capa!$A:$AJ,BQ$5,0),0),IF(ISERROR(1/VLOOKUP($R227,Capa!$A:$AJ,BQ$5,0)),0,1/VLOOKUP($R227,Capa!$A:$AJ,BQ$5,0))))</f>
        <v/>
      </c>
      <c r="BR227" s="175"/>
      <c r="BS227" s="147"/>
    </row>
    <row r="228">
      <c r="G228" s="11"/>
      <c r="H228" s="8">
        <v>222.0</v>
      </c>
      <c r="I228" s="165" t="str">
        <f t="shared" si="6"/>
        <v>GFSA3</v>
      </c>
      <c r="J228" s="166" t="str">
        <f>(VLOOKUP($I228,Capa!$A:$B,2,0))</f>
        <v>Gafisa SA</v>
      </c>
      <c r="K228" s="167" t="str">
        <f>VLOOKUP(left(I228,4),Setor!A:D,3,0)&amp;" | "&amp;VLOOKUP(left(I228,4),Setor!A:D,4,0)</f>
        <v>Consumo Cíclico | Construção Civil</v>
      </c>
      <c r="L228" s="168">
        <f>(VLOOKUP($I228,Capa!$A:$F,6,0))</f>
        <v>2.8</v>
      </c>
      <c r="M228" s="168">
        <f t="shared" si="7"/>
        <v>2966414</v>
      </c>
      <c r="N228" s="11" t="str">
        <f>IFERROR(__xludf.DUMMYFUNCTION("(VLOOKUP($I228,Capa!$A:$H,7,0))"),"")</f>
        <v/>
      </c>
      <c r="O228" s="169">
        <f>(VLOOKUP($I228,Capa!$A:$H,8,0))</f>
        <v>-0.3086419753</v>
      </c>
      <c r="P228" s="11" t="str">
        <f>IFERROR(__xludf.DUMMYFUNCTION("(VLOOKUP($I228,Capa!$A:$J,10,0))"),"")</f>
        <v/>
      </c>
      <c r="Q228" s="169">
        <f>(VLOOKUP($I228,Capa!$A:$K,11,0))</f>
        <v>-0.8732458126</v>
      </c>
      <c r="R228" s="45" t="str">
        <f>'Dados StatusInvest'!A223</f>
        <v>DXCO3</v>
      </c>
      <c r="S228" s="170">
        <f t="shared" si="8"/>
        <v>1069.1069</v>
      </c>
      <c r="T228" s="171">
        <f>VLOOKUP(R228,'Dados StatusInvest'!A:Z,26,0)</f>
        <v>13997355</v>
      </c>
      <c r="U228" s="172">
        <f t="shared" ref="U228:AS228" si="230">IF(AT228="","", RANK(AT228,AT$7:AT$626,0)+RANK(AT228,AT$7:AT$626,0)/10000)</f>
        <v>465.0465</v>
      </c>
      <c r="V228" s="172">
        <f t="shared" si="230"/>
        <v>604.0604</v>
      </c>
      <c r="W228" s="172" t="str">
        <f t="shared" si="230"/>
        <v/>
      </c>
      <c r="X228" s="172" t="str">
        <f t="shared" si="230"/>
        <v/>
      </c>
      <c r="Y228" s="172" t="str">
        <f t="shared" si="230"/>
        <v/>
      </c>
      <c r="Z228" s="172" t="str">
        <f t="shared" si="230"/>
        <v/>
      </c>
      <c r="AA228" s="172" t="str">
        <f t="shared" si="230"/>
        <v/>
      </c>
      <c r="AB228" s="172" t="str">
        <f t="shared" si="230"/>
        <v/>
      </c>
      <c r="AC228" s="172" t="str">
        <f t="shared" si="230"/>
        <v/>
      </c>
      <c r="AD228" s="172" t="str">
        <f t="shared" si="230"/>
        <v/>
      </c>
      <c r="AE228" s="172" t="str">
        <f t="shared" si="230"/>
        <v/>
      </c>
      <c r="AF228" s="172" t="str">
        <f t="shared" si="230"/>
        <v/>
      </c>
      <c r="AG228" s="172" t="str">
        <f t="shared" si="230"/>
        <v/>
      </c>
      <c r="AH228" s="172" t="str">
        <f t="shared" si="230"/>
        <v/>
      </c>
      <c r="AI228" s="172" t="str">
        <f t="shared" si="230"/>
        <v/>
      </c>
      <c r="AJ228" s="172" t="str">
        <f t="shared" si="230"/>
        <v/>
      </c>
      <c r="AK228" s="172" t="str">
        <f t="shared" si="230"/>
        <v/>
      </c>
      <c r="AL228" s="172" t="str">
        <f t="shared" si="230"/>
        <v/>
      </c>
      <c r="AM228" s="172" t="str">
        <f t="shared" si="230"/>
        <v/>
      </c>
      <c r="AN228" s="172" t="str">
        <f t="shared" si="230"/>
        <v/>
      </c>
      <c r="AO228" s="172" t="str">
        <f t="shared" si="230"/>
        <v/>
      </c>
      <c r="AP228" s="172" t="str">
        <f t="shared" si="230"/>
        <v/>
      </c>
      <c r="AQ228" s="172" t="str">
        <f t="shared" si="230"/>
        <v/>
      </c>
      <c r="AR228" s="172" t="str">
        <f t="shared" si="230"/>
        <v/>
      </c>
      <c r="AS228" s="172" t="str">
        <f t="shared" si="230"/>
        <v/>
      </c>
      <c r="AT228" s="173">
        <f>IF(AT$6="","",IF(AT$3="Maior",iferror(VLOOKUP($R228,Capa!$A:$AJ,AT$5,0),0),IF(ISERROR(1/VLOOKUP($R228,Capa!$A:$AJ,AT$5,0)),0,1/VLOOKUP($R228,Capa!$A:$AJ,AT$5,0))))</f>
        <v>-2.3202143</v>
      </c>
      <c r="AU228" s="174">
        <f>IF(AU$6="","",IF(AU$3="Maior",iferror(VLOOKUP($R228,Capa!$A:$AJ,AU$5,0),0),IF(ISERROR(1/VLOOKUP($R228,Capa!$A:$AJ,AU$5,0)),0,1/VLOOKUP($R228,Capa!$A:$AJ,AU$5,0))))</f>
        <v>-22.81</v>
      </c>
      <c r="AV228" s="174" t="str">
        <f>IF(AV$6="","",IF(AV$3="Maior",iferror(VLOOKUP($R228,Capa!$A:$AJ,AV$5,0),0),IF(ISERROR(1/VLOOKUP($R228,Capa!$A:$AJ,AV$5,0)),0,1/VLOOKUP($R228,Capa!$A:$AJ,AV$5,0))))</f>
        <v/>
      </c>
      <c r="AW228" s="174" t="str">
        <f>IF(AW$6="","",IF(AW$3="Maior",iferror(VLOOKUP($R228,Capa!$A:$AJ,AW$5,0),0),IF(ISERROR(1/VLOOKUP($R228,Capa!$A:$AJ,AW$5,0)),0,1/VLOOKUP($R228,Capa!$A:$AJ,AW$5,0))))</f>
        <v/>
      </c>
      <c r="AX228" s="174" t="str">
        <f>IF(AX$6="","",IF(AX$3="Maior",iferror(VLOOKUP($R228,Capa!$A:$AJ,AX$5,0),0),IF(ISERROR(1/VLOOKUP($R228,Capa!$A:$AJ,AX$5,0)),0,1/VLOOKUP($R228,Capa!$A:$AJ,AX$5,0))))</f>
        <v/>
      </c>
      <c r="AY228" s="174" t="str">
        <f>IF(AY$6="","",IF(AY$3="Maior",iferror(VLOOKUP($R228,Capa!$A:$AJ,AY$5,0),0),IF(ISERROR(1/VLOOKUP($R228,Capa!$A:$AJ,AY$5,0)),0,1/VLOOKUP($R228,Capa!$A:$AJ,AY$5,0))))</f>
        <v/>
      </c>
      <c r="AZ228" s="174" t="str">
        <f>IF(AZ$6="","",IF(AZ$3="Maior",iferror(VLOOKUP($R228,Capa!$A:$AJ,AZ$5,0),0),IF(ISERROR(1/VLOOKUP($R228,Capa!$A:$AJ,AZ$5,0)),0,1/VLOOKUP($R228,Capa!$A:$AJ,AZ$5,0))))</f>
        <v/>
      </c>
      <c r="BA228" s="174" t="str">
        <f>IF(BA$6="","",IF(BA$3="Maior",iferror(VLOOKUP($R228,Capa!$A:$AJ,BA$5,0),0),IF(ISERROR(1/VLOOKUP($R228,Capa!$A:$AJ,BA$5,0)),0,1/VLOOKUP($R228,Capa!$A:$AJ,BA$5,0))))</f>
        <v/>
      </c>
      <c r="BB228" s="174" t="str">
        <f>IF(BB$6="","",IF(BB$3="Maior",iferror(VLOOKUP($R228,Capa!$A:$AJ,BB$5,0),0),IF(ISERROR(1/VLOOKUP($R228,Capa!$A:$AJ,BB$5,0)),0,1/VLOOKUP($R228,Capa!$A:$AJ,BB$5,0))))</f>
        <v/>
      </c>
      <c r="BC228" s="174" t="str">
        <f>IF(BC$6="","",IF(BC$3="Maior",iferror(VLOOKUP($R228,Capa!$A:$AJ,BC$5,0),0),IF(ISERROR(1/VLOOKUP($R228,Capa!$A:$AJ,BC$5,0)),0,1/VLOOKUP($R228,Capa!$A:$AJ,BC$5,0))))</f>
        <v/>
      </c>
      <c r="BD228" s="174" t="str">
        <f>IF(BD$6="","",IF(BD$3="Maior",iferror(VLOOKUP($R228,Capa!$A:$AJ,BD$5,0),0),IF(ISERROR(1/VLOOKUP($R228,Capa!$A:$AJ,BD$5,0)),0,1/VLOOKUP($R228,Capa!$A:$AJ,BD$5,0))))</f>
        <v/>
      </c>
      <c r="BE228" s="174" t="str">
        <f>IF(BE$6="","",IF(BE$3="Maior",iferror(VLOOKUP($R228,Capa!$A:$AJ,BE$5,0),0),IF(ISERROR(1/VLOOKUP($R228,Capa!$A:$AJ,BE$5,0)),0,1/VLOOKUP($R228,Capa!$A:$AJ,BE$5,0))))</f>
        <v/>
      </c>
      <c r="BF228" s="174" t="str">
        <f>IF(BF$6="","",IF(BF$3="Maior",iferror(VLOOKUP($R228,Capa!$A:$AJ,BF$5,0),0),IF(ISERROR(1/VLOOKUP($R228,Capa!$A:$AJ,BF$5,0)),0,1/VLOOKUP($R228,Capa!$A:$AJ,BF$5,0))))</f>
        <v/>
      </c>
      <c r="BG228" s="174" t="str">
        <f>IF(BG$6="","",IF(BG$3="Maior",iferror(VLOOKUP($R228,Capa!$A:$AJ,BG$5,0),0),IF(ISERROR(1/VLOOKUP($R228,Capa!$A:$AJ,BG$5,0)),0,1/VLOOKUP($R228,Capa!$A:$AJ,BG$5,0))))</f>
        <v/>
      </c>
      <c r="BH228" s="174" t="str">
        <f>IF(BH$6="","",IF(BH$3="Maior",iferror(VLOOKUP($R228,Capa!$A:$AJ,BH$5,0),0),IF(ISERROR(1/VLOOKUP($R228,Capa!$A:$AJ,BH$5,0)),0,1/VLOOKUP($R228,Capa!$A:$AJ,BH$5,0))))</f>
        <v/>
      </c>
      <c r="BI228" s="174" t="str">
        <f>IF(BI$6="","",IF(BI$3="Maior",iferror(VLOOKUP($R228,Capa!$A:$AJ,BI$5,0),0),IF(ISERROR(1/VLOOKUP($R228,Capa!$A:$AJ,BI$5,0)),0,1/VLOOKUP($R228,Capa!$A:$AJ,BI$5,0))))</f>
        <v/>
      </c>
      <c r="BJ228" s="174" t="str">
        <f>IF(BJ$6="","",IF(BJ$3="Maior",iferror(VLOOKUP($R228,Capa!$A:$AJ,BJ$5,0),0),IF(ISERROR(1/VLOOKUP($R228,Capa!$A:$AJ,BJ$5,0)),0,1/VLOOKUP($R228,Capa!$A:$AJ,BJ$5,0))))</f>
        <v/>
      </c>
      <c r="BK228" s="174" t="str">
        <f>IF(BK$6="","",IF(BK$3="Maior",iferror(VLOOKUP($R228,Capa!$A:$AJ,BK$5,0),0),IF(ISERROR(1/VLOOKUP($R228,Capa!$A:$AJ,BK$5,0)),0,1/VLOOKUP($R228,Capa!$A:$AJ,BK$5,0))))</f>
        <v/>
      </c>
      <c r="BL228" s="174" t="str">
        <f>IF(BL$6="","",IF(BL$3="Maior",iferror(VLOOKUP($R228,Capa!$A:$AJ,BL$5,0),0),IF(ISERROR(1/VLOOKUP($R228,Capa!$A:$AJ,BL$5,0)),0,1/VLOOKUP($R228,Capa!$A:$AJ,BL$5,0))))</f>
        <v/>
      </c>
      <c r="BM228" s="174" t="str">
        <f>IF(BM$6="","",IF(BM$3="Maior",iferror(VLOOKUP($R228,Capa!$A:$AJ,BM$5,0),0),IF(ISERROR(1/VLOOKUP($R228,Capa!$A:$AJ,BM$5,0)),0,1/VLOOKUP($R228,Capa!$A:$AJ,BM$5,0))))</f>
        <v/>
      </c>
      <c r="BN228" s="174" t="str">
        <f>IF(BN$6="","",IF(BN$3="Maior",iferror(VLOOKUP($R228,Capa!$A:$AJ,BN$5,0),0),IF(ISERROR(1/VLOOKUP($R228,Capa!$A:$AJ,BN$5,0)),0,1/VLOOKUP($R228,Capa!$A:$AJ,BN$5,0))))</f>
        <v/>
      </c>
      <c r="BO228" s="174" t="str">
        <f>IF(BO$6="","",IF(BO$3="Maior",iferror(VLOOKUP($R228,Capa!$A:$AJ,BO$5,0),0),IF(ISERROR(1/VLOOKUP($R228,Capa!$A:$AJ,BO$5,0)),0,1/VLOOKUP($R228,Capa!$A:$AJ,BO$5,0))))</f>
        <v/>
      </c>
      <c r="BP228" s="174" t="str">
        <f>IF(BP$6="","",IF(BP$3="Maior",iferror(VLOOKUP($R228,Capa!$A:$AJ,BP$5,0),0),IF(ISERROR(1/VLOOKUP($R228,Capa!$A:$AJ,BP$5,0)),0,1/VLOOKUP($R228,Capa!$A:$AJ,BP$5,0))))</f>
        <v/>
      </c>
      <c r="BQ228" s="174" t="str">
        <f>IF(BQ$6="","",IF(BQ$3="Maior",iferror(VLOOKUP($R228,Capa!$A:$AJ,BQ$5,0),0),IF(ISERROR(1/VLOOKUP($R228,Capa!$A:$AJ,BQ$5,0)),0,1/VLOOKUP($R228,Capa!$A:$AJ,BQ$5,0))))</f>
        <v/>
      </c>
      <c r="BR228" s="175"/>
      <c r="BS228" s="147"/>
    </row>
    <row r="229">
      <c r="G229" s="11"/>
      <c r="H229" s="8">
        <v>223.0</v>
      </c>
      <c r="I229" s="165" t="str">
        <f t="shared" si="6"/>
        <v>VBBR3</v>
      </c>
      <c r="J229" s="166" t="str">
        <f>(VLOOKUP($I229,Capa!$A:$B,2,0))</f>
        <v>Vibra Energia SA</v>
      </c>
      <c r="K229" s="167" t="str">
        <f>VLOOKUP(left(I229,4),Setor!A:D,3,0)&amp;" | "&amp;VLOOKUP(left(I229,4),Setor!A:D,4,0)</f>
        <v>Consumo Cíclico | Energia Elétrica</v>
      </c>
      <c r="L229" s="168">
        <f>(VLOOKUP($I229,Capa!$A:$F,6,0))</f>
        <v>31.38</v>
      </c>
      <c r="M229" s="168">
        <f t="shared" si="7"/>
        <v>256000000</v>
      </c>
      <c r="N229" s="177" t="str">
        <f>IFERROR(__xludf.DUMMYFUNCTION("(VLOOKUP($I229,Capa!$A:$H,7,0))"),"")</f>
        <v/>
      </c>
      <c r="O229" s="169">
        <f>(VLOOKUP($I229,Capa!$A:$H,8,0))</f>
        <v>0.1643784787</v>
      </c>
      <c r="P229" s="169" t="str">
        <f>IFERROR(__xludf.DUMMYFUNCTION("(VLOOKUP($I229,Capa!$A:$J,10,0))"),"")</f>
        <v/>
      </c>
      <c r="Q229" s="169">
        <f>(VLOOKUP($I229,Capa!$A:$K,11,0))</f>
        <v>0.9029714979</v>
      </c>
      <c r="R229" s="45" t="str">
        <f>'Dados StatusInvest'!A224</f>
        <v>EALT3</v>
      </c>
      <c r="S229" s="170"/>
      <c r="T229" s="171"/>
      <c r="U229" s="172">
        <f t="shared" ref="U229:AS229" si="231">IF(AT229="","", RANK(AT229,AT$7:AT$626,0)+RANK(AT229,AT$7:AT$626,0)/10000)</f>
        <v>384.0384</v>
      </c>
      <c r="V229" s="172">
        <f t="shared" si="231"/>
        <v>33.0033</v>
      </c>
      <c r="W229" s="172" t="str">
        <f t="shared" si="231"/>
        <v/>
      </c>
      <c r="X229" s="172" t="str">
        <f t="shared" si="231"/>
        <v/>
      </c>
      <c r="Y229" s="172" t="str">
        <f t="shared" si="231"/>
        <v/>
      </c>
      <c r="Z229" s="172" t="str">
        <f t="shared" si="231"/>
        <v/>
      </c>
      <c r="AA229" s="172" t="str">
        <f t="shared" si="231"/>
        <v/>
      </c>
      <c r="AB229" s="172" t="str">
        <f t="shared" si="231"/>
        <v/>
      </c>
      <c r="AC229" s="172" t="str">
        <f t="shared" si="231"/>
        <v/>
      </c>
      <c r="AD229" s="172" t="str">
        <f t="shared" si="231"/>
        <v/>
      </c>
      <c r="AE229" s="172" t="str">
        <f t="shared" si="231"/>
        <v/>
      </c>
      <c r="AF229" s="172" t="str">
        <f t="shared" si="231"/>
        <v/>
      </c>
      <c r="AG229" s="172" t="str">
        <f t="shared" si="231"/>
        <v/>
      </c>
      <c r="AH229" s="172" t="str">
        <f t="shared" si="231"/>
        <v/>
      </c>
      <c r="AI229" s="172" t="str">
        <f t="shared" si="231"/>
        <v/>
      </c>
      <c r="AJ229" s="172" t="str">
        <f t="shared" si="231"/>
        <v/>
      </c>
      <c r="AK229" s="172" t="str">
        <f t="shared" si="231"/>
        <v/>
      </c>
      <c r="AL229" s="172" t="str">
        <f t="shared" si="231"/>
        <v/>
      </c>
      <c r="AM229" s="172" t="str">
        <f t="shared" si="231"/>
        <v/>
      </c>
      <c r="AN229" s="172" t="str">
        <f t="shared" si="231"/>
        <v/>
      </c>
      <c r="AO229" s="172" t="str">
        <f t="shared" si="231"/>
        <v/>
      </c>
      <c r="AP229" s="172" t="str">
        <f t="shared" si="231"/>
        <v/>
      </c>
      <c r="AQ229" s="172" t="str">
        <f t="shared" si="231"/>
        <v/>
      </c>
      <c r="AR229" s="172" t="str">
        <f t="shared" si="231"/>
        <v/>
      </c>
      <c r="AS229" s="172" t="str">
        <f t="shared" si="231"/>
        <v/>
      </c>
      <c r="AT229" s="173">
        <f>IF(AT$6="","",IF(AT$3="Maior",iferror(VLOOKUP($R229,Capa!$A:$AJ,AT$5,0),0),IF(ISERROR(1/VLOOKUP($R229,Capa!$A:$AJ,AT$5,0)),0,1/VLOOKUP($R229,Capa!$A:$AJ,AT$5,0))))</f>
        <v>-1.219512195</v>
      </c>
      <c r="AU229" s="174">
        <f>IF(AU$6="","",IF(AU$3="Maior",iferror(VLOOKUP($R229,Capa!$A:$AJ,AU$5,0),0),IF(ISERROR(1/VLOOKUP($R229,Capa!$A:$AJ,AU$5,0)),0,1/VLOOKUP($R229,Capa!$A:$AJ,AU$5,0))))</f>
        <v>44.42</v>
      </c>
      <c r="AV229" s="174" t="str">
        <f>IF(AV$6="","",IF(AV$3="Maior",iferror(VLOOKUP($R229,Capa!$A:$AJ,AV$5,0),0),IF(ISERROR(1/VLOOKUP($R229,Capa!$A:$AJ,AV$5,0)),0,1/VLOOKUP($R229,Capa!$A:$AJ,AV$5,0))))</f>
        <v/>
      </c>
      <c r="AW229" s="174" t="str">
        <f>IF(AW$6="","",IF(AW$3="Maior",iferror(VLOOKUP($R229,Capa!$A:$AJ,AW$5,0),0),IF(ISERROR(1/VLOOKUP($R229,Capa!$A:$AJ,AW$5,0)),0,1/VLOOKUP($R229,Capa!$A:$AJ,AW$5,0))))</f>
        <v/>
      </c>
      <c r="AX229" s="174" t="str">
        <f>IF(AX$6="","",IF(AX$3="Maior",iferror(VLOOKUP($R229,Capa!$A:$AJ,AX$5,0),0),IF(ISERROR(1/VLOOKUP($R229,Capa!$A:$AJ,AX$5,0)),0,1/VLOOKUP($R229,Capa!$A:$AJ,AX$5,0))))</f>
        <v/>
      </c>
      <c r="AY229" s="174" t="str">
        <f>IF(AY$6="","",IF(AY$3="Maior",iferror(VLOOKUP($R229,Capa!$A:$AJ,AY$5,0),0),IF(ISERROR(1/VLOOKUP($R229,Capa!$A:$AJ,AY$5,0)),0,1/VLOOKUP($R229,Capa!$A:$AJ,AY$5,0))))</f>
        <v/>
      </c>
      <c r="AZ229" s="174" t="str">
        <f>IF(AZ$6="","",IF(AZ$3="Maior",iferror(VLOOKUP($R229,Capa!$A:$AJ,AZ$5,0),0),IF(ISERROR(1/VLOOKUP($R229,Capa!$A:$AJ,AZ$5,0)),0,1/VLOOKUP($R229,Capa!$A:$AJ,AZ$5,0))))</f>
        <v/>
      </c>
      <c r="BA229" s="174" t="str">
        <f>IF(BA$6="","",IF(BA$3="Maior",iferror(VLOOKUP($R229,Capa!$A:$AJ,BA$5,0),0),IF(ISERROR(1/VLOOKUP($R229,Capa!$A:$AJ,BA$5,0)),0,1/VLOOKUP($R229,Capa!$A:$AJ,BA$5,0))))</f>
        <v/>
      </c>
      <c r="BB229" s="174" t="str">
        <f>IF(BB$6="","",IF(BB$3="Maior",iferror(VLOOKUP($R229,Capa!$A:$AJ,BB$5,0),0),IF(ISERROR(1/VLOOKUP($R229,Capa!$A:$AJ,BB$5,0)),0,1/VLOOKUP($R229,Capa!$A:$AJ,BB$5,0))))</f>
        <v/>
      </c>
      <c r="BC229" s="174" t="str">
        <f>IF(BC$6="","",IF(BC$3="Maior",iferror(VLOOKUP($R229,Capa!$A:$AJ,BC$5,0),0),IF(ISERROR(1/VLOOKUP($R229,Capa!$A:$AJ,BC$5,0)),0,1/VLOOKUP($R229,Capa!$A:$AJ,BC$5,0))))</f>
        <v/>
      </c>
      <c r="BD229" s="174" t="str">
        <f>IF(BD$6="","",IF(BD$3="Maior",iferror(VLOOKUP($R229,Capa!$A:$AJ,BD$5,0),0),IF(ISERROR(1/VLOOKUP($R229,Capa!$A:$AJ,BD$5,0)),0,1/VLOOKUP($R229,Capa!$A:$AJ,BD$5,0))))</f>
        <v/>
      </c>
      <c r="BE229" s="174" t="str">
        <f>IF(BE$6="","",IF(BE$3="Maior",iferror(VLOOKUP($R229,Capa!$A:$AJ,BE$5,0),0),IF(ISERROR(1/VLOOKUP($R229,Capa!$A:$AJ,BE$5,0)),0,1/VLOOKUP($R229,Capa!$A:$AJ,BE$5,0))))</f>
        <v/>
      </c>
      <c r="BF229" s="174" t="str">
        <f>IF(BF$6="","",IF(BF$3="Maior",iferror(VLOOKUP($R229,Capa!$A:$AJ,BF$5,0),0),IF(ISERROR(1/VLOOKUP($R229,Capa!$A:$AJ,BF$5,0)),0,1/VLOOKUP($R229,Capa!$A:$AJ,BF$5,0))))</f>
        <v/>
      </c>
      <c r="BG229" s="174" t="str">
        <f>IF(BG$6="","",IF(BG$3="Maior",iferror(VLOOKUP($R229,Capa!$A:$AJ,BG$5,0),0),IF(ISERROR(1/VLOOKUP($R229,Capa!$A:$AJ,BG$5,0)),0,1/VLOOKUP($R229,Capa!$A:$AJ,BG$5,0))))</f>
        <v/>
      </c>
      <c r="BH229" s="174" t="str">
        <f>IF(BH$6="","",IF(BH$3="Maior",iferror(VLOOKUP($R229,Capa!$A:$AJ,BH$5,0),0),IF(ISERROR(1/VLOOKUP($R229,Capa!$A:$AJ,BH$5,0)),0,1/VLOOKUP($R229,Capa!$A:$AJ,BH$5,0))))</f>
        <v/>
      </c>
      <c r="BI229" s="174" t="str">
        <f>IF(BI$6="","",IF(BI$3="Maior",iferror(VLOOKUP($R229,Capa!$A:$AJ,BI$5,0),0),IF(ISERROR(1/VLOOKUP($R229,Capa!$A:$AJ,BI$5,0)),0,1/VLOOKUP($R229,Capa!$A:$AJ,BI$5,0))))</f>
        <v/>
      </c>
      <c r="BJ229" s="174" t="str">
        <f>IF(BJ$6="","",IF(BJ$3="Maior",iferror(VLOOKUP($R229,Capa!$A:$AJ,BJ$5,0),0),IF(ISERROR(1/VLOOKUP($R229,Capa!$A:$AJ,BJ$5,0)),0,1/VLOOKUP($R229,Capa!$A:$AJ,BJ$5,0))))</f>
        <v/>
      </c>
      <c r="BK229" s="174" t="str">
        <f>IF(BK$6="","",IF(BK$3="Maior",iferror(VLOOKUP($R229,Capa!$A:$AJ,BK$5,0),0),IF(ISERROR(1/VLOOKUP($R229,Capa!$A:$AJ,BK$5,0)),0,1/VLOOKUP($R229,Capa!$A:$AJ,BK$5,0))))</f>
        <v/>
      </c>
      <c r="BL229" s="174" t="str">
        <f>IF(BL$6="","",IF(BL$3="Maior",iferror(VLOOKUP($R229,Capa!$A:$AJ,BL$5,0),0),IF(ISERROR(1/VLOOKUP($R229,Capa!$A:$AJ,BL$5,0)),0,1/VLOOKUP($R229,Capa!$A:$AJ,BL$5,0))))</f>
        <v/>
      </c>
      <c r="BM229" s="174" t="str">
        <f>IF(BM$6="","",IF(BM$3="Maior",iferror(VLOOKUP($R229,Capa!$A:$AJ,BM$5,0),0),IF(ISERROR(1/VLOOKUP($R229,Capa!$A:$AJ,BM$5,0)),0,1/VLOOKUP($R229,Capa!$A:$AJ,BM$5,0))))</f>
        <v/>
      </c>
      <c r="BN229" s="174" t="str">
        <f>IF(BN$6="","",IF(BN$3="Maior",iferror(VLOOKUP($R229,Capa!$A:$AJ,BN$5,0),0),IF(ISERROR(1/VLOOKUP($R229,Capa!$A:$AJ,BN$5,0)),0,1/VLOOKUP($R229,Capa!$A:$AJ,BN$5,0))))</f>
        <v/>
      </c>
      <c r="BO229" s="174" t="str">
        <f>IF(BO$6="","",IF(BO$3="Maior",iferror(VLOOKUP($R229,Capa!$A:$AJ,BO$5,0),0),IF(ISERROR(1/VLOOKUP($R229,Capa!$A:$AJ,BO$5,0)),0,1/VLOOKUP($R229,Capa!$A:$AJ,BO$5,0))))</f>
        <v/>
      </c>
      <c r="BP229" s="174" t="str">
        <f>IF(BP$6="","",IF(BP$3="Maior",iferror(VLOOKUP($R229,Capa!$A:$AJ,BP$5,0),0),IF(ISERROR(1/VLOOKUP($R229,Capa!$A:$AJ,BP$5,0)),0,1/VLOOKUP($R229,Capa!$A:$AJ,BP$5,0))))</f>
        <v/>
      </c>
      <c r="BQ229" s="174" t="str">
        <f>IF(BQ$6="","",IF(BQ$3="Maior",iferror(VLOOKUP($R229,Capa!$A:$AJ,BQ$5,0),0),IF(ISERROR(1/VLOOKUP($R229,Capa!$A:$AJ,BQ$5,0)),0,1/VLOOKUP($R229,Capa!$A:$AJ,BQ$5,0))))</f>
        <v/>
      </c>
      <c r="BR229" s="175"/>
      <c r="BS229" s="147"/>
    </row>
    <row r="230">
      <c r="G230" s="11"/>
      <c r="H230" s="8">
        <v>224.0</v>
      </c>
      <c r="I230" s="165" t="str">
        <f t="shared" si="6"/>
        <v>SULA11</v>
      </c>
      <c r="J230" s="166" t="str">
        <f>(VLOOKUP($I230,Capa!$A:$B,2,0))</f>
        <v/>
      </c>
      <c r="K230" s="167" t="str">
        <f>VLOOKUP(left(I230,4),Setor!A:D,3,0)&amp;" | "&amp;VLOOKUP(left(I230,4),Setor!A:D,4,0)</f>
        <v>Financeiro | Previdência e Seguros</v>
      </c>
      <c r="L230" s="168" t="str">
        <f>(VLOOKUP($I230,Capa!$A:$F,6,0))</f>
        <v/>
      </c>
      <c r="M230" s="168">
        <f t="shared" si="7"/>
        <v>313000000</v>
      </c>
      <c r="N230" s="177" t="str">
        <f>(VLOOKUP($I230,Capa!$A:$H,7,0))</f>
        <v/>
      </c>
      <c r="O230" s="169" t="str">
        <f>(VLOOKUP($I230,Capa!$A:$H,8,0))</f>
        <v/>
      </c>
      <c r="P230" s="169" t="str">
        <f>(VLOOKUP($I230,Capa!$A:$J,10,0))</f>
        <v/>
      </c>
      <c r="Q230" s="169" t="str">
        <f>(VLOOKUP($I230,Capa!$A:$K,11,0))</f>
        <v/>
      </c>
      <c r="R230" s="45" t="str">
        <f>'Dados StatusInvest'!A225</f>
        <v>EALT4</v>
      </c>
      <c r="S230" s="170"/>
      <c r="T230" s="171"/>
      <c r="U230" s="172">
        <f t="shared" ref="U230:AS230" si="232">IF(AT230="","", RANK(AT230,AT$7:AT$626,0)+RANK(AT230,AT$7:AT$626,0)/10000)</f>
        <v>383.0383</v>
      </c>
      <c r="V230" s="172">
        <f t="shared" si="232"/>
        <v>33.0033</v>
      </c>
      <c r="W230" s="172" t="str">
        <f t="shared" si="232"/>
        <v/>
      </c>
      <c r="X230" s="172" t="str">
        <f t="shared" si="232"/>
        <v/>
      </c>
      <c r="Y230" s="172" t="str">
        <f t="shared" si="232"/>
        <v/>
      </c>
      <c r="Z230" s="172" t="str">
        <f t="shared" si="232"/>
        <v/>
      </c>
      <c r="AA230" s="172" t="str">
        <f t="shared" si="232"/>
        <v/>
      </c>
      <c r="AB230" s="172" t="str">
        <f t="shared" si="232"/>
        <v/>
      </c>
      <c r="AC230" s="172" t="str">
        <f t="shared" si="232"/>
        <v/>
      </c>
      <c r="AD230" s="172" t="str">
        <f t="shared" si="232"/>
        <v/>
      </c>
      <c r="AE230" s="172" t="str">
        <f t="shared" si="232"/>
        <v/>
      </c>
      <c r="AF230" s="172" t="str">
        <f t="shared" si="232"/>
        <v/>
      </c>
      <c r="AG230" s="172" t="str">
        <f t="shared" si="232"/>
        <v/>
      </c>
      <c r="AH230" s="172" t="str">
        <f t="shared" si="232"/>
        <v/>
      </c>
      <c r="AI230" s="172" t="str">
        <f t="shared" si="232"/>
        <v/>
      </c>
      <c r="AJ230" s="172" t="str">
        <f t="shared" si="232"/>
        <v/>
      </c>
      <c r="AK230" s="172" t="str">
        <f t="shared" si="232"/>
        <v/>
      </c>
      <c r="AL230" s="172" t="str">
        <f t="shared" si="232"/>
        <v/>
      </c>
      <c r="AM230" s="172" t="str">
        <f t="shared" si="232"/>
        <v/>
      </c>
      <c r="AN230" s="172" t="str">
        <f t="shared" si="232"/>
        <v/>
      </c>
      <c r="AO230" s="172" t="str">
        <f t="shared" si="232"/>
        <v/>
      </c>
      <c r="AP230" s="172" t="str">
        <f t="shared" si="232"/>
        <v/>
      </c>
      <c r="AQ230" s="172" t="str">
        <f t="shared" si="232"/>
        <v/>
      </c>
      <c r="AR230" s="172" t="str">
        <f t="shared" si="232"/>
        <v/>
      </c>
      <c r="AS230" s="172" t="str">
        <f t="shared" si="232"/>
        <v/>
      </c>
      <c r="AT230" s="173">
        <f>IF(AT$6="","",IF(AT$3="Maior",iferror(VLOOKUP($R230,Capa!$A:$AJ,AT$5,0),0),IF(ISERROR(1/VLOOKUP($R230,Capa!$A:$AJ,AT$5,0)),0,1/VLOOKUP($R230,Capa!$A:$AJ,AT$5,0))))</f>
        <v>-1.204819277</v>
      </c>
      <c r="AU230" s="174">
        <f>IF(AU$6="","",IF(AU$3="Maior",iferror(VLOOKUP($R230,Capa!$A:$AJ,AU$5,0),0),IF(ISERROR(1/VLOOKUP($R230,Capa!$A:$AJ,AU$5,0)),0,1/VLOOKUP($R230,Capa!$A:$AJ,AU$5,0))))</f>
        <v>44.42</v>
      </c>
      <c r="AV230" s="174" t="str">
        <f>IF(AV$6="","",IF(AV$3="Maior",iferror(VLOOKUP($R230,Capa!$A:$AJ,AV$5,0),0),IF(ISERROR(1/VLOOKUP($R230,Capa!$A:$AJ,AV$5,0)),0,1/VLOOKUP($R230,Capa!$A:$AJ,AV$5,0))))</f>
        <v/>
      </c>
      <c r="AW230" s="174" t="str">
        <f>IF(AW$6="","",IF(AW$3="Maior",iferror(VLOOKUP($R230,Capa!$A:$AJ,AW$5,0),0),IF(ISERROR(1/VLOOKUP($R230,Capa!$A:$AJ,AW$5,0)),0,1/VLOOKUP($R230,Capa!$A:$AJ,AW$5,0))))</f>
        <v/>
      </c>
      <c r="AX230" s="174" t="str">
        <f>IF(AX$6="","",IF(AX$3="Maior",iferror(VLOOKUP($R230,Capa!$A:$AJ,AX$5,0),0),IF(ISERROR(1/VLOOKUP($R230,Capa!$A:$AJ,AX$5,0)),0,1/VLOOKUP($R230,Capa!$A:$AJ,AX$5,0))))</f>
        <v/>
      </c>
      <c r="AY230" s="174" t="str">
        <f>IF(AY$6="","",IF(AY$3="Maior",iferror(VLOOKUP($R230,Capa!$A:$AJ,AY$5,0),0),IF(ISERROR(1/VLOOKUP($R230,Capa!$A:$AJ,AY$5,0)),0,1/VLOOKUP($R230,Capa!$A:$AJ,AY$5,0))))</f>
        <v/>
      </c>
      <c r="AZ230" s="174" t="str">
        <f>IF(AZ$6="","",IF(AZ$3="Maior",iferror(VLOOKUP($R230,Capa!$A:$AJ,AZ$5,0),0),IF(ISERROR(1/VLOOKUP($R230,Capa!$A:$AJ,AZ$5,0)),0,1/VLOOKUP($R230,Capa!$A:$AJ,AZ$5,0))))</f>
        <v/>
      </c>
      <c r="BA230" s="174" t="str">
        <f>IF(BA$6="","",IF(BA$3="Maior",iferror(VLOOKUP($R230,Capa!$A:$AJ,BA$5,0),0),IF(ISERROR(1/VLOOKUP($R230,Capa!$A:$AJ,BA$5,0)),0,1/VLOOKUP($R230,Capa!$A:$AJ,BA$5,0))))</f>
        <v/>
      </c>
      <c r="BB230" s="174" t="str">
        <f>IF(BB$6="","",IF(BB$3="Maior",iferror(VLOOKUP($R230,Capa!$A:$AJ,BB$5,0),0),IF(ISERROR(1/VLOOKUP($R230,Capa!$A:$AJ,BB$5,0)),0,1/VLOOKUP($R230,Capa!$A:$AJ,BB$5,0))))</f>
        <v/>
      </c>
      <c r="BC230" s="174" t="str">
        <f>IF(BC$6="","",IF(BC$3="Maior",iferror(VLOOKUP($R230,Capa!$A:$AJ,BC$5,0),0),IF(ISERROR(1/VLOOKUP($R230,Capa!$A:$AJ,BC$5,0)),0,1/VLOOKUP($R230,Capa!$A:$AJ,BC$5,0))))</f>
        <v/>
      </c>
      <c r="BD230" s="174" t="str">
        <f>IF(BD$6="","",IF(BD$3="Maior",iferror(VLOOKUP($R230,Capa!$A:$AJ,BD$5,0),0),IF(ISERROR(1/VLOOKUP($R230,Capa!$A:$AJ,BD$5,0)),0,1/VLOOKUP($R230,Capa!$A:$AJ,BD$5,0))))</f>
        <v/>
      </c>
      <c r="BE230" s="174" t="str">
        <f>IF(BE$6="","",IF(BE$3="Maior",iferror(VLOOKUP($R230,Capa!$A:$AJ,BE$5,0),0),IF(ISERROR(1/VLOOKUP($R230,Capa!$A:$AJ,BE$5,0)),0,1/VLOOKUP($R230,Capa!$A:$AJ,BE$5,0))))</f>
        <v/>
      </c>
      <c r="BF230" s="174" t="str">
        <f>IF(BF$6="","",IF(BF$3="Maior",iferror(VLOOKUP($R230,Capa!$A:$AJ,BF$5,0),0),IF(ISERROR(1/VLOOKUP($R230,Capa!$A:$AJ,BF$5,0)),0,1/VLOOKUP($R230,Capa!$A:$AJ,BF$5,0))))</f>
        <v/>
      </c>
      <c r="BG230" s="174" t="str">
        <f>IF(BG$6="","",IF(BG$3="Maior",iferror(VLOOKUP($R230,Capa!$A:$AJ,BG$5,0),0),IF(ISERROR(1/VLOOKUP($R230,Capa!$A:$AJ,BG$5,0)),0,1/VLOOKUP($R230,Capa!$A:$AJ,BG$5,0))))</f>
        <v/>
      </c>
      <c r="BH230" s="174" t="str">
        <f>IF(BH$6="","",IF(BH$3="Maior",iferror(VLOOKUP($R230,Capa!$A:$AJ,BH$5,0),0),IF(ISERROR(1/VLOOKUP($R230,Capa!$A:$AJ,BH$5,0)),0,1/VLOOKUP($R230,Capa!$A:$AJ,BH$5,0))))</f>
        <v/>
      </c>
      <c r="BI230" s="174" t="str">
        <f>IF(BI$6="","",IF(BI$3="Maior",iferror(VLOOKUP($R230,Capa!$A:$AJ,BI$5,0),0),IF(ISERROR(1/VLOOKUP($R230,Capa!$A:$AJ,BI$5,0)),0,1/VLOOKUP($R230,Capa!$A:$AJ,BI$5,0))))</f>
        <v/>
      </c>
      <c r="BJ230" s="174" t="str">
        <f>IF(BJ$6="","",IF(BJ$3="Maior",iferror(VLOOKUP($R230,Capa!$A:$AJ,BJ$5,0),0),IF(ISERROR(1/VLOOKUP($R230,Capa!$A:$AJ,BJ$5,0)),0,1/VLOOKUP($R230,Capa!$A:$AJ,BJ$5,0))))</f>
        <v/>
      </c>
      <c r="BK230" s="174" t="str">
        <f>IF(BK$6="","",IF(BK$3="Maior",iferror(VLOOKUP($R230,Capa!$A:$AJ,BK$5,0),0),IF(ISERROR(1/VLOOKUP($R230,Capa!$A:$AJ,BK$5,0)),0,1/VLOOKUP($R230,Capa!$A:$AJ,BK$5,0))))</f>
        <v/>
      </c>
      <c r="BL230" s="174" t="str">
        <f>IF(BL$6="","",IF(BL$3="Maior",iferror(VLOOKUP($R230,Capa!$A:$AJ,BL$5,0),0),IF(ISERROR(1/VLOOKUP($R230,Capa!$A:$AJ,BL$5,0)),0,1/VLOOKUP($R230,Capa!$A:$AJ,BL$5,0))))</f>
        <v/>
      </c>
      <c r="BM230" s="174" t="str">
        <f>IF(BM$6="","",IF(BM$3="Maior",iferror(VLOOKUP($R230,Capa!$A:$AJ,BM$5,0),0),IF(ISERROR(1/VLOOKUP($R230,Capa!$A:$AJ,BM$5,0)),0,1/VLOOKUP($R230,Capa!$A:$AJ,BM$5,0))))</f>
        <v/>
      </c>
      <c r="BN230" s="174" t="str">
        <f>IF(BN$6="","",IF(BN$3="Maior",iferror(VLOOKUP($R230,Capa!$A:$AJ,BN$5,0),0),IF(ISERROR(1/VLOOKUP($R230,Capa!$A:$AJ,BN$5,0)),0,1/VLOOKUP($R230,Capa!$A:$AJ,BN$5,0))))</f>
        <v/>
      </c>
      <c r="BO230" s="174" t="str">
        <f>IF(BO$6="","",IF(BO$3="Maior",iferror(VLOOKUP($R230,Capa!$A:$AJ,BO$5,0),0),IF(ISERROR(1/VLOOKUP($R230,Capa!$A:$AJ,BO$5,0)),0,1/VLOOKUP($R230,Capa!$A:$AJ,BO$5,0))))</f>
        <v/>
      </c>
      <c r="BP230" s="174" t="str">
        <f>IF(BP$6="","",IF(BP$3="Maior",iferror(VLOOKUP($R230,Capa!$A:$AJ,BP$5,0),0),IF(ISERROR(1/VLOOKUP($R230,Capa!$A:$AJ,BP$5,0)),0,1/VLOOKUP($R230,Capa!$A:$AJ,BP$5,0))))</f>
        <v/>
      </c>
      <c r="BQ230" s="174" t="str">
        <f>IF(BQ$6="","",IF(BQ$3="Maior",iferror(VLOOKUP($R230,Capa!$A:$AJ,BQ$5,0),0),IF(ISERROR(1/VLOOKUP($R230,Capa!$A:$AJ,BQ$5,0)),0,1/VLOOKUP($R230,Capa!$A:$AJ,BQ$5,0))))</f>
        <v/>
      </c>
      <c r="BR230" s="175"/>
      <c r="BS230" s="147"/>
    </row>
    <row r="231">
      <c r="G231" s="11"/>
      <c r="H231" s="8">
        <v>225.0</v>
      </c>
      <c r="I231" s="165" t="str">
        <f t="shared" si="6"/>
        <v>RIAA3</v>
      </c>
      <c r="J231" s="166" t="str">
        <f>(VLOOKUP($I231,Capa!$A:$B,2,0))</f>
        <v>Guararapes Confeccoes SA</v>
      </c>
      <c r="K231" s="167" t="str">
        <f>VLOOKUP(left(I231,4),Setor!A:D,3,0)&amp;" | "&amp;VLOOKUP(left(I231,4),Setor!A:D,4,0)</f>
        <v>#N/A</v>
      </c>
      <c r="L231" s="168">
        <f>(VLOOKUP($I231,Capa!$A:$F,6,0))</f>
        <v>10.42</v>
      </c>
      <c r="M231" s="168">
        <f t="shared" si="7"/>
        <v>23604637</v>
      </c>
      <c r="N231" s="11" t="str">
        <f>IFERROR(__xludf.DUMMYFUNCTION("(VLOOKUP($I231,Capa!$A:$H,7,0))"),"")</f>
        <v/>
      </c>
      <c r="O231" s="169" t="str">
        <f>(VLOOKUP($I231,Capa!$A:$H,8,0))</f>
        <v/>
      </c>
      <c r="P231" s="11" t="str">
        <f>IFERROR(__xludf.DUMMYFUNCTION("(VLOOKUP($I231,Capa!$A:$J,10,0))"),"")</f>
        <v/>
      </c>
      <c r="Q231" s="169" t="str">
        <f>(VLOOKUP($I231,Capa!$A:$K,11,0))</f>
        <v/>
      </c>
      <c r="R231" s="45" t="str">
        <f>'Dados StatusInvest'!A226</f>
        <v>ECOR3</v>
      </c>
      <c r="S231" s="170">
        <f t="shared" ref="S231:S626" si="234">SUM(U231:AS231)+IF(T231&gt;$M$2,0,1000)</f>
        <v>774.0774</v>
      </c>
      <c r="T231" s="171">
        <f>VLOOKUP(R231,'Dados StatusInvest'!A:Z,26,0)</f>
        <v>89504737</v>
      </c>
      <c r="U231" s="172">
        <f t="shared" ref="U231:AS231" si="233">IF(AT231="","", RANK(AT231,AT$7:AT$626,0)+RANK(AT231,AT$7:AT$626,0)/10000)</f>
        <v>507.0507</v>
      </c>
      <c r="V231" s="172">
        <f t="shared" si="233"/>
        <v>267.0267</v>
      </c>
      <c r="W231" s="172" t="str">
        <f t="shared" si="233"/>
        <v/>
      </c>
      <c r="X231" s="172" t="str">
        <f t="shared" si="233"/>
        <v/>
      </c>
      <c r="Y231" s="172" t="str">
        <f t="shared" si="233"/>
        <v/>
      </c>
      <c r="Z231" s="172" t="str">
        <f t="shared" si="233"/>
        <v/>
      </c>
      <c r="AA231" s="172" t="str">
        <f t="shared" si="233"/>
        <v/>
      </c>
      <c r="AB231" s="172" t="str">
        <f t="shared" si="233"/>
        <v/>
      </c>
      <c r="AC231" s="172" t="str">
        <f t="shared" si="233"/>
        <v/>
      </c>
      <c r="AD231" s="172" t="str">
        <f t="shared" si="233"/>
        <v/>
      </c>
      <c r="AE231" s="172" t="str">
        <f t="shared" si="233"/>
        <v/>
      </c>
      <c r="AF231" s="172" t="str">
        <f t="shared" si="233"/>
        <v/>
      </c>
      <c r="AG231" s="172" t="str">
        <f t="shared" si="233"/>
        <v/>
      </c>
      <c r="AH231" s="172" t="str">
        <f t="shared" si="233"/>
        <v/>
      </c>
      <c r="AI231" s="172" t="str">
        <f t="shared" si="233"/>
        <v/>
      </c>
      <c r="AJ231" s="172" t="str">
        <f t="shared" si="233"/>
        <v/>
      </c>
      <c r="AK231" s="172" t="str">
        <f t="shared" si="233"/>
        <v/>
      </c>
      <c r="AL231" s="172" t="str">
        <f t="shared" si="233"/>
        <v/>
      </c>
      <c r="AM231" s="172" t="str">
        <f t="shared" si="233"/>
        <v/>
      </c>
      <c r="AN231" s="172" t="str">
        <f t="shared" si="233"/>
        <v/>
      </c>
      <c r="AO231" s="172" t="str">
        <f t="shared" si="233"/>
        <v/>
      </c>
      <c r="AP231" s="172" t="str">
        <f t="shared" si="233"/>
        <v/>
      </c>
      <c r="AQ231" s="172" t="str">
        <f t="shared" si="233"/>
        <v/>
      </c>
      <c r="AR231" s="172" t="str">
        <f t="shared" si="233"/>
        <v/>
      </c>
      <c r="AS231" s="172" t="str">
        <f t="shared" si="233"/>
        <v/>
      </c>
      <c r="AT231" s="173">
        <f>IF(AT$6="","",IF(AT$3="Maior",iferror(VLOOKUP($R231,Capa!$A:$AJ,AT$5,0),0),IF(ISERROR(1/VLOOKUP($R231,Capa!$A:$AJ,AT$5,0)),0,1/VLOOKUP($R231,Capa!$A:$AJ,AT$5,0))))</f>
        <v>-3.550981236</v>
      </c>
      <c r="AU231" s="174">
        <f>IF(AU$6="","",IF(AU$3="Maior",iferror(VLOOKUP($R231,Capa!$A:$AJ,AU$5,0),0),IF(ISERROR(1/VLOOKUP($R231,Capa!$A:$AJ,AU$5,0)),0,1/VLOOKUP($R231,Capa!$A:$AJ,AU$5,0))))</f>
        <v>0</v>
      </c>
      <c r="AV231" s="174" t="str">
        <f>IF(AV$6="","",IF(AV$3="Maior",iferror(VLOOKUP($R231,Capa!$A:$AJ,AV$5,0),0),IF(ISERROR(1/VLOOKUP($R231,Capa!$A:$AJ,AV$5,0)),0,1/VLOOKUP($R231,Capa!$A:$AJ,AV$5,0))))</f>
        <v/>
      </c>
      <c r="AW231" s="174" t="str">
        <f>IF(AW$6="","",IF(AW$3="Maior",iferror(VLOOKUP($R231,Capa!$A:$AJ,AW$5,0),0),IF(ISERROR(1/VLOOKUP($R231,Capa!$A:$AJ,AW$5,0)),0,1/VLOOKUP($R231,Capa!$A:$AJ,AW$5,0))))</f>
        <v/>
      </c>
      <c r="AX231" s="174" t="str">
        <f>IF(AX$6="","",IF(AX$3="Maior",iferror(VLOOKUP($R231,Capa!$A:$AJ,AX$5,0),0),IF(ISERROR(1/VLOOKUP($R231,Capa!$A:$AJ,AX$5,0)),0,1/VLOOKUP($R231,Capa!$A:$AJ,AX$5,0))))</f>
        <v/>
      </c>
      <c r="AY231" s="174" t="str">
        <f>IF(AY$6="","",IF(AY$3="Maior",iferror(VLOOKUP($R231,Capa!$A:$AJ,AY$5,0),0),IF(ISERROR(1/VLOOKUP($R231,Capa!$A:$AJ,AY$5,0)),0,1/VLOOKUP($R231,Capa!$A:$AJ,AY$5,0))))</f>
        <v/>
      </c>
      <c r="AZ231" s="174" t="str">
        <f>IF(AZ$6="","",IF(AZ$3="Maior",iferror(VLOOKUP($R231,Capa!$A:$AJ,AZ$5,0),0),IF(ISERROR(1/VLOOKUP($R231,Capa!$A:$AJ,AZ$5,0)),0,1/VLOOKUP($R231,Capa!$A:$AJ,AZ$5,0))))</f>
        <v/>
      </c>
      <c r="BA231" s="174" t="str">
        <f>IF(BA$6="","",IF(BA$3="Maior",iferror(VLOOKUP($R231,Capa!$A:$AJ,BA$5,0),0),IF(ISERROR(1/VLOOKUP($R231,Capa!$A:$AJ,BA$5,0)),0,1/VLOOKUP($R231,Capa!$A:$AJ,BA$5,0))))</f>
        <v/>
      </c>
      <c r="BB231" s="174" t="str">
        <f>IF(BB$6="","",IF(BB$3="Maior",iferror(VLOOKUP($R231,Capa!$A:$AJ,BB$5,0),0),IF(ISERROR(1/VLOOKUP($R231,Capa!$A:$AJ,BB$5,0)),0,1/VLOOKUP($R231,Capa!$A:$AJ,BB$5,0))))</f>
        <v/>
      </c>
      <c r="BC231" s="174" t="str">
        <f>IF(BC$6="","",IF(BC$3="Maior",iferror(VLOOKUP($R231,Capa!$A:$AJ,BC$5,0),0),IF(ISERROR(1/VLOOKUP($R231,Capa!$A:$AJ,BC$5,0)),0,1/VLOOKUP($R231,Capa!$A:$AJ,BC$5,0))))</f>
        <v/>
      </c>
      <c r="BD231" s="174" t="str">
        <f>IF(BD$6="","",IF(BD$3="Maior",iferror(VLOOKUP($R231,Capa!$A:$AJ,BD$5,0),0),IF(ISERROR(1/VLOOKUP($R231,Capa!$A:$AJ,BD$5,0)),0,1/VLOOKUP($R231,Capa!$A:$AJ,BD$5,0))))</f>
        <v/>
      </c>
      <c r="BE231" s="174" t="str">
        <f>IF(BE$6="","",IF(BE$3="Maior",iferror(VLOOKUP($R231,Capa!$A:$AJ,BE$5,0),0),IF(ISERROR(1/VLOOKUP($R231,Capa!$A:$AJ,BE$5,0)),0,1/VLOOKUP($R231,Capa!$A:$AJ,BE$5,0))))</f>
        <v/>
      </c>
      <c r="BF231" s="174" t="str">
        <f>IF(BF$6="","",IF(BF$3="Maior",iferror(VLOOKUP($R231,Capa!$A:$AJ,BF$5,0),0),IF(ISERROR(1/VLOOKUP($R231,Capa!$A:$AJ,BF$5,0)),0,1/VLOOKUP($R231,Capa!$A:$AJ,BF$5,0))))</f>
        <v/>
      </c>
      <c r="BG231" s="174" t="str">
        <f>IF(BG$6="","",IF(BG$3="Maior",iferror(VLOOKUP($R231,Capa!$A:$AJ,BG$5,0),0),IF(ISERROR(1/VLOOKUP($R231,Capa!$A:$AJ,BG$5,0)),0,1/VLOOKUP($R231,Capa!$A:$AJ,BG$5,0))))</f>
        <v/>
      </c>
      <c r="BH231" s="174" t="str">
        <f>IF(BH$6="","",IF(BH$3="Maior",iferror(VLOOKUP($R231,Capa!$A:$AJ,BH$5,0),0),IF(ISERROR(1/VLOOKUP($R231,Capa!$A:$AJ,BH$5,0)),0,1/VLOOKUP($R231,Capa!$A:$AJ,BH$5,0))))</f>
        <v/>
      </c>
      <c r="BI231" s="174" t="str">
        <f>IF(BI$6="","",IF(BI$3="Maior",iferror(VLOOKUP($R231,Capa!$A:$AJ,BI$5,0),0),IF(ISERROR(1/VLOOKUP($R231,Capa!$A:$AJ,BI$5,0)),0,1/VLOOKUP($R231,Capa!$A:$AJ,BI$5,0))))</f>
        <v/>
      </c>
      <c r="BJ231" s="174" t="str">
        <f>IF(BJ$6="","",IF(BJ$3="Maior",iferror(VLOOKUP($R231,Capa!$A:$AJ,BJ$5,0),0),IF(ISERROR(1/VLOOKUP($R231,Capa!$A:$AJ,BJ$5,0)),0,1/VLOOKUP($R231,Capa!$A:$AJ,BJ$5,0))))</f>
        <v/>
      </c>
      <c r="BK231" s="174" t="str">
        <f>IF(BK$6="","",IF(BK$3="Maior",iferror(VLOOKUP($R231,Capa!$A:$AJ,BK$5,0),0),IF(ISERROR(1/VLOOKUP($R231,Capa!$A:$AJ,BK$5,0)),0,1/VLOOKUP($R231,Capa!$A:$AJ,BK$5,0))))</f>
        <v/>
      </c>
      <c r="BL231" s="174" t="str">
        <f>IF(BL$6="","",IF(BL$3="Maior",iferror(VLOOKUP($R231,Capa!$A:$AJ,BL$5,0),0),IF(ISERROR(1/VLOOKUP($R231,Capa!$A:$AJ,BL$5,0)),0,1/VLOOKUP($R231,Capa!$A:$AJ,BL$5,0))))</f>
        <v/>
      </c>
      <c r="BM231" s="174" t="str">
        <f>IF(BM$6="","",IF(BM$3="Maior",iferror(VLOOKUP($R231,Capa!$A:$AJ,BM$5,0),0),IF(ISERROR(1/VLOOKUP($R231,Capa!$A:$AJ,BM$5,0)),0,1/VLOOKUP($R231,Capa!$A:$AJ,BM$5,0))))</f>
        <v/>
      </c>
      <c r="BN231" s="174" t="str">
        <f>IF(BN$6="","",IF(BN$3="Maior",iferror(VLOOKUP($R231,Capa!$A:$AJ,BN$5,0),0),IF(ISERROR(1/VLOOKUP($R231,Capa!$A:$AJ,BN$5,0)),0,1/VLOOKUP($R231,Capa!$A:$AJ,BN$5,0))))</f>
        <v/>
      </c>
      <c r="BO231" s="174" t="str">
        <f>IF(BO$6="","",IF(BO$3="Maior",iferror(VLOOKUP($R231,Capa!$A:$AJ,BO$5,0),0),IF(ISERROR(1/VLOOKUP($R231,Capa!$A:$AJ,BO$5,0)),0,1/VLOOKUP($R231,Capa!$A:$AJ,BO$5,0))))</f>
        <v/>
      </c>
      <c r="BP231" s="174" t="str">
        <f>IF(BP$6="","",IF(BP$3="Maior",iferror(VLOOKUP($R231,Capa!$A:$AJ,BP$5,0),0),IF(ISERROR(1/VLOOKUP($R231,Capa!$A:$AJ,BP$5,0)),0,1/VLOOKUP($R231,Capa!$A:$AJ,BP$5,0))))</f>
        <v/>
      </c>
      <c r="BQ231" s="174" t="str">
        <f>IF(BQ$6="","",IF(BQ$3="Maior",iferror(VLOOKUP($R231,Capa!$A:$AJ,BQ$5,0),0),IF(ISERROR(1/VLOOKUP($R231,Capa!$A:$AJ,BQ$5,0)),0,1/VLOOKUP($R231,Capa!$A:$AJ,BQ$5,0))))</f>
        <v/>
      </c>
      <c r="BR231" s="175"/>
      <c r="BS231" s="147"/>
    </row>
    <row r="232">
      <c r="G232" s="11"/>
      <c r="H232" s="8">
        <v>226.0</v>
      </c>
      <c r="I232" s="165" t="str">
        <f t="shared" si="6"/>
        <v>SEER3</v>
      </c>
      <c r="J232" s="166" t="str">
        <f>(VLOOKUP($I232,Capa!$A:$B,2,0))</f>
        <v>Ser Educacional SA</v>
      </c>
      <c r="K232" s="167" t="str">
        <f>VLOOKUP(left(I232,4),Setor!A:D,3,0)&amp;" | "&amp;VLOOKUP(left(I232,4),Setor!A:D,4,0)</f>
        <v>Consumo Cíclico | Diversos</v>
      </c>
      <c r="L232" s="168">
        <f>(VLOOKUP($I232,Capa!$A:$F,6,0))</f>
        <v>12.69</v>
      </c>
      <c r="M232" s="168">
        <f t="shared" si="7"/>
        <v>17613954</v>
      </c>
      <c r="N232" s="177" t="str">
        <f>IFERROR(__xludf.DUMMYFUNCTION("(VLOOKUP($I232,Capa!$A:$H,7,0))"),"")</f>
        <v/>
      </c>
      <c r="O232" s="169">
        <f>(VLOOKUP($I232,Capa!$A:$H,8,0))</f>
        <v>0.1782729805</v>
      </c>
      <c r="P232" s="169" t="str">
        <f>IFERROR(__xludf.DUMMYFUNCTION("(VLOOKUP($I232,Capa!$A:$J,10,0))"),"")</f>
        <v/>
      </c>
      <c r="Q232" s="169">
        <f>(VLOOKUP($I232,Capa!$A:$K,11,0))</f>
        <v>1.512871287</v>
      </c>
      <c r="R232" s="45" t="str">
        <f>'Dados StatusInvest'!A227</f>
        <v>ECPR3</v>
      </c>
      <c r="S232" s="170">
        <f t="shared" si="234"/>
        <v>1383.0383</v>
      </c>
      <c r="T232" s="171">
        <f>VLOOKUP(R232,'Dados StatusInvest'!A:Z,26,0)</f>
        <v>0</v>
      </c>
      <c r="U232" s="172">
        <f t="shared" ref="U232:AS232" si="235">IF(AT232="","", RANK(AT232,AT$7:AT$626,0)+RANK(AT232,AT$7:AT$626,0)/10000)</f>
        <v>116.0116</v>
      </c>
      <c r="V232" s="172">
        <f t="shared" si="235"/>
        <v>267.0267</v>
      </c>
      <c r="W232" s="172" t="str">
        <f t="shared" si="235"/>
        <v/>
      </c>
      <c r="X232" s="172" t="str">
        <f t="shared" si="235"/>
        <v/>
      </c>
      <c r="Y232" s="172" t="str">
        <f t="shared" si="235"/>
        <v/>
      </c>
      <c r="Z232" s="172" t="str">
        <f t="shared" si="235"/>
        <v/>
      </c>
      <c r="AA232" s="172" t="str">
        <f t="shared" si="235"/>
        <v/>
      </c>
      <c r="AB232" s="172" t="str">
        <f t="shared" si="235"/>
        <v/>
      </c>
      <c r="AC232" s="172" t="str">
        <f t="shared" si="235"/>
        <v/>
      </c>
      <c r="AD232" s="172" t="str">
        <f t="shared" si="235"/>
        <v/>
      </c>
      <c r="AE232" s="172" t="str">
        <f t="shared" si="235"/>
        <v/>
      </c>
      <c r="AF232" s="172" t="str">
        <f t="shared" si="235"/>
        <v/>
      </c>
      <c r="AG232" s="172" t="str">
        <f t="shared" si="235"/>
        <v/>
      </c>
      <c r="AH232" s="172" t="str">
        <f t="shared" si="235"/>
        <v/>
      </c>
      <c r="AI232" s="172" t="str">
        <f t="shared" si="235"/>
        <v/>
      </c>
      <c r="AJ232" s="172" t="str">
        <f t="shared" si="235"/>
        <v/>
      </c>
      <c r="AK232" s="172" t="str">
        <f t="shared" si="235"/>
        <v/>
      </c>
      <c r="AL232" s="172" t="str">
        <f t="shared" si="235"/>
        <v/>
      </c>
      <c r="AM232" s="172" t="str">
        <f t="shared" si="235"/>
        <v/>
      </c>
      <c r="AN232" s="172" t="str">
        <f t="shared" si="235"/>
        <v/>
      </c>
      <c r="AO232" s="172" t="str">
        <f t="shared" si="235"/>
        <v/>
      </c>
      <c r="AP232" s="172" t="str">
        <f t="shared" si="235"/>
        <v/>
      </c>
      <c r="AQ232" s="172" t="str">
        <f t="shared" si="235"/>
        <v/>
      </c>
      <c r="AR232" s="172" t="str">
        <f t="shared" si="235"/>
        <v/>
      </c>
      <c r="AS232" s="172" t="str">
        <f t="shared" si="235"/>
        <v/>
      </c>
      <c r="AT232" s="173">
        <f>IF(AT$6="","",IF(AT$3="Maior",iferror(VLOOKUP($R232,Capa!$A:$AJ,AT$5,0),0),IF(ISERROR(1/VLOOKUP($R232,Capa!$A:$AJ,AT$5,0)),0,1/VLOOKUP($R232,Capa!$A:$AJ,AT$5,0))))</f>
        <v>-0.005706459712</v>
      </c>
      <c r="AU232" s="174">
        <f>IF(AU$6="","",IF(AU$3="Maior",iferror(VLOOKUP($R232,Capa!$A:$AJ,AU$5,0),0),IF(ISERROR(1/VLOOKUP($R232,Capa!$A:$AJ,AU$5,0)),0,1/VLOOKUP($R232,Capa!$A:$AJ,AU$5,0))))</f>
        <v>0</v>
      </c>
      <c r="AV232" s="174" t="str">
        <f>IF(AV$6="","",IF(AV$3="Maior",iferror(VLOOKUP($R232,Capa!$A:$AJ,AV$5,0),0),IF(ISERROR(1/VLOOKUP($R232,Capa!$A:$AJ,AV$5,0)),0,1/VLOOKUP($R232,Capa!$A:$AJ,AV$5,0))))</f>
        <v/>
      </c>
      <c r="AW232" s="174" t="str">
        <f>IF(AW$6="","",IF(AW$3="Maior",iferror(VLOOKUP($R232,Capa!$A:$AJ,AW$5,0),0),IF(ISERROR(1/VLOOKUP($R232,Capa!$A:$AJ,AW$5,0)),0,1/VLOOKUP($R232,Capa!$A:$AJ,AW$5,0))))</f>
        <v/>
      </c>
      <c r="AX232" s="174" t="str">
        <f>IF(AX$6="","",IF(AX$3="Maior",iferror(VLOOKUP($R232,Capa!$A:$AJ,AX$5,0),0),IF(ISERROR(1/VLOOKUP($R232,Capa!$A:$AJ,AX$5,0)),0,1/VLOOKUP($R232,Capa!$A:$AJ,AX$5,0))))</f>
        <v/>
      </c>
      <c r="AY232" s="174" t="str">
        <f>IF(AY$6="","",IF(AY$3="Maior",iferror(VLOOKUP($R232,Capa!$A:$AJ,AY$5,0),0),IF(ISERROR(1/VLOOKUP($R232,Capa!$A:$AJ,AY$5,0)),0,1/VLOOKUP($R232,Capa!$A:$AJ,AY$5,0))))</f>
        <v/>
      </c>
      <c r="AZ232" s="174" t="str">
        <f>IF(AZ$6="","",IF(AZ$3="Maior",iferror(VLOOKUP($R232,Capa!$A:$AJ,AZ$5,0),0),IF(ISERROR(1/VLOOKUP($R232,Capa!$A:$AJ,AZ$5,0)),0,1/VLOOKUP($R232,Capa!$A:$AJ,AZ$5,0))))</f>
        <v/>
      </c>
      <c r="BA232" s="174" t="str">
        <f>IF(BA$6="","",IF(BA$3="Maior",iferror(VLOOKUP($R232,Capa!$A:$AJ,BA$5,0),0),IF(ISERROR(1/VLOOKUP($R232,Capa!$A:$AJ,BA$5,0)),0,1/VLOOKUP($R232,Capa!$A:$AJ,BA$5,0))))</f>
        <v/>
      </c>
      <c r="BB232" s="174" t="str">
        <f>IF(BB$6="","",IF(BB$3="Maior",iferror(VLOOKUP($R232,Capa!$A:$AJ,BB$5,0),0),IF(ISERROR(1/VLOOKUP($R232,Capa!$A:$AJ,BB$5,0)),0,1/VLOOKUP($R232,Capa!$A:$AJ,BB$5,0))))</f>
        <v/>
      </c>
      <c r="BC232" s="174" t="str">
        <f>IF(BC$6="","",IF(BC$3="Maior",iferror(VLOOKUP($R232,Capa!$A:$AJ,BC$5,0),0),IF(ISERROR(1/VLOOKUP($R232,Capa!$A:$AJ,BC$5,0)),0,1/VLOOKUP($R232,Capa!$A:$AJ,BC$5,0))))</f>
        <v/>
      </c>
      <c r="BD232" s="174" t="str">
        <f>IF(BD$6="","",IF(BD$3="Maior",iferror(VLOOKUP($R232,Capa!$A:$AJ,BD$5,0),0),IF(ISERROR(1/VLOOKUP($R232,Capa!$A:$AJ,BD$5,0)),0,1/VLOOKUP($R232,Capa!$A:$AJ,BD$5,0))))</f>
        <v/>
      </c>
      <c r="BE232" s="174" t="str">
        <f>IF(BE$6="","",IF(BE$3="Maior",iferror(VLOOKUP($R232,Capa!$A:$AJ,BE$5,0),0),IF(ISERROR(1/VLOOKUP($R232,Capa!$A:$AJ,BE$5,0)),0,1/VLOOKUP($R232,Capa!$A:$AJ,BE$5,0))))</f>
        <v/>
      </c>
      <c r="BF232" s="174" t="str">
        <f>IF(BF$6="","",IF(BF$3="Maior",iferror(VLOOKUP($R232,Capa!$A:$AJ,BF$5,0),0),IF(ISERROR(1/VLOOKUP($R232,Capa!$A:$AJ,BF$5,0)),0,1/VLOOKUP($R232,Capa!$A:$AJ,BF$5,0))))</f>
        <v/>
      </c>
      <c r="BG232" s="174" t="str">
        <f>IF(BG$6="","",IF(BG$3="Maior",iferror(VLOOKUP($R232,Capa!$A:$AJ,BG$5,0),0),IF(ISERROR(1/VLOOKUP($R232,Capa!$A:$AJ,BG$5,0)),0,1/VLOOKUP($R232,Capa!$A:$AJ,BG$5,0))))</f>
        <v/>
      </c>
      <c r="BH232" s="174" t="str">
        <f>IF(BH$6="","",IF(BH$3="Maior",iferror(VLOOKUP($R232,Capa!$A:$AJ,BH$5,0),0),IF(ISERROR(1/VLOOKUP($R232,Capa!$A:$AJ,BH$5,0)),0,1/VLOOKUP($R232,Capa!$A:$AJ,BH$5,0))))</f>
        <v/>
      </c>
      <c r="BI232" s="174" t="str">
        <f>IF(BI$6="","",IF(BI$3="Maior",iferror(VLOOKUP($R232,Capa!$A:$AJ,BI$5,0),0),IF(ISERROR(1/VLOOKUP($R232,Capa!$A:$AJ,BI$5,0)),0,1/VLOOKUP($R232,Capa!$A:$AJ,BI$5,0))))</f>
        <v/>
      </c>
      <c r="BJ232" s="174" t="str">
        <f>IF(BJ$6="","",IF(BJ$3="Maior",iferror(VLOOKUP($R232,Capa!$A:$AJ,BJ$5,0),0),IF(ISERROR(1/VLOOKUP($R232,Capa!$A:$AJ,BJ$5,0)),0,1/VLOOKUP($R232,Capa!$A:$AJ,BJ$5,0))))</f>
        <v/>
      </c>
      <c r="BK232" s="174" t="str">
        <f>IF(BK$6="","",IF(BK$3="Maior",iferror(VLOOKUP($R232,Capa!$A:$AJ,BK$5,0),0),IF(ISERROR(1/VLOOKUP($R232,Capa!$A:$AJ,BK$5,0)),0,1/VLOOKUP($R232,Capa!$A:$AJ,BK$5,0))))</f>
        <v/>
      </c>
      <c r="BL232" s="174" t="str">
        <f>IF(BL$6="","",IF(BL$3="Maior",iferror(VLOOKUP($R232,Capa!$A:$AJ,BL$5,0),0),IF(ISERROR(1/VLOOKUP($R232,Capa!$A:$AJ,BL$5,0)),0,1/VLOOKUP($R232,Capa!$A:$AJ,BL$5,0))))</f>
        <v/>
      </c>
      <c r="BM232" s="174" t="str">
        <f>IF(BM$6="","",IF(BM$3="Maior",iferror(VLOOKUP($R232,Capa!$A:$AJ,BM$5,0),0),IF(ISERROR(1/VLOOKUP($R232,Capa!$A:$AJ,BM$5,0)),0,1/VLOOKUP($R232,Capa!$A:$AJ,BM$5,0))))</f>
        <v/>
      </c>
      <c r="BN232" s="174" t="str">
        <f>IF(BN$6="","",IF(BN$3="Maior",iferror(VLOOKUP($R232,Capa!$A:$AJ,BN$5,0),0),IF(ISERROR(1/VLOOKUP($R232,Capa!$A:$AJ,BN$5,0)),0,1/VLOOKUP($R232,Capa!$A:$AJ,BN$5,0))))</f>
        <v/>
      </c>
      <c r="BO232" s="174" t="str">
        <f>IF(BO$6="","",IF(BO$3="Maior",iferror(VLOOKUP($R232,Capa!$A:$AJ,BO$5,0),0),IF(ISERROR(1/VLOOKUP($R232,Capa!$A:$AJ,BO$5,0)),0,1/VLOOKUP($R232,Capa!$A:$AJ,BO$5,0))))</f>
        <v/>
      </c>
      <c r="BP232" s="174" t="str">
        <f>IF(BP$6="","",IF(BP$3="Maior",iferror(VLOOKUP($R232,Capa!$A:$AJ,BP$5,0),0),IF(ISERROR(1/VLOOKUP($R232,Capa!$A:$AJ,BP$5,0)),0,1/VLOOKUP($R232,Capa!$A:$AJ,BP$5,0))))</f>
        <v/>
      </c>
      <c r="BQ232" s="174" t="str">
        <f>IF(BQ$6="","",IF(BQ$3="Maior",iferror(VLOOKUP($R232,Capa!$A:$AJ,BQ$5,0),0),IF(ISERROR(1/VLOOKUP($R232,Capa!$A:$AJ,BQ$5,0)),0,1/VLOOKUP($R232,Capa!$A:$AJ,BQ$5,0))))</f>
        <v/>
      </c>
      <c r="BR232" s="175"/>
      <c r="BS232" s="147"/>
    </row>
    <row r="233">
      <c r="G233" s="11"/>
      <c r="H233" s="8">
        <v>227.0</v>
      </c>
      <c r="I233" s="165" t="str">
        <f t="shared" si="6"/>
        <v>HYPE3</v>
      </c>
      <c r="J233" s="166" t="str">
        <f>(VLOOKUP($I233,Capa!$A:$B,2,0))</f>
        <v>Hypera SA</v>
      </c>
      <c r="K233" s="167" t="str">
        <f>VLOOKUP(left(I233,4),Setor!A:D,3,0)&amp;" | "&amp;VLOOKUP(left(I233,4),Setor!A:D,4,0)</f>
        <v>Saúde | Comércio e Distribuição</v>
      </c>
      <c r="L233" s="168">
        <f>(VLOOKUP($I233,Capa!$A:$F,6,0))</f>
        <v>23.56</v>
      </c>
      <c r="M233" s="168">
        <f t="shared" si="7"/>
        <v>69618341</v>
      </c>
      <c r="N233" s="11" t="str">
        <f>IFERROR(__xludf.DUMMYFUNCTION("(VLOOKUP($I233,Capa!$A:$H,7,0))"),"")</f>
        <v/>
      </c>
      <c r="O233" s="169">
        <f>(VLOOKUP($I233,Capa!$A:$H,8,0))</f>
        <v>-0.03482179435</v>
      </c>
      <c r="P233" s="11" t="str">
        <f>IFERROR(__xludf.DUMMYFUNCTION("(VLOOKUP($I233,Capa!$A:$J,10,0))"),"")</f>
        <v/>
      </c>
      <c r="Q233" s="169">
        <f>(VLOOKUP($I233,Capa!$A:$K,11,0))</f>
        <v>0.1892983342</v>
      </c>
      <c r="R233" s="45" t="str">
        <f>'Dados StatusInvest'!A228</f>
        <v>ECPR4</v>
      </c>
      <c r="S233" s="170">
        <f t="shared" si="234"/>
        <v>1382.0382</v>
      </c>
      <c r="T233" s="171">
        <f>VLOOKUP(R233,'Dados StatusInvest'!A:Z,26,0)</f>
        <v>0</v>
      </c>
      <c r="U233" s="172">
        <f t="shared" ref="U233:AS233" si="236">IF(AT233="","", RANK(AT233,AT$7:AT$626,0)+RANK(AT233,AT$7:AT$626,0)/10000)</f>
        <v>115.0115</v>
      </c>
      <c r="V233" s="172">
        <f t="shared" si="236"/>
        <v>267.0267</v>
      </c>
      <c r="W233" s="172" t="str">
        <f t="shared" si="236"/>
        <v/>
      </c>
      <c r="X233" s="172" t="str">
        <f t="shared" si="236"/>
        <v/>
      </c>
      <c r="Y233" s="172" t="str">
        <f t="shared" si="236"/>
        <v/>
      </c>
      <c r="Z233" s="172" t="str">
        <f t="shared" si="236"/>
        <v/>
      </c>
      <c r="AA233" s="172" t="str">
        <f t="shared" si="236"/>
        <v/>
      </c>
      <c r="AB233" s="172" t="str">
        <f t="shared" si="236"/>
        <v/>
      </c>
      <c r="AC233" s="172" t="str">
        <f t="shared" si="236"/>
        <v/>
      </c>
      <c r="AD233" s="172" t="str">
        <f t="shared" si="236"/>
        <v/>
      </c>
      <c r="AE233" s="172" t="str">
        <f t="shared" si="236"/>
        <v/>
      </c>
      <c r="AF233" s="172" t="str">
        <f t="shared" si="236"/>
        <v/>
      </c>
      <c r="AG233" s="172" t="str">
        <f t="shared" si="236"/>
        <v/>
      </c>
      <c r="AH233" s="172" t="str">
        <f t="shared" si="236"/>
        <v/>
      </c>
      <c r="AI233" s="172" t="str">
        <f t="shared" si="236"/>
        <v/>
      </c>
      <c r="AJ233" s="172" t="str">
        <f t="shared" si="236"/>
        <v/>
      </c>
      <c r="AK233" s="172" t="str">
        <f t="shared" si="236"/>
        <v/>
      </c>
      <c r="AL233" s="172" t="str">
        <f t="shared" si="236"/>
        <v/>
      </c>
      <c r="AM233" s="172" t="str">
        <f t="shared" si="236"/>
        <v/>
      </c>
      <c r="AN233" s="172" t="str">
        <f t="shared" si="236"/>
        <v/>
      </c>
      <c r="AO233" s="172" t="str">
        <f t="shared" si="236"/>
        <v/>
      </c>
      <c r="AP233" s="172" t="str">
        <f t="shared" si="236"/>
        <v/>
      </c>
      <c r="AQ233" s="172" t="str">
        <f t="shared" si="236"/>
        <v/>
      </c>
      <c r="AR233" s="172" t="str">
        <f t="shared" si="236"/>
        <v/>
      </c>
      <c r="AS233" s="172" t="str">
        <f t="shared" si="236"/>
        <v/>
      </c>
      <c r="AT233" s="173">
        <f>IF(AT$6="","",IF(AT$3="Maior",iferror(VLOOKUP($R233,Capa!$A:$AJ,AT$5,0),0),IF(ISERROR(1/VLOOKUP($R233,Capa!$A:$AJ,AT$5,0)),0,1/VLOOKUP($R233,Capa!$A:$AJ,AT$5,0))))</f>
        <v>-0.005675368899</v>
      </c>
      <c r="AU233" s="174">
        <f>IF(AU$6="","",IF(AU$3="Maior",iferror(VLOOKUP($R233,Capa!$A:$AJ,AU$5,0),0),IF(ISERROR(1/VLOOKUP($R233,Capa!$A:$AJ,AU$5,0)),0,1/VLOOKUP($R233,Capa!$A:$AJ,AU$5,0))))</f>
        <v>0</v>
      </c>
      <c r="AV233" s="174" t="str">
        <f>IF(AV$6="","",IF(AV$3="Maior",iferror(VLOOKUP($R233,Capa!$A:$AJ,AV$5,0),0),IF(ISERROR(1/VLOOKUP($R233,Capa!$A:$AJ,AV$5,0)),0,1/VLOOKUP($R233,Capa!$A:$AJ,AV$5,0))))</f>
        <v/>
      </c>
      <c r="AW233" s="174" t="str">
        <f>IF(AW$6="","",IF(AW$3="Maior",iferror(VLOOKUP($R233,Capa!$A:$AJ,AW$5,0),0),IF(ISERROR(1/VLOOKUP($R233,Capa!$A:$AJ,AW$5,0)),0,1/VLOOKUP($R233,Capa!$A:$AJ,AW$5,0))))</f>
        <v/>
      </c>
      <c r="AX233" s="174" t="str">
        <f>IF(AX$6="","",IF(AX$3="Maior",iferror(VLOOKUP($R233,Capa!$A:$AJ,AX$5,0),0),IF(ISERROR(1/VLOOKUP($R233,Capa!$A:$AJ,AX$5,0)),0,1/VLOOKUP($R233,Capa!$A:$AJ,AX$5,0))))</f>
        <v/>
      </c>
      <c r="AY233" s="174" t="str">
        <f>IF(AY$6="","",IF(AY$3="Maior",iferror(VLOOKUP($R233,Capa!$A:$AJ,AY$5,0),0),IF(ISERROR(1/VLOOKUP($R233,Capa!$A:$AJ,AY$5,0)),0,1/VLOOKUP($R233,Capa!$A:$AJ,AY$5,0))))</f>
        <v/>
      </c>
      <c r="AZ233" s="174" t="str">
        <f>IF(AZ$6="","",IF(AZ$3="Maior",iferror(VLOOKUP($R233,Capa!$A:$AJ,AZ$5,0),0),IF(ISERROR(1/VLOOKUP($R233,Capa!$A:$AJ,AZ$5,0)),0,1/VLOOKUP($R233,Capa!$A:$AJ,AZ$5,0))))</f>
        <v/>
      </c>
      <c r="BA233" s="174" t="str">
        <f>IF(BA$6="","",IF(BA$3="Maior",iferror(VLOOKUP($R233,Capa!$A:$AJ,BA$5,0),0),IF(ISERROR(1/VLOOKUP($R233,Capa!$A:$AJ,BA$5,0)),0,1/VLOOKUP($R233,Capa!$A:$AJ,BA$5,0))))</f>
        <v/>
      </c>
      <c r="BB233" s="174" t="str">
        <f>IF(BB$6="","",IF(BB$3="Maior",iferror(VLOOKUP($R233,Capa!$A:$AJ,BB$5,0),0),IF(ISERROR(1/VLOOKUP($R233,Capa!$A:$AJ,BB$5,0)),0,1/VLOOKUP($R233,Capa!$A:$AJ,BB$5,0))))</f>
        <v/>
      </c>
      <c r="BC233" s="174" t="str">
        <f>IF(BC$6="","",IF(BC$3="Maior",iferror(VLOOKUP($R233,Capa!$A:$AJ,BC$5,0),0),IF(ISERROR(1/VLOOKUP($R233,Capa!$A:$AJ,BC$5,0)),0,1/VLOOKUP($R233,Capa!$A:$AJ,BC$5,0))))</f>
        <v/>
      </c>
      <c r="BD233" s="174" t="str">
        <f>IF(BD$6="","",IF(BD$3="Maior",iferror(VLOOKUP($R233,Capa!$A:$AJ,BD$5,0),0),IF(ISERROR(1/VLOOKUP($R233,Capa!$A:$AJ,BD$5,0)),0,1/VLOOKUP($R233,Capa!$A:$AJ,BD$5,0))))</f>
        <v/>
      </c>
      <c r="BE233" s="174" t="str">
        <f>IF(BE$6="","",IF(BE$3="Maior",iferror(VLOOKUP($R233,Capa!$A:$AJ,BE$5,0),0),IF(ISERROR(1/VLOOKUP($R233,Capa!$A:$AJ,BE$5,0)),0,1/VLOOKUP($R233,Capa!$A:$AJ,BE$5,0))))</f>
        <v/>
      </c>
      <c r="BF233" s="174" t="str">
        <f>IF(BF$6="","",IF(BF$3="Maior",iferror(VLOOKUP($R233,Capa!$A:$AJ,BF$5,0),0),IF(ISERROR(1/VLOOKUP($R233,Capa!$A:$AJ,BF$5,0)),0,1/VLOOKUP($R233,Capa!$A:$AJ,BF$5,0))))</f>
        <v/>
      </c>
      <c r="BG233" s="174" t="str">
        <f>IF(BG$6="","",IF(BG$3="Maior",iferror(VLOOKUP($R233,Capa!$A:$AJ,BG$5,0),0),IF(ISERROR(1/VLOOKUP($R233,Capa!$A:$AJ,BG$5,0)),0,1/VLOOKUP($R233,Capa!$A:$AJ,BG$5,0))))</f>
        <v/>
      </c>
      <c r="BH233" s="174" t="str">
        <f>IF(BH$6="","",IF(BH$3="Maior",iferror(VLOOKUP($R233,Capa!$A:$AJ,BH$5,0),0),IF(ISERROR(1/VLOOKUP($R233,Capa!$A:$AJ,BH$5,0)),0,1/VLOOKUP($R233,Capa!$A:$AJ,BH$5,0))))</f>
        <v/>
      </c>
      <c r="BI233" s="174" t="str">
        <f>IF(BI$6="","",IF(BI$3="Maior",iferror(VLOOKUP($R233,Capa!$A:$AJ,BI$5,0),0),IF(ISERROR(1/VLOOKUP($R233,Capa!$A:$AJ,BI$5,0)),0,1/VLOOKUP($R233,Capa!$A:$AJ,BI$5,0))))</f>
        <v/>
      </c>
      <c r="BJ233" s="174" t="str">
        <f>IF(BJ$6="","",IF(BJ$3="Maior",iferror(VLOOKUP($R233,Capa!$A:$AJ,BJ$5,0),0),IF(ISERROR(1/VLOOKUP($R233,Capa!$A:$AJ,BJ$5,0)),0,1/VLOOKUP($R233,Capa!$A:$AJ,BJ$5,0))))</f>
        <v/>
      </c>
      <c r="BK233" s="174" t="str">
        <f>IF(BK$6="","",IF(BK$3="Maior",iferror(VLOOKUP($R233,Capa!$A:$AJ,BK$5,0),0),IF(ISERROR(1/VLOOKUP($R233,Capa!$A:$AJ,BK$5,0)),0,1/VLOOKUP($R233,Capa!$A:$AJ,BK$5,0))))</f>
        <v/>
      </c>
      <c r="BL233" s="174" t="str">
        <f>IF(BL$6="","",IF(BL$3="Maior",iferror(VLOOKUP($R233,Capa!$A:$AJ,BL$5,0),0),IF(ISERROR(1/VLOOKUP($R233,Capa!$A:$AJ,BL$5,0)),0,1/VLOOKUP($R233,Capa!$A:$AJ,BL$5,0))))</f>
        <v/>
      </c>
      <c r="BM233" s="174" t="str">
        <f>IF(BM$6="","",IF(BM$3="Maior",iferror(VLOOKUP($R233,Capa!$A:$AJ,BM$5,0),0),IF(ISERROR(1/VLOOKUP($R233,Capa!$A:$AJ,BM$5,0)),0,1/VLOOKUP($R233,Capa!$A:$AJ,BM$5,0))))</f>
        <v/>
      </c>
      <c r="BN233" s="174" t="str">
        <f>IF(BN$6="","",IF(BN$3="Maior",iferror(VLOOKUP($R233,Capa!$A:$AJ,BN$5,0),0),IF(ISERROR(1/VLOOKUP($R233,Capa!$A:$AJ,BN$5,0)),0,1/VLOOKUP($R233,Capa!$A:$AJ,BN$5,0))))</f>
        <v/>
      </c>
      <c r="BO233" s="174" t="str">
        <f>IF(BO$6="","",IF(BO$3="Maior",iferror(VLOOKUP($R233,Capa!$A:$AJ,BO$5,0),0),IF(ISERROR(1/VLOOKUP($R233,Capa!$A:$AJ,BO$5,0)),0,1/VLOOKUP($R233,Capa!$A:$AJ,BO$5,0))))</f>
        <v/>
      </c>
      <c r="BP233" s="174" t="str">
        <f>IF(BP$6="","",IF(BP$3="Maior",iferror(VLOOKUP($R233,Capa!$A:$AJ,BP$5,0),0),IF(ISERROR(1/VLOOKUP($R233,Capa!$A:$AJ,BP$5,0)),0,1/VLOOKUP($R233,Capa!$A:$AJ,BP$5,0))))</f>
        <v/>
      </c>
      <c r="BQ233" s="174" t="str">
        <f>IF(BQ$6="","",IF(BQ$3="Maior",iferror(VLOOKUP($R233,Capa!$A:$AJ,BQ$5,0),0),IF(ISERROR(1/VLOOKUP($R233,Capa!$A:$AJ,BQ$5,0)),0,1/VLOOKUP($R233,Capa!$A:$AJ,BQ$5,0))))</f>
        <v/>
      </c>
      <c r="BR233" s="175"/>
      <c r="BS233" s="147"/>
    </row>
    <row r="234">
      <c r="G234" s="11"/>
      <c r="H234" s="8">
        <v>228.0</v>
      </c>
      <c r="I234" s="165" t="str">
        <f t="shared" si="6"/>
        <v>ENEV3</v>
      </c>
      <c r="J234" s="166" t="str">
        <f>(VLOOKUP($I234,Capa!$A:$B,2,0))</f>
        <v>Eneva SA</v>
      </c>
      <c r="K234" s="167" t="str">
        <f>VLOOKUP(left(I234,4),Setor!A:D,3,0)&amp;" | "&amp;VLOOKUP(left(I234,4),Setor!A:D,4,0)</f>
        <v>Utilidade Pública | Energia Elétrica</v>
      </c>
      <c r="L234" s="168">
        <f>(VLOOKUP($I234,Capa!$A:$F,6,0))</f>
        <v>21.87</v>
      </c>
      <c r="M234" s="168">
        <f t="shared" si="7"/>
        <v>490000000</v>
      </c>
      <c r="N234" s="11" t="str">
        <f>IFERROR(__xludf.DUMMYFUNCTION("(VLOOKUP($I234,Capa!$A:$H,7,0))"),"")</f>
        <v/>
      </c>
      <c r="O234" s="169">
        <f>(VLOOKUP($I234,Capa!$A:$H,8,0))</f>
        <v>0.01484918794</v>
      </c>
      <c r="P234" s="11" t="str">
        <f>IFERROR(__xludf.DUMMYFUNCTION("(VLOOKUP($I234,Capa!$A:$J,10,0))"),"")</f>
        <v/>
      </c>
      <c r="Q234" s="169">
        <f>(VLOOKUP($I234,Capa!$A:$K,11,0))</f>
        <v>0.7838499184</v>
      </c>
      <c r="R234" s="45" t="str">
        <f>'Dados StatusInvest'!A229</f>
        <v>EEEL3</v>
      </c>
      <c r="S234" s="170">
        <f t="shared" si="234"/>
        <v>1367.0367</v>
      </c>
      <c r="T234" s="171">
        <f>VLOOKUP(R234,'Dados StatusInvest'!A:Z,26,0)</f>
        <v>0</v>
      </c>
      <c r="U234" s="172">
        <f t="shared" ref="U234:AS234" si="237">IF(AT234="","", RANK(AT234,AT$7:AT$626,0)+RANK(AT234,AT$7:AT$626,0)/10000)</f>
        <v>134.0134</v>
      </c>
      <c r="V234" s="172">
        <f t="shared" si="237"/>
        <v>233.0233</v>
      </c>
      <c r="W234" s="172" t="str">
        <f t="shared" si="237"/>
        <v/>
      </c>
      <c r="X234" s="172" t="str">
        <f t="shared" si="237"/>
        <v/>
      </c>
      <c r="Y234" s="172" t="str">
        <f t="shared" si="237"/>
        <v/>
      </c>
      <c r="Z234" s="172" t="str">
        <f t="shared" si="237"/>
        <v/>
      </c>
      <c r="AA234" s="172" t="str">
        <f t="shared" si="237"/>
        <v/>
      </c>
      <c r="AB234" s="172" t="str">
        <f t="shared" si="237"/>
        <v/>
      </c>
      <c r="AC234" s="172" t="str">
        <f t="shared" si="237"/>
        <v/>
      </c>
      <c r="AD234" s="172" t="str">
        <f t="shared" si="237"/>
        <v/>
      </c>
      <c r="AE234" s="172" t="str">
        <f t="shared" si="237"/>
        <v/>
      </c>
      <c r="AF234" s="172" t="str">
        <f t="shared" si="237"/>
        <v/>
      </c>
      <c r="AG234" s="172" t="str">
        <f t="shared" si="237"/>
        <v/>
      </c>
      <c r="AH234" s="172" t="str">
        <f t="shared" si="237"/>
        <v/>
      </c>
      <c r="AI234" s="172" t="str">
        <f t="shared" si="237"/>
        <v/>
      </c>
      <c r="AJ234" s="172" t="str">
        <f t="shared" si="237"/>
        <v/>
      </c>
      <c r="AK234" s="172" t="str">
        <f t="shared" si="237"/>
        <v/>
      </c>
      <c r="AL234" s="172" t="str">
        <f t="shared" si="237"/>
        <v/>
      </c>
      <c r="AM234" s="172" t="str">
        <f t="shared" si="237"/>
        <v/>
      </c>
      <c r="AN234" s="172" t="str">
        <f t="shared" si="237"/>
        <v/>
      </c>
      <c r="AO234" s="172" t="str">
        <f t="shared" si="237"/>
        <v/>
      </c>
      <c r="AP234" s="172" t="str">
        <f t="shared" si="237"/>
        <v/>
      </c>
      <c r="AQ234" s="172" t="str">
        <f t="shared" si="237"/>
        <v/>
      </c>
      <c r="AR234" s="172" t="str">
        <f t="shared" si="237"/>
        <v/>
      </c>
      <c r="AS234" s="172" t="str">
        <f t="shared" si="237"/>
        <v/>
      </c>
      <c r="AT234" s="173">
        <f>IF(AT$6="","",IF(AT$3="Maior",iferror(VLOOKUP($R234,Capa!$A:$AJ,AT$5,0),0),IF(ISERROR(1/VLOOKUP($R234,Capa!$A:$AJ,AT$5,0)),0,1/VLOOKUP($R234,Capa!$A:$AJ,AT$5,0))))</f>
        <v>-0.05249343832</v>
      </c>
      <c r="AU234" s="174">
        <f>IF(AU$6="","",IF(AU$3="Maior",iferror(VLOOKUP($R234,Capa!$A:$AJ,AU$5,0),0),IF(ISERROR(1/VLOOKUP($R234,Capa!$A:$AJ,AU$5,0)),0,1/VLOOKUP($R234,Capa!$A:$AJ,AU$5,0))))</f>
        <v>5.88</v>
      </c>
      <c r="AV234" s="174" t="str">
        <f>IF(AV$6="","",IF(AV$3="Maior",iferror(VLOOKUP($R234,Capa!$A:$AJ,AV$5,0),0),IF(ISERROR(1/VLOOKUP($R234,Capa!$A:$AJ,AV$5,0)),0,1/VLOOKUP($R234,Capa!$A:$AJ,AV$5,0))))</f>
        <v/>
      </c>
      <c r="AW234" s="174" t="str">
        <f>IF(AW$6="","",IF(AW$3="Maior",iferror(VLOOKUP($R234,Capa!$A:$AJ,AW$5,0),0),IF(ISERROR(1/VLOOKUP($R234,Capa!$A:$AJ,AW$5,0)),0,1/VLOOKUP($R234,Capa!$A:$AJ,AW$5,0))))</f>
        <v/>
      </c>
      <c r="AX234" s="174" t="str">
        <f>IF(AX$6="","",IF(AX$3="Maior",iferror(VLOOKUP($R234,Capa!$A:$AJ,AX$5,0),0),IF(ISERROR(1/VLOOKUP($R234,Capa!$A:$AJ,AX$5,0)),0,1/VLOOKUP($R234,Capa!$A:$AJ,AX$5,0))))</f>
        <v/>
      </c>
      <c r="AY234" s="174" t="str">
        <f>IF(AY$6="","",IF(AY$3="Maior",iferror(VLOOKUP($R234,Capa!$A:$AJ,AY$5,0),0),IF(ISERROR(1/VLOOKUP($R234,Capa!$A:$AJ,AY$5,0)),0,1/VLOOKUP($R234,Capa!$A:$AJ,AY$5,0))))</f>
        <v/>
      </c>
      <c r="AZ234" s="174" t="str">
        <f>IF(AZ$6="","",IF(AZ$3="Maior",iferror(VLOOKUP($R234,Capa!$A:$AJ,AZ$5,0),0),IF(ISERROR(1/VLOOKUP($R234,Capa!$A:$AJ,AZ$5,0)),0,1/VLOOKUP($R234,Capa!$A:$AJ,AZ$5,0))))</f>
        <v/>
      </c>
      <c r="BA234" s="174" t="str">
        <f>IF(BA$6="","",IF(BA$3="Maior",iferror(VLOOKUP($R234,Capa!$A:$AJ,BA$5,0),0),IF(ISERROR(1/VLOOKUP($R234,Capa!$A:$AJ,BA$5,0)),0,1/VLOOKUP($R234,Capa!$A:$AJ,BA$5,0))))</f>
        <v/>
      </c>
      <c r="BB234" s="174" t="str">
        <f>IF(BB$6="","",IF(BB$3="Maior",iferror(VLOOKUP($R234,Capa!$A:$AJ,BB$5,0),0),IF(ISERROR(1/VLOOKUP($R234,Capa!$A:$AJ,BB$5,0)),0,1/VLOOKUP($R234,Capa!$A:$AJ,BB$5,0))))</f>
        <v/>
      </c>
      <c r="BC234" s="174" t="str">
        <f>IF(BC$6="","",IF(BC$3="Maior",iferror(VLOOKUP($R234,Capa!$A:$AJ,BC$5,0),0),IF(ISERROR(1/VLOOKUP($R234,Capa!$A:$AJ,BC$5,0)),0,1/VLOOKUP($R234,Capa!$A:$AJ,BC$5,0))))</f>
        <v/>
      </c>
      <c r="BD234" s="174" t="str">
        <f>IF(BD$6="","",IF(BD$3="Maior",iferror(VLOOKUP($R234,Capa!$A:$AJ,BD$5,0),0),IF(ISERROR(1/VLOOKUP($R234,Capa!$A:$AJ,BD$5,0)),0,1/VLOOKUP($R234,Capa!$A:$AJ,BD$5,0))))</f>
        <v/>
      </c>
      <c r="BE234" s="174" t="str">
        <f>IF(BE$6="","",IF(BE$3="Maior",iferror(VLOOKUP($R234,Capa!$A:$AJ,BE$5,0),0),IF(ISERROR(1/VLOOKUP($R234,Capa!$A:$AJ,BE$5,0)),0,1/VLOOKUP($R234,Capa!$A:$AJ,BE$5,0))))</f>
        <v/>
      </c>
      <c r="BF234" s="174" t="str">
        <f>IF(BF$6="","",IF(BF$3="Maior",iferror(VLOOKUP($R234,Capa!$A:$AJ,BF$5,0),0),IF(ISERROR(1/VLOOKUP($R234,Capa!$A:$AJ,BF$5,0)),0,1/VLOOKUP($R234,Capa!$A:$AJ,BF$5,0))))</f>
        <v/>
      </c>
      <c r="BG234" s="174" t="str">
        <f>IF(BG$6="","",IF(BG$3="Maior",iferror(VLOOKUP($R234,Capa!$A:$AJ,BG$5,0),0),IF(ISERROR(1/VLOOKUP($R234,Capa!$A:$AJ,BG$5,0)),0,1/VLOOKUP($R234,Capa!$A:$AJ,BG$5,0))))</f>
        <v/>
      </c>
      <c r="BH234" s="174" t="str">
        <f>IF(BH$6="","",IF(BH$3="Maior",iferror(VLOOKUP($R234,Capa!$A:$AJ,BH$5,0),0),IF(ISERROR(1/VLOOKUP($R234,Capa!$A:$AJ,BH$5,0)),0,1/VLOOKUP($R234,Capa!$A:$AJ,BH$5,0))))</f>
        <v/>
      </c>
      <c r="BI234" s="174" t="str">
        <f>IF(BI$6="","",IF(BI$3="Maior",iferror(VLOOKUP($R234,Capa!$A:$AJ,BI$5,0),0),IF(ISERROR(1/VLOOKUP($R234,Capa!$A:$AJ,BI$5,0)),0,1/VLOOKUP($R234,Capa!$A:$AJ,BI$5,0))))</f>
        <v/>
      </c>
      <c r="BJ234" s="174" t="str">
        <f>IF(BJ$6="","",IF(BJ$3="Maior",iferror(VLOOKUP($R234,Capa!$A:$AJ,BJ$5,0),0),IF(ISERROR(1/VLOOKUP($R234,Capa!$A:$AJ,BJ$5,0)),0,1/VLOOKUP($R234,Capa!$A:$AJ,BJ$5,0))))</f>
        <v/>
      </c>
      <c r="BK234" s="174" t="str">
        <f>IF(BK$6="","",IF(BK$3="Maior",iferror(VLOOKUP($R234,Capa!$A:$AJ,BK$5,0),0),IF(ISERROR(1/VLOOKUP($R234,Capa!$A:$AJ,BK$5,0)),0,1/VLOOKUP($R234,Capa!$A:$AJ,BK$5,0))))</f>
        <v/>
      </c>
      <c r="BL234" s="174" t="str">
        <f>IF(BL$6="","",IF(BL$3="Maior",iferror(VLOOKUP($R234,Capa!$A:$AJ,BL$5,0),0),IF(ISERROR(1/VLOOKUP($R234,Capa!$A:$AJ,BL$5,0)),0,1/VLOOKUP($R234,Capa!$A:$AJ,BL$5,0))))</f>
        <v/>
      </c>
      <c r="BM234" s="174" t="str">
        <f>IF(BM$6="","",IF(BM$3="Maior",iferror(VLOOKUP($R234,Capa!$A:$AJ,BM$5,0),0),IF(ISERROR(1/VLOOKUP($R234,Capa!$A:$AJ,BM$5,0)),0,1/VLOOKUP($R234,Capa!$A:$AJ,BM$5,0))))</f>
        <v/>
      </c>
      <c r="BN234" s="174" t="str">
        <f>IF(BN$6="","",IF(BN$3="Maior",iferror(VLOOKUP($R234,Capa!$A:$AJ,BN$5,0),0),IF(ISERROR(1/VLOOKUP($R234,Capa!$A:$AJ,BN$5,0)),0,1/VLOOKUP($R234,Capa!$A:$AJ,BN$5,0))))</f>
        <v/>
      </c>
      <c r="BO234" s="174" t="str">
        <f>IF(BO$6="","",IF(BO$3="Maior",iferror(VLOOKUP($R234,Capa!$A:$AJ,BO$5,0),0),IF(ISERROR(1/VLOOKUP($R234,Capa!$A:$AJ,BO$5,0)),0,1/VLOOKUP($R234,Capa!$A:$AJ,BO$5,0))))</f>
        <v/>
      </c>
      <c r="BP234" s="174" t="str">
        <f>IF(BP$6="","",IF(BP$3="Maior",iferror(VLOOKUP($R234,Capa!$A:$AJ,BP$5,0),0),IF(ISERROR(1/VLOOKUP($R234,Capa!$A:$AJ,BP$5,0)),0,1/VLOOKUP($R234,Capa!$A:$AJ,BP$5,0))))</f>
        <v/>
      </c>
      <c r="BQ234" s="174" t="str">
        <f>IF(BQ$6="","",IF(BQ$3="Maior",iferror(VLOOKUP($R234,Capa!$A:$AJ,BQ$5,0),0),IF(ISERROR(1/VLOOKUP($R234,Capa!$A:$AJ,BQ$5,0)),0,1/VLOOKUP($R234,Capa!$A:$AJ,BQ$5,0))))</f>
        <v/>
      </c>
      <c r="BR234" s="175"/>
      <c r="BS234" s="147"/>
    </row>
    <row r="235">
      <c r="G235" s="11"/>
      <c r="H235" s="8">
        <v>229.0</v>
      </c>
      <c r="I235" s="165" t="str">
        <f t="shared" si="6"/>
        <v>RAIL3</v>
      </c>
      <c r="J235" s="166" t="str">
        <f>(VLOOKUP($I235,Capa!$A:$B,2,0))</f>
        <v>Rumo SA</v>
      </c>
      <c r="K235" s="167" t="str">
        <f>VLOOKUP(left(I235,4),Setor!A:D,3,0)&amp;" | "&amp;VLOOKUP(left(I235,4),Setor!A:D,4,0)</f>
        <v>Bens Industriais | Transporte</v>
      </c>
      <c r="L235" s="168">
        <f>(VLOOKUP($I235,Capa!$A:$F,6,0))</f>
        <v>16.36</v>
      </c>
      <c r="M235" s="168">
        <f t="shared" si="7"/>
        <v>202000000</v>
      </c>
      <c r="N235" s="11" t="str">
        <f>IFERROR(__xludf.DUMMYFUNCTION("(VLOOKUP($I235,Capa!$A:$H,7,0))"),"")</f>
        <v/>
      </c>
      <c r="O235" s="169">
        <f>(VLOOKUP($I235,Capa!$A:$H,8,0))</f>
        <v>0.1644128114</v>
      </c>
      <c r="P235" s="11" t="str">
        <f>IFERROR(__xludf.DUMMYFUNCTION("(VLOOKUP($I235,Capa!$A:$J,10,0))"),"")</f>
        <v/>
      </c>
      <c r="Q235" s="169">
        <f>(VLOOKUP($I235,Capa!$A:$K,11,0))</f>
        <v>-0.115197404</v>
      </c>
      <c r="R235" s="45" t="str">
        <f>'Dados StatusInvest'!A230</f>
        <v>EEEL4</v>
      </c>
      <c r="S235" s="170">
        <f t="shared" si="234"/>
        <v>1363.0363</v>
      </c>
      <c r="T235" s="171">
        <f>VLOOKUP(R235,'Dados StatusInvest'!A:Z,26,0)</f>
        <v>0</v>
      </c>
      <c r="U235" s="172">
        <f t="shared" ref="U235:AS235" si="238">IF(AT235="","", RANK(AT235,AT$7:AT$626,0)+RANK(AT235,AT$7:AT$626,0)/10000)</f>
        <v>130.013</v>
      </c>
      <c r="V235" s="172">
        <f t="shared" si="238"/>
        <v>233.0233</v>
      </c>
      <c r="W235" s="172" t="str">
        <f t="shared" si="238"/>
        <v/>
      </c>
      <c r="X235" s="172" t="str">
        <f t="shared" si="238"/>
        <v/>
      </c>
      <c r="Y235" s="172" t="str">
        <f t="shared" si="238"/>
        <v/>
      </c>
      <c r="Z235" s="172" t="str">
        <f t="shared" si="238"/>
        <v/>
      </c>
      <c r="AA235" s="172" t="str">
        <f t="shared" si="238"/>
        <v/>
      </c>
      <c r="AB235" s="172" t="str">
        <f t="shared" si="238"/>
        <v/>
      </c>
      <c r="AC235" s="172" t="str">
        <f t="shared" si="238"/>
        <v/>
      </c>
      <c r="AD235" s="172" t="str">
        <f t="shared" si="238"/>
        <v/>
      </c>
      <c r="AE235" s="172" t="str">
        <f t="shared" si="238"/>
        <v/>
      </c>
      <c r="AF235" s="172" t="str">
        <f t="shared" si="238"/>
        <v/>
      </c>
      <c r="AG235" s="172" t="str">
        <f t="shared" si="238"/>
        <v/>
      </c>
      <c r="AH235" s="172" t="str">
        <f t="shared" si="238"/>
        <v/>
      </c>
      <c r="AI235" s="172" t="str">
        <f t="shared" si="238"/>
        <v/>
      </c>
      <c r="AJ235" s="172" t="str">
        <f t="shared" si="238"/>
        <v/>
      </c>
      <c r="AK235" s="172" t="str">
        <f t="shared" si="238"/>
        <v/>
      </c>
      <c r="AL235" s="172" t="str">
        <f t="shared" si="238"/>
        <v/>
      </c>
      <c r="AM235" s="172" t="str">
        <f t="shared" si="238"/>
        <v/>
      </c>
      <c r="AN235" s="172" t="str">
        <f t="shared" si="238"/>
        <v/>
      </c>
      <c r="AO235" s="172" t="str">
        <f t="shared" si="238"/>
        <v/>
      </c>
      <c r="AP235" s="172" t="str">
        <f t="shared" si="238"/>
        <v/>
      </c>
      <c r="AQ235" s="172" t="str">
        <f t="shared" si="238"/>
        <v/>
      </c>
      <c r="AR235" s="172" t="str">
        <f t="shared" si="238"/>
        <v/>
      </c>
      <c r="AS235" s="172" t="str">
        <f t="shared" si="238"/>
        <v/>
      </c>
      <c r="AT235" s="173">
        <f>IF(AT$6="","",IF(AT$3="Maior",iferror(VLOOKUP($R235,Capa!$A:$AJ,AT$5,0),0),IF(ISERROR(1/VLOOKUP($R235,Capa!$A:$AJ,AT$5,0)),0,1/VLOOKUP($R235,Capa!$A:$AJ,AT$5,0))))</f>
        <v>-0.03773584906</v>
      </c>
      <c r="AU235" s="174">
        <f>IF(AU$6="","",IF(AU$3="Maior",iferror(VLOOKUP($R235,Capa!$A:$AJ,AU$5,0),0),IF(ISERROR(1/VLOOKUP($R235,Capa!$A:$AJ,AU$5,0)),0,1/VLOOKUP($R235,Capa!$A:$AJ,AU$5,0))))</f>
        <v>5.88</v>
      </c>
      <c r="AV235" s="174" t="str">
        <f>IF(AV$6="","",IF(AV$3="Maior",iferror(VLOOKUP($R235,Capa!$A:$AJ,AV$5,0),0),IF(ISERROR(1/VLOOKUP($R235,Capa!$A:$AJ,AV$5,0)),0,1/VLOOKUP($R235,Capa!$A:$AJ,AV$5,0))))</f>
        <v/>
      </c>
      <c r="AW235" s="174" t="str">
        <f>IF(AW$6="","",IF(AW$3="Maior",iferror(VLOOKUP($R235,Capa!$A:$AJ,AW$5,0),0),IF(ISERROR(1/VLOOKUP($R235,Capa!$A:$AJ,AW$5,0)),0,1/VLOOKUP($R235,Capa!$A:$AJ,AW$5,0))))</f>
        <v/>
      </c>
      <c r="AX235" s="174" t="str">
        <f>IF(AX$6="","",IF(AX$3="Maior",iferror(VLOOKUP($R235,Capa!$A:$AJ,AX$5,0),0),IF(ISERROR(1/VLOOKUP($R235,Capa!$A:$AJ,AX$5,0)),0,1/VLOOKUP($R235,Capa!$A:$AJ,AX$5,0))))</f>
        <v/>
      </c>
      <c r="AY235" s="174" t="str">
        <f>IF(AY$6="","",IF(AY$3="Maior",iferror(VLOOKUP($R235,Capa!$A:$AJ,AY$5,0),0),IF(ISERROR(1/VLOOKUP($R235,Capa!$A:$AJ,AY$5,0)),0,1/VLOOKUP($R235,Capa!$A:$AJ,AY$5,0))))</f>
        <v/>
      </c>
      <c r="AZ235" s="174" t="str">
        <f>IF(AZ$6="","",IF(AZ$3="Maior",iferror(VLOOKUP($R235,Capa!$A:$AJ,AZ$5,0),0),IF(ISERROR(1/VLOOKUP($R235,Capa!$A:$AJ,AZ$5,0)),0,1/VLOOKUP($R235,Capa!$A:$AJ,AZ$5,0))))</f>
        <v/>
      </c>
      <c r="BA235" s="174" t="str">
        <f>IF(BA$6="","",IF(BA$3="Maior",iferror(VLOOKUP($R235,Capa!$A:$AJ,BA$5,0),0),IF(ISERROR(1/VLOOKUP($R235,Capa!$A:$AJ,BA$5,0)),0,1/VLOOKUP($R235,Capa!$A:$AJ,BA$5,0))))</f>
        <v/>
      </c>
      <c r="BB235" s="174" t="str">
        <f>IF(BB$6="","",IF(BB$3="Maior",iferror(VLOOKUP($R235,Capa!$A:$AJ,BB$5,0),0),IF(ISERROR(1/VLOOKUP($R235,Capa!$A:$AJ,BB$5,0)),0,1/VLOOKUP($R235,Capa!$A:$AJ,BB$5,0))))</f>
        <v/>
      </c>
      <c r="BC235" s="174" t="str">
        <f>IF(BC$6="","",IF(BC$3="Maior",iferror(VLOOKUP($R235,Capa!$A:$AJ,BC$5,0),0),IF(ISERROR(1/VLOOKUP($R235,Capa!$A:$AJ,BC$5,0)),0,1/VLOOKUP($R235,Capa!$A:$AJ,BC$5,0))))</f>
        <v/>
      </c>
      <c r="BD235" s="174" t="str">
        <f>IF(BD$6="","",IF(BD$3="Maior",iferror(VLOOKUP($R235,Capa!$A:$AJ,BD$5,0),0),IF(ISERROR(1/VLOOKUP($R235,Capa!$A:$AJ,BD$5,0)),0,1/VLOOKUP($R235,Capa!$A:$AJ,BD$5,0))))</f>
        <v/>
      </c>
      <c r="BE235" s="174" t="str">
        <f>IF(BE$6="","",IF(BE$3="Maior",iferror(VLOOKUP($R235,Capa!$A:$AJ,BE$5,0),0),IF(ISERROR(1/VLOOKUP($R235,Capa!$A:$AJ,BE$5,0)),0,1/VLOOKUP($R235,Capa!$A:$AJ,BE$5,0))))</f>
        <v/>
      </c>
      <c r="BF235" s="174" t="str">
        <f>IF(BF$6="","",IF(BF$3="Maior",iferror(VLOOKUP($R235,Capa!$A:$AJ,BF$5,0),0),IF(ISERROR(1/VLOOKUP($R235,Capa!$A:$AJ,BF$5,0)),0,1/VLOOKUP($R235,Capa!$A:$AJ,BF$5,0))))</f>
        <v/>
      </c>
      <c r="BG235" s="174" t="str">
        <f>IF(BG$6="","",IF(BG$3="Maior",iferror(VLOOKUP($R235,Capa!$A:$AJ,BG$5,0),0),IF(ISERROR(1/VLOOKUP($R235,Capa!$A:$AJ,BG$5,0)),0,1/VLOOKUP($R235,Capa!$A:$AJ,BG$5,0))))</f>
        <v/>
      </c>
      <c r="BH235" s="174" t="str">
        <f>IF(BH$6="","",IF(BH$3="Maior",iferror(VLOOKUP($R235,Capa!$A:$AJ,BH$5,0),0),IF(ISERROR(1/VLOOKUP($R235,Capa!$A:$AJ,BH$5,0)),0,1/VLOOKUP($R235,Capa!$A:$AJ,BH$5,0))))</f>
        <v/>
      </c>
      <c r="BI235" s="174" t="str">
        <f>IF(BI$6="","",IF(BI$3="Maior",iferror(VLOOKUP($R235,Capa!$A:$AJ,BI$5,0),0),IF(ISERROR(1/VLOOKUP($R235,Capa!$A:$AJ,BI$5,0)),0,1/VLOOKUP($R235,Capa!$A:$AJ,BI$5,0))))</f>
        <v/>
      </c>
      <c r="BJ235" s="174" t="str">
        <f>IF(BJ$6="","",IF(BJ$3="Maior",iferror(VLOOKUP($R235,Capa!$A:$AJ,BJ$5,0),0),IF(ISERROR(1/VLOOKUP($R235,Capa!$A:$AJ,BJ$5,0)),0,1/VLOOKUP($R235,Capa!$A:$AJ,BJ$5,0))))</f>
        <v/>
      </c>
      <c r="BK235" s="174" t="str">
        <f>IF(BK$6="","",IF(BK$3="Maior",iferror(VLOOKUP($R235,Capa!$A:$AJ,BK$5,0),0),IF(ISERROR(1/VLOOKUP($R235,Capa!$A:$AJ,BK$5,0)),0,1/VLOOKUP($R235,Capa!$A:$AJ,BK$5,0))))</f>
        <v/>
      </c>
      <c r="BL235" s="174" t="str">
        <f>IF(BL$6="","",IF(BL$3="Maior",iferror(VLOOKUP($R235,Capa!$A:$AJ,BL$5,0),0),IF(ISERROR(1/VLOOKUP($R235,Capa!$A:$AJ,BL$5,0)),0,1/VLOOKUP($R235,Capa!$A:$AJ,BL$5,0))))</f>
        <v/>
      </c>
      <c r="BM235" s="174" t="str">
        <f>IF(BM$6="","",IF(BM$3="Maior",iferror(VLOOKUP($R235,Capa!$A:$AJ,BM$5,0),0),IF(ISERROR(1/VLOOKUP($R235,Capa!$A:$AJ,BM$5,0)),0,1/VLOOKUP($R235,Capa!$A:$AJ,BM$5,0))))</f>
        <v/>
      </c>
      <c r="BN235" s="174" t="str">
        <f>IF(BN$6="","",IF(BN$3="Maior",iferror(VLOOKUP($R235,Capa!$A:$AJ,BN$5,0),0),IF(ISERROR(1/VLOOKUP($R235,Capa!$A:$AJ,BN$5,0)),0,1/VLOOKUP($R235,Capa!$A:$AJ,BN$5,0))))</f>
        <v/>
      </c>
      <c r="BO235" s="174" t="str">
        <f>IF(BO$6="","",IF(BO$3="Maior",iferror(VLOOKUP($R235,Capa!$A:$AJ,BO$5,0),0),IF(ISERROR(1/VLOOKUP($R235,Capa!$A:$AJ,BO$5,0)),0,1/VLOOKUP($R235,Capa!$A:$AJ,BO$5,0))))</f>
        <v/>
      </c>
      <c r="BP235" s="174" t="str">
        <f>IF(BP$6="","",IF(BP$3="Maior",iferror(VLOOKUP($R235,Capa!$A:$AJ,BP$5,0),0),IF(ISERROR(1/VLOOKUP($R235,Capa!$A:$AJ,BP$5,0)),0,1/VLOOKUP($R235,Capa!$A:$AJ,BP$5,0))))</f>
        <v/>
      </c>
      <c r="BQ235" s="174" t="str">
        <f>IF(BQ$6="","",IF(BQ$3="Maior",iferror(VLOOKUP($R235,Capa!$A:$AJ,BQ$5,0),0),IF(ISERROR(1/VLOOKUP($R235,Capa!$A:$AJ,BQ$5,0)),0,1/VLOOKUP($R235,Capa!$A:$AJ,BQ$5,0))))</f>
        <v/>
      </c>
      <c r="BR235" s="175"/>
      <c r="BS235" s="147"/>
    </row>
    <row r="236">
      <c r="G236" s="11"/>
      <c r="H236" s="8">
        <v>230.0</v>
      </c>
      <c r="I236" s="165" t="str">
        <f t="shared" si="6"/>
        <v>ROMI3</v>
      </c>
      <c r="J236" s="166" t="str">
        <f>(VLOOKUP($I236,Capa!$A:$B,2,0))</f>
        <v>Romi SA</v>
      </c>
      <c r="K236" s="167" t="str">
        <f>VLOOKUP(left(I236,4),Setor!A:D,3,0)&amp;" | "&amp;VLOOKUP(left(I236,4),Setor!A:D,4,0)</f>
        <v>Bens Industriais | Máquinas e Equipamentos</v>
      </c>
      <c r="L236" s="168">
        <f>(VLOOKUP($I236,Capa!$A:$F,6,0))</f>
        <v>8.2</v>
      </c>
      <c r="M236" s="168">
        <f t="shared" si="7"/>
        <v>2316491</v>
      </c>
      <c r="N236" s="11" t="str">
        <f>IFERROR(__xludf.DUMMYFUNCTION("(VLOOKUP($I236,Capa!$A:$H,7,0))"),"")</f>
        <v/>
      </c>
      <c r="O236" s="169">
        <f>(VLOOKUP($I236,Capa!$A:$H,8,0))</f>
        <v>0.01359703337</v>
      </c>
      <c r="P236" s="11" t="str">
        <f>IFERROR(__xludf.DUMMYFUNCTION("(VLOOKUP($I236,Capa!$A:$J,10,0))"),"")</f>
        <v/>
      </c>
      <c r="Q236" s="169">
        <f>(VLOOKUP($I236,Capa!$A:$K,11,0))</f>
        <v>-0.1154261057</v>
      </c>
      <c r="R236" s="45" t="str">
        <f>'Dados StatusInvest'!A231</f>
        <v>EGIE3</v>
      </c>
      <c r="S236" s="170">
        <f t="shared" si="234"/>
        <v>524.0524</v>
      </c>
      <c r="T236" s="171">
        <f>VLOOKUP(R236,'Dados StatusInvest'!A:Z,26,0)</f>
        <v>63572354</v>
      </c>
      <c r="U236" s="172">
        <f t="shared" ref="U236:AS236" si="239">IF(AT236="","", RANK(AT236,AT$7:AT$626,0)+RANK(AT236,AT$7:AT$626,0)/10000)</f>
        <v>288.0288</v>
      </c>
      <c r="V236" s="172">
        <f t="shared" si="239"/>
        <v>236.0236</v>
      </c>
      <c r="W236" s="172" t="str">
        <f t="shared" si="239"/>
        <v/>
      </c>
      <c r="X236" s="172" t="str">
        <f t="shared" si="239"/>
        <v/>
      </c>
      <c r="Y236" s="172" t="str">
        <f t="shared" si="239"/>
        <v/>
      </c>
      <c r="Z236" s="172" t="str">
        <f t="shared" si="239"/>
        <v/>
      </c>
      <c r="AA236" s="172" t="str">
        <f t="shared" si="239"/>
        <v/>
      </c>
      <c r="AB236" s="172" t="str">
        <f t="shared" si="239"/>
        <v/>
      </c>
      <c r="AC236" s="172" t="str">
        <f t="shared" si="239"/>
        <v/>
      </c>
      <c r="AD236" s="172" t="str">
        <f t="shared" si="239"/>
        <v/>
      </c>
      <c r="AE236" s="172" t="str">
        <f t="shared" si="239"/>
        <v/>
      </c>
      <c r="AF236" s="172" t="str">
        <f t="shared" si="239"/>
        <v/>
      </c>
      <c r="AG236" s="172" t="str">
        <f t="shared" si="239"/>
        <v/>
      </c>
      <c r="AH236" s="172" t="str">
        <f t="shared" si="239"/>
        <v/>
      </c>
      <c r="AI236" s="172" t="str">
        <f t="shared" si="239"/>
        <v/>
      </c>
      <c r="AJ236" s="172" t="str">
        <f t="shared" si="239"/>
        <v/>
      </c>
      <c r="AK236" s="172" t="str">
        <f t="shared" si="239"/>
        <v/>
      </c>
      <c r="AL236" s="172" t="str">
        <f t="shared" si="239"/>
        <v/>
      </c>
      <c r="AM236" s="172" t="str">
        <f t="shared" si="239"/>
        <v/>
      </c>
      <c r="AN236" s="172" t="str">
        <f t="shared" si="239"/>
        <v/>
      </c>
      <c r="AO236" s="172" t="str">
        <f t="shared" si="239"/>
        <v/>
      </c>
      <c r="AP236" s="172" t="str">
        <f t="shared" si="239"/>
        <v/>
      </c>
      <c r="AQ236" s="172" t="str">
        <f t="shared" si="239"/>
        <v/>
      </c>
      <c r="AR236" s="172" t="str">
        <f t="shared" si="239"/>
        <v/>
      </c>
      <c r="AS236" s="172" t="str">
        <f t="shared" si="239"/>
        <v/>
      </c>
      <c r="AT236" s="173">
        <f>IF(AT$6="","",IF(AT$3="Maior",iferror(VLOOKUP($R236,Capa!$A:$AJ,AT$5,0),0),IF(ISERROR(1/VLOOKUP($R236,Capa!$A:$AJ,AT$5,0)),0,1/VLOOKUP($R236,Capa!$A:$AJ,AT$5,0))))</f>
        <v>-0.6191882244</v>
      </c>
      <c r="AU236" s="174">
        <f>IF(AU$6="","",IF(AU$3="Maior",iferror(VLOOKUP($R236,Capa!$A:$AJ,AU$5,0),0),IF(ISERROR(1/VLOOKUP($R236,Capa!$A:$AJ,AU$5,0)),0,1/VLOOKUP($R236,Capa!$A:$AJ,AU$5,0))))</f>
        <v>5.61</v>
      </c>
      <c r="AV236" s="174" t="str">
        <f>IF(AV$6="","",IF(AV$3="Maior",iferror(VLOOKUP($R236,Capa!$A:$AJ,AV$5,0),0),IF(ISERROR(1/VLOOKUP($R236,Capa!$A:$AJ,AV$5,0)),0,1/VLOOKUP($R236,Capa!$A:$AJ,AV$5,0))))</f>
        <v/>
      </c>
      <c r="AW236" s="174" t="str">
        <f>IF(AW$6="","",IF(AW$3="Maior",iferror(VLOOKUP($R236,Capa!$A:$AJ,AW$5,0),0),IF(ISERROR(1/VLOOKUP($R236,Capa!$A:$AJ,AW$5,0)),0,1/VLOOKUP($R236,Capa!$A:$AJ,AW$5,0))))</f>
        <v/>
      </c>
      <c r="AX236" s="174" t="str">
        <f>IF(AX$6="","",IF(AX$3="Maior",iferror(VLOOKUP($R236,Capa!$A:$AJ,AX$5,0),0),IF(ISERROR(1/VLOOKUP($R236,Capa!$A:$AJ,AX$5,0)),0,1/VLOOKUP($R236,Capa!$A:$AJ,AX$5,0))))</f>
        <v/>
      </c>
      <c r="AY236" s="174" t="str">
        <f>IF(AY$6="","",IF(AY$3="Maior",iferror(VLOOKUP($R236,Capa!$A:$AJ,AY$5,0),0),IF(ISERROR(1/VLOOKUP($R236,Capa!$A:$AJ,AY$5,0)),0,1/VLOOKUP($R236,Capa!$A:$AJ,AY$5,0))))</f>
        <v/>
      </c>
      <c r="AZ236" s="174" t="str">
        <f>IF(AZ$6="","",IF(AZ$3="Maior",iferror(VLOOKUP($R236,Capa!$A:$AJ,AZ$5,0),0),IF(ISERROR(1/VLOOKUP($R236,Capa!$A:$AJ,AZ$5,0)),0,1/VLOOKUP($R236,Capa!$A:$AJ,AZ$5,0))))</f>
        <v/>
      </c>
      <c r="BA236" s="174" t="str">
        <f>IF(BA$6="","",IF(BA$3="Maior",iferror(VLOOKUP($R236,Capa!$A:$AJ,BA$5,0),0),IF(ISERROR(1/VLOOKUP($R236,Capa!$A:$AJ,BA$5,0)),0,1/VLOOKUP($R236,Capa!$A:$AJ,BA$5,0))))</f>
        <v/>
      </c>
      <c r="BB236" s="174" t="str">
        <f>IF(BB$6="","",IF(BB$3="Maior",iferror(VLOOKUP($R236,Capa!$A:$AJ,BB$5,0),0),IF(ISERROR(1/VLOOKUP($R236,Capa!$A:$AJ,BB$5,0)),0,1/VLOOKUP($R236,Capa!$A:$AJ,BB$5,0))))</f>
        <v/>
      </c>
      <c r="BC236" s="174" t="str">
        <f>IF(BC$6="","",IF(BC$3="Maior",iferror(VLOOKUP($R236,Capa!$A:$AJ,BC$5,0),0),IF(ISERROR(1/VLOOKUP($R236,Capa!$A:$AJ,BC$5,0)),0,1/VLOOKUP($R236,Capa!$A:$AJ,BC$5,0))))</f>
        <v/>
      </c>
      <c r="BD236" s="174" t="str">
        <f>IF(BD$6="","",IF(BD$3="Maior",iferror(VLOOKUP($R236,Capa!$A:$AJ,BD$5,0),0),IF(ISERROR(1/VLOOKUP($R236,Capa!$A:$AJ,BD$5,0)),0,1/VLOOKUP($R236,Capa!$A:$AJ,BD$5,0))))</f>
        <v/>
      </c>
      <c r="BE236" s="174" t="str">
        <f>IF(BE$6="","",IF(BE$3="Maior",iferror(VLOOKUP($R236,Capa!$A:$AJ,BE$5,0),0),IF(ISERROR(1/VLOOKUP($R236,Capa!$A:$AJ,BE$5,0)),0,1/VLOOKUP($R236,Capa!$A:$AJ,BE$5,0))))</f>
        <v/>
      </c>
      <c r="BF236" s="174" t="str">
        <f>IF(BF$6="","",IF(BF$3="Maior",iferror(VLOOKUP($R236,Capa!$A:$AJ,BF$5,0),0),IF(ISERROR(1/VLOOKUP($R236,Capa!$A:$AJ,BF$5,0)),0,1/VLOOKUP($R236,Capa!$A:$AJ,BF$5,0))))</f>
        <v/>
      </c>
      <c r="BG236" s="174" t="str">
        <f>IF(BG$6="","",IF(BG$3="Maior",iferror(VLOOKUP($R236,Capa!$A:$AJ,BG$5,0),0),IF(ISERROR(1/VLOOKUP($R236,Capa!$A:$AJ,BG$5,0)),0,1/VLOOKUP($R236,Capa!$A:$AJ,BG$5,0))))</f>
        <v/>
      </c>
      <c r="BH236" s="174" t="str">
        <f>IF(BH$6="","",IF(BH$3="Maior",iferror(VLOOKUP($R236,Capa!$A:$AJ,BH$5,0),0),IF(ISERROR(1/VLOOKUP($R236,Capa!$A:$AJ,BH$5,0)),0,1/VLOOKUP($R236,Capa!$A:$AJ,BH$5,0))))</f>
        <v/>
      </c>
      <c r="BI236" s="174" t="str">
        <f>IF(BI$6="","",IF(BI$3="Maior",iferror(VLOOKUP($R236,Capa!$A:$AJ,BI$5,0),0),IF(ISERROR(1/VLOOKUP($R236,Capa!$A:$AJ,BI$5,0)),0,1/VLOOKUP($R236,Capa!$A:$AJ,BI$5,0))))</f>
        <v/>
      </c>
      <c r="BJ236" s="174" t="str">
        <f>IF(BJ$6="","",IF(BJ$3="Maior",iferror(VLOOKUP($R236,Capa!$A:$AJ,BJ$5,0),0),IF(ISERROR(1/VLOOKUP($R236,Capa!$A:$AJ,BJ$5,0)),0,1/VLOOKUP($R236,Capa!$A:$AJ,BJ$5,0))))</f>
        <v/>
      </c>
      <c r="BK236" s="174" t="str">
        <f>IF(BK$6="","",IF(BK$3="Maior",iferror(VLOOKUP($R236,Capa!$A:$AJ,BK$5,0),0),IF(ISERROR(1/VLOOKUP($R236,Capa!$A:$AJ,BK$5,0)),0,1/VLOOKUP($R236,Capa!$A:$AJ,BK$5,0))))</f>
        <v/>
      </c>
      <c r="BL236" s="174" t="str">
        <f>IF(BL$6="","",IF(BL$3="Maior",iferror(VLOOKUP($R236,Capa!$A:$AJ,BL$5,0),0),IF(ISERROR(1/VLOOKUP($R236,Capa!$A:$AJ,BL$5,0)),0,1/VLOOKUP($R236,Capa!$A:$AJ,BL$5,0))))</f>
        <v/>
      </c>
      <c r="BM236" s="174" t="str">
        <f>IF(BM$6="","",IF(BM$3="Maior",iferror(VLOOKUP($R236,Capa!$A:$AJ,BM$5,0),0),IF(ISERROR(1/VLOOKUP($R236,Capa!$A:$AJ,BM$5,0)),0,1/VLOOKUP($R236,Capa!$A:$AJ,BM$5,0))))</f>
        <v/>
      </c>
      <c r="BN236" s="174" t="str">
        <f>IF(BN$6="","",IF(BN$3="Maior",iferror(VLOOKUP($R236,Capa!$A:$AJ,BN$5,0),0),IF(ISERROR(1/VLOOKUP($R236,Capa!$A:$AJ,BN$5,0)),0,1/VLOOKUP($R236,Capa!$A:$AJ,BN$5,0))))</f>
        <v/>
      </c>
      <c r="BO236" s="174" t="str">
        <f>IF(BO$6="","",IF(BO$3="Maior",iferror(VLOOKUP($R236,Capa!$A:$AJ,BO$5,0),0),IF(ISERROR(1/VLOOKUP($R236,Capa!$A:$AJ,BO$5,0)),0,1/VLOOKUP($R236,Capa!$A:$AJ,BO$5,0))))</f>
        <v/>
      </c>
      <c r="BP236" s="174" t="str">
        <f>IF(BP$6="","",IF(BP$3="Maior",iferror(VLOOKUP($R236,Capa!$A:$AJ,BP$5,0),0),IF(ISERROR(1/VLOOKUP($R236,Capa!$A:$AJ,BP$5,0)),0,1/VLOOKUP($R236,Capa!$A:$AJ,BP$5,0))))</f>
        <v/>
      </c>
      <c r="BQ236" s="174" t="str">
        <f>IF(BQ$6="","",IF(BQ$3="Maior",iferror(VLOOKUP($R236,Capa!$A:$AJ,BQ$5,0),0),IF(ISERROR(1/VLOOKUP($R236,Capa!$A:$AJ,BQ$5,0)),0,1/VLOOKUP($R236,Capa!$A:$AJ,BQ$5,0))))</f>
        <v/>
      </c>
      <c r="BR236" s="175"/>
      <c r="BS236" s="147"/>
    </row>
    <row r="237">
      <c r="G237" s="11"/>
      <c r="H237" s="8">
        <v>231.0</v>
      </c>
      <c r="I237" s="165" t="str">
        <f t="shared" si="6"/>
        <v>MATD3</v>
      </c>
      <c r="J237" s="166" t="str">
        <f>(VLOOKUP($I237,Capa!$A:$B,2,0))</f>
        <v>Hospital Mater Dei Sa</v>
      </c>
      <c r="K237" s="167" t="str">
        <f>VLOOKUP(left(I237,4),Setor!A:D,3,0)&amp;" | "&amp;VLOOKUP(left(I237,4),Setor!A:D,4,0)</f>
        <v>#N/A</v>
      </c>
      <c r="L237" s="168">
        <f>(VLOOKUP($I237,Capa!$A:$F,6,0))</f>
        <v>5.72</v>
      </c>
      <c r="M237" s="168">
        <f t="shared" si="7"/>
        <v>1053653</v>
      </c>
      <c r="N237" s="11" t="str">
        <f>IFERROR(__xludf.DUMMYFUNCTION("(VLOOKUP($I237,Capa!$A:$H,7,0))"),"")</f>
        <v/>
      </c>
      <c r="O237" s="169">
        <f>(VLOOKUP($I237,Capa!$A:$H,8,0))</f>
        <v>0.07116104869</v>
      </c>
      <c r="P237" s="11" t="str">
        <f>IFERROR(__xludf.DUMMYFUNCTION("(VLOOKUP($I237,Capa!$A:$J,10,0))"),"")</f>
        <v/>
      </c>
      <c r="Q237" s="169">
        <f>(VLOOKUP($I237,Capa!$A:$K,11,0))</f>
        <v>0.481865285</v>
      </c>
      <c r="R237" s="45" t="str">
        <f>'Dados StatusInvest'!A232</f>
        <v>EKTR3</v>
      </c>
      <c r="S237" s="170">
        <f t="shared" si="234"/>
        <v>1534.0534</v>
      </c>
      <c r="T237" s="171">
        <f>VLOOKUP(R237,'Dados StatusInvest'!A:Z,26,0)</f>
        <v>4191.43</v>
      </c>
      <c r="U237" s="172">
        <f t="shared" ref="U237:AS237" si="240">IF(AT237="","", RANK(AT237,AT$7:AT$626,0)+RANK(AT237,AT$7:AT$626,0)/10000)</f>
        <v>347.0347</v>
      </c>
      <c r="V237" s="172">
        <f t="shared" si="240"/>
        <v>187.0187</v>
      </c>
      <c r="W237" s="172" t="str">
        <f t="shared" si="240"/>
        <v/>
      </c>
      <c r="X237" s="172" t="str">
        <f t="shared" si="240"/>
        <v/>
      </c>
      <c r="Y237" s="172" t="str">
        <f t="shared" si="240"/>
        <v/>
      </c>
      <c r="Z237" s="172" t="str">
        <f t="shared" si="240"/>
        <v/>
      </c>
      <c r="AA237" s="172" t="str">
        <f t="shared" si="240"/>
        <v/>
      </c>
      <c r="AB237" s="172" t="str">
        <f t="shared" si="240"/>
        <v/>
      </c>
      <c r="AC237" s="172" t="str">
        <f t="shared" si="240"/>
        <v/>
      </c>
      <c r="AD237" s="172" t="str">
        <f t="shared" si="240"/>
        <v/>
      </c>
      <c r="AE237" s="172" t="str">
        <f t="shared" si="240"/>
        <v/>
      </c>
      <c r="AF237" s="172" t="str">
        <f t="shared" si="240"/>
        <v/>
      </c>
      <c r="AG237" s="172" t="str">
        <f t="shared" si="240"/>
        <v/>
      </c>
      <c r="AH237" s="172" t="str">
        <f t="shared" si="240"/>
        <v/>
      </c>
      <c r="AI237" s="172" t="str">
        <f t="shared" si="240"/>
        <v/>
      </c>
      <c r="AJ237" s="172" t="str">
        <f t="shared" si="240"/>
        <v/>
      </c>
      <c r="AK237" s="172" t="str">
        <f t="shared" si="240"/>
        <v/>
      </c>
      <c r="AL237" s="172" t="str">
        <f t="shared" si="240"/>
        <v/>
      </c>
      <c r="AM237" s="172" t="str">
        <f t="shared" si="240"/>
        <v/>
      </c>
      <c r="AN237" s="172" t="str">
        <f t="shared" si="240"/>
        <v/>
      </c>
      <c r="AO237" s="172" t="str">
        <f t="shared" si="240"/>
        <v/>
      </c>
      <c r="AP237" s="172" t="str">
        <f t="shared" si="240"/>
        <v/>
      </c>
      <c r="AQ237" s="172" t="str">
        <f t="shared" si="240"/>
        <v/>
      </c>
      <c r="AR237" s="172" t="str">
        <f t="shared" si="240"/>
        <v/>
      </c>
      <c r="AS237" s="172" t="str">
        <f t="shared" si="240"/>
        <v/>
      </c>
      <c r="AT237" s="173">
        <f>IF(AT$6="","",IF(AT$3="Maior",iferror(VLOOKUP($R237,Capa!$A:$AJ,AT$5,0),0),IF(ISERROR(1/VLOOKUP($R237,Capa!$A:$AJ,AT$5,0)),0,1/VLOOKUP($R237,Capa!$A:$AJ,AT$5,0))))</f>
        <v>-0.9803921569</v>
      </c>
      <c r="AU237" s="174">
        <f>IF(AU$6="","",IF(AU$3="Maior",iferror(VLOOKUP($R237,Capa!$A:$AJ,AU$5,0),0),IF(ISERROR(1/VLOOKUP($R237,Capa!$A:$AJ,AU$5,0)),0,1/VLOOKUP($R237,Capa!$A:$AJ,AU$5,0))))</f>
        <v>13.47</v>
      </c>
      <c r="AV237" s="174" t="str">
        <f>IF(AV$6="","",IF(AV$3="Maior",iferror(VLOOKUP($R237,Capa!$A:$AJ,AV$5,0),0),IF(ISERROR(1/VLOOKUP($R237,Capa!$A:$AJ,AV$5,0)),0,1/VLOOKUP($R237,Capa!$A:$AJ,AV$5,0))))</f>
        <v/>
      </c>
      <c r="AW237" s="174" t="str">
        <f>IF(AW$6="","",IF(AW$3="Maior",iferror(VLOOKUP($R237,Capa!$A:$AJ,AW$5,0),0),IF(ISERROR(1/VLOOKUP($R237,Capa!$A:$AJ,AW$5,0)),0,1/VLOOKUP($R237,Capa!$A:$AJ,AW$5,0))))</f>
        <v/>
      </c>
      <c r="AX237" s="174" t="str">
        <f>IF(AX$6="","",IF(AX$3="Maior",iferror(VLOOKUP($R237,Capa!$A:$AJ,AX$5,0),0),IF(ISERROR(1/VLOOKUP($R237,Capa!$A:$AJ,AX$5,0)),0,1/VLOOKUP($R237,Capa!$A:$AJ,AX$5,0))))</f>
        <v/>
      </c>
      <c r="AY237" s="174" t="str">
        <f>IF(AY$6="","",IF(AY$3="Maior",iferror(VLOOKUP($R237,Capa!$A:$AJ,AY$5,0),0),IF(ISERROR(1/VLOOKUP($R237,Capa!$A:$AJ,AY$5,0)),0,1/VLOOKUP($R237,Capa!$A:$AJ,AY$5,0))))</f>
        <v/>
      </c>
      <c r="AZ237" s="174" t="str">
        <f>IF(AZ$6="","",IF(AZ$3="Maior",iferror(VLOOKUP($R237,Capa!$A:$AJ,AZ$5,0),0),IF(ISERROR(1/VLOOKUP($R237,Capa!$A:$AJ,AZ$5,0)),0,1/VLOOKUP($R237,Capa!$A:$AJ,AZ$5,0))))</f>
        <v/>
      </c>
      <c r="BA237" s="174" t="str">
        <f>IF(BA$6="","",IF(BA$3="Maior",iferror(VLOOKUP($R237,Capa!$A:$AJ,BA$5,0),0),IF(ISERROR(1/VLOOKUP($R237,Capa!$A:$AJ,BA$5,0)),0,1/VLOOKUP($R237,Capa!$A:$AJ,BA$5,0))))</f>
        <v/>
      </c>
      <c r="BB237" s="174" t="str">
        <f>IF(BB$6="","",IF(BB$3="Maior",iferror(VLOOKUP($R237,Capa!$A:$AJ,BB$5,0),0),IF(ISERROR(1/VLOOKUP($R237,Capa!$A:$AJ,BB$5,0)),0,1/VLOOKUP($R237,Capa!$A:$AJ,BB$5,0))))</f>
        <v/>
      </c>
      <c r="BC237" s="174" t="str">
        <f>IF(BC$6="","",IF(BC$3="Maior",iferror(VLOOKUP($R237,Capa!$A:$AJ,BC$5,0),0),IF(ISERROR(1/VLOOKUP($R237,Capa!$A:$AJ,BC$5,0)),0,1/VLOOKUP($R237,Capa!$A:$AJ,BC$5,0))))</f>
        <v/>
      </c>
      <c r="BD237" s="174" t="str">
        <f>IF(BD$6="","",IF(BD$3="Maior",iferror(VLOOKUP($R237,Capa!$A:$AJ,BD$5,0),0),IF(ISERROR(1/VLOOKUP($R237,Capa!$A:$AJ,BD$5,0)),0,1/VLOOKUP($R237,Capa!$A:$AJ,BD$5,0))))</f>
        <v/>
      </c>
      <c r="BE237" s="174" t="str">
        <f>IF(BE$6="","",IF(BE$3="Maior",iferror(VLOOKUP($R237,Capa!$A:$AJ,BE$5,0),0),IF(ISERROR(1/VLOOKUP($R237,Capa!$A:$AJ,BE$5,0)),0,1/VLOOKUP($R237,Capa!$A:$AJ,BE$5,0))))</f>
        <v/>
      </c>
      <c r="BF237" s="174" t="str">
        <f>IF(BF$6="","",IF(BF$3="Maior",iferror(VLOOKUP($R237,Capa!$A:$AJ,BF$5,0),0),IF(ISERROR(1/VLOOKUP($R237,Capa!$A:$AJ,BF$5,0)),0,1/VLOOKUP($R237,Capa!$A:$AJ,BF$5,0))))</f>
        <v/>
      </c>
      <c r="BG237" s="174" t="str">
        <f>IF(BG$6="","",IF(BG$3="Maior",iferror(VLOOKUP($R237,Capa!$A:$AJ,BG$5,0),0),IF(ISERROR(1/VLOOKUP($R237,Capa!$A:$AJ,BG$5,0)),0,1/VLOOKUP($R237,Capa!$A:$AJ,BG$5,0))))</f>
        <v/>
      </c>
      <c r="BH237" s="174" t="str">
        <f>IF(BH$6="","",IF(BH$3="Maior",iferror(VLOOKUP($R237,Capa!$A:$AJ,BH$5,0),0),IF(ISERROR(1/VLOOKUP($R237,Capa!$A:$AJ,BH$5,0)),0,1/VLOOKUP($R237,Capa!$A:$AJ,BH$5,0))))</f>
        <v/>
      </c>
      <c r="BI237" s="174" t="str">
        <f>IF(BI$6="","",IF(BI$3="Maior",iferror(VLOOKUP($R237,Capa!$A:$AJ,BI$5,0),0),IF(ISERROR(1/VLOOKUP($R237,Capa!$A:$AJ,BI$5,0)),0,1/VLOOKUP($R237,Capa!$A:$AJ,BI$5,0))))</f>
        <v/>
      </c>
      <c r="BJ237" s="174" t="str">
        <f>IF(BJ$6="","",IF(BJ$3="Maior",iferror(VLOOKUP($R237,Capa!$A:$AJ,BJ$5,0),0),IF(ISERROR(1/VLOOKUP($R237,Capa!$A:$AJ,BJ$5,0)),0,1/VLOOKUP($R237,Capa!$A:$AJ,BJ$5,0))))</f>
        <v/>
      </c>
      <c r="BK237" s="174" t="str">
        <f>IF(BK$6="","",IF(BK$3="Maior",iferror(VLOOKUP($R237,Capa!$A:$AJ,BK$5,0),0),IF(ISERROR(1/VLOOKUP($R237,Capa!$A:$AJ,BK$5,0)),0,1/VLOOKUP($R237,Capa!$A:$AJ,BK$5,0))))</f>
        <v/>
      </c>
      <c r="BL237" s="174" t="str">
        <f>IF(BL$6="","",IF(BL$3="Maior",iferror(VLOOKUP($R237,Capa!$A:$AJ,BL$5,0),0),IF(ISERROR(1/VLOOKUP($R237,Capa!$A:$AJ,BL$5,0)),0,1/VLOOKUP($R237,Capa!$A:$AJ,BL$5,0))))</f>
        <v/>
      </c>
      <c r="BM237" s="174" t="str">
        <f>IF(BM$6="","",IF(BM$3="Maior",iferror(VLOOKUP($R237,Capa!$A:$AJ,BM$5,0),0),IF(ISERROR(1/VLOOKUP($R237,Capa!$A:$AJ,BM$5,0)),0,1/VLOOKUP($R237,Capa!$A:$AJ,BM$5,0))))</f>
        <v/>
      </c>
      <c r="BN237" s="174" t="str">
        <f>IF(BN$6="","",IF(BN$3="Maior",iferror(VLOOKUP($R237,Capa!$A:$AJ,BN$5,0),0),IF(ISERROR(1/VLOOKUP($R237,Capa!$A:$AJ,BN$5,0)),0,1/VLOOKUP($R237,Capa!$A:$AJ,BN$5,0))))</f>
        <v/>
      </c>
      <c r="BO237" s="174" t="str">
        <f>IF(BO$6="","",IF(BO$3="Maior",iferror(VLOOKUP($R237,Capa!$A:$AJ,BO$5,0),0),IF(ISERROR(1/VLOOKUP($R237,Capa!$A:$AJ,BO$5,0)),0,1/VLOOKUP($R237,Capa!$A:$AJ,BO$5,0))))</f>
        <v/>
      </c>
      <c r="BP237" s="174" t="str">
        <f>IF(BP$6="","",IF(BP$3="Maior",iferror(VLOOKUP($R237,Capa!$A:$AJ,BP$5,0),0),IF(ISERROR(1/VLOOKUP($R237,Capa!$A:$AJ,BP$5,0)),0,1/VLOOKUP($R237,Capa!$A:$AJ,BP$5,0))))</f>
        <v/>
      </c>
      <c r="BQ237" s="174" t="str">
        <f>IF(BQ$6="","",IF(BQ$3="Maior",iferror(VLOOKUP($R237,Capa!$A:$AJ,BQ$5,0),0),IF(ISERROR(1/VLOOKUP($R237,Capa!$A:$AJ,BQ$5,0)),0,1/VLOOKUP($R237,Capa!$A:$AJ,BQ$5,0))))</f>
        <v/>
      </c>
      <c r="BR237" s="175"/>
      <c r="BS237" s="147"/>
    </row>
    <row r="238">
      <c r="G238" s="11"/>
      <c r="H238" s="8">
        <v>232.0</v>
      </c>
      <c r="I238" s="165" t="str">
        <f t="shared" si="6"/>
        <v>CAML3</v>
      </c>
      <c r="J238" s="166" t="str">
        <f>(VLOOKUP($I238,Capa!$A:$B,2,0))</f>
        <v>Camil Alimentos SA</v>
      </c>
      <c r="K238" s="167" t="str">
        <f>VLOOKUP(left(I238,4),Setor!A:D,3,0)&amp;" | "&amp;VLOOKUP(left(I238,4),Setor!A:D,4,0)</f>
        <v>Consumo não Cíclico | Alimentos Processados</v>
      </c>
      <c r="L238" s="168">
        <f>(VLOOKUP($I238,Capa!$A:$F,6,0))</f>
        <v>6.58</v>
      </c>
      <c r="M238" s="168">
        <f t="shared" si="7"/>
        <v>9848453</v>
      </c>
      <c r="N238" s="11" t="str">
        <f>IFERROR(__xludf.DUMMYFUNCTION("(VLOOKUP($I238,Capa!$A:$H,7,0))"),"")</f>
        <v/>
      </c>
      <c r="O238" s="169">
        <f>(VLOOKUP($I238,Capa!$A:$H,8,0))</f>
        <v>0.03949447077</v>
      </c>
      <c r="P238" s="11" t="str">
        <f>IFERROR(__xludf.DUMMYFUNCTION("(VLOOKUP($I238,Capa!$A:$J,10,0))"),"")</f>
        <v/>
      </c>
      <c r="Q238" s="169">
        <f>(VLOOKUP($I238,Capa!$A:$K,11,0))</f>
        <v>0.5126436782</v>
      </c>
      <c r="R238" s="45" t="str">
        <f>'Dados StatusInvest'!A233</f>
        <v>EKTR4</v>
      </c>
      <c r="S238" s="170">
        <f t="shared" si="234"/>
        <v>1575.0575</v>
      </c>
      <c r="T238" s="171">
        <f>VLOOKUP(R238,'Dados StatusInvest'!A:Z,26,0)</f>
        <v>48749.26</v>
      </c>
      <c r="U238" s="172">
        <f t="shared" ref="U238:AS238" si="241">IF(AT238="","", RANK(AT238,AT$7:AT$626,0)+RANK(AT238,AT$7:AT$626,0)/10000)</f>
        <v>388.0388</v>
      </c>
      <c r="V238" s="172">
        <f t="shared" si="241"/>
        <v>187.0187</v>
      </c>
      <c r="W238" s="172" t="str">
        <f t="shared" si="241"/>
        <v/>
      </c>
      <c r="X238" s="172" t="str">
        <f t="shared" si="241"/>
        <v/>
      </c>
      <c r="Y238" s="172" t="str">
        <f t="shared" si="241"/>
        <v/>
      </c>
      <c r="Z238" s="172" t="str">
        <f t="shared" si="241"/>
        <v/>
      </c>
      <c r="AA238" s="172" t="str">
        <f t="shared" si="241"/>
        <v/>
      </c>
      <c r="AB238" s="172" t="str">
        <f t="shared" si="241"/>
        <v/>
      </c>
      <c r="AC238" s="172" t="str">
        <f t="shared" si="241"/>
        <v/>
      </c>
      <c r="AD238" s="172" t="str">
        <f t="shared" si="241"/>
        <v/>
      </c>
      <c r="AE238" s="172" t="str">
        <f t="shared" si="241"/>
        <v/>
      </c>
      <c r="AF238" s="172" t="str">
        <f t="shared" si="241"/>
        <v/>
      </c>
      <c r="AG238" s="172" t="str">
        <f t="shared" si="241"/>
        <v/>
      </c>
      <c r="AH238" s="172" t="str">
        <f t="shared" si="241"/>
        <v/>
      </c>
      <c r="AI238" s="172" t="str">
        <f t="shared" si="241"/>
        <v/>
      </c>
      <c r="AJ238" s="172" t="str">
        <f t="shared" si="241"/>
        <v/>
      </c>
      <c r="AK238" s="172" t="str">
        <f t="shared" si="241"/>
        <v/>
      </c>
      <c r="AL238" s="172" t="str">
        <f t="shared" si="241"/>
        <v/>
      </c>
      <c r="AM238" s="172" t="str">
        <f t="shared" si="241"/>
        <v/>
      </c>
      <c r="AN238" s="172" t="str">
        <f t="shared" si="241"/>
        <v/>
      </c>
      <c r="AO238" s="172" t="str">
        <f t="shared" si="241"/>
        <v/>
      </c>
      <c r="AP238" s="172" t="str">
        <f t="shared" si="241"/>
        <v/>
      </c>
      <c r="AQ238" s="172" t="str">
        <f t="shared" si="241"/>
        <v/>
      </c>
      <c r="AR238" s="172" t="str">
        <f t="shared" si="241"/>
        <v/>
      </c>
      <c r="AS238" s="172" t="str">
        <f t="shared" si="241"/>
        <v/>
      </c>
      <c r="AT238" s="173">
        <f>IF(AT$6="","",IF(AT$3="Maior",iferror(VLOOKUP($R238,Capa!$A:$AJ,AT$5,0),0),IF(ISERROR(1/VLOOKUP($R238,Capa!$A:$AJ,AT$5,0)),0,1/VLOOKUP($R238,Capa!$A:$AJ,AT$5,0))))</f>
        <v>-1.234567901</v>
      </c>
      <c r="AU238" s="174">
        <f>IF(AU$6="","",IF(AU$3="Maior",iferror(VLOOKUP($R238,Capa!$A:$AJ,AU$5,0),0),IF(ISERROR(1/VLOOKUP($R238,Capa!$A:$AJ,AU$5,0)),0,1/VLOOKUP($R238,Capa!$A:$AJ,AU$5,0))))</f>
        <v>13.47</v>
      </c>
      <c r="AV238" s="174" t="str">
        <f>IF(AV$6="","",IF(AV$3="Maior",iferror(VLOOKUP($R238,Capa!$A:$AJ,AV$5,0),0),IF(ISERROR(1/VLOOKUP($R238,Capa!$A:$AJ,AV$5,0)),0,1/VLOOKUP($R238,Capa!$A:$AJ,AV$5,0))))</f>
        <v/>
      </c>
      <c r="AW238" s="174" t="str">
        <f>IF(AW$6="","",IF(AW$3="Maior",iferror(VLOOKUP($R238,Capa!$A:$AJ,AW$5,0),0),IF(ISERROR(1/VLOOKUP($R238,Capa!$A:$AJ,AW$5,0)),0,1/VLOOKUP($R238,Capa!$A:$AJ,AW$5,0))))</f>
        <v/>
      </c>
      <c r="AX238" s="174" t="str">
        <f>IF(AX$6="","",IF(AX$3="Maior",iferror(VLOOKUP($R238,Capa!$A:$AJ,AX$5,0),0),IF(ISERROR(1/VLOOKUP($R238,Capa!$A:$AJ,AX$5,0)),0,1/VLOOKUP($R238,Capa!$A:$AJ,AX$5,0))))</f>
        <v/>
      </c>
      <c r="AY238" s="174" t="str">
        <f>IF(AY$6="","",IF(AY$3="Maior",iferror(VLOOKUP($R238,Capa!$A:$AJ,AY$5,0),0),IF(ISERROR(1/VLOOKUP($R238,Capa!$A:$AJ,AY$5,0)),0,1/VLOOKUP($R238,Capa!$A:$AJ,AY$5,0))))</f>
        <v/>
      </c>
      <c r="AZ238" s="174" t="str">
        <f>IF(AZ$6="","",IF(AZ$3="Maior",iferror(VLOOKUP($R238,Capa!$A:$AJ,AZ$5,0),0),IF(ISERROR(1/VLOOKUP($R238,Capa!$A:$AJ,AZ$5,0)),0,1/VLOOKUP($R238,Capa!$A:$AJ,AZ$5,0))))</f>
        <v/>
      </c>
      <c r="BA238" s="174" t="str">
        <f>IF(BA$6="","",IF(BA$3="Maior",iferror(VLOOKUP($R238,Capa!$A:$AJ,BA$5,0),0),IF(ISERROR(1/VLOOKUP($R238,Capa!$A:$AJ,BA$5,0)),0,1/VLOOKUP($R238,Capa!$A:$AJ,BA$5,0))))</f>
        <v/>
      </c>
      <c r="BB238" s="174" t="str">
        <f>IF(BB$6="","",IF(BB$3="Maior",iferror(VLOOKUP($R238,Capa!$A:$AJ,BB$5,0),0),IF(ISERROR(1/VLOOKUP($R238,Capa!$A:$AJ,BB$5,0)),0,1/VLOOKUP($R238,Capa!$A:$AJ,BB$5,0))))</f>
        <v/>
      </c>
      <c r="BC238" s="174" t="str">
        <f>IF(BC$6="","",IF(BC$3="Maior",iferror(VLOOKUP($R238,Capa!$A:$AJ,BC$5,0),0),IF(ISERROR(1/VLOOKUP($R238,Capa!$A:$AJ,BC$5,0)),0,1/VLOOKUP($R238,Capa!$A:$AJ,BC$5,0))))</f>
        <v/>
      </c>
      <c r="BD238" s="174" t="str">
        <f>IF(BD$6="","",IF(BD$3="Maior",iferror(VLOOKUP($R238,Capa!$A:$AJ,BD$5,0),0),IF(ISERROR(1/VLOOKUP($R238,Capa!$A:$AJ,BD$5,0)),0,1/VLOOKUP($R238,Capa!$A:$AJ,BD$5,0))))</f>
        <v/>
      </c>
      <c r="BE238" s="174" t="str">
        <f>IF(BE$6="","",IF(BE$3="Maior",iferror(VLOOKUP($R238,Capa!$A:$AJ,BE$5,0),0),IF(ISERROR(1/VLOOKUP($R238,Capa!$A:$AJ,BE$5,0)),0,1/VLOOKUP($R238,Capa!$A:$AJ,BE$5,0))))</f>
        <v/>
      </c>
      <c r="BF238" s="174" t="str">
        <f>IF(BF$6="","",IF(BF$3="Maior",iferror(VLOOKUP($R238,Capa!$A:$AJ,BF$5,0),0),IF(ISERROR(1/VLOOKUP($R238,Capa!$A:$AJ,BF$5,0)),0,1/VLOOKUP($R238,Capa!$A:$AJ,BF$5,0))))</f>
        <v/>
      </c>
      <c r="BG238" s="174" t="str">
        <f>IF(BG$6="","",IF(BG$3="Maior",iferror(VLOOKUP($R238,Capa!$A:$AJ,BG$5,0),0),IF(ISERROR(1/VLOOKUP($R238,Capa!$A:$AJ,BG$5,0)),0,1/VLOOKUP($R238,Capa!$A:$AJ,BG$5,0))))</f>
        <v/>
      </c>
      <c r="BH238" s="174" t="str">
        <f>IF(BH$6="","",IF(BH$3="Maior",iferror(VLOOKUP($R238,Capa!$A:$AJ,BH$5,0),0),IF(ISERROR(1/VLOOKUP($R238,Capa!$A:$AJ,BH$5,0)),0,1/VLOOKUP($R238,Capa!$A:$AJ,BH$5,0))))</f>
        <v/>
      </c>
      <c r="BI238" s="174" t="str">
        <f>IF(BI$6="","",IF(BI$3="Maior",iferror(VLOOKUP($R238,Capa!$A:$AJ,BI$5,0),0),IF(ISERROR(1/VLOOKUP($R238,Capa!$A:$AJ,BI$5,0)),0,1/VLOOKUP($R238,Capa!$A:$AJ,BI$5,0))))</f>
        <v/>
      </c>
      <c r="BJ238" s="174" t="str">
        <f>IF(BJ$6="","",IF(BJ$3="Maior",iferror(VLOOKUP($R238,Capa!$A:$AJ,BJ$5,0),0),IF(ISERROR(1/VLOOKUP($R238,Capa!$A:$AJ,BJ$5,0)),0,1/VLOOKUP($R238,Capa!$A:$AJ,BJ$5,0))))</f>
        <v/>
      </c>
      <c r="BK238" s="174" t="str">
        <f>IF(BK$6="","",IF(BK$3="Maior",iferror(VLOOKUP($R238,Capa!$A:$AJ,BK$5,0),0),IF(ISERROR(1/VLOOKUP($R238,Capa!$A:$AJ,BK$5,0)),0,1/VLOOKUP($R238,Capa!$A:$AJ,BK$5,0))))</f>
        <v/>
      </c>
      <c r="BL238" s="174" t="str">
        <f>IF(BL$6="","",IF(BL$3="Maior",iferror(VLOOKUP($R238,Capa!$A:$AJ,BL$5,0),0),IF(ISERROR(1/VLOOKUP($R238,Capa!$A:$AJ,BL$5,0)),0,1/VLOOKUP($R238,Capa!$A:$AJ,BL$5,0))))</f>
        <v/>
      </c>
      <c r="BM238" s="174" t="str">
        <f>IF(BM$6="","",IF(BM$3="Maior",iferror(VLOOKUP($R238,Capa!$A:$AJ,BM$5,0),0),IF(ISERROR(1/VLOOKUP($R238,Capa!$A:$AJ,BM$5,0)),0,1/VLOOKUP($R238,Capa!$A:$AJ,BM$5,0))))</f>
        <v/>
      </c>
      <c r="BN238" s="174" t="str">
        <f>IF(BN$6="","",IF(BN$3="Maior",iferror(VLOOKUP($R238,Capa!$A:$AJ,BN$5,0),0),IF(ISERROR(1/VLOOKUP($R238,Capa!$A:$AJ,BN$5,0)),0,1/VLOOKUP($R238,Capa!$A:$AJ,BN$5,0))))</f>
        <v/>
      </c>
      <c r="BO238" s="174" t="str">
        <f>IF(BO$6="","",IF(BO$3="Maior",iferror(VLOOKUP($R238,Capa!$A:$AJ,BO$5,0),0),IF(ISERROR(1/VLOOKUP($R238,Capa!$A:$AJ,BO$5,0)),0,1/VLOOKUP($R238,Capa!$A:$AJ,BO$5,0))))</f>
        <v/>
      </c>
      <c r="BP238" s="174" t="str">
        <f>IF(BP$6="","",IF(BP$3="Maior",iferror(VLOOKUP($R238,Capa!$A:$AJ,BP$5,0),0),IF(ISERROR(1/VLOOKUP($R238,Capa!$A:$AJ,BP$5,0)),0,1/VLOOKUP($R238,Capa!$A:$AJ,BP$5,0))))</f>
        <v/>
      </c>
      <c r="BQ238" s="174" t="str">
        <f>IF(BQ$6="","",IF(BQ$3="Maior",iferror(VLOOKUP($R238,Capa!$A:$AJ,BQ$5,0),0),IF(ISERROR(1/VLOOKUP($R238,Capa!$A:$AJ,BQ$5,0)),0,1/VLOOKUP($R238,Capa!$A:$AJ,BQ$5,0))))</f>
        <v/>
      </c>
      <c r="BR238" s="175"/>
      <c r="BS238" s="147"/>
    </row>
    <row r="239">
      <c r="G239" s="11"/>
      <c r="H239" s="8">
        <v>233.0</v>
      </c>
      <c r="I239" s="165" t="str">
        <f t="shared" si="6"/>
        <v>YDUQ3</v>
      </c>
      <c r="J239" s="166" t="str">
        <f>(VLOOKUP($I239,Capa!$A:$B,2,0))</f>
        <v>YDUQS Participacoes SA</v>
      </c>
      <c r="K239" s="167" t="str">
        <f>VLOOKUP(left(I239,4),Setor!A:D,3,0)&amp;" | "&amp;VLOOKUP(left(I239,4),Setor!A:D,4,0)</f>
        <v>Consumo Cíclico | Diversos</v>
      </c>
      <c r="L239" s="168">
        <f>(VLOOKUP($I239,Capa!$A:$F,6,0))</f>
        <v>13.08</v>
      </c>
      <c r="M239" s="168">
        <f t="shared" si="7"/>
        <v>58230737</v>
      </c>
      <c r="N239" s="177" t="str">
        <f>IFERROR(__xludf.DUMMYFUNCTION("(VLOOKUP($I239,Capa!$A:$H,7,0))"),"")</f>
        <v/>
      </c>
      <c r="O239" s="177" t="str">
        <f>(VLOOKUP($I239,Capa!$A:$H,8,0))</f>
        <v/>
      </c>
      <c r="P239" s="169" t="str">
        <f>IFERROR(__xludf.DUMMYFUNCTION("(VLOOKUP($I239,Capa!$A:$J,10,0))"),"")</f>
        <v/>
      </c>
      <c r="Q239" s="169">
        <f>(VLOOKUP($I239,Capa!$A:$K,11,0))</f>
        <v>0.1160409556</v>
      </c>
      <c r="R239" s="45" t="str">
        <f>'Dados StatusInvest'!A234</f>
        <v>ELEK3</v>
      </c>
      <c r="S239" s="170">
        <f t="shared" si="234"/>
        <v>1430.043</v>
      </c>
      <c r="T239" s="171">
        <f>VLOOKUP(R239,'Dados StatusInvest'!A:Z,26,0)</f>
        <v>0</v>
      </c>
      <c r="U239" s="172">
        <f t="shared" ref="U239:AS239" si="242">IF(AT239="","", RANK(AT239,AT$7:AT$626,0)+RANK(AT239,AT$7:AT$626,0)/10000)</f>
        <v>163.0163</v>
      </c>
      <c r="V239" s="172">
        <f t="shared" si="242"/>
        <v>267.0267</v>
      </c>
      <c r="W239" s="172" t="str">
        <f t="shared" si="242"/>
        <v/>
      </c>
      <c r="X239" s="172" t="str">
        <f t="shared" si="242"/>
        <v/>
      </c>
      <c r="Y239" s="172" t="str">
        <f t="shared" si="242"/>
        <v/>
      </c>
      <c r="Z239" s="172" t="str">
        <f t="shared" si="242"/>
        <v/>
      </c>
      <c r="AA239" s="172" t="str">
        <f t="shared" si="242"/>
        <v/>
      </c>
      <c r="AB239" s="172" t="str">
        <f t="shared" si="242"/>
        <v/>
      </c>
      <c r="AC239" s="172" t="str">
        <f t="shared" si="242"/>
        <v/>
      </c>
      <c r="AD239" s="172" t="str">
        <f t="shared" si="242"/>
        <v/>
      </c>
      <c r="AE239" s="172" t="str">
        <f t="shared" si="242"/>
        <v/>
      </c>
      <c r="AF239" s="172" t="str">
        <f t="shared" si="242"/>
        <v/>
      </c>
      <c r="AG239" s="172" t="str">
        <f t="shared" si="242"/>
        <v/>
      </c>
      <c r="AH239" s="172" t="str">
        <f t="shared" si="242"/>
        <v/>
      </c>
      <c r="AI239" s="172" t="str">
        <f t="shared" si="242"/>
        <v/>
      </c>
      <c r="AJ239" s="172" t="str">
        <f t="shared" si="242"/>
        <v/>
      </c>
      <c r="AK239" s="172" t="str">
        <f t="shared" si="242"/>
        <v/>
      </c>
      <c r="AL239" s="172" t="str">
        <f t="shared" si="242"/>
        <v/>
      </c>
      <c r="AM239" s="172" t="str">
        <f t="shared" si="242"/>
        <v/>
      </c>
      <c r="AN239" s="172" t="str">
        <f t="shared" si="242"/>
        <v/>
      </c>
      <c r="AO239" s="172" t="str">
        <f t="shared" si="242"/>
        <v/>
      </c>
      <c r="AP239" s="172" t="str">
        <f t="shared" si="242"/>
        <v/>
      </c>
      <c r="AQ239" s="172" t="str">
        <f t="shared" si="242"/>
        <v/>
      </c>
      <c r="AR239" s="172" t="str">
        <f t="shared" si="242"/>
        <v/>
      </c>
      <c r="AS239" s="172" t="str">
        <f t="shared" si="242"/>
        <v/>
      </c>
      <c r="AT239" s="173">
        <f>IF(AT$6="","",IF(AT$3="Maior",iferror(VLOOKUP($R239,Capa!$A:$AJ,AT$5,0),0),IF(ISERROR(1/VLOOKUP($R239,Capa!$A:$AJ,AT$5,0)),0,1/VLOOKUP($R239,Capa!$A:$AJ,AT$5,0))))</f>
        <v>-0.157480315</v>
      </c>
      <c r="AU239" s="174">
        <f>IF(AU$6="","",IF(AU$3="Maior",iferror(VLOOKUP($R239,Capa!$A:$AJ,AU$5,0),0),IF(ISERROR(1/VLOOKUP($R239,Capa!$A:$AJ,AU$5,0)),0,1/VLOOKUP($R239,Capa!$A:$AJ,AU$5,0))))</f>
        <v>0</v>
      </c>
      <c r="AV239" s="174" t="str">
        <f>IF(AV$6="","",IF(AV$3="Maior",iferror(VLOOKUP($R239,Capa!$A:$AJ,AV$5,0),0),IF(ISERROR(1/VLOOKUP($R239,Capa!$A:$AJ,AV$5,0)),0,1/VLOOKUP($R239,Capa!$A:$AJ,AV$5,0))))</f>
        <v/>
      </c>
      <c r="AW239" s="174" t="str">
        <f>IF(AW$6="","",IF(AW$3="Maior",iferror(VLOOKUP($R239,Capa!$A:$AJ,AW$5,0),0),IF(ISERROR(1/VLOOKUP($R239,Capa!$A:$AJ,AW$5,0)),0,1/VLOOKUP($R239,Capa!$A:$AJ,AW$5,0))))</f>
        <v/>
      </c>
      <c r="AX239" s="174" t="str">
        <f>IF(AX$6="","",IF(AX$3="Maior",iferror(VLOOKUP($R239,Capa!$A:$AJ,AX$5,0),0),IF(ISERROR(1/VLOOKUP($R239,Capa!$A:$AJ,AX$5,0)),0,1/VLOOKUP($R239,Capa!$A:$AJ,AX$5,0))))</f>
        <v/>
      </c>
      <c r="AY239" s="174" t="str">
        <f>IF(AY$6="","",IF(AY$3="Maior",iferror(VLOOKUP($R239,Capa!$A:$AJ,AY$5,0),0),IF(ISERROR(1/VLOOKUP($R239,Capa!$A:$AJ,AY$5,0)),0,1/VLOOKUP($R239,Capa!$A:$AJ,AY$5,0))))</f>
        <v/>
      </c>
      <c r="AZ239" s="174" t="str">
        <f>IF(AZ$6="","",IF(AZ$3="Maior",iferror(VLOOKUP($R239,Capa!$A:$AJ,AZ$5,0),0),IF(ISERROR(1/VLOOKUP($R239,Capa!$A:$AJ,AZ$5,0)),0,1/VLOOKUP($R239,Capa!$A:$AJ,AZ$5,0))))</f>
        <v/>
      </c>
      <c r="BA239" s="174" t="str">
        <f>IF(BA$6="","",IF(BA$3="Maior",iferror(VLOOKUP($R239,Capa!$A:$AJ,BA$5,0),0),IF(ISERROR(1/VLOOKUP($R239,Capa!$A:$AJ,BA$5,0)),0,1/VLOOKUP($R239,Capa!$A:$AJ,BA$5,0))))</f>
        <v/>
      </c>
      <c r="BB239" s="174" t="str">
        <f>IF(BB$6="","",IF(BB$3="Maior",iferror(VLOOKUP($R239,Capa!$A:$AJ,BB$5,0),0),IF(ISERROR(1/VLOOKUP($R239,Capa!$A:$AJ,BB$5,0)),0,1/VLOOKUP($R239,Capa!$A:$AJ,BB$5,0))))</f>
        <v/>
      </c>
      <c r="BC239" s="174" t="str">
        <f>IF(BC$6="","",IF(BC$3="Maior",iferror(VLOOKUP($R239,Capa!$A:$AJ,BC$5,0),0),IF(ISERROR(1/VLOOKUP($R239,Capa!$A:$AJ,BC$5,0)),0,1/VLOOKUP($R239,Capa!$A:$AJ,BC$5,0))))</f>
        <v/>
      </c>
      <c r="BD239" s="174" t="str">
        <f>IF(BD$6="","",IF(BD$3="Maior",iferror(VLOOKUP($R239,Capa!$A:$AJ,BD$5,0),0),IF(ISERROR(1/VLOOKUP($R239,Capa!$A:$AJ,BD$5,0)),0,1/VLOOKUP($R239,Capa!$A:$AJ,BD$5,0))))</f>
        <v/>
      </c>
      <c r="BE239" s="174" t="str">
        <f>IF(BE$6="","",IF(BE$3="Maior",iferror(VLOOKUP($R239,Capa!$A:$AJ,BE$5,0),0),IF(ISERROR(1/VLOOKUP($R239,Capa!$A:$AJ,BE$5,0)),0,1/VLOOKUP($R239,Capa!$A:$AJ,BE$5,0))))</f>
        <v/>
      </c>
      <c r="BF239" s="174" t="str">
        <f>IF(BF$6="","",IF(BF$3="Maior",iferror(VLOOKUP($R239,Capa!$A:$AJ,BF$5,0),0),IF(ISERROR(1/VLOOKUP($R239,Capa!$A:$AJ,BF$5,0)),0,1/VLOOKUP($R239,Capa!$A:$AJ,BF$5,0))))</f>
        <v/>
      </c>
      <c r="BG239" s="174" t="str">
        <f>IF(BG$6="","",IF(BG$3="Maior",iferror(VLOOKUP($R239,Capa!$A:$AJ,BG$5,0),0),IF(ISERROR(1/VLOOKUP($R239,Capa!$A:$AJ,BG$5,0)),0,1/VLOOKUP($R239,Capa!$A:$AJ,BG$5,0))))</f>
        <v/>
      </c>
      <c r="BH239" s="174" t="str">
        <f>IF(BH$6="","",IF(BH$3="Maior",iferror(VLOOKUP($R239,Capa!$A:$AJ,BH$5,0),0),IF(ISERROR(1/VLOOKUP($R239,Capa!$A:$AJ,BH$5,0)),0,1/VLOOKUP($R239,Capa!$A:$AJ,BH$5,0))))</f>
        <v/>
      </c>
      <c r="BI239" s="174" t="str">
        <f>IF(BI$6="","",IF(BI$3="Maior",iferror(VLOOKUP($R239,Capa!$A:$AJ,BI$5,0),0),IF(ISERROR(1/VLOOKUP($R239,Capa!$A:$AJ,BI$5,0)),0,1/VLOOKUP($R239,Capa!$A:$AJ,BI$5,0))))</f>
        <v/>
      </c>
      <c r="BJ239" s="174" t="str">
        <f>IF(BJ$6="","",IF(BJ$3="Maior",iferror(VLOOKUP($R239,Capa!$A:$AJ,BJ$5,0),0),IF(ISERROR(1/VLOOKUP($R239,Capa!$A:$AJ,BJ$5,0)),0,1/VLOOKUP($R239,Capa!$A:$AJ,BJ$5,0))))</f>
        <v/>
      </c>
      <c r="BK239" s="174" t="str">
        <f>IF(BK$6="","",IF(BK$3="Maior",iferror(VLOOKUP($R239,Capa!$A:$AJ,BK$5,0),0),IF(ISERROR(1/VLOOKUP($R239,Capa!$A:$AJ,BK$5,0)),0,1/VLOOKUP($R239,Capa!$A:$AJ,BK$5,0))))</f>
        <v/>
      </c>
      <c r="BL239" s="174" t="str">
        <f>IF(BL$6="","",IF(BL$3="Maior",iferror(VLOOKUP($R239,Capa!$A:$AJ,BL$5,0),0),IF(ISERROR(1/VLOOKUP($R239,Capa!$A:$AJ,BL$5,0)),0,1/VLOOKUP($R239,Capa!$A:$AJ,BL$5,0))))</f>
        <v/>
      </c>
      <c r="BM239" s="174" t="str">
        <f>IF(BM$6="","",IF(BM$3="Maior",iferror(VLOOKUP($R239,Capa!$A:$AJ,BM$5,0),0),IF(ISERROR(1/VLOOKUP($R239,Capa!$A:$AJ,BM$5,0)),0,1/VLOOKUP($R239,Capa!$A:$AJ,BM$5,0))))</f>
        <v/>
      </c>
      <c r="BN239" s="174" t="str">
        <f>IF(BN$6="","",IF(BN$3="Maior",iferror(VLOOKUP($R239,Capa!$A:$AJ,BN$5,0),0),IF(ISERROR(1/VLOOKUP($R239,Capa!$A:$AJ,BN$5,0)),0,1/VLOOKUP($R239,Capa!$A:$AJ,BN$5,0))))</f>
        <v/>
      </c>
      <c r="BO239" s="174" t="str">
        <f>IF(BO$6="","",IF(BO$3="Maior",iferror(VLOOKUP($R239,Capa!$A:$AJ,BO$5,0),0),IF(ISERROR(1/VLOOKUP($R239,Capa!$A:$AJ,BO$5,0)),0,1/VLOOKUP($R239,Capa!$A:$AJ,BO$5,0))))</f>
        <v/>
      </c>
      <c r="BP239" s="174" t="str">
        <f>IF(BP$6="","",IF(BP$3="Maior",iferror(VLOOKUP($R239,Capa!$A:$AJ,BP$5,0),0),IF(ISERROR(1/VLOOKUP($R239,Capa!$A:$AJ,BP$5,0)),0,1/VLOOKUP($R239,Capa!$A:$AJ,BP$5,0))))</f>
        <v/>
      </c>
      <c r="BQ239" s="174" t="str">
        <f>IF(BQ$6="","",IF(BQ$3="Maior",iferror(VLOOKUP($R239,Capa!$A:$AJ,BQ$5,0),0),IF(ISERROR(1/VLOOKUP($R239,Capa!$A:$AJ,BQ$5,0)),0,1/VLOOKUP($R239,Capa!$A:$AJ,BQ$5,0))))</f>
        <v/>
      </c>
      <c r="BR239" s="175"/>
      <c r="BS239" s="147"/>
    </row>
    <row r="240">
      <c r="G240" s="11"/>
      <c r="H240" s="8">
        <v>234.0</v>
      </c>
      <c r="I240" s="165" t="str">
        <f t="shared" si="6"/>
        <v>YDUQ3</v>
      </c>
      <c r="J240" s="166" t="str">
        <f>(VLOOKUP($I240,Capa!$A:$B,2,0))</f>
        <v>YDUQS Participacoes SA</v>
      </c>
      <c r="K240" s="167" t="str">
        <f>VLOOKUP(left(I240,4),Setor!A:D,3,0)&amp;" | "&amp;VLOOKUP(left(I240,4),Setor!A:D,4,0)</f>
        <v>Consumo Cíclico | Diversos</v>
      </c>
      <c r="L240" s="168">
        <f>(VLOOKUP($I240,Capa!$A:$F,6,0))</f>
        <v>13.08</v>
      </c>
      <c r="M240" s="168">
        <f t="shared" si="7"/>
        <v>58230737</v>
      </c>
      <c r="N240" s="177" t="str">
        <f>IFERROR(__xludf.DUMMYFUNCTION("(VLOOKUP($I240,Capa!$A:$H,7,0))"),"")</f>
        <v/>
      </c>
      <c r="O240" s="177" t="str">
        <f>(VLOOKUP($I240,Capa!$A:$H,8,0))</f>
        <v/>
      </c>
      <c r="P240" s="169" t="str">
        <f>IFERROR(__xludf.DUMMYFUNCTION("(VLOOKUP($I240,Capa!$A:$J,10,0))"),"")</f>
        <v/>
      </c>
      <c r="Q240" s="169">
        <f>(VLOOKUP($I240,Capa!$A:$K,11,0))</f>
        <v>0.1160409556</v>
      </c>
      <c r="R240" s="45" t="str">
        <f>'Dados StatusInvest'!A235</f>
        <v>ELEK4</v>
      </c>
      <c r="S240" s="170">
        <f t="shared" si="234"/>
        <v>1414.0414</v>
      </c>
      <c r="T240" s="171">
        <f>VLOOKUP(R240,'Dados StatusInvest'!A:Z,26,0)</f>
        <v>0</v>
      </c>
      <c r="U240" s="172">
        <f t="shared" ref="U240:AS240" si="243">IF(AT240="","", RANK(AT240,AT$7:AT$626,0)+RANK(AT240,AT$7:AT$626,0)/10000)</f>
        <v>147.0147</v>
      </c>
      <c r="V240" s="172">
        <f t="shared" si="243"/>
        <v>267.0267</v>
      </c>
      <c r="W240" s="172" t="str">
        <f t="shared" si="243"/>
        <v/>
      </c>
      <c r="X240" s="172" t="str">
        <f t="shared" si="243"/>
        <v/>
      </c>
      <c r="Y240" s="172" t="str">
        <f t="shared" si="243"/>
        <v/>
      </c>
      <c r="Z240" s="172" t="str">
        <f t="shared" si="243"/>
        <v/>
      </c>
      <c r="AA240" s="172" t="str">
        <f t="shared" si="243"/>
        <v/>
      </c>
      <c r="AB240" s="172" t="str">
        <f t="shared" si="243"/>
        <v/>
      </c>
      <c r="AC240" s="172" t="str">
        <f t="shared" si="243"/>
        <v/>
      </c>
      <c r="AD240" s="172" t="str">
        <f t="shared" si="243"/>
        <v/>
      </c>
      <c r="AE240" s="172" t="str">
        <f t="shared" si="243"/>
        <v/>
      </c>
      <c r="AF240" s="172" t="str">
        <f t="shared" si="243"/>
        <v/>
      </c>
      <c r="AG240" s="172" t="str">
        <f t="shared" si="243"/>
        <v/>
      </c>
      <c r="AH240" s="172" t="str">
        <f t="shared" si="243"/>
        <v/>
      </c>
      <c r="AI240" s="172" t="str">
        <f t="shared" si="243"/>
        <v/>
      </c>
      <c r="AJ240" s="172" t="str">
        <f t="shared" si="243"/>
        <v/>
      </c>
      <c r="AK240" s="172" t="str">
        <f t="shared" si="243"/>
        <v/>
      </c>
      <c r="AL240" s="172" t="str">
        <f t="shared" si="243"/>
        <v/>
      </c>
      <c r="AM240" s="172" t="str">
        <f t="shared" si="243"/>
        <v/>
      </c>
      <c r="AN240" s="172" t="str">
        <f t="shared" si="243"/>
        <v/>
      </c>
      <c r="AO240" s="172" t="str">
        <f t="shared" si="243"/>
        <v/>
      </c>
      <c r="AP240" s="172" t="str">
        <f t="shared" si="243"/>
        <v/>
      </c>
      <c r="AQ240" s="172" t="str">
        <f t="shared" si="243"/>
        <v/>
      </c>
      <c r="AR240" s="172" t="str">
        <f t="shared" si="243"/>
        <v/>
      </c>
      <c r="AS240" s="172" t="str">
        <f t="shared" si="243"/>
        <v/>
      </c>
      <c r="AT240" s="173">
        <f>IF(AT$6="","",IF(AT$3="Maior",iferror(VLOOKUP($R240,Capa!$A:$AJ,AT$5,0),0),IF(ISERROR(1/VLOOKUP($R240,Capa!$A:$AJ,AT$5,0)),0,1/VLOOKUP($R240,Capa!$A:$AJ,AT$5,0))))</f>
        <v>-0.08143322476</v>
      </c>
      <c r="AU240" s="174">
        <f>IF(AU$6="","",IF(AU$3="Maior",iferror(VLOOKUP($R240,Capa!$A:$AJ,AU$5,0),0),IF(ISERROR(1/VLOOKUP($R240,Capa!$A:$AJ,AU$5,0)),0,1/VLOOKUP($R240,Capa!$A:$AJ,AU$5,0))))</f>
        <v>0</v>
      </c>
      <c r="AV240" s="174" t="str">
        <f>IF(AV$6="","",IF(AV$3="Maior",iferror(VLOOKUP($R240,Capa!$A:$AJ,AV$5,0),0),IF(ISERROR(1/VLOOKUP($R240,Capa!$A:$AJ,AV$5,0)),0,1/VLOOKUP($R240,Capa!$A:$AJ,AV$5,0))))</f>
        <v/>
      </c>
      <c r="AW240" s="174" t="str">
        <f>IF(AW$6="","",IF(AW$3="Maior",iferror(VLOOKUP($R240,Capa!$A:$AJ,AW$5,0),0),IF(ISERROR(1/VLOOKUP($R240,Capa!$A:$AJ,AW$5,0)),0,1/VLOOKUP($R240,Capa!$A:$AJ,AW$5,0))))</f>
        <v/>
      </c>
      <c r="AX240" s="174" t="str">
        <f>IF(AX$6="","",IF(AX$3="Maior",iferror(VLOOKUP($R240,Capa!$A:$AJ,AX$5,0),0),IF(ISERROR(1/VLOOKUP($R240,Capa!$A:$AJ,AX$5,0)),0,1/VLOOKUP($R240,Capa!$A:$AJ,AX$5,0))))</f>
        <v/>
      </c>
      <c r="AY240" s="174" t="str">
        <f>IF(AY$6="","",IF(AY$3="Maior",iferror(VLOOKUP($R240,Capa!$A:$AJ,AY$5,0),0),IF(ISERROR(1/VLOOKUP($R240,Capa!$A:$AJ,AY$5,0)),0,1/VLOOKUP($R240,Capa!$A:$AJ,AY$5,0))))</f>
        <v/>
      </c>
      <c r="AZ240" s="174" t="str">
        <f>IF(AZ$6="","",IF(AZ$3="Maior",iferror(VLOOKUP($R240,Capa!$A:$AJ,AZ$5,0),0),IF(ISERROR(1/VLOOKUP($R240,Capa!$A:$AJ,AZ$5,0)),0,1/VLOOKUP($R240,Capa!$A:$AJ,AZ$5,0))))</f>
        <v/>
      </c>
      <c r="BA240" s="174" t="str">
        <f>IF(BA$6="","",IF(BA$3="Maior",iferror(VLOOKUP($R240,Capa!$A:$AJ,BA$5,0),0),IF(ISERROR(1/VLOOKUP($R240,Capa!$A:$AJ,BA$5,0)),0,1/VLOOKUP($R240,Capa!$A:$AJ,BA$5,0))))</f>
        <v/>
      </c>
      <c r="BB240" s="174" t="str">
        <f>IF(BB$6="","",IF(BB$3="Maior",iferror(VLOOKUP($R240,Capa!$A:$AJ,BB$5,0),0),IF(ISERROR(1/VLOOKUP($R240,Capa!$A:$AJ,BB$5,0)),0,1/VLOOKUP($R240,Capa!$A:$AJ,BB$5,0))))</f>
        <v/>
      </c>
      <c r="BC240" s="174" t="str">
        <f>IF(BC$6="","",IF(BC$3="Maior",iferror(VLOOKUP($R240,Capa!$A:$AJ,BC$5,0),0),IF(ISERROR(1/VLOOKUP($R240,Capa!$A:$AJ,BC$5,0)),0,1/VLOOKUP($R240,Capa!$A:$AJ,BC$5,0))))</f>
        <v/>
      </c>
      <c r="BD240" s="174" t="str">
        <f>IF(BD$6="","",IF(BD$3="Maior",iferror(VLOOKUP($R240,Capa!$A:$AJ,BD$5,0),0),IF(ISERROR(1/VLOOKUP($R240,Capa!$A:$AJ,BD$5,0)),0,1/VLOOKUP($R240,Capa!$A:$AJ,BD$5,0))))</f>
        <v/>
      </c>
      <c r="BE240" s="174" t="str">
        <f>IF(BE$6="","",IF(BE$3="Maior",iferror(VLOOKUP($R240,Capa!$A:$AJ,BE$5,0),0),IF(ISERROR(1/VLOOKUP($R240,Capa!$A:$AJ,BE$5,0)),0,1/VLOOKUP($R240,Capa!$A:$AJ,BE$5,0))))</f>
        <v/>
      </c>
      <c r="BF240" s="174" t="str">
        <f>IF(BF$6="","",IF(BF$3="Maior",iferror(VLOOKUP($R240,Capa!$A:$AJ,BF$5,0),0),IF(ISERROR(1/VLOOKUP($R240,Capa!$A:$AJ,BF$5,0)),0,1/VLOOKUP($R240,Capa!$A:$AJ,BF$5,0))))</f>
        <v/>
      </c>
      <c r="BG240" s="174" t="str">
        <f>IF(BG$6="","",IF(BG$3="Maior",iferror(VLOOKUP($R240,Capa!$A:$AJ,BG$5,0),0),IF(ISERROR(1/VLOOKUP($R240,Capa!$A:$AJ,BG$5,0)),0,1/VLOOKUP($R240,Capa!$A:$AJ,BG$5,0))))</f>
        <v/>
      </c>
      <c r="BH240" s="174" t="str">
        <f>IF(BH$6="","",IF(BH$3="Maior",iferror(VLOOKUP($R240,Capa!$A:$AJ,BH$5,0),0),IF(ISERROR(1/VLOOKUP($R240,Capa!$A:$AJ,BH$5,0)),0,1/VLOOKUP($R240,Capa!$A:$AJ,BH$5,0))))</f>
        <v/>
      </c>
      <c r="BI240" s="174" t="str">
        <f>IF(BI$6="","",IF(BI$3="Maior",iferror(VLOOKUP($R240,Capa!$A:$AJ,BI$5,0),0),IF(ISERROR(1/VLOOKUP($R240,Capa!$A:$AJ,BI$5,0)),0,1/VLOOKUP($R240,Capa!$A:$AJ,BI$5,0))))</f>
        <v/>
      </c>
      <c r="BJ240" s="174" t="str">
        <f>IF(BJ$6="","",IF(BJ$3="Maior",iferror(VLOOKUP($R240,Capa!$A:$AJ,BJ$5,0),0),IF(ISERROR(1/VLOOKUP($R240,Capa!$A:$AJ,BJ$5,0)),0,1/VLOOKUP($R240,Capa!$A:$AJ,BJ$5,0))))</f>
        <v/>
      </c>
      <c r="BK240" s="174" t="str">
        <f>IF(BK$6="","",IF(BK$3="Maior",iferror(VLOOKUP($R240,Capa!$A:$AJ,BK$5,0),0),IF(ISERROR(1/VLOOKUP($R240,Capa!$A:$AJ,BK$5,0)),0,1/VLOOKUP($R240,Capa!$A:$AJ,BK$5,0))))</f>
        <v/>
      </c>
      <c r="BL240" s="174" t="str">
        <f>IF(BL$6="","",IF(BL$3="Maior",iferror(VLOOKUP($R240,Capa!$A:$AJ,BL$5,0),0),IF(ISERROR(1/VLOOKUP($R240,Capa!$A:$AJ,BL$5,0)),0,1/VLOOKUP($R240,Capa!$A:$AJ,BL$5,0))))</f>
        <v/>
      </c>
      <c r="BM240" s="174" t="str">
        <f>IF(BM$6="","",IF(BM$3="Maior",iferror(VLOOKUP($R240,Capa!$A:$AJ,BM$5,0),0),IF(ISERROR(1/VLOOKUP($R240,Capa!$A:$AJ,BM$5,0)),0,1/VLOOKUP($R240,Capa!$A:$AJ,BM$5,0))))</f>
        <v/>
      </c>
      <c r="BN240" s="174" t="str">
        <f>IF(BN$6="","",IF(BN$3="Maior",iferror(VLOOKUP($R240,Capa!$A:$AJ,BN$5,0),0),IF(ISERROR(1/VLOOKUP($R240,Capa!$A:$AJ,BN$5,0)),0,1/VLOOKUP($R240,Capa!$A:$AJ,BN$5,0))))</f>
        <v/>
      </c>
      <c r="BO240" s="174" t="str">
        <f>IF(BO$6="","",IF(BO$3="Maior",iferror(VLOOKUP($R240,Capa!$A:$AJ,BO$5,0),0),IF(ISERROR(1/VLOOKUP($R240,Capa!$A:$AJ,BO$5,0)),0,1/VLOOKUP($R240,Capa!$A:$AJ,BO$5,0))))</f>
        <v/>
      </c>
      <c r="BP240" s="174" t="str">
        <f>IF(BP$6="","",IF(BP$3="Maior",iferror(VLOOKUP($R240,Capa!$A:$AJ,BP$5,0),0),IF(ISERROR(1/VLOOKUP($R240,Capa!$A:$AJ,BP$5,0)),0,1/VLOOKUP($R240,Capa!$A:$AJ,BP$5,0))))</f>
        <v/>
      </c>
      <c r="BQ240" s="174" t="str">
        <f>IF(BQ$6="","",IF(BQ$3="Maior",iferror(VLOOKUP($R240,Capa!$A:$AJ,BQ$5,0),0),IF(ISERROR(1/VLOOKUP($R240,Capa!$A:$AJ,BQ$5,0)),0,1/VLOOKUP($R240,Capa!$A:$AJ,BQ$5,0))))</f>
        <v/>
      </c>
      <c r="BR240" s="175"/>
      <c r="BS240" s="147"/>
    </row>
    <row r="241">
      <c r="G241" s="11"/>
      <c r="H241" s="8">
        <v>235.0</v>
      </c>
      <c r="I241" s="165" t="str">
        <f t="shared" si="6"/>
        <v>ASAI3</v>
      </c>
      <c r="J241" s="166" t="str">
        <f>(VLOOKUP($I241,Capa!$A:$B,2,0))</f>
        <v>Sendas Distribuidora SA</v>
      </c>
      <c r="K241" s="167" t="str">
        <f>VLOOKUP(left(I241,4),Setor!A:D,3,0)&amp;" | "&amp;VLOOKUP(left(I241,4),Setor!A:D,4,0)</f>
        <v>Consumo Cíclico | Comércio</v>
      </c>
      <c r="L241" s="168">
        <f>(VLOOKUP($I241,Capa!$A:$F,6,0))</f>
        <v>9.48</v>
      </c>
      <c r="M241" s="168">
        <f t="shared" si="7"/>
        <v>179000000</v>
      </c>
      <c r="N241" s="11" t="str">
        <f>IFERROR(__xludf.DUMMYFUNCTION("(VLOOKUP($I241,Capa!$A:$H,7,0))"),"")</f>
        <v/>
      </c>
      <c r="O241" s="169">
        <f>(VLOOKUP($I241,Capa!$A:$H,8,0))</f>
        <v>0.2279792746</v>
      </c>
      <c r="P241" s="11" t="str">
        <f>IFERROR(__xludf.DUMMYFUNCTION("(VLOOKUP($I241,Capa!$A:$J,10,0))"),"")</f>
        <v/>
      </c>
      <c r="Q241" s="169">
        <f>(VLOOKUP($I241,Capa!$A:$K,11,0))</f>
        <v>0.3581661891</v>
      </c>
      <c r="R241" s="45" t="str">
        <f>'Dados StatusInvest'!A236</f>
        <v>ELMD3</v>
      </c>
      <c r="S241" s="170">
        <f t="shared" si="234"/>
        <v>169.0169</v>
      </c>
      <c r="T241" s="171">
        <f>VLOOKUP(R241,'Dados StatusInvest'!A:Z,26,0)</f>
        <v>704100</v>
      </c>
      <c r="U241" s="172">
        <f t="shared" ref="U241:AS241" si="244">IF(AT241="","", RANK(AT241,AT$7:AT$626,0)+RANK(AT241,AT$7:AT$626,0)/10000)</f>
        <v>146.0146</v>
      </c>
      <c r="V241" s="172">
        <f t="shared" si="244"/>
        <v>23.0023</v>
      </c>
      <c r="W241" s="172" t="str">
        <f t="shared" si="244"/>
        <v/>
      </c>
      <c r="X241" s="172" t="str">
        <f t="shared" si="244"/>
        <v/>
      </c>
      <c r="Y241" s="172" t="str">
        <f t="shared" si="244"/>
        <v/>
      </c>
      <c r="Z241" s="172" t="str">
        <f t="shared" si="244"/>
        <v/>
      </c>
      <c r="AA241" s="172" t="str">
        <f t="shared" si="244"/>
        <v/>
      </c>
      <c r="AB241" s="172" t="str">
        <f t="shared" si="244"/>
        <v/>
      </c>
      <c r="AC241" s="172" t="str">
        <f t="shared" si="244"/>
        <v/>
      </c>
      <c r="AD241" s="172" t="str">
        <f t="shared" si="244"/>
        <v/>
      </c>
      <c r="AE241" s="172" t="str">
        <f t="shared" si="244"/>
        <v/>
      </c>
      <c r="AF241" s="172" t="str">
        <f t="shared" si="244"/>
        <v/>
      </c>
      <c r="AG241" s="172" t="str">
        <f t="shared" si="244"/>
        <v/>
      </c>
      <c r="AH241" s="172" t="str">
        <f t="shared" si="244"/>
        <v/>
      </c>
      <c r="AI241" s="172" t="str">
        <f t="shared" si="244"/>
        <v/>
      </c>
      <c r="AJ241" s="172" t="str">
        <f t="shared" si="244"/>
        <v/>
      </c>
      <c r="AK241" s="172" t="str">
        <f t="shared" si="244"/>
        <v/>
      </c>
      <c r="AL241" s="172" t="str">
        <f t="shared" si="244"/>
        <v/>
      </c>
      <c r="AM241" s="172" t="str">
        <f t="shared" si="244"/>
        <v/>
      </c>
      <c r="AN241" s="172" t="str">
        <f t="shared" si="244"/>
        <v/>
      </c>
      <c r="AO241" s="172" t="str">
        <f t="shared" si="244"/>
        <v/>
      </c>
      <c r="AP241" s="172" t="str">
        <f t="shared" si="244"/>
        <v/>
      </c>
      <c r="AQ241" s="172" t="str">
        <f t="shared" si="244"/>
        <v/>
      </c>
      <c r="AR241" s="172" t="str">
        <f t="shared" si="244"/>
        <v/>
      </c>
      <c r="AS241" s="172" t="str">
        <f t="shared" si="244"/>
        <v/>
      </c>
      <c r="AT241" s="173">
        <f>IF(AT$6="","",IF(AT$3="Maior",iferror(VLOOKUP($R241,Capa!$A:$AJ,AT$5,0),0),IF(ISERROR(1/VLOOKUP($R241,Capa!$A:$AJ,AT$5,0)),0,1/VLOOKUP($R241,Capa!$A:$AJ,AT$5,0))))</f>
        <v>-0.08143322476</v>
      </c>
      <c r="AU241" s="174">
        <f>IF(AU$6="","",IF(AU$3="Maior",iferror(VLOOKUP($R241,Capa!$A:$AJ,AU$5,0),0),IF(ISERROR(1/VLOOKUP($R241,Capa!$A:$AJ,AU$5,0)),0,1/VLOOKUP($R241,Capa!$A:$AJ,AU$5,0))))</f>
        <v>51.88</v>
      </c>
      <c r="AV241" s="174" t="str">
        <f>IF(AV$6="","",IF(AV$3="Maior",iferror(VLOOKUP($R241,Capa!$A:$AJ,AV$5,0),0),IF(ISERROR(1/VLOOKUP($R241,Capa!$A:$AJ,AV$5,0)),0,1/VLOOKUP($R241,Capa!$A:$AJ,AV$5,0))))</f>
        <v/>
      </c>
      <c r="AW241" s="174" t="str">
        <f>IF(AW$6="","",IF(AW$3="Maior",iferror(VLOOKUP($R241,Capa!$A:$AJ,AW$5,0),0),IF(ISERROR(1/VLOOKUP($R241,Capa!$A:$AJ,AW$5,0)),0,1/VLOOKUP($R241,Capa!$A:$AJ,AW$5,0))))</f>
        <v/>
      </c>
      <c r="AX241" s="174" t="str">
        <f>IF(AX$6="","",IF(AX$3="Maior",iferror(VLOOKUP($R241,Capa!$A:$AJ,AX$5,0),0),IF(ISERROR(1/VLOOKUP($R241,Capa!$A:$AJ,AX$5,0)),0,1/VLOOKUP($R241,Capa!$A:$AJ,AX$5,0))))</f>
        <v/>
      </c>
      <c r="AY241" s="174" t="str">
        <f>IF(AY$6="","",IF(AY$3="Maior",iferror(VLOOKUP($R241,Capa!$A:$AJ,AY$5,0),0),IF(ISERROR(1/VLOOKUP($R241,Capa!$A:$AJ,AY$5,0)),0,1/VLOOKUP($R241,Capa!$A:$AJ,AY$5,0))))</f>
        <v/>
      </c>
      <c r="AZ241" s="174" t="str">
        <f>IF(AZ$6="","",IF(AZ$3="Maior",iferror(VLOOKUP($R241,Capa!$A:$AJ,AZ$5,0),0),IF(ISERROR(1/VLOOKUP($R241,Capa!$A:$AJ,AZ$5,0)),0,1/VLOOKUP($R241,Capa!$A:$AJ,AZ$5,0))))</f>
        <v/>
      </c>
      <c r="BA241" s="174" t="str">
        <f>IF(BA$6="","",IF(BA$3="Maior",iferror(VLOOKUP($R241,Capa!$A:$AJ,BA$5,0),0),IF(ISERROR(1/VLOOKUP($R241,Capa!$A:$AJ,BA$5,0)),0,1/VLOOKUP($R241,Capa!$A:$AJ,BA$5,0))))</f>
        <v/>
      </c>
      <c r="BB241" s="174" t="str">
        <f>IF(BB$6="","",IF(BB$3="Maior",iferror(VLOOKUP($R241,Capa!$A:$AJ,BB$5,0),0),IF(ISERROR(1/VLOOKUP($R241,Capa!$A:$AJ,BB$5,0)),0,1/VLOOKUP($R241,Capa!$A:$AJ,BB$5,0))))</f>
        <v/>
      </c>
      <c r="BC241" s="174" t="str">
        <f>IF(BC$6="","",IF(BC$3="Maior",iferror(VLOOKUP($R241,Capa!$A:$AJ,BC$5,0),0),IF(ISERROR(1/VLOOKUP($R241,Capa!$A:$AJ,BC$5,0)),0,1/VLOOKUP($R241,Capa!$A:$AJ,BC$5,0))))</f>
        <v/>
      </c>
      <c r="BD241" s="174" t="str">
        <f>IF(BD$6="","",IF(BD$3="Maior",iferror(VLOOKUP($R241,Capa!$A:$AJ,BD$5,0),0),IF(ISERROR(1/VLOOKUP($R241,Capa!$A:$AJ,BD$5,0)),0,1/VLOOKUP($R241,Capa!$A:$AJ,BD$5,0))))</f>
        <v/>
      </c>
      <c r="BE241" s="174" t="str">
        <f>IF(BE$6="","",IF(BE$3="Maior",iferror(VLOOKUP($R241,Capa!$A:$AJ,BE$5,0),0),IF(ISERROR(1/VLOOKUP($R241,Capa!$A:$AJ,BE$5,0)),0,1/VLOOKUP($R241,Capa!$A:$AJ,BE$5,0))))</f>
        <v/>
      </c>
      <c r="BF241" s="174" t="str">
        <f>IF(BF$6="","",IF(BF$3="Maior",iferror(VLOOKUP($R241,Capa!$A:$AJ,BF$5,0),0),IF(ISERROR(1/VLOOKUP($R241,Capa!$A:$AJ,BF$5,0)),0,1/VLOOKUP($R241,Capa!$A:$AJ,BF$5,0))))</f>
        <v/>
      </c>
      <c r="BG241" s="174" t="str">
        <f>IF(BG$6="","",IF(BG$3="Maior",iferror(VLOOKUP($R241,Capa!$A:$AJ,BG$5,0),0),IF(ISERROR(1/VLOOKUP($R241,Capa!$A:$AJ,BG$5,0)),0,1/VLOOKUP($R241,Capa!$A:$AJ,BG$5,0))))</f>
        <v/>
      </c>
      <c r="BH241" s="174" t="str">
        <f>IF(BH$6="","",IF(BH$3="Maior",iferror(VLOOKUP($R241,Capa!$A:$AJ,BH$5,0),0),IF(ISERROR(1/VLOOKUP($R241,Capa!$A:$AJ,BH$5,0)),0,1/VLOOKUP($R241,Capa!$A:$AJ,BH$5,0))))</f>
        <v/>
      </c>
      <c r="BI241" s="174" t="str">
        <f>IF(BI$6="","",IF(BI$3="Maior",iferror(VLOOKUP($R241,Capa!$A:$AJ,BI$5,0),0),IF(ISERROR(1/VLOOKUP($R241,Capa!$A:$AJ,BI$5,0)),0,1/VLOOKUP($R241,Capa!$A:$AJ,BI$5,0))))</f>
        <v/>
      </c>
      <c r="BJ241" s="174" t="str">
        <f>IF(BJ$6="","",IF(BJ$3="Maior",iferror(VLOOKUP($R241,Capa!$A:$AJ,BJ$5,0),0),IF(ISERROR(1/VLOOKUP($R241,Capa!$A:$AJ,BJ$5,0)),0,1/VLOOKUP($R241,Capa!$A:$AJ,BJ$5,0))))</f>
        <v/>
      </c>
      <c r="BK241" s="174" t="str">
        <f>IF(BK$6="","",IF(BK$3="Maior",iferror(VLOOKUP($R241,Capa!$A:$AJ,BK$5,0),0),IF(ISERROR(1/VLOOKUP($R241,Capa!$A:$AJ,BK$5,0)),0,1/VLOOKUP($R241,Capa!$A:$AJ,BK$5,0))))</f>
        <v/>
      </c>
      <c r="BL241" s="174" t="str">
        <f>IF(BL$6="","",IF(BL$3="Maior",iferror(VLOOKUP($R241,Capa!$A:$AJ,BL$5,0),0),IF(ISERROR(1/VLOOKUP($R241,Capa!$A:$AJ,BL$5,0)),0,1/VLOOKUP($R241,Capa!$A:$AJ,BL$5,0))))</f>
        <v/>
      </c>
      <c r="BM241" s="174" t="str">
        <f>IF(BM$6="","",IF(BM$3="Maior",iferror(VLOOKUP($R241,Capa!$A:$AJ,BM$5,0),0),IF(ISERROR(1/VLOOKUP($R241,Capa!$A:$AJ,BM$5,0)),0,1/VLOOKUP($R241,Capa!$A:$AJ,BM$5,0))))</f>
        <v/>
      </c>
      <c r="BN241" s="174" t="str">
        <f>IF(BN$6="","",IF(BN$3="Maior",iferror(VLOOKUP($R241,Capa!$A:$AJ,BN$5,0),0),IF(ISERROR(1/VLOOKUP($R241,Capa!$A:$AJ,BN$5,0)),0,1/VLOOKUP($R241,Capa!$A:$AJ,BN$5,0))))</f>
        <v/>
      </c>
      <c r="BO241" s="174" t="str">
        <f>IF(BO$6="","",IF(BO$3="Maior",iferror(VLOOKUP($R241,Capa!$A:$AJ,BO$5,0),0),IF(ISERROR(1/VLOOKUP($R241,Capa!$A:$AJ,BO$5,0)),0,1/VLOOKUP($R241,Capa!$A:$AJ,BO$5,0))))</f>
        <v/>
      </c>
      <c r="BP241" s="174" t="str">
        <f>IF(BP$6="","",IF(BP$3="Maior",iferror(VLOOKUP($R241,Capa!$A:$AJ,BP$5,0),0),IF(ISERROR(1/VLOOKUP($R241,Capa!$A:$AJ,BP$5,0)),0,1/VLOOKUP($R241,Capa!$A:$AJ,BP$5,0))))</f>
        <v/>
      </c>
      <c r="BQ241" s="174" t="str">
        <f>IF(BQ$6="","",IF(BQ$3="Maior",iferror(VLOOKUP($R241,Capa!$A:$AJ,BQ$5,0),0),IF(ISERROR(1/VLOOKUP($R241,Capa!$A:$AJ,BQ$5,0)),0,1/VLOOKUP($R241,Capa!$A:$AJ,BQ$5,0))))</f>
        <v/>
      </c>
      <c r="BR241" s="175"/>
      <c r="BS241" s="147"/>
    </row>
    <row r="242">
      <c r="G242" s="11"/>
      <c r="H242" s="8">
        <v>236.0</v>
      </c>
      <c r="I242" s="165" t="str">
        <f t="shared" si="6"/>
        <v>IRBR3</v>
      </c>
      <c r="J242" s="166" t="str">
        <f>(VLOOKUP($I242,Capa!$A:$B,2,0))</f>
        <v>IRB-Brasil Resseguros SA</v>
      </c>
      <c r="K242" s="167" t="str">
        <f>VLOOKUP(left(I242,4),Setor!A:D,3,0)&amp;" | "&amp;VLOOKUP(left(I242,4),Setor!A:D,4,0)</f>
        <v>Financeiro | Previdência e Seguros</v>
      </c>
      <c r="L242" s="168">
        <f>(VLOOKUP($I242,Capa!$A:$F,6,0))</f>
        <v>58.65</v>
      </c>
      <c r="M242" s="168">
        <f t="shared" si="7"/>
        <v>51395002</v>
      </c>
      <c r="N242" s="11" t="str">
        <f>IFERROR(__xludf.DUMMYFUNCTION("(VLOOKUP($I242,Capa!$A:$H,7,0))"),"")</f>
        <v/>
      </c>
      <c r="O242" s="169">
        <f>(VLOOKUP($I242,Capa!$A:$H,8,0))</f>
        <v>0.07358594179</v>
      </c>
      <c r="P242" s="11" t="str">
        <f>IFERROR(__xludf.DUMMYFUNCTION("(VLOOKUP($I242,Capa!$A:$J,10,0))"),"")</f>
        <v/>
      </c>
      <c r="Q242" s="169">
        <f>(VLOOKUP($I242,Capa!$A:$K,11,0))</f>
        <v>0.07911683533</v>
      </c>
      <c r="R242" s="45" t="str">
        <f>'Dados StatusInvest'!A237</f>
        <v>ELPL3</v>
      </c>
      <c r="S242" s="170">
        <f t="shared" si="234"/>
        <v>1258.0258</v>
      </c>
      <c r="T242" s="171">
        <f>VLOOKUP(R242,'Dados StatusInvest'!A:Z,26,0)</f>
        <v>0</v>
      </c>
      <c r="U242" s="172">
        <f t="shared" ref="U242:AS242" si="245">IF(AT242="","", RANK(AT242,AT$7:AT$626,0)+RANK(AT242,AT$7:AT$626,0)/10000)</f>
        <v>10.001</v>
      </c>
      <c r="V242" s="172">
        <f t="shared" si="245"/>
        <v>248.0248</v>
      </c>
      <c r="W242" s="172" t="str">
        <f t="shared" si="245"/>
        <v/>
      </c>
      <c r="X242" s="172" t="str">
        <f t="shared" si="245"/>
        <v/>
      </c>
      <c r="Y242" s="172" t="str">
        <f t="shared" si="245"/>
        <v/>
      </c>
      <c r="Z242" s="172" t="str">
        <f t="shared" si="245"/>
        <v/>
      </c>
      <c r="AA242" s="172" t="str">
        <f t="shared" si="245"/>
        <v/>
      </c>
      <c r="AB242" s="172" t="str">
        <f t="shared" si="245"/>
        <v/>
      </c>
      <c r="AC242" s="172" t="str">
        <f t="shared" si="245"/>
        <v/>
      </c>
      <c r="AD242" s="172" t="str">
        <f t="shared" si="245"/>
        <v/>
      </c>
      <c r="AE242" s="172" t="str">
        <f t="shared" si="245"/>
        <v/>
      </c>
      <c r="AF242" s="172" t="str">
        <f t="shared" si="245"/>
        <v/>
      </c>
      <c r="AG242" s="172" t="str">
        <f t="shared" si="245"/>
        <v/>
      </c>
      <c r="AH242" s="172" t="str">
        <f t="shared" si="245"/>
        <v/>
      </c>
      <c r="AI242" s="172" t="str">
        <f t="shared" si="245"/>
        <v/>
      </c>
      <c r="AJ242" s="172" t="str">
        <f t="shared" si="245"/>
        <v/>
      </c>
      <c r="AK242" s="172" t="str">
        <f t="shared" si="245"/>
        <v/>
      </c>
      <c r="AL242" s="172" t="str">
        <f t="shared" si="245"/>
        <v/>
      </c>
      <c r="AM242" s="172" t="str">
        <f t="shared" si="245"/>
        <v/>
      </c>
      <c r="AN242" s="172" t="str">
        <f t="shared" si="245"/>
        <v/>
      </c>
      <c r="AO242" s="172" t="str">
        <f t="shared" si="245"/>
        <v/>
      </c>
      <c r="AP242" s="172" t="str">
        <f t="shared" si="245"/>
        <v/>
      </c>
      <c r="AQ242" s="172" t="str">
        <f t="shared" si="245"/>
        <v/>
      </c>
      <c r="AR242" s="172" t="str">
        <f t="shared" si="245"/>
        <v/>
      </c>
      <c r="AS242" s="172" t="str">
        <f t="shared" si="245"/>
        <v/>
      </c>
      <c r="AT242" s="173">
        <f>IF(AT$6="","",IF(AT$3="Maior",iferror(VLOOKUP($R242,Capa!$A:$AJ,AT$5,0),0),IF(ISERROR(1/VLOOKUP($R242,Capa!$A:$AJ,AT$5,0)),0,1/VLOOKUP($R242,Capa!$A:$AJ,AT$5,0))))</f>
        <v>2.173913043</v>
      </c>
      <c r="AU242" s="174">
        <f>IF(AU$6="","",IF(AU$3="Maior",iferror(VLOOKUP($R242,Capa!$A:$AJ,AU$5,0),0),IF(ISERROR(1/VLOOKUP($R242,Capa!$A:$AJ,AU$5,0)),0,1/VLOOKUP($R242,Capa!$A:$AJ,AU$5,0))))</f>
        <v>3.85</v>
      </c>
      <c r="AV242" s="174" t="str">
        <f>IF(AV$6="","",IF(AV$3="Maior",iferror(VLOOKUP($R242,Capa!$A:$AJ,AV$5,0),0),IF(ISERROR(1/VLOOKUP($R242,Capa!$A:$AJ,AV$5,0)),0,1/VLOOKUP($R242,Capa!$A:$AJ,AV$5,0))))</f>
        <v/>
      </c>
      <c r="AW242" s="174" t="str">
        <f>IF(AW$6="","",IF(AW$3="Maior",iferror(VLOOKUP($R242,Capa!$A:$AJ,AW$5,0),0),IF(ISERROR(1/VLOOKUP($R242,Capa!$A:$AJ,AW$5,0)),0,1/VLOOKUP($R242,Capa!$A:$AJ,AW$5,0))))</f>
        <v/>
      </c>
      <c r="AX242" s="174" t="str">
        <f>IF(AX$6="","",IF(AX$3="Maior",iferror(VLOOKUP($R242,Capa!$A:$AJ,AX$5,0),0),IF(ISERROR(1/VLOOKUP($R242,Capa!$A:$AJ,AX$5,0)),0,1/VLOOKUP($R242,Capa!$A:$AJ,AX$5,0))))</f>
        <v/>
      </c>
      <c r="AY242" s="174" t="str">
        <f>IF(AY$6="","",IF(AY$3="Maior",iferror(VLOOKUP($R242,Capa!$A:$AJ,AY$5,0),0),IF(ISERROR(1/VLOOKUP($R242,Capa!$A:$AJ,AY$5,0)),0,1/VLOOKUP($R242,Capa!$A:$AJ,AY$5,0))))</f>
        <v/>
      </c>
      <c r="AZ242" s="174" t="str">
        <f>IF(AZ$6="","",IF(AZ$3="Maior",iferror(VLOOKUP($R242,Capa!$A:$AJ,AZ$5,0),0),IF(ISERROR(1/VLOOKUP($R242,Capa!$A:$AJ,AZ$5,0)),0,1/VLOOKUP($R242,Capa!$A:$AJ,AZ$5,0))))</f>
        <v/>
      </c>
      <c r="BA242" s="174" t="str">
        <f>IF(BA$6="","",IF(BA$3="Maior",iferror(VLOOKUP($R242,Capa!$A:$AJ,BA$5,0),0),IF(ISERROR(1/VLOOKUP($R242,Capa!$A:$AJ,BA$5,0)),0,1/VLOOKUP($R242,Capa!$A:$AJ,BA$5,0))))</f>
        <v/>
      </c>
      <c r="BB242" s="174" t="str">
        <f>IF(BB$6="","",IF(BB$3="Maior",iferror(VLOOKUP($R242,Capa!$A:$AJ,BB$5,0),0),IF(ISERROR(1/VLOOKUP($R242,Capa!$A:$AJ,BB$5,0)),0,1/VLOOKUP($R242,Capa!$A:$AJ,BB$5,0))))</f>
        <v/>
      </c>
      <c r="BC242" s="174" t="str">
        <f>IF(BC$6="","",IF(BC$3="Maior",iferror(VLOOKUP($R242,Capa!$A:$AJ,BC$5,0),0),IF(ISERROR(1/VLOOKUP($R242,Capa!$A:$AJ,BC$5,0)),0,1/VLOOKUP($R242,Capa!$A:$AJ,BC$5,0))))</f>
        <v/>
      </c>
      <c r="BD242" s="174" t="str">
        <f>IF(BD$6="","",IF(BD$3="Maior",iferror(VLOOKUP($R242,Capa!$A:$AJ,BD$5,0),0),IF(ISERROR(1/VLOOKUP($R242,Capa!$A:$AJ,BD$5,0)),0,1/VLOOKUP($R242,Capa!$A:$AJ,BD$5,0))))</f>
        <v/>
      </c>
      <c r="BE242" s="174" t="str">
        <f>IF(BE$6="","",IF(BE$3="Maior",iferror(VLOOKUP($R242,Capa!$A:$AJ,BE$5,0),0),IF(ISERROR(1/VLOOKUP($R242,Capa!$A:$AJ,BE$5,0)),0,1/VLOOKUP($R242,Capa!$A:$AJ,BE$5,0))))</f>
        <v/>
      </c>
      <c r="BF242" s="174" t="str">
        <f>IF(BF$6="","",IF(BF$3="Maior",iferror(VLOOKUP($R242,Capa!$A:$AJ,BF$5,0),0),IF(ISERROR(1/VLOOKUP($R242,Capa!$A:$AJ,BF$5,0)),0,1/VLOOKUP($R242,Capa!$A:$AJ,BF$5,0))))</f>
        <v/>
      </c>
      <c r="BG242" s="174" t="str">
        <f>IF(BG$6="","",IF(BG$3="Maior",iferror(VLOOKUP($R242,Capa!$A:$AJ,BG$5,0),0),IF(ISERROR(1/VLOOKUP($R242,Capa!$A:$AJ,BG$5,0)),0,1/VLOOKUP($R242,Capa!$A:$AJ,BG$5,0))))</f>
        <v/>
      </c>
      <c r="BH242" s="174" t="str">
        <f>IF(BH$6="","",IF(BH$3="Maior",iferror(VLOOKUP($R242,Capa!$A:$AJ,BH$5,0),0),IF(ISERROR(1/VLOOKUP($R242,Capa!$A:$AJ,BH$5,0)),0,1/VLOOKUP($R242,Capa!$A:$AJ,BH$5,0))))</f>
        <v/>
      </c>
      <c r="BI242" s="174" t="str">
        <f>IF(BI$6="","",IF(BI$3="Maior",iferror(VLOOKUP($R242,Capa!$A:$AJ,BI$5,0),0),IF(ISERROR(1/VLOOKUP($R242,Capa!$A:$AJ,BI$5,0)),0,1/VLOOKUP($R242,Capa!$A:$AJ,BI$5,0))))</f>
        <v/>
      </c>
      <c r="BJ242" s="174" t="str">
        <f>IF(BJ$6="","",IF(BJ$3="Maior",iferror(VLOOKUP($R242,Capa!$A:$AJ,BJ$5,0),0),IF(ISERROR(1/VLOOKUP($R242,Capa!$A:$AJ,BJ$5,0)),0,1/VLOOKUP($R242,Capa!$A:$AJ,BJ$5,0))))</f>
        <v/>
      </c>
      <c r="BK242" s="174" t="str">
        <f>IF(BK$6="","",IF(BK$3="Maior",iferror(VLOOKUP($R242,Capa!$A:$AJ,BK$5,0),0),IF(ISERROR(1/VLOOKUP($R242,Capa!$A:$AJ,BK$5,0)),0,1/VLOOKUP($R242,Capa!$A:$AJ,BK$5,0))))</f>
        <v/>
      </c>
      <c r="BL242" s="174" t="str">
        <f>IF(BL$6="","",IF(BL$3="Maior",iferror(VLOOKUP($R242,Capa!$A:$AJ,BL$5,0),0),IF(ISERROR(1/VLOOKUP($R242,Capa!$A:$AJ,BL$5,0)),0,1/VLOOKUP($R242,Capa!$A:$AJ,BL$5,0))))</f>
        <v/>
      </c>
      <c r="BM242" s="174" t="str">
        <f>IF(BM$6="","",IF(BM$3="Maior",iferror(VLOOKUP($R242,Capa!$A:$AJ,BM$5,0),0),IF(ISERROR(1/VLOOKUP($R242,Capa!$A:$AJ,BM$5,0)),0,1/VLOOKUP($R242,Capa!$A:$AJ,BM$5,0))))</f>
        <v/>
      </c>
      <c r="BN242" s="174" t="str">
        <f>IF(BN$6="","",IF(BN$3="Maior",iferror(VLOOKUP($R242,Capa!$A:$AJ,BN$5,0),0),IF(ISERROR(1/VLOOKUP($R242,Capa!$A:$AJ,BN$5,0)),0,1/VLOOKUP($R242,Capa!$A:$AJ,BN$5,0))))</f>
        <v/>
      </c>
      <c r="BO242" s="174" t="str">
        <f>IF(BO$6="","",IF(BO$3="Maior",iferror(VLOOKUP($R242,Capa!$A:$AJ,BO$5,0),0),IF(ISERROR(1/VLOOKUP($R242,Capa!$A:$AJ,BO$5,0)),0,1/VLOOKUP($R242,Capa!$A:$AJ,BO$5,0))))</f>
        <v/>
      </c>
      <c r="BP242" s="174" t="str">
        <f>IF(BP$6="","",IF(BP$3="Maior",iferror(VLOOKUP($R242,Capa!$A:$AJ,BP$5,0),0),IF(ISERROR(1/VLOOKUP($R242,Capa!$A:$AJ,BP$5,0)),0,1/VLOOKUP($R242,Capa!$A:$AJ,BP$5,0))))</f>
        <v/>
      </c>
      <c r="BQ242" s="174" t="str">
        <f>IF(BQ$6="","",IF(BQ$3="Maior",iferror(VLOOKUP($R242,Capa!$A:$AJ,BQ$5,0),0),IF(ISERROR(1/VLOOKUP($R242,Capa!$A:$AJ,BQ$5,0)),0,1/VLOOKUP($R242,Capa!$A:$AJ,BQ$5,0))))</f>
        <v/>
      </c>
      <c r="BR242" s="175"/>
      <c r="BS242" s="147"/>
    </row>
    <row r="243">
      <c r="G243" s="11"/>
      <c r="H243" s="8">
        <v>237.0</v>
      </c>
      <c r="I243" s="165" t="str">
        <f t="shared" si="6"/>
        <v>SMTO3</v>
      </c>
      <c r="J243" s="166" t="str">
        <f>(VLOOKUP($I243,Capa!$A:$B,2,0))</f>
        <v>Sao Martinho SA</v>
      </c>
      <c r="K243" s="167" t="str">
        <f>VLOOKUP(left(I243,4),Setor!A:D,3,0)&amp;" | "&amp;VLOOKUP(left(I243,4),Setor!A:D,4,0)</f>
        <v>Consumo não Cíclico | Alimentos Processados</v>
      </c>
      <c r="L243" s="168">
        <f>(VLOOKUP($I243,Capa!$A:$F,6,0))</f>
        <v>15.66</v>
      </c>
      <c r="M243" s="168">
        <f t="shared" si="7"/>
        <v>50090515</v>
      </c>
      <c r="N243" s="177" t="str">
        <f>IFERROR(__xludf.DUMMYFUNCTION("(VLOOKUP($I243,Capa!$A:$H,7,0))"),"")</f>
        <v/>
      </c>
      <c r="O243" s="169">
        <f>(VLOOKUP($I243,Capa!$A:$H,8,0))</f>
        <v>-0.05090909091</v>
      </c>
      <c r="P243" s="169" t="str">
        <f>IFERROR(__xludf.DUMMYFUNCTION("(VLOOKUP($I243,Capa!$A:$J,10,0))"),"")</f>
        <v/>
      </c>
      <c r="Q243" s="169">
        <f>(VLOOKUP($I243,Capa!$A:$K,11,0))</f>
        <v>-0.3089143866</v>
      </c>
      <c r="R243" s="45" t="str">
        <f>'Dados StatusInvest'!A238</f>
        <v>EMAE3</v>
      </c>
      <c r="S243" s="170">
        <f t="shared" si="234"/>
        <v>1304.0304</v>
      </c>
      <c r="T243" s="171">
        <f>VLOOKUP(R243,'Dados StatusInvest'!A:Z,26,0)</f>
        <v>0</v>
      </c>
      <c r="U243" s="172">
        <f t="shared" ref="U243:AS243" si="246">IF(AT243="","", RANK(AT243,AT$7:AT$626,0)+RANK(AT243,AT$7:AT$626,0)/10000)</f>
        <v>206.0206</v>
      </c>
      <c r="V243" s="172">
        <f t="shared" si="246"/>
        <v>98.0098</v>
      </c>
      <c r="W243" s="172" t="str">
        <f t="shared" si="246"/>
        <v/>
      </c>
      <c r="X243" s="172" t="str">
        <f t="shared" si="246"/>
        <v/>
      </c>
      <c r="Y243" s="172" t="str">
        <f t="shared" si="246"/>
        <v/>
      </c>
      <c r="Z243" s="172" t="str">
        <f t="shared" si="246"/>
        <v/>
      </c>
      <c r="AA243" s="172" t="str">
        <f t="shared" si="246"/>
        <v/>
      </c>
      <c r="AB243" s="172" t="str">
        <f t="shared" si="246"/>
        <v/>
      </c>
      <c r="AC243" s="172" t="str">
        <f t="shared" si="246"/>
        <v/>
      </c>
      <c r="AD243" s="172" t="str">
        <f t="shared" si="246"/>
        <v/>
      </c>
      <c r="AE243" s="172" t="str">
        <f t="shared" si="246"/>
        <v/>
      </c>
      <c r="AF243" s="172" t="str">
        <f t="shared" si="246"/>
        <v/>
      </c>
      <c r="AG243" s="172" t="str">
        <f t="shared" si="246"/>
        <v/>
      </c>
      <c r="AH243" s="172" t="str">
        <f t="shared" si="246"/>
        <v/>
      </c>
      <c r="AI243" s="172" t="str">
        <f t="shared" si="246"/>
        <v/>
      </c>
      <c r="AJ243" s="172" t="str">
        <f t="shared" si="246"/>
        <v/>
      </c>
      <c r="AK243" s="172" t="str">
        <f t="shared" si="246"/>
        <v/>
      </c>
      <c r="AL243" s="172" t="str">
        <f t="shared" si="246"/>
        <v/>
      </c>
      <c r="AM243" s="172" t="str">
        <f t="shared" si="246"/>
        <v/>
      </c>
      <c r="AN243" s="172" t="str">
        <f t="shared" si="246"/>
        <v/>
      </c>
      <c r="AO243" s="172" t="str">
        <f t="shared" si="246"/>
        <v/>
      </c>
      <c r="AP243" s="172" t="str">
        <f t="shared" si="246"/>
        <v/>
      </c>
      <c r="AQ243" s="172" t="str">
        <f t="shared" si="246"/>
        <v/>
      </c>
      <c r="AR243" s="172" t="str">
        <f t="shared" si="246"/>
        <v/>
      </c>
      <c r="AS243" s="172" t="str">
        <f t="shared" si="246"/>
        <v/>
      </c>
      <c r="AT243" s="173">
        <f>IF(AT$6="","",IF(AT$3="Maior",iferror(VLOOKUP($R243,Capa!$A:$AJ,AT$5,0),0),IF(ISERROR(1/VLOOKUP($R243,Capa!$A:$AJ,AT$5,0)),0,1/VLOOKUP($R243,Capa!$A:$AJ,AT$5,0))))</f>
        <v>-0.283286119</v>
      </c>
      <c r="AU243" s="174">
        <f>IF(AU$6="","",IF(AU$3="Maior",iferror(VLOOKUP($R243,Capa!$A:$AJ,AU$5,0),0),IF(ISERROR(1/VLOOKUP($R243,Capa!$A:$AJ,AU$5,0)),0,1/VLOOKUP($R243,Capa!$A:$AJ,AU$5,0))))</f>
        <v>27.86</v>
      </c>
      <c r="AV243" s="174" t="str">
        <f>IF(AV$6="","",IF(AV$3="Maior",iferror(VLOOKUP($R243,Capa!$A:$AJ,AV$5,0),0),IF(ISERROR(1/VLOOKUP($R243,Capa!$A:$AJ,AV$5,0)),0,1/VLOOKUP($R243,Capa!$A:$AJ,AV$5,0))))</f>
        <v/>
      </c>
      <c r="AW243" s="174" t="str">
        <f>IF(AW$6="","",IF(AW$3="Maior",iferror(VLOOKUP($R243,Capa!$A:$AJ,AW$5,0),0),IF(ISERROR(1/VLOOKUP($R243,Capa!$A:$AJ,AW$5,0)),0,1/VLOOKUP($R243,Capa!$A:$AJ,AW$5,0))))</f>
        <v/>
      </c>
      <c r="AX243" s="174" t="str">
        <f>IF(AX$6="","",IF(AX$3="Maior",iferror(VLOOKUP($R243,Capa!$A:$AJ,AX$5,0),0),IF(ISERROR(1/VLOOKUP($R243,Capa!$A:$AJ,AX$5,0)),0,1/VLOOKUP($R243,Capa!$A:$AJ,AX$5,0))))</f>
        <v/>
      </c>
      <c r="AY243" s="174" t="str">
        <f>IF(AY$6="","",IF(AY$3="Maior",iferror(VLOOKUP($R243,Capa!$A:$AJ,AY$5,0),0),IF(ISERROR(1/VLOOKUP($R243,Capa!$A:$AJ,AY$5,0)),0,1/VLOOKUP($R243,Capa!$A:$AJ,AY$5,0))))</f>
        <v/>
      </c>
      <c r="AZ243" s="174" t="str">
        <f>IF(AZ$6="","",IF(AZ$3="Maior",iferror(VLOOKUP($R243,Capa!$A:$AJ,AZ$5,0),0),IF(ISERROR(1/VLOOKUP($R243,Capa!$A:$AJ,AZ$5,0)),0,1/VLOOKUP($R243,Capa!$A:$AJ,AZ$5,0))))</f>
        <v/>
      </c>
      <c r="BA243" s="174" t="str">
        <f>IF(BA$6="","",IF(BA$3="Maior",iferror(VLOOKUP($R243,Capa!$A:$AJ,BA$5,0),0),IF(ISERROR(1/VLOOKUP($R243,Capa!$A:$AJ,BA$5,0)),0,1/VLOOKUP($R243,Capa!$A:$AJ,BA$5,0))))</f>
        <v/>
      </c>
      <c r="BB243" s="174" t="str">
        <f>IF(BB$6="","",IF(BB$3="Maior",iferror(VLOOKUP($R243,Capa!$A:$AJ,BB$5,0),0),IF(ISERROR(1/VLOOKUP($R243,Capa!$A:$AJ,BB$5,0)),0,1/VLOOKUP($R243,Capa!$A:$AJ,BB$5,0))))</f>
        <v/>
      </c>
      <c r="BC243" s="174" t="str">
        <f>IF(BC$6="","",IF(BC$3="Maior",iferror(VLOOKUP($R243,Capa!$A:$AJ,BC$5,0),0),IF(ISERROR(1/VLOOKUP($R243,Capa!$A:$AJ,BC$5,0)),0,1/VLOOKUP($R243,Capa!$A:$AJ,BC$5,0))))</f>
        <v/>
      </c>
      <c r="BD243" s="174" t="str">
        <f>IF(BD$6="","",IF(BD$3="Maior",iferror(VLOOKUP($R243,Capa!$A:$AJ,BD$5,0),0),IF(ISERROR(1/VLOOKUP($R243,Capa!$A:$AJ,BD$5,0)),0,1/VLOOKUP($R243,Capa!$A:$AJ,BD$5,0))))</f>
        <v/>
      </c>
      <c r="BE243" s="174" t="str">
        <f>IF(BE$6="","",IF(BE$3="Maior",iferror(VLOOKUP($R243,Capa!$A:$AJ,BE$5,0),0),IF(ISERROR(1/VLOOKUP($R243,Capa!$A:$AJ,BE$5,0)),0,1/VLOOKUP($R243,Capa!$A:$AJ,BE$5,0))))</f>
        <v/>
      </c>
      <c r="BF243" s="174" t="str">
        <f>IF(BF$6="","",IF(BF$3="Maior",iferror(VLOOKUP($R243,Capa!$A:$AJ,BF$5,0),0),IF(ISERROR(1/VLOOKUP($R243,Capa!$A:$AJ,BF$5,0)),0,1/VLOOKUP($R243,Capa!$A:$AJ,BF$5,0))))</f>
        <v/>
      </c>
      <c r="BG243" s="174" t="str">
        <f>IF(BG$6="","",IF(BG$3="Maior",iferror(VLOOKUP($R243,Capa!$A:$AJ,BG$5,0),0),IF(ISERROR(1/VLOOKUP($R243,Capa!$A:$AJ,BG$5,0)),0,1/VLOOKUP($R243,Capa!$A:$AJ,BG$5,0))))</f>
        <v/>
      </c>
      <c r="BH243" s="174" t="str">
        <f>IF(BH$6="","",IF(BH$3="Maior",iferror(VLOOKUP($R243,Capa!$A:$AJ,BH$5,0),0),IF(ISERROR(1/VLOOKUP($R243,Capa!$A:$AJ,BH$5,0)),0,1/VLOOKUP($R243,Capa!$A:$AJ,BH$5,0))))</f>
        <v/>
      </c>
      <c r="BI243" s="174" t="str">
        <f>IF(BI$6="","",IF(BI$3="Maior",iferror(VLOOKUP($R243,Capa!$A:$AJ,BI$5,0),0),IF(ISERROR(1/VLOOKUP($R243,Capa!$A:$AJ,BI$5,0)),0,1/VLOOKUP($R243,Capa!$A:$AJ,BI$5,0))))</f>
        <v/>
      </c>
      <c r="BJ243" s="174" t="str">
        <f>IF(BJ$6="","",IF(BJ$3="Maior",iferror(VLOOKUP($R243,Capa!$A:$AJ,BJ$5,0),0),IF(ISERROR(1/VLOOKUP($R243,Capa!$A:$AJ,BJ$5,0)),0,1/VLOOKUP($R243,Capa!$A:$AJ,BJ$5,0))))</f>
        <v/>
      </c>
      <c r="BK243" s="174" t="str">
        <f>IF(BK$6="","",IF(BK$3="Maior",iferror(VLOOKUP($R243,Capa!$A:$AJ,BK$5,0),0),IF(ISERROR(1/VLOOKUP($R243,Capa!$A:$AJ,BK$5,0)),0,1/VLOOKUP($R243,Capa!$A:$AJ,BK$5,0))))</f>
        <v/>
      </c>
      <c r="BL243" s="174" t="str">
        <f>IF(BL$6="","",IF(BL$3="Maior",iferror(VLOOKUP($R243,Capa!$A:$AJ,BL$5,0),0),IF(ISERROR(1/VLOOKUP($R243,Capa!$A:$AJ,BL$5,0)),0,1/VLOOKUP($R243,Capa!$A:$AJ,BL$5,0))))</f>
        <v/>
      </c>
      <c r="BM243" s="174" t="str">
        <f>IF(BM$6="","",IF(BM$3="Maior",iferror(VLOOKUP($R243,Capa!$A:$AJ,BM$5,0),0),IF(ISERROR(1/VLOOKUP($R243,Capa!$A:$AJ,BM$5,0)),0,1/VLOOKUP($R243,Capa!$A:$AJ,BM$5,0))))</f>
        <v/>
      </c>
      <c r="BN243" s="174" t="str">
        <f>IF(BN$6="","",IF(BN$3="Maior",iferror(VLOOKUP($R243,Capa!$A:$AJ,BN$5,0),0),IF(ISERROR(1/VLOOKUP($R243,Capa!$A:$AJ,BN$5,0)),0,1/VLOOKUP($R243,Capa!$A:$AJ,BN$5,0))))</f>
        <v/>
      </c>
      <c r="BO243" s="174" t="str">
        <f>IF(BO$6="","",IF(BO$3="Maior",iferror(VLOOKUP($R243,Capa!$A:$AJ,BO$5,0),0),IF(ISERROR(1/VLOOKUP($R243,Capa!$A:$AJ,BO$5,0)),0,1/VLOOKUP($R243,Capa!$A:$AJ,BO$5,0))))</f>
        <v/>
      </c>
      <c r="BP243" s="174" t="str">
        <f>IF(BP$6="","",IF(BP$3="Maior",iferror(VLOOKUP($R243,Capa!$A:$AJ,BP$5,0),0),IF(ISERROR(1/VLOOKUP($R243,Capa!$A:$AJ,BP$5,0)),0,1/VLOOKUP($R243,Capa!$A:$AJ,BP$5,0))))</f>
        <v/>
      </c>
      <c r="BQ243" s="174" t="str">
        <f>IF(BQ$6="","",IF(BQ$3="Maior",iferror(VLOOKUP($R243,Capa!$A:$AJ,BQ$5,0),0),IF(ISERROR(1/VLOOKUP($R243,Capa!$A:$AJ,BQ$5,0)),0,1/VLOOKUP($R243,Capa!$A:$AJ,BQ$5,0))))</f>
        <v/>
      </c>
      <c r="BR243" s="175"/>
      <c r="BS243" s="147"/>
    </row>
    <row r="244">
      <c r="G244" s="11"/>
      <c r="H244" s="8">
        <v>238.0</v>
      </c>
      <c r="I244" s="165" t="str">
        <f t="shared" si="6"/>
        <v>SMTO3</v>
      </c>
      <c r="J244" s="166" t="str">
        <f>(VLOOKUP($I244,Capa!$A:$B,2,0))</f>
        <v>Sao Martinho SA</v>
      </c>
      <c r="K244" s="167" t="str">
        <f>VLOOKUP(left(I244,4),Setor!A:D,3,0)&amp;" | "&amp;VLOOKUP(left(I244,4),Setor!A:D,4,0)</f>
        <v>Consumo não Cíclico | Alimentos Processados</v>
      </c>
      <c r="L244" s="168">
        <f>(VLOOKUP($I244,Capa!$A:$F,6,0))</f>
        <v>15.66</v>
      </c>
      <c r="M244" s="168">
        <f t="shared" si="7"/>
        <v>50090515</v>
      </c>
      <c r="N244" s="177" t="str">
        <f>IFERROR(__xludf.DUMMYFUNCTION("(VLOOKUP($I244,Capa!$A:$H,7,0))"),"")</f>
        <v/>
      </c>
      <c r="O244" s="169">
        <f>(VLOOKUP($I244,Capa!$A:$H,8,0))</f>
        <v>-0.05090909091</v>
      </c>
      <c r="P244" s="169" t="str">
        <f>IFERROR(__xludf.DUMMYFUNCTION("(VLOOKUP($I244,Capa!$A:$J,10,0))"),"")</f>
        <v/>
      </c>
      <c r="Q244" s="169">
        <f>(VLOOKUP($I244,Capa!$A:$K,11,0))</f>
        <v>-0.3089143866</v>
      </c>
      <c r="R244" s="45" t="str">
        <f>'Dados StatusInvest'!A239</f>
        <v>EMAE4</v>
      </c>
      <c r="S244" s="170">
        <f t="shared" si="234"/>
        <v>1438.0438</v>
      </c>
      <c r="T244" s="171">
        <f>VLOOKUP(R244,'Dados StatusInvest'!A:Z,26,0)</f>
        <v>202643.9</v>
      </c>
      <c r="U244" s="172">
        <f t="shared" ref="U244:AS244" si="247">IF(AT244="","", RANK(AT244,AT$7:AT$626,0)+RANK(AT244,AT$7:AT$626,0)/10000)</f>
        <v>340.034</v>
      </c>
      <c r="V244" s="172">
        <f t="shared" si="247"/>
        <v>98.0098</v>
      </c>
      <c r="W244" s="172" t="str">
        <f t="shared" si="247"/>
        <v/>
      </c>
      <c r="X244" s="172" t="str">
        <f t="shared" si="247"/>
        <v/>
      </c>
      <c r="Y244" s="172" t="str">
        <f t="shared" si="247"/>
        <v/>
      </c>
      <c r="Z244" s="172" t="str">
        <f t="shared" si="247"/>
        <v/>
      </c>
      <c r="AA244" s="172" t="str">
        <f t="shared" si="247"/>
        <v/>
      </c>
      <c r="AB244" s="172" t="str">
        <f t="shared" si="247"/>
        <v/>
      </c>
      <c r="AC244" s="172" t="str">
        <f t="shared" si="247"/>
        <v/>
      </c>
      <c r="AD244" s="172" t="str">
        <f t="shared" si="247"/>
        <v/>
      </c>
      <c r="AE244" s="172" t="str">
        <f t="shared" si="247"/>
        <v/>
      </c>
      <c r="AF244" s="172" t="str">
        <f t="shared" si="247"/>
        <v/>
      </c>
      <c r="AG244" s="172" t="str">
        <f t="shared" si="247"/>
        <v/>
      </c>
      <c r="AH244" s="172" t="str">
        <f t="shared" si="247"/>
        <v/>
      </c>
      <c r="AI244" s="172" t="str">
        <f t="shared" si="247"/>
        <v/>
      </c>
      <c r="AJ244" s="172" t="str">
        <f t="shared" si="247"/>
        <v/>
      </c>
      <c r="AK244" s="172" t="str">
        <f t="shared" si="247"/>
        <v/>
      </c>
      <c r="AL244" s="172" t="str">
        <f t="shared" si="247"/>
        <v/>
      </c>
      <c r="AM244" s="172" t="str">
        <f t="shared" si="247"/>
        <v/>
      </c>
      <c r="AN244" s="172" t="str">
        <f t="shared" si="247"/>
        <v/>
      </c>
      <c r="AO244" s="172" t="str">
        <f t="shared" si="247"/>
        <v/>
      </c>
      <c r="AP244" s="172" t="str">
        <f t="shared" si="247"/>
        <v/>
      </c>
      <c r="AQ244" s="172" t="str">
        <f t="shared" si="247"/>
        <v/>
      </c>
      <c r="AR244" s="172" t="str">
        <f t="shared" si="247"/>
        <v/>
      </c>
      <c r="AS244" s="172" t="str">
        <f t="shared" si="247"/>
        <v/>
      </c>
      <c r="AT244" s="173">
        <f>IF(AT$6="","",IF(AT$3="Maior",iferror(VLOOKUP($R244,Capa!$A:$AJ,AT$5,0),0),IF(ISERROR(1/VLOOKUP($R244,Capa!$A:$AJ,AT$5,0)),0,1/VLOOKUP($R244,Capa!$A:$AJ,AT$5,0))))</f>
        <v>-0.930789587</v>
      </c>
      <c r="AU244" s="174">
        <f>IF(AU$6="","",IF(AU$3="Maior",iferror(VLOOKUP($R244,Capa!$A:$AJ,AU$5,0),0),IF(ISERROR(1/VLOOKUP($R244,Capa!$A:$AJ,AU$5,0)),0,1/VLOOKUP($R244,Capa!$A:$AJ,AU$5,0))))</f>
        <v>27.86</v>
      </c>
      <c r="AV244" s="174" t="str">
        <f>IF(AV$6="","",IF(AV$3="Maior",iferror(VLOOKUP($R244,Capa!$A:$AJ,AV$5,0),0),IF(ISERROR(1/VLOOKUP($R244,Capa!$A:$AJ,AV$5,0)),0,1/VLOOKUP($R244,Capa!$A:$AJ,AV$5,0))))</f>
        <v/>
      </c>
      <c r="AW244" s="174" t="str">
        <f>IF(AW$6="","",IF(AW$3="Maior",iferror(VLOOKUP($R244,Capa!$A:$AJ,AW$5,0),0),IF(ISERROR(1/VLOOKUP($R244,Capa!$A:$AJ,AW$5,0)),0,1/VLOOKUP($R244,Capa!$A:$AJ,AW$5,0))))</f>
        <v/>
      </c>
      <c r="AX244" s="174" t="str">
        <f>IF(AX$6="","",IF(AX$3="Maior",iferror(VLOOKUP($R244,Capa!$A:$AJ,AX$5,0),0),IF(ISERROR(1/VLOOKUP($R244,Capa!$A:$AJ,AX$5,0)),0,1/VLOOKUP($R244,Capa!$A:$AJ,AX$5,0))))</f>
        <v/>
      </c>
      <c r="AY244" s="174" t="str">
        <f>IF(AY$6="","",IF(AY$3="Maior",iferror(VLOOKUP($R244,Capa!$A:$AJ,AY$5,0),0),IF(ISERROR(1/VLOOKUP($R244,Capa!$A:$AJ,AY$5,0)),0,1/VLOOKUP($R244,Capa!$A:$AJ,AY$5,0))))</f>
        <v/>
      </c>
      <c r="AZ244" s="174" t="str">
        <f>IF(AZ$6="","",IF(AZ$3="Maior",iferror(VLOOKUP($R244,Capa!$A:$AJ,AZ$5,0),0),IF(ISERROR(1/VLOOKUP($R244,Capa!$A:$AJ,AZ$5,0)),0,1/VLOOKUP($R244,Capa!$A:$AJ,AZ$5,0))))</f>
        <v/>
      </c>
      <c r="BA244" s="174" t="str">
        <f>IF(BA$6="","",IF(BA$3="Maior",iferror(VLOOKUP($R244,Capa!$A:$AJ,BA$5,0),0),IF(ISERROR(1/VLOOKUP($R244,Capa!$A:$AJ,BA$5,0)),0,1/VLOOKUP($R244,Capa!$A:$AJ,BA$5,0))))</f>
        <v/>
      </c>
      <c r="BB244" s="174" t="str">
        <f>IF(BB$6="","",IF(BB$3="Maior",iferror(VLOOKUP($R244,Capa!$A:$AJ,BB$5,0),0),IF(ISERROR(1/VLOOKUP($R244,Capa!$A:$AJ,BB$5,0)),0,1/VLOOKUP($R244,Capa!$A:$AJ,BB$5,0))))</f>
        <v/>
      </c>
      <c r="BC244" s="174" t="str">
        <f>IF(BC$6="","",IF(BC$3="Maior",iferror(VLOOKUP($R244,Capa!$A:$AJ,BC$5,0),0),IF(ISERROR(1/VLOOKUP($R244,Capa!$A:$AJ,BC$5,0)),0,1/VLOOKUP($R244,Capa!$A:$AJ,BC$5,0))))</f>
        <v/>
      </c>
      <c r="BD244" s="174" t="str">
        <f>IF(BD$6="","",IF(BD$3="Maior",iferror(VLOOKUP($R244,Capa!$A:$AJ,BD$5,0),0),IF(ISERROR(1/VLOOKUP($R244,Capa!$A:$AJ,BD$5,0)),0,1/VLOOKUP($R244,Capa!$A:$AJ,BD$5,0))))</f>
        <v/>
      </c>
      <c r="BE244" s="174" t="str">
        <f>IF(BE$6="","",IF(BE$3="Maior",iferror(VLOOKUP($R244,Capa!$A:$AJ,BE$5,0),0),IF(ISERROR(1/VLOOKUP($R244,Capa!$A:$AJ,BE$5,0)),0,1/VLOOKUP($R244,Capa!$A:$AJ,BE$5,0))))</f>
        <v/>
      </c>
      <c r="BF244" s="174" t="str">
        <f>IF(BF$6="","",IF(BF$3="Maior",iferror(VLOOKUP($R244,Capa!$A:$AJ,BF$5,0),0),IF(ISERROR(1/VLOOKUP($R244,Capa!$A:$AJ,BF$5,0)),0,1/VLOOKUP($R244,Capa!$A:$AJ,BF$5,0))))</f>
        <v/>
      </c>
      <c r="BG244" s="174" t="str">
        <f>IF(BG$6="","",IF(BG$3="Maior",iferror(VLOOKUP($R244,Capa!$A:$AJ,BG$5,0),0),IF(ISERROR(1/VLOOKUP($R244,Capa!$A:$AJ,BG$5,0)),0,1/VLOOKUP($R244,Capa!$A:$AJ,BG$5,0))))</f>
        <v/>
      </c>
      <c r="BH244" s="174" t="str">
        <f>IF(BH$6="","",IF(BH$3="Maior",iferror(VLOOKUP($R244,Capa!$A:$AJ,BH$5,0),0),IF(ISERROR(1/VLOOKUP($R244,Capa!$A:$AJ,BH$5,0)),0,1/VLOOKUP($R244,Capa!$A:$AJ,BH$5,0))))</f>
        <v/>
      </c>
      <c r="BI244" s="174" t="str">
        <f>IF(BI$6="","",IF(BI$3="Maior",iferror(VLOOKUP($R244,Capa!$A:$AJ,BI$5,0),0),IF(ISERROR(1/VLOOKUP($R244,Capa!$A:$AJ,BI$5,0)),0,1/VLOOKUP($R244,Capa!$A:$AJ,BI$5,0))))</f>
        <v/>
      </c>
      <c r="BJ244" s="174" t="str">
        <f>IF(BJ$6="","",IF(BJ$3="Maior",iferror(VLOOKUP($R244,Capa!$A:$AJ,BJ$5,0),0),IF(ISERROR(1/VLOOKUP($R244,Capa!$A:$AJ,BJ$5,0)),0,1/VLOOKUP($R244,Capa!$A:$AJ,BJ$5,0))))</f>
        <v/>
      </c>
      <c r="BK244" s="174" t="str">
        <f>IF(BK$6="","",IF(BK$3="Maior",iferror(VLOOKUP($R244,Capa!$A:$AJ,BK$5,0),0),IF(ISERROR(1/VLOOKUP($R244,Capa!$A:$AJ,BK$5,0)),0,1/VLOOKUP($R244,Capa!$A:$AJ,BK$5,0))))</f>
        <v/>
      </c>
      <c r="BL244" s="174" t="str">
        <f>IF(BL$6="","",IF(BL$3="Maior",iferror(VLOOKUP($R244,Capa!$A:$AJ,BL$5,0),0),IF(ISERROR(1/VLOOKUP($R244,Capa!$A:$AJ,BL$5,0)),0,1/VLOOKUP($R244,Capa!$A:$AJ,BL$5,0))))</f>
        <v/>
      </c>
      <c r="BM244" s="174" t="str">
        <f>IF(BM$6="","",IF(BM$3="Maior",iferror(VLOOKUP($R244,Capa!$A:$AJ,BM$5,0),0),IF(ISERROR(1/VLOOKUP($R244,Capa!$A:$AJ,BM$5,0)),0,1/VLOOKUP($R244,Capa!$A:$AJ,BM$5,0))))</f>
        <v/>
      </c>
      <c r="BN244" s="174" t="str">
        <f>IF(BN$6="","",IF(BN$3="Maior",iferror(VLOOKUP($R244,Capa!$A:$AJ,BN$5,0),0),IF(ISERROR(1/VLOOKUP($R244,Capa!$A:$AJ,BN$5,0)),0,1/VLOOKUP($R244,Capa!$A:$AJ,BN$5,0))))</f>
        <v/>
      </c>
      <c r="BO244" s="174" t="str">
        <f>IF(BO$6="","",IF(BO$3="Maior",iferror(VLOOKUP($R244,Capa!$A:$AJ,BO$5,0),0),IF(ISERROR(1/VLOOKUP($R244,Capa!$A:$AJ,BO$5,0)),0,1/VLOOKUP($R244,Capa!$A:$AJ,BO$5,0))))</f>
        <v/>
      </c>
      <c r="BP244" s="174" t="str">
        <f>IF(BP$6="","",IF(BP$3="Maior",iferror(VLOOKUP($R244,Capa!$A:$AJ,BP$5,0),0),IF(ISERROR(1/VLOOKUP($R244,Capa!$A:$AJ,BP$5,0)),0,1/VLOOKUP($R244,Capa!$A:$AJ,BP$5,0))))</f>
        <v/>
      </c>
      <c r="BQ244" s="174" t="str">
        <f>IF(BQ$6="","",IF(BQ$3="Maior",iferror(VLOOKUP($R244,Capa!$A:$AJ,BQ$5,0),0),IF(ISERROR(1/VLOOKUP($R244,Capa!$A:$AJ,BQ$5,0)),0,1/VLOOKUP($R244,Capa!$A:$AJ,BQ$5,0))))</f>
        <v/>
      </c>
      <c r="BR244" s="175"/>
      <c r="BS244" s="147"/>
    </row>
    <row r="245">
      <c r="G245" s="11"/>
      <c r="H245" s="8">
        <v>239.0</v>
      </c>
      <c r="I245" s="165" t="str">
        <f t="shared" si="6"/>
        <v>GRAO3</v>
      </c>
      <c r="J245" s="166" t="str">
        <f>(VLOOKUP($I245,Capa!$A:$B,2,0))</f>
        <v/>
      </c>
      <c r="K245" s="167" t="str">
        <f>VLOOKUP(left(I245,4),Setor!A:D,3,0)&amp;" | "&amp;VLOOKUP(left(I245,4),Setor!A:D,4,0)</f>
        <v>#N/A</v>
      </c>
      <c r="L245" s="168" t="str">
        <f>(VLOOKUP($I245,Capa!$A:$F,6,0))</f>
        <v/>
      </c>
      <c r="M245" s="168">
        <f t="shared" si="7"/>
        <v>0</v>
      </c>
      <c r="N245" s="11" t="str">
        <f>(VLOOKUP($I245,Capa!$A:$H,7,0))</f>
        <v/>
      </c>
      <c r="O245" s="169" t="str">
        <f>(VLOOKUP($I245,Capa!$A:$H,8,0))</f>
        <v/>
      </c>
      <c r="P245" s="11" t="str">
        <f>(VLOOKUP($I245,Capa!$A:$J,10,0))</f>
        <v/>
      </c>
      <c r="Q245" s="169" t="str">
        <f>(VLOOKUP($I245,Capa!$A:$K,11,0))</f>
        <v/>
      </c>
      <c r="R245" s="45" t="str">
        <f>'Dados StatusInvest'!A240</f>
        <v>EMBJ3</v>
      </c>
      <c r="S245" s="170">
        <f t="shared" si="234"/>
        <v>501.0501</v>
      </c>
      <c r="T245" s="171">
        <f>VLOOKUP(R245,'Dados StatusInvest'!A:Z,26,0)</f>
        <v>396000000</v>
      </c>
      <c r="U245" s="172">
        <f t="shared" ref="U245:AS245" si="248">IF(AT245="","", RANK(AT245,AT$7:AT$626,0)+RANK(AT245,AT$7:AT$626,0)/10000)</f>
        <v>234.0234</v>
      </c>
      <c r="V245" s="172">
        <f t="shared" si="248"/>
        <v>267.0267</v>
      </c>
      <c r="W245" s="172" t="str">
        <f t="shared" si="248"/>
        <v/>
      </c>
      <c r="X245" s="172" t="str">
        <f t="shared" si="248"/>
        <v/>
      </c>
      <c r="Y245" s="172" t="str">
        <f t="shared" si="248"/>
        <v/>
      </c>
      <c r="Z245" s="172" t="str">
        <f t="shared" si="248"/>
        <v/>
      </c>
      <c r="AA245" s="172" t="str">
        <f t="shared" si="248"/>
        <v/>
      </c>
      <c r="AB245" s="172" t="str">
        <f t="shared" si="248"/>
        <v/>
      </c>
      <c r="AC245" s="172" t="str">
        <f t="shared" si="248"/>
        <v/>
      </c>
      <c r="AD245" s="172" t="str">
        <f t="shared" si="248"/>
        <v/>
      </c>
      <c r="AE245" s="172" t="str">
        <f t="shared" si="248"/>
        <v/>
      </c>
      <c r="AF245" s="172" t="str">
        <f t="shared" si="248"/>
        <v/>
      </c>
      <c r="AG245" s="172" t="str">
        <f t="shared" si="248"/>
        <v/>
      </c>
      <c r="AH245" s="172" t="str">
        <f t="shared" si="248"/>
        <v/>
      </c>
      <c r="AI245" s="172" t="str">
        <f t="shared" si="248"/>
        <v/>
      </c>
      <c r="AJ245" s="172" t="str">
        <f t="shared" si="248"/>
        <v/>
      </c>
      <c r="AK245" s="172" t="str">
        <f t="shared" si="248"/>
        <v/>
      </c>
      <c r="AL245" s="172" t="str">
        <f t="shared" si="248"/>
        <v/>
      </c>
      <c r="AM245" s="172" t="str">
        <f t="shared" si="248"/>
        <v/>
      </c>
      <c r="AN245" s="172" t="str">
        <f t="shared" si="248"/>
        <v/>
      </c>
      <c r="AO245" s="172" t="str">
        <f t="shared" si="248"/>
        <v/>
      </c>
      <c r="AP245" s="172" t="str">
        <f t="shared" si="248"/>
        <v/>
      </c>
      <c r="AQ245" s="172" t="str">
        <f t="shared" si="248"/>
        <v/>
      </c>
      <c r="AR245" s="172" t="str">
        <f t="shared" si="248"/>
        <v/>
      </c>
      <c r="AS245" s="172" t="str">
        <f t="shared" si="248"/>
        <v/>
      </c>
      <c r="AT245" s="173">
        <f>IF(AT$6="","",IF(AT$3="Maior",iferror(VLOOKUP($R245,Capa!$A:$AJ,AT$5,0),0),IF(ISERROR(1/VLOOKUP($R245,Capa!$A:$AJ,AT$5,0)),0,1/VLOOKUP($R245,Capa!$A:$AJ,AT$5,0))))</f>
        <v>-0.4239110374</v>
      </c>
      <c r="AU245" s="174">
        <f>IF(AU$6="","",IF(AU$3="Maior",iferror(VLOOKUP($R245,Capa!$A:$AJ,AU$5,0),0),IF(ISERROR(1/VLOOKUP($R245,Capa!$A:$AJ,AU$5,0)),0,1/VLOOKUP($R245,Capa!$A:$AJ,AU$5,0))))</f>
        <v>0</v>
      </c>
      <c r="AV245" s="174" t="str">
        <f>IF(AV$6="","",IF(AV$3="Maior",iferror(VLOOKUP($R245,Capa!$A:$AJ,AV$5,0),0),IF(ISERROR(1/VLOOKUP($R245,Capa!$A:$AJ,AV$5,0)),0,1/VLOOKUP($R245,Capa!$A:$AJ,AV$5,0))))</f>
        <v/>
      </c>
      <c r="AW245" s="174" t="str">
        <f>IF(AW$6="","",IF(AW$3="Maior",iferror(VLOOKUP($R245,Capa!$A:$AJ,AW$5,0),0),IF(ISERROR(1/VLOOKUP($R245,Capa!$A:$AJ,AW$5,0)),0,1/VLOOKUP($R245,Capa!$A:$AJ,AW$5,0))))</f>
        <v/>
      </c>
      <c r="AX245" s="174" t="str">
        <f>IF(AX$6="","",IF(AX$3="Maior",iferror(VLOOKUP($R245,Capa!$A:$AJ,AX$5,0),0),IF(ISERROR(1/VLOOKUP($R245,Capa!$A:$AJ,AX$5,0)),0,1/VLOOKUP($R245,Capa!$A:$AJ,AX$5,0))))</f>
        <v/>
      </c>
      <c r="AY245" s="174" t="str">
        <f>IF(AY$6="","",IF(AY$3="Maior",iferror(VLOOKUP($R245,Capa!$A:$AJ,AY$5,0),0),IF(ISERROR(1/VLOOKUP($R245,Capa!$A:$AJ,AY$5,0)),0,1/VLOOKUP($R245,Capa!$A:$AJ,AY$5,0))))</f>
        <v/>
      </c>
      <c r="AZ245" s="174" t="str">
        <f>IF(AZ$6="","",IF(AZ$3="Maior",iferror(VLOOKUP($R245,Capa!$A:$AJ,AZ$5,0),0),IF(ISERROR(1/VLOOKUP($R245,Capa!$A:$AJ,AZ$5,0)),0,1/VLOOKUP($R245,Capa!$A:$AJ,AZ$5,0))))</f>
        <v/>
      </c>
      <c r="BA245" s="174" t="str">
        <f>IF(BA$6="","",IF(BA$3="Maior",iferror(VLOOKUP($R245,Capa!$A:$AJ,BA$5,0),0),IF(ISERROR(1/VLOOKUP($R245,Capa!$A:$AJ,BA$5,0)),0,1/VLOOKUP($R245,Capa!$A:$AJ,BA$5,0))))</f>
        <v/>
      </c>
      <c r="BB245" s="174" t="str">
        <f>IF(BB$6="","",IF(BB$3="Maior",iferror(VLOOKUP($R245,Capa!$A:$AJ,BB$5,0),0),IF(ISERROR(1/VLOOKUP($R245,Capa!$A:$AJ,BB$5,0)),0,1/VLOOKUP($R245,Capa!$A:$AJ,BB$5,0))))</f>
        <v/>
      </c>
      <c r="BC245" s="174" t="str">
        <f>IF(BC$6="","",IF(BC$3="Maior",iferror(VLOOKUP($R245,Capa!$A:$AJ,BC$5,0),0),IF(ISERROR(1/VLOOKUP($R245,Capa!$A:$AJ,BC$5,0)),0,1/VLOOKUP($R245,Capa!$A:$AJ,BC$5,0))))</f>
        <v/>
      </c>
      <c r="BD245" s="174" t="str">
        <f>IF(BD$6="","",IF(BD$3="Maior",iferror(VLOOKUP($R245,Capa!$A:$AJ,BD$5,0),0),IF(ISERROR(1/VLOOKUP($R245,Capa!$A:$AJ,BD$5,0)),0,1/VLOOKUP($R245,Capa!$A:$AJ,BD$5,0))))</f>
        <v/>
      </c>
      <c r="BE245" s="174" t="str">
        <f>IF(BE$6="","",IF(BE$3="Maior",iferror(VLOOKUP($R245,Capa!$A:$AJ,BE$5,0),0),IF(ISERROR(1/VLOOKUP($R245,Capa!$A:$AJ,BE$5,0)),0,1/VLOOKUP($R245,Capa!$A:$AJ,BE$5,0))))</f>
        <v/>
      </c>
      <c r="BF245" s="174" t="str">
        <f>IF(BF$6="","",IF(BF$3="Maior",iferror(VLOOKUP($R245,Capa!$A:$AJ,BF$5,0),0),IF(ISERROR(1/VLOOKUP($R245,Capa!$A:$AJ,BF$5,0)),0,1/VLOOKUP($R245,Capa!$A:$AJ,BF$5,0))))</f>
        <v/>
      </c>
      <c r="BG245" s="174" t="str">
        <f>IF(BG$6="","",IF(BG$3="Maior",iferror(VLOOKUP($R245,Capa!$A:$AJ,BG$5,0),0),IF(ISERROR(1/VLOOKUP($R245,Capa!$A:$AJ,BG$5,0)),0,1/VLOOKUP($R245,Capa!$A:$AJ,BG$5,0))))</f>
        <v/>
      </c>
      <c r="BH245" s="174" t="str">
        <f>IF(BH$6="","",IF(BH$3="Maior",iferror(VLOOKUP($R245,Capa!$A:$AJ,BH$5,0),0),IF(ISERROR(1/VLOOKUP($R245,Capa!$A:$AJ,BH$5,0)),0,1/VLOOKUP($R245,Capa!$A:$AJ,BH$5,0))))</f>
        <v/>
      </c>
      <c r="BI245" s="174" t="str">
        <f>IF(BI$6="","",IF(BI$3="Maior",iferror(VLOOKUP($R245,Capa!$A:$AJ,BI$5,0),0),IF(ISERROR(1/VLOOKUP($R245,Capa!$A:$AJ,BI$5,0)),0,1/VLOOKUP($R245,Capa!$A:$AJ,BI$5,0))))</f>
        <v/>
      </c>
      <c r="BJ245" s="174" t="str">
        <f>IF(BJ$6="","",IF(BJ$3="Maior",iferror(VLOOKUP($R245,Capa!$A:$AJ,BJ$5,0),0),IF(ISERROR(1/VLOOKUP($R245,Capa!$A:$AJ,BJ$5,0)),0,1/VLOOKUP($R245,Capa!$A:$AJ,BJ$5,0))))</f>
        <v/>
      </c>
      <c r="BK245" s="174" t="str">
        <f>IF(BK$6="","",IF(BK$3="Maior",iferror(VLOOKUP($R245,Capa!$A:$AJ,BK$5,0),0),IF(ISERROR(1/VLOOKUP($R245,Capa!$A:$AJ,BK$5,0)),0,1/VLOOKUP($R245,Capa!$A:$AJ,BK$5,0))))</f>
        <v/>
      </c>
      <c r="BL245" s="174" t="str">
        <f>IF(BL$6="","",IF(BL$3="Maior",iferror(VLOOKUP($R245,Capa!$A:$AJ,BL$5,0),0),IF(ISERROR(1/VLOOKUP($R245,Capa!$A:$AJ,BL$5,0)),0,1/VLOOKUP($R245,Capa!$A:$AJ,BL$5,0))))</f>
        <v/>
      </c>
      <c r="BM245" s="174" t="str">
        <f>IF(BM$6="","",IF(BM$3="Maior",iferror(VLOOKUP($R245,Capa!$A:$AJ,BM$5,0),0),IF(ISERROR(1/VLOOKUP($R245,Capa!$A:$AJ,BM$5,0)),0,1/VLOOKUP($R245,Capa!$A:$AJ,BM$5,0))))</f>
        <v/>
      </c>
      <c r="BN245" s="174" t="str">
        <f>IF(BN$6="","",IF(BN$3="Maior",iferror(VLOOKUP($R245,Capa!$A:$AJ,BN$5,0),0),IF(ISERROR(1/VLOOKUP($R245,Capa!$A:$AJ,BN$5,0)),0,1/VLOOKUP($R245,Capa!$A:$AJ,BN$5,0))))</f>
        <v/>
      </c>
      <c r="BO245" s="174" t="str">
        <f>IF(BO$6="","",IF(BO$3="Maior",iferror(VLOOKUP($R245,Capa!$A:$AJ,BO$5,0),0),IF(ISERROR(1/VLOOKUP($R245,Capa!$A:$AJ,BO$5,0)),0,1/VLOOKUP($R245,Capa!$A:$AJ,BO$5,0))))</f>
        <v/>
      </c>
      <c r="BP245" s="174" t="str">
        <f>IF(BP$6="","",IF(BP$3="Maior",iferror(VLOOKUP($R245,Capa!$A:$AJ,BP$5,0),0),IF(ISERROR(1/VLOOKUP($R245,Capa!$A:$AJ,BP$5,0)),0,1/VLOOKUP($R245,Capa!$A:$AJ,BP$5,0))))</f>
        <v/>
      </c>
      <c r="BQ245" s="174" t="str">
        <f>IF(BQ$6="","",IF(BQ$3="Maior",iferror(VLOOKUP($R245,Capa!$A:$AJ,BQ$5,0),0),IF(ISERROR(1/VLOOKUP($R245,Capa!$A:$AJ,BQ$5,0)),0,1/VLOOKUP($R245,Capa!$A:$AJ,BQ$5,0))))</f>
        <v/>
      </c>
      <c r="BR245" s="175"/>
      <c r="BS245" s="147"/>
    </row>
    <row r="246">
      <c r="G246" s="11"/>
      <c r="H246" s="8">
        <v>240.0</v>
      </c>
      <c r="I246" s="165" t="str">
        <f t="shared" si="6"/>
        <v>QUSW3</v>
      </c>
      <c r="J246" s="166" t="str">
        <f>(VLOOKUP($I246,Capa!$A:$B,2,0))</f>
        <v>Quality Software SA</v>
      </c>
      <c r="K246" s="167" t="str">
        <f>VLOOKUP(left(I246,4),Setor!A:D,3,0)&amp;" | "&amp;VLOOKUP(left(I246,4),Setor!A:D,4,0)</f>
        <v>Tecnologia da Informação | Programas e Serviços</v>
      </c>
      <c r="L246" s="168">
        <f>(VLOOKUP($I246,Capa!$A:$F,6,0))</f>
        <v>0</v>
      </c>
      <c r="M246" s="168">
        <f t="shared" si="7"/>
        <v>0</v>
      </c>
      <c r="N246" s="11" t="str">
        <f>(VLOOKUP($I246,Capa!$A:$H,7,0))</f>
        <v/>
      </c>
      <c r="O246" s="169" t="str">
        <f>(VLOOKUP($I246,Capa!$A:$H,8,0))</f>
        <v/>
      </c>
      <c r="P246" s="11" t="str">
        <f>(VLOOKUP($I246,Capa!$A:$J,10,0))</f>
        <v/>
      </c>
      <c r="Q246" s="169" t="str">
        <f>(VLOOKUP($I246,Capa!$A:$K,11,0))</f>
        <v/>
      </c>
      <c r="R246" s="45" t="str">
        <f>'Dados StatusInvest'!A241</f>
        <v>ENAT3</v>
      </c>
      <c r="S246" s="170">
        <f t="shared" si="234"/>
        <v>480.048</v>
      </c>
      <c r="T246" s="171">
        <f>VLOOKUP(R246,'Dados StatusInvest'!A:Z,26,0)</f>
        <v>202000000</v>
      </c>
      <c r="U246" s="172">
        <f t="shared" ref="U246:AS246" si="249">IF(AT246="","", RANK(AT246,AT$7:AT$626,0)+RANK(AT246,AT$7:AT$626,0)/10000)</f>
        <v>245.0245</v>
      </c>
      <c r="V246" s="172">
        <f t="shared" si="249"/>
        <v>235.0235</v>
      </c>
      <c r="W246" s="172" t="str">
        <f t="shared" si="249"/>
        <v/>
      </c>
      <c r="X246" s="172" t="str">
        <f t="shared" si="249"/>
        <v/>
      </c>
      <c r="Y246" s="172" t="str">
        <f t="shared" si="249"/>
        <v/>
      </c>
      <c r="Z246" s="172" t="str">
        <f t="shared" si="249"/>
        <v/>
      </c>
      <c r="AA246" s="172" t="str">
        <f t="shared" si="249"/>
        <v/>
      </c>
      <c r="AB246" s="172" t="str">
        <f t="shared" si="249"/>
        <v/>
      </c>
      <c r="AC246" s="172" t="str">
        <f t="shared" si="249"/>
        <v/>
      </c>
      <c r="AD246" s="172" t="str">
        <f t="shared" si="249"/>
        <v/>
      </c>
      <c r="AE246" s="172" t="str">
        <f t="shared" si="249"/>
        <v/>
      </c>
      <c r="AF246" s="172" t="str">
        <f t="shared" si="249"/>
        <v/>
      </c>
      <c r="AG246" s="172" t="str">
        <f t="shared" si="249"/>
        <v/>
      </c>
      <c r="AH246" s="172" t="str">
        <f t="shared" si="249"/>
        <v/>
      </c>
      <c r="AI246" s="172" t="str">
        <f t="shared" si="249"/>
        <v/>
      </c>
      <c r="AJ246" s="172" t="str">
        <f t="shared" si="249"/>
        <v/>
      </c>
      <c r="AK246" s="172" t="str">
        <f t="shared" si="249"/>
        <v/>
      </c>
      <c r="AL246" s="172" t="str">
        <f t="shared" si="249"/>
        <v/>
      </c>
      <c r="AM246" s="172" t="str">
        <f t="shared" si="249"/>
        <v/>
      </c>
      <c r="AN246" s="172" t="str">
        <f t="shared" si="249"/>
        <v/>
      </c>
      <c r="AO246" s="172" t="str">
        <f t="shared" si="249"/>
        <v/>
      </c>
      <c r="AP246" s="172" t="str">
        <f t="shared" si="249"/>
        <v/>
      </c>
      <c r="AQ246" s="172" t="str">
        <f t="shared" si="249"/>
        <v/>
      </c>
      <c r="AR246" s="172" t="str">
        <f t="shared" si="249"/>
        <v/>
      </c>
      <c r="AS246" s="172" t="str">
        <f t="shared" si="249"/>
        <v/>
      </c>
      <c r="AT246" s="173">
        <f>IF(AT$6="","",IF(AT$3="Maior",iferror(VLOOKUP($R246,Capa!$A:$AJ,AT$5,0),0),IF(ISERROR(1/VLOOKUP($R246,Capa!$A:$AJ,AT$5,0)),0,1/VLOOKUP($R246,Capa!$A:$AJ,AT$5,0))))</f>
        <v>-0.462962963</v>
      </c>
      <c r="AU246" s="174">
        <f>IF(AU$6="","",IF(AU$3="Maior",iferror(VLOOKUP($R246,Capa!$A:$AJ,AU$5,0),0),IF(ISERROR(1/VLOOKUP($R246,Capa!$A:$AJ,AU$5,0)),0,1/VLOOKUP($R246,Capa!$A:$AJ,AU$5,0))))</f>
        <v>5.75</v>
      </c>
      <c r="AV246" s="174" t="str">
        <f>IF(AV$6="","",IF(AV$3="Maior",iferror(VLOOKUP($R246,Capa!$A:$AJ,AV$5,0),0),IF(ISERROR(1/VLOOKUP($R246,Capa!$A:$AJ,AV$5,0)),0,1/VLOOKUP($R246,Capa!$A:$AJ,AV$5,0))))</f>
        <v/>
      </c>
      <c r="AW246" s="174" t="str">
        <f>IF(AW$6="","",IF(AW$3="Maior",iferror(VLOOKUP($R246,Capa!$A:$AJ,AW$5,0),0),IF(ISERROR(1/VLOOKUP($R246,Capa!$A:$AJ,AW$5,0)),0,1/VLOOKUP($R246,Capa!$A:$AJ,AW$5,0))))</f>
        <v/>
      </c>
      <c r="AX246" s="174" t="str">
        <f>IF(AX$6="","",IF(AX$3="Maior",iferror(VLOOKUP($R246,Capa!$A:$AJ,AX$5,0),0),IF(ISERROR(1/VLOOKUP($R246,Capa!$A:$AJ,AX$5,0)),0,1/VLOOKUP($R246,Capa!$A:$AJ,AX$5,0))))</f>
        <v/>
      </c>
      <c r="AY246" s="174" t="str">
        <f>IF(AY$6="","",IF(AY$3="Maior",iferror(VLOOKUP($R246,Capa!$A:$AJ,AY$5,0),0),IF(ISERROR(1/VLOOKUP($R246,Capa!$A:$AJ,AY$5,0)),0,1/VLOOKUP($R246,Capa!$A:$AJ,AY$5,0))))</f>
        <v/>
      </c>
      <c r="AZ246" s="174" t="str">
        <f>IF(AZ$6="","",IF(AZ$3="Maior",iferror(VLOOKUP($R246,Capa!$A:$AJ,AZ$5,0),0),IF(ISERROR(1/VLOOKUP($R246,Capa!$A:$AJ,AZ$5,0)),0,1/VLOOKUP($R246,Capa!$A:$AJ,AZ$5,0))))</f>
        <v/>
      </c>
      <c r="BA246" s="174" t="str">
        <f>IF(BA$6="","",IF(BA$3="Maior",iferror(VLOOKUP($R246,Capa!$A:$AJ,BA$5,0),0),IF(ISERROR(1/VLOOKUP($R246,Capa!$A:$AJ,BA$5,0)),0,1/VLOOKUP($R246,Capa!$A:$AJ,BA$5,0))))</f>
        <v/>
      </c>
      <c r="BB246" s="174" t="str">
        <f>IF(BB$6="","",IF(BB$3="Maior",iferror(VLOOKUP($R246,Capa!$A:$AJ,BB$5,0),0),IF(ISERROR(1/VLOOKUP($R246,Capa!$A:$AJ,BB$5,0)),0,1/VLOOKUP($R246,Capa!$A:$AJ,BB$5,0))))</f>
        <v/>
      </c>
      <c r="BC246" s="174" t="str">
        <f>IF(BC$6="","",IF(BC$3="Maior",iferror(VLOOKUP($R246,Capa!$A:$AJ,BC$5,0),0),IF(ISERROR(1/VLOOKUP($R246,Capa!$A:$AJ,BC$5,0)),0,1/VLOOKUP($R246,Capa!$A:$AJ,BC$5,0))))</f>
        <v/>
      </c>
      <c r="BD246" s="174" t="str">
        <f>IF(BD$6="","",IF(BD$3="Maior",iferror(VLOOKUP($R246,Capa!$A:$AJ,BD$5,0),0),IF(ISERROR(1/VLOOKUP($R246,Capa!$A:$AJ,BD$5,0)),0,1/VLOOKUP($R246,Capa!$A:$AJ,BD$5,0))))</f>
        <v/>
      </c>
      <c r="BE246" s="174" t="str">
        <f>IF(BE$6="","",IF(BE$3="Maior",iferror(VLOOKUP($R246,Capa!$A:$AJ,BE$5,0),0),IF(ISERROR(1/VLOOKUP($R246,Capa!$A:$AJ,BE$5,0)),0,1/VLOOKUP($R246,Capa!$A:$AJ,BE$5,0))))</f>
        <v/>
      </c>
      <c r="BF246" s="174" t="str">
        <f>IF(BF$6="","",IF(BF$3="Maior",iferror(VLOOKUP($R246,Capa!$A:$AJ,BF$5,0),0),IF(ISERROR(1/VLOOKUP($R246,Capa!$A:$AJ,BF$5,0)),0,1/VLOOKUP($R246,Capa!$A:$AJ,BF$5,0))))</f>
        <v/>
      </c>
      <c r="BG246" s="174" t="str">
        <f>IF(BG$6="","",IF(BG$3="Maior",iferror(VLOOKUP($R246,Capa!$A:$AJ,BG$5,0),0),IF(ISERROR(1/VLOOKUP($R246,Capa!$A:$AJ,BG$5,0)),0,1/VLOOKUP($R246,Capa!$A:$AJ,BG$5,0))))</f>
        <v/>
      </c>
      <c r="BH246" s="174" t="str">
        <f>IF(BH$6="","",IF(BH$3="Maior",iferror(VLOOKUP($R246,Capa!$A:$AJ,BH$5,0),0),IF(ISERROR(1/VLOOKUP($R246,Capa!$A:$AJ,BH$5,0)),0,1/VLOOKUP($R246,Capa!$A:$AJ,BH$5,0))))</f>
        <v/>
      </c>
      <c r="BI246" s="174" t="str">
        <f>IF(BI$6="","",IF(BI$3="Maior",iferror(VLOOKUP($R246,Capa!$A:$AJ,BI$5,0),0),IF(ISERROR(1/VLOOKUP($R246,Capa!$A:$AJ,BI$5,0)),0,1/VLOOKUP($R246,Capa!$A:$AJ,BI$5,0))))</f>
        <v/>
      </c>
      <c r="BJ246" s="174" t="str">
        <f>IF(BJ$6="","",IF(BJ$3="Maior",iferror(VLOOKUP($R246,Capa!$A:$AJ,BJ$5,0),0),IF(ISERROR(1/VLOOKUP($R246,Capa!$A:$AJ,BJ$5,0)),0,1/VLOOKUP($R246,Capa!$A:$AJ,BJ$5,0))))</f>
        <v/>
      </c>
      <c r="BK246" s="174" t="str">
        <f>IF(BK$6="","",IF(BK$3="Maior",iferror(VLOOKUP($R246,Capa!$A:$AJ,BK$5,0),0),IF(ISERROR(1/VLOOKUP($R246,Capa!$A:$AJ,BK$5,0)),0,1/VLOOKUP($R246,Capa!$A:$AJ,BK$5,0))))</f>
        <v/>
      </c>
      <c r="BL246" s="174" t="str">
        <f>IF(BL$6="","",IF(BL$3="Maior",iferror(VLOOKUP($R246,Capa!$A:$AJ,BL$5,0),0),IF(ISERROR(1/VLOOKUP($R246,Capa!$A:$AJ,BL$5,0)),0,1/VLOOKUP($R246,Capa!$A:$AJ,BL$5,0))))</f>
        <v/>
      </c>
      <c r="BM246" s="174" t="str">
        <f>IF(BM$6="","",IF(BM$3="Maior",iferror(VLOOKUP($R246,Capa!$A:$AJ,BM$5,0),0),IF(ISERROR(1/VLOOKUP($R246,Capa!$A:$AJ,BM$5,0)),0,1/VLOOKUP($R246,Capa!$A:$AJ,BM$5,0))))</f>
        <v/>
      </c>
      <c r="BN246" s="174" t="str">
        <f>IF(BN$6="","",IF(BN$3="Maior",iferror(VLOOKUP($R246,Capa!$A:$AJ,BN$5,0),0),IF(ISERROR(1/VLOOKUP($R246,Capa!$A:$AJ,BN$5,0)),0,1/VLOOKUP($R246,Capa!$A:$AJ,BN$5,0))))</f>
        <v/>
      </c>
      <c r="BO246" s="174" t="str">
        <f>IF(BO$6="","",IF(BO$3="Maior",iferror(VLOOKUP($R246,Capa!$A:$AJ,BO$5,0),0),IF(ISERROR(1/VLOOKUP($R246,Capa!$A:$AJ,BO$5,0)),0,1/VLOOKUP($R246,Capa!$A:$AJ,BO$5,0))))</f>
        <v/>
      </c>
      <c r="BP246" s="174" t="str">
        <f>IF(BP$6="","",IF(BP$3="Maior",iferror(VLOOKUP($R246,Capa!$A:$AJ,BP$5,0),0),IF(ISERROR(1/VLOOKUP($R246,Capa!$A:$AJ,BP$5,0)),0,1/VLOOKUP($R246,Capa!$A:$AJ,BP$5,0))))</f>
        <v/>
      </c>
      <c r="BQ246" s="174" t="str">
        <f>IF(BQ$6="","",IF(BQ$3="Maior",iferror(VLOOKUP($R246,Capa!$A:$AJ,BQ$5,0),0),IF(ISERROR(1/VLOOKUP($R246,Capa!$A:$AJ,BQ$5,0)),0,1/VLOOKUP($R246,Capa!$A:$AJ,BQ$5,0))))</f>
        <v/>
      </c>
      <c r="BR246" s="175"/>
      <c r="BS246" s="147"/>
    </row>
    <row r="247">
      <c r="G247" s="11"/>
      <c r="H247" s="8">
        <v>241.0</v>
      </c>
      <c r="I247" s="165" t="str">
        <f t="shared" si="6"/>
        <v>CTCA3</v>
      </c>
      <c r="J247" s="166" t="str">
        <f>(VLOOKUP($I247,Capa!$A:$B,2,0))</f>
        <v>CTC Centro de Tecnologia Canavieira SA</v>
      </c>
      <c r="K247" s="167" t="str">
        <f>VLOOKUP(left(I247,4),Setor!A:D,3,0)&amp;" | "&amp;VLOOKUP(left(I247,4),Setor!A:D,4,0)</f>
        <v>#N/A</v>
      </c>
      <c r="L247" s="168">
        <f>(VLOOKUP($I247,Capa!$A:$F,6,0))</f>
        <v>0</v>
      </c>
      <c r="M247" s="168">
        <f t="shared" si="7"/>
        <v>0</v>
      </c>
      <c r="N247" s="11" t="str">
        <f>(VLOOKUP($I247,Capa!$A:$H,7,0))</f>
        <v/>
      </c>
      <c r="O247" s="169" t="str">
        <f>(VLOOKUP($I247,Capa!$A:$H,8,0))</f>
        <v/>
      </c>
      <c r="P247" s="11" t="str">
        <f>(VLOOKUP($I247,Capa!$A:$J,10,0))</f>
        <v/>
      </c>
      <c r="Q247" s="169" t="str">
        <f>(VLOOKUP($I247,Capa!$A:$K,11,0))</f>
        <v/>
      </c>
      <c r="R247" s="45" t="str">
        <f>'Dados StatusInvest'!A242</f>
        <v>ENBR3</v>
      </c>
      <c r="S247" s="170">
        <f t="shared" si="234"/>
        <v>1341.0341</v>
      </c>
      <c r="T247" s="171">
        <f>VLOOKUP(R247,'Dados StatusInvest'!A:Z,26,0)</f>
        <v>0</v>
      </c>
      <c r="U247" s="172">
        <f t="shared" ref="U247:AS247" si="250">IF(AT247="","", RANK(AT247,AT$7:AT$626,0)+RANK(AT247,AT$7:AT$626,0)/10000)</f>
        <v>138.0138</v>
      </c>
      <c r="V247" s="172">
        <f t="shared" si="250"/>
        <v>203.0203</v>
      </c>
      <c r="W247" s="172" t="str">
        <f t="shared" si="250"/>
        <v/>
      </c>
      <c r="X247" s="172" t="str">
        <f t="shared" si="250"/>
        <v/>
      </c>
      <c r="Y247" s="172" t="str">
        <f t="shared" si="250"/>
        <v/>
      </c>
      <c r="Z247" s="172" t="str">
        <f t="shared" si="250"/>
        <v/>
      </c>
      <c r="AA247" s="172" t="str">
        <f t="shared" si="250"/>
        <v/>
      </c>
      <c r="AB247" s="172" t="str">
        <f t="shared" si="250"/>
        <v/>
      </c>
      <c r="AC247" s="172" t="str">
        <f t="shared" si="250"/>
        <v/>
      </c>
      <c r="AD247" s="172" t="str">
        <f t="shared" si="250"/>
        <v/>
      </c>
      <c r="AE247" s="172" t="str">
        <f t="shared" si="250"/>
        <v/>
      </c>
      <c r="AF247" s="172" t="str">
        <f t="shared" si="250"/>
        <v/>
      </c>
      <c r="AG247" s="172" t="str">
        <f t="shared" si="250"/>
        <v/>
      </c>
      <c r="AH247" s="172" t="str">
        <f t="shared" si="250"/>
        <v/>
      </c>
      <c r="AI247" s="172" t="str">
        <f t="shared" si="250"/>
        <v/>
      </c>
      <c r="AJ247" s="172" t="str">
        <f t="shared" si="250"/>
        <v/>
      </c>
      <c r="AK247" s="172" t="str">
        <f t="shared" si="250"/>
        <v/>
      </c>
      <c r="AL247" s="172" t="str">
        <f t="shared" si="250"/>
        <v/>
      </c>
      <c r="AM247" s="172" t="str">
        <f t="shared" si="250"/>
        <v/>
      </c>
      <c r="AN247" s="172" t="str">
        <f t="shared" si="250"/>
        <v/>
      </c>
      <c r="AO247" s="172" t="str">
        <f t="shared" si="250"/>
        <v/>
      </c>
      <c r="AP247" s="172" t="str">
        <f t="shared" si="250"/>
        <v/>
      </c>
      <c r="AQ247" s="172" t="str">
        <f t="shared" si="250"/>
        <v/>
      </c>
      <c r="AR247" s="172" t="str">
        <f t="shared" si="250"/>
        <v/>
      </c>
      <c r="AS247" s="172" t="str">
        <f t="shared" si="250"/>
        <v/>
      </c>
      <c r="AT247" s="173">
        <f>IF(AT$6="","",IF(AT$3="Maior",iferror(VLOOKUP($R247,Capa!$A:$AJ,AT$5,0),0),IF(ISERROR(1/VLOOKUP($R247,Capa!$A:$AJ,AT$5,0)),0,1/VLOOKUP($R247,Capa!$A:$AJ,AT$5,0))))</f>
        <v>-0.0656167979</v>
      </c>
      <c r="AU247" s="174">
        <f>IF(AU$6="","",IF(AU$3="Maior",iferror(VLOOKUP($R247,Capa!$A:$AJ,AU$5,0),0),IF(ISERROR(1/VLOOKUP($R247,Capa!$A:$AJ,AU$5,0)),0,1/VLOOKUP($R247,Capa!$A:$AJ,AU$5,0))))</f>
        <v>10.57</v>
      </c>
      <c r="AV247" s="174" t="str">
        <f>IF(AV$6="","",IF(AV$3="Maior",iferror(VLOOKUP($R247,Capa!$A:$AJ,AV$5,0),0),IF(ISERROR(1/VLOOKUP($R247,Capa!$A:$AJ,AV$5,0)),0,1/VLOOKUP($R247,Capa!$A:$AJ,AV$5,0))))</f>
        <v/>
      </c>
      <c r="AW247" s="174" t="str">
        <f>IF(AW$6="","",IF(AW$3="Maior",iferror(VLOOKUP($R247,Capa!$A:$AJ,AW$5,0),0),IF(ISERROR(1/VLOOKUP($R247,Capa!$A:$AJ,AW$5,0)),0,1/VLOOKUP($R247,Capa!$A:$AJ,AW$5,0))))</f>
        <v/>
      </c>
      <c r="AX247" s="174" t="str">
        <f>IF(AX$6="","",IF(AX$3="Maior",iferror(VLOOKUP($R247,Capa!$A:$AJ,AX$5,0),0),IF(ISERROR(1/VLOOKUP($R247,Capa!$A:$AJ,AX$5,0)),0,1/VLOOKUP($R247,Capa!$A:$AJ,AX$5,0))))</f>
        <v/>
      </c>
      <c r="AY247" s="174" t="str">
        <f>IF(AY$6="","",IF(AY$3="Maior",iferror(VLOOKUP($R247,Capa!$A:$AJ,AY$5,0),0),IF(ISERROR(1/VLOOKUP($R247,Capa!$A:$AJ,AY$5,0)),0,1/VLOOKUP($R247,Capa!$A:$AJ,AY$5,0))))</f>
        <v/>
      </c>
      <c r="AZ247" s="174" t="str">
        <f>IF(AZ$6="","",IF(AZ$3="Maior",iferror(VLOOKUP($R247,Capa!$A:$AJ,AZ$5,0),0),IF(ISERROR(1/VLOOKUP($R247,Capa!$A:$AJ,AZ$5,0)),0,1/VLOOKUP($R247,Capa!$A:$AJ,AZ$5,0))))</f>
        <v/>
      </c>
      <c r="BA247" s="174" t="str">
        <f>IF(BA$6="","",IF(BA$3="Maior",iferror(VLOOKUP($R247,Capa!$A:$AJ,BA$5,0),0),IF(ISERROR(1/VLOOKUP($R247,Capa!$A:$AJ,BA$5,0)),0,1/VLOOKUP($R247,Capa!$A:$AJ,BA$5,0))))</f>
        <v/>
      </c>
      <c r="BB247" s="174" t="str">
        <f>IF(BB$6="","",IF(BB$3="Maior",iferror(VLOOKUP($R247,Capa!$A:$AJ,BB$5,0),0),IF(ISERROR(1/VLOOKUP($R247,Capa!$A:$AJ,BB$5,0)),0,1/VLOOKUP($R247,Capa!$A:$AJ,BB$5,0))))</f>
        <v/>
      </c>
      <c r="BC247" s="174" t="str">
        <f>IF(BC$6="","",IF(BC$3="Maior",iferror(VLOOKUP($R247,Capa!$A:$AJ,BC$5,0),0),IF(ISERROR(1/VLOOKUP($R247,Capa!$A:$AJ,BC$5,0)),0,1/VLOOKUP($R247,Capa!$A:$AJ,BC$5,0))))</f>
        <v/>
      </c>
      <c r="BD247" s="174" t="str">
        <f>IF(BD$6="","",IF(BD$3="Maior",iferror(VLOOKUP($R247,Capa!$A:$AJ,BD$5,0),0),IF(ISERROR(1/VLOOKUP($R247,Capa!$A:$AJ,BD$5,0)),0,1/VLOOKUP($R247,Capa!$A:$AJ,BD$5,0))))</f>
        <v/>
      </c>
      <c r="BE247" s="174" t="str">
        <f>IF(BE$6="","",IF(BE$3="Maior",iferror(VLOOKUP($R247,Capa!$A:$AJ,BE$5,0),0),IF(ISERROR(1/VLOOKUP($R247,Capa!$A:$AJ,BE$5,0)),0,1/VLOOKUP($R247,Capa!$A:$AJ,BE$5,0))))</f>
        <v/>
      </c>
      <c r="BF247" s="174" t="str">
        <f>IF(BF$6="","",IF(BF$3="Maior",iferror(VLOOKUP($R247,Capa!$A:$AJ,BF$5,0),0),IF(ISERROR(1/VLOOKUP($R247,Capa!$A:$AJ,BF$5,0)),0,1/VLOOKUP($R247,Capa!$A:$AJ,BF$5,0))))</f>
        <v/>
      </c>
      <c r="BG247" s="174" t="str">
        <f>IF(BG$6="","",IF(BG$3="Maior",iferror(VLOOKUP($R247,Capa!$A:$AJ,BG$5,0),0),IF(ISERROR(1/VLOOKUP($R247,Capa!$A:$AJ,BG$5,0)),0,1/VLOOKUP($R247,Capa!$A:$AJ,BG$5,0))))</f>
        <v/>
      </c>
      <c r="BH247" s="174" t="str">
        <f>IF(BH$6="","",IF(BH$3="Maior",iferror(VLOOKUP($R247,Capa!$A:$AJ,BH$5,0),0),IF(ISERROR(1/VLOOKUP($R247,Capa!$A:$AJ,BH$5,0)),0,1/VLOOKUP($R247,Capa!$A:$AJ,BH$5,0))))</f>
        <v/>
      </c>
      <c r="BI247" s="174" t="str">
        <f>IF(BI$6="","",IF(BI$3="Maior",iferror(VLOOKUP($R247,Capa!$A:$AJ,BI$5,0),0),IF(ISERROR(1/VLOOKUP($R247,Capa!$A:$AJ,BI$5,0)),0,1/VLOOKUP($R247,Capa!$A:$AJ,BI$5,0))))</f>
        <v/>
      </c>
      <c r="BJ247" s="174" t="str">
        <f>IF(BJ$6="","",IF(BJ$3="Maior",iferror(VLOOKUP($R247,Capa!$A:$AJ,BJ$5,0),0),IF(ISERROR(1/VLOOKUP($R247,Capa!$A:$AJ,BJ$5,0)),0,1/VLOOKUP($R247,Capa!$A:$AJ,BJ$5,0))))</f>
        <v/>
      </c>
      <c r="BK247" s="174" t="str">
        <f>IF(BK$6="","",IF(BK$3="Maior",iferror(VLOOKUP($R247,Capa!$A:$AJ,BK$5,0),0),IF(ISERROR(1/VLOOKUP($R247,Capa!$A:$AJ,BK$5,0)),0,1/VLOOKUP($R247,Capa!$A:$AJ,BK$5,0))))</f>
        <v/>
      </c>
      <c r="BL247" s="174" t="str">
        <f>IF(BL$6="","",IF(BL$3="Maior",iferror(VLOOKUP($R247,Capa!$A:$AJ,BL$5,0),0),IF(ISERROR(1/VLOOKUP($R247,Capa!$A:$AJ,BL$5,0)),0,1/VLOOKUP($R247,Capa!$A:$AJ,BL$5,0))))</f>
        <v/>
      </c>
      <c r="BM247" s="174" t="str">
        <f>IF(BM$6="","",IF(BM$3="Maior",iferror(VLOOKUP($R247,Capa!$A:$AJ,BM$5,0),0),IF(ISERROR(1/VLOOKUP($R247,Capa!$A:$AJ,BM$5,0)),0,1/VLOOKUP($R247,Capa!$A:$AJ,BM$5,0))))</f>
        <v/>
      </c>
      <c r="BN247" s="174" t="str">
        <f>IF(BN$6="","",IF(BN$3="Maior",iferror(VLOOKUP($R247,Capa!$A:$AJ,BN$5,0),0),IF(ISERROR(1/VLOOKUP($R247,Capa!$A:$AJ,BN$5,0)),0,1/VLOOKUP($R247,Capa!$A:$AJ,BN$5,0))))</f>
        <v/>
      </c>
      <c r="BO247" s="174" t="str">
        <f>IF(BO$6="","",IF(BO$3="Maior",iferror(VLOOKUP($R247,Capa!$A:$AJ,BO$5,0),0),IF(ISERROR(1/VLOOKUP($R247,Capa!$A:$AJ,BO$5,0)),0,1/VLOOKUP($R247,Capa!$A:$AJ,BO$5,0))))</f>
        <v/>
      </c>
      <c r="BP247" s="174" t="str">
        <f>IF(BP$6="","",IF(BP$3="Maior",iferror(VLOOKUP($R247,Capa!$A:$AJ,BP$5,0),0),IF(ISERROR(1/VLOOKUP($R247,Capa!$A:$AJ,BP$5,0)),0,1/VLOOKUP($R247,Capa!$A:$AJ,BP$5,0))))</f>
        <v/>
      </c>
      <c r="BQ247" s="174" t="str">
        <f>IF(BQ$6="","",IF(BQ$3="Maior",iferror(VLOOKUP($R247,Capa!$A:$AJ,BQ$5,0),0),IF(ISERROR(1/VLOOKUP($R247,Capa!$A:$AJ,BQ$5,0)),0,1/VLOOKUP($R247,Capa!$A:$AJ,BQ$5,0))))</f>
        <v/>
      </c>
      <c r="BR247" s="175"/>
      <c r="BS247" s="147"/>
    </row>
    <row r="248">
      <c r="G248" s="11"/>
      <c r="H248" s="8">
        <v>242.0</v>
      </c>
      <c r="I248" s="165" t="str">
        <f t="shared" si="6"/>
        <v>DXCO3</v>
      </c>
      <c r="J248" s="166" t="str">
        <f>(VLOOKUP($I248,Capa!$A:$B,2,0))</f>
        <v>Dexco SA</v>
      </c>
      <c r="K248" s="167" t="str">
        <f>VLOOKUP(left(I248,4),Setor!A:D,3,0)&amp;" | "&amp;VLOOKUP(left(I248,4),Setor!A:D,4,0)</f>
        <v>Outros | Outros</v>
      </c>
      <c r="L248" s="168">
        <f>(VLOOKUP($I248,Capa!$A:$F,6,0))</f>
        <v>5.6</v>
      </c>
      <c r="M248" s="168">
        <f t="shared" si="7"/>
        <v>13997355</v>
      </c>
      <c r="N248" s="11" t="str">
        <f>IFERROR(__xludf.DUMMYFUNCTION("(VLOOKUP($I248,Capa!$A:$H,7,0))"),"")</f>
        <v/>
      </c>
      <c r="O248" s="169">
        <f>(VLOOKUP($I248,Capa!$A:$H,8,0))</f>
        <v>0.01083032491</v>
      </c>
      <c r="P248" s="11" t="str">
        <f>IFERROR(__xludf.DUMMYFUNCTION("(VLOOKUP($I248,Capa!$A:$J,10,0))"),"")</f>
        <v/>
      </c>
      <c r="Q248" s="169">
        <f>(VLOOKUP($I248,Capa!$A:$K,11,0))</f>
        <v>0.009009009009</v>
      </c>
      <c r="R248" s="45" t="str">
        <f>'Dados StatusInvest'!A243</f>
        <v>ENEV3</v>
      </c>
      <c r="S248" s="170">
        <f t="shared" si="234"/>
        <v>972.0972</v>
      </c>
      <c r="T248" s="171">
        <f>VLOOKUP(R248,'Dados StatusInvest'!A:Z,26,0)</f>
        <v>490000000</v>
      </c>
      <c r="U248" s="172">
        <f t="shared" ref="U248:AS248" si="251">IF(AT248="","", RANK(AT248,AT$7:AT$626,0)+RANK(AT248,AT$7:AT$626,0)/10000)</f>
        <v>358.0358</v>
      </c>
      <c r="V248" s="172">
        <f t="shared" si="251"/>
        <v>614.0614</v>
      </c>
      <c r="W248" s="172" t="str">
        <f t="shared" si="251"/>
        <v/>
      </c>
      <c r="X248" s="172" t="str">
        <f t="shared" si="251"/>
        <v/>
      </c>
      <c r="Y248" s="172" t="str">
        <f t="shared" si="251"/>
        <v/>
      </c>
      <c r="Z248" s="172" t="str">
        <f t="shared" si="251"/>
        <v/>
      </c>
      <c r="AA248" s="172" t="str">
        <f t="shared" si="251"/>
        <v/>
      </c>
      <c r="AB248" s="172" t="str">
        <f t="shared" si="251"/>
        <v/>
      </c>
      <c r="AC248" s="172" t="str">
        <f t="shared" si="251"/>
        <v/>
      </c>
      <c r="AD248" s="172" t="str">
        <f t="shared" si="251"/>
        <v/>
      </c>
      <c r="AE248" s="172" t="str">
        <f t="shared" si="251"/>
        <v/>
      </c>
      <c r="AF248" s="172" t="str">
        <f t="shared" si="251"/>
        <v/>
      </c>
      <c r="AG248" s="172" t="str">
        <f t="shared" si="251"/>
        <v/>
      </c>
      <c r="AH248" s="172" t="str">
        <f t="shared" si="251"/>
        <v/>
      </c>
      <c r="AI248" s="172" t="str">
        <f t="shared" si="251"/>
        <v/>
      </c>
      <c r="AJ248" s="172" t="str">
        <f t="shared" si="251"/>
        <v/>
      </c>
      <c r="AK248" s="172" t="str">
        <f t="shared" si="251"/>
        <v/>
      </c>
      <c r="AL248" s="172" t="str">
        <f t="shared" si="251"/>
        <v/>
      </c>
      <c r="AM248" s="172" t="str">
        <f t="shared" si="251"/>
        <v/>
      </c>
      <c r="AN248" s="172" t="str">
        <f t="shared" si="251"/>
        <v/>
      </c>
      <c r="AO248" s="172" t="str">
        <f t="shared" si="251"/>
        <v/>
      </c>
      <c r="AP248" s="172" t="str">
        <f t="shared" si="251"/>
        <v/>
      </c>
      <c r="AQ248" s="172" t="str">
        <f t="shared" si="251"/>
        <v/>
      </c>
      <c r="AR248" s="172" t="str">
        <f t="shared" si="251"/>
        <v/>
      </c>
      <c r="AS248" s="172" t="str">
        <f t="shared" si="251"/>
        <v/>
      </c>
      <c r="AT248" s="173">
        <f>IF(AT$6="","",IF(AT$3="Maior",iferror(VLOOKUP($R248,Capa!$A:$AJ,AT$5,0),0),IF(ISERROR(1/VLOOKUP($R248,Capa!$A:$AJ,AT$5,0)),0,1/VLOOKUP($R248,Capa!$A:$AJ,AT$5,0))))</f>
        <v>-1.036504849</v>
      </c>
      <c r="AU248" s="174">
        <f>IF(AU$6="","",IF(AU$3="Maior",iferror(VLOOKUP($R248,Capa!$A:$AJ,AU$5,0),0),IF(ISERROR(1/VLOOKUP($R248,Capa!$A:$AJ,AU$5,0)),0,1/VLOOKUP($R248,Capa!$A:$AJ,AU$5,0))))</f>
        <v>-43.68</v>
      </c>
      <c r="AV248" s="174" t="str">
        <f>IF(AV$6="","",IF(AV$3="Maior",iferror(VLOOKUP($R248,Capa!$A:$AJ,AV$5,0),0),IF(ISERROR(1/VLOOKUP($R248,Capa!$A:$AJ,AV$5,0)),0,1/VLOOKUP($R248,Capa!$A:$AJ,AV$5,0))))</f>
        <v/>
      </c>
      <c r="AW248" s="174" t="str">
        <f>IF(AW$6="","",IF(AW$3="Maior",iferror(VLOOKUP($R248,Capa!$A:$AJ,AW$5,0),0),IF(ISERROR(1/VLOOKUP($R248,Capa!$A:$AJ,AW$5,0)),0,1/VLOOKUP($R248,Capa!$A:$AJ,AW$5,0))))</f>
        <v/>
      </c>
      <c r="AX248" s="174" t="str">
        <f>IF(AX$6="","",IF(AX$3="Maior",iferror(VLOOKUP($R248,Capa!$A:$AJ,AX$5,0),0),IF(ISERROR(1/VLOOKUP($R248,Capa!$A:$AJ,AX$5,0)),0,1/VLOOKUP($R248,Capa!$A:$AJ,AX$5,0))))</f>
        <v/>
      </c>
      <c r="AY248" s="174" t="str">
        <f>IF(AY$6="","",IF(AY$3="Maior",iferror(VLOOKUP($R248,Capa!$A:$AJ,AY$5,0),0),IF(ISERROR(1/VLOOKUP($R248,Capa!$A:$AJ,AY$5,0)),0,1/VLOOKUP($R248,Capa!$A:$AJ,AY$5,0))))</f>
        <v/>
      </c>
      <c r="AZ248" s="174" t="str">
        <f>IF(AZ$6="","",IF(AZ$3="Maior",iferror(VLOOKUP($R248,Capa!$A:$AJ,AZ$5,0),0),IF(ISERROR(1/VLOOKUP($R248,Capa!$A:$AJ,AZ$5,0)),0,1/VLOOKUP($R248,Capa!$A:$AJ,AZ$5,0))))</f>
        <v/>
      </c>
      <c r="BA248" s="174" t="str">
        <f>IF(BA$6="","",IF(BA$3="Maior",iferror(VLOOKUP($R248,Capa!$A:$AJ,BA$5,0),0),IF(ISERROR(1/VLOOKUP($R248,Capa!$A:$AJ,BA$5,0)),0,1/VLOOKUP($R248,Capa!$A:$AJ,BA$5,0))))</f>
        <v/>
      </c>
      <c r="BB248" s="174" t="str">
        <f>IF(BB$6="","",IF(BB$3="Maior",iferror(VLOOKUP($R248,Capa!$A:$AJ,BB$5,0),0),IF(ISERROR(1/VLOOKUP($R248,Capa!$A:$AJ,BB$5,0)),0,1/VLOOKUP($R248,Capa!$A:$AJ,BB$5,0))))</f>
        <v/>
      </c>
      <c r="BC248" s="174" t="str">
        <f>IF(BC$6="","",IF(BC$3="Maior",iferror(VLOOKUP($R248,Capa!$A:$AJ,BC$5,0),0),IF(ISERROR(1/VLOOKUP($R248,Capa!$A:$AJ,BC$5,0)),0,1/VLOOKUP($R248,Capa!$A:$AJ,BC$5,0))))</f>
        <v/>
      </c>
      <c r="BD248" s="174" t="str">
        <f>IF(BD$6="","",IF(BD$3="Maior",iferror(VLOOKUP($R248,Capa!$A:$AJ,BD$5,0),0),IF(ISERROR(1/VLOOKUP($R248,Capa!$A:$AJ,BD$5,0)),0,1/VLOOKUP($R248,Capa!$A:$AJ,BD$5,0))))</f>
        <v/>
      </c>
      <c r="BE248" s="174" t="str">
        <f>IF(BE$6="","",IF(BE$3="Maior",iferror(VLOOKUP($R248,Capa!$A:$AJ,BE$5,0),0),IF(ISERROR(1/VLOOKUP($R248,Capa!$A:$AJ,BE$5,0)),0,1/VLOOKUP($R248,Capa!$A:$AJ,BE$5,0))))</f>
        <v/>
      </c>
      <c r="BF248" s="174" t="str">
        <f>IF(BF$6="","",IF(BF$3="Maior",iferror(VLOOKUP($R248,Capa!$A:$AJ,BF$5,0),0),IF(ISERROR(1/VLOOKUP($R248,Capa!$A:$AJ,BF$5,0)),0,1/VLOOKUP($R248,Capa!$A:$AJ,BF$5,0))))</f>
        <v/>
      </c>
      <c r="BG248" s="174" t="str">
        <f>IF(BG$6="","",IF(BG$3="Maior",iferror(VLOOKUP($R248,Capa!$A:$AJ,BG$5,0),0),IF(ISERROR(1/VLOOKUP($R248,Capa!$A:$AJ,BG$5,0)),0,1/VLOOKUP($R248,Capa!$A:$AJ,BG$5,0))))</f>
        <v/>
      </c>
      <c r="BH248" s="174" t="str">
        <f>IF(BH$6="","",IF(BH$3="Maior",iferror(VLOOKUP($R248,Capa!$A:$AJ,BH$5,0),0),IF(ISERROR(1/VLOOKUP($R248,Capa!$A:$AJ,BH$5,0)),0,1/VLOOKUP($R248,Capa!$A:$AJ,BH$5,0))))</f>
        <v/>
      </c>
      <c r="BI248" s="174" t="str">
        <f>IF(BI$6="","",IF(BI$3="Maior",iferror(VLOOKUP($R248,Capa!$A:$AJ,BI$5,0),0),IF(ISERROR(1/VLOOKUP($R248,Capa!$A:$AJ,BI$5,0)),0,1/VLOOKUP($R248,Capa!$A:$AJ,BI$5,0))))</f>
        <v/>
      </c>
      <c r="BJ248" s="174" t="str">
        <f>IF(BJ$6="","",IF(BJ$3="Maior",iferror(VLOOKUP($R248,Capa!$A:$AJ,BJ$5,0),0),IF(ISERROR(1/VLOOKUP($R248,Capa!$A:$AJ,BJ$5,0)),0,1/VLOOKUP($R248,Capa!$A:$AJ,BJ$5,0))))</f>
        <v/>
      </c>
      <c r="BK248" s="174" t="str">
        <f>IF(BK$6="","",IF(BK$3="Maior",iferror(VLOOKUP($R248,Capa!$A:$AJ,BK$5,0),0),IF(ISERROR(1/VLOOKUP($R248,Capa!$A:$AJ,BK$5,0)),0,1/VLOOKUP($R248,Capa!$A:$AJ,BK$5,0))))</f>
        <v/>
      </c>
      <c r="BL248" s="174" t="str">
        <f>IF(BL$6="","",IF(BL$3="Maior",iferror(VLOOKUP($R248,Capa!$A:$AJ,BL$5,0),0),IF(ISERROR(1/VLOOKUP($R248,Capa!$A:$AJ,BL$5,0)),0,1/VLOOKUP($R248,Capa!$A:$AJ,BL$5,0))))</f>
        <v/>
      </c>
      <c r="BM248" s="174" t="str">
        <f>IF(BM$6="","",IF(BM$3="Maior",iferror(VLOOKUP($R248,Capa!$A:$AJ,BM$5,0),0),IF(ISERROR(1/VLOOKUP($R248,Capa!$A:$AJ,BM$5,0)),0,1/VLOOKUP($R248,Capa!$A:$AJ,BM$5,0))))</f>
        <v/>
      </c>
      <c r="BN248" s="174" t="str">
        <f>IF(BN$6="","",IF(BN$3="Maior",iferror(VLOOKUP($R248,Capa!$A:$AJ,BN$5,0),0),IF(ISERROR(1/VLOOKUP($R248,Capa!$A:$AJ,BN$5,0)),0,1/VLOOKUP($R248,Capa!$A:$AJ,BN$5,0))))</f>
        <v/>
      </c>
      <c r="BO248" s="174" t="str">
        <f>IF(BO$6="","",IF(BO$3="Maior",iferror(VLOOKUP($R248,Capa!$A:$AJ,BO$5,0),0),IF(ISERROR(1/VLOOKUP($R248,Capa!$A:$AJ,BO$5,0)),0,1/VLOOKUP($R248,Capa!$A:$AJ,BO$5,0))))</f>
        <v/>
      </c>
      <c r="BP248" s="174" t="str">
        <f>IF(BP$6="","",IF(BP$3="Maior",iferror(VLOOKUP($R248,Capa!$A:$AJ,BP$5,0),0),IF(ISERROR(1/VLOOKUP($R248,Capa!$A:$AJ,BP$5,0)),0,1/VLOOKUP($R248,Capa!$A:$AJ,BP$5,0))))</f>
        <v/>
      </c>
      <c r="BQ248" s="174" t="str">
        <f>IF(BQ$6="","",IF(BQ$3="Maior",iferror(VLOOKUP($R248,Capa!$A:$AJ,BQ$5,0),0),IF(ISERROR(1/VLOOKUP($R248,Capa!$A:$AJ,BQ$5,0)),0,1/VLOOKUP($R248,Capa!$A:$AJ,BQ$5,0))))</f>
        <v/>
      </c>
      <c r="BR248" s="175"/>
      <c r="BS248" s="147"/>
    </row>
    <row r="249">
      <c r="G249" s="11"/>
      <c r="H249" s="8">
        <v>243.0</v>
      </c>
      <c r="I249" s="165" t="str">
        <f t="shared" si="6"/>
        <v>JSLG3</v>
      </c>
      <c r="J249" s="166" t="str">
        <f>(VLOOKUP($I249,Capa!$A:$B,2,0))</f>
        <v>JSL SA</v>
      </c>
      <c r="K249" s="167" t="str">
        <f>VLOOKUP(left(I249,4),Setor!A:D,3,0)&amp;" | "&amp;VLOOKUP(left(I249,4),Setor!A:D,4,0)</f>
        <v>#N/A</v>
      </c>
      <c r="L249" s="168">
        <f>(VLOOKUP($I249,Capa!$A:$F,6,0))</f>
        <v>8.1</v>
      </c>
      <c r="M249" s="168">
        <f t="shared" si="7"/>
        <v>10378939</v>
      </c>
      <c r="N249" s="11" t="str">
        <f>IFERROR(__xludf.DUMMYFUNCTION("(VLOOKUP($I249,Capa!$A:$H,7,0))"),"")</f>
        <v/>
      </c>
      <c r="O249" s="169">
        <f>(VLOOKUP($I249,Capa!$A:$H,8,0))</f>
        <v>0.2918660287</v>
      </c>
      <c r="P249" s="11" t="str">
        <f>IFERROR(__xludf.DUMMYFUNCTION("(VLOOKUP($I249,Capa!$A:$J,10,0))"),"")</f>
        <v/>
      </c>
      <c r="Q249" s="169">
        <f>(VLOOKUP($I249,Capa!$A:$K,11,0))</f>
        <v>0.35</v>
      </c>
      <c r="R249" s="45" t="str">
        <f>'Dados StatusInvest'!A244</f>
        <v>ENGI11</v>
      </c>
      <c r="S249" s="170">
        <f t="shared" si="234"/>
        <v>488.0488</v>
      </c>
      <c r="T249" s="171">
        <f>VLOOKUP(R249,'Dados StatusInvest'!A:Z,26,0)</f>
        <v>149000000</v>
      </c>
      <c r="U249" s="172">
        <f t="shared" ref="U249:AS249" si="252">IF(AT249="","", RANK(AT249,AT$7:AT$626,0)+RANK(AT249,AT$7:AT$626,0)/10000)</f>
        <v>462.0462</v>
      </c>
      <c r="V249" s="172">
        <f t="shared" si="252"/>
        <v>26.0026</v>
      </c>
      <c r="W249" s="172" t="str">
        <f t="shared" si="252"/>
        <v/>
      </c>
      <c r="X249" s="172" t="str">
        <f t="shared" si="252"/>
        <v/>
      </c>
      <c r="Y249" s="172" t="str">
        <f t="shared" si="252"/>
        <v/>
      </c>
      <c r="Z249" s="172" t="str">
        <f t="shared" si="252"/>
        <v/>
      </c>
      <c r="AA249" s="172" t="str">
        <f t="shared" si="252"/>
        <v/>
      </c>
      <c r="AB249" s="172" t="str">
        <f t="shared" si="252"/>
        <v/>
      </c>
      <c r="AC249" s="172" t="str">
        <f t="shared" si="252"/>
        <v/>
      </c>
      <c r="AD249" s="172" t="str">
        <f t="shared" si="252"/>
        <v/>
      </c>
      <c r="AE249" s="172" t="str">
        <f t="shared" si="252"/>
        <v/>
      </c>
      <c r="AF249" s="172" t="str">
        <f t="shared" si="252"/>
        <v/>
      </c>
      <c r="AG249" s="172" t="str">
        <f t="shared" si="252"/>
        <v/>
      </c>
      <c r="AH249" s="172" t="str">
        <f t="shared" si="252"/>
        <v/>
      </c>
      <c r="AI249" s="172" t="str">
        <f t="shared" si="252"/>
        <v/>
      </c>
      <c r="AJ249" s="172" t="str">
        <f t="shared" si="252"/>
        <v/>
      </c>
      <c r="AK249" s="172" t="str">
        <f t="shared" si="252"/>
        <v/>
      </c>
      <c r="AL249" s="172" t="str">
        <f t="shared" si="252"/>
        <v/>
      </c>
      <c r="AM249" s="172" t="str">
        <f t="shared" si="252"/>
        <v/>
      </c>
      <c r="AN249" s="172" t="str">
        <f t="shared" si="252"/>
        <v/>
      </c>
      <c r="AO249" s="172" t="str">
        <f t="shared" si="252"/>
        <v/>
      </c>
      <c r="AP249" s="172" t="str">
        <f t="shared" si="252"/>
        <v/>
      </c>
      <c r="AQ249" s="172" t="str">
        <f t="shared" si="252"/>
        <v/>
      </c>
      <c r="AR249" s="172" t="str">
        <f t="shared" si="252"/>
        <v/>
      </c>
      <c r="AS249" s="172" t="str">
        <f t="shared" si="252"/>
        <v/>
      </c>
      <c r="AT249" s="173">
        <f>IF(AT$6="","",IF(AT$3="Maior",iferror(VLOOKUP($R249,Capa!$A:$AJ,AT$5,0),0),IF(ISERROR(1/VLOOKUP($R249,Capa!$A:$AJ,AT$5,0)),0,1/VLOOKUP($R249,Capa!$A:$AJ,AT$5,0))))</f>
        <v>-2.24974917</v>
      </c>
      <c r="AU249" s="174">
        <f>IF(AU$6="","",IF(AU$3="Maior",iferror(VLOOKUP($R249,Capa!$A:$AJ,AU$5,0),0),IF(ISERROR(1/VLOOKUP($R249,Capa!$A:$AJ,AU$5,0)),0,1/VLOOKUP($R249,Capa!$A:$AJ,AU$5,0))))</f>
        <v>48.61</v>
      </c>
      <c r="AV249" s="174" t="str">
        <f>IF(AV$6="","",IF(AV$3="Maior",iferror(VLOOKUP($R249,Capa!$A:$AJ,AV$5,0),0),IF(ISERROR(1/VLOOKUP($R249,Capa!$A:$AJ,AV$5,0)),0,1/VLOOKUP($R249,Capa!$A:$AJ,AV$5,0))))</f>
        <v/>
      </c>
      <c r="AW249" s="174" t="str">
        <f>IF(AW$6="","",IF(AW$3="Maior",iferror(VLOOKUP($R249,Capa!$A:$AJ,AW$5,0),0),IF(ISERROR(1/VLOOKUP($R249,Capa!$A:$AJ,AW$5,0)),0,1/VLOOKUP($R249,Capa!$A:$AJ,AW$5,0))))</f>
        <v/>
      </c>
      <c r="AX249" s="174" t="str">
        <f>IF(AX$6="","",IF(AX$3="Maior",iferror(VLOOKUP($R249,Capa!$A:$AJ,AX$5,0),0),IF(ISERROR(1/VLOOKUP($R249,Capa!$A:$AJ,AX$5,0)),0,1/VLOOKUP($R249,Capa!$A:$AJ,AX$5,0))))</f>
        <v/>
      </c>
      <c r="AY249" s="174" t="str">
        <f>IF(AY$6="","",IF(AY$3="Maior",iferror(VLOOKUP($R249,Capa!$A:$AJ,AY$5,0),0),IF(ISERROR(1/VLOOKUP($R249,Capa!$A:$AJ,AY$5,0)),0,1/VLOOKUP($R249,Capa!$A:$AJ,AY$5,0))))</f>
        <v/>
      </c>
      <c r="AZ249" s="174" t="str">
        <f>IF(AZ$6="","",IF(AZ$3="Maior",iferror(VLOOKUP($R249,Capa!$A:$AJ,AZ$5,0),0),IF(ISERROR(1/VLOOKUP($R249,Capa!$A:$AJ,AZ$5,0)),0,1/VLOOKUP($R249,Capa!$A:$AJ,AZ$5,0))))</f>
        <v/>
      </c>
      <c r="BA249" s="174" t="str">
        <f>IF(BA$6="","",IF(BA$3="Maior",iferror(VLOOKUP($R249,Capa!$A:$AJ,BA$5,0),0),IF(ISERROR(1/VLOOKUP($R249,Capa!$A:$AJ,BA$5,0)),0,1/VLOOKUP($R249,Capa!$A:$AJ,BA$5,0))))</f>
        <v/>
      </c>
      <c r="BB249" s="174" t="str">
        <f>IF(BB$6="","",IF(BB$3="Maior",iferror(VLOOKUP($R249,Capa!$A:$AJ,BB$5,0),0),IF(ISERROR(1/VLOOKUP($R249,Capa!$A:$AJ,BB$5,0)),0,1/VLOOKUP($R249,Capa!$A:$AJ,BB$5,0))))</f>
        <v/>
      </c>
      <c r="BC249" s="174" t="str">
        <f>IF(BC$6="","",IF(BC$3="Maior",iferror(VLOOKUP($R249,Capa!$A:$AJ,BC$5,0),0),IF(ISERROR(1/VLOOKUP($R249,Capa!$A:$AJ,BC$5,0)),0,1/VLOOKUP($R249,Capa!$A:$AJ,BC$5,0))))</f>
        <v/>
      </c>
      <c r="BD249" s="174" t="str">
        <f>IF(BD$6="","",IF(BD$3="Maior",iferror(VLOOKUP($R249,Capa!$A:$AJ,BD$5,0),0),IF(ISERROR(1/VLOOKUP($R249,Capa!$A:$AJ,BD$5,0)),0,1/VLOOKUP($R249,Capa!$A:$AJ,BD$5,0))))</f>
        <v/>
      </c>
      <c r="BE249" s="174" t="str">
        <f>IF(BE$6="","",IF(BE$3="Maior",iferror(VLOOKUP($R249,Capa!$A:$AJ,BE$5,0),0),IF(ISERROR(1/VLOOKUP($R249,Capa!$A:$AJ,BE$5,0)),0,1/VLOOKUP($R249,Capa!$A:$AJ,BE$5,0))))</f>
        <v/>
      </c>
      <c r="BF249" s="174" t="str">
        <f>IF(BF$6="","",IF(BF$3="Maior",iferror(VLOOKUP($R249,Capa!$A:$AJ,BF$5,0),0),IF(ISERROR(1/VLOOKUP($R249,Capa!$A:$AJ,BF$5,0)),0,1/VLOOKUP($R249,Capa!$A:$AJ,BF$5,0))))</f>
        <v/>
      </c>
      <c r="BG249" s="174" t="str">
        <f>IF(BG$6="","",IF(BG$3="Maior",iferror(VLOOKUP($R249,Capa!$A:$AJ,BG$5,0),0),IF(ISERROR(1/VLOOKUP($R249,Capa!$A:$AJ,BG$5,0)),0,1/VLOOKUP($R249,Capa!$A:$AJ,BG$5,0))))</f>
        <v/>
      </c>
      <c r="BH249" s="174" t="str">
        <f>IF(BH$6="","",IF(BH$3="Maior",iferror(VLOOKUP($R249,Capa!$A:$AJ,BH$5,0),0),IF(ISERROR(1/VLOOKUP($R249,Capa!$A:$AJ,BH$5,0)),0,1/VLOOKUP($R249,Capa!$A:$AJ,BH$5,0))))</f>
        <v/>
      </c>
      <c r="BI249" s="174" t="str">
        <f>IF(BI$6="","",IF(BI$3="Maior",iferror(VLOOKUP($R249,Capa!$A:$AJ,BI$5,0),0),IF(ISERROR(1/VLOOKUP($R249,Capa!$A:$AJ,BI$5,0)),0,1/VLOOKUP($R249,Capa!$A:$AJ,BI$5,0))))</f>
        <v/>
      </c>
      <c r="BJ249" s="174" t="str">
        <f>IF(BJ$6="","",IF(BJ$3="Maior",iferror(VLOOKUP($R249,Capa!$A:$AJ,BJ$5,0),0),IF(ISERROR(1/VLOOKUP($R249,Capa!$A:$AJ,BJ$5,0)),0,1/VLOOKUP($R249,Capa!$A:$AJ,BJ$5,0))))</f>
        <v/>
      </c>
      <c r="BK249" s="174" t="str">
        <f>IF(BK$6="","",IF(BK$3="Maior",iferror(VLOOKUP($R249,Capa!$A:$AJ,BK$5,0),0),IF(ISERROR(1/VLOOKUP($R249,Capa!$A:$AJ,BK$5,0)),0,1/VLOOKUP($R249,Capa!$A:$AJ,BK$5,0))))</f>
        <v/>
      </c>
      <c r="BL249" s="174" t="str">
        <f>IF(BL$6="","",IF(BL$3="Maior",iferror(VLOOKUP($R249,Capa!$A:$AJ,BL$5,0),0),IF(ISERROR(1/VLOOKUP($R249,Capa!$A:$AJ,BL$5,0)),0,1/VLOOKUP($R249,Capa!$A:$AJ,BL$5,0))))</f>
        <v/>
      </c>
      <c r="BM249" s="174" t="str">
        <f>IF(BM$6="","",IF(BM$3="Maior",iferror(VLOOKUP($R249,Capa!$A:$AJ,BM$5,0),0),IF(ISERROR(1/VLOOKUP($R249,Capa!$A:$AJ,BM$5,0)),0,1/VLOOKUP($R249,Capa!$A:$AJ,BM$5,0))))</f>
        <v/>
      </c>
      <c r="BN249" s="174" t="str">
        <f>IF(BN$6="","",IF(BN$3="Maior",iferror(VLOOKUP($R249,Capa!$A:$AJ,BN$5,0),0),IF(ISERROR(1/VLOOKUP($R249,Capa!$A:$AJ,BN$5,0)),0,1/VLOOKUP($R249,Capa!$A:$AJ,BN$5,0))))</f>
        <v/>
      </c>
      <c r="BO249" s="174" t="str">
        <f>IF(BO$6="","",IF(BO$3="Maior",iferror(VLOOKUP($R249,Capa!$A:$AJ,BO$5,0),0),IF(ISERROR(1/VLOOKUP($R249,Capa!$A:$AJ,BO$5,0)),0,1/VLOOKUP($R249,Capa!$A:$AJ,BO$5,0))))</f>
        <v/>
      </c>
      <c r="BP249" s="174" t="str">
        <f>IF(BP$6="","",IF(BP$3="Maior",iferror(VLOOKUP($R249,Capa!$A:$AJ,BP$5,0),0),IF(ISERROR(1/VLOOKUP($R249,Capa!$A:$AJ,BP$5,0)),0,1/VLOOKUP($R249,Capa!$A:$AJ,BP$5,0))))</f>
        <v/>
      </c>
      <c r="BQ249" s="174" t="str">
        <f>IF(BQ$6="","",IF(BQ$3="Maior",iferror(VLOOKUP($R249,Capa!$A:$AJ,BQ$5,0),0),IF(ISERROR(1/VLOOKUP($R249,Capa!$A:$AJ,BQ$5,0)),0,1/VLOOKUP($R249,Capa!$A:$AJ,BQ$5,0))))</f>
        <v/>
      </c>
      <c r="BR249" s="175"/>
      <c r="BS249" s="147"/>
    </row>
    <row r="250">
      <c r="G250" s="11"/>
      <c r="H250" s="8">
        <v>244.0</v>
      </c>
      <c r="I250" s="165" t="str">
        <f t="shared" si="6"/>
        <v>COCE5</v>
      </c>
      <c r="J250" s="166" t="str">
        <f>(VLOOKUP($I250,Capa!$A:$B,2,0))</f>
        <v>Companhia Energetica do Ceara Preference Shares Class A</v>
      </c>
      <c r="K250" s="167" t="str">
        <f>VLOOKUP(left(I250,4),Setor!A:D,3,0)&amp;" | "&amp;VLOOKUP(left(I250,4),Setor!A:D,4,0)</f>
        <v>Utilidade Pública | Energia Elétrica</v>
      </c>
      <c r="L250" s="168">
        <f>(VLOOKUP($I250,Capa!$A:$F,6,0))</f>
        <v>30.98</v>
      </c>
      <c r="M250" s="168">
        <f t="shared" si="7"/>
        <v>832583.2</v>
      </c>
      <c r="N250" s="11" t="str">
        <f>IFERROR(__xludf.DUMMYFUNCTION("(VLOOKUP($I250,Capa!$A:$H,7,0))"),"")</f>
        <v/>
      </c>
      <c r="O250" s="169">
        <f>(VLOOKUP($I250,Capa!$A:$H,8,0))</f>
        <v>-0.06602351522</v>
      </c>
      <c r="P250" s="11" t="str">
        <f>IFERROR(__xludf.DUMMYFUNCTION("(VLOOKUP($I250,Capa!$A:$J,10,0))"),"")</f>
        <v/>
      </c>
      <c r="Q250" s="169">
        <f>(VLOOKUP($I250,Capa!$A:$K,11,0))</f>
        <v>0.2054474708</v>
      </c>
      <c r="R250" s="45" t="str">
        <f>'Dados StatusInvest'!A245</f>
        <v>ENGI3</v>
      </c>
      <c r="S250" s="170">
        <f t="shared" si="234"/>
        <v>1476.0476</v>
      </c>
      <c r="T250" s="171">
        <f>VLOOKUP(R250,'Dados StatusInvest'!A:Z,26,0)</f>
        <v>78476.24</v>
      </c>
      <c r="U250" s="172">
        <f t="shared" ref="U250:AS250" si="253">IF(AT250="","", RANK(AT250,AT$7:AT$626,0)+RANK(AT250,AT$7:AT$626,0)/10000)</f>
        <v>450.045</v>
      </c>
      <c r="V250" s="172">
        <f t="shared" si="253"/>
        <v>26.0026</v>
      </c>
      <c r="W250" s="172" t="str">
        <f t="shared" si="253"/>
        <v/>
      </c>
      <c r="X250" s="172" t="str">
        <f t="shared" si="253"/>
        <v/>
      </c>
      <c r="Y250" s="172" t="str">
        <f t="shared" si="253"/>
        <v/>
      </c>
      <c r="Z250" s="172" t="str">
        <f t="shared" si="253"/>
        <v/>
      </c>
      <c r="AA250" s="172" t="str">
        <f t="shared" si="253"/>
        <v/>
      </c>
      <c r="AB250" s="172" t="str">
        <f t="shared" si="253"/>
        <v/>
      </c>
      <c r="AC250" s="172" t="str">
        <f t="shared" si="253"/>
        <v/>
      </c>
      <c r="AD250" s="172" t="str">
        <f t="shared" si="253"/>
        <v/>
      </c>
      <c r="AE250" s="172" t="str">
        <f t="shared" si="253"/>
        <v/>
      </c>
      <c r="AF250" s="172" t="str">
        <f t="shared" si="253"/>
        <v/>
      </c>
      <c r="AG250" s="172" t="str">
        <f t="shared" si="253"/>
        <v/>
      </c>
      <c r="AH250" s="172" t="str">
        <f t="shared" si="253"/>
        <v/>
      </c>
      <c r="AI250" s="172" t="str">
        <f t="shared" si="253"/>
        <v/>
      </c>
      <c r="AJ250" s="172" t="str">
        <f t="shared" si="253"/>
        <v/>
      </c>
      <c r="AK250" s="172" t="str">
        <f t="shared" si="253"/>
        <v/>
      </c>
      <c r="AL250" s="172" t="str">
        <f t="shared" si="253"/>
        <v/>
      </c>
      <c r="AM250" s="172" t="str">
        <f t="shared" si="253"/>
        <v/>
      </c>
      <c r="AN250" s="172" t="str">
        <f t="shared" si="253"/>
        <v/>
      </c>
      <c r="AO250" s="172" t="str">
        <f t="shared" si="253"/>
        <v/>
      </c>
      <c r="AP250" s="172" t="str">
        <f t="shared" si="253"/>
        <v/>
      </c>
      <c r="AQ250" s="172" t="str">
        <f t="shared" si="253"/>
        <v/>
      </c>
      <c r="AR250" s="172" t="str">
        <f t="shared" si="253"/>
        <v/>
      </c>
      <c r="AS250" s="172" t="str">
        <f t="shared" si="253"/>
        <v/>
      </c>
      <c r="AT250" s="173">
        <f>IF(AT$6="","",IF(AT$3="Maior",iferror(VLOOKUP($R250,Capa!$A:$AJ,AT$5,0),0),IF(ISERROR(1/VLOOKUP($R250,Capa!$A:$AJ,AT$5,0)),0,1/VLOOKUP($R250,Capa!$A:$AJ,AT$5,0))))</f>
        <v>-2.03694701</v>
      </c>
      <c r="AU250" s="174">
        <f>IF(AU$6="","",IF(AU$3="Maior",iferror(VLOOKUP($R250,Capa!$A:$AJ,AU$5,0),0),IF(ISERROR(1/VLOOKUP($R250,Capa!$A:$AJ,AU$5,0)),0,1/VLOOKUP($R250,Capa!$A:$AJ,AU$5,0))))</f>
        <v>48.61</v>
      </c>
      <c r="AV250" s="174" t="str">
        <f>IF(AV$6="","",IF(AV$3="Maior",iferror(VLOOKUP($R250,Capa!$A:$AJ,AV$5,0),0),IF(ISERROR(1/VLOOKUP($R250,Capa!$A:$AJ,AV$5,0)),0,1/VLOOKUP($R250,Capa!$A:$AJ,AV$5,0))))</f>
        <v/>
      </c>
      <c r="AW250" s="174" t="str">
        <f>IF(AW$6="","",IF(AW$3="Maior",iferror(VLOOKUP($R250,Capa!$A:$AJ,AW$5,0),0),IF(ISERROR(1/VLOOKUP($R250,Capa!$A:$AJ,AW$5,0)),0,1/VLOOKUP($R250,Capa!$A:$AJ,AW$5,0))))</f>
        <v/>
      </c>
      <c r="AX250" s="174" t="str">
        <f>IF(AX$6="","",IF(AX$3="Maior",iferror(VLOOKUP($R250,Capa!$A:$AJ,AX$5,0),0),IF(ISERROR(1/VLOOKUP($R250,Capa!$A:$AJ,AX$5,0)),0,1/VLOOKUP($R250,Capa!$A:$AJ,AX$5,0))))</f>
        <v/>
      </c>
      <c r="AY250" s="174" t="str">
        <f>IF(AY$6="","",IF(AY$3="Maior",iferror(VLOOKUP($R250,Capa!$A:$AJ,AY$5,0),0),IF(ISERROR(1/VLOOKUP($R250,Capa!$A:$AJ,AY$5,0)),0,1/VLOOKUP($R250,Capa!$A:$AJ,AY$5,0))))</f>
        <v/>
      </c>
      <c r="AZ250" s="174" t="str">
        <f>IF(AZ$6="","",IF(AZ$3="Maior",iferror(VLOOKUP($R250,Capa!$A:$AJ,AZ$5,0),0),IF(ISERROR(1/VLOOKUP($R250,Capa!$A:$AJ,AZ$5,0)),0,1/VLOOKUP($R250,Capa!$A:$AJ,AZ$5,0))))</f>
        <v/>
      </c>
      <c r="BA250" s="174" t="str">
        <f>IF(BA$6="","",IF(BA$3="Maior",iferror(VLOOKUP($R250,Capa!$A:$AJ,BA$5,0),0),IF(ISERROR(1/VLOOKUP($R250,Capa!$A:$AJ,BA$5,0)),0,1/VLOOKUP($R250,Capa!$A:$AJ,BA$5,0))))</f>
        <v/>
      </c>
      <c r="BB250" s="174" t="str">
        <f>IF(BB$6="","",IF(BB$3="Maior",iferror(VLOOKUP($R250,Capa!$A:$AJ,BB$5,0),0),IF(ISERROR(1/VLOOKUP($R250,Capa!$A:$AJ,BB$5,0)),0,1/VLOOKUP($R250,Capa!$A:$AJ,BB$5,0))))</f>
        <v/>
      </c>
      <c r="BC250" s="174" t="str">
        <f>IF(BC$6="","",IF(BC$3="Maior",iferror(VLOOKUP($R250,Capa!$A:$AJ,BC$5,0),0),IF(ISERROR(1/VLOOKUP($R250,Capa!$A:$AJ,BC$5,0)),0,1/VLOOKUP($R250,Capa!$A:$AJ,BC$5,0))))</f>
        <v/>
      </c>
      <c r="BD250" s="174" t="str">
        <f>IF(BD$6="","",IF(BD$3="Maior",iferror(VLOOKUP($R250,Capa!$A:$AJ,BD$5,0),0),IF(ISERROR(1/VLOOKUP($R250,Capa!$A:$AJ,BD$5,0)),0,1/VLOOKUP($R250,Capa!$A:$AJ,BD$5,0))))</f>
        <v/>
      </c>
      <c r="BE250" s="174" t="str">
        <f>IF(BE$6="","",IF(BE$3="Maior",iferror(VLOOKUP($R250,Capa!$A:$AJ,BE$5,0),0),IF(ISERROR(1/VLOOKUP($R250,Capa!$A:$AJ,BE$5,0)),0,1/VLOOKUP($R250,Capa!$A:$AJ,BE$5,0))))</f>
        <v/>
      </c>
      <c r="BF250" s="174" t="str">
        <f>IF(BF$6="","",IF(BF$3="Maior",iferror(VLOOKUP($R250,Capa!$A:$AJ,BF$5,0),0),IF(ISERROR(1/VLOOKUP($R250,Capa!$A:$AJ,BF$5,0)),0,1/VLOOKUP($R250,Capa!$A:$AJ,BF$5,0))))</f>
        <v/>
      </c>
      <c r="BG250" s="174" t="str">
        <f>IF(BG$6="","",IF(BG$3="Maior",iferror(VLOOKUP($R250,Capa!$A:$AJ,BG$5,0),0),IF(ISERROR(1/VLOOKUP($R250,Capa!$A:$AJ,BG$5,0)),0,1/VLOOKUP($R250,Capa!$A:$AJ,BG$5,0))))</f>
        <v/>
      </c>
      <c r="BH250" s="174" t="str">
        <f>IF(BH$6="","",IF(BH$3="Maior",iferror(VLOOKUP($R250,Capa!$A:$AJ,BH$5,0),0),IF(ISERROR(1/VLOOKUP($R250,Capa!$A:$AJ,BH$5,0)),0,1/VLOOKUP($R250,Capa!$A:$AJ,BH$5,0))))</f>
        <v/>
      </c>
      <c r="BI250" s="174" t="str">
        <f>IF(BI$6="","",IF(BI$3="Maior",iferror(VLOOKUP($R250,Capa!$A:$AJ,BI$5,0),0),IF(ISERROR(1/VLOOKUP($R250,Capa!$A:$AJ,BI$5,0)),0,1/VLOOKUP($R250,Capa!$A:$AJ,BI$5,0))))</f>
        <v/>
      </c>
      <c r="BJ250" s="174" t="str">
        <f>IF(BJ$6="","",IF(BJ$3="Maior",iferror(VLOOKUP($R250,Capa!$A:$AJ,BJ$5,0),0),IF(ISERROR(1/VLOOKUP($R250,Capa!$A:$AJ,BJ$5,0)),0,1/VLOOKUP($R250,Capa!$A:$AJ,BJ$5,0))))</f>
        <v/>
      </c>
      <c r="BK250" s="174" t="str">
        <f>IF(BK$6="","",IF(BK$3="Maior",iferror(VLOOKUP($R250,Capa!$A:$AJ,BK$5,0),0),IF(ISERROR(1/VLOOKUP($R250,Capa!$A:$AJ,BK$5,0)),0,1/VLOOKUP($R250,Capa!$A:$AJ,BK$5,0))))</f>
        <v/>
      </c>
      <c r="BL250" s="174" t="str">
        <f>IF(BL$6="","",IF(BL$3="Maior",iferror(VLOOKUP($R250,Capa!$A:$AJ,BL$5,0),0),IF(ISERROR(1/VLOOKUP($R250,Capa!$A:$AJ,BL$5,0)),0,1/VLOOKUP($R250,Capa!$A:$AJ,BL$5,0))))</f>
        <v/>
      </c>
      <c r="BM250" s="174" t="str">
        <f>IF(BM$6="","",IF(BM$3="Maior",iferror(VLOOKUP($R250,Capa!$A:$AJ,BM$5,0),0),IF(ISERROR(1/VLOOKUP($R250,Capa!$A:$AJ,BM$5,0)),0,1/VLOOKUP($R250,Capa!$A:$AJ,BM$5,0))))</f>
        <v/>
      </c>
      <c r="BN250" s="174" t="str">
        <f>IF(BN$6="","",IF(BN$3="Maior",iferror(VLOOKUP($R250,Capa!$A:$AJ,BN$5,0),0),IF(ISERROR(1/VLOOKUP($R250,Capa!$A:$AJ,BN$5,0)),0,1/VLOOKUP($R250,Capa!$A:$AJ,BN$5,0))))</f>
        <v/>
      </c>
      <c r="BO250" s="174" t="str">
        <f>IF(BO$6="","",IF(BO$3="Maior",iferror(VLOOKUP($R250,Capa!$A:$AJ,BO$5,0),0),IF(ISERROR(1/VLOOKUP($R250,Capa!$A:$AJ,BO$5,0)),0,1/VLOOKUP($R250,Capa!$A:$AJ,BO$5,0))))</f>
        <v/>
      </c>
      <c r="BP250" s="174" t="str">
        <f>IF(BP$6="","",IF(BP$3="Maior",iferror(VLOOKUP($R250,Capa!$A:$AJ,BP$5,0),0),IF(ISERROR(1/VLOOKUP($R250,Capa!$A:$AJ,BP$5,0)),0,1/VLOOKUP($R250,Capa!$A:$AJ,BP$5,0))))</f>
        <v/>
      </c>
      <c r="BQ250" s="174" t="str">
        <f>IF(BQ$6="","",IF(BQ$3="Maior",iferror(VLOOKUP($R250,Capa!$A:$AJ,BQ$5,0),0),IF(ISERROR(1/VLOOKUP($R250,Capa!$A:$AJ,BQ$5,0)),0,1/VLOOKUP($R250,Capa!$A:$AJ,BQ$5,0))))</f>
        <v/>
      </c>
      <c r="BR250" s="175"/>
      <c r="BS250" s="147"/>
    </row>
    <row r="251">
      <c r="G251" s="11"/>
      <c r="H251" s="8">
        <v>245.0</v>
      </c>
      <c r="I251" s="165" t="str">
        <f t="shared" si="6"/>
        <v>ESPA3</v>
      </c>
      <c r="J251" s="166" t="str">
        <f>(VLOOKUP($I251,Capa!$A:$B,2,0))</f>
        <v>MPM Corporeos SA</v>
      </c>
      <c r="K251" s="167" t="str">
        <f>VLOOKUP(left(I251,4),Setor!A:D,3,0)&amp;" | "&amp;VLOOKUP(left(I251,4),Setor!A:D,4,0)</f>
        <v>#N/A</v>
      </c>
      <c r="L251" s="168">
        <f>(VLOOKUP($I251,Capa!$A:$F,6,0))</f>
        <v>1.11</v>
      </c>
      <c r="M251" s="168">
        <f t="shared" si="7"/>
        <v>705964.2</v>
      </c>
      <c r="N251" s="11" t="str">
        <f>IFERROR(__xludf.DUMMYFUNCTION("(VLOOKUP($I251,Capa!$A:$H,7,0))"),"")</f>
        <v/>
      </c>
      <c r="O251" s="169">
        <f>(VLOOKUP($I251,Capa!$A:$H,8,0))</f>
        <v>0.3214285714</v>
      </c>
      <c r="P251" s="11" t="str">
        <f>IFERROR(__xludf.DUMMYFUNCTION("(VLOOKUP($I251,Capa!$A:$J,10,0))"),"")</f>
        <v/>
      </c>
      <c r="Q251" s="169">
        <f>(VLOOKUP($I251,Capa!$A:$K,11,0))</f>
        <v>0.5416666667</v>
      </c>
      <c r="R251" s="45" t="str">
        <f>'Dados StatusInvest'!A246</f>
        <v>ENGI4</v>
      </c>
      <c r="S251" s="170">
        <f t="shared" si="234"/>
        <v>1484.0484</v>
      </c>
      <c r="T251" s="171">
        <f>VLOOKUP(R251,'Dados StatusInvest'!A:Z,26,0)</f>
        <v>109797.6</v>
      </c>
      <c r="U251" s="172">
        <f t="shared" ref="U251:AS251" si="254">IF(AT251="","", RANK(AT251,AT$7:AT$626,0)+RANK(AT251,AT$7:AT$626,0)/10000)</f>
        <v>458.0458</v>
      </c>
      <c r="V251" s="172">
        <f t="shared" si="254"/>
        <v>26.0026</v>
      </c>
      <c r="W251" s="172" t="str">
        <f t="shared" si="254"/>
        <v/>
      </c>
      <c r="X251" s="172" t="str">
        <f t="shared" si="254"/>
        <v/>
      </c>
      <c r="Y251" s="172" t="str">
        <f t="shared" si="254"/>
        <v/>
      </c>
      <c r="Z251" s="172" t="str">
        <f t="shared" si="254"/>
        <v/>
      </c>
      <c r="AA251" s="172" t="str">
        <f t="shared" si="254"/>
        <v/>
      </c>
      <c r="AB251" s="172" t="str">
        <f t="shared" si="254"/>
        <v/>
      </c>
      <c r="AC251" s="172" t="str">
        <f t="shared" si="254"/>
        <v/>
      </c>
      <c r="AD251" s="172" t="str">
        <f t="shared" si="254"/>
        <v/>
      </c>
      <c r="AE251" s="172" t="str">
        <f t="shared" si="254"/>
        <v/>
      </c>
      <c r="AF251" s="172" t="str">
        <f t="shared" si="254"/>
        <v/>
      </c>
      <c r="AG251" s="172" t="str">
        <f t="shared" si="254"/>
        <v/>
      </c>
      <c r="AH251" s="172" t="str">
        <f t="shared" si="254"/>
        <v/>
      </c>
      <c r="AI251" s="172" t="str">
        <f t="shared" si="254"/>
        <v/>
      </c>
      <c r="AJ251" s="172" t="str">
        <f t="shared" si="254"/>
        <v/>
      </c>
      <c r="AK251" s="172" t="str">
        <f t="shared" si="254"/>
        <v/>
      </c>
      <c r="AL251" s="172" t="str">
        <f t="shared" si="254"/>
        <v/>
      </c>
      <c r="AM251" s="172" t="str">
        <f t="shared" si="254"/>
        <v/>
      </c>
      <c r="AN251" s="172" t="str">
        <f t="shared" si="254"/>
        <v/>
      </c>
      <c r="AO251" s="172" t="str">
        <f t="shared" si="254"/>
        <v/>
      </c>
      <c r="AP251" s="172" t="str">
        <f t="shared" si="254"/>
        <v/>
      </c>
      <c r="AQ251" s="172" t="str">
        <f t="shared" si="254"/>
        <v/>
      </c>
      <c r="AR251" s="172" t="str">
        <f t="shared" si="254"/>
        <v/>
      </c>
      <c r="AS251" s="172" t="str">
        <f t="shared" si="254"/>
        <v/>
      </c>
      <c r="AT251" s="173">
        <f>IF(AT$6="","",IF(AT$3="Maior",iferror(VLOOKUP($R251,Capa!$A:$AJ,AT$5,0),0),IF(ISERROR(1/VLOOKUP($R251,Capa!$A:$AJ,AT$5,0)),0,1/VLOOKUP($R251,Capa!$A:$AJ,AT$5,0))))</f>
        <v>-2.183396444</v>
      </c>
      <c r="AU251" s="174">
        <f>IF(AU$6="","",IF(AU$3="Maior",iferror(VLOOKUP($R251,Capa!$A:$AJ,AU$5,0),0),IF(ISERROR(1/VLOOKUP($R251,Capa!$A:$AJ,AU$5,0)),0,1/VLOOKUP($R251,Capa!$A:$AJ,AU$5,0))))</f>
        <v>48.61</v>
      </c>
      <c r="AV251" s="174" t="str">
        <f>IF(AV$6="","",IF(AV$3="Maior",iferror(VLOOKUP($R251,Capa!$A:$AJ,AV$5,0),0),IF(ISERROR(1/VLOOKUP($R251,Capa!$A:$AJ,AV$5,0)),0,1/VLOOKUP($R251,Capa!$A:$AJ,AV$5,0))))</f>
        <v/>
      </c>
      <c r="AW251" s="174" t="str">
        <f>IF(AW$6="","",IF(AW$3="Maior",iferror(VLOOKUP($R251,Capa!$A:$AJ,AW$5,0),0),IF(ISERROR(1/VLOOKUP($R251,Capa!$A:$AJ,AW$5,0)),0,1/VLOOKUP($R251,Capa!$A:$AJ,AW$5,0))))</f>
        <v/>
      </c>
      <c r="AX251" s="174" t="str">
        <f>IF(AX$6="","",IF(AX$3="Maior",iferror(VLOOKUP($R251,Capa!$A:$AJ,AX$5,0),0),IF(ISERROR(1/VLOOKUP($R251,Capa!$A:$AJ,AX$5,0)),0,1/VLOOKUP($R251,Capa!$A:$AJ,AX$5,0))))</f>
        <v/>
      </c>
      <c r="AY251" s="174" t="str">
        <f>IF(AY$6="","",IF(AY$3="Maior",iferror(VLOOKUP($R251,Capa!$A:$AJ,AY$5,0),0),IF(ISERROR(1/VLOOKUP($R251,Capa!$A:$AJ,AY$5,0)),0,1/VLOOKUP($R251,Capa!$A:$AJ,AY$5,0))))</f>
        <v/>
      </c>
      <c r="AZ251" s="174" t="str">
        <f>IF(AZ$6="","",IF(AZ$3="Maior",iferror(VLOOKUP($R251,Capa!$A:$AJ,AZ$5,0),0),IF(ISERROR(1/VLOOKUP($R251,Capa!$A:$AJ,AZ$5,0)),0,1/VLOOKUP($R251,Capa!$A:$AJ,AZ$5,0))))</f>
        <v/>
      </c>
      <c r="BA251" s="174" t="str">
        <f>IF(BA$6="","",IF(BA$3="Maior",iferror(VLOOKUP($R251,Capa!$A:$AJ,BA$5,0),0),IF(ISERROR(1/VLOOKUP($R251,Capa!$A:$AJ,BA$5,0)),0,1/VLOOKUP($R251,Capa!$A:$AJ,BA$5,0))))</f>
        <v/>
      </c>
      <c r="BB251" s="174" t="str">
        <f>IF(BB$6="","",IF(BB$3="Maior",iferror(VLOOKUP($R251,Capa!$A:$AJ,BB$5,0),0),IF(ISERROR(1/VLOOKUP($R251,Capa!$A:$AJ,BB$5,0)),0,1/VLOOKUP($R251,Capa!$A:$AJ,BB$5,0))))</f>
        <v/>
      </c>
      <c r="BC251" s="174" t="str">
        <f>IF(BC$6="","",IF(BC$3="Maior",iferror(VLOOKUP($R251,Capa!$A:$AJ,BC$5,0),0),IF(ISERROR(1/VLOOKUP($R251,Capa!$A:$AJ,BC$5,0)),0,1/VLOOKUP($R251,Capa!$A:$AJ,BC$5,0))))</f>
        <v/>
      </c>
      <c r="BD251" s="174" t="str">
        <f>IF(BD$6="","",IF(BD$3="Maior",iferror(VLOOKUP($R251,Capa!$A:$AJ,BD$5,0),0),IF(ISERROR(1/VLOOKUP($R251,Capa!$A:$AJ,BD$5,0)),0,1/VLOOKUP($R251,Capa!$A:$AJ,BD$5,0))))</f>
        <v/>
      </c>
      <c r="BE251" s="174" t="str">
        <f>IF(BE$6="","",IF(BE$3="Maior",iferror(VLOOKUP($R251,Capa!$A:$AJ,BE$5,0),0),IF(ISERROR(1/VLOOKUP($R251,Capa!$A:$AJ,BE$5,0)),0,1/VLOOKUP($R251,Capa!$A:$AJ,BE$5,0))))</f>
        <v/>
      </c>
      <c r="BF251" s="174" t="str">
        <f>IF(BF$6="","",IF(BF$3="Maior",iferror(VLOOKUP($R251,Capa!$A:$AJ,BF$5,0),0),IF(ISERROR(1/VLOOKUP($R251,Capa!$A:$AJ,BF$5,0)),0,1/VLOOKUP($R251,Capa!$A:$AJ,BF$5,0))))</f>
        <v/>
      </c>
      <c r="BG251" s="174" t="str">
        <f>IF(BG$6="","",IF(BG$3="Maior",iferror(VLOOKUP($R251,Capa!$A:$AJ,BG$5,0),0),IF(ISERROR(1/VLOOKUP($R251,Capa!$A:$AJ,BG$5,0)),0,1/VLOOKUP($R251,Capa!$A:$AJ,BG$5,0))))</f>
        <v/>
      </c>
      <c r="BH251" s="174" t="str">
        <f>IF(BH$6="","",IF(BH$3="Maior",iferror(VLOOKUP($R251,Capa!$A:$AJ,BH$5,0),0),IF(ISERROR(1/VLOOKUP($R251,Capa!$A:$AJ,BH$5,0)),0,1/VLOOKUP($R251,Capa!$A:$AJ,BH$5,0))))</f>
        <v/>
      </c>
      <c r="BI251" s="174" t="str">
        <f>IF(BI$6="","",IF(BI$3="Maior",iferror(VLOOKUP($R251,Capa!$A:$AJ,BI$5,0),0),IF(ISERROR(1/VLOOKUP($R251,Capa!$A:$AJ,BI$5,0)),0,1/VLOOKUP($R251,Capa!$A:$AJ,BI$5,0))))</f>
        <v/>
      </c>
      <c r="BJ251" s="174" t="str">
        <f>IF(BJ$6="","",IF(BJ$3="Maior",iferror(VLOOKUP($R251,Capa!$A:$AJ,BJ$5,0),0),IF(ISERROR(1/VLOOKUP($R251,Capa!$A:$AJ,BJ$5,0)),0,1/VLOOKUP($R251,Capa!$A:$AJ,BJ$5,0))))</f>
        <v/>
      </c>
      <c r="BK251" s="174" t="str">
        <f>IF(BK$6="","",IF(BK$3="Maior",iferror(VLOOKUP($R251,Capa!$A:$AJ,BK$5,0),0),IF(ISERROR(1/VLOOKUP($R251,Capa!$A:$AJ,BK$5,0)),0,1/VLOOKUP($R251,Capa!$A:$AJ,BK$5,0))))</f>
        <v/>
      </c>
      <c r="BL251" s="174" t="str">
        <f>IF(BL$6="","",IF(BL$3="Maior",iferror(VLOOKUP($R251,Capa!$A:$AJ,BL$5,0),0),IF(ISERROR(1/VLOOKUP($R251,Capa!$A:$AJ,BL$5,0)),0,1/VLOOKUP($R251,Capa!$A:$AJ,BL$5,0))))</f>
        <v/>
      </c>
      <c r="BM251" s="174" t="str">
        <f>IF(BM$6="","",IF(BM$3="Maior",iferror(VLOOKUP($R251,Capa!$A:$AJ,BM$5,0),0),IF(ISERROR(1/VLOOKUP($R251,Capa!$A:$AJ,BM$5,0)),0,1/VLOOKUP($R251,Capa!$A:$AJ,BM$5,0))))</f>
        <v/>
      </c>
      <c r="BN251" s="174" t="str">
        <f>IF(BN$6="","",IF(BN$3="Maior",iferror(VLOOKUP($R251,Capa!$A:$AJ,BN$5,0),0),IF(ISERROR(1/VLOOKUP($R251,Capa!$A:$AJ,BN$5,0)),0,1/VLOOKUP($R251,Capa!$A:$AJ,BN$5,0))))</f>
        <v/>
      </c>
      <c r="BO251" s="174" t="str">
        <f>IF(BO$6="","",IF(BO$3="Maior",iferror(VLOOKUP($R251,Capa!$A:$AJ,BO$5,0),0),IF(ISERROR(1/VLOOKUP($R251,Capa!$A:$AJ,BO$5,0)),0,1/VLOOKUP($R251,Capa!$A:$AJ,BO$5,0))))</f>
        <v/>
      </c>
      <c r="BP251" s="174" t="str">
        <f>IF(BP$6="","",IF(BP$3="Maior",iferror(VLOOKUP($R251,Capa!$A:$AJ,BP$5,0),0),IF(ISERROR(1/VLOOKUP($R251,Capa!$A:$AJ,BP$5,0)),0,1/VLOOKUP($R251,Capa!$A:$AJ,BP$5,0))))</f>
        <v/>
      </c>
      <c r="BQ251" s="174" t="str">
        <f>IF(BQ$6="","",IF(BQ$3="Maior",iferror(VLOOKUP($R251,Capa!$A:$AJ,BQ$5,0),0),IF(ISERROR(1/VLOOKUP($R251,Capa!$A:$AJ,BQ$5,0)),0,1/VLOOKUP($R251,Capa!$A:$AJ,BQ$5,0))))</f>
        <v/>
      </c>
      <c r="BR251" s="175"/>
      <c r="BS251" s="147"/>
    </row>
    <row r="252">
      <c r="G252" s="11"/>
      <c r="H252" s="8">
        <v>246.0</v>
      </c>
      <c r="I252" s="165" t="str">
        <f t="shared" si="6"/>
        <v>RAPT4</v>
      </c>
      <c r="J252" s="166" t="str">
        <f>(VLOOKUP($I252,Capa!$A:$B,2,0))</f>
        <v>Randoncorp SA Preference Shares</v>
      </c>
      <c r="K252" s="167" t="str">
        <f>VLOOKUP(left(I252,4),Setor!A:D,3,0)&amp;" | "&amp;VLOOKUP(left(I252,4),Setor!A:D,4,0)</f>
        <v>Bens Industriais | Material de Transporte</v>
      </c>
      <c r="L252" s="168">
        <f>(VLOOKUP($I252,Capa!$A:$F,6,0))</f>
        <v>6.45</v>
      </c>
      <c r="M252" s="168">
        <f t="shared" si="7"/>
        <v>32680537</v>
      </c>
      <c r="N252" s="11" t="str">
        <f>IFERROR(__xludf.DUMMYFUNCTION("(VLOOKUP($I252,Capa!$A:$H,7,0))"),"")</f>
        <v/>
      </c>
      <c r="O252" s="169">
        <f>(VLOOKUP($I252,Capa!$A:$H,8,0))</f>
        <v>-0.04444444444</v>
      </c>
      <c r="P252" s="11" t="str">
        <f>IFERROR(__xludf.DUMMYFUNCTION("(VLOOKUP($I252,Capa!$A:$J,10,0))"),"")</f>
        <v/>
      </c>
      <c r="Q252" s="169">
        <f>(VLOOKUP($I252,Capa!$A:$K,11,0))</f>
        <v>-0.3049568966</v>
      </c>
      <c r="R252" s="45" t="str">
        <f>'Dados StatusInvest'!A247</f>
        <v>ENJU3</v>
      </c>
      <c r="S252" s="170">
        <f t="shared" si="234"/>
        <v>1589.0589</v>
      </c>
      <c r="T252" s="171">
        <f>VLOOKUP(R252,'Dados StatusInvest'!A:Z,26,0)</f>
        <v>443470.3</v>
      </c>
      <c r="U252" s="172">
        <f t="shared" ref="U252:AS252" si="255">IF(AT252="","", RANK(AT252,AT$7:AT$626,0)+RANK(AT252,AT$7:AT$626,0)/10000)</f>
        <v>322.0322</v>
      </c>
      <c r="V252" s="172">
        <f t="shared" si="255"/>
        <v>267.0267</v>
      </c>
      <c r="W252" s="172" t="str">
        <f t="shared" si="255"/>
        <v/>
      </c>
      <c r="X252" s="172" t="str">
        <f t="shared" si="255"/>
        <v/>
      </c>
      <c r="Y252" s="172" t="str">
        <f t="shared" si="255"/>
        <v/>
      </c>
      <c r="Z252" s="172" t="str">
        <f t="shared" si="255"/>
        <v/>
      </c>
      <c r="AA252" s="172" t="str">
        <f t="shared" si="255"/>
        <v/>
      </c>
      <c r="AB252" s="172" t="str">
        <f t="shared" si="255"/>
        <v/>
      </c>
      <c r="AC252" s="172" t="str">
        <f t="shared" si="255"/>
        <v/>
      </c>
      <c r="AD252" s="172" t="str">
        <f t="shared" si="255"/>
        <v/>
      </c>
      <c r="AE252" s="172" t="str">
        <f t="shared" si="255"/>
        <v/>
      </c>
      <c r="AF252" s="172" t="str">
        <f t="shared" si="255"/>
        <v/>
      </c>
      <c r="AG252" s="172" t="str">
        <f t="shared" si="255"/>
        <v/>
      </c>
      <c r="AH252" s="172" t="str">
        <f t="shared" si="255"/>
        <v/>
      </c>
      <c r="AI252" s="172" t="str">
        <f t="shared" si="255"/>
        <v/>
      </c>
      <c r="AJ252" s="172" t="str">
        <f t="shared" si="255"/>
        <v/>
      </c>
      <c r="AK252" s="172" t="str">
        <f t="shared" si="255"/>
        <v/>
      </c>
      <c r="AL252" s="172" t="str">
        <f t="shared" si="255"/>
        <v/>
      </c>
      <c r="AM252" s="172" t="str">
        <f t="shared" si="255"/>
        <v/>
      </c>
      <c r="AN252" s="172" t="str">
        <f t="shared" si="255"/>
        <v/>
      </c>
      <c r="AO252" s="172" t="str">
        <f t="shared" si="255"/>
        <v/>
      </c>
      <c r="AP252" s="172" t="str">
        <f t="shared" si="255"/>
        <v/>
      </c>
      <c r="AQ252" s="172" t="str">
        <f t="shared" si="255"/>
        <v/>
      </c>
      <c r="AR252" s="172" t="str">
        <f t="shared" si="255"/>
        <v/>
      </c>
      <c r="AS252" s="172" t="str">
        <f t="shared" si="255"/>
        <v/>
      </c>
      <c r="AT252" s="173">
        <f>IF(AT$6="","",IF(AT$3="Maior",iferror(VLOOKUP($R252,Capa!$A:$AJ,AT$5,0),0),IF(ISERROR(1/VLOOKUP($R252,Capa!$A:$AJ,AT$5,0)),0,1/VLOOKUP($R252,Capa!$A:$AJ,AT$5,0))))</f>
        <v>-0.8</v>
      </c>
      <c r="AU252" s="174">
        <f>IF(AU$6="","",IF(AU$3="Maior",iferror(VLOOKUP($R252,Capa!$A:$AJ,AU$5,0),0),IF(ISERROR(1/VLOOKUP($R252,Capa!$A:$AJ,AU$5,0)),0,1/VLOOKUP($R252,Capa!$A:$AJ,AU$5,0))))</f>
        <v>0</v>
      </c>
      <c r="AV252" s="174" t="str">
        <f>IF(AV$6="","",IF(AV$3="Maior",iferror(VLOOKUP($R252,Capa!$A:$AJ,AV$5,0),0),IF(ISERROR(1/VLOOKUP($R252,Capa!$A:$AJ,AV$5,0)),0,1/VLOOKUP($R252,Capa!$A:$AJ,AV$5,0))))</f>
        <v/>
      </c>
      <c r="AW252" s="174" t="str">
        <f>IF(AW$6="","",IF(AW$3="Maior",iferror(VLOOKUP($R252,Capa!$A:$AJ,AW$5,0),0),IF(ISERROR(1/VLOOKUP($R252,Capa!$A:$AJ,AW$5,0)),0,1/VLOOKUP($R252,Capa!$A:$AJ,AW$5,0))))</f>
        <v/>
      </c>
      <c r="AX252" s="174" t="str">
        <f>IF(AX$6="","",IF(AX$3="Maior",iferror(VLOOKUP($R252,Capa!$A:$AJ,AX$5,0),0),IF(ISERROR(1/VLOOKUP($R252,Capa!$A:$AJ,AX$5,0)),0,1/VLOOKUP($R252,Capa!$A:$AJ,AX$5,0))))</f>
        <v/>
      </c>
      <c r="AY252" s="174" t="str">
        <f>IF(AY$6="","",IF(AY$3="Maior",iferror(VLOOKUP($R252,Capa!$A:$AJ,AY$5,0),0),IF(ISERROR(1/VLOOKUP($R252,Capa!$A:$AJ,AY$5,0)),0,1/VLOOKUP($R252,Capa!$A:$AJ,AY$5,0))))</f>
        <v/>
      </c>
      <c r="AZ252" s="174" t="str">
        <f>IF(AZ$6="","",IF(AZ$3="Maior",iferror(VLOOKUP($R252,Capa!$A:$AJ,AZ$5,0),0),IF(ISERROR(1/VLOOKUP($R252,Capa!$A:$AJ,AZ$5,0)),0,1/VLOOKUP($R252,Capa!$A:$AJ,AZ$5,0))))</f>
        <v/>
      </c>
      <c r="BA252" s="174" t="str">
        <f>IF(BA$6="","",IF(BA$3="Maior",iferror(VLOOKUP($R252,Capa!$A:$AJ,BA$5,0),0),IF(ISERROR(1/VLOOKUP($R252,Capa!$A:$AJ,BA$5,0)),0,1/VLOOKUP($R252,Capa!$A:$AJ,BA$5,0))))</f>
        <v/>
      </c>
      <c r="BB252" s="174" t="str">
        <f>IF(BB$6="","",IF(BB$3="Maior",iferror(VLOOKUP($R252,Capa!$A:$AJ,BB$5,0),0),IF(ISERROR(1/VLOOKUP($R252,Capa!$A:$AJ,BB$5,0)),0,1/VLOOKUP($R252,Capa!$A:$AJ,BB$5,0))))</f>
        <v/>
      </c>
      <c r="BC252" s="174" t="str">
        <f>IF(BC$6="","",IF(BC$3="Maior",iferror(VLOOKUP($R252,Capa!$A:$AJ,BC$5,0),0),IF(ISERROR(1/VLOOKUP($R252,Capa!$A:$AJ,BC$5,0)),0,1/VLOOKUP($R252,Capa!$A:$AJ,BC$5,0))))</f>
        <v/>
      </c>
      <c r="BD252" s="174" t="str">
        <f>IF(BD$6="","",IF(BD$3="Maior",iferror(VLOOKUP($R252,Capa!$A:$AJ,BD$5,0),0),IF(ISERROR(1/VLOOKUP($R252,Capa!$A:$AJ,BD$5,0)),0,1/VLOOKUP($R252,Capa!$A:$AJ,BD$5,0))))</f>
        <v/>
      </c>
      <c r="BE252" s="174" t="str">
        <f>IF(BE$6="","",IF(BE$3="Maior",iferror(VLOOKUP($R252,Capa!$A:$AJ,BE$5,0),0),IF(ISERROR(1/VLOOKUP($R252,Capa!$A:$AJ,BE$5,0)),0,1/VLOOKUP($R252,Capa!$A:$AJ,BE$5,0))))</f>
        <v/>
      </c>
      <c r="BF252" s="174" t="str">
        <f>IF(BF$6="","",IF(BF$3="Maior",iferror(VLOOKUP($R252,Capa!$A:$AJ,BF$5,0),0),IF(ISERROR(1/VLOOKUP($R252,Capa!$A:$AJ,BF$5,0)),0,1/VLOOKUP($R252,Capa!$A:$AJ,BF$5,0))))</f>
        <v/>
      </c>
      <c r="BG252" s="174" t="str">
        <f>IF(BG$6="","",IF(BG$3="Maior",iferror(VLOOKUP($R252,Capa!$A:$AJ,BG$5,0),0),IF(ISERROR(1/VLOOKUP($R252,Capa!$A:$AJ,BG$5,0)),0,1/VLOOKUP($R252,Capa!$A:$AJ,BG$5,0))))</f>
        <v/>
      </c>
      <c r="BH252" s="174" t="str">
        <f>IF(BH$6="","",IF(BH$3="Maior",iferror(VLOOKUP($R252,Capa!$A:$AJ,BH$5,0),0),IF(ISERROR(1/VLOOKUP($R252,Capa!$A:$AJ,BH$5,0)),0,1/VLOOKUP($R252,Capa!$A:$AJ,BH$5,0))))</f>
        <v/>
      </c>
      <c r="BI252" s="174" t="str">
        <f>IF(BI$6="","",IF(BI$3="Maior",iferror(VLOOKUP($R252,Capa!$A:$AJ,BI$5,0),0),IF(ISERROR(1/VLOOKUP($R252,Capa!$A:$AJ,BI$5,0)),0,1/VLOOKUP($R252,Capa!$A:$AJ,BI$5,0))))</f>
        <v/>
      </c>
      <c r="BJ252" s="174" t="str">
        <f>IF(BJ$6="","",IF(BJ$3="Maior",iferror(VLOOKUP($R252,Capa!$A:$AJ,BJ$5,0),0),IF(ISERROR(1/VLOOKUP($R252,Capa!$A:$AJ,BJ$5,0)),0,1/VLOOKUP($R252,Capa!$A:$AJ,BJ$5,0))))</f>
        <v/>
      </c>
      <c r="BK252" s="174" t="str">
        <f>IF(BK$6="","",IF(BK$3="Maior",iferror(VLOOKUP($R252,Capa!$A:$AJ,BK$5,0),0),IF(ISERROR(1/VLOOKUP($R252,Capa!$A:$AJ,BK$5,0)),0,1/VLOOKUP($R252,Capa!$A:$AJ,BK$5,0))))</f>
        <v/>
      </c>
      <c r="BL252" s="174" t="str">
        <f>IF(BL$6="","",IF(BL$3="Maior",iferror(VLOOKUP($R252,Capa!$A:$AJ,BL$5,0),0),IF(ISERROR(1/VLOOKUP($R252,Capa!$A:$AJ,BL$5,0)),0,1/VLOOKUP($R252,Capa!$A:$AJ,BL$5,0))))</f>
        <v/>
      </c>
      <c r="BM252" s="174" t="str">
        <f>IF(BM$6="","",IF(BM$3="Maior",iferror(VLOOKUP($R252,Capa!$A:$AJ,BM$5,0),0),IF(ISERROR(1/VLOOKUP($R252,Capa!$A:$AJ,BM$5,0)),0,1/VLOOKUP($R252,Capa!$A:$AJ,BM$5,0))))</f>
        <v/>
      </c>
      <c r="BN252" s="174" t="str">
        <f>IF(BN$6="","",IF(BN$3="Maior",iferror(VLOOKUP($R252,Capa!$A:$AJ,BN$5,0),0),IF(ISERROR(1/VLOOKUP($R252,Capa!$A:$AJ,BN$5,0)),0,1/VLOOKUP($R252,Capa!$A:$AJ,BN$5,0))))</f>
        <v/>
      </c>
      <c r="BO252" s="174" t="str">
        <f>IF(BO$6="","",IF(BO$3="Maior",iferror(VLOOKUP($R252,Capa!$A:$AJ,BO$5,0),0),IF(ISERROR(1/VLOOKUP($R252,Capa!$A:$AJ,BO$5,0)),0,1/VLOOKUP($R252,Capa!$A:$AJ,BO$5,0))))</f>
        <v/>
      </c>
      <c r="BP252" s="174" t="str">
        <f>IF(BP$6="","",IF(BP$3="Maior",iferror(VLOOKUP($R252,Capa!$A:$AJ,BP$5,0),0),IF(ISERROR(1/VLOOKUP($R252,Capa!$A:$AJ,BP$5,0)),0,1/VLOOKUP($R252,Capa!$A:$AJ,BP$5,0))))</f>
        <v/>
      </c>
      <c r="BQ252" s="174" t="str">
        <f>IF(BQ$6="","",IF(BQ$3="Maior",iferror(VLOOKUP($R252,Capa!$A:$AJ,BQ$5,0),0),IF(ISERROR(1/VLOOKUP($R252,Capa!$A:$AJ,BQ$5,0)),0,1/VLOOKUP($R252,Capa!$A:$AJ,BQ$5,0))))</f>
        <v/>
      </c>
      <c r="BR252" s="175"/>
      <c r="BS252" s="147"/>
    </row>
    <row r="253">
      <c r="G253" s="11"/>
      <c r="H253" s="8">
        <v>247.0</v>
      </c>
      <c r="I253" s="165" t="str">
        <f t="shared" si="6"/>
        <v>PPAR4</v>
      </c>
      <c r="J253" s="166" t="str">
        <f>(VLOOKUP($I253,Capa!$A:$B,2,0))</f>
        <v/>
      </c>
      <c r="K253" s="167" t="str">
        <f>VLOOKUP(left(I253,4),Setor!A:D,3,0)&amp;" | "&amp;VLOOKUP(left(I253,4),Setor!A:D,4,0)</f>
        <v>Outros | Outros</v>
      </c>
      <c r="L253" s="168" t="str">
        <f>(VLOOKUP($I253,Capa!$A:$F,6,0))</f>
        <v/>
      </c>
      <c r="M253" s="168">
        <f t="shared" si="7"/>
        <v>0</v>
      </c>
      <c r="N253" s="11" t="str">
        <f>(VLOOKUP($I253,Capa!$A:$H,7,0))</f>
        <v/>
      </c>
      <c r="O253" s="169" t="str">
        <f>(VLOOKUP($I253,Capa!$A:$H,8,0))</f>
        <v/>
      </c>
      <c r="P253" s="11" t="str">
        <f>(VLOOKUP($I253,Capa!$A:$J,10,0))</f>
        <v/>
      </c>
      <c r="Q253" s="169" t="str">
        <f>(VLOOKUP($I253,Capa!$A:$K,11,0))</f>
        <v/>
      </c>
      <c r="R253" s="45" t="str">
        <f>'Dados StatusInvest'!A248</f>
        <v>ENMA3B</v>
      </c>
      <c r="S253" s="170">
        <f t="shared" si="234"/>
        <v>1391.0391</v>
      </c>
      <c r="T253" s="171">
        <f>VLOOKUP(R253,'Dados StatusInvest'!A:Z,26,0)</f>
        <v>0</v>
      </c>
      <c r="U253" s="172">
        <f t="shared" ref="U253:AS253" si="256">IF(AT253="","", RANK(AT253,AT$7:AT$626,0)+RANK(AT253,AT$7:AT$626,0)/10000)</f>
        <v>139.0139</v>
      </c>
      <c r="V253" s="172">
        <f t="shared" si="256"/>
        <v>252.0252</v>
      </c>
      <c r="W253" s="172" t="str">
        <f t="shared" si="256"/>
        <v/>
      </c>
      <c r="X253" s="172" t="str">
        <f t="shared" si="256"/>
        <v/>
      </c>
      <c r="Y253" s="172" t="str">
        <f t="shared" si="256"/>
        <v/>
      </c>
      <c r="Z253" s="172" t="str">
        <f t="shared" si="256"/>
        <v/>
      </c>
      <c r="AA253" s="172" t="str">
        <f t="shared" si="256"/>
        <v/>
      </c>
      <c r="AB253" s="172" t="str">
        <f t="shared" si="256"/>
        <v/>
      </c>
      <c r="AC253" s="172" t="str">
        <f t="shared" si="256"/>
        <v/>
      </c>
      <c r="AD253" s="172" t="str">
        <f t="shared" si="256"/>
        <v/>
      </c>
      <c r="AE253" s="172" t="str">
        <f t="shared" si="256"/>
        <v/>
      </c>
      <c r="AF253" s="172" t="str">
        <f t="shared" si="256"/>
        <v/>
      </c>
      <c r="AG253" s="172" t="str">
        <f t="shared" si="256"/>
        <v/>
      </c>
      <c r="AH253" s="172" t="str">
        <f t="shared" si="256"/>
        <v/>
      </c>
      <c r="AI253" s="172" t="str">
        <f t="shared" si="256"/>
        <v/>
      </c>
      <c r="AJ253" s="172" t="str">
        <f t="shared" si="256"/>
        <v/>
      </c>
      <c r="AK253" s="172" t="str">
        <f t="shared" si="256"/>
        <v/>
      </c>
      <c r="AL253" s="172" t="str">
        <f t="shared" si="256"/>
        <v/>
      </c>
      <c r="AM253" s="172" t="str">
        <f t="shared" si="256"/>
        <v/>
      </c>
      <c r="AN253" s="172" t="str">
        <f t="shared" si="256"/>
        <v/>
      </c>
      <c r="AO253" s="172" t="str">
        <f t="shared" si="256"/>
        <v/>
      </c>
      <c r="AP253" s="172" t="str">
        <f t="shared" si="256"/>
        <v/>
      </c>
      <c r="AQ253" s="172" t="str">
        <f t="shared" si="256"/>
        <v/>
      </c>
      <c r="AR253" s="172" t="str">
        <f t="shared" si="256"/>
        <v/>
      </c>
      <c r="AS253" s="172" t="str">
        <f t="shared" si="256"/>
        <v/>
      </c>
      <c r="AT253" s="173">
        <f>IF(AT$6="","",IF(AT$3="Maior",iferror(VLOOKUP($R253,Capa!$A:$AJ,AT$5,0),0),IF(ISERROR(1/VLOOKUP($R253,Capa!$A:$AJ,AT$5,0)),0,1/VLOOKUP($R253,Capa!$A:$AJ,AT$5,0))))</f>
        <v>-0.06835269993</v>
      </c>
      <c r="AU253" s="174">
        <f>IF(AU$6="","",IF(AU$3="Maior",iferror(VLOOKUP($R253,Capa!$A:$AJ,AU$5,0),0),IF(ISERROR(1/VLOOKUP($R253,Capa!$A:$AJ,AU$5,0)),0,1/VLOOKUP($R253,Capa!$A:$AJ,AU$5,0))))</f>
        <v>2.92</v>
      </c>
      <c r="AV253" s="174" t="str">
        <f>IF(AV$6="","",IF(AV$3="Maior",iferror(VLOOKUP($R253,Capa!$A:$AJ,AV$5,0),0),IF(ISERROR(1/VLOOKUP($R253,Capa!$A:$AJ,AV$5,0)),0,1/VLOOKUP($R253,Capa!$A:$AJ,AV$5,0))))</f>
        <v/>
      </c>
      <c r="AW253" s="174" t="str">
        <f>IF(AW$6="","",IF(AW$3="Maior",iferror(VLOOKUP($R253,Capa!$A:$AJ,AW$5,0),0),IF(ISERROR(1/VLOOKUP($R253,Capa!$A:$AJ,AW$5,0)),0,1/VLOOKUP($R253,Capa!$A:$AJ,AW$5,0))))</f>
        <v/>
      </c>
      <c r="AX253" s="174" t="str">
        <f>IF(AX$6="","",IF(AX$3="Maior",iferror(VLOOKUP($R253,Capa!$A:$AJ,AX$5,0),0),IF(ISERROR(1/VLOOKUP($R253,Capa!$A:$AJ,AX$5,0)),0,1/VLOOKUP($R253,Capa!$A:$AJ,AX$5,0))))</f>
        <v/>
      </c>
      <c r="AY253" s="174" t="str">
        <f>IF(AY$6="","",IF(AY$3="Maior",iferror(VLOOKUP($R253,Capa!$A:$AJ,AY$5,0),0),IF(ISERROR(1/VLOOKUP($R253,Capa!$A:$AJ,AY$5,0)),0,1/VLOOKUP($R253,Capa!$A:$AJ,AY$5,0))))</f>
        <v/>
      </c>
      <c r="AZ253" s="174" t="str">
        <f>IF(AZ$6="","",IF(AZ$3="Maior",iferror(VLOOKUP($R253,Capa!$A:$AJ,AZ$5,0),0),IF(ISERROR(1/VLOOKUP($R253,Capa!$A:$AJ,AZ$5,0)),0,1/VLOOKUP($R253,Capa!$A:$AJ,AZ$5,0))))</f>
        <v/>
      </c>
      <c r="BA253" s="174" t="str">
        <f>IF(BA$6="","",IF(BA$3="Maior",iferror(VLOOKUP($R253,Capa!$A:$AJ,BA$5,0),0),IF(ISERROR(1/VLOOKUP($R253,Capa!$A:$AJ,BA$5,0)),0,1/VLOOKUP($R253,Capa!$A:$AJ,BA$5,0))))</f>
        <v/>
      </c>
      <c r="BB253" s="174" t="str">
        <f>IF(BB$6="","",IF(BB$3="Maior",iferror(VLOOKUP($R253,Capa!$A:$AJ,BB$5,0),0),IF(ISERROR(1/VLOOKUP($R253,Capa!$A:$AJ,BB$5,0)),0,1/VLOOKUP($R253,Capa!$A:$AJ,BB$5,0))))</f>
        <v/>
      </c>
      <c r="BC253" s="174" t="str">
        <f>IF(BC$6="","",IF(BC$3="Maior",iferror(VLOOKUP($R253,Capa!$A:$AJ,BC$5,0),0),IF(ISERROR(1/VLOOKUP($R253,Capa!$A:$AJ,BC$5,0)),0,1/VLOOKUP($R253,Capa!$A:$AJ,BC$5,0))))</f>
        <v/>
      </c>
      <c r="BD253" s="174" t="str">
        <f>IF(BD$6="","",IF(BD$3="Maior",iferror(VLOOKUP($R253,Capa!$A:$AJ,BD$5,0),0),IF(ISERROR(1/VLOOKUP($R253,Capa!$A:$AJ,BD$5,0)),0,1/VLOOKUP($R253,Capa!$A:$AJ,BD$5,0))))</f>
        <v/>
      </c>
      <c r="BE253" s="174" t="str">
        <f>IF(BE$6="","",IF(BE$3="Maior",iferror(VLOOKUP($R253,Capa!$A:$AJ,BE$5,0),0),IF(ISERROR(1/VLOOKUP($R253,Capa!$A:$AJ,BE$5,0)),0,1/VLOOKUP($R253,Capa!$A:$AJ,BE$5,0))))</f>
        <v/>
      </c>
      <c r="BF253" s="174" t="str">
        <f>IF(BF$6="","",IF(BF$3="Maior",iferror(VLOOKUP($R253,Capa!$A:$AJ,BF$5,0),0),IF(ISERROR(1/VLOOKUP($R253,Capa!$A:$AJ,BF$5,0)),0,1/VLOOKUP($R253,Capa!$A:$AJ,BF$5,0))))</f>
        <v/>
      </c>
      <c r="BG253" s="174" t="str">
        <f>IF(BG$6="","",IF(BG$3="Maior",iferror(VLOOKUP($R253,Capa!$A:$AJ,BG$5,0),0),IF(ISERROR(1/VLOOKUP($R253,Capa!$A:$AJ,BG$5,0)),0,1/VLOOKUP($R253,Capa!$A:$AJ,BG$5,0))))</f>
        <v/>
      </c>
      <c r="BH253" s="174" t="str">
        <f>IF(BH$6="","",IF(BH$3="Maior",iferror(VLOOKUP($R253,Capa!$A:$AJ,BH$5,0),0),IF(ISERROR(1/VLOOKUP($R253,Capa!$A:$AJ,BH$5,0)),0,1/VLOOKUP($R253,Capa!$A:$AJ,BH$5,0))))</f>
        <v/>
      </c>
      <c r="BI253" s="174" t="str">
        <f>IF(BI$6="","",IF(BI$3="Maior",iferror(VLOOKUP($R253,Capa!$A:$AJ,BI$5,0),0),IF(ISERROR(1/VLOOKUP($R253,Capa!$A:$AJ,BI$5,0)),0,1/VLOOKUP($R253,Capa!$A:$AJ,BI$5,0))))</f>
        <v/>
      </c>
      <c r="BJ253" s="174" t="str">
        <f>IF(BJ$6="","",IF(BJ$3="Maior",iferror(VLOOKUP($R253,Capa!$A:$AJ,BJ$5,0),0),IF(ISERROR(1/VLOOKUP($R253,Capa!$A:$AJ,BJ$5,0)),0,1/VLOOKUP($R253,Capa!$A:$AJ,BJ$5,0))))</f>
        <v/>
      </c>
      <c r="BK253" s="174" t="str">
        <f>IF(BK$6="","",IF(BK$3="Maior",iferror(VLOOKUP($R253,Capa!$A:$AJ,BK$5,0),0),IF(ISERROR(1/VLOOKUP($R253,Capa!$A:$AJ,BK$5,0)),0,1/VLOOKUP($R253,Capa!$A:$AJ,BK$5,0))))</f>
        <v/>
      </c>
      <c r="BL253" s="174" t="str">
        <f>IF(BL$6="","",IF(BL$3="Maior",iferror(VLOOKUP($R253,Capa!$A:$AJ,BL$5,0),0),IF(ISERROR(1/VLOOKUP($R253,Capa!$A:$AJ,BL$5,0)),0,1/VLOOKUP($R253,Capa!$A:$AJ,BL$5,0))))</f>
        <v/>
      </c>
      <c r="BM253" s="174" t="str">
        <f>IF(BM$6="","",IF(BM$3="Maior",iferror(VLOOKUP($R253,Capa!$A:$AJ,BM$5,0),0),IF(ISERROR(1/VLOOKUP($R253,Capa!$A:$AJ,BM$5,0)),0,1/VLOOKUP($R253,Capa!$A:$AJ,BM$5,0))))</f>
        <v/>
      </c>
      <c r="BN253" s="174" t="str">
        <f>IF(BN$6="","",IF(BN$3="Maior",iferror(VLOOKUP($R253,Capa!$A:$AJ,BN$5,0),0),IF(ISERROR(1/VLOOKUP($R253,Capa!$A:$AJ,BN$5,0)),0,1/VLOOKUP($R253,Capa!$A:$AJ,BN$5,0))))</f>
        <v/>
      </c>
      <c r="BO253" s="174" t="str">
        <f>IF(BO$6="","",IF(BO$3="Maior",iferror(VLOOKUP($R253,Capa!$A:$AJ,BO$5,0),0),IF(ISERROR(1/VLOOKUP($R253,Capa!$A:$AJ,BO$5,0)),0,1/VLOOKUP($R253,Capa!$A:$AJ,BO$5,0))))</f>
        <v/>
      </c>
      <c r="BP253" s="174" t="str">
        <f>IF(BP$6="","",IF(BP$3="Maior",iferror(VLOOKUP($R253,Capa!$A:$AJ,BP$5,0),0),IF(ISERROR(1/VLOOKUP($R253,Capa!$A:$AJ,BP$5,0)),0,1/VLOOKUP($R253,Capa!$A:$AJ,BP$5,0))))</f>
        <v/>
      </c>
      <c r="BQ253" s="174" t="str">
        <f>IF(BQ$6="","",IF(BQ$3="Maior",iferror(VLOOKUP($R253,Capa!$A:$AJ,BQ$5,0),0),IF(ISERROR(1/VLOOKUP($R253,Capa!$A:$AJ,BQ$5,0)),0,1/VLOOKUP($R253,Capa!$A:$AJ,BQ$5,0))))</f>
        <v/>
      </c>
      <c r="BR253" s="175"/>
      <c r="BS253" s="147"/>
    </row>
    <row r="254">
      <c r="G254" s="11"/>
      <c r="H254" s="8">
        <v>248.0</v>
      </c>
      <c r="I254" s="165" t="str">
        <f t="shared" si="6"/>
        <v>MYPK3</v>
      </c>
      <c r="J254" s="166" t="str">
        <f>(VLOOKUP($I254,Capa!$A:$B,2,0))</f>
        <v>Iochpe Maxion SA</v>
      </c>
      <c r="K254" s="167" t="str">
        <f>VLOOKUP(left(I254,4),Setor!A:D,3,0)&amp;" | "&amp;VLOOKUP(left(I254,4),Setor!A:D,4,0)</f>
        <v>Consumo Cíclico | Automóveis e Motocicletas</v>
      </c>
      <c r="L254" s="168">
        <f>(VLOOKUP($I254,Capa!$A:$F,6,0))</f>
        <v>10.38</v>
      </c>
      <c r="M254" s="168">
        <f t="shared" si="7"/>
        <v>11988510</v>
      </c>
      <c r="N254" s="11" t="str">
        <f>IFERROR(__xludf.DUMMYFUNCTION("(VLOOKUP($I254,Capa!$A:$H,7,0))"),"")</f>
        <v/>
      </c>
      <c r="O254" s="169">
        <f>(VLOOKUP($I254,Capa!$A:$H,8,0))</f>
        <v>0.01169590643</v>
      </c>
      <c r="P254" s="11" t="str">
        <f>IFERROR(__xludf.DUMMYFUNCTION("(VLOOKUP($I254,Capa!$A:$J,10,0))"),"")</f>
        <v/>
      </c>
      <c r="Q254" s="169">
        <f>(VLOOKUP($I254,Capa!$A:$K,11,0))</f>
        <v>-0.2106463878</v>
      </c>
      <c r="R254" s="45" t="str">
        <f>'Dados StatusInvest'!A249</f>
        <v>ENMA6B</v>
      </c>
      <c r="S254" s="170">
        <f t="shared" si="234"/>
        <v>1383.0383</v>
      </c>
      <c r="T254" s="171">
        <f>VLOOKUP(R254,'Dados StatusInvest'!A:Z,26,0)</f>
        <v>0</v>
      </c>
      <c r="U254" s="172">
        <f t="shared" ref="U254:AS254" si="257">IF(AT254="","", RANK(AT254,AT$7:AT$626,0)+RANK(AT254,AT$7:AT$626,0)/10000)</f>
        <v>131.0131</v>
      </c>
      <c r="V254" s="172">
        <f t="shared" si="257"/>
        <v>252.0252</v>
      </c>
      <c r="W254" s="172" t="str">
        <f t="shared" si="257"/>
        <v/>
      </c>
      <c r="X254" s="172" t="str">
        <f t="shared" si="257"/>
        <v/>
      </c>
      <c r="Y254" s="172" t="str">
        <f t="shared" si="257"/>
        <v/>
      </c>
      <c r="Z254" s="172" t="str">
        <f t="shared" si="257"/>
        <v/>
      </c>
      <c r="AA254" s="172" t="str">
        <f t="shared" si="257"/>
        <v/>
      </c>
      <c r="AB254" s="172" t="str">
        <f t="shared" si="257"/>
        <v/>
      </c>
      <c r="AC254" s="172" t="str">
        <f t="shared" si="257"/>
        <v/>
      </c>
      <c r="AD254" s="172" t="str">
        <f t="shared" si="257"/>
        <v/>
      </c>
      <c r="AE254" s="172" t="str">
        <f t="shared" si="257"/>
        <v/>
      </c>
      <c r="AF254" s="172" t="str">
        <f t="shared" si="257"/>
        <v/>
      </c>
      <c r="AG254" s="172" t="str">
        <f t="shared" si="257"/>
        <v/>
      </c>
      <c r="AH254" s="172" t="str">
        <f t="shared" si="257"/>
        <v/>
      </c>
      <c r="AI254" s="172" t="str">
        <f t="shared" si="257"/>
        <v/>
      </c>
      <c r="AJ254" s="172" t="str">
        <f t="shared" si="257"/>
        <v/>
      </c>
      <c r="AK254" s="172" t="str">
        <f t="shared" si="257"/>
        <v/>
      </c>
      <c r="AL254" s="172" t="str">
        <f t="shared" si="257"/>
        <v/>
      </c>
      <c r="AM254" s="172" t="str">
        <f t="shared" si="257"/>
        <v/>
      </c>
      <c r="AN254" s="172" t="str">
        <f t="shared" si="257"/>
        <v/>
      </c>
      <c r="AO254" s="172" t="str">
        <f t="shared" si="257"/>
        <v/>
      </c>
      <c r="AP254" s="172" t="str">
        <f t="shared" si="257"/>
        <v/>
      </c>
      <c r="AQ254" s="172" t="str">
        <f t="shared" si="257"/>
        <v/>
      </c>
      <c r="AR254" s="172" t="str">
        <f t="shared" si="257"/>
        <v/>
      </c>
      <c r="AS254" s="172" t="str">
        <f t="shared" si="257"/>
        <v/>
      </c>
      <c r="AT254" s="173">
        <f>IF(AT$6="","",IF(AT$3="Maior",iferror(VLOOKUP($R254,Capa!$A:$AJ,AT$5,0),0),IF(ISERROR(1/VLOOKUP($R254,Capa!$A:$AJ,AT$5,0)),0,1/VLOOKUP($R254,Capa!$A:$AJ,AT$5,0))))</f>
        <v>-0.04110152076</v>
      </c>
      <c r="AU254" s="174">
        <f>IF(AU$6="","",IF(AU$3="Maior",iferror(VLOOKUP($R254,Capa!$A:$AJ,AU$5,0),0),IF(ISERROR(1/VLOOKUP($R254,Capa!$A:$AJ,AU$5,0)),0,1/VLOOKUP($R254,Capa!$A:$AJ,AU$5,0))))</f>
        <v>2.92</v>
      </c>
      <c r="AV254" s="174" t="str">
        <f>IF(AV$6="","",IF(AV$3="Maior",iferror(VLOOKUP($R254,Capa!$A:$AJ,AV$5,0),0),IF(ISERROR(1/VLOOKUP($R254,Capa!$A:$AJ,AV$5,0)),0,1/VLOOKUP($R254,Capa!$A:$AJ,AV$5,0))))</f>
        <v/>
      </c>
      <c r="AW254" s="174" t="str">
        <f>IF(AW$6="","",IF(AW$3="Maior",iferror(VLOOKUP($R254,Capa!$A:$AJ,AW$5,0),0),IF(ISERROR(1/VLOOKUP($R254,Capa!$A:$AJ,AW$5,0)),0,1/VLOOKUP($R254,Capa!$A:$AJ,AW$5,0))))</f>
        <v/>
      </c>
      <c r="AX254" s="174" t="str">
        <f>IF(AX$6="","",IF(AX$3="Maior",iferror(VLOOKUP($R254,Capa!$A:$AJ,AX$5,0),0),IF(ISERROR(1/VLOOKUP($R254,Capa!$A:$AJ,AX$5,0)),0,1/VLOOKUP($R254,Capa!$A:$AJ,AX$5,0))))</f>
        <v/>
      </c>
      <c r="AY254" s="174" t="str">
        <f>IF(AY$6="","",IF(AY$3="Maior",iferror(VLOOKUP($R254,Capa!$A:$AJ,AY$5,0),0),IF(ISERROR(1/VLOOKUP($R254,Capa!$A:$AJ,AY$5,0)),0,1/VLOOKUP($R254,Capa!$A:$AJ,AY$5,0))))</f>
        <v/>
      </c>
      <c r="AZ254" s="174" t="str">
        <f>IF(AZ$6="","",IF(AZ$3="Maior",iferror(VLOOKUP($R254,Capa!$A:$AJ,AZ$5,0),0),IF(ISERROR(1/VLOOKUP($R254,Capa!$A:$AJ,AZ$5,0)),0,1/VLOOKUP($R254,Capa!$A:$AJ,AZ$5,0))))</f>
        <v/>
      </c>
      <c r="BA254" s="174" t="str">
        <f>IF(BA$6="","",IF(BA$3="Maior",iferror(VLOOKUP($R254,Capa!$A:$AJ,BA$5,0),0),IF(ISERROR(1/VLOOKUP($R254,Capa!$A:$AJ,BA$5,0)),0,1/VLOOKUP($R254,Capa!$A:$AJ,BA$5,0))))</f>
        <v/>
      </c>
      <c r="BB254" s="174" t="str">
        <f>IF(BB$6="","",IF(BB$3="Maior",iferror(VLOOKUP($R254,Capa!$A:$AJ,BB$5,0),0),IF(ISERROR(1/VLOOKUP($R254,Capa!$A:$AJ,BB$5,0)),0,1/VLOOKUP($R254,Capa!$A:$AJ,BB$5,0))))</f>
        <v/>
      </c>
      <c r="BC254" s="174" t="str">
        <f>IF(BC$6="","",IF(BC$3="Maior",iferror(VLOOKUP($R254,Capa!$A:$AJ,BC$5,0),0),IF(ISERROR(1/VLOOKUP($R254,Capa!$A:$AJ,BC$5,0)),0,1/VLOOKUP($R254,Capa!$A:$AJ,BC$5,0))))</f>
        <v/>
      </c>
      <c r="BD254" s="174" t="str">
        <f>IF(BD$6="","",IF(BD$3="Maior",iferror(VLOOKUP($R254,Capa!$A:$AJ,BD$5,0),0),IF(ISERROR(1/VLOOKUP($R254,Capa!$A:$AJ,BD$5,0)),0,1/VLOOKUP($R254,Capa!$A:$AJ,BD$5,0))))</f>
        <v/>
      </c>
      <c r="BE254" s="174" t="str">
        <f>IF(BE$6="","",IF(BE$3="Maior",iferror(VLOOKUP($R254,Capa!$A:$AJ,BE$5,0),0),IF(ISERROR(1/VLOOKUP($R254,Capa!$A:$AJ,BE$5,0)),0,1/VLOOKUP($R254,Capa!$A:$AJ,BE$5,0))))</f>
        <v/>
      </c>
      <c r="BF254" s="174" t="str">
        <f>IF(BF$6="","",IF(BF$3="Maior",iferror(VLOOKUP($R254,Capa!$A:$AJ,BF$5,0),0),IF(ISERROR(1/VLOOKUP($R254,Capa!$A:$AJ,BF$5,0)),0,1/VLOOKUP($R254,Capa!$A:$AJ,BF$5,0))))</f>
        <v/>
      </c>
      <c r="BG254" s="174" t="str">
        <f>IF(BG$6="","",IF(BG$3="Maior",iferror(VLOOKUP($R254,Capa!$A:$AJ,BG$5,0),0),IF(ISERROR(1/VLOOKUP($R254,Capa!$A:$AJ,BG$5,0)),0,1/VLOOKUP($R254,Capa!$A:$AJ,BG$5,0))))</f>
        <v/>
      </c>
      <c r="BH254" s="174" t="str">
        <f>IF(BH$6="","",IF(BH$3="Maior",iferror(VLOOKUP($R254,Capa!$A:$AJ,BH$5,0),0),IF(ISERROR(1/VLOOKUP($R254,Capa!$A:$AJ,BH$5,0)),0,1/VLOOKUP($R254,Capa!$A:$AJ,BH$5,0))))</f>
        <v/>
      </c>
      <c r="BI254" s="174" t="str">
        <f>IF(BI$6="","",IF(BI$3="Maior",iferror(VLOOKUP($R254,Capa!$A:$AJ,BI$5,0),0),IF(ISERROR(1/VLOOKUP($R254,Capa!$A:$AJ,BI$5,0)),0,1/VLOOKUP($R254,Capa!$A:$AJ,BI$5,0))))</f>
        <v/>
      </c>
      <c r="BJ254" s="174" t="str">
        <f>IF(BJ$6="","",IF(BJ$3="Maior",iferror(VLOOKUP($R254,Capa!$A:$AJ,BJ$5,0),0),IF(ISERROR(1/VLOOKUP($R254,Capa!$A:$AJ,BJ$5,0)),0,1/VLOOKUP($R254,Capa!$A:$AJ,BJ$5,0))))</f>
        <v/>
      </c>
      <c r="BK254" s="174" t="str">
        <f>IF(BK$6="","",IF(BK$3="Maior",iferror(VLOOKUP($R254,Capa!$A:$AJ,BK$5,0),0),IF(ISERROR(1/VLOOKUP($R254,Capa!$A:$AJ,BK$5,0)),0,1/VLOOKUP($R254,Capa!$A:$AJ,BK$5,0))))</f>
        <v/>
      </c>
      <c r="BL254" s="174" t="str">
        <f>IF(BL$6="","",IF(BL$3="Maior",iferror(VLOOKUP($R254,Capa!$A:$AJ,BL$5,0),0),IF(ISERROR(1/VLOOKUP($R254,Capa!$A:$AJ,BL$5,0)),0,1/VLOOKUP($R254,Capa!$A:$AJ,BL$5,0))))</f>
        <v/>
      </c>
      <c r="BM254" s="174" t="str">
        <f>IF(BM$6="","",IF(BM$3="Maior",iferror(VLOOKUP($R254,Capa!$A:$AJ,BM$5,0),0),IF(ISERROR(1/VLOOKUP($R254,Capa!$A:$AJ,BM$5,0)),0,1/VLOOKUP($R254,Capa!$A:$AJ,BM$5,0))))</f>
        <v/>
      </c>
      <c r="BN254" s="174" t="str">
        <f>IF(BN$6="","",IF(BN$3="Maior",iferror(VLOOKUP($R254,Capa!$A:$AJ,BN$5,0),0),IF(ISERROR(1/VLOOKUP($R254,Capa!$A:$AJ,BN$5,0)),0,1/VLOOKUP($R254,Capa!$A:$AJ,BN$5,0))))</f>
        <v/>
      </c>
      <c r="BO254" s="174" t="str">
        <f>IF(BO$6="","",IF(BO$3="Maior",iferror(VLOOKUP($R254,Capa!$A:$AJ,BO$5,0),0),IF(ISERROR(1/VLOOKUP($R254,Capa!$A:$AJ,BO$5,0)),0,1/VLOOKUP($R254,Capa!$A:$AJ,BO$5,0))))</f>
        <v/>
      </c>
      <c r="BP254" s="174" t="str">
        <f>IF(BP$6="","",IF(BP$3="Maior",iferror(VLOOKUP($R254,Capa!$A:$AJ,BP$5,0),0),IF(ISERROR(1/VLOOKUP($R254,Capa!$A:$AJ,BP$5,0)),0,1/VLOOKUP($R254,Capa!$A:$AJ,BP$5,0))))</f>
        <v/>
      </c>
      <c r="BQ254" s="174" t="str">
        <f>IF(BQ$6="","",IF(BQ$3="Maior",iferror(VLOOKUP($R254,Capa!$A:$AJ,BQ$5,0),0),IF(ISERROR(1/VLOOKUP($R254,Capa!$A:$AJ,BQ$5,0)),0,1/VLOOKUP($R254,Capa!$A:$AJ,BQ$5,0))))</f>
        <v/>
      </c>
      <c r="BR254" s="175"/>
      <c r="BS254" s="147"/>
    </row>
    <row r="255">
      <c r="G255" s="11"/>
      <c r="H255" s="8">
        <v>249.0</v>
      </c>
      <c r="I255" s="165" t="str">
        <f t="shared" si="6"/>
        <v>FIGE4</v>
      </c>
      <c r="J255" s="166" t="str">
        <f>(VLOOKUP($I255,Capa!$A:$B,2,0))</f>
        <v>Investimentos Bemge SA Preference Shares</v>
      </c>
      <c r="K255" s="167" t="str">
        <f>VLOOKUP(left(I255,4),Setor!A:D,3,0)&amp;" | "&amp;VLOOKUP(left(I255,4),Setor!A:D,4,0)</f>
        <v>Outros | Outros</v>
      </c>
      <c r="L255" s="168">
        <f>(VLOOKUP($I255,Capa!$A:$F,6,0))</f>
        <v>0</v>
      </c>
      <c r="M255" s="168">
        <f t="shared" si="7"/>
        <v>0</v>
      </c>
      <c r="N255" s="11" t="str">
        <f>(VLOOKUP($I255,Capa!$A:$H,7,0))</f>
        <v/>
      </c>
      <c r="O255" s="169" t="str">
        <f>(VLOOKUP($I255,Capa!$A:$H,8,0))</f>
        <v/>
      </c>
      <c r="P255" s="11" t="str">
        <f>IFERROR(__xludf.DUMMYFUNCTION("(VLOOKUP($I255,Capa!$A:$J,10,0))"),"")</f>
        <v/>
      </c>
      <c r="Q255" s="169" t="str">
        <f>(VLOOKUP($I255,Capa!$A:$K,11,0))</f>
        <v/>
      </c>
      <c r="R255" s="45" t="str">
        <f>'Dados StatusInvest'!A250</f>
        <v>ENMT3</v>
      </c>
      <c r="S255" s="170">
        <f t="shared" si="234"/>
        <v>1561.0561</v>
      </c>
      <c r="T255" s="171">
        <f>VLOOKUP(R255,'Dados StatusInvest'!A:Z,26,0)</f>
        <v>19281.38</v>
      </c>
      <c r="U255" s="172">
        <f t="shared" ref="U255:AS255" si="258">IF(AT255="","", RANK(AT255,AT$7:AT$626,0)+RANK(AT255,AT$7:AT$626,0)/10000)</f>
        <v>362.0362</v>
      </c>
      <c r="V255" s="172">
        <f t="shared" si="258"/>
        <v>199.0199</v>
      </c>
      <c r="W255" s="172" t="str">
        <f t="shared" si="258"/>
        <v/>
      </c>
      <c r="X255" s="172" t="str">
        <f t="shared" si="258"/>
        <v/>
      </c>
      <c r="Y255" s="172" t="str">
        <f t="shared" si="258"/>
        <v/>
      </c>
      <c r="Z255" s="172" t="str">
        <f t="shared" si="258"/>
        <v/>
      </c>
      <c r="AA255" s="172" t="str">
        <f t="shared" si="258"/>
        <v/>
      </c>
      <c r="AB255" s="172" t="str">
        <f t="shared" si="258"/>
        <v/>
      </c>
      <c r="AC255" s="172" t="str">
        <f t="shared" si="258"/>
        <v/>
      </c>
      <c r="AD255" s="172" t="str">
        <f t="shared" si="258"/>
        <v/>
      </c>
      <c r="AE255" s="172" t="str">
        <f t="shared" si="258"/>
        <v/>
      </c>
      <c r="AF255" s="172" t="str">
        <f t="shared" si="258"/>
        <v/>
      </c>
      <c r="AG255" s="172" t="str">
        <f t="shared" si="258"/>
        <v/>
      </c>
      <c r="AH255" s="172" t="str">
        <f t="shared" si="258"/>
        <v/>
      </c>
      <c r="AI255" s="172" t="str">
        <f t="shared" si="258"/>
        <v/>
      </c>
      <c r="AJ255" s="172" t="str">
        <f t="shared" si="258"/>
        <v/>
      </c>
      <c r="AK255" s="172" t="str">
        <f t="shared" si="258"/>
        <v/>
      </c>
      <c r="AL255" s="172" t="str">
        <f t="shared" si="258"/>
        <v/>
      </c>
      <c r="AM255" s="172" t="str">
        <f t="shared" si="258"/>
        <v/>
      </c>
      <c r="AN255" s="172" t="str">
        <f t="shared" si="258"/>
        <v/>
      </c>
      <c r="AO255" s="172" t="str">
        <f t="shared" si="258"/>
        <v/>
      </c>
      <c r="AP255" s="172" t="str">
        <f t="shared" si="258"/>
        <v/>
      </c>
      <c r="AQ255" s="172" t="str">
        <f t="shared" si="258"/>
        <v/>
      </c>
      <c r="AR255" s="172" t="str">
        <f t="shared" si="258"/>
        <v/>
      </c>
      <c r="AS255" s="172" t="str">
        <f t="shared" si="258"/>
        <v/>
      </c>
      <c r="AT255" s="173">
        <f>IF(AT$6="","",IF(AT$3="Maior",iferror(VLOOKUP($R255,Capa!$A:$AJ,AT$5,0),0),IF(ISERROR(1/VLOOKUP($R255,Capa!$A:$AJ,AT$5,0)),0,1/VLOOKUP($R255,Capa!$A:$AJ,AT$5,0))))</f>
        <v>-1.096880146</v>
      </c>
      <c r="AU255" s="174">
        <f>IF(AU$6="","",IF(AU$3="Maior",iferror(VLOOKUP($R255,Capa!$A:$AJ,AU$5,0),0),IF(ISERROR(1/VLOOKUP($R255,Capa!$A:$AJ,AU$5,0)),0,1/VLOOKUP($R255,Capa!$A:$AJ,AU$5,0))))</f>
        <v>10.97</v>
      </c>
      <c r="AV255" s="174" t="str">
        <f>IF(AV$6="","",IF(AV$3="Maior",iferror(VLOOKUP($R255,Capa!$A:$AJ,AV$5,0),0),IF(ISERROR(1/VLOOKUP($R255,Capa!$A:$AJ,AV$5,0)),0,1/VLOOKUP($R255,Capa!$A:$AJ,AV$5,0))))</f>
        <v/>
      </c>
      <c r="AW255" s="174" t="str">
        <f>IF(AW$6="","",IF(AW$3="Maior",iferror(VLOOKUP($R255,Capa!$A:$AJ,AW$5,0),0),IF(ISERROR(1/VLOOKUP($R255,Capa!$A:$AJ,AW$5,0)),0,1/VLOOKUP($R255,Capa!$A:$AJ,AW$5,0))))</f>
        <v/>
      </c>
      <c r="AX255" s="174" t="str">
        <f>IF(AX$6="","",IF(AX$3="Maior",iferror(VLOOKUP($R255,Capa!$A:$AJ,AX$5,0),0),IF(ISERROR(1/VLOOKUP($R255,Capa!$A:$AJ,AX$5,0)),0,1/VLOOKUP($R255,Capa!$A:$AJ,AX$5,0))))</f>
        <v/>
      </c>
      <c r="AY255" s="174" t="str">
        <f>IF(AY$6="","",IF(AY$3="Maior",iferror(VLOOKUP($R255,Capa!$A:$AJ,AY$5,0),0),IF(ISERROR(1/VLOOKUP($R255,Capa!$A:$AJ,AY$5,0)),0,1/VLOOKUP($R255,Capa!$A:$AJ,AY$5,0))))</f>
        <v/>
      </c>
      <c r="AZ255" s="174" t="str">
        <f>IF(AZ$6="","",IF(AZ$3="Maior",iferror(VLOOKUP($R255,Capa!$A:$AJ,AZ$5,0),0),IF(ISERROR(1/VLOOKUP($R255,Capa!$A:$AJ,AZ$5,0)),0,1/VLOOKUP($R255,Capa!$A:$AJ,AZ$5,0))))</f>
        <v/>
      </c>
      <c r="BA255" s="174" t="str">
        <f>IF(BA$6="","",IF(BA$3="Maior",iferror(VLOOKUP($R255,Capa!$A:$AJ,BA$5,0),0),IF(ISERROR(1/VLOOKUP($R255,Capa!$A:$AJ,BA$5,0)),0,1/VLOOKUP($R255,Capa!$A:$AJ,BA$5,0))))</f>
        <v/>
      </c>
      <c r="BB255" s="174" t="str">
        <f>IF(BB$6="","",IF(BB$3="Maior",iferror(VLOOKUP($R255,Capa!$A:$AJ,BB$5,0),0),IF(ISERROR(1/VLOOKUP($R255,Capa!$A:$AJ,BB$5,0)),0,1/VLOOKUP($R255,Capa!$A:$AJ,BB$5,0))))</f>
        <v/>
      </c>
      <c r="BC255" s="174" t="str">
        <f>IF(BC$6="","",IF(BC$3="Maior",iferror(VLOOKUP($R255,Capa!$A:$AJ,BC$5,0),0),IF(ISERROR(1/VLOOKUP($R255,Capa!$A:$AJ,BC$5,0)),0,1/VLOOKUP($R255,Capa!$A:$AJ,BC$5,0))))</f>
        <v/>
      </c>
      <c r="BD255" s="174" t="str">
        <f>IF(BD$6="","",IF(BD$3="Maior",iferror(VLOOKUP($R255,Capa!$A:$AJ,BD$5,0),0),IF(ISERROR(1/VLOOKUP($R255,Capa!$A:$AJ,BD$5,0)),0,1/VLOOKUP($R255,Capa!$A:$AJ,BD$5,0))))</f>
        <v/>
      </c>
      <c r="BE255" s="174" t="str">
        <f>IF(BE$6="","",IF(BE$3="Maior",iferror(VLOOKUP($R255,Capa!$A:$AJ,BE$5,0),0),IF(ISERROR(1/VLOOKUP($R255,Capa!$A:$AJ,BE$5,0)),0,1/VLOOKUP($R255,Capa!$A:$AJ,BE$5,0))))</f>
        <v/>
      </c>
      <c r="BF255" s="174" t="str">
        <f>IF(BF$6="","",IF(BF$3="Maior",iferror(VLOOKUP($R255,Capa!$A:$AJ,BF$5,0),0),IF(ISERROR(1/VLOOKUP($R255,Capa!$A:$AJ,BF$5,0)),0,1/VLOOKUP($R255,Capa!$A:$AJ,BF$5,0))))</f>
        <v/>
      </c>
      <c r="BG255" s="174" t="str">
        <f>IF(BG$6="","",IF(BG$3="Maior",iferror(VLOOKUP($R255,Capa!$A:$AJ,BG$5,0),0),IF(ISERROR(1/VLOOKUP($R255,Capa!$A:$AJ,BG$5,0)),0,1/VLOOKUP($R255,Capa!$A:$AJ,BG$5,0))))</f>
        <v/>
      </c>
      <c r="BH255" s="174" t="str">
        <f>IF(BH$6="","",IF(BH$3="Maior",iferror(VLOOKUP($R255,Capa!$A:$AJ,BH$5,0),0),IF(ISERROR(1/VLOOKUP($R255,Capa!$A:$AJ,BH$5,0)),0,1/VLOOKUP($R255,Capa!$A:$AJ,BH$5,0))))</f>
        <v/>
      </c>
      <c r="BI255" s="174" t="str">
        <f>IF(BI$6="","",IF(BI$3="Maior",iferror(VLOOKUP($R255,Capa!$A:$AJ,BI$5,0),0),IF(ISERROR(1/VLOOKUP($R255,Capa!$A:$AJ,BI$5,0)),0,1/VLOOKUP($R255,Capa!$A:$AJ,BI$5,0))))</f>
        <v/>
      </c>
      <c r="BJ255" s="174" t="str">
        <f>IF(BJ$6="","",IF(BJ$3="Maior",iferror(VLOOKUP($R255,Capa!$A:$AJ,BJ$5,0),0),IF(ISERROR(1/VLOOKUP($R255,Capa!$A:$AJ,BJ$5,0)),0,1/VLOOKUP($R255,Capa!$A:$AJ,BJ$5,0))))</f>
        <v/>
      </c>
      <c r="BK255" s="174" t="str">
        <f>IF(BK$6="","",IF(BK$3="Maior",iferror(VLOOKUP($R255,Capa!$A:$AJ,BK$5,0),0),IF(ISERROR(1/VLOOKUP($R255,Capa!$A:$AJ,BK$5,0)),0,1/VLOOKUP($R255,Capa!$A:$AJ,BK$5,0))))</f>
        <v/>
      </c>
      <c r="BL255" s="174" t="str">
        <f>IF(BL$6="","",IF(BL$3="Maior",iferror(VLOOKUP($R255,Capa!$A:$AJ,BL$5,0),0),IF(ISERROR(1/VLOOKUP($R255,Capa!$A:$AJ,BL$5,0)),0,1/VLOOKUP($R255,Capa!$A:$AJ,BL$5,0))))</f>
        <v/>
      </c>
      <c r="BM255" s="174" t="str">
        <f>IF(BM$6="","",IF(BM$3="Maior",iferror(VLOOKUP($R255,Capa!$A:$AJ,BM$5,0),0),IF(ISERROR(1/VLOOKUP($R255,Capa!$A:$AJ,BM$5,0)),0,1/VLOOKUP($R255,Capa!$A:$AJ,BM$5,0))))</f>
        <v/>
      </c>
      <c r="BN255" s="174" t="str">
        <f>IF(BN$6="","",IF(BN$3="Maior",iferror(VLOOKUP($R255,Capa!$A:$AJ,BN$5,0),0),IF(ISERROR(1/VLOOKUP($R255,Capa!$A:$AJ,BN$5,0)),0,1/VLOOKUP($R255,Capa!$A:$AJ,BN$5,0))))</f>
        <v/>
      </c>
      <c r="BO255" s="174" t="str">
        <f>IF(BO$6="","",IF(BO$3="Maior",iferror(VLOOKUP($R255,Capa!$A:$AJ,BO$5,0),0),IF(ISERROR(1/VLOOKUP($R255,Capa!$A:$AJ,BO$5,0)),0,1/VLOOKUP($R255,Capa!$A:$AJ,BO$5,0))))</f>
        <v/>
      </c>
      <c r="BP255" s="174" t="str">
        <f>IF(BP$6="","",IF(BP$3="Maior",iferror(VLOOKUP($R255,Capa!$A:$AJ,BP$5,0),0),IF(ISERROR(1/VLOOKUP($R255,Capa!$A:$AJ,BP$5,0)),0,1/VLOOKUP($R255,Capa!$A:$AJ,BP$5,0))))</f>
        <v/>
      </c>
      <c r="BQ255" s="174" t="str">
        <f>IF(BQ$6="","",IF(BQ$3="Maior",iferror(VLOOKUP($R255,Capa!$A:$AJ,BQ$5,0),0),IF(ISERROR(1/VLOOKUP($R255,Capa!$A:$AJ,BQ$5,0)),0,1/VLOOKUP($R255,Capa!$A:$AJ,BQ$5,0))))</f>
        <v/>
      </c>
      <c r="BR255" s="175"/>
      <c r="BS255" s="147"/>
    </row>
    <row r="256">
      <c r="G256" s="11"/>
      <c r="H256" s="8">
        <v>250.0</v>
      </c>
      <c r="I256" s="165" t="str">
        <f t="shared" si="6"/>
        <v>OMGE3</v>
      </c>
      <c r="J256" s="166" t="str">
        <f>(VLOOKUP($I256,Capa!$A:$B,2,0))</f>
        <v/>
      </c>
      <c r="K256" s="167" t="str">
        <f>VLOOKUP(left(I256,4),Setor!A:D,3,0)&amp;" | "&amp;VLOOKUP(left(I256,4),Setor!A:D,4,0)</f>
        <v>Utilidade Pública | Energia Elétrica</v>
      </c>
      <c r="L256" s="168" t="str">
        <f>(VLOOKUP($I256,Capa!$A:$F,6,0))</f>
        <v/>
      </c>
      <c r="M256" s="168">
        <f t="shared" si="7"/>
        <v>0</v>
      </c>
      <c r="N256" s="11" t="str">
        <f>(VLOOKUP($I256,Capa!$A:$H,7,0))</f>
        <v/>
      </c>
      <c r="O256" s="169" t="str">
        <f>(VLOOKUP($I256,Capa!$A:$H,8,0))</f>
        <v/>
      </c>
      <c r="P256" s="11" t="str">
        <f>(VLOOKUP($I256,Capa!$A:$J,10,0))</f>
        <v/>
      </c>
      <c r="Q256" s="169" t="str">
        <f>(VLOOKUP($I256,Capa!$A:$K,11,0))</f>
        <v/>
      </c>
      <c r="R256" s="45" t="str">
        <f>'Dados StatusInvest'!A251</f>
        <v>ENMT4</v>
      </c>
      <c r="S256" s="170">
        <f t="shared" si="234"/>
        <v>1555.0555</v>
      </c>
      <c r="T256" s="171">
        <f>VLOOKUP(R256,'Dados StatusInvest'!A:Z,26,0)</f>
        <v>6732.17</v>
      </c>
      <c r="U256" s="172">
        <f t="shared" ref="U256:AS256" si="259">IF(AT256="","", RANK(AT256,AT$7:AT$626,0)+RANK(AT256,AT$7:AT$626,0)/10000)</f>
        <v>356.0356</v>
      </c>
      <c r="V256" s="172">
        <f t="shared" si="259"/>
        <v>199.0199</v>
      </c>
      <c r="W256" s="172" t="str">
        <f t="shared" si="259"/>
        <v/>
      </c>
      <c r="X256" s="172" t="str">
        <f t="shared" si="259"/>
        <v/>
      </c>
      <c r="Y256" s="172" t="str">
        <f t="shared" si="259"/>
        <v/>
      </c>
      <c r="Z256" s="172" t="str">
        <f t="shared" si="259"/>
        <v/>
      </c>
      <c r="AA256" s="172" t="str">
        <f t="shared" si="259"/>
        <v/>
      </c>
      <c r="AB256" s="172" t="str">
        <f t="shared" si="259"/>
        <v/>
      </c>
      <c r="AC256" s="172" t="str">
        <f t="shared" si="259"/>
        <v/>
      </c>
      <c r="AD256" s="172" t="str">
        <f t="shared" si="259"/>
        <v/>
      </c>
      <c r="AE256" s="172" t="str">
        <f t="shared" si="259"/>
        <v/>
      </c>
      <c r="AF256" s="172" t="str">
        <f t="shared" si="259"/>
        <v/>
      </c>
      <c r="AG256" s="172" t="str">
        <f t="shared" si="259"/>
        <v/>
      </c>
      <c r="AH256" s="172" t="str">
        <f t="shared" si="259"/>
        <v/>
      </c>
      <c r="AI256" s="172" t="str">
        <f t="shared" si="259"/>
        <v/>
      </c>
      <c r="AJ256" s="172" t="str">
        <f t="shared" si="259"/>
        <v/>
      </c>
      <c r="AK256" s="172" t="str">
        <f t="shared" si="259"/>
        <v/>
      </c>
      <c r="AL256" s="172" t="str">
        <f t="shared" si="259"/>
        <v/>
      </c>
      <c r="AM256" s="172" t="str">
        <f t="shared" si="259"/>
        <v/>
      </c>
      <c r="AN256" s="172" t="str">
        <f t="shared" si="259"/>
        <v/>
      </c>
      <c r="AO256" s="172" t="str">
        <f t="shared" si="259"/>
        <v/>
      </c>
      <c r="AP256" s="172" t="str">
        <f t="shared" si="259"/>
        <v/>
      </c>
      <c r="AQ256" s="172" t="str">
        <f t="shared" si="259"/>
        <v/>
      </c>
      <c r="AR256" s="172" t="str">
        <f t="shared" si="259"/>
        <v/>
      </c>
      <c r="AS256" s="172" t="str">
        <f t="shared" si="259"/>
        <v/>
      </c>
      <c r="AT256" s="173">
        <f>IF(AT$6="","",IF(AT$3="Maior",iferror(VLOOKUP($R256,Capa!$A:$AJ,AT$5,0),0),IF(ISERROR(1/VLOOKUP($R256,Capa!$A:$AJ,AT$5,0)),0,1/VLOOKUP($R256,Capa!$A:$AJ,AT$5,0))))</f>
        <v>-1.030927835</v>
      </c>
      <c r="AU256" s="174">
        <f>IF(AU$6="","",IF(AU$3="Maior",iferror(VLOOKUP($R256,Capa!$A:$AJ,AU$5,0),0),IF(ISERROR(1/VLOOKUP($R256,Capa!$A:$AJ,AU$5,0)),0,1/VLOOKUP($R256,Capa!$A:$AJ,AU$5,0))))</f>
        <v>10.97</v>
      </c>
      <c r="AV256" s="174" t="str">
        <f>IF(AV$6="","",IF(AV$3="Maior",iferror(VLOOKUP($R256,Capa!$A:$AJ,AV$5,0),0),IF(ISERROR(1/VLOOKUP($R256,Capa!$A:$AJ,AV$5,0)),0,1/VLOOKUP($R256,Capa!$A:$AJ,AV$5,0))))</f>
        <v/>
      </c>
      <c r="AW256" s="174" t="str">
        <f>IF(AW$6="","",IF(AW$3="Maior",iferror(VLOOKUP($R256,Capa!$A:$AJ,AW$5,0),0),IF(ISERROR(1/VLOOKUP($R256,Capa!$A:$AJ,AW$5,0)),0,1/VLOOKUP($R256,Capa!$A:$AJ,AW$5,0))))</f>
        <v/>
      </c>
      <c r="AX256" s="174" t="str">
        <f>IF(AX$6="","",IF(AX$3="Maior",iferror(VLOOKUP($R256,Capa!$A:$AJ,AX$5,0),0),IF(ISERROR(1/VLOOKUP($R256,Capa!$A:$AJ,AX$5,0)),0,1/VLOOKUP($R256,Capa!$A:$AJ,AX$5,0))))</f>
        <v/>
      </c>
      <c r="AY256" s="174" t="str">
        <f>IF(AY$6="","",IF(AY$3="Maior",iferror(VLOOKUP($R256,Capa!$A:$AJ,AY$5,0),0),IF(ISERROR(1/VLOOKUP($R256,Capa!$A:$AJ,AY$5,0)),0,1/VLOOKUP($R256,Capa!$A:$AJ,AY$5,0))))</f>
        <v/>
      </c>
      <c r="AZ256" s="174" t="str">
        <f>IF(AZ$6="","",IF(AZ$3="Maior",iferror(VLOOKUP($R256,Capa!$A:$AJ,AZ$5,0),0),IF(ISERROR(1/VLOOKUP($R256,Capa!$A:$AJ,AZ$5,0)),0,1/VLOOKUP($R256,Capa!$A:$AJ,AZ$5,0))))</f>
        <v/>
      </c>
      <c r="BA256" s="174" t="str">
        <f>IF(BA$6="","",IF(BA$3="Maior",iferror(VLOOKUP($R256,Capa!$A:$AJ,BA$5,0),0),IF(ISERROR(1/VLOOKUP($R256,Capa!$A:$AJ,BA$5,0)),0,1/VLOOKUP($R256,Capa!$A:$AJ,BA$5,0))))</f>
        <v/>
      </c>
      <c r="BB256" s="174" t="str">
        <f>IF(BB$6="","",IF(BB$3="Maior",iferror(VLOOKUP($R256,Capa!$A:$AJ,BB$5,0),0),IF(ISERROR(1/VLOOKUP($R256,Capa!$A:$AJ,BB$5,0)),0,1/VLOOKUP($R256,Capa!$A:$AJ,BB$5,0))))</f>
        <v/>
      </c>
      <c r="BC256" s="174" t="str">
        <f>IF(BC$6="","",IF(BC$3="Maior",iferror(VLOOKUP($R256,Capa!$A:$AJ,BC$5,0),0),IF(ISERROR(1/VLOOKUP($R256,Capa!$A:$AJ,BC$5,0)),0,1/VLOOKUP($R256,Capa!$A:$AJ,BC$5,0))))</f>
        <v/>
      </c>
      <c r="BD256" s="174" t="str">
        <f>IF(BD$6="","",IF(BD$3="Maior",iferror(VLOOKUP($R256,Capa!$A:$AJ,BD$5,0),0),IF(ISERROR(1/VLOOKUP($R256,Capa!$A:$AJ,BD$5,0)),0,1/VLOOKUP($R256,Capa!$A:$AJ,BD$5,0))))</f>
        <v/>
      </c>
      <c r="BE256" s="174" t="str">
        <f>IF(BE$6="","",IF(BE$3="Maior",iferror(VLOOKUP($R256,Capa!$A:$AJ,BE$5,0),0),IF(ISERROR(1/VLOOKUP($R256,Capa!$A:$AJ,BE$5,0)),0,1/VLOOKUP($R256,Capa!$A:$AJ,BE$5,0))))</f>
        <v/>
      </c>
      <c r="BF256" s="174" t="str">
        <f>IF(BF$6="","",IF(BF$3="Maior",iferror(VLOOKUP($R256,Capa!$A:$AJ,BF$5,0),0),IF(ISERROR(1/VLOOKUP($R256,Capa!$A:$AJ,BF$5,0)),0,1/VLOOKUP($R256,Capa!$A:$AJ,BF$5,0))))</f>
        <v/>
      </c>
      <c r="BG256" s="174" t="str">
        <f>IF(BG$6="","",IF(BG$3="Maior",iferror(VLOOKUP($R256,Capa!$A:$AJ,BG$5,0),0),IF(ISERROR(1/VLOOKUP($R256,Capa!$A:$AJ,BG$5,0)),0,1/VLOOKUP($R256,Capa!$A:$AJ,BG$5,0))))</f>
        <v/>
      </c>
      <c r="BH256" s="174" t="str">
        <f>IF(BH$6="","",IF(BH$3="Maior",iferror(VLOOKUP($R256,Capa!$A:$AJ,BH$5,0),0),IF(ISERROR(1/VLOOKUP($R256,Capa!$A:$AJ,BH$5,0)),0,1/VLOOKUP($R256,Capa!$A:$AJ,BH$5,0))))</f>
        <v/>
      </c>
      <c r="BI256" s="174" t="str">
        <f>IF(BI$6="","",IF(BI$3="Maior",iferror(VLOOKUP($R256,Capa!$A:$AJ,BI$5,0),0),IF(ISERROR(1/VLOOKUP($R256,Capa!$A:$AJ,BI$5,0)),0,1/VLOOKUP($R256,Capa!$A:$AJ,BI$5,0))))</f>
        <v/>
      </c>
      <c r="BJ256" s="174" t="str">
        <f>IF(BJ$6="","",IF(BJ$3="Maior",iferror(VLOOKUP($R256,Capa!$A:$AJ,BJ$5,0),0),IF(ISERROR(1/VLOOKUP($R256,Capa!$A:$AJ,BJ$5,0)),0,1/VLOOKUP($R256,Capa!$A:$AJ,BJ$5,0))))</f>
        <v/>
      </c>
      <c r="BK256" s="174" t="str">
        <f>IF(BK$6="","",IF(BK$3="Maior",iferror(VLOOKUP($R256,Capa!$A:$AJ,BK$5,0),0),IF(ISERROR(1/VLOOKUP($R256,Capa!$A:$AJ,BK$5,0)),0,1/VLOOKUP($R256,Capa!$A:$AJ,BK$5,0))))</f>
        <v/>
      </c>
      <c r="BL256" s="174" t="str">
        <f>IF(BL$6="","",IF(BL$3="Maior",iferror(VLOOKUP($R256,Capa!$A:$AJ,BL$5,0),0),IF(ISERROR(1/VLOOKUP($R256,Capa!$A:$AJ,BL$5,0)),0,1/VLOOKUP($R256,Capa!$A:$AJ,BL$5,0))))</f>
        <v/>
      </c>
      <c r="BM256" s="174" t="str">
        <f>IF(BM$6="","",IF(BM$3="Maior",iferror(VLOOKUP($R256,Capa!$A:$AJ,BM$5,0),0),IF(ISERROR(1/VLOOKUP($R256,Capa!$A:$AJ,BM$5,0)),0,1/VLOOKUP($R256,Capa!$A:$AJ,BM$5,0))))</f>
        <v/>
      </c>
      <c r="BN256" s="174" t="str">
        <f>IF(BN$6="","",IF(BN$3="Maior",iferror(VLOOKUP($R256,Capa!$A:$AJ,BN$5,0),0),IF(ISERROR(1/VLOOKUP($R256,Capa!$A:$AJ,BN$5,0)),0,1/VLOOKUP($R256,Capa!$A:$AJ,BN$5,0))))</f>
        <v/>
      </c>
      <c r="BO256" s="174" t="str">
        <f>IF(BO$6="","",IF(BO$3="Maior",iferror(VLOOKUP($R256,Capa!$A:$AJ,BO$5,0),0),IF(ISERROR(1/VLOOKUP($R256,Capa!$A:$AJ,BO$5,0)),0,1/VLOOKUP($R256,Capa!$A:$AJ,BO$5,0))))</f>
        <v/>
      </c>
      <c r="BP256" s="174" t="str">
        <f>IF(BP$6="","",IF(BP$3="Maior",iferror(VLOOKUP($R256,Capa!$A:$AJ,BP$5,0),0),IF(ISERROR(1/VLOOKUP($R256,Capa!$A:$AJ,BP$5,0)),0,1/VLOOKUP($R256,Capa!$A:$AJ,BP$5,0))))</f>
        <v/>
      </c>
      <c r="BQ256" s="174" t="str">
        <f>IF(BQ$6="","",IF(BQ$3="Maior",iferror(VLOOKUP($R256,Capa!$A:$AJ,BQ$5,0),0),IF(ISERROR(1/VLOOKUP($R256,Capa!$A:$AJ,BQ$5,0)),0,1/VLOOKUP($R256,Capa!$A:$AJ,BQ$5,0))))</f>
        <v/>
      </c>
      <c r="BR256" s="175"/>
      <c r="BS256" s="147"/>
    </row>
    <row r="257">
      <c r="G257" s="11"/>
      <c r="H257" s="8">
        <v>251.0</v>
      </c>
      <c r="I257" s="165" t="str">
        <f t="shared" si="6"/>
        <v>CPRE3</v>
      </c>
      <c r="J257" s="166" t="str">
        <f>(VLOOKUP($I257,Capa!$A:$B,2,0))</f>
        <v/>
      </c>
      <c r="K257" s="167" t="str">
        <f>VLOOKUP(left(I257,4),Setor!A:D,3,0)&amp;" | "&amp;VLOOKUP(left(I257,4),Setor!A:D,4,0)</f>
        <v>Utilidade Pública | Energia Elétrica</v>
      </c>
      <c r="L257" s="168" t="str">
        <f>(VLOOKUP($I257,Capa!$A:$F,6,0))</f>
        <v/>
      </c>
      <c r="M257" s="168">
        <f t="shared" si="7"/>
        <v>0</v>
      </c>
      <c r="N257" s="11" t="str">
        <f>(VLOOKUP($I257,Capa!$A:$H,7,0))</f>
        <v/>
      </c>
      <c r="O257" s="169" t="str">
        <f>(VLOOKUP($I257,Capa!$A:$H,8,0))</f>
        <v/>
      </c>
      <c r="P257" s="11" t="str">
        <f>(VLOOKUP($I257,Capa!$A:$J,10,0))</f>
        <v/>
      </c>
      <c r="Q257" s="169" t="str">
        <f>(VLOOKUP($I257,Capa!$A:$K,11,0))</f>
        <v/>
      </c>
      <c r="R257" s="45" t="str">
        <f>'Dados StatusInvest'!A252</f>
        <v>EPAR3</v>
      </c>
      <c r="S257" s="170">
        <f t="shared" si="234"/>
        <v>1878.0878</v>
      </c>
      <c r="T257" s="171">
        <f>VLOOKUP(R257,'Dados StatusInvest'!A:Z,26,0)</f>
        <v>58412.43</v>
      </c>
      <c r="U257" s="172">
        <f t="shared" ref="U257:AS257" si="260">IF(AT257="","", RANK(AT257,AT$7:AT$626,0)+RANK(AT257,AT$7:AT$626,0)/10000)</f>
        <v>310.031</v>
      </c>
      <c r="V257" s="172">
        <f t="shared" si="260"/>
        <v>568.0568</v>
      </c>
      <c r="W257" s="172" t="str">
        <f t="shared" si="260"/>
        <v/>
      </c>
      <c r="X257" s="172" t="str">
        <f t="shared" si="260"/>
        <v/>
      </c>
      <c r="Y257" s="172" t="str">
        <f t="shared" si="260"/>
        <v/>
      </c>
      <c r="Z257" s="172" t="str">
        <f t="shared" si="260"/>
        <v/>
      </c>
      <c r="AA257" s="172" t="str">
        <f t="shared" si="260"/>
        <v/>
      </c>
      <c r="AB257" s="172" t="str">
        <f t="shared" si="260"/>
        <v/>
      </c>
      <c r="AC257" s="172" t="str">
        <f t="shared" si="260"/>
        <v/>
      </c>
      <c r="AD257" s="172" t="str">
        <f t="shared" si="260"/>
        <v/>
      </c>
      <c r="AE257" s="172" t="str">
        <f t="shared" si="260"/>
        <v/>
      </c>
      <c r="AF257" s="172" t="str">
        <f t="shared" si="260"/>
        <v/>
      </c>
      <c r="AG257" s="172" t="str">
        <f t="shared" si="260"/>
        <v/>
      </c>
      <c r="AH257" s="172" t="str">
        <f t="shared" si="260"/>
        <v/>
      </c>
      <c r="AI257" s="172" t="str">
        <f t="shared" si="260"/>
        <v/>
      </c>
      <c r="AJ257" s="172" t="str">
        <f t="shared" si="260"/>
        <v/>
      </c>
      <c r="AK257" s="172" t="str">
        <f t="shared" si="260"/>
        <v/>
      </c>
      <c r="AL257" s="172" t="str">
        <f t="shared" si="260"/>
        <v/>
      </c>
      <c r="AM257" s="172" t="str">
        <f t="shared" si="260"/>
        <v/>
      </c>
      <c r="AN257" s="172" t="str">
        <f t="shared" si="260"/>
        <v/>
      </c>
      <c r="AO257" s="172" t="str">
        <f t="shared" si="260"/>
        <v/>
      </c>
      <c r="AP257" s="172" t="str">
        <f t="shared" si="260"/>
        <v/>
      </c>
      <c r="AQ257" s="172" t="str">
        <f t="shared" si="260"/>
        <v/>
      </c>
      <c r="AR257" s="172" t="str">
        <f t="shared" si="260"/>
        <v/>
      </c>
      <c r="AS257" s="172" t="str">
        <f t="shared" si="260"/>
        <v/>
      </c>
      <c r="AT257" s="173">
        <f>IF(AT$6="","",IF(AT$3="Maior",iferror(VLOOKUP($R257,Capa!$A:$AJ,AT$5,0),0),IF(ISERROR(1/VLOOKUP($R257,Capa!$A:$AJ,AT$5,0)),0,1/VLOOKUP($R257,Capa!$A:$AJ,AT$5,0))))</f>
        <v>-0.752592837</v>
      </c>
      <c r="AU257" s="174">
        <f>IF(AU$6="","",IF(AU$3="Maior",iferror(VLOOKUP($R257,Capa!$A:$AJ,AU$5,0),0),IF(ISERROR(1/VLOOKUP($R257,Capa!$A:$AJ,AU$5,0)),0,1/VLOOKUP($R257,Capa!$A:$AJ,AU$5,0))))</f>
        <v>-9.58</v>
      </c>
      <c r="AV257" s="174" t="str">
        <f>IF(AV$6="","",IF(AV$3="Maior",iferror(VLOOKUP($R257,Capa!$A:$AJ,AV$5,0),0),IF(ISERROR(1/VLOOKUP($R257,Capa!$A:$AJ,AV$5,0)),0,1/VLOOKUP($R257,Capa!$A:$AJ,AV$5,0))))</f>
        <v/>
      </c>
      <c r="AW257" s="174" t="str">
        <f>IF(AW$6="","",IF(AW$3="Maior",iferror(VLOOKUP($R257,Capa!$A:$AJ,AW$5,0),0),IF(ISERROR(1/VLOOKUP($R257,Capa!$A:$AJ,AW$5,0)),0,1/VLOOKUP($R257,Capa!$A:$AJ,AW$5,0))))</f>
        <v/>
      </c>
      <c r="AX257" s="174" t="str">
        <f>IF(AX$6="","",IF(AX$3="Maior",iferror(VLOOKUP($R257,Capa!$A:$AJ,AX$5,0),0),IF(ISERROR(1/VLOOKUP($R257,Capa!$A:$AJ,AX$5,0)),0,1/VLOOKUP($R257,Capa!$A:$AJ,AX$5,0))))</f>
        <v/>
      </c>
      <c r="AY257" s="174" t="str">
        <f>IF(AY$6="","",IF(AY$3="Maior",iferror(VLOOKUP($R257,Capa!$A:$AJ,AY$5,0),0),IF(ISERROR(1/VLOOKUP($R257,Capa!$A:$AJ,AY$5,0)),0,1/VLOOKUP($R257,Capa!$A:$AJ,AY$5,0))))</f>
        <v/>
      </c>
      <c r="AZ257" s="174" t="str">
        <f>IF(AZ$6="","",IF(AZ$3="Maior",iferror(VLOOKUP($R257,Capa!$A:$AJ,AZ$5,0),0),IF(ISERROR(1/VLOOKUP($R257,Capa!$A:$AJ,AZ$5,0)),0,1/VLOOKUP($R257,Capa!$A:$AJ,AZ$5,0))))</f>
        <v/>
      </c>
      <c r="BA257" s="174" t="str">
        <f>IF(BA$6="","",IF(BA$3="Maior",iferror(VLOOKUP($R257,Capa!$A:$AJ,BA$5,0),0),IF(ISERROR(1/VLOOKUP($R257,Capa!$A:$AJ,BA$5,0)),0,1/VLOOKUP($R257,Capa!$A:$AJ,BA$5,0))))</f>
        <v/>
      </c>
      <c r="BB257" s="174" t="str">
        <f>IF(BB$6="","",IF(BB$3="Maior",iferror(VLOOKUP($R257,Capa!$A:$AJ,BB$5,0),0),IF(ISERROR(1/VLOOKUP($R257,Capa!$A:$AJ,BB$5,0)),0,1/VLOOKUP($R257,Capa!$A:$AJ,BB$5,0))))</f>
        <v/>
      </c>
      <c r="BC257" s="174" t="str">
        <f>IF(BC$6="","",IF(BC$3="Maior",iferror(VLOOKUP($R257,Capa!$A:$AJ,BC$5,0),0),IF(ISERROR(1/VLOOKUP($R257,Capa!$A:$AJ,BC$5,0)),0,1/VLOOKUP($R257,Capa!$A:$AJ,BC$5,0))))</f>
        <v/>
      </c>
      <c r="BD257" s="174" t="str">
        <f>IF(BD$6="","",IF(BD$3="Maior",iferror(VLOOKUP($R257,Capa!$A:$AJ,BD$5,0),0),IF(ISERROR(1/VLOOKUP($R257,Capa!$A:$AJ,BD$5,0)),0,1/VLOOKUP($R257,Capa!$A:$AJ,BD$5,0))))</f>
        <v/>
      </c>
      <c r="BE257" s="174" t="str">
        <f>IF(BE$6="","",IF(BE$3="Maior",iferror(VLOOKUP($R257,Capa!$A:$AJ,BE$5,0),0),IF(ISERROR(1/VLOOKUP($R257,Capa!$A:$AJ,BE$5,0)),0,1/VLOOKUP($R257,Capa!$A:$AJ,BE$5,0))))</f>
        <v/>
      </c>
      <c r="BF257" s="174" t="str">
        <f>IF(BF$6="","",IF(BF$3="Maior",iferror(VLOOKUP($R257,Capa!$A:$AJ,BF$5,0),0),IF(ISERROR(1/VLOOKUP($R257,Capa!$A:$AJ,BF$5,0)),0,1/VLOOKUP($R257,Capa!$A:$AJ,BF$5,0))))</f>
        <v/>
      </c>
      <c r="BG257" s="174" t="str">
        <f>IF(BG$6="","",IF(BG$3="Maior",iferror(VLOOKUP($R257,Capa!$A:$AJ,BG$5,0),0),IF(ISERROR(1/VLOOKUP($R257,Capa!$A:$AJ,BG$5,0)),0,1/VLOOKUP($R257,Capa!$A:$AJ,BG$5,0))))</f>
        <v/>
      </c>
      <c r="BH257" s="174" t="str">
        <f>IF(BH$6="","",IF(BH$3="Maior",iferror(VLOOKUP($R257,Capa!$A:$AJ,BH$5,0),0),IF(ISERROR(1/VLOOKUP($R257,Capa!$A:$AJ,BH$5,0)),0,1/VLOOKUP($R257,Capa!$A:$AJ,BH$5,0))))</f>
        <v/>
      </c>
      <c r="BI257" s="174" t="str">
        <f>IF(BI$6="","",IF(BI$3="Maior",iferror(VLOOKUP($R257,Capa!$A:$AJ,BI$5,0),0),IF(ISERROR(1/VLOOKUP($R257,Capa!$A:$AJ,BI$5,0)),0,1/VLOOKUP($R257,Capa!$A:$AJ,BI$5,0))))</f>
        <v/>
      </c>
      <c r="BJ257" s="174" t="str">
        <f>IF(BJ$6="","",IF(BJ$3="Maior",iferror(VLOOKUP($R257,Capa!$A:$AJ,BJ$5,0),0),IF(ISERROR(1/VLOOKUP($R257,Capa!$A:$AJ,BJ$5,0)),0,1/VLOOKUP($R257,Capa!$A:$AJ,BJ$5,0))))</f>
        <v/>
      </c>
      <c r="BK257" s="174" t="str">
        <f>IF(BK$6="","",IF(BK$3="Maior",iferror(VLOOKUP($R257,Capa!$A:$AJ,BK$5,0),0),IF(ISERROR(1/VLOOKUP($R257,Capa!$A:$AJ,BK$5,0)),0,1/VLOOKUP($R257,Capa!$A:$AJ,BK$5,0))))</f>
        <v/>
      </c>
      <c r="BL257" s="174" t="str">
        <f>IF(BL$6="","",IF(BL$3="Maior",iferror(VLOOKUP($R257,Capa!$A:$AJ,BL$5,0),0),IF(ISERROR(1/VLOOKUP($R257,Capa!$A:$AJ,BL$5,0)),0,1/VLOOKUP($R257,Capa!$A:$AJ,BL$5,0))))</f>
        <v/>
      </c>
      <c r="BM257" s="174" t="str">
        <f>IF(BM$6="","",IF(BM$3="Maior",iferror(VLOOKUP($R257,Capa!$A:$AJ,BM$5,0),0),IF(ISERROR(1/VLOOKUP($R257,Capa!$A:$AJ,BM$5,0)),0,1/VLOOKUP($R257,Capa!$A:$AJ,BM$5,0))))</f>
        <v/>
      </c>
      <c r="BN257" s="174" t="str">
        <f>IF(BN$6="","",IF(BN$3="Maior",iferror(VLOOKUP($R257,Capa!$A:$AJ,BN$5,0),0),IF(ISERROR(1/VLOOKUP($R257,Capa!$A:$AJ,BN$5,0)),0,1/VLOOKUP($R257,Capa!$A:$AJ,BN$5,0))))</f>
        <v/>
      </c>
      <c r="BO257" s="174" t="str">
        <f>IF(BO$6="","",IF(BO$3="Maior",iferror(VLOOKUP($R257,Capa!$A:$AJ,BO$5,0),0),IF(ISERROR(1/VLOOKUP($R257,Capa!$A:$AJ,BO$5,0)),0,1/VLOOKUP($R257,Capa!$A:$AJ,BO$5,0))))</f>
        <v/>
      </c>
      <c r="BP257" s="174" t="str">
        <f>IF(BP$6="","",IF(BP$3="Maior",iferror(VLOOKUP($R257,Capa!$A:$AJ,BP$5,0),0),IF(ISERROR(1/VLOOKUP($R257,Capa!$A:$AJ,BP$5,0)),0,1/VLOOKUP($R257,Capa!$A:$AJ,BP$5,0))))</f>
        <v/>
      </c>
      <c r="BQ257" s="174" t="str">
        <f>IF(BQ$6="","",IF(BQ$3="Maior",iferror(VLOOKUP($R257,Capa!$A:$AJ,BQ$5,0),0),IF(ISERROR(1/VLOOKUP($R257,Capa!$A:$AJ,BQ$5,0)),0,1/VLOOKUP($R257,Capa!$A:$AJ,BQ$5,0))))</f>
        <v/>
      </c>
      <c r="BR257" s="175"/>
      <c r="BS257" s="147"/>
    </row>
    <row r="258">
      <c r="G258" s="11"/>
      <c r="H258" s="8">
        <v>252.0</v>
      </c>
      <c r="I258" s="165" t="str">
        <f t="shared" si="6"/>
        <v>CASN3</v>
      </c>
      <c r="J258" s="166" t="str">
        <f>(VLOOKUP($I258,Capa!$A:$B,2,0))</f>
        <v>Companhia Catarinense d Ags e Smnt CASAN</v>
      </c>
      <c r="K258" s="167" t="str">
        <f>VLOOKUP(left(I258,4),Setor!A:D,3,0)&amp;" | "&amp;VLOOKUP(left(I258,4),Setor!A:D,4,0)</f>
        <v>Utilidade Pública | Água e Saneamento</v>
      </c>
      <c r="L258" s="168">
        <f>(VLOOKUP($I258,Capa!$A:$F,6,0))</f>
        <v>9.3</v>
      </c>
      <c r="M258" s="168">
        <f t="shared" si="7"/>
        <v>0</v>
      </c>
      <c r="N258" s="11" t="str">
        <f>IFERROR(__xludf.DUMMYFUNCTION("(VLOOKUP($I258,Capa!$A:$H,7,0))"),"")</f>
        <v/>
      </c>
      <c r="O258" s="169" t="str">
        <f>(VLOOKUP($I258,Capa!$A:$H,8,0))</f>
        <v/>
      </c>
      <c r="P258" s="11" t="str">
        <f>IFERROR(__xludf.DUMMYFUNCTION("(VLOOKUP($I258,Capa!$A:$J,10,0))"),"")</f>
        <v/>
      </c>
      <c r="Q258" s="169" t="str">
        <f>(VLOOKUP($I258,Capa!$A:$K,11,0))</f>
        <v/>
      </c>
      <c r="R258" s="45" t="str">
        <f>'Dados StatusInvest'!A253</f>
        <v>EQPA3</v>
      </c>
      <c r="S258" s="170">
        <f t="shared" si="234"/>
        <v>1417.0417</v>
      </c>
      <c r="T258" s="171">
        <f>VLOOKUP(R258,'Dados StatusInvest'!A:Z,26,0)</f>
        <v>35633.86</v>
      </c>
      <c r="U258" s="172">
        <f t="shared" ref="U258:AS258" si="261">IF(AT258="","", RANK(AT258,AT$7:AT$626,0)+RANK(AT258,AT$7:AT$626,0)/10000)</f>
        <v>325.0325</v>
      </c>
      <c r="V258" s="172">
        <f t="shared" si="261"/>
        <v>92.0092</v>
      </c>
      <c r="W258" s="172" t="str">
        <f t="shared" si="261"/>
        <v/>
      </c>
      <c r="X258" s="172" t="str">
        <f t="shared" si="261"/>
        <v/>
      </c>
      <c r="Y258" s="172" t="str">
        <f t="shared" si="261"/>
        <v/>
      </c>
      <c r="Z258" s="172" t="str">
        <f t="shared" si="261"/>
        <v/>
      </c>
      <c r="AA258" s="172" t="str">
        <f t="shared" si="261"/>
        <v/>
      </c>
      <c r="AB258" s="172" t="str">
        <f t="shared" si="261"/>
        <v/>
      </c>
      <c r="AC258" s="172" t="str">
        <f t="shared" si="261"/>
        <v/>
      </c>
      <c r="AD258" s="172" t="str">
        <f t="shared" si="261"/>
        <v/>
      </c>
      <c r="AE258" s="172" t="str">
        <f t="shared" si="261"/>
        <v/>
      </c>
      <c r="AF258" s="172" t="str">
        <f t="shared" si="261"/>
        <v/>
      </c>
      <c r="AG258" s="172" t="str">
        <f t="shared" si="261"/>
        <v/>
      </c>
      <c r="AH258" s="172" t="str">
        <f t="shared" si="261"/>
        <v/>
      </c>
      <c r="AI258" s="172" t="str">
        <f t="shared" si="261"/>
        <v/>
      </c>
      <c r="AJ258" s="172" t="str">
        <f t="shared" si="261"/>
        <v/>
      </c>
      <c r="AK258" s="172" t="str">
        <f t="shared" si="261"/>
        <v/>
      </c>
      <c r="AL258" s="172" t="str">
        <f t="shared" si="261"/>
        <v/>
      </c>
      <c r="AM258" s="172" t="str">
        <f t="shared" si="261"/>
        <v/>
      </c>
      <c r="AN258" s="172" t="str">
        <f t="shared" si="261"/>
        <v/>
      </c>
      <c r="AO258" s="172" t="str">
        <f t="shared" si="261"/>
        <v/>
      </c>
      <c r="AP258" s="172" t="str">
        <f t="shared" si="261"/>
        <v/>
      </c>
      <c r="AQ258" s="172" t="str">
        <f t="shared" si="261"/>
        <v/>
      </c>
      <c r="AR258" s="172" t="str">
        <f t="shared" si="261"/>
        <v/>
      </c>
      <c r="AS258" s="172" t="str">
        <f t="shared" si="261"/>
        <v/>
      </c>
      <c r="AT258" s="173">
        <f>IF(AT$6="","",IF(AT$3="Maior",iferror(VLOOKUP($R258,Capa!$A:$AJ,AT$5,0),0),IF(ISERROR(1/VLOOKUP($R258,Capa!$A:$AJ,AT$5,0)),0,1/VLOOKUP($R258,Capa!$A:$AJ,AT$5,0))))</f>
        <v>-0.842519685</v>
      </c>
      <c r="AU258" s="174">
        <f>IF(AU$6="","",IF(AU$3="Maior",iferror(VLOOKUP($R258,Capa!$A:$AJ,AU$5,0),0),IF(ISERROR(1/VLOOKUP($R258,Capa!$A:$AJ,AU$5,0)),0,1/VLOOKUP($R258,Capa!$A:$AJ,AU$5,0))))</f>
        <v>28.57</v>
      </c>
      <c r="AV258" s="174" t="str">
        <f>IF(AV$6="","",IF(AV$3="Maior",iferror(VLOOKUP($R258,Capa!$A:$AJ,AV$5,0),0),IF(ISERROR(1/VLOOKUP($R258,Capa!$A:$AJ,AV$5,0)),0,1/VLOOKUP($R258,Capa!$A:$AJ,AV$5,0))))</f>
        <v/>
      </c>
      <c r="AW258" s="174" t="str">
        <f>IF(AW$6="","",IF(AW$3="Maior",iferror(VLOOKUP($R258,Capa!$A:$AJ,AW$5,0),0),IF(ISERROR(1/VLOOKUP($R258,Capa!$A:$AJ,AW$5,0)),0,1/VLOOKUP($R258,Capa!$A:$AJ,AW$5,0))))</f>
        <v/>
      </c>
      <c r="AX258" s="174" t="str">
        <f>IF(AX$6="","",IF(AX$3="Maior",iferror(VLOOKUP($R258,Capa!$A:$AJ,AX$5,0),0),IF(ISERROR(1/VLOOKUP($R258,Capa!$A:$AJ,AX$5,0)),0,1/VLOOKUP($R258,Capa!$A:$AJ,AX$5,0))))</f>
        <v/>
      </c>
      <c r="AY258" s="174" t="str">
        <f>IF(AY$6="","",IF(AY$3="Maior",iferror(VLOOKUP($R258,Capa!$A:$AJ,AY$5,0),0),IF(ISERROR(1/VLOOKUP($R258,Capa!$A:$AJ,AY$5,0)),0,1/VLOOKUP($R258,Capa!$A:$AJ,AY$5,0))))</f>
        <v/>
      </c>
      <c r="AZ258" s="174" t="str">
        <f>IF(AZ$6="","",IF(AZ$3="Maior",iferror(VLOOKUP($R258,Capa!$A:$AJ,AZ$5,0),0),IF(ISERROR(1/VLOOKUP($R258,Capa!$A:$AJ,AZ$5,0)),0,1/VLOOKUP($R258,Capa!$A:$AJ,AZ$5,0))))</f>
        <v/>
      </c>
      <c r="BA258" s="174" t="str">
        <f>IF(BA$6="","",IF(BA$3="Maior",iferror(VLOOKUP($R258,Capa!$A:$AJ,BA$5,0),0),IF(ISERROR(1/VLOOKUP($R258,Capa!$A:$AJ,BA$5,0)),0,1/VLOOKUP($R258,Capa!$A:$AJ,BA$5,0))))</f>
        <v/>
      </c>
      <c r="BB258" s="174" t="str">
        <f>IF(BB$6="","",IF(BB$3="Maior",iferror(VLOOKUP($R258,Capa!$A:$AJ,BB$5,0),0),IF(ISERROR(1/VLOOKUP($R258,Capa!$A:$AJ,BB$5,0)),0,1/VLOOKUP($R258,Capa!$A:$AJ,BB$5,0))))</f>
        <v/>
      </c>
      <c r="BC258" s="174" t="str">
        <f>IF(BC$6="","",IF(BC$3="Maior",iferror(VLOOKUP($R258,Capa!$A:$AJ,BC$5,0),0),IF(ISERROR(1/VLOOKUP($R258,Capa!$A:$AJ,BC$5,0)),0,1/VLOOKUP($R258,Capa!$A:$AJ,BC$5,0))))</f>
        <v/>
      </c>
      <c r="BD258" s="174" t="str">
        <f>IF(BD$6="","",IF(BD$3="Maior",iferror(VLOOKUP($R258,Capa!$A:$AJ,BD$5,0),0),IF(ISERROR(1/VLOOKUP($R258,Capa!$A:$AJ,BD$5,0)),0,1/VLOOKUP($R258,Capa!$A:$AJ,BD$5,0))))</f>
        <v/>
      </c>
      <c r="BE258" s="174" t="str">
        <f>IF(BE$6="","",IF(BE$3="Maior",iferror(VLOOKUP($R258,Capa!$A:$AJ,BE$5,0),0),IF(ISERROR(1/VLOOKUP($R258,Capa!$A:$AJ,BE$5,0)),0,1/VLOOKUP($R258,Capa!$A:$AJ,BE$5,0))))</f>
        <v/>
      </c>
      <c r="BF258" s="174" t="str">
        <f>IF(BF$6="","",IF(BF$3="Maior",iferror(VLOOKUP($R258,Capa!$A:$AJ,BF$5,0),0),IF(ISERROR(1/VLOOKUP($R258,Capa!$A:$AJ,BF$5,0)),0,1/VLOOKUP($R258,Capa!$A:$AJ,BF$5,0))))</f>
        <v/>
      </c>
      <c r="BG258" s="174" t="str">
        <f>IF(BG$6="","",IF(BG$3="Maior",iferror(VLOOKUP($R258,Capa!$A:$AJ,BG$5,0),0),IF(ISERROR(1/VLOOKUP($R258,Capa!$A:$AJ,BG$5,0)),0,1/VLOOKUP($R258,Capa!$A:$AJ,BG$5,0))))</f>
        <v/>
      </c>
      <c r="BH258" s="174" t="str">
        <f>IF(BH$6="","",IF(BH$3="Maior",iferror(VLOOKUP($R258,Capa!$A:$AJ,BH$5,0),0),IF(ISERROR(1/VLOOKUP($R258,Capa!$A:$AJ,BH$5,0)),0,1/VLOOKUP($R258,Capa!$A:$AJ,BH$5,0))))</f>
        <v/>
      </c>
      <c r="BI258" s="174" t="str">
        <f>IF(BI$6="","",IF(BI$3="Maior",iferror(VLOOKUP($R258,Capa!$A:$AJ,BI$5,0),0),IF(ISERROR(1/VLOOKUP($R258,Capa!$A:$AJ,BI$5,0)),0,1/VLOOKUP($R258,Capa!$A:$AJ,BI$5,0))))</f>
        <v/>
      </c>
      <c r="BJ258" s="174" t="str">
        <f>IF(BJ$6="","",IF(BJ$3="Maior",iferror(VLOOKUP($R258,Capa!$A:$AJ,BJ$5,0),0),IF(ISERROR(1/VLOOKUP($R258,Capa!$A:$AJ,BJ$5,0)),0,1/VLOOKUP($R258,Capa!$A:$AJ,BJ$5,0))))</f>
        <v/>
      </c>
      <c r="BK258" s="174" t="str">
        <f>IF(BK$6="","",IF(BK$3="Maior",iferror(VLOOKUP($R258,Capa!$A:$AJ,BK$5,0),0),IF(ISERROR(1/VLOOKUP($R258,Capa!$A:$AJ,BK$5,0)),0,1/VLOOKUP($R258,Capa!$A:$AJ,BK$5,0))))</f>
        <v/>
      </c>
      <c r="BL258" s="174" t="str">
        <f>IF(BL$6="","",IF(BL$3="Maior",iferror(VLOOKUP($R258,Capa!$A:$AJ,BL$5,0),0),IF(ISERROR(1/VLOOKUP($R258,Capa!$A:$AJ,BL$5,0)),0,1/VLOOKUP($R258,Capa!$A:$AJ,BL$5,0))))</f>
        <v/>
      </c>
      <c r="BM258" s="174" t="str">
        <f>IF(BM$6="","",IF(BM$3="Maior",iferror(VLOOKUP($R258,Capa!$A:$AJ,BM$5,0),0),IF(ISERROR(1/VLOOKUP($R258,Capa!$A:$AJ,BM$5,0)),0,1/VLOOKUP($R258,Capa!$A:$AJ,BM$5,0))))</f>
        <v/>
      </c>
      <c r="BN258" s="174" t="str">
        <f>IF(BN$6="","",IF(BN$3="Maior",iferror(VLOOKUP($R258,Capa!$A:$AJ,BN$5,0),0),IF(ISERROR(1/VLOOKUP($R258,Capa!$A:$AJ,BN$5,0)),0,1/VLOOKUP($R258,Capa!$A:$AJ,BN$5,0))))</f>
        <v/>
      </c>
      <c r="BO258" s="174" t="str">
        <f>IF(BO$6="","",IF(BO$3="Maior",iferror(VLOOKUP($R258,Capa!$A:$AJ,BO$5,0),0),IF(ISERROR(1/VLOOKUP($R258,Capa!$A:$AJ,BO$5,0)),0,1/VLOOKUP($R258,Capa!$A:$AJ,BO$5,0))))</f>
        <v/>
      </c>
      <c r="BP258" s="174" t="str">
        <f>IF(BP$6="","",IF(BP$3="Maior",iferror(VLOOKUP($R258,Capa!$A:$AJ,BP$5,0),0),IF(ISERROR(1/VLOOKUP($R258,Capa!$A:$AJ,BP$5,0)),0,1/VLOOKUP($R258,Capa!$A:$AJ,BP$5,0))))</f>
        <v/>
      </c>
      <c r="BQ258" s="174" t="str">
        <f>IF(BQ$6="","",IF(BQ$3="Maior",iferror(VLOOKUP($R258,Capa!$A:$AJ,BQ$5,0),0),IF(ISERROR(1/VLOOKUP($R258,Capa!$A:$AJ,BQ$5,0)),0,1/VLOOKUP($R258,Capa!$A:$AJ,BQ$5,0))))</f>
        <v/>
      </c>
      <c r="BR258" s="175"/>
      <c r="BS258" s="147"/>
    </row>
    <row r="259">
      <c r="G259" s="11"/>
      <c r="H259" s="8">
        <v>253.0</v>
      </c>
      <c r="I259" s="165" t="str">
        <f t="shared" si="6"/>
        <v>RSUL3</v>
      </c>
      <c r="J259" s="166" t="str">
        <f>(VLOOKUP($I259,Capa!$A:$B,2,0))</f>
        <v>Metalurgica Riosulense SA</v>
      </c>
      <c r="K259" s="167" t="str">
        <f>VLOOKUP(left(I259,4),Setor!A:D,3,0)&amp;" | "&amp;VLOOKUP(left(I259,4),Setor!A:D,4,0)</f>
        <v>Bens Industriais | Material de Transporte</v>
      </c>
      <c r="L259" s="168">
        <f>(VLOOKUP($I259,Capa!$A:$F,6,0))</f>
        <v>0</v>
      </c>
      <c r="M259" s="168">
        <f t="shared" si="7"/>
        <v>0</v>
      </c>
      <c r="N259" s="11" t="str">
        <f>(VLOOKUP($I259,Capa!$A:$H,7,0))</f>
        <v/>
      </c>
      <c r="O259" s="169" t="str">
        <f>(VLOOKUP($I259,Capa!$A:$H,8,0))</f>
        <v/>
      </c>
      <c r="P259" s="11" t="str">
        <f>(VLOOKUP($I259,Capa!$A:$J,10,0))</f>
        <v/>
      </c>
      <c r="Q259" s="169" t="str">
        <f>(VLOOKUP($I259,Capa!$A:$K,11,0))</f>
        <v/>
      </c>
      <c r="R259" s="45" t="str">
        <f>'Dados StatusInvest'!A254</f>
        <v>EQPA5</v>
      </c>
      <c r="S259" s="170">
        <f t="shared" si="234"/>
        <v>1351.0351</v>
      </c>
      <c r="T259" s="171">
        <f>VLOOKUP(R259,'Dados StatusInvest'!A:Z,26,0)</f>
        <v>466</v>
      </c>
      <c r="U259" s="172">
        <f t="shared" ref="U259:AS259" si="262">IF(AT259="","", RANK(AT259,AT$7:AT$626,0)+RANK(AT259,AT$7:AT$626,0)/10000)</f>
        <v>259.0259</v>
      </c>
      <c r="V259" s="172">
        <f t="shared" si="262"/>
        <v>92.0092</v>
      </c>
      <c r="W259" s="172" t="str">
        <f t="shared" si="262"/>
        <v/>
      </c>
      <c r="X259" s="172" t="str">
        <f t="shared" si="262"/>
        <v/>
      </c>
      <c r="Y259" s="172" t="str">
        <f t="shared" si="262"/>
        <v/>
      </c>
      <c r="Z259" s="172" t="str">
        <f t="shared" si="262"/>
        <v/>
      </c>
      <c r="AA259" s="172" t="str">
        <f t="shared" si="262"/>
        <v/>
      </c>
      <c r="AB259" s="172" t="str">
        <f t="shared" si="262"/>
        <v/>
      </c>
      <c r="AC259" s="172" t="str">
        <f t="shared" si="262"/>
        <v/>
      </c>
      <c r="AD259" s="172" t="str">
        <f t="shared" si="262"/>
        <v/>
      </c>
      <c r="AE259" s="172" t="str">
        <f t="shared" si="262"/>
        <v/>
      </c>
      <c r="AF259" s="172" t="str">
        <f t="shared" si="262"/>
        <v/>
      </c>
      <c r="AG259" s="172" t="str">
        <f t="shared" si="262"/>
        <v/>
      </c>
      <c r="AH259" s="172" t="str">
        <f t="shared" si="262"/>
        <v/>
      </c>
      <c r="AI259" s="172" t="str">
        <f t="shared" si="262"/>
        <v/>
      </c>
      <c r="AJ259" s="172" t="str">
        <f t="shared" si="262"/>
        <v/>
      </c>
      <c r="AK259" s="172" t="str">
        <f t="shared" si="262"/>
        <v/>
      </c>
      <c r="AL259" s="172" t="str">
        <f t="shared" si="262"/>
        <v/>
      </c>
      <c r="AM259" s="172" t="str">
        <f t="shared" si="262"/>
        <v/>
      </c>
      <c r="AN259" s="172" t="str">
        <f t="shared" si="262"/>
        <v/>
      </c>
      <c r="AO259" s="172" t="str">
        <f t="shared" si="262"/>
        <v/>
      </c>
      <c r="AP259" s="172" t="str">
        <f t="shared" si="262"/>
        <v/>
      </c>
      <c r="AQ259" s="172" t="str">
        <f t="shared" si="262"/>
        <v/>
      </c>
      <c r="AR259" s="172" t="str">
        <f t="shared" si="262"/>
        <v/>
      </c>
      <c r="AS259" s="172" t="str">
        <f t="shared" si="262"/>
        <v/>
      </c>
      <c r="AT259" s="173">
        <f>IF(AT$6="","",IF(AT$3="Maior",iferror(VLOOKUP($R259,Capa!$A:$AJ,AT$5,0),0),IF(ISERROR(1/VLOOKUP($R259,Capa!$A:$AJ,AT$5,0)),0,1/VLOOKUP($R259,Capa!$A:$AJ,AT$5,0))))</f>
        <v>-0.5291005291</v>
      </c>
      <c r="AU259" s="174">
        <f>IF(AU$6="","",IF(AU$3="Maior",iferror(VLOOKUP($R259,Capa!$A:$AJ,AU$5,0),0),IF(ISERROR(1/VLOOKUP($R259,Capa!$A:$AJ,AU$5,0)),0,1/VLOOKUP($R259,Capa!$A:$AJ,AU$5,0))))</f>
        <v>28.57</v>
      </c>
      <c r="AV259" s="174" t="str">
        <f>IF(AV$6="","",IF(AV$3="Maior",iferror(VLOOKUP($R259,Capa!$A:$AJ,AV$5,0),0),IF(ISERROR(1/VLOOKUP($R259,Capa!$A:$AJ,AV$5,0)),0,1/VLOOKUP($R259,Capa!$A:$AJ,AV$5,0))))</f>
        <v/>
      </c>
      <c r="AW259" s="174" t="str">
        <f>IF(AW$6="","",IF(AW$3="Maior",iferror(VLOOKUP($R259,Capa!$A:$AJ,AW$5,0),0),IF(ISERROR(1/VLOOKUP($R259,Capa!$A:$AJ,AW$5,0)),0,1/VLOOKUP($R259,Capa!$A:$AJ,AW$5,0))))</f>
        <v/>
      </c>
      <c r="AX259" s="174" t="str">
        <f>IF(AX$6="","",IF(AX$3="Maior",iferror(VLOOKUP($R259,Capa!$A:$AJ,AX$5,0),0),IF(ISERROR(1/VLOOKUP($R259,Capa!$A:$AJ,AX$5,0)),0,1/VLOOKUP($R259,Capa!$A:$AJ,AX$5,0))))</f>
        <v/>
      </c>
      <c r="AY259" s="174" t="str">
        <f>IF(AY$6="","",IF(AY$3="Maior",iferror(VLOOKUP($R259,Capa!$A:$AJ,AY$5,0),0),IF(ISERROR(1/VLOOKUP($R259,Capa!$A:$AJ,AY$5,0)),0,1/VLOOKUP($R259,Capa!$A:$AJ,AY$5,0))))</f>
        <v/>
      </c>
      <c r="AZ259" s="174" t="str">
        <f>IF(AZ$6="","",IF(AZ$3="Maior",iferror(VLOOKUP($R259,Capa!$A:$AJ,AZ$5,0),0),IF(ISERROR(1/VLOOKUP($R259,Capa!$A:$AJ,AZ$5,0)),0,1/VLOOKUP($R259,Capa!$A:$AJ,AZ$5,0))))</f>
        <v/>
      </c>
      <c r="BA259" s="174" t="str">
        <f>IF(BA$6="","",IF(BA$3="Maior",iferror(VLOOKUP($R259,Capa!$A:$AJ,BA$5,0),0),IF(ISERROR(1/VLOOKUP($R259,Capa!$A:$AJ,BA$5,0)),0,1/VLOOKUP($R259,Capa!$A:$AJ,BA$5,0))))</f>
        <v/>
      </c>
      <c r="BB259" s="174" t="str">
        <f>IF(BB$6="","",IF(BB$3="Maior",iferror(VLOOKUP($R259,Capa!$A:$AJ,BB$5,0),0),IF(ISERROR(1/VLOOKUP($R259,Capa!$A:$AJ,BB$5,0)),0,1/VLOOKUP($R259,Capa!$A:$AJ,BB$5,0))))</f>
        <v/>
      </c>
      <c r="BC259" s="174" t="str">
        <f>IF(BC$6="","",IF(BC$3="Maior",iferror(VLOOKUP($R259,Capa!$A:$AJ,BC$5,0),0),IF(ISERROR(1/VLOOKUP($R259,Capa!$A:$AJ,BC$5,0)),0,1/VLOOKUP($R259,Capa!$A:$AJ,BC$5,0))))</f>
        <v/>
      </c>
      <c r="BD259" s="174" t="str">
        <f>IF(BD$6="","",IF(BD$3="Maior",iferror(VLOOKUP($R259,Capa!$A:$AJ,BD$5,0),0),IF(ISERROR(1/VLOOKUP($R259,Capa!$A:$AJ,BD$5,0)),0,1/VLOOKUP($R259,Capa!$A:$AJ,BD$5,0))))</f>
        <v/>
      </c>
      <c r="BE259" s="174" t="str">
        <f>IF(BE$6="","",IF(BE$3="Maior",iferror(VLOOKUP($R259,Capa!$A:$AJ,BE$5,0),0),IF(ISERROR(1/VLOOKUP($R259,Capa!$A:$AJ,BE$5,0)),0,1/VLOOKUP($R259,Capa!$A:$AJ,BE$5,0))))</f>
        <v/>
      </c>
      <c r="BF259" s="174" t="str">
        <f>IF(BF$6="","",IF(BF$3="Maior",iferror(VLOOKUP($R259,Capa!$A:$AJ,BF$5,0),0),IF(ISERROR(1/VLOOKUP($R259,Capa!$A:$AJ,BF$5,0)),0,1/VLOOKUP($R259,Capa!$A:$AJ,BF$5,0))))</f>
        <v/>
      </c>
      <c r="BG259" s="174" t="str">
        <f>IF(BG$6="","",IF(BG$3="Maior",iferror(VLOOKUP($R259,Capa!$A:$AJ,BG$5,0),0),IF(ISERROR(1/VLOOKUP($R259,Capa!$A:$AJ,BG$5,0)),0,1/VLOOKUP($R259,Capa!$A:$AJ,BG$5,0))))</f>
        <v/>
      </c>
      <c r="BH259" s="174" t="str">
        <f>IF(BH$6="","",IF(BH$3="Maior",iferror(VLOOKUP($R259,Capa!$A:$AJ,BH$5,0),0),IF(ISERROR(1/VLOOKUP($R259,Capa!$A:$AJ,BH$5,0)),0,1/VLOOKUP($R259,Capa!$A:$AJ,BH$5,0))))</f>
        <v/>
      </c>
      <c r="BI259" s="174" t="str">
        <f>IF(BI$6="","",IF(BI$3="Maior",iferror(VLOOKUP($R259,Capa!$A:$AJ,BI$5,0),0),IF(ISERROR(1/VLOOKUP($R259,Capa!$A:$AJ,BI$5,0)),0,1/VLOOKUP($R259,Capa!$A:$AJ,BI$5,0))))</f>
        <v/>
      </c>
      <c r="BJ259" s="174" t="str">
        <f>IF(BJ$6="","",IF(BJ$3="Maior",iferror(VLOOKUP($R259,Capa!$A:$AJ,BJ$5,0),0),IF(ISERROR(1/VLOOKUP($R259,Capa!$A:$AJ,BJ$5,0)),0,1/VLOOKUP($R259,Capa!$A:$AJ,BJ$5,0))))</f>
        <v/>
      </c>
      <c r="BK259" s="174" t="str">
        <f>IF(BK$6="","",IF(BK$3="Maior",iferror(VLOOKUP($R259,Capa!$A:$AJ,BK$5,0),0),IF(ISERROR(1/VLOOKUP($R259,Capa!$A:$AJ,BK$5,0)),0,1/VLOOKUP($R259,Capa!$A:$AJ,BK$5,0))))</f>
        <v/>
      </c>
      <c r="BL259" s="174" t="str">
        <f>IF(BL$6="","",IF(BL$3="Maior",iferror(VLOOKUP($R259,Capa!$A:$AJ,BL$5,0),0),IF(ISERROR(1/VLOOKUP($R259,Capa!$A:$AJ,BL$5,0)),0,1/VLOOKUP($R259,Capa!$A:$AJ,BL$5,0))))</f>
        <v/>
      </c>
      <c r="BM259" s="174" t="str">
        <f>IF(BM$6="","",IF(BM$3="Maior",iferror(VLOOKUP($R259,Capa!$A:$AJ,BM$5,0),0),IF(ISERROR(1/VLOOKUP($R259,Capa!$A:$AJ,BM$5,0)),0,1/VLOOKUP($R259,Capa!$A:$AJ,BM$5,0))))</f>
        <v/>
      </c>
      <c r="BN259" s="174" t="str">
        <f>IF(BN$6="","",IF(BN$3="Maior",iferror(VLOOKUP($R259,Capa!$A:$AJ,BN$5,0),0),IF(ISERROR(1/VLOOKUP($R259,Capa!$A:$AJ,BN$5,0)),0,1/VLOOKUP($R259,Capa!$A:$AJ,BN$5,0))))</f>
        <v/>
      </c>
      <c r="BO259" s="174" t="str">
        <f>IF(BO$6="","",IF(BO$3="Maior",iferror(VLOOKUP($R259,Capa!$A:$AJ,BO$5,0),0),IF(ISERROR(1/VLOOKUP($R259,Capa!$A:$AJ,BO$5,0)),0,1/VLOOKUP($R259,Capa!$A:$AJ,BO$5,0))))</f>
        <v/>
      </c>
      <c r="BP259" s="174" t="str">
        <f>IF(BP$6="","",IF(BP$3="Maior",iferror(VLOOKUP($R259,Capa!$A:$AJ,BP$5,0),0),IF(ISERROR(1/VLOOKUP($R259,Capa!$A:$AJ,BP$5,0)),0,1/VLOOKUP($R259,Capa!$A:$AJ,BP$5,0))))</f>
        <v/>
      </c>
      <c r="BQ259" s="174" t="str">
        <f>IF(BQ$6="","",IF(BQ$3="Maior",iferror(VLOOKUP($R259,Capa!$A:$AJ,BQ$5,0),0),IF(ISERROR(1/VLOOKUP($R259,Capa!$A:$AJ,BQ$5,0)),0,1/VLOOKUP($R259,Capa!$A:$AJ,BQ$5,0))))</f>
        <v/>
      </c>
      <c r="BR259" s="175"/>
      <c r="BS259" s="147"/>
    </row>
    <row r="260">
      <c r="G260" s="11"/>
      <c r="H260" s="8">
        <v>254.0</v>
      </c>
      <c r="I260" s="165" t="str">
        <f t="shared" si="6"/>
        <v>STKF3</v>
      </c>
      <c r="J260" s="166" t="str">
        <f>(VLOOKUP($I260,Capa!$A:$B,2,0))</f>
        <v/>
      </c>
      <c r="K260" s="167" t="str">
        <f>VLOOKUP(left(I260,4),Setor!A:D,3,0)&amp;" | "&amp;VLOOKUP(left(I260,4),Setor!A:D,4,0)</f>
        <v>Utilidade Pública | Energia Elétrica</v>
      </c>
      <c r="L260" s="168" t="str">
        <f>(VLOOKUP($I260,Capa!$A:$F,6,0))</f>
        <v/>
      </c>
      <c r="M260" s="168">
        <f t="shared" si="7"/>
        <v>0</v>
      </c>
      <c r="N260" s="177" t="str">
        <f>(VLOOKUP($I260,Capa!$A:$H,7,0))</f>
        <v/>
      </c>
      <c r="O260" s="169" t="str">
        <f>(VLOOKUP($I260,Capa!$A:$H,8,0))</f>
        <v/>
      </c>
      <c r="P260" s="169" t="str">
        <f>(VLOOKUP($I260,Capa!$A:$J,10,0))</f>
        <v/>
      </c>
      <c r="Q260" s="169" t="str">
        <f>(VLOOKUP($I260,Capa!$A:$K,11,0))</f>
        <v/>
      </c>
      <c r="R260" s="45" t="str">
        <f>'Dados StatusInvest'!A255</f>
        <v>EQPA6</v>
      </c>
      <c r="S260" s="170">
        <f t="shared" si="234"/>
        <v>1426.0426</v>
      </c>
      <c r="T260" s="171">
        <f>VLOOKUP(R260,'Dados StatusInvest'!A:Z,26,0)</f>
        <v>659</v>
      </c>
      <c r="U260" s="172">
        <f t="shared" ref="U260:AS260" si="263">IF(AT260="","", RANK(AT260,AT$7:AT$626,0)+RANK(AT260,AT$7:AT$626,0)/10000)</f>
        <v>334.0334</v>
      </c>
      <c r="V260" s="172">
        <f t="shared" si="263"/>
        <v>92.0092</v>
      </c>
      <c r="W260" s="172" t="str">
        <f t="shared" si="263"/>
        <v/>
      </c>
      <c r="X260" s="172" t="str">
        <f t="shared" si="263"/>
        <v/>
      </c>
      <c r="Y260" s="172" t="str">
        <f t="shared" si="263"/>
        <v/>
      </c>
      <c r="Z260" s="172" t="str">
        <f t="shared" si="263"/>
        <v/>
      </c>
      <c r="AA260" s="172" t="str">
        <f t="shared" si="263"/>
        <v/>
      </c>
      <c r="AB260" s="172" t="str">
        <f t="shared" si="263"/>
        <v/>
      </c>
      <c r="AC260" s="172" t="str">
        <f t="shared" si="263"/>
        <v/>
      </c>
      <c r="AD260" s="172" t="str">
        <f t="shared" si="263"/>
        <v/>
      </c>
      <c r="AE260" s="172" t="str">
        <f t="shared" si="263"/>
        <v/>
      </c>
      <c r="AF260" s="172" t="str">
        <f t="shared" si="263"/>
        <v/>
      </c>
      <c r="AG260" s="172" t="str">
        <f t="shared" si="263"/>
        <v/>
      </c>
      <c r="AH260" s="172" t="str">
        <f t="shared" si="263"/>
        <v/>
      </c>
      <c r="AI260" s="172" t="str">
        <f t="shared" si="263"/>
        <v/>
      </c>
      <c r="AJ260" s="172" t="str">
        <f t="shared" si="263"/>
        <v/>
      </c>
      <c r="AK260" s="172" t="str">
        <f t="shared" si="263"/>
        <v/>
      </c>
      <c r="AL260" s="172" t="str">
        <f t="shared" si="263"/>
        <v/>
      </c>
      <c r="AM260" s="172" t="str">
        <f t="shared" si="263"/>
        <v/>
      </c>
      <c r="AN260" s="172" t="str">
        <f t="shared" si="263"/>
        <v/>
      </c>
      <c r="AO260" s="172" t="str">
        <f t="shared" si="263"/>
        <v/>
      </c>
      <c r="AP260" s="172" t="str">
        <f t="shared" si="263"/>
        <v/>
      </c>
      <c r="AQ260" s="172" t="str">
        <f t="shared" si="263"/>
        <v/>
      </c>
      <c r="AR260" s="172" t="str">
        <f t="shared" si="263"/>
        <v/>
      </c>
      <c r="AS260" s="172" t="str">
        <f t="shared" si="263"/>
        <v/>
      </c>
      <c r="AT260" s="173">
        <f>IF(AT$6="","",IF(AT$3="Maior",iferror(VLOOKUP($R260,Capa!$A:$AJ,AT$5,0),0),IF(ISERROR(1/VLOOKUP($R260,Capa!$A:$AJ,AT$5,0)),0,1/VLOOKUP($R260,Capa!$A:$AJ,AT$5,0))))</f>
        <v>-0.8849557522</v>
      </c>
      <c r="AU260" s="174">
        <f>IF(AU$6="","",IF(AU$3="Maior",iferror(VLOOKUP($R260,Capa!$A:$AJ,AU$5,0),0),IF(ISERROR(1/VLOOKUP($R260,Capa!$A:$AJ,AU$5,0)),0,1/VLOOKUP($R260,Capa!$A:$AJ,AU$5,0))))</f>
        <v>28.57</v>
      </c>
      <c r="AV260" s="174" t="str">
        <f>IF(AV$6="","",IF(AV$3="Maior",iferror(VLOOKUP($R260,Capa!$A:$AJ,AV$5,0),0),IF(ISERROR(1/VLOOKUP($R260,Capa!$A:$AJ,AV$5,0)),0,1/VLOOKUP($R260,Capa!$A:$AJ,AV$5,0))))</f>
        <v/>
      </c>
      <c r="AW260" s="174" t="str">
        <f>IF(AW$6="","",IF(AW$3="Maior",iferror(VLOOKUP($R260,Capa!$A:$AJ,AW$5,0),0),IF(ISERROR(1/VLOOKUP($R260,Capa!$A:$AJ,AW$5,0)),0,1/VLOOKUP($R260,Capa!$A:$AJ,AW$5,0))))</f>
        <v/>
      </c>
      <c r="AX260" s="174" t="str">
        <f>IF(AX$6="","",IF(AX$3="Maior",iferror(VLOOKUP($R260,Capa!$A:$AJ,AX$5,0),0),IF(ISERROR(1/VLOOKUP($R260,Capa!$A:$AJ,AX$5,0)),0,1/VLOOKUP($R260,Capa!$A:$AJ,AX$5,0))))</f>
        <v/>
      </c>
      <c r="AY260" s="174" t="str">
        <f>IF(AY$6="","",IF(AY$3="Maior",iferror(VLOOKUP($R260,Capa!$A:$AJ,AY$5,0),0),IF(ISERROR(1/VLOOKUP($R260,Capa!$A:$AJ,AY$5,0)),0,1/VLOOKUP($R260,Capa!$A:$AJ,AY$5,0))))</f>
        <v/>
      </c>
      <c r="AZ260" s="174" t="str">
        <f>IF(AZ$6="","",IF(AZ$3="Maior",iferror(VLOOKUP($R260,Capa!$A:$AJ,AZ$5,0),0),IF(ISERROR(1/VLOOKUP($R260,Capa!$A:$AJ,AZ$5,0)),0,1/VLOOKUP($R260,Capa!$A:$AJ,AZ$5,0))))</f>
        <v/>
      </c>
      <c r="BA260" s="174" t="str">
        <f>IF(BA$6="","",IF(BA$3="Maior",iferror(VLOOKUP($R260,Capa!$A:$AJ,BA$5,0),0),IF(ISERROR(1/VLOOKUP($R260,Capa!$A:$AJ,BA$5,0)),0,1/VLOOKUP($R260,Capa!$A:$AJ,BA$5,0))))</f>
        <v/>
      </c>
      <c r="BB260" s="174" t="str">
        <f>IF(BB$6="","",IF(BB$3="Maior",iferror(VLOOKUP($R260,Capa!$A:$AJ,BB$5,0),0),IF(ISERROR(1/VLOOKUP($R260,Capa!$A:$AJ,BB$5,0)),0,1/VLOOKUP($R260,Capa!$A:$AJ,BB$5,0))))</f>
        <v/>
      </c>
      <c r="BC260" s="174" t="str">
        <f>IF(BC$6="","",IF(BC$3="Maior",iferror(VLOOKUP($R260,Capa!$A:$AJ,BC$5,0),0),IF(ISERROR(1/VLOOKUP($R260,Capa!$A:$AJ,BC$5,0)),0,1/VLOOKUP($R260,Capa!$A:$AJ,BC$5,0))))</f>
        <v/>
      </c>
      <c r="BD260" s="174" t="str">
        <f>IF(BD$6="","",IF(BD$3="Maior",iferror(VLOOKUP($R260,Capa!$A:$AJ,BD$5,0),0),IF(ISERROR(1/VLOOKUP($R260,Capa!$A:$AJ,BD$5,0)),0,1/VLOOKUP($R260,Capa!$A:$AJ,BD$5,0))))</f>
        <v/>
      </c>
      <c r="BE260" s="174" t="str">
        <f>IF(BE$6="","",IF(BE$3="Maior",iferror(VLOOKUP($R260,Capa!$A:$AJ,BE$5,0),0),IF(ISERROR(1/VLOOKUP($R260,Capa!$A:$AJ,BE$5,0)),0,1/VLOOKUP($R260,Capa!$A:$AJ,BE$5,0))))</f>
        <v/>
      </c>
      <c r="BF260" s="174" t="str">
        <f>IF(BF$6="","",IF(BF$3="Maior",iferror(VLOOKUP($R260,Capa!$A:$AJ,BF$5,0),0),IF(ISERROR(1/VLOOKUP($R260,Capa!$A:$AJ,BF$5,0)),0,1/VLOOKUP($R260,Capa!$A:$AJ,BF$5,0))))</f>
        <v/>
      </c>
      <c r="BG260" s="174" t="str">
        <f>IF(BG$6="","",IF(BG$3="Maior",iferror(VLOOKUP($R260,Capa!$A:$AJ,BG$5,0),0),IF(ISERROR(1/VLOOKUP($R260,Capa!$A:$AJ,BG$5,0)),0,1/VLOOKUP($R260,Capa!$A:$AJ,BG$5,0))))</f>
        <v/>
      </c>
      <c r="BH260" s="174" t="str">
        <f>IF(BH$6="","",IF(BH$3="Maior",iferror(VLOOKUP($R260,Capa!$A:$AJ,BH$5,0),0),IF(ISERROR(1/VLOOKUP($R260,Capa!$A:$AJ,BH$5,0)),0,1/VLOOKUP($R260,Capa!$A:$AJ,BH$5,0))))</f>
        <v/>
      </c>
      <c r="BI260" s="174" t="str">
        <f>IF(BI$6="","",IF(BI$3="Maior",iferror(VLOOKUP($R260,Capa!$A:$AJ,BI$5,0),0),IF(ISERROR(1/VLOOKUP($R260,Capa!$A:$AJ,BI$5,0)),0,1/VLOOKUP($R260,Capa!$A:$AJ,BI$5,0))))</f>
        <v/>
      </c>
      <c r="BJ260" s="174" t="str">
        <f>IF(BJ$6="","",IF(BJ$3="Maior",iferror(VLOOKUP($R260,Capa!$A:$AJ,BJ$5,0),0),IF(ISERROR(1/VLOOKUP($R260,Capa!$A:$AJ,BJ$5,0)),0,1/VLOOKUP($R260,Capa!$A:$AJ,BJ$5,0))))</f>
        <v/>
      </c>
      <c r="BK260" s="174" t="str">
        <f>IF(BK$6="","",IF(BK$3="Maior",iferror(VLOOKUP($R260,Capa!$A:$AJ,BK$5,0),0),IF(ISERROR(1/VLOOKUP($R260,Capa!$A:$AJ,BK$5,0)),0,1/VLOOKUP($R260,Capa!$A:$AJ,BK$5,0))))</f>
        <v/>
      </c>
      <c r="BL260" s="174" t="str">
        <f>IF(BL$6="","",IF(BL$3="Maior",iferror(VLOOKUP($R260,Capa!$A:$AJ,BL$5,0),0),IF(ISERROR(1/VLOOKUP($R260,Capa!$A:$AJ,BL$5,0)),0,1/VLOOKUP($R260,Capa!$A:$AJ,BL$5,0))))</f>
        <v/>
      </c>
      <c r="BM260" s="174" t="str">
        <f>IF(BM$6="","",IF(BM$3="Maior",iferror(VLOOKUP($R260,Capa!$A:$AJ,BM$5,0),0),IF(ISERROR(1/VLOOKUP($R260,Capa!$A:$AJ,BM$5,0)),0,1/VLOOKUP($R260,Capa!$A:$AJ,BM$5,0))))</f>
        <v/>
      </c>
      <c r="BN260" s="174" t="str">
        <f>IF(BN$6="","",IF(BN$3="Maior",iferror(VLOOKUP($R260,Capa!$A:$AJ,BN$5,0),0),IF(ISERROR(1/VLOOKUP($R260,Capa!$A:$AJ,BN$5,0)),0,1/VLOOKUP($R260,Capa!$A:$AJ,BN$5,0))))</f>
        <v/>
      </c>
      <c r="BO260" s="174" t="str">
        <f>IF(BO$6="","",IF(BO$3="Maior",iferror(VLOOKUP($R260,Capa!$A:$AJ,BO$5,0),0),IF(ISERROR(1/VLOOKUP($R260,Capa!$A:$AJ,BO$5,0)),0,1/VLOOKUP($R260,Capa!$A:$AJ,BO$5,0))))</f>
        <v/>
      </c>
      <c r="BP260" s="174" t="str">
        <f>IF(BP$6="","",IF(BP$3="Maior",iferror(VLOOKUP($R260,Capa!$A:$AJ,BP$5,0),0),IF(ISERROR(1/VLOOKUP($R260,Capa!$A:$AJ,BP$5,0)),0,1/VLOOKUP($R260,Capa!$A:$AJ,BP$5,0))))</f>
        <v/>
      </c>
      <c r="BQ260" s="174" t="str">
        <f>IF(BQ$6="","",IF(BQ$3="Maior",iferror(VLOOKUP($R260,Capa!$A:$AJ,BQ$5,0),0),IF(ISERROR(1/VLOOKUP($R260,Capa!$A:$AJ,BQ$5,0)),0,1/VLOOKUP($R260,Capa!$A:$AJ,BQ$5,0))))</f>
        <v/>
      </c>
      <c r="BR260" s="175"/>
      <c r="BS260" s="147"/>
    </row>
    <row r="261">
      <c r="G261" s="11"/>
      <c r="H261" s="8">
        <v>255.0</v>
      </c>
      <c r="I261" s="165" t="str">
        <f t="shared" si="6"/>
        <v>LUXM3</v>
      </c>
      <c r="J261" s="166" t="str">
        <f>(VLOOKUP($I261,Capa!$A:$B,2,0))</f>
        <v>Trevisa Investimentos SA</v>
      </c>
      <c r="K261" s="167" t="str">
        <f>VLOOKUP(left(I261,4),Setor!A:D,3,0)&amp;" | "&amp;VLOOKUP(left(I261,4),Setor!A:D,4,0)</f>
        <v>Bens Industriais | Transporte</v>
      </c>
      <c r="L261" s="168">
        <f>(VLOOKUP($I261,Capa!$A:$F,6,0))</f>
        <v>0</v>
      </c>
      <c r="M261" s="168">
        <f t="shared" si="7"/>
        <v>0</v>
      </c>
      <c r="N261" s="11" t="str">
        <f>(VLOOKUP($I261,Capa!$A:$H,7,0))</f>
        <v/>
      </c>
      <c r="O261" s="169" t="str">
        <f>(VLOOKUP($I261,Capa!$A:$H,8,0))</f>
        <v/>
      </c>
      <c r="P261" s="11" t="str">
        <f>(VLOOKUP($I261,Capa!$A:$J,10,0))</f>
        <v/>
      </c>
      <c r="Q261" s="169" t="str">
        <f>(VLOOKUP($I261,Capa!$A:$K,11,0))</f>
        <v/>
      </c>
      <c r="R261" s="45" t="str">
        <f>'Dados StatusInvest'!A256</f>
        <v>EQPA7</v>
      </c>
      <c r="S261" s="170">
        <f t="shared" si="234"/>
        <v>1367.0367</v>
      </c>
      <c r="T261" s="171">
        <f>VLOOKUP(R261,'Dados StatusInvest'!A:Z,26,0)</f>
        <v>3456</v>
      </c>
      <c r="U261" s="172">
        <f t="shared" ref="U261:AS261" si="264">IF(AT261="","", RANK(AT261,AT$7:AT$626,0)+RANK(AT261,AT$7:AT$626,0)/10000)</f>
        <v>275.0275</v>
      </c>
      <c r="V261" s="172">
        <f t="shared" si="264"/>
        <v>92.0092</v>
      </c>
      <c r="W261" s="172" t="str">
        <f t="shared" si="264"/>
        <v/>
      </c>
      <c r="X261" s="172" t="str">
        <f t="shared" si="264"/>
        <v/>
      </c>
      <c r="Y261" s="172" t="str">
        <f t="shared" si="264"/>
        <v/>
      </c>
      <c r="Z261" s="172" t="str">
        <f t="shared" si="264"/>
        <v/>
      </c>
      <c r="AA261" s="172" t="str">
        <f t="shared" si="264"/>
        <v/>
      </c>
      <c r="AB261" s="172" t="str">
        <f t="shared" si="264"/>
        <v/>
      </c>
      <c r="AC261" s="172" t="str">
        <f t="shared" si="264"/>
        <v/>
      </c>
      <c r="AD261" s="172" t="str">
        <f t="shared" si="264"/>
        <v/>
      </c>
      <c r="AE261" s="172" t="str">
        <f t="shared" si="264"/>
        <v/>
      </c>
      <c r="AF261" s="172" t="str">
        <f t="shared" si="264"/>
        <v/>
      </c>
      <c r="AG261" s="172" t="str">
        <f t="shared" si="264"/>
        <v/>
      </c>
      <c r="AH261" s="172" t="str">
        <f t="shared" si="264"/>
        <v/>
      </c>
      <c r="AI261" s="172" t="str">
        <f t="shared" si="264"/>
        <v/>
      </c>
      <c r="AJ261" s="172" t="str">
        <f t="shared" si="264"/>
        <v/>
      </c>
      <c r="AK261" s="172" t="str">
        <f t="shared" si="264"/>
        <v/>
      </c>
      <c r="AL261" s="172" t="str">
        <f t="shared" si="264"/>
        <v/>
      </c>
      <c r="AM261" s="172" t="str">
        <f t="shared" si="264"/>
        <v/>
      </c>
      <c r="AN261" s="172" t="str">
        <f t="shared" si="264"/>
        <v/>
      </c>
      <c r="AO261" s="172" t="str">
        <f t="shared" si="264"/>
        <v/>
      </c>
      <c r="AP261" s="172" t="str">
        <f t="shared" si="264"/>
        <v/>
      </c>
      <c r="AQ261" s="172" t="str">
        <f t="shared" si="264"/>
        <v/>
      </c>
      <c r="AR261" s="172" t="str">
        <f t="shared" si="264"/>
        <v/>
      </c>
      <c r="AS261" s="172" t="str">
        <f t="shared" si="264"/>
        <v/>
      </c>
      <c r="AT261" s="173">
        <f>IF(AT$6="","",IF(AT$3="Maior",iferror(VLOOKUP($R261,Capa!$A:$AJ,AT$5,0),0),IF(ISERROR(1/VLOOKUP($R261,Capa!$A:$AJ,AT$5,0)),0,1/VLOOKUP($R261,Capa!$A:$AJ,AT$5,0))))</f>
        <v>-0.5813953488</v>
      </c>
      <c r="AU261" s="174">
        <f>IF(AU$6="","",IF(AU$3="Maior",iferror(VLOOKUP($R261,Capa!$A:$AJ,AU$5,0),0),IF(ISERROR(1/VLOOKUP($R261,Capa!$A:$AJ,AU$5,0)),0,1/VLOOKUP($R261,Capa!$A:$AJ,AU$5,0))))</f>
        <v>28.57</v>
      </c>
      <c r="AV261" s="174" t="str">
        <f>IF(AV$6="","",IF(AV$3="Maior",iferror(VLOOKUP($R261,Capa!$A:$AJ,AV$5,0),0),IF(ISERROR(1/VLOOKUP($R261,Capa!$A:$AJ,AV$5,0)),0,1/VLOOKUP($R261,Capa!$A:$AJ,AV$5,0))))</f>
        <v/>
      </c>
      <c r="AW261" s="174" t="str">
        <f>IF(AW$6="","",IF(AW$3="Maior",iferror(VLOOKUP($R261,Capa!$A:$AJ,AW$5,0),0),IF(ISERROR(1/VLOOKUP($R261,Capa!$A:$AJ,AW$5,0)),0,1/VLOOKUP($R261,Capa!$A:$AJ,AW$5,0))))</f>
        <v/>
      </c>
      <c r="AX261" s="174" t="str">
        <f>IF(AX$6="","",IF(AX$3="Maior",iferror(VLOOKUP($R261,Capa!$A:$AJ,AX$5,0),0),IF(ISERROR(1/VLOOKUP($R261,Capa!$A:$AJ,AX$5,0)),0,1/VLOOKUP($R261,Capa!$A:$AJ,AX$5,0))))</f>
        <v/>
      </c>
      <c r="AY261" s="174" t="str">
        <f>IF(AY$6="","",IF(AY$3="Maior",iferror(VLOOKUP($R261,Capa!$A:$AJ,AY$5,0),0),IF(ISERROR(1/VLOOKUP($R261,Capa!$A:$AJ,AY$5,0)),0,1/VLOOKUP($R261,Capa!$A:$AJ,AY$5,0))))</f>
        <v/>
      </c>
      <c r="AZ261" s="174" t="str">
        <f>IF(AZ$6="","",IF(AZ$3="Maior",iferror(VLOOKUP($R261,Capa!$A:$AJ,AZ$5,0),0),IF(ISERROR(1/VLOOKUP($R261,Capa!$A:$AJ,AZ$5,0)),0,1/VLOOKUP($R261,Capa!$A:$AJ,AZ$5,0))))</f>
        <v/>
      </c>
      <c r="BA261" s="174" t="str">
        <f>IF(BA$6="","",IF(BA$3="Maior",iferror(VLOOKUP($R261,Capa!$A:$AJ,BA$5,0),0),IF(ISERROR(1/VLOOKUP($R261,Capa!$A:$AJ,BA$5,0)),0,1/VLOOKUP($R261,Capa!$A:$AJ,BA$5,0))))</f>
        <v/>
      </c>
      <c r="BB261" s="174" t="str">
        <f>IF(BB$6="","",IF(BB$3="Maior",iferror(VLOOKUP($R261,Capa!$A:$AJ,BB$5,0),0),IF(ISERROR(1/VLOOKUP($R261,Capa!$A:$AJ,BB$5,0)),0,1/VLOOKUP($R261,Capa!$A:$AJ,BB$5,0))))</f>
        <v/>
      </c>
      <c r="BC261" s="174" t="str">
        <f>IF(BC$6="","",IF(BC$3="Maior",iferror(VLOOKUP($R261,Capa!$A:$AJ,BC$5,0),0),IF(ISERROR(1/VLOOKUP($R261,Capa!$A:$AJ,BC$5,0)),0,1/VLOOKUP($R261,Capa!$A:$AJ,BC$5,0))))</f>
        <v/>
      </c>
      <c r="BD261" s="174" t="str">
        <f>IF(BD$6="","",IF(BD$3="Maior",iferror(VLOOKUP($R261,Capa!$A:$AJ,BD$5,0),0),IF(ISERROR(1/VLOOKUP($R261,Capa!$A:$AJ,BD$5,0)),0,1/VLOOKUP($R261,Capa!$A:$AJ,BD$5,0))))</f>
        <v/>
      </c>
      <c r="BE261" s="174" t="str">
        <f>IF(BE$6="","",IF(BE$3="Maior",iferror(VLOOKUP($R261,Capa!$A:$AJ,BE$5,0),0),IF(ISERROR(1/VLOOKUP($R261,Capa!$A:$AJ,BE$5,0)),0,1/VLOOKUP($R261,Capa!$A:$AJ,BE$5,0))))</f>
        <v/>
      </c>
      <c r="BF261" s="174" t="str">
        <f>IF(BF$6="","",IF(BF$3="Maior",iferror(VLOOKUP($R261,Capa!$A:$AJ,BF$5,0),0),IF(ISERROR(1/VLOOKUP($R261,Capa!$A:$AJ,BF$5,0)),0,1/VLOOKUP($R261,Capa!$A:$AJ,BF$5,0))))</f>
        <v/>
      </c>
      <c r="BG261" s="174" t="str">
        <f>IF(BG$6="","",IF(BG$3="Maior",iferror(VLOOKUP($R261,Capa!$A:$AJ,BG$5,0),0),IF(ISERROR(1/VLOOKUP($R261,Capa!$A:$AJ,BG$5,0)),0,1/VLOOKUP($R261,Capa!$A:$AJ,BG$5,0))))</f>
        <v/>
      </c>
      <c r="BH261" s="174" t="str">
        <f>IF(BH$6="","",IF(BH$3="Maior",iferror(VLOOKUP($R261,Capa!$A:$AJ,BH$5,0),0),IF(ISERROR(1/VLOOKUP($R261,Capa!$A:$AJ,BH$5,0)),0,1/VLOOKUP($R261,Capa!$A:$AJ,BH$5,0))))</f>
        <v/>
      </c>
      <c r="BI261" s="174" t="str">
        <f>IF(BI$6="","",IF(BI$3="Maior",iferror(VLOOKUP($R261,Capa!$A:$AJ,BI$5,0),0),IF(ISERROR(1/VLOOKUP($R261,Capa!$A:$AJ,BI$5,0)),0,1/VLOOKUP($R261,Capa!$A:$AJ,BI$5,0))))</f>
        <v/>
      </c>
      <c r="BJ261" s="174" t="str">
        <f>IF(BJ$6="","",IF(BJ$3="Maior",iferror(VLOOKUP($R261,Capa!$A:$AJ,BJ$5,0),0),IF(ISERROR(1/VLOOKUP($R261,Capa!$A:$AJ,BJ$5,0)),0,1/VLOOKUP($R261,Capa!$A:$AJ,BJ$5,0))))</f>
        <v/>
      </c>
      <c r="BK261" s="174" t="str">
        <f>IF(BK$6="","",IF(BK$3="Maior",iferror(VLOOKUP($R261,Capa!$A:$AJ,BK$5,0),0),IF(ISERROR(1/VLOOKUP($R261,Capa!$A:$AJ,BK$5,0)),0,1/VLOOKUP($R261,Capa!$A:$AJ,BK$5,0))))</f>
        <v/>
      </c>
      <c r="BL261" s="174" t="str">
        <f>IF(BL$6="","",IF(BL$3="Maior",iferror(VLOOKUP($R261,Capa!$A:$AJ,BL$5,0),0),IF(ISERROR(1/VLOOKUP($R261,Capa!$A:$AJ,BL$5,0)),0,1/VLOOKUP($R261,Capa!$A:$AJ,BL$5,0))))</f>
        <v/>
      </c>
      <c r="BM261" s="174" t="str">
        <f>IF(BM$6="","",IF(BM$3="Maior",iferror(VLOOKUP($R261,Capa!$A:$AJ,BM$5,0),0),IF(ISERROR(1/VLOOKUP($R261,Capa!$A:$AJ,BM$5,0)),0,1/VLOOKUP($R261,Capa!$A:$AJ,BM$5,0))))</f>
        <v/>
      </c>
      <c r="BN261" s="174" t="str">
        <f>IF(BN$6="","",IF(BN$3="Maior",iferror(VLOOKUP($R261,Capa!$A:$AJ,BN$5,0),0),IF(ISERROR(1/VLOOKUP($R261,Capa!$A:$AJ,BN$5,0)),0,1/VLOOKUP($R261,Capa!$A:$AJ,BN$5,0))))</f>
        <v/>
      </c>
      <c r="BO261" s="174" t="str">
        <f>IF(BO$6="","",IF(BO$3="Maior",iferror(VLOOKUP($R261,Capa!$A:$AJ,BO$5,0),0),IF(ISERROR(1/VLOOKUP($R261,Capa!$A:$AJ,BO$5,0)),0,1/VLOOKUP($R261,Capa!$A:$AJ,BO$5,0))))</f>
        <v/>
      </c>
      <c r="BP261" s="174" t="str">
        <f>IF(BP$6="","",IF(BP$3="Maior",iferror(VLOOKUP($R261,Capa!$A:$AJ,BP$5,0),0),IF(ISERROR(1/VLOOKUP($R261,Capa!$A:$AJ,BP$5,0)),0,1/VLOOKUP($R261,Capa!$A:$AJ,BP$5,0))))</f>
        <v/>
      </c>
      <c r="BQ261" s="174" t="str">
        <f>IF(BQ$6="","",IF(BQ$3="Maior",iferror(VLOOKUP($R261,Capa!$A:$AJ,BQ$5,0),0),IF(ISERROR(1/VLOOKUP($R261,Capa!$A:$AJ,BQ$5,0)),0,1/VLOOKUP($R261,Capa!$A:$AJ,BQ$5,0))))</f>
        <v/>
      </c>
      <c r="BR261" s="175"/>
      <c r="BS261" s="147"/>
    </row>
    <row r="262">
      <c r="G262" s="11"/>
      <c r="H262" s="8">
        <v>256.0</v>
      </c>
      <c r="I262" s="165" t="str">
        <f t="shared" si="6"/>
        <v>PTCA11</v>
      </c>
      <c r="J262" s="166" t="str">
        <f>(VLOOKUP($I262,Capa!$A:$B,2,0))</f>
        <v/>
      </c>
      <c r="K262" s="167" t="str">
        <f>VLOOKUP(left(I262,4),Setor!A:D,3,0)&amp;" | "&amp;VLOOKUP(left(I262,4),Setor!A:D,4,0)</f>
        <v>Bens Industriais | Máquinas e Equipamentos</v>
      </c>
      <c r="L262" s="168" t="str">
        <f>(VLOOKUP($I262,Capa!$A:$F,6,0))</f>
        <v/>
      </c>
      <c r="M262" s="168">
        <f t="shared" si="7"/>
        <v>0</v>
      </c>
      <c r="N262" s="11" t="str">
        <f>(VLOOKUP($I262,Capa!$A:$H,7,0))</f>
        <v/>
      </c>
      <c r="O262" s="169" t="str">
        <f>(VLOOKUP($I262,Capa!$A:$H,8,0))</f>
        <v/>
      </c>
      <c r="P262" s="11" t="str">
        <f>(VLOOKUP($I262,Capa!$A:$J,10,0))</f>
        <v/>
      </c>
      <c r="Q262" s="169" t="str">
        <f>(VLOOKUP($I262,Capa!$A:$K,11,0))</f>
        <v/>
      </c>
      <c r="R262" s="45" t="str">
        <f>'Dados StatusInvest'!A257</f>
        <v>EQTL3</v>
      </c>
      <c r="S262" s="170">
        <f t="shared" si="234"/>
        <v>665.0665</v>
      </c>
      <c r="T262" s="171">
        <f>VLOOKUP(R262,'Dados StatusInvest'!A:Z,26,0)</f>
        <v>312000000</v>
      </c>
      <c r="U262" s="172">
        <f t="shared" ref="U262:AS262" si="265">IF(AT262="","", RANK(AT262,AT$7:AT$626,0)+RANK(AT262,AT$7:AT$626,0)/10000)</f>
        <v>439.0439</v>
      </c>
      <c r="V262" s="172">
        <f t="shared" si="265"/>
        <v>226.0226</v>
      </c>
      <c r="W262" s="172" t="str">
        <f t="shared" si="265"/>
        <v/>
      </c>
      <c r="X262" s="172" t="str">
        <f t="shared" si="265"/>
        <v/>
      </c>
      <c r="Y262" s="172" t="str">
        <f t="shared" si="265"/>
        <v/>
      </c>
      <c r="Z262" s="172" t="str">
        <f t="shared" si="265"/>
        <v/>
      </c>
      <c r="AA262" s="172" t="str">
        <f t="shared" si="265"/>
        <v/>
      </c>
      <c r="AB262" s="172" t="str">
        <f t="shared" si="265"/>
        <v/>
      </c>
      <c r="AC262" s="172" t="str">
        <f t="shared" si="265"/>
        <v/>
      </c>
      <c r="AD262" s="172" t="str">
        <f t="shared" si="265"/>
        <v/>
      </c>
      <c r="AE262" s="172" t="str">
        <f t="shared" si="265"/>
        <v/>
      </c>
      <c r="AF262" s="172" t="str">
        <f t="shared" si="265"/>
        <v/>
      </c>
      <c r="AG262" s="172" t="str">
        <f t="shared" si="265"/>
        <v/>
      </c>
      <c r="AH262" s="172" t="str">
        <f t="shared" si="265"/>
        <v/>
      </c>
      <c r="AI262" s="172" t="str">
        <f t="shared" si="265"/>
        <v/>
      </c>
      <c r="AJ262" s="172" t="str">
        <f t="shared" si="265"/>
        <v/>
      </c>
      <c r="AK262" s="172" t="str">
        <f t="shared" si="265"/>
        <v/>
      </c>
      <c r="AL262" s="172" t="str">
        <f t="shared" si="265"/>
        <v/>
      </c>
      <c r="AM262" s="172" t="str">
        <f t="shared" si="265"/>
        <v/>
      </c>
      <c r="AN262" s="172" t="str">
        <f t="shared" si="265"/>
        <v/>
      </c>
      <c r="AO262" s="172" t="str">
        <f t="shared" si="265"/>
        <v/>
      </c>
      <c r="AP262" s="172" t="str">
        <f t="shared" si="265"/>
        <v/>
      </c>
      <c r="AQ262" s="172" t="str">
        <f t="shared" si="265"/>
        <v/>
      </c>
      <c r="AR262" s="172" t="str">
        <f t="shared" si="265"/>
        <v/>
      </c>
      <c r="AS262" s="172" t="str">
        <f t="shared" si="265"/>
        <v/>
      </c>
      <c r="AT262" s="173">
        <f>IF(AT$6="","",IF(AT$3="Maior",iferror(VLOOKUP($R262,Capa!$A:$AJ,AT$5,0),0),IF(ISERROR(1/VLOOKUP($R262,Capa!$A:$AJ,AT$5,0)),0,1/VLOOKUP($R262,Capa!$A:$AJ,AT$5,0))))</f>
        <v>-1.71080122</v>
      </c>
      <c r="AU262" s="174">
        <f>IF(AU$6="","",IF(AU$3="Maior",iferror(VLOOKUP($R262,Capa!$A:$AJ,AU$5,0),0),IF(ISERROR(1/VLOOKUP($R262,Capa!$A:$AJ,AU$5,0)),0,1/VLOOKUP($R262,Capa!$A:$AJ,AU$5,0))))</f>
        <v>6.84</v>
      </c>
      <c r="AV262" s="174" t="str">
        <f>IF(AV$6="","",IF(AV$3="Maior",iferror(VLOOKUP($R262,Capa!$A:$AJ,AV$5,0),0),IF(ISERROR(1/VLOOKUP($R262,Capa!$A:$AJ,AV$5,0)),0,1/VLOOKUP($R262,Capa!$A:$AJ,AV$5,0))))</f>
        <v/>
      </c>
      <c r="AW262" s="174" t="str">
        <f>IF(AW$6="","",IF(AW$3="Maior",iferror(VLOOKUP($R262,Capa!$A:$AJ,AW$5,0),0),IF(ISERROR(1/VLOOKUP($R262,Capa!$A:$AJ,AW$5,0)),0,1/VLOOKUP($R262,Capa!$A:$AJ,AW$5,0))))</f>
        <v/>
      </c>
      <c r="AX262" s="174" t="str">
        <f>IF(AX$6="","",IF(AX$3="Maior",iferror(VLOOKUP($R262,Capa!$A:$AJ,AX$5,0),0),IF(ISERROR(1/VLOOKUP($R262,Capa!$A:$AJ,AX$5,0)),0,1/VLOOKUP($R262,Capa!$A:$AJ,AX$5,0))))</f>
        <v/>
      </c>
      <c r="AY262" s="174" t="str">
        <f>IF(AY$6="","",IF(AY$3="Maior",iferror(VLOOKUP($R262,Capa!$A:$AJ,AY$5,0),0),IF(ISERROR(1/VLOOKUP($R262,Capa!$A:$AJ,AY$5,0)),0,1/VLOOKUP($R262,Capa!$A:$AJ,AY$5,0))))</f>
        <v/>
      </c>
      <c r="AZ262" s="174" t="str">
        <f>IF(AZ$6="","",IF(AZ$3="Maior",iferror(VLOOKUP($R262,Capa!$A:$AJ,AZ$5,0),0),IF(ISERROR(1/VLOOKUP($R262,Capa!$A:$AJ,AZ$5,0)),0,1/VLOOKUP($R262,Capa!$A:$AJ,AZ$5,0))))</f>
        <v/>
      </c>
      <c r="BA262" s="174" t="str">
        <f>IF(BA$6="","",IF(BA$3="Maior",iferror(VLOOKUP($R262,Capa!$A:$AJ,BA$5,0),0),IF(ISERROR(1/VLOOKUP($R262,Capa!$A:$AJ,BA$5,0)),0,1/VLOOKUP($R262,Capa!$A:$AJ,BA$5,0))))</f>
        <v/>
      </c>
      <c r="BB262" s="174" t="str">
        <f>IF(BB$6="","",IF(BB$3="Maior",iferror(VLOOKUP($R262,Capa!$A:$AJ,BB$5,0),0),IF(ISERROR(1/VLOOKUP($R262,Capa!$A:$AJ,BB$5,0)),0,1/VLOOKUP($R262,Capa!$A:$AJ,BB$5,0))))</f>
        <v/>
      </c>
      <c r="BC262" s="174" t="str">
        <f>IF(BC$6="","",IF(BC$3="Maior",iferror(VLOOKUP($R262,Capa!$A:$AJ,BC$5,0),0),IF(ISERROR(1/VLOOKUP($R262,Capa!$A:$AJ,BC$5,0)),0,1/VLOOKUP($R262,Capa!$A:$AJ,BC$5,0))))</f>
        <v/>
      </c>
      <c r="BD262" s="174" t="str">
        <f>IF(BD$6="","",IF(BD$3="Maior",iferror(VLOOKUP($R262,Capa!$A:$AJ,BD$5,0),0),IF(ISERROR(1/VLOOKUP($R262,Capa!$A:$AJ,BD$5,0)),0,1/VLOOKUP($R262,Capa!$A:$AJ,BD$5,0))))</f>
        <v/>
      </c>
      <c r="BE262" s="174" t="str">
        <f>IF(BE$6="","",IF(BE$3="Maior",iferror(VLOOKUP($R262,Capa!$A:$AJ,BE$5,0),0),IF(ISERROR(1/VLOOKUP($R262,Capa!$A:$AJ,BE$5,0)),0,1/VLOOKUP($R262,Capa!$A:$AJ,BE$5,0))))</f>
        <v/>
      </c>
      <c r="BF262" s="174" t="str">
        <f>IF(BF$6="","",IF(BF$3="Maior",iferror(VLOOKUP($R262,Capa!$A:$AJ,BF$5,0),0),IF(ISERROR(1/VLOOKUP($R262,Capa!$A:$AJ,BF$5,0)),0,1/VLOOKUP($R262,Capa!$A:$AJ,BF$5,0))))</f>
        <v/>
      </c>
      <c r="BG262" s="174" t="str">
        <f>IF(BG$6="","",IF(BG$3="Maior",iferror(VLOOKUP($R262,Capa!$A:$AJ,BG$5,0),0),IF(ISERROR(1/VLOOKUP($R262,Capa!$A:$AJ,BG$5,0)),0,1/VLOOKUP($R262,Capa!$A:$AJ,BG$5,0))))</f>
        <v/>
      </c>
      <c r="BH262" s="174" t="str">
        <f>IF(BH$6="","",IF(BH$3="Maior",iferror(VLOOKUP($R262,Capa!$A:$AJ,BH$5,0),0),IF(ISERROR(1/VLOOKUP($R262,Capa!$A:$AJ,BH$5,0)),0,1/VLOOKUP($R262,Capa!$A:$AJ,BH$5,0))))</f>
        <v/>
      </c>
      <c r="BI262" s="174" t="str">
        <f>IF(BI$6="","",IF(BI$3="Maior",iferror(VLOOKUP($R262,Capa!$A:$AJ,BI$5,0),0),IF(ISERROR(1/VLOOKUP($R262,Capa!$A:$AJ,BI$5,0)),0,1/VLOOKUP($R262,Capa!$A:$AJ,BI$5,0))))</f>
        <v/>
      </c>
      <c r="BJ262" s="174" t="str">
        <f>IF(BJ$6="","",IF(BJ$3="Maior",iferror(VLOOKUP($R262,Capa!$A:$AJ,BJ$5,0),0),IF(ISERROR(1/VLOOKUP($R262,Capa!$A:$AJ,BJ$5,0)),0,1/VLOOKUP($R262,Capa!$A:$AJ,BJ$5,0))))</f>
        <v/>
      </c>
      <c r="BK262" s="174" t="str">
        <f>IF(BK$6="","",IF(BK$3="Maior",iferror(VLOOKUP($R262,Capa!$A:$AJ,BK$5,0),0),IF(ISERROR(1/VLOOKUP($R262,Capa!$A:$AJ,BK$5,0)),0,1/VLOOKUP($R262,Capa!$A:$AJ,BK$5,0))))</f>
        <v/>
      </c>
      <c r="BL262" s="174" t="str">
        <f>IF(BL$6="","",IF(BL$3="Maior",iferror(VLOOKUP($R262,Capa!$A:$AJ,BL$5,0),0),IF(ISERROR(1/VLOOKUP($R262,Capa!$A:$AJ,BL$5,0)),0,1/VLOOKUP($R262,Capa!$A:$AJ,BL$5,0))))</f>
        <v/>
      </c>
      <c r="BM262" s="174" t="str">
        <f>IF(BM$6="","",IF(BM$3="Maior",iferror(VLOOKUP($R262,Capa!$A:$AJ,BM$5,0),0),IF(ISERROR(1/VLOOKUP($R262,Capa!$A:$AJ,BM$5,0)),0,1/VLOOKUP($R262,Capa!$A:$AJ,BM$5,0))))</f>
        <v/>
      </c>
      <c r="BN262" s="174" t="str">
        <f>IF(BN$6="","",IF(BN$3="Maior",iferror(VLOOKUP($R262,Capa!$A:$AJ,BN$5,0),0),IF(ISERROR(1/VLOOKUP($R262,Capa!$A:$AJ,BN$5,0)),0,1/VLOOKUP($R262,Capa!$A:$AJ,BN$5,0))))</f>
        <v/>
      </c>
      <c r="BO262" s="174" t="str">
        <f>IF(BO$6="","",IF(BO$3="Maior",iferror(VLOOKUP($R262,Capa!$A:$AJ,BO$5,0),0),IF(ISERROR(1/VLOOKUP($R262,Capa!$A:$AJ,BO$5,0)),0,1/VLOOKUP($R262,Capa!$A:$AJ,BO$5,0))))</f>
        <v/>
      </c>
      <c r="BP262" s="174" t="str">
        <f>IF(BP$6="","",IF(BP$3="Maior",iferror(VLOOKUP($R262,Capa!$A:$AJ,BP$5,0),0),IF(ISERROR(1/VLOOKUP($R262,Capa!$A:$AJ,BP$5,0)),0,1/VLOOKUP($R262,Capa!$A:$AJ,BP$5,0))))</f>
        <v/>
      </c>
      <c r="BQ262" s="174" t="str">
        <f>IF(BQ$6="","",IF(BQ$3="Maior",iferror(VLOOKUP($R262,Capa!$A:$AJ,BQ$5,0),0),IF(ISERROR(1/VLOOKUP($R262,Capa!$A:$AJ,BQ$5,0)),0,1/VLOOKUP($R262,Capa!$A:$AJ,BQ$5,0))))</f>
        <v/>
      </c>
      <c r="BR262" s="175"/>
      <c r="BS262" s="147"/>
    </row>
    <row r="263">
      <c r="G263" s="11"/>
      <c r="H263" s="8">
        <v>257.0</v>
      </c>
      <c r="I263" s="165" t="str">
        <f t="shared" si="6"/>
        <v>PTCA11</v>
      </c>
      <c r="J263" s="166" t="str">
        <f>(VLOOKUP($I263,Capa!$A:$B,2,0))</f>
        <v/>
      </c>
      <c r="K263" s="167" t="str">
        <f>VLOOKUP(left(I263,4),Setor!A:D,3,0)&amp;" | "&amp;VLOOKUP(left(I263,4),Setor!A:D,4,0)</f>
        <v>Bens Industriais | Máquinas e Equipamentos</v>
      </c>
      <c r="L263" s="168" t="str">
        <f>(VLOOKUP($I263,Capa!$A:$F,6,0))</f>
        <v/>
      </c>
      <c r="M263" s="168">
        <f t="shared" si="7"/>
        <v>0</v>
      </c>
      <c r="N263" s="11" t="str">
        <f>(VLOOKUP($I263,Capa!$A:$H,7,0))</f>
        <v/>
      </c>
      <c r="O263" s="169" t="str">
        <f>(VLOOKUP($I263,Capa!$A:$H,8,0))</f>
        <v/>
      </c>
      <c r="P263" s="11" t="str">
        <f>(VLOOKUP($I263,Capa!$A:$J,10,0))</f>
        <v/>
      </c>
      <c r="Q263" s="169" t="str">
        <f>(VLOOKUP($I263,Capa!$A:$K,11,0))</f>
        <v/>
      </c>
      <c r="R263" s="45" t="str">
        <f>'Dados StatusInvest'!A258</f>
        <v>ESPA3</v>
      </c>
      <c r="S263" s="170">
        <f t="shared" si="234"/>
        <v>1093.1093</v>
      </c>
      <c r="T263" s="171">
        <f>VLOOKUP(R263,'Dados StatusInvest'!A:Z,26,0)</f>
        <v>705964.2</v>
      </c>
      <c r="U263" s="172">
        <f t="shared" ref="U263:AS263" si="266">IF(AT263="","", RANK(AT263,AT$7:AT$626,0)+RANK(AT263,AT$7:AT$626,0)/10000)</f>
        <v>485.0485</v>
      </c>
      <c r="V263" s="172">
        <f t="shared" si="266"/>
        <v>608.0608</v>
      </c>
      <c r="W263" s="172" t="str">
        <f t="shared" si="266"/>
        <v/>
      </c>
      <c r="X263" s="172" t="str">
        <f t="shared" si="266"/>
        <v/>
      </c>
      <c r="Y263" s="172" t="str">
        <f t="shared" si="266"/>
        <v/>
      </c>
      <c r="Z263" s="172" t="str">
        <f t="shared" si="266"/>
        <v/>
      </c>
      <c r="AA263" s="172" t="str">
        <f t="shared" si="266"/>
        <v/>
      </c>
      <c r="AB263" s="172" t="str">
        <f t="shared" si="266"/>
        <v/>
      </c>
      <c r="AC263" s="172" t="str">
        <f t="shared" si="266"/>
        <v/>
      </c>
      <c r="AD263" s="172" t="str">
        <f t="shared" si="266"/>
        <v/>
      </c>
      <c r="AE263" s="172" t="str">
        <f t="shared" si="266"/>
        <v/>
      </c>
      <c r="AF263" s="172" t="str">
        <f t="shared" si="266"/>
        <v/>
      </c>
      <c r="AG263" s="172" t="str">
        <f t="shared" si="266"/>
        <v/>
      </c>
      <c r="AH263" s="172" t="str">
        <f t="shared" si="266"/>
        <v/>
      </c>
      <c r="AI263" s="172" t="str">
        <f t="shared" si="266"/>
        <v/>
      </c>
      <c r="AJ263" s="172" t="str">
        <f t="shared" si="266"/>
        <v/>
      </c>
      <c r="AK263" s="172" t="str">
        <f t="shared" si="266"/>
        <v/>
      </c>
      <c r="AL263" s="172" t="str">
        <f t="shared" si="266"/>
        <v/>
      </c>
      <c r="AM263" s="172" t="str">
        <f t="shared" si="266"/>
        <v/>
      </c>
      <c r="AN263" s="172" t="str">
        <f t="shared" si="266"/>
        <v/>
      </c>
      <c r="AO263" s="172" t="str">
        <f t="shared" si="266"/>
        <v/>
      </c>
      <c r="AP263" s="172" t="str">
        <f t="shared" si="266"/>
        <v/>
      </c>
      <c r="AQ263" s="172" t="str">
        <f t="shared" si="266"/>
        <v/>
      </c>
      <c r="AR263" s="172" t="str">
        <f t="shared" si="266"/>
        <v/>
      </c>
      <c r="AS263" s="172" t="str">
        <f t="shared" si="266"/>
        <v/>
      </c>
      <c r="AT263" s="173">
        <f>IF(AT$6="","",IF(AT$3="Maior",iferror(VLOOKUP($R263,Capa!$A:$AJ,AT$5,0),0),IF(ISERROR(1/VLOOKUP($R263,Capa!$A:$AJ,AT$5,0)),0,1/VLOOKUP($R263,Capa!$A:$AJ,AT$5,0))))</f>
        <v>-2.703996171</v>
      </c>
      <c r="AU263" s="174">
        <f>IF(AU$6="","",IF(AU$3="Maior",iferror(VLOOKUP($R263,Capa!$A:$AJ,AU$5,0),0),IF(ISERROR(1/VLOOKUP($R263,Capa!$A:$AJ,AU$5,0)),0,1/VLOOKUP($R263,Capa!$A:$AJ,AU$5,0))))</f>
        <v>-26.03</v>
      </c>
      <c r="AV263" s="174" t="str">
        <f>IF(AV$6="","",IF(AV$3="Maior",iferror(VLOOKUP($R263,Capa!$A:$AJ,AV$5,0),0),IF(ISERROR(1/VLOOKUP($R263,Capa!$A:$AJ,AV$5,0)),0,1/VLOOKUP($R263,Capa!$A:$AJ,AV$5,0))))</f>
        <v/>
      </c>
      <c r="AW263" s="174" t="str">
        <f>IF(AW$6="","",IF(AW$3="Maior",iferror(VLOOKUP($R263,Capa!$A:$AJ,AW$5,0),0),IF(ISERROR(1/VLOOKUP($R263,Capa!$A:$AJ,AW$5,0)),0,1/VLOOKUP($R263,Capa!$A:$AJ,AW$5,0))))</f>
        <v/>
      </c>
      <c r="AX263" s="174" t="str">
        <f>IF(AX$6="","",IF(AX$3="Maior",iferror(VLOOKUP($R263,Capa!$A:$AJ,AX$5,0),0),IF(ISERROR(1/VLOOKUP($R263,Capa!$A:$AJ,AX$5,0)),0,1/VLOOKUP($R263,Capa!$A:$AJ,AX$5,0))))</f>
        <v/>
      </c>
      <c r="AY263" s="174" t="str">
        <f>IF(AY$6="","",IF(AY$3="Maior",iferror(VLOOKUP($R263,Capa!$A:$AJ,AY$5,0),0),IF(ISERROR(1/VLOOKUP($R263,Capa!$A:$AJ,AY$5,0)),0,1/VLOOKUP($R263,Capa!$A:$AJ,AY$5,0))))</f>
        <v/>
      </c>
      <c r="AZ263" s="174" t="str">
        <f>IF(AZ$6="","",IF(AZ$3="Maior",iferror(VLOOKUP($R263,Capa!$A:$AJ,AZ$5,0),0),IF(ISERROR(1/VLOOKUP($R263,Capa!$A:$AJ,AZ$5,0)),0,1/VLOOKUP($R263,Capa!$A:$AJ,AZ$5,0))))</f>
        <v/>
      </c>
      <c r="BA263" s="174" t="str">
        <f>IF(BA$6="","",IF(BA$3="Maior",iferror(VLOOKUP($R263,Capa!$A:$AJ,BA$5,0),0),IF(ISERROR(1/VLOOKUP($R263,Capa!$A:$AJ,BA$5,0)),0,1/VLOOKUP($R263,Capa!$A:$AJ,BA$5,0))))</f>
        <v/>
      </c>
      <c r="BB263" s="174" t="str">
        <f>IF(BB$6="","",IF(BB$3="Maior",iferror(VLOOKUP($R263,Capa!$A:$AJ,BB$5,0),0),IF(ISERROR(1/VLOOKUP($R263,Capa!$A:$AJ,BB$5,0)),0,1/VLOOKUP($R263,Capa!$A:$AJ,BB$5,0))))</f>
        <v/>
      </c>
      <c r="BC263" s="174" t="str">
        <f>IF(BC$6="","",IF(BC$3="Maior",iferror(VLOOKUP($R263,Capa!$A:$AJ,BC$5,0),0),IF(ISERROR(1/VLOOKUP($R263,Capa!$A:$AJ,BC$5,0)),0,1/VLOOKUP($R263,Capa!$A:$AJ,BC$5,0))))</f>
        <v/>
      </c>
      <c r="BD263" s="174" t="str">
        <f>IF(BD$6="","",IF(BD$3="Maior",iferror(VLOOKUP($R263,Capa!$A:$AJ,BD$5,0),0),IF(ISERROR(1/VLOOKUP($R263,Capa!$A:$AJ,BD$5,0)),0,1/VLOOKUP($R263,Capa!$A:$AJ,BD$5,0))))</f>
        <v/>
      </c>
      <c r="BE263" s="174" t="str">
        <f>IF(BE$6="","",IF(BE$3="Maior",iferror(VLOOKUP($R263,Capa!$A:$AJ,BE$5,0),0),IF(ISERROR(1/VLOOKUP($R263,Capa!$A:$AJ,BE$5,0)),0,1/VLOOKUP($R263,Capa!$A:$AJ,BE$5,0))))</f>
        <v/>
      </c>
      <c r="BF263" s="174" t="str">
        <f>IF(BF$6="","",IF(BF$3="Maior",iferror(VLOOKUP($R263,Capa!$A:$AJ,BF$5,0),0),IF(ISERROR(1/VLOOKUP($R263,Capa!$A:$AJ,BF$5,0)),0,1/VLOOKUP($R263,Capa!$A:$AJ,BF$5,0))))</f>
        <v/>
      </c>
      <c r="BG263" s="174" t="str">
        <f>IF(BG$6="","",IF(BG$3="Maior",iferror(VLOOKUP($R263,Capa!$A:$AJ,BG$5,0),0),IF(ISERROR(1/VLOOKUP($R263,Capa!$A:$AJ,BG$5,0)),0,1/VLOOKUP($R263,Capa!$A:$AJ,BG$5,0))))</f>
        <v/>
      </c>
      <c r="BH263" s="174" t="str">
        <f>IF(BH$6="","",IF(BH$3="Maior",iferror(VLOOKUP($R263,Capa!$A:$AJ,BH$5,0),0),IF(ISERROR(1/VLOOKUP($R263,Capa!$A:$AJ,BH$5,0)),0,1/VLOOKUP($R263,Capa!$A:$AJ,BH$5,0))))</f>
        <v/>
      </c>
      <c r="BI263" s="174" t="str">
        <f>IF(BI$6="","",IF(BI$3="Maior",iferror(VLOOKUP($R263,Capa!$A:$AJ,BI$5,0),0),IF(ISERROR(1/VLOOKUP($R263,Capa!$A:$AJ,BI$5,0)),0,1/VLOOKUP($R263,Capa!$A:$AJ,BI$5,0))))</f>
        <v/>
      </c>
      <c r="BJ263" s="174" t="str">
        <f>IF(BJ$6="","",IF(BJ$3="Maior",iferror(VLOOKUP($R263,Capa!$A:$AJ,BJ$5,0),0),IF(ISERROR(1/VLOOKUP($R263,Capa!$A:$AJ,BJ$5,0)),0,1/VLOOKUP($R263,Capa!$A:$AJ,BJ$5,0))))</f>
        <v/>
      </c>
      <c r="BK263" s="174" t="str">
        <f>IF(BK$6="","",IF(BK$3="Maior",iferror(VLOOKUP($R263,Capa!$A:$AJ,BK$5,0),0),IF(ISERROR(1/VLOOKUP($R263,Capa!$A:$AJ,BK$5,0)),0,1/VLOOKUP($R263,Capa!$A:$AJ,BK$5,0))))</f>
        <v/>
      </c>
      <c r="BL263" s="174" t="str">
        <f>IF(BL$6="","",IF(BL$3="Maior",iferror(VLOOKUP($R263,Capa!$A:$AJ,BL$5,0),0),IF(ISERROR(1/VLOOKUP($R263,Capa!$A:$AJ,BL$5,0)),0,1/VLOOKUP($R263,Capa!$A:$AJ,BL$5,0))))</f>
        <v/>
      </c>
      <c r="BM263" s="174" t="str">
        <f>IF(BM$6="","",IF(BM$3="Maior",iferror(VLOOKUP($R263,Capa!$A:$AJ,BM$5,0),0),IF(ISERROR(1/VLOOKUP($R263,Capa!$A:$AJ,BM$5,0)),0,1/VLOOKUP($R263,Capa!$A:$AJ,BM$5,0))))</f>
        <v/>
      </c>
      <c r="BN263" s="174" t="str">
        <f>IF(BN$6="","",IF(BN$3="Maior",iferror(VLOOKUP($R263,Capa!$A:$AJ,BN$5,0),0),IF(ISERROR(1/VLOOKUP($R263,Capa!$A:$AJ,BN$5,0)),0,1/VLOOKUP($R263,Capa!$A:$AJ,BN$5,0))))</f>
        <v/>
      </c>
      <c r="BO263" s="174" t="str">
        <f>IF(BO$6="","",IF(BO$3="Maior",iferror(VLOOKUP($R263,Capa!$A:$AJ,BO$5,0),0),IF(ISERROR(1/VLOOKUP($R263,Capa!$A:$AJ,BO$5,0)),0,1/VLOOKUP($R263,Capa!$A:$AJ,BO$5,0))))</f>
        <v/>
      </c>
      <c r="BP263" s="174" t="str">
        <f>IF(BP$6="","",IF(BP$3="Maior",iferror(VLOOKUP($R263,Capa!$A:$AJ,BP$5,0),0),IF(ISERROR(1/VLOOKUP($R263,Capa!$A:$AJ,BP$5,0)),0,1/VLOOKUP($R263,Capa!$A:$AJ,BP$5,0))))</f>
        <v/>
      </c>
      <c r="BQ263" s="174" t="str">
        <f>IF(BQ$6="","",IF(BQ$3="Maior",iferror(VLOOKUP($R263,Capa!$A:$AJ,BQ$5,0),0),IF(ISERROR(1/VLOOKUP($R263,Capa!$A:$AJ,BQ$5,0)),0,1/VLOOKUP($R263,Capa!$A:$AJ,BQ$5,0))))</f>
        <v/>
      </c>
      <c r="BR263" s="175"/>
      <c r="BS263" s="147"/>
    </row>
    <row r="264">
      <c r="G264" s="11"/>
      <c r="H264" s="8">
        <v>258.0</v>
      </c>
      <c r="I264" s="165" t="str">
        <f t="shared" si="6"/>
        <v>BOAS3</v>
      </c>
      <c r="J264" s="166" t="str">
        <f>(VLOOKUP($I264,Capa!$A:$B,2,0))</f>
        <v/>
      </c>
      <c r="K264" s="167" t="str">
        <f>VLOOKUP(left(I264,4),Setor!A:D,3,0)&amp;" | "&amp;VLOOKUP(left(I264,4),Setor!A:D,4,0)</f>
        <v>Financeiro | Serviços Financeiros Diversos</v>
      </c>
      <c r="L264" s="168" t="str">
        <f>(VLOOKUP($I264,Capa!$A:$F,6,0))</f>
        <v/>
      </c>
      <c r="M264" s="168">
        <f t="shared" si="7"/>
        <v>0</v>
      </c>
      <c r="N264" s="11" t="str">
        <f>(VLOOKUP($I264,Capa!$A:$H,7,0))</f>
        <v/>
      </c>
      <c r="O264" s="169" t="str">
        <f>(VLOOKUP($I264,Capa!$A:$H,8,0))</f>
        <v/>
      </c>
      <c r="P264" s="11" t="str">
        <f>(VLOOKUP($I264,Capa!$A:$J,10,0))</f>
        <v/>
      </c>
      <c r="Q264" s="169" t="str">
        <f>(VLOOKUP($I264,Capa!$A:$K,11,0))</f>
        <v/>
      </c>
      <c r="R264" s="45" t="str">
        <f>'Dados StatusInvest'!A259</f>
        <v>ESTR3</v>
      </c>
      <c r="S264" s="170">
        <f t="shared" si="234"/>
        <v>1846.0846</v>
      </c>
      <c r="T264" s="171">
        <f>VLOOKUP(R264,'Dados StatusInvest'!A:Z,26,0)</f>
        <v>301</v>
      </c>
      <c r="U264" s="172">
        <f t="shared" ref="U264:AS264" si="267">IF(AT264="","", RANK(AT264,AT$7:AT$626,0)+RANK(AT264,AT$7:AT$626,0)/10000)</f>
        <v>579.0579</v>
      </c>
      <c r="V264" s="172">
        <f t="shared" si="267"/>
        <v>267.0267</v>
      </c>
      <c r="W264" s="172" t="str">
        <f t="shared" si="267"/>
        <v/>
      </c>
      <c r="X264" s="172" t="str">
        <f t="shared" si="267"/>
        <v/>
      </c>
      <c r="Y264" s="172" t="str">
        <f t="shared" si="267"/>
        <v/>
      </c>
      <c r="Z264" s="172" t="str">
        <f t="shared" si="267"/>
        <v/>
      </c>
      <c r="AA264" s="172" t="str">
        <f t="shared" si="267"/>
        <v/>
      </c>
      <c r="AB264" s="172" t="str">
        <f t="shared" si="267"/>
        <v/>
      </c>
      <c r="AC264" s="172" t="str">
        <f t="shared" si="267"/>
        <v/>
      </c>
      <c r="AD264" s="172" t="str">
        <f t="shared" si="267"/>
        <v/>
      </c>
      <c r="AE264" s="172" t="str">
        <f t="shared" si="267"/>
        <v/>
      </c>
      <c r="AF264" s="172" t="str">
        <f t="shared" si="267"/>
        <v/>
      </c>
      <c r="AG264" s="172" t="str">
        <f t="shared" si="267"/>
        <v/>
      </c>
      <c r="AH264" s="172" t="str">
        <f t="shared" si="267"/>
        <v/>
      </c>
      <c r="AI264" s="172" t="str">
        <f t="shared" si="267"/>
        <v/>
      </c>
      <c r="AJ264" s="172" t="str">
        <f t="shared" si="267"/>
        <v/>
      </c>
      <c r="AK264" s="172" t="str">
        <f t="shared" si="267"/>
        <v/>
      </c>
      <c r="AL264" s="172" t="str">
        <f t="shared" si="267"/>
        <v/>
      </c>
      <c r="AM264" s="172" t="str">
        <f t="shared" si="267"/>
        <v/>
      </c>
      <c r="AN264" s="172" t="str">
        <f t="shared" si="267"/>
        <v/>
      </c>
      <c r="AO264" s="172" t="str">
        <f t="shared" si="267"/>
        <v/>
      </c>
      <c r="AP264" s="172" t="str">
        <f t="shared" si="267"/>
        <v/>
      </c>
      <c r="AQ264" s="172" t="str">
        <f t="shared" si="267"/>
        <v/>
      </c>
      <c r="AR264" s="172" t="str">
        <f t="shared" si="267"/>
        <v/>
      </c>
      <c r="AS264" s="172" t="str">
        <f t="shared" si="267"/>
        <v/>
      </c>
      <c r="AT264" s="173">
        <f>IF(AT$6="","",IF(AT$3="Maior",iferror(VLOOKUP($R264,Capa!$A:$AJ,AT$5,0),0),IF(ISERROR(1/VLOOKUP($R264,Capa!$A:$AJ,AT$5,0)),0,1/VLOOKUP($R264,Capa!$A:$AJ,AT$5,0))))</f>
        <v>-9.090909091</v>
      </c>
      <c r="AU264" s="174">
        <f>IF(AU$6="","",IF(AU$3="Maior",iferror(VLOOKUP($R264,Capa!$A:$AJ,AU$5,0),0),IF(ISERROR(1/VLOOKUP($R264,Capa!$A:$AJ,AU$5,0)),0,1/VLOOKUP($R264,Capa!$A:$AJ,AU$5,0))))</f>
        <v>0</v>
      </c>
      <c r="AV264" s="174" t="str">
        <f>IF(AV$6="","",IF(AV$3="Maior",iferror(VLOOKUP($R264,Capa!$A:$AJ,AV$5,0),0),IF(ISERROR(1/VLOOKUP($R264,Capa!$A:$AJ,AV$5,0)),0,1/VLOOKUP($R264,Capa!$A:$AJ,AV$5,0))))</f>
        <v/>
      </c>
      <c r="AW264" s="174" t="str">
        <f>IF(AW$6="","",IF(AW$3="Maior",iferror(VLOOKUP($R264,Capa!$A:$AJ,AW$5,0),0),IF(ISERROR(1/VLOOKUP($R264,Capa!$A:$AJ,AW$5,0)),0,1/VLOOKUP($R264,Capa!$A:$AJ,AW$5,0))))</f>
        <v/>
      </c>
      <c r="AX264" s="174" t="str">
        <f>IF(AX$6="","",IF(AX$3="Maior",iferror(VLOOKUP($R264,Capa!$A:$AJ,AX$5,0),0),IF(ISERROR(1/VLOOKUP($R264,Capa!$A:$AJ,AX$5,0)),0,1/VLOOKUP($R264,Capa!$A:$AJ,AX$5,0))))</f>
        <v/>
      </c>
      <c r="AY264" s="174" t="str">
        <f>IF(AY$6="","",IF(AY$3="Maior",iferror(VLOOKUP($R264,Capa!$A:$AJ,AY$5,0),0),IF(ISERROR(1/VLOOKUP($R264,Capa!$A:$AJ,AY$5,0)),0,1/VLOOKUP($R264,Capa!$A:$AJ,AY$5,0))))</f>
        <v/>
      </c>
      <c r="AZ264" s="174" t="str">
        <f>IF(AZ$6="","",IF(AZ$3="Maior",iferror(VLOOKUP($R264,Capa!$A:$AJ,AZ$5,0),0),IF(ISERROR(1/VLOOKUP($R264,Capa!$A:$AJ,AZ$5,0)),0,1/VLOOKUP($R264,Capa!$A:$AJ,AZ$5,0))))</f>
        <v/>
      </c>
      <c r="BA264" s="174" t="str">
        <f>IF(BA$6="","",IF(BA$3="Maior",iferror(VLOOKUP($R264,Capa!$A:$AJ,BA$5,0),0),IF(ISERROR(1/VLOOKUP($R264,Capa!$A:$AJ,BA$5,0)),0,1/VLOOKUP($R264,Capa!$A:$AJ,BA$5,0))))</f>
        <v/>
      </c>
      <c r="BB264" s="174" t="str">
        <f>IF(BB$6="","",IF(BB$3="Maior",iferror(VLOOKUP($R264,Capa!$A:$AJ,BB$5,0),0),IF(ISERROR(1/VLOOKUP($R264,Capa!$A:$AJ,BB$5,0)),0,1/VLOOKUP($R264,Capa!$A:$AJ,BB$5,0))))</f>
        <v/>
      </c>
      <c r="BC264" s="174" t="str">
        <f>IF(BC$6="","",IF(BC$3="Maior",iferror(VLOOKUP($R264,Capa!$A:$AJ,BC$5,0),0),IF(ISERROR(1/VLOOKUP($R264,Capa!$A:$AJ,BC$5,0)),0,1/VLOOKUP($R264,Capa!$A:$AJ,BC$5,0))))</f>
        <v/>
      </c>
      <c r="BD264" s="174" t="str">
        <f>IF(BD$6="","",IF(BD$3="Maior",iferror(VLOOKUP($R264,Capa!$A:$AJ,BD$5,0),0),IF(ISERROR(1/VLOOKUP($R264,Capa!$A:$AJ,BD$5,0)),0,1/VLOOKUP($R264,Capa!$A:$AJ,BD$5,0))))</f>
        <v/>
      </c>
      <c r="BE264" s="174" t="str">
        <f>IF(BE$6="","",IF(BE$3="Maior",iferror(VLOOKUP($R264,Capa!$A:$AJ,BE$5,0),0),IF(ISERROR(1/VLOOKUP($R264,Capa!$A:$AJ,BE$5,0)),0,1/VLOOKUP($R264,Capa!$A:$AJ,BE$5,0))))</f>
        <v/>
      </c>
      <c r="BF264" s="174" t="str">
        <f>IF(BF$6="","",IF(BF$3="Maior",iferror(VLOOKUP($R264,Capa!$A:$AJ,BF$5,0),0),IF(ISERROR(1/VLOOKUP($R264,Capa!$A:$AJ,BF$5,0)),0,1/VLOOKUP($R264,Capa!$A:$AJ,BF$5,0))))</f>
        <v/>
      </c>
      <c r="BG264" s="174" t="str">
        <f>IF(BG$6="","",IF(BG$3="Maior",iferror(VLOOKUP($R264,Capa!$A:$AJ,BG$5,0),0),IF(ISERROR(1/VLOOKUP($R264,Capa!$A:$AJ,BG$5,0)),0,1/VLOOKUP($R264,Capa!$A:$AJ,BG$5,0))))</f>
        <v/>
      </c>
      <c r="BH264" s="174" t="str">
        <f>IF(BH$6="","",IF(BH$3="Maior",iferror(VLOOKUP($R264,Capa!$A:$AJ,BH$5,0),0),IF(ISERROR(1/VLOOKUP($R264,Capa!$A:$AJ,BH$5,0)),0,1/VLOOKUP($R264,Capa!$A:$AJ,BH$5,0))))</f>
        <v/>
      </c>
      <c r="BI264" s="174" t="str">
        <f>IF(BI$6="","",IF(BI$3="Maior",iferror(VLOOKUP($R264,Capa!$A:$AJ,BI$5,0),0),IF(ISERROR(1/VLOOKUP($R264,Capa!$A:$AJ,BI$5,0)),0,1/VLOOKUP($R264,Capa!$A:$AJ,BI$5,0))))</f>
        <v/>
      </c>
      <c r="BJ264" s="174" t="str">
        <f>IF(BJ$6="","",IF(BJ$3="Maior",iferror(VLOOKUP($R264,Capa!$A:$AJ,BJ$5,0),0),IF(ISERROR(1/VLOOKUP($R264,Capa!$A:$AJ,BJ$5,0)),0,1/VLOOKUP($R264,Capa!$A:$AJ,BJ$5,0))))</f>
        <v/>
      </c>
      <c r="BK264" s="174" t="str">
        <f>IF(BK$6="","",IF(BK$3="Maior",iferror(VLOOKUP($R264,Capa!$A:$AJ,BK$5,0),0),IF(ISERROR(1/VLOOKUP($R264,Capa!$A:$AJ,BK$5,0)),0,1/VLOOKUP($R264,Capa!$A:$AJ,BK$5,0))))</f>
        <v/>
      </c>
      <c r="BL264" s="174" t="str">
        <f>IF(BL$6="","",IF(BL$3="Maior",iferror(VLOOKUP($R264,Capa!$A:$AJ,BL$5,0),0),IF(ISERROR(1/VLOOKUP($R264,Capa!$A:$AJ,BL$5,0)),0,1/VLOOKUP($R264,Capa!$A:$AJ,BL$5,0))))</f>
        <v/>
      </c>
      <c r="BM264" s="174" t="str">
        <f>IF(BM$6="","",IF(BM$3="Maior",iferror(VLOOKUP($R264,Capa!$A:$AJ,BM$5,0),0),IF(ISERROR(1/VLOOKUP($R264,Capa!$A:$AJ,BM$5,0)),0,1/VLOOKUP($R264,Capa!$A:$AJ,BM$5,0))))</f>
        <v/>
      </c>
      <c r="BN264" s="174" t="str">
        <f>IF(BN$6="","",IF(BN$3="Maior",iferror(VLOOKUP($R264,Capa!$A:$AJ,BN$5,0),0),IF(ISERROR(1/VLOOKUP($R264,Capa!$A:$AJ,BN$5,0)),0,1/VLOOKUP($R264,Capa!$A:$AJ,BN$5,0))))</f>
        <v/>
      </c>
      <c r="BO264" s="174" t="str">
        <f>IF(BO$6="","",IF(BO$3="Maior",iferror(VLOOKUP($R264,Capa!$A:$AJ,BO$5,0),0),IF(ISERROR(1/VLOOKUP($R264,Capa!$A:$AJ,BO$5,0)),0,1/VLOOKUP($R264,Capa!$A:$AJ,BO$5,0))))</f>
        <v/>
      </c>
      <c r="BP264" s="174" t="str">
        <f>IF(BP$6="","",IF(BP$3="Maior",iferror(VLOOKUP($R264,Capa!$A:$AJ,BP$5,0),0),IF(ISERROR(1/VLOOKUP($R264,Capa!$A:$AJ,BP$5,0)),0,1/VLOOKUP($R264,Capa!$A:$AJ,BP$5,0))))</f>
        <v/>
      </c>
      <c r="BQ264" s="174" t="str">
        <f>IF(BQ$6="","",IF(BQ$3="Maior",iferror(VLOOKUP($R264,Capa!$A:$AJ,BQ$5,0),0),IF(ISERROR(1/VLOOKUP($R264,Capa!$A:$AJ,BQ$5,0)),0,1/VLOOKUP($R264,Capa!$A:$AJ,BQ$5,0))))</f>
        <v/>
      </c>
      <c r="BR264" s="175"/>
      <c r="BS264" s="147"/>
    </row>
    <row r="265">
      <c r="G265" s="11"/>
      <c r="H265" s="8">
        <v>259.0</v>
      </c>
      <c r="I265" s="165" t="str">
        <f t="shared" si="6"/>
        <v>QUAL3</v>
      </c>
      <c r="J265" s="166" t="str">
        <f>(VLOOKUP($I265,Capa!$A:$B,2,0))</f>
        <v>Qualicorp Consultoria e Cra de Ses SA</v>
      </c>
      <c r="K265" s="167" t="str">
        <f>VLOOKUP(left(I265,4),Setor!A:D,3,0)&amp;" | "&amp;VLOOKUP(left(I265,4),Setor!A:D,4,0)</f>
        <v>Saúde | Análises e Diagnósticos</v>
      </c>
      <c r="L265" s="168">
        <f>(VLOOKUP($I265,Capa!$A:$F,6,0))</f>
        <v>2.46</v>
      </c>
      <c r="M265" s="168">
        <f t="shared" si="7"/>
        <v>8377166</v>
      </c>
      <c r="N265" s="11" t="str">
        <f>IFERROR(__xludf.DUMMYFUNCTION("(VLOOKUP($I265,Capa!$A:$H,7,0))"),"")</f>
        <v/>
      </c>
      <c r="O265" s="169">
        <f>(VLOOKUP($I265,Capa!$A:$H,8,0))</f>
        <v>0.06956521739</v>
      </c>
      <c r="P265" s="11" t="str">
        <f>IFERROR(__xludf.DUMMYFUNCTION("(VLOOKUP($I265,Capa!$A:$J,10,0))"),"")</f>
        <v/>
      </c>
      <c r="Q265" s="169">
        <f>(VLOOKUP($I265,Capa!$A:$K,11,0))</f>
        <v>0.223880597</v>
      </c>
      <c r="R265" s="45" t="str">
        <f>'Dados StatusInvest'!A260</f>
        <v>ESTR4</v>
      </c>
      <c r="S265" s="170">
        <f t="shared" si="234"/>
        <v>1824.0824</v>
      </c>
      <c r="T265" s="171">
        <f>VLOOKUP(R265,'Dados StatusInvest'!A:Z,26,0)</f>
        <v>1444.38</v>
      </c>
      <c r="U265" s="172">
        <f t="shared" ref="U265:AS265" si="268">IF(AT265="","", RANK(AT265,AT$7:AT$626,0)+RANK(AT265,AT$7:AT$626,0)/10000)</f>
        <v>557.0557</v>
      </c>
      <c r="V265" s="172">
        <f t="shared" si="268"/>
        <v>267.0267</v>
      </c>
      <c r="W265" s="172" t="str">
        <f t="shared" si="268"/>
        <v/>
      </c>
      <c r="X265" s="172" t="str">
        <f t="shared" si="268"/>
        <v/>
      </c>
      <c r="Y265" s="172" t="str">
        <f t="shared" si="268"/>
        <v/>
      </c>
      <c r="Z265" s="172" t="str">
        <f t="shared" si="268"/>
        <v/>
      </c>
      <c r="AA265" s="172" t="str">
        <f t="shared" si="268"/>
        <v/>
      </c>
      <c r="AB265" s="172" t="str">
        <f t="shared" si="268"/>
        <v/>
      </c>
      <c r="AC265" s="172" t="str">
        <f t="shared" si="268"/>
        <v/>
      </c>
      <c r="AD265" s="172" t="str">
        <f t="shared" si="268"/>
        <v/>
      </c>
      <c r="AE265" s="172" t="str">
        <f t="shared" si="268"/>
        <v/>
      </c>
      <c r="AF265" s="172" t="str">
        <f t="shared" si="268"/>
        <v/>
      </c>
      <c r="AG265" s="172" t="str">
        <f t="shared" si="268"/>
        <v/>
      </c>
      <c r="AH265" s="172" t="str">
        <f t="shared" si="268"/>
        <v/>
      </c>
      <c r="AI265" s="172" t="str">
        <f t="shared" si="268"/>
        <v/>
      </c>
      <c r="AJ265" s="172" t="str">
        <f t="shared" si="268"/>
        <v/>
      </c>
      <c r="AK265" s="172" t="str">
        <f t="shared" si="268"/>
        <v/>
      </c>
      <c r="AL265" s="172" t="str">
        <f t="shared" si="268"/>
        <v/>
      </c>
      <c r="AM265" s="172" t="str">
        <f t="shared" si="268"/>
        <v/>
      </c>
      <c r="AN265" s="172" t="str">
        <f t="shared" si="268"/>
        <v/>
      </c>
      <c r="AO265" s="172" t="str">
        <f t="shared" si="268"/>
        <v/>
      </c>
      <c r="AP265" s="172" t="str">
        <f t="shared" si="268"/>
        <v/>
      </c>
      <c r="AQ265" s="172" t="str">
        <f t="shared" si="268"/>
        <v/>
      </c>
      <c r="AR265" s="172" t="str">
        <f t="shared" si="268"/>
        <v/>
      </c>
      <c r="AS265" s="172" t="str">
        <f t="shared" si="268"/>
        <v/>
      </c>
      <c r="AT265" s="173">
        <f>IF(AT$6="","",IF(AT$3="Maior",iferror(VLOOKUP($R265,Capa!$A:$AJ,AT$5,0),0),IF(ISERROR(1/VLOOKUP($R265,Capa!$A:$AJ,AT$5,0)),0,1/VLOOKUP($R265,Capa!$A:$AJ,AT$5,0))))</f>
        <v>-6.25</v>
      </c>
      <c r="AU265" s="174">
        <f>IF(AU$6="","",IF(AU$3="Maior",iferror(VLOOKUP($R265,Capa!$A:$AJ,AU$5,0),0),IF(ISERROR(1/VLOOKUP($R265,Capa!$A:$AJ,AU$5,0)),0,1/VLOOKUP($R265,Capa!$A:$AJ,AU$5,0))))</f>
        <v>0</v>
      </c>
      <c r="AV265" s="174" t="str">
        <f>IF(AV$6="","",IF(AV$3="Maior",iferror(VLOOKUP($R265,Capa!$A:$AJ,AV$5,0),0),IF(ISERROR(1/VLOOKUP($R265,Capa!$A:$AJ,AV$5,0)),0,1/VLOOKUP($R265,Capa!$A:$AJ,AV$5,0))))</f>
        <v/>
      </c>
      <c r="AW265" s="174" t="str">
        <f>IF(AW$6="","",IF(AW$3="Maior",iferror(VLOOKUP($R265,Capa!$A:$AJ,AW$5,0),0),IF(ISERROR(1/VLOOKUP($R265,Capa!$A:$AJ,AW$5,0)),0,1/VLOOKUP($R265,Capa!$A:$AJ,AW$5,0))))</f>
        <v/>
      </c>
      <c r="AX265" s="174" t="str">
        <f>IF(AX$6="","",IF(AX$3="Maior",iferror(VLOOKUP($R265,Capa!$A:$AJ,AX$5,0),0),IF(ISERROR(1/VLOOKUP($R265,Capa!$A:$AJ,AX$5,0)),0,1/VLOOKUP($R265,Capa!$A:$AJ,AX$5,0))))</f>
        <v/>
      </c>
      <c r="AY265" s="174" t="str">
        <f>IF(AY$6="","",IF(AY$3="Maior",iferror(VLOOKUP($R265,Capa!$A:$AJ,AY$5,0),0),IF(ISERROR(1/VLOOKUP($R265,Capa!$A:$AJ,AY$5,0)),0,1/VLOOKUP($R265,Capa!$A:$AJ,AY$5,0))))</f>
        <v/>
      </c>
      <c r="AZ265" s="174" t="str">
        <f>IF(AZ$6="","",IF(AZ$3="Maior",iferror(VLOOKUP($R265,Capa!$A:$AJ,AZ$5,0),0),IF(ISERROR(1/VLOOKUP($R265,Capa!$A:$AJ,AZ$5,0)),0,1/VLOOKUP($R265,Capa!$A:$AJ,AZ$5,0))))</f>
        <v/>
      </c>
      <c r="BA265" s="174" t="str">
        <f>IF(BA$6="","",IF(BA$3="Maior",iferror(VLOOKUP($R265,Capa!$A:$AJ,BA$5,0),0),IF(ISERROR(1/VLOOKUP($R265,Capa!$A:$AJ,BA$5,0)),0,1/VLOOKUP($R265,Capa!$A:$AJ,BA$5,0))))</f>
        <v/>
      </c>
      <c r="BB265" s="174" t="str">
        <f>IF(BB$6="","",IF(BB$3="Maior",iferror(VLOOKUP($R265,Capa!$A:$AJ,BB$5,0),0),IF(ISERROR(1/VLOOKUP($R265,Capa!$A:$AJ,BB$5,0)),0,1/VLOOKUP($R265,Capa!$A:$AJ,BB$5,0))))</f>
        <v/>
      </c>
      <c r="BC265" s="174" t="str">
        <f>IF(BC$6="","",IF(BC$3="Maior",iferror(VLOOKUP($R265,Capa!$A:$AJ,BC$5,0),0),IF(ISERROR(1/VLOOKUP($R265,Capa!$A:$AJ,BC$5,0)),0,1/VLOOKUP($R265,Capa!$A:$AJ,BC$5,0))))</f>
        <v/>
      </c>
      <c r="BD265" s="174" t="str">
        <f>IF(BD$6="","",IF(BD$3="Maior",iferror(VLOOKUP($R265,Capa!$A:$AJ,BD$5,0),0),IF(ISERROR(1/VLOOKUP($R265,Capa!$A:$AJ,BD$5,0)),0,1/VLOOKUP($R265,Capa!$A:$AJ,BD$5,0))))</f>
        <v/>
      </c>
      <c r="BE265" s="174" t="str">
        <f>IF(BE$6="","",IF(BE$3="Maior",iferror(VLOOKUP($R265,Capa!$A:$AJ,BE$5,0),0),IF(ISERROR(1/VLOOKUP($R265,Capa!$A:$AJ,BE$5,0)),0,1/VLOOKUP($R265,Capa!$A:$AJ,BE$5,0))))</f>
        <v/>
      </c>
      <c r="BF265" s="174" t="str">
        <f>IF(BF$6="","",IF(BF$3="Maior",iferror(VLOOKUP($R265,Capa!$A:$AJ,BF$5,0),0),IF(ISERROR(1/VLOOKUP($R265,Capa!$A:$AJ,BF$5,0)),0,1/VLOOKUP($R265,Capa!$A:$AJ,BF$5,0))))</f>
        <v/>
      </c>
      <c r="BG265" s="174" t="str">
        <f>IF(BG$6="","",IF(BG$3="Maior",iferror(VLOOKUP($R265,Capa!$A:$AJ,BG$5,0),0),IF(ISERROR(1/VLOOKUP($R265,Capa!$A:$AJ,BG$5,0)),0,1/VLOOKUP($R265,Capa!$A:$AJ,BG$5,0))))</f>
        <v/>
      </c>
      <c r="BH265" s="174" t="str">
        <f>IF(BH$6="","",IF(BH$3="Maior",iferror(VLOOKUP($R265,Capa!$A:$AJ,BH$5,0),0),IF(ISERROR(1/VLOOKUP($R265,Capa!$A:$AJ,BH$5,0)),0,1/VLOOKUP($R265,Capa!$A:$AJ,BH$5,0))))</f>
        <v/>
      </c>
      <c r="BI265" s="174" t="str">
        <f>IF(BI$6="","",IF(BI$3="Maior",iferror(VLOOKUP($R265,Capa!$A:$AJ,BI$5,0),0),IF(ISERROR(1/VLOOKUP($R265,Capa!$A:$AJ,BI$5,0)),0,1/VLOOKUP($R265,Capa!$A:$AJ,BI$5,0))))</f>
        <v/>
      </c>
      <c r="BJ265" s="174" t="str">
        <f>IF(BJ$6="","",IF(BJ$3="Maior",iferror(VLOOKUP($R265,Capa!$A:$AJ,BJ$5,0),0),IF(ISERROR(1/VLOOKUP($R265,Capa!$A:$AJ,BJ$5,0)),0,1/VLOOKUP($R265,Capa!$A:$AJ,BJ$5,0))))</f>
        <v/>
      </c>
      <c r="BK265" s="174" t="str">
        <f>IF(BK$6="","",IF(BK$3="Maior",iferror(VLOOKUP($R265,Capa!$A:$AJ,BK$5,0),0),IF(ISERROR(1/VLOOKUP($R265,Capa!$A:$AJ,BK$5,0)),0,1/VLOOKUP($R265,Capa!$A:$AJ,BK$5,0))))</f>
        <v/>
      </c>
      <c r="BL265" s="174" t="str">
        <f>IF(BL$6="","",IF(BL$3="Maior",iferror(VLOOKUP($R265,Capa!$A:$AJ,BL$5,0),0),IF(ISERROR(1/VLOOKUP($R265,Capa!$A:$AJ,BL$5,0)),0,1/VLOOKUP($R265,Capa!$A:$AJ,BL$5,0))))</f>
        <v/>
      </c>
      <c r="BM265" s="174" t="str">
        <f>IF(BM$6="","",IF(BM$3="Maior",iferror(VLOOKUP($R265,Capa!$A:$AJ,BM$5,0),0),IF(ISERROR(1/VLOOKUP($R265,Capa!$A:$AJ,BM$5,0)),0,1/VLOOKUP($R265,Capa!$A:$AJ,BM$5,0))))</f>
        <v/>
      </c>
      <c r="BN265" s="174" t="str">
        <f>IF(BN$6="","",IF(BN$3="Maior",iferror(VLOOKUP($R265,Capa!$A:$AJ,BN$5,0),0),IF(ISERROR(1/VLOOKUP($R265,Capa!$A:$AJ,BN$5,0)),0,1/VLOOKUP($R265,Capa!$A:$AJ,BN$5,0))))</f>
        <v/>
      </c>
      <c r="BO265" s="174" t="str">
        <f>IF(BO$6="","",IF(BO$3="Maior",iferror(VLOOKUP($R265,Capa!$A:$AJ,BO$5,0),0),IF(ISERROR(1/VLOOKUP($R265,Capa!$A:$AJ,BO$5,0)),0,1/VLOOKUP($R265,Capa!$A:$AJ,BO$5,0))))</f>
        <v/>
      </c>
      <c r="BP265" s="174" t="str">
        <f>IF(BP$6="","",IF(BP$3="Maior",iferror(VLOOKUP($R265,Capa!$A:$AJ,BP$5,0),0),IF(ISERROR(1/VLOOKUP($R265,Capa!$A:$AJ,BP$5,0)),0,1/VLOOKUP($R265,Capa!$A:$AJ,BP$5,0))))</f>
        <v/>
      </c>
      <c r="BQ265" s="174" t="str">
        <f>IF(BQ$6="","",IF(BQ$3="Maior",iferror(VLOOKUP($R265,Capa!$A:$AJ,BQ$5,0),0),IF(ISERROR(1/VLOOKUP($R265,Capa!$A:$AJ,BQ$5,0)),0,1/VLOOKUP($R265,Capa!$A:$AJ,BQ$5,0))))</f>
        <v/>
      </c>
      <c r="BR265" s="175"/>
      <c r="BS265" s="147"/>
    </row>
    <row r="266">
      <c r="G266" s="11"/>
      <c r="H266" s="8">
        <v>260.0</v>
      </c>
      <c r="I266" s="165" t="str">
        <f t="shared" si="6"/>
        <v>CATA4</v>
      </c>
      <c r="J266" s="166" t="str">
        <f>(VLOOKUP($I266,Capa!$A:$B,2,0))</f>
        <v>Companhia Industrial Cataguases Preference Shares</v>
      </c>
      <c r="K266" s="167" t="str">
        <f>VLOOKUP(left(I266,4),Setor!A:D,3,0)&amp;" | "&amp;VLOOKUP(left(I266,4),Setor!A:D,4,0)</f>
        <v>Consumo Cíclico | Tecidos, Vestuário e Calçados</v>
      </c>
      <c r="L266" s="168">
        <f>(VLOOKUP($I266,Capa!$A:$F,6,0))</f>
        <v>0</v>
      </c>
      <c r="M266" s="168">
        <f t="shared" si="7"/>
        <v>0</v>
      </c>
      <c r="N266" s="11" t="str">
        <f>(VLOOKUP($I266,Capa!$A:$H,7,0))</f>
        <v/>
      </c>
      <c r="O266" s="169" t="str">
        <f>(VLOOKUP($I266,Capa!$A:$H,8,0))</f>
        <v/>
      </c>
      <c r="P266" s="11" t="str">
        <f>(VLOOKUP($I266,Capa!$A:$J,10,0))</f>
        <v/>
      </c>
      <c r="Q266" s="169" t="str">
        <f>(VLOOKUP($I266,Capa!$A:$K,11,0))</f>
        <v/>
      </c>
      <c r="R266" s="45" t="str">
        <f>'Dados StatusInvest'!A261</f>
        <v>ETER3</v>
      </c>
      <c r="S266" s="170">
        <f t="shared" si="234"/>
        <v>760.076</v>
      </c>
      <c r="T266" s="171">
        <f>VLOOKUP(R266,'Dados StatusInvest'!A:Z,26,0)</f>
        <v>610840.6</v>
      </c>
      <c r="U266" s="172">
        <f t="shared" ref="U266:AS266" si="269">IF(AT266="","", RANK(AT266,AT$7:AT$626,0)+RANK(AT266,AT$7:AT$626,0)/10000)</f>
        <v>493.0493</v>
      </c>
      <c r="V266" s="172">
        <f t="shared" si="269"/>
        <v>267.0267</v>
      </c>
      <c r="W266" s="172" t="str">
        <f t="shared" si="269"/>
        <v/>
      </c>
      <c r="X266" s="172" t="str">
        <f t="shared" si="269"/>
        <v/>
      </c>
      <c r="Y266" s="172" t="str">
        <f t="shared" si="269"/>
        <v/>
      </c>
      <c r="Z266" s="172" t="str">
        <f t="shared" si="269"/>
        <v/>
      </c>
      <c r="AA266" s="172" t="str">
        <f t="shared" si="269"/>
        <v/>
      </c>
      <c r="AB266" s="172" t="str">
        <f t="shared" si="269"/>
        <v/>
      </c>
      <c r="AC266" s="172" t="str">
        <f t="shared" si="269"/>
        <v/>
      </c>
      <c r="AD266" s="172" t="str">
        <f t="shared" si="269"/>
        <v/>
      </c>
      <c r="AE266" s="172" t="str">
        <f t="shared" si="269"/>
        <v/>
      </c>
      <c r="AF266" s="172" t="str">
        <f t="shared" si="269"/>
        <v/>
      </c>
      <c r="AG266" s="172" t="str">
        <f t="shared" si="269"/>
        <v/>
      </c>
      <c r="AH266" s="172" t="str">
        <f t="shared" si="269"/>
        <v/>
      </c>
      <c r="AI266" s="172" t="str">
        <f t="shared" si="269"/>
        <v/>
      </c>
      <c r="AJ266" s="172" t="str">
        <f t="shared" si="269"/>
        <v/>
      </c>
      <c r="AK266" s="172" t="str">
        <f t="shared" si="269"/>
        <v/>
      </c>
      <c r="AL266" s="172" t="str">
        <f t="shared" si="269"/>
        <v/>
      </c>
      <c r="AM266" s="172" t="str">
        <f t="shared" si="269"/>
        <v/>
      </c>
      <c r="AN266" s="172" t="str">
        <f t="shared" si="269"/>
        <v/>
      </c>
      <c r="AO266" s="172" t="str">
        <f t="shared" si="269"/>
        <v/>
      </c>
      <c r="AP266" s="172" t="str">
        <f t="shared" si="269"/>
        <v/>
      </c>
      <c r="AQ266" s="172" t="str">
        <f t="shared" si="269"/>
        <v/>
      </c>
      <c r="AR266" s="172" t="str">
        <f t="shared" si="269"/>
        <v/>
      </c>
      <c r="AS266" s="172" t="str">
        <f t="shared" si="269"/>
        <v/>
      </c>
      <c r="AT266" s="173">
        <f>IF(AT$6="","",IF(AT$3="Maior",iferror(VLOOKUP($R266,Capa!$A:$AJ,AT$5,0),0),IF(ISERROR(1/VLOOKUP($R266,Capa!$A:$AJ,AT$5,0)),0,1/VLOOKUP($R266,Capa!$A:$AJ,AT$5,0))))</f>
        <v>-2.920217968</v>
      </c>
      <c r="AU266" s="174">
        <f>IF(AU$6="","",IF(AU$3="Maior",iferror(VLOOKUP($R266,Capa!$A:$AJ,AU$5,0),0),IF(ISERROR(1/VLOOKUP($R266,Capa!$A:$AJ,AU$5,0)),0,1/VLOOKUP($R266,Capa!$A:$AJ,AU$5,0))))</f>
        <v>0</v>
      </c>
      <c r="AV266" s="174" t="str">
        <f>IF(AV$6="","",IF(AV$3="Maior",iferror(VLOOKUP($R266,Capa!$A:$AJ,AV$5,0),0),IF(ISERROR(1/VLOOKUP($R266,Capa!$A:$AJ,AV$5,0)),0,1/VLOOKUP($R266,Capa!$A:$AJ,AV$5,0))))</f>
        <v/>
      </c>
      <c r="AW266" s="174" t="str">
        <f>IF(AW$6="","",IF(AW$3="Maior",iferror(VLOOKUP($R266,Capa!$A:$AJ,AW$5,0),0),IF(ISERROR(1/VLOOKUP($R266,Capa!$A:$AJ,AW$5,0)),0,1/VLOOKUP($R266,Capa!$A:$AJ,AW$5,0))))</f>
        <v/>
      </c>
      <c r="AX266" s="174" t="str">
        <f>IF(AX$6="","",IF(AX$3="Maior",iferror(VLOOKUP($R266,Capa!$A:$AJ,AX$5,0),0),IF(ISERROR(1/VLOOKUP($R266,Capa!$A:$AJ,AX$5,0)),0,1/VLOOKUP($R266,Capa!$A:$AJ,AX$5,0))))</f>
        <v/>
      </c>
      <c r="AY266" s="174" t="str">
        <f>IF(AY$6="","",IF(AY$3="Maior",iferror(VLOOKUP($R266,Capa!$A:$AJ,AY$5,0),0),IF(ISERROR(1/VLOOKUP($R266,Capa!$A:$AJ,AY$5,0)),0,1/VLOOKUP($R266,Capa!$A:$AJ,AY$5,0))))</f>
        <v/>
      </c>
      <c r="AZ266" s="174" t="str">
        <f>IF(AZ$6="","",IF(AZ$3="Maior",iferror(VLOOKUP($R266,Capa!$A:$AJ,AZ$5,0),0),IF(ISERROR(1/VLOOKUP($R266,Capa!$A:$AJ,AZ$5,0)),0,1/VLOOKUP($R266,Capa!$A:$AJ,AZ$5,0))))</f>
        <v/>
      </c>
      <c r="BA266" s="174" t="str">
        <f>IF(BA$6="","",IF(BA$3="Maior",iferror(VLOOKUP($R266,Capa!$A:$AJ,BA$5,0),0),IF(ISERROR(1/VLOOKUP($R266,Capa!$A:$AJ,BA$5,0)),0,1/VLOOKUP($R266,Capa!$A:$AJ,BA$5,0))))</f>
        <v/>
      </c>
      <c r="BB266" s="174" t="str">
        <f>IF(BB$6="","",IF(BB$3="Maior",iferror(VLOOKUP($R266,Capa!$A:$AJ,BB$5,0),0),IF(ISERROR(1/VLOOKUP($R266,Capa!$A:$AJ,BB$5,0)),0,1/VLOOKUP($R266,Capa!$A:$AJ,BB$5,0))))</f>
        <v/>
      </c>
      <c r="BC266" s="174" t="str">
        <f>IF(BC$6="","",IF(BC$3="Maior",iferror(VLOOKUP($R266,Capa!$A:$AJ,BC$5,0),0),IF(ISERROR(1/VLOOKUP($R266,Capa!$A:$AJ,BC$5,0)),0,1/VLOOKUP($R266,Capa!$A:$AJ,BC$5,0))))</f>
        <v/>
      </c>
      <c r="BD266" s="174" t="str">
        <f>IF(BD$6="","",IF(BD$3="Maior",iferror(VLOOKUP($R266,Capa!$A:$AJ,BD$5,0),0),IF(ISERROR(1/VLOOKUP($R266,Capa!$A:$AJ,BD$5,0)),0,1/VLOOKUP($R266,Capa!$A:$AJ,BD$5,0))))</f>
        <v/>
      </c>
      <c r="BE266" s="174" t="str">
        <f>IF(BE$6="","",IF(BE$3="Maior",iferror(VLOOKUP($R266,Capa!$A:$AJ,BE$5,0),0),IF(ISERROR(1/VLOOKUP($R266,Capa!$A:$AJ,BE$5,0)),0,1/VLOOKUP($R266,Capa!$A:$AJ,BE$5,0))))</f>
        <v/>
      </c>
      <c r="BF266" s="174" t="str">
        <f>IF(BF$6="","",IF(BF$3="Maior",iferror(VLOOKUP($R266,Capa!$A:$AJ,BF$5,0),0),IF(ISERROR(1/VLOOKUP($R266,Capa!$A:$AJ,BF$5,0)),0,1/VLOOKUP($R266,Capa!$A:$AJ,BF$5,0))))</f>
        <v/>
      </c>
      <c r="BG266" s="174" t="str">
        <f>IF(BG$6="","",IF(BG$3="Maior",iferror(VLOOKUP($R266,Capa!$A:$AJ,BG$5,0),0),IF(ISERROR(1/VLOOKUP($R266,Capa!$A:$AJ,BG$5,0)),0,1/VLOOKUP($R266,Capa!$A:$AJ,BG$5,0))))</f>
        <v/>
      </c>
      <c r="BH266" s="174" t="str">
        <f>IF(BH$6="","",IF(BH$3="Maior",iferror(VLOOKUP($R266,Capa!$A:$AJ,BH$5,0),0),IF(ISERROR(1/VLOOKUP($R266,Capa!$A:$AJ,BH$5,0)),0,1/VLOOKUP($R266,Capa!$A:$AJ,BH$5,0))))</f>
        <v/>
      </c>
      <c r="BI266" s="174" t="str">
        <f>IF(BI$6="","",IF(BI$3="Maior",iferror(VLOOKUP($R266,Capa!$A:$AJ,BI$5,0),0),IF(ISERROR(1/VLOOKUP($R266,Capa!$A:$AJ,BI$5,0)),0,1/VLOOKUP($R266,Capa!$A:$AJ,BI$5,0))))</f>
        <v/>
      </c>
      <c r="BJ266" s="174" t="str">
        <f>IF(BJ$6="","",IF(BJ$3="Maior",iferror(VLOOKUP($R266,Capa!$A:$AJ,BJ$5,0),0),IF(ISERROR(1/VLOOKUP($R266,Capa!$A:$AJ,BJ$5,0)),0,1/VLOOKUP($R266,Capa!$A:$AJ,BJ$5,0))))</f>
        <v/>
      </c>
      <c r="BK266" s="174" t="str">
        <f>IF(BK$6="","",IF(BK$3="Maior",iferror(VLOOKUP($R266,Capa!$A:$AJ,BK$5,0),0),IF(ISERROR(1/VLOOKUP($R266,Capa!$A:$AJ,BK$5,0)),0,1/VLOOKUP($R266,Capa!$A:$AJ,BK$5,0))))</f>
        <v/>
      </c>
      <c r="BL266" s="174" t="str">
        <f>IF(BL$6="","",IF(BL$3="Maior",iferror(VLOOKUP($R266,Capa!$A:$AJ,BL$5,0),0),IF(ISERROR(1/VLOOKUP($R266,Capa!$A:$AJ,BL$5,0)),0,1/VLOOKUP($R266,Capa!$A:$AJ,BL$5,0))))</f>
        <v/>
      </c>
      <c r="BM266" s="174" t="str">
        <f>IF(BM$6="","",IF(BM$3="Maior",iferror(VLOOKUP($R266,Capa!$A:$AJ,BM$5,0),0),IF(ISERROR(1/VLOOKUP($R266,Capa!$A:$AJ,BM$5,0)),0,1/VLOOKUP($R266,Capa!$A:$AJ,BM$5,0))))</f>
        <v/>
      </c>
      <c r="BN266" s="174" t="str">
        <f>IF(BN$6="","",IF(BN$3="Maior",iferror(VLOOKUP($R266,Capa!$A:$AJ,BN$5,0),0),IF(ISERROR(1/VLOOKUP($R266,Capa!$A:$AJ,BN$5,0)),0,1/VLOOKUP($R266,Capa!$A:$AJ,BN$5,0))))</f>
        <v/>
      </c>
      <c r="BO266" s="174" t="str">
        <f>IF(BO$6="","",IF(BO$3="Maior",iferror(VLOOKUP($R266,Capa!$A:$AJ,BO$5,0),0),IF(ISERROR(1/VLOOKUP($R266,Capa!$A:$AJ,BO$5,0)),0,1/VLOOKUP($R266,Capa!$A:$AJ,BO$5,0))))</f>
        <v/>
      </c>
      <c r="BP266" s="174" t="str">
        <f>IF(BP$6="","",IF(BP$3="Maior",iferror(VLOOKUP($R266,Capa!$A:$AJ,BP$5,0),0),IF(ISERROR(1/VLOOKUP($R266,Capa!$A:$AJ,BP$5,0)),0,1/VLOOKUP($R266,Capa!$A:$AJ,BP$5,0))))</f>
        <v/>
      </c>
      <c r="BQ266" s="174" t="str">
        <f>IF(BQ$6="","",IF(BQ$3="Maior",iferror(VLOOKUP($R266,Capa!$A:$AJ,BQ$5,0),0),IF(ISERROR(1/VLOOKUP($R266,Capa!$A:$AJ,BQ$5,0)),0,1/VLOOKUP($R266,Capa!$A:$AJ,BQ$5,0))))</f>
        <v/>
      </c>
      <c r="BR266" s="175"/>
      <c r="BS266" s="147"/>
    </row>
    <row r="267">
      <c r="G267" s="11"/>
      <c r="H267" s="8">
        <v>261.0</v>
      </c>
      <c r="I267" s="165" t="str">
        <f t="shared" si="6"/>
        <v>CEEB6</v>
      </c>
      <c r="J267" s="166" t="str">
        <f>(VLOOKUP($I267,Capa!$A:$B,2,0))</f>
        <v>Companhia de ltrcdd d std d Bh Clb Preference Shares Class B</v>
      </c>
      <c r="K267" s="167" t="str">
        <f>VLOOKUP(left(I267,4),Setor!A:D,3,0)&amp;" | "&amp;VLOOKUP(left(I267,4),Setor!A:D,4,0)</f>
        <v>Utilidade Pública | Energia Elétrica</v>
      </c>
      <c r="L267" s="168">
        <f>(VLOOKUP($I267,Capa!$A:$F,6,0))</f>
        <v>0</v>
      </c>
      <c r="M267" s="168">
        <f t="shared" si="7"/>
        <v>0</v>
      </c>
      <c r="N267" s="11" t="str">
        <f>(VLOOKUP($I267,Capa!$A:$H,7,0))</f>
        <v/>
      </c>
      <c r="O267" s="169" t="str">
        <f>(VLOOKUP($I267,Capa!$A:$H,8,0))</f>
        <v/>
      </c>
      <c r="P267" s="11" t="str">
        <f>(VLOOKUP($I267,Capa!$A:$J,10,0))</f>
        <v/>
      </c>
      <c r="Q267" s="169" t="str">
        <f>(VLOOKUP($I267,Capa!$A:$K,11,0))</f>
        <v/>
      </c>
      <c r="R267" s="45" t="str">
        <f>'Dados StatusInvest'!A262</f>
        <v>EUCA3</v>
      </c>
      <c r="S267" s="170">
        <f t="shared" si="234"/>
        <v>1464.0464</v>
      </c>
      <c r="T267" s="171">
        <f>VLOOKUP(R267,'Dados StatusInvest'!A:Z,26,0)</f>
        <v>13201.39</v>
      </c>
      <c r="U267" s="172">
        <f t="shared" ref="U267:AS267" si="270">IF(AT267="","", RANK(AT267,AT$7:AT$626,0)+RANK(AT267,AT$7:AT$626,0)/10000)</f>
        <v>406.0406</v>
      </c>
      <c r="V267" s="172">
        <f t="shared" si="270"/>
        <v>58.0058</v>
      </c>
      <c r="W267" s="172" t="str">
        <f t="shared" si="270"/>
        <v/>
      </c>
      <c r="X267" s="172" t="str">
        <f t="shared" si="270"/>
        <v/>
      </c>
      <c r="Y267" s="172" t="str">
        <f t="shared" si="270"/>
        <v/>
      </c>
      <c r="Z267" s="172" t="str">
        <f t="shared" si="270"/>
        <v/>
      </c>
      <c r="AA267" s="172" t="str">
        <f t="shared" si="270"/>
        <v/>
      </c>
      <c r="AB267" s="172" t="str">
        <f t="shared" si="270"/>
        <v/>
      </c>
      <c r="AC267" s="172" t="str">
        <f t="shared" si="270"/>
        <v/>
      </c>
      <c r="AD267" s="172" t="str">
        <f t="shared" si="270"/>
        <v/>
      </c>
      <c r="AE267" s="172" t="str">
        <f t="shared" si="270"/>
        <v/>
      </c>
      <c r="AF267" s="172" t="str">
        <f t="shared" si="270"/>
        <v/>
      </c>
      <c r="AG267" s="172" t="str">
        <f t="shared" si="270"/>
        <v/>
      </c>
      <c r="AH267" s="172" t="str">
        <f t="shared" si="270"/>
        <v/>
      </c>
      <c r="AI267" s="172" t="str">
        <f t="shared" si="270"/>
        <v/>
      </c>
      <c r="AJ267" s="172" t="str">
        <f t="shared" si="270"/>
        <v/>
      </c>
      <c r="AK267" s="172" t="str">
        <f t="shared" si="270"/>
        <v/>
      </c>
      <c r="AL267" s="172" t="str">
        <f t="shared" si="270"/>
        <v/>
      </c>
      <c r="AM267" s="172" t="str">
        <f t="shared" si="270"/>
        <v/>
      </c>
      <c r="AN267" s="172" t="str">
        <f t="shared" si="270"/>
        <v/>
      </c>
      <c r="AO267" s="172" t="str">
        <f t="shared" si="270"/>
        <v/>
      </c>
      <c r="AP267" s="172" t="str">
        <f t="shared" si="270"/>
        <v/>
      </c>
      <c r="AQ267" s="172" t="str">
        <f t="shared" si="270"/>
        <v/>
      </c>
      <c r="AR267" s="172" t="str">
        <f t="shared" si="270"/>
        <v/>
      </c>
      <c r="AS267" s="172" t="str">
        <f t="shared" si="270"/>
        <v/>
      </c>
      <c r="AT267" s="173">
        <f>IF(AT$6="","",IF(AT$3="Maior",iferror(VLOOKUP($R267,Capa!$A:$AJ,AT$5,0),0),IF(ISERROR(1/VLOOKUP($R267,Capa!$A:$AJ,AT$5,0)),0,1/VLOOKUP($R267,Capa!$A:$AJ,AT$5,0))))</f>
        <v>-1.428571429</v>
      </c>
      <c r="AU267" s="174">
        <f>IF(AU$6="","",IF(AU$3="Maior",iferror(VLOOKUP($R267,Capa!$A:$AJ,AU$5,0),0),IF(ISERROR(1/VLOOKUP($R267,Capa!$A:$AJ,AU$5,0)),0,1/VLOOKUP($R267,Capa!$A:$AJ,AU$5,0))))</f>
        <v>35.1</v>
      </c>
      <c r="AV267" s="174" t="str">
        <f>IF(AV$6="","",IF(AV$3="Maior",iferror(VLOOKUP($R267,Capa!$A:$AJ,AV$5,0),0),IF(ISERROR(1/VLOOKUP($R267,Capa!$A:$AJ,AV$5,0)),0,1/VLOOKUP($R267,Capa!$A:$AJ,AV$5,0))))</f>
        <v/>
      </c>
      <c r="AW267" s="174" t="str">
        <f>IF(AW$6="","",IF(AW$3="Maior",iferror(VLOOKUP($R267,Capa!$A:$AJ,AW$5,0),0),IF(ISERROR(1/VLOOKUP($R267,Capa!$A:$AJ,AW$5,0)),0,1/VLOOKUP($R267,Capa!$A:$AJ,AW$5,0))))</f>
        <v/>
      </c>
      <c r="AX267" s="174" t="str">
        <f>IF(AX$6="","",IF(AX$3="Maior",iferror(VLOOKUP($R267,Capa!$A:$AJ,AX$5,0),0),IF(ISERROR(1/VLOOKUP($R267,Capa!$A:$AJ,AX$5,0)),0,1/VLOOKUP($R267,Capa!$A:$AJ,AX$5,0))))</f>
        <v/>
      </c>
      <c r="AY267" s="174" t="str">
        <f>IF(AY$6="","",IF(AY$3="Maior",iferror(VLOOKUP($R267,Capa!$A:$AJ,AY$5,0),0),IF(ISERROR(1/VLOOKUP($R267,Capa!$A:$AJ,AY$5,0)),0,1/VLOOKUP($R267,Capa!$A:$AJ,AY$5,0))))</f>
        <v/>
      </c>
      <c r="AZ267" s="174" t="str">
        <f>IF(AZ$6="","",IF(AZ$3="Maior",iferror(VLOOKUP($R267,Capa!$A:$AJ,AZ$5,0),0),IF(ISERROR(1/VLOOKUP($R267,Capa!$A:$AJ,AZ$5,0)),0,1/VLOOKUP($R267,Capa!$A:$AJ,AZ$5,0))))</f>
        <v/>
      </c>
      <c r="BA267" s="174" t="str">
        <f>IF(BA$6="","",IF(BA$3="Maior",iferror(VLOOKUP($R267,Capa!$A:$AJ,BA$5,0),0),IF(ISERROR(1/VLOOKUP($R267,Capa!$A:$AJ,BA$5,0)),0,1/VLOOKUP($R267,Capa!$A:$AJ,BA$5,0))))</f>
        <v/>
      </c>
      <c r="BB267" s="174" t="str">
        <f>IF(BB$6="","",IF(BB$3="Maior",iferror(VLOOKUP($R267,Capa!$A:$AJ,BB$5,0),0),IF(ISERROR(1/VLOOKUP($R267,Capa!$A:$AJ,BB$5,0)),0,1/VLOOKUP($R267,Capa!$A:$AJ,BB$5,0))))</f>
        <v/>
      </c>
      <c r="BC267" s="174" t="str">
        <f>IF(BC$6="","",IF(BC$3="Maior",iferror(VLOOKUP($R267,Capa!$A:$AJ,BC$5,0),0),IF(ISERROR(1/VLOOKUP($R267,Capa!$A:$AJ,BC$5,0)),0,1/VLOOKUP($R267,Capa!$A:$AJ,BC$5,0))))</f>
        <v/>
      </c>
      <c r="BD267" s="174" t="str">
        <f>IF(BD$6="","",IF(BD$3="Maior",iferror(VLOOKUP($R267,Capa!$A:$AJ,BD$5,0),0),IF(ISERROR(1/VLOOKUP($R267,Capa!$A:$AJ,BD$5,0)),0,1/VLOOKUP($R267,Capa!$A:$AJ,BD$5,0))))</f>
        <v/>
      </c>
      <c r="BE267" s="174" t="str">
        <f>IF(BE$6="","",IF(BE$3="Maior",iferror(VLOOKUP($R267,Capa!$A:$AJ,BE$5,0),0),IF(ISERROR(1/VLOOKUP($R267,Capa!$A:$AJ,BE$5,0)),0,1/VLOOKUP($R267,Capa!$A:$AJ,BE$5,0))))</f>
        <v/>
      </c>
      <c r="BF267" s="174" t="str">
        <f>IF(BF$6="","",IF(BF$3="Maior",iferror(VLOOKUP($R267,Capa!$A:$AJ,BF$5,0),0),IF(ISERROR(1/VLOOKUP($R267,Capa!$A:$AJ,BF$5,0)),0,1/VLOOKUP($R267,Capa!$A:$AJ,BF$5,0))))</f>
        <v/>
      </c>
      <c r="BG267" s="174" t="str">
        <f>IF(BG$6="","",IF(BG$3="Maior",iferror(VLOOKUP($R267,Capa!$A:$AJ,BG$5,0),0),IF(ISERROR(1/VLOOKUP($R267,Capa!$A:$AJ,BG$5,0)),0,1/VLOOKUP($R267,Capa!$A:$AJ,BG$5,0))))</f>
        <v/>
      </c>
      <c r="BH267" s="174" t="str">
        <f>IF(BH$6="","",IF(BH$3="Maior",iferror(VLOOKUP($R267,Capa!$A:$AJ,BH$5,0),0),IF(ISERROR(1/VLOOKUP($R267,Capa!$A:$AJ,BH$5,0)),0,1/VLOOKUP($R267,Capa!$A:$AJ,BH$5,0))))</f>
        <v/>
      </c>
      <c r="BI267" s="174" t="str">
        <f>IF(BI$6="","",IF(BI$3="Maior",iferror(VLOOKUP($R267,Capa!$A:$AJ,BI$5,0),0),IF(ISERROR(1/VLOOKUP($R267,Capa!$A:$AJ,BI$5,0)),0,1/VLOOKUP($R267,Capa!$A:$AJ,BI$5,0))))</f>
        <v/>
      </c>
      <c r="BJ267" s="174" t="str">
        <f>IF(BJ$6="","",IF(BJ$3="Maior",iferror(VLOOKUP($R267,Capa!$A:$AJ,BJ$5,0),0),IF(ISERROR(1/VLOOKUP($R267,Capa!$A:$AJ,BJ$5,0)),0,1/VLOOKUP($R267,Capa!$A:$AJ,BJ$5,0))))</f>
        <v/>
      </c>
      <c r="BK267" s="174" t="str">
        <f>IF(BK$6="","",IF(BK$3="Maior",iferror(VLOOKUP($R267,Capa!$A:$AJ,BK$5,0),0),IF(ISERROR(1/VLOOKUP($R267,Capa!$A:$AJ,BK$5,0)),0,1/VLOOKUP($R267,Capa!$A:$AJ,BK$5,0))))</f>
        <v/>
      </c>
      <c r="BL267" s="174" t="str">
        <f>IF(BL$6="","",IF(BL$3="Maior",iferror(VLOOKUP($R267,Capa!$A:$AJ,BL$5,0),0),IF(ISERROR(1/VLOOKUP($R267,Capa!$A:$AJ,BL$5,0)),0,1/VLOOKUP($R267,Capa!$A:$AJ,BL$5,0))))</f>
        <v/>
      </c>
      <c r="BM267" s="174" t="str">
        <f>IF(BM$6="","",IF(BM$3="Maior",iferror(VLOOKUP($R267,Capa!$A:$AJ,BM$5,0),0),IF(ISERROR(1/VLOOKUP($R267,Capa!$A:$AJ,BM$5,0)),0,1/VLOOKUP($R267,Capa!$A:$AJ,BM$5,0))))</f>
        <v/>
      </c>
      <c r="BN267" s="174" t="str">
        <f>IF(BN$6="","",IF(BN$3="Maior",iferror(VLOOKUP($R267,Capa!$A:$AJ,BN$5,0),0),IF(ISERROR(1/VLOOKUP($R267,Capa!$A:$AJ,BN$5,0)),0,1/VLOOKUP($R267,Capa!$A:$AJ,BN$5,0))))</f>
        <v/>
      </c>
      <c r="BO267" s="174" t="str">
        <f>IF(BO$6="","",IF(BO$3="Maior",iferror(VLOOKUP($R267,Capa!$A:$AJ,BO$5,0),0),IF(ISERROR(1/VLOOKUP($R267,Capa!$A:$AJ,BO$5,0)),0,1/VLOOKUP($R267,Capa!$A:$AJ,BO$5,0))))</f>
        <v/>
      </c>
      <c r="BP267" s="174" t="str">
        <f>IF(BP$6="","",IF(BP$3="Maior",iferror(VLOOKUP($R267,Capa!$A:$AJ,BP$5,0),0),IF(ISERROR(1/VLOOKUP($R267,Capa!$A:$AJ,BP$5,0)),0,1/VLOOKUP($R267,Capa!$A:$AJ,BP$5,0))))</f>
        <v/>
      </c>
      <c r="BQ267" s="174" t="str">
        <f>IF(BQ$6="","",IF(BQ$3="Maior",iferror(VLOOKUP($R267,Capa!$A:$AJ,BQ$5,0),0),IF(ISERROR(1/VLOOKUP($R267,Capa!$A:$AJ,BQ$5,0)),0,1/VLOOKUP($R267,Capa!$A:$AJ,BQ$5,0))))</f>
        <v/>
      </c>
      <c r="BR267" s="175"/>
      <c r="BS267" s="147"/>
    </row>
    <row r="268">
      <c r="G268" s="11"/>
      <c r="H268" s="8">
        <v>262.0</v>
      </c>
      <c r="I268" s="165" t="str">
        <f t="shared" si="6"/>
        <v>HBRE3</v>
      </c>
      <c r="J268" s="166" t="str">
        <f>(VLOOKUP($I268,Capa!$A:$B,2,0))</f>
        <v>HBR Realty Empreendimentos Imobiliars SA</v>
      </c>
      <c r="K268" s="167" t="str">
        <f>VLOOKUP(left(I268,4),Setor!A:D,3,0)&amp;" | "&amp;VLOOKUP(left(I268,4),Setor!A:D,4,0)</f>
        <v>#N/A</v>
      </c>
      <c r="L268" s="168">
        <f>(VLOOKUP($I268,Capa!$A:$F,6,0))</f>
        <v>3.49</v>
      </c>
      <c r="M268" s="168">
        <f t="shared" si="7"/>
        <v>2402404</v>
      </c>
      <c r="N268" s="11" t="str">
        <f>IFERROR(__xludf.DUMMYFUNCTION("(VLOOKUP($I268,Capa!$A:$H,7,0))"),"")</f>
        <v/>
      </c>
      <c r="O268" s="169">
        <f>(VLOOKUP($I268,Capa!$A:$H,8,0))</f>
        <v>0.002873563218</v>
      </c>
      <c r="P268" s="11" t="str">
        <f>IFERROR(__xludf.DUMMYFUNCTION("(VLOOKUP($I268,Capa!$A:$J,10,0))"),"")</f>
        <v/>
      </c>
      <c r="Q268" s="169">
        <f>(VLOOKUP($I268,Capa!$A:$K,11,0))</f>
        <v>0.1790540541</v>
      </c>
      <c r="R268" s="45" t="str">
        <f>'Dados StatusInvest'!A263</f>
        <v>EUCA4</v>
      </c>
      <c r="S268" s="170">
        <f t="shared" si="234"/>
        <v>477.0477</v>
      </c>
      <c r="T268" s="171">
        <f>VLOOKUP(R268,'Dados StatusInvest'!A:Z,26,0)</f>
        <v>991438.6</v>
      </c>
      <c r="U268" s="172">
        <f t="shared" ref="U268:AS268" si="271">IF(AT268="","", RANK(AT268,AT$7:AT$626,0)+RANK(AT268,AT$7:AT$626,0)/10000)</f>
        <v>419.0419</v>
      </c>
      <c r="V268" s="172">
        <f t="shared" si="271"/>
        <v>58.0058</v>
      </c>
      <c r="W268" s="172" t="str">
        <f t="shared" si="271"/>
        <v/>
      </c>
      <c r="X268" s="172" t="str">
        <f t="shared" si="271"/>
        <v/>
      </c>
      <c r="Y268" s="172" t="str">
        <f t="shared" si="271"/>
        <v/>
      </c>
      <c r="Z268" s="172" t="str">
        <f t="shared" si="271"/>
        <v/>
      </c>
      <c r="AA268" s="172" t="str">
        <f t="shared" si="271"/>
        <v/>
      </c>
      <c r="AB268" s="172" t="str">
        <f t="shared" si="271"/>
        <v/>
      </c>
      <c r="AC268" s="172" t="str">
        <f t="shared" si="271"/>
        <v/>
      </c>
      <c r="AD268" s="172" t="str">
        <f t="shared" si="271"/>
        <v/>
      </c>
      <c r="AE268" s="172" t="str">
        <f t="shared" si="271"/>
        <v/>
      </c>
      <c r="AF268" s="172" t="str">
        <f t="shared" si="271"/>
        <v/>
      </c>
      <c r="AG268" s="172" t="str">
        <f t="shared" si="271"/>
        <v/>
      </c>
      <c r="AH268" s="172" t="str">
        <f t="shared" si="271"/>
        <v/>
      </c>
      <c r="AI268" s="172" t="str">
        <f t="shared" si="271"/>
        <v/>
      </c>
      <c r="AJ268" s="172" t="str">
        <f t="shared" si="271"/>
        <v/>
      </c>
      <c r="AK268" s="172" t="str">
        <f t="shared" si="271"/>
        <v/>
      </c>
      <c r="AL268" s="172" t="str">
        <f t="shared" si="271"/>
        <v/>
      </c>
      <c r="AM268" s="172" t="str">
        <f t="shared" si="271"/>
        <v/>
      </c>
      <c r="AN268" s="172" t="str">
        <f t="shared" si="271"/>
        <v/>
      </c>
      <c r="AO268" s="172" t="str">
        <f t="shared" si="271"/>
        <v/>
      </c>
      <c r="AP268" s="172" t="str">
        <f t="shared" si="271"/>
        <v/>
      </c>
      <c r="AQ268" s="172" t="str">
        <f t="shared" si="271"/>
        <v/>
      </c>
      <c r="AR268" s="172" t="str">
        <f t="shared" si="271"/>
        <v/>
      </c>
      <c r="AS268" s="172" t="str">
        <f t="shared" si="271"/>
        <v/>
      </c>
      <c r="AT268" s="173">
        <f>IF(AT$6="","",IF(AT$3="Maior",iferror(VLOOKUP($R268,Capa!$A:$AJ,AT$5,0),0),IF(ISERROR(1/VLOOKUP($R268,Capa!$A:$AJ,AT$5,0)),0,1/VLOOKUP($R268,Capa!$A:$AJ,AT$5,0))))</f>
        <v>-1.496341363</v>
      </c>
      <c r="AU268" s="174">
        <f>IF(AU$6="","",IF(AU$3="Maior",iferror(VLOOKUP($R268,Capa!$A:$AJ,AU$5,0),0),IF(ISERROR(1/VLOOKUP($R268,Capa!$A:$AJ,AU$5,0)),0,1/VLOOKUP($R268,Capa!$A:$AJ,AU$5,0))))</f>
        <v>35.1</v>
      </c>
      <c r="AV268" s="174" t="str">
        <f>IF(AV$6="","",IF(AV$3="Maior",iferror(VLOOKUP($R268,Capa!$A:$AJ,AV$5,0),0),IF(ISERROR(1/VLOOKUP($R268,Capa!$A:$AJ,AV$5,0)),0,1/VLOOKUP($R268,Capa!$A:$AJ,AV$5,0))))</f>
        <v/>
      </c>
      <c r="AW268" s="174" t="str">
        <f>IF(AW$6="","",IF(AW$3="Maior",iferror(VLOOKUP($R268,Capa!$A:$AJ,AW$5,0),0),IF(ISERROR(1/VLOOKUP($R268,Capa!$A:$AJ,AW$5,0)),0,1/VLOOKUP($R268,Capa!$A:$AJ,AW$5,0))))</f>
        <v/>
      </c>
      <c r="AX268" s="174" t="str">
        <f>IF(AX$6="","",IF(AX$3="Maior",iferror(VLOOKUP($R268,Capa!$A:$AJ,AX$5,0),0),IF(ISERROR(1/VLOOKUP($R268,Capa!$A:$AJ,AX$5,0)),0,1/VLOOKUP($R268,Capa!$A:$AJ,AX$5,0))))</f>
        <v/>
      </c>
      <c r="AY268" s="174" t="str">
        <f>IF(AY$6="","",IF(AY$3="Maior",iferror(VLOOKUP($R268,Capa!$A:$AJ,AY$5,0),0),IF(ISERROR(1/VLOOKUP($R268,Capa!$A:$AJ,AY$5,0)),0,1/VLOOKUP($R268,Capa!$A:$AJ,AY$5,0))))</f>
        <v/>
      </c>
      <c r="AZ268" s="174" t="str">
        <f>IF(AZ$6="","",IF(AZ$3="Maior",iferror(VLOOKUP($R268,Capa!$A:$AJ,AZ$5,0),0),IF(ISERROR(1/VLOOKUP($R268,Capa!$A:$AJ,AZ$5,0)),0,1/VLOOKUP($R268,Capa!$A:$AJ,AZ$5,0))))</f>
        <v/>
      </c>
      <c r="BA268" s="174" t="str">
        <f>IF(BA$6="","",IF(BA$3="Maior",iferror(VLOOKUP($R268,Capa!$A:$AJ,BA$5,0),0),IF(ISERROR(1/VLOOKUP($R268,Capa!$A:$AJ,BA$5,0)),0,1/VLOOKUP($R268,Capa!$A:$AJ,BA$5,0))))</f>
        <v/>
      </c>
      <c r="BB268" s="174" t="str">
        <f>IF(BB$6="","",IF(BB$3="Maior",iferror(VLOOKUP($R268,Capa!$A:$AJ,BB$5,0),0),IF(ISERROR(1/VLOOKUP($R268,Capa!$A:$AJ,BB$5,0)),0,1/VLOOKUP($R268,Capa!$A:$AJ,BB$5,0))))</f>
        <v/>
      </c>
      <c r="BC268" s="174" t="str">
        <f>IF(BC$6="","",IF(BC$3="Maior",iferror(VLOOKUP($R268,Capa!$A:$AJ,BC$5,0),0),IF(ISERROR(1/VLOOKUP($R268,Capa!$A:$AJ,BC$5,0)),0,1/VLOOKUP($R268,Capa!$A:$AJ,BC$5,0))))</f>
        <v/>
      </c>
      <c r="BD268" s="174" t="str">
        <f>IF(BD$6="","",IF(BD$3="Maior",iferror(VLOOKUP($R268,Capa!$A:$AJ,BD$5,0),0),IF(ISERROR(1/VLOOKUP($R268,Capa!$A:$AJ,BD$5,0)),0,1/VLOOKUP($R268,Capa!$A:$AJ,BD$5,0))))</f>
        <v/>
      </c>
      <c r="BE268" s="174" t="str">
        <f>IF(BE$6="","",IF(BE$3="Maior",iferror(VLOOKUP($R268,Capa!$A:$AJ,BE$5,0),0),IF(ISERROR(1/VLOOKUP($R268,Capa!$A:$AJ,BE$5,0)),0,1/VLOOKUP($R268,Capa!$A:$AJ,BE$5,0))))</f>
        <v/>
      </c>
      <c r="BF268" s="174" t="str">
        <f>IF(BF$6="","",IF(BF$3="Maior",iferror(VLOOKUP($R268,Capa!$A:$AJ,BF$5,0),0),IF(ISERROR(1/VLOOKUP($R268,Capa!$A:$AJ,BF$5,0)),0,1/VLOOKUP($R268,Capa!$A:$AJ,BF$5,0))))</f>
        <v/>
      </c>
      <c r="BG268" s="174" t="str">
        <f>IF(BG$6="","",IF(BG$3="Maior",iferror(VLOOKUP($R268,Capa!$A:$AJ,BG$5,0),0),IF(ISERROR(1/VLOOKUP($R268,Capa!$A:$AJ,BG$5,0)),0,1/VLOOKUP($R268,Capa!$A:$AJ,BG$5,0))))</f>
        <v/>
      </c>
      <c r="BH268" s="174" t="str">
        <f>IF(BH$6="","",IF(BH$3="Maior",iferror(VLOOKUP($R268,Capa!$A:$AJ,BH$5,0),0),IF(ISERROR(1/VLOOKUP($R268,Capa!$A:$AJ,BH$5,0)),0,1/VLOOKUP($R268,Capa!$A:$AJ,BH$5,0))))</f>
        <v/>
      </c>
      <c r="BI268" s="174" t="str">
        <f>IF(BI$6="","",IF(BI$3="Maior",iferror(VLOOKUP($R268,Capa!$A:$AJ,BI$5,0),0),IF(ISERROR(1/VLOOKUP($R268,Capa!$A:$AJ,BI$5,0)),0,1/VLOOKUP($R268,Capa!$A:$AJ,BI$5,0))))</f>
        <v/>
      </c>
      <c r="BJ268" s="174" t="str">
        <f>IF(BJ$6="","",IF(BJ$3="Maior",iferror(VLOOKUP($R268,Capa!$A:$AJ,BJ$5,0),0),IF(ISERROR(1/VLOOKUP($R268,Capa!$A:$AJ,BJ$5,0)),0,1/VLOOKUP($R268,Capa!$A:$AJ,BJ$5,0))))</f>
        <v/>
      </c>
      <c r="BK268" s="174" t="str">
        <f>IF(BK$6="","",IF(BK$3="Maior",iferror(VLOOKUP($R268,Capa!$A:$AJ,BK$5,0),0),IF(ISERROR(1/VLOOKUP($R268,Capa!$A:$AJ,BK$5,0)),0,1/VLOOKUP($R268,Capa!$A:$AJ,BK$5,0))))</f>
        <v/>
      </c>
      <c r="BL268" s="174" t="str">
        <f>IF(BL$6="","",IF(BL$3="Maior",iferror(VLOOKUP($R268,Capa!$A:$AJ,BL$5,0),0),IF(ISERROR(1/VLOOKUP($R268,Capa!$A:$AJ,BL$5,0)),0,1/VLOOKUP($R268,Capa!$A:$AJ,BL$5,0))))</f>
        <v/>
      </c>
      <c r="BM268" s="174" t="str">
        <f>IF(BM$6="","",IF(BM$3="Maior",iferror(VLOOKUP($R268,Capa!$A:$AJ,BM$5,0),0),IF(ISERROR(1/VLOOKUP($R268,Capa!$A:$AJ,BM$5,0)),0,1/VLOOKUP($R268,Capa!$A:$AJ,BM$5,0))))</f>
        <v/>
      </c>
      <c r="BN268" s="174" t="str">
        <f>IF(BN$6="","",IF(BN$3="Maior",iferror(VLOOKUP($R268,Capa!$A:$AJ,BN$5,0),0),IF(ISERROR(1/VLOOKUP($R268,Capa!$A:$AJ,BN$5,0)),0,1/VLOOKUP($R268,Capa!$A:$AJ,BN$5,0))))</f>
        <v/>
      </c>
      <c r="BO268" s="174" t="str">
        <f>IF(BO$6="","",IF(BO$3="Maior",iferror(VLOOKUP($R268,Capa!$A:$AJ,BO$5,0),0),IF(ISERROR(1/VLOOKUP($R268,Capa!$A:$AJ,BO$5,0)),0,1/VLOOKUP($R268,Capa!$A:$AJ,BO$5,0))))</f>
        <v/>
      </c>
      <c r="BP268" s="174" t="str">
        <f>IF(BP$6="","",IF(BP$3="Maior",iferror(VLOOKUP($R268,Capa!$A:$AJ,BP$5,0),0),IF(ISERROR(1/VLOOKUP($R268,Capa!$A:$AJ,BP$5,0)),0,1/VLOOKUP($R268,Capa!$A:$AJ,BP$5,0))))</f>
        <v/>
      </c>
      <c r="BQ268" s="174" t="str">
        <f>IF(BQ$6="","",IF(BQ$3="Maior",iferror(VLOOKUP($R268,Capa!$A:$AJ,BQ$5,0),0),IF(ISERROR(1/VLOOKUP($R268,Capa!$A:$AJ,BQ$5,0)),0,1/VLOOKUP($R268,Capa!$A:$AJ,BQ$5,0))))</f>
        <v/>
      </c>
      <c r="BR268" s="175"/>
      <c r="BS268" s="147"/>
    </row>
    <row r="269">
      <c r="G269" s="11"/>
      <c r="H269" s="8">
        <v>263.0</v>
      </c>
      <c r="I269" s="165" t="str">
        <f t="shared" si="6"/>
        <v>ODER3</v>
      </c>
      <c r="J269" s="166" t="str">
        <f>(VLOOKUP($I269,Capa!$A:$B,2,0))</f>
        <v>Conservas Oderich SA</v>
      </c>
      <c r="K269" s="167" t="str">
        <f>VLOOKUP(left(I269,4),Setor!A:D,3,0)&amp;" | "&amp;VLOOKUP(left(I269,4),Setor!A:D,4,0)</f>
        <v>Consumo não Cíclico | Alimentos Processados</v>
      </c>
      <c r="L269" s="168">
        <f>(VLOOKUP($I269,Capa!$A:$F,6,0))</f>
        <v>0</v>
      </c>
      <c r="M269" s="168">
        <f t="shared" si="7"/>
        <v>0</v>
      </c>
      <c r="N269" s="11" t="str">
        <f>(VLOOKUP($I269,Capa!$A:$H,7,0))</f>
        <v/>
      </c>
      <c r="O269" s="169" t="str">
        <f>(VLOOKUP($I269,Capa!$A:$H,8,0))</f>
        <v/>
      </c>
      <c r="P269" s="11" t="str">
        <f>(VLOOKUP($I269,Capa!$A:$J,10,0))</f>
        <v/>
      </c>
      <c r="Q269" s="169" t="str">
        <f>(VLOOKUP($I269,Capa!$A:$K,11,0))</f>
        <v/>
      </c>
      <c r="R269" s="45" t="str">
        <f>'Dados StatusInvest'!A264</f>
        <v>EVEN3</v>
      </c>
      <c r="S269" s="170">
        <f t="shared" si="234"/>
        <v>546.0546</v>
      </c>
      <c r="T269" s="171">
        <f>VLOOKUP(R269,'Dados StatusInvest'!A:Z,26,0)</f>
        <v>4954211</v>
      </c>
      <c r="U269" s="172">
        <f t="shared" ref="U269:AS269" si="272">IF(AT269="","", RANK(AT269,AT$7:AT$626,0)+RANK(AT269,AT$7:AT$626,0)/10000)</f>
        <v>327.0327</v>
      </c>
      <c r="V269" s="172">
        <f t="shared" si="272"/>
        <v>219.0219</v>
      </c>
      <c r="W269" s="172" t="str">
        <f t="shared" si="272"/>
        <v/>
      </c>
      <c r="X269" s="172" t="str">
        <f t="shared" si="272"/>
        <v/>
      </c>
      <c r="Y269" s="172" t="str">
        <f t="shared" si="272"/>
        <v/>
      </c>
      <c r="Z269" s="172" t="str">
        <f t="shared" si="272"/>
        <v/>
      </c>
      <c r="AA269" s="172" t="str">
        <f t="shared" si="272"/>
        <v/>
      </c>
      <c r="AB269" s="172" t="str">
        <f t="shared" si="272"/>
        <v/>
      </c>
      <c r="AC269" s="172" t="str">
        <f t="shared" si="272"/>
        <v/>
      </c>
      <c r="AD269" s="172" t="str">
        <f t="shared" si="272"/>
        <v/>
      </c>
      <c r="AE269" s="172" t="str">
        <f t="shared" si="272"/>
        <v/>
      </c>
      <c r="AF269" s="172" t="str">
        <f t="shared" si="272"/>
        <v/>
      </c>
      <c r="AG269" s="172" t="str">
        <f t="shared" si="272"/>
        <v/>
      </c>
      <c r="AH269" s="172" t="str">
        <f t="shared" si="272"/>
        <v/>
      </c>
      <c r="AI269" s="172" t="str">
        <f t="shared" si="272"/>
        <v/>
      </c>
      <c r="AJ269" s="172" t="str">
        <f t="shared" si="272"/>
        <v/>
      </c>
      <c r="AK269" s="172" t="str">
        <f t="shared" si="272"/>
        <v/>
      </c>
      <c r="AL269" s="172" t="str">
        <f t="shared" si="272"/>
        <v/>
      </c>
      <c r="AM269" s="172" t="str">
        <f t="shared" si="272"/>
        <v/>
      </c>
      <c r="AN269" s="172" t="str">
        <f t="shared" si="272"/>
        <v/>
      </c>
      <c r="AO269" s="172" t="str">
        <f t="shared" si="272"/>
        <v/>
      </c>
      <c r="AP269" s="172" t="str">
        <f t="shared" si="272"/>
        <v/>
      </c>
      <c r="AQ269" s="172" t="str">
        <f t="shared" si="272"/>
        <v/>
      </c>
      <c r="AR269" s="172" t="str">
        <f t="shared" si="272"/>
        <v/>
      </c>
      <c r="AS269" s="172" t="str">
        <f t="shared" si="272"/>
        <v/>
      </c>
      <c r="AT269" s="173">
        <f>IF(AT$6="","",IF(AT$3="Maior",iferror(VLOOKUP($R269,Capa!$A:$AJ,AT$5,0),0),IF(ISERROR(1/VLOOKUP($R269,Capa!$A:$AJ,AT$5,0)),0,1/VLOOKUP($R269,Capa!$A:$AJ,AT$5,0))))</f>
        <v>-0.8562221881</v>
      </c>
      <c r="AU269" s="174">
        <f>IF(AU$6="","",IF(AU$3="Maior",iferror(VLOOKUP($R269,Capa!$A:$AJ,AU$5,0),0),IF(ISERROR(1/VLOOKUP($R269,Capa!$A:$AJ,AU$5,0)),0,1/VLOOKUP($R269,Capa!$A:$AJ,AU$5,0))))</f>
        <v>8.46</v>
      </c>
      <c r="AV269" s="174" t="str">
        <f>IF(AV$6="","",IF(AV$3="Maior",iferror(VLOOKUP($R269,Capa!$A:$AJ,AV$5,0),0),IF(ISERROR(1/VLOOKUP($R269,Capa!$A:$AJ,AV$5,0)),0,1/VLOOKUP($R269,Capa!$A:$AJ,AV$5,0))))</f>
        <v/>
      </c>
      <c r="AW269" s="174" t="str">
        <f>IF(AW$6="","",IF(AW$3="Maior",iferror(VLOOKUP($R269,Capa!$A:$AJ,AW$5,0),0),IF(ISERROR(1/VLOOKUP($R269,Capa!$A:$AJ,AW$5,0)),0,1/VLOOKUP($R269,Capa!$A:$AJ,AW$5,0))))</f>
        <v/>
      </c>
      <c r="AX269" s="174" t="str">
        <f>IF(AX$6="","",IF(AX$3="Maior",iferror(VLOOKUP($R269,Capa!$A:$AJ,AX$5,0),0),IF(ISERROR(1/VLOOKUP($R269,Capa!$A:$AJ,AX$5,0)),0,1/VLOOKUP($R269,Capa!$A:$AJ,AX$5,0))))</f>
        <v/>
      </c>
      <c r="AY269" s="174" t="str">
        <f>IF(AY$6="","",IF(AY$3="Maior",iferror(VLOOKUP($R269,Capa!$A:$AJ,AY$5,0),0),IF(ISERROR(1/VLOOKUP($R269,Capa!$A:$AJ,AY$5,0)),0,1/VLOOKUP($R269,Capa!$A:$AJ,AY$5,0))))</f>
        <v/>
      </c>
      <c r="AZ269" s="174" t="str">
        <f>IF(AZ$6="","",IF(AZ$3="Maior",iferror(VLOOKUP($R269,Capa!$A:$AJ,AZ$5,0),0),IF(ISERROR(1/VLOOKUP($R269,Capa!$A:$AJ,AZ$5,0)),0,1/VLOOKUP($R269,Capa!$A:$AJ,AZ$5,0))))</f>
        <v/>
      </c>
      <c r="BA269" s="174" t="str">
        <f>IF(BA$6="","",IF(BA$3="Maior",iferror(VLOOKUP($R269,Capa!$A:$AJ,BA$5,0),0),IF(ISERROR(1/VLOOKUP($R269,Capa!$A:$AJ,BA$5,0)),0,1/VLOOKUP($R269,Capa!$A:$AJ,BA$5,0))))</f>
        <v/>
      </c>
      <c r="BB269" s="174" t="str">
        <f>IF(BB$6="","",IF(BB$3="Maior",iferror(VLOOKUP($R269,Capa!$A:$AJ,BB$5,0),0),IF(ISERROR(1/VLOOKUP($R269,Capa!$A:$AJ,BB$5,0)),0,1/VLOOKUP($R269,Capa!$A:$AJ,BB$5,0))))</f>
        <v/>
      </c>
      <c r="BC269" s="174" t="str">
        <f>IF(BC$6="","",IF(BC$3="Maior",iferror(VLOOKUP($R269,Capa!$A:$AJ,BC$5,0),0),IF(ISERROR(1/VLOOKUP($R269,Capa!$A:$AJ,BC$5,0)),0,1/VLOOKUP($R269,Capa!$A:$AJ,BC$5,0))))</f>
        <v/>
      </c>
      <c r="BD269" s="174" t="str">
        <f>IF(BD$6="","",IF(BD$3="Maior",iferror(VLOOKUP($R269,Capa!$A:$AJ,BD$5,0),0),IF(ISERROR(1/VLOOKUP($R269,Capa!$A:$AJ,BD$5,0)),0,1/VLOOKUP($R269,Capa!$A:$AJ,BD$5,0))))</f>
        <v/>
      </c>
      <c r="BE269" s="174" t="str">
        <f>IF(BE$6="","",IF(BE$3="Maior",iferror(VLOOKUP($R269,Capa!$A:$AJ,BE$5,0),0),IF(ISERROR(1/VLOOKUP($R269,Capa!$A:$AJ,BE$5,0)),0,1/VLOOKUP($R269,Capa!$A:$AJ,BE$5,0))))</f>
        <v/>
      </c>
      <c r="BF269" s="174" t="str">
        <f>IF(BF$6="","",IF(BF$3="Maior",iferror(VLOOKUP($R269,Capa!$A:$AJ,BF$5,0),0),IF(ISERROR(1/VLOOKUP($R269,Capa!$A:$AJ,BF$5,0)),0,1/VLOOKUP($R269,Capa!$A:$AJ,BF$5,0))))</f>
        <v/>
      </c>
      <c r="BG269" s="174" t="str">
        <f>IF(BG$6="","",IF(BG$3="Maior",iferror(VLOOKUP($R269,Capa!$A:$AJ,BG$5,0),0),IF(ISERROR(1/VLOOKUP($R269,Capa!$A:$AJ,BG$5,0)),0,1/VLOOKUP($R269,Capa!$A:$AJ,BG$5,0))))</f>
        <v/>
      </c>
      <c r="BH269" s="174" t="str">
        <f>IF(BH$6="","",IF(BH$3="Maior",iferror(VLOOKUP($R269,Capa!$A:$AJ,BH$5,0),0),IF(ISERROR(1/VLOOKUP($R269,Capa!$A:$AJ,BH$5,0)),0,1/VLOOKUP($R269,Capa!$A:$AJ,BH$5,0))))</f>
        <v/>
      </c>
      <c r="BI269" s="174" t="str">
        <f>IF(BI$6="","",IF(BI$3="Maior",iferror(VLOOKUP($R269,Capa!$A:$AJ,BI$5,0),0),IF(ISERROR(1/VLOOKUP($R269,Capa!$A:$AJ,BI$5,0)),0,1/VLOOKUP($R269,Capa!$A:$AJ,BI$5,0))))</f>
        <v/>
      </c>
      <c r="BJ269" s="174" t="str">
        <f>IF(BJ$6="","",IF(BJ$3="Maior",iferror(VLOOKUP($R269,Capa!$A:$AJ,BJ$5,0),0),IF(ISERROR(1/VLOOKUP($R269,Capa!$A:$AJ,BJ$5,0)),0,1/VLOOKUP($R269,Capa!$A:$AJ,BJ$5,0))))</f>
        <v/>
      </c>
      <c r="BK269" s="174" t="str">
        <f>IF(BK$6="","",IF(BK$3="Maior",iferror(VLOOKUP($R269,Capa!$A:$AJ,BK$5,0),0),IF(ISERROR(1/VLOOKUP($R269,Capa!$A:$AJ,BK$5,0)),0,1/VLOOKUP($R269,Capa!$A:$AJ,BK$5,0))))</f>
        <v/>
      </c>
      <c r="BL269" s="174" t="str">
        <f>IF(BL$6="","",IF(BL$3="Maior",iferror(VLOOKUP($R269,Capa!$A:$AJ,BL$5,0),0),IF(ISERROR(1/VLOOKUP($R269,Capa!$A:$AJ,BL$5,0)),0,1/VLOOKUP($R269,Capa!$A:$AJ,BL$5,0))))</f>
        <v/>
      </c>
      <c r="BM269" s="174" t="str">
        <f>IF(BM$6="","",IF(BM$3="Maior",iferror(VLOOKUP($R269,Capa!$A:$AJ,BM$5,0),0),IF(ISERROR(1/VLOOKUP($R269,Capa!$A:$AJ,BM$5,0)),0,1/VLOOKUP($R269,Capa!$A:$AJ,BM$5,0))))</f>
        <v/>
      </c>
      <c r="BN269" s="174" t="str">
        <f>IF(BN$6="","",IF(BN$3="Maior",iferror(VLOOKUP($R269,Capa!$A:$AJ,BN$5,0),0),IF(ISERROR(1/VLOOKUP($R269,Capa!$A:$AJ,BN$5,0)),0,1/VLOOKUP($R269,Capa!$A:$AJ,BN$5,0))))</f>
        <v/>
      </c>
      <c r="BO269" s="174" t="str">
        <f>IF(BO$6="","",IF(BO$3="Maior",iferror(VLOOKUP($R269,Capa!$A:$AJ,BO$5,0),0),IF(ISERROR(1/VLOOKUP($R269,Capa!$A:$AJ,BO$5,0)),0,1/VLOOKUP($R269,Capa!$A:$AJ,BO$5,0))))</f>
        <v/>
      </c>
      <c r="BP269" s="174" t="str">
        <f>IF(BP$6="","",IF(BP$3="Maior",iferror(VLOOKUP($R269,Capa!$A:$AJ,BP$5,0),0),IF(ISERROR(1/VLOOKUP($R269,Capa!$A:$AJ,BP$5,0)),0,1/VLOOKUP($R269,Capa!$A:$AJ,BP$5,0))))</f>
        <v/>
      </c>
      <c r="BQ269" s="174" t="str">
        <f>IF(BQ$6="","",IF(BQ$3="Maior",iferror(VLOOKUP($R269,Capa!$A:$AJ,BQ$5,0),0),IF(ISERROR(1/VLOOKUP($R269,Capa!$A:$AJ,BQ$5,0)),0,1/VLOOKUP($R269,Capa!$A:$AJ,BQ$5,0))))</f>
        <v/>
      </c>
      <c r="BR269" s="175"/>
      <c r="BS269" s="147"/>
    </row>
    <row r="270">
      <c r="G270" s="11"/>
      <c r="H270" s="8">
        <v>264.0</v>
      </c>
      <c r="I270" s="165" t="str">
        <f t="shared" si="6"/>
        <v>BRQB3</v>
      </c>
      <c r="J270" s="166" t="str">
        <f>(VLOOKUP($I270,Capa!$A:$B,2,0))</f>
        <v>BRQ Solucoes em Informatica SA</v>
      </c>
      <c r="K270" s="167" t="str">
        <f>VLOOKUP(left(I270,4),Setor!A:D,3,0)&amp;" | "&amp;VLOOKUP(left(I270,4),Setor!A:D,4,0)</f>
        <v>Tecnologia da Informação | Programas e Serviços</v>
      </c>
      <c r="L270" s="168">
        <f>(VLOOKUP($I270,Capa!$A:$F,6,0))</f>
        <v>0</v>
      </c>
      <c r="M270" s="168">
        <f t="shared" si="7"/>
        <v>0</v>
      </c>
      <c r="N270" s="11" t="str">
        <f>(VLOOKUP($I270,Capa!$A:$H,7,0))</f>
        <v/>
      </c>
      <c r="O270" s="169" t="str">
        <f>(VLOOKUP($I270,Capa!$A:$H,8,0))</f>
        <v/>
      </c>
      <c r="P270" s="11" t="str">
        <f>(VLOOKUP($I270,Capa!$A:$J,10,0))</f>
        <v/>
      </c>
      <c r="Q270" s="169" t="str">
        <f>(VLOOKUP($I270,Capa!$A:$K,11,0))</f>
        <v/>
      </c>
      <c r="R270" s="45" t="str">
        <f>'Dados StatusInvest'!A265</f>
        <v>EZTC3</v>
      </c>
      <c r="S270" s="170">
        <f t="shared" si="234"/>
        <v>518.0518</v>
      </c>
      <c r="T270" s="171">
        <f>VLOOKUP(R270,'Dados StatusInvest'!A:Z,26,0)</f>
        <v>30563739</v>
      </c>
      <c r="U270" s="172">
        <f t="shared" ref="U270:AS270" si="273">IF(AT270="","", RANK(AT270,AT$7:AT$626,0)+RANK(AT270,AT$7:AT$626,0)/10000)</f>
        <v>336.0336</v>
      </c>
      <c r="V270" s="172">
        <f t="shared" si="273"/>
        <v>182.0182</v>
      </c>
      <c r="W270" s="172" t="str">
        <f t="shared" si="273"/>
        <v/>
      </c>
      <c r="X270" s="172" t="str">
        <f t="shared" si="273"/>
        <v/>
      </c>
      <c r="Y270" s="172" t="str">
        <f t="shared" si="273"/>
        <v/>
      </c>
      <c r="Z270" s="172" t="str">
        <f t="shared" si="273"/>
        <v/>
      </c>
      <c r="AA270" s="172" t="str">
        <f t="shared" si="273"/>
        <v/>
      </c>
      <c r="AB270" s="172" t="str">
        <f t="shared" si="273"/>
        <v/>
      </c>
      <c r="AC270" s="172" t="str">
        <f t="shared" si="273"/>
        <v/>
      </c>
      <c r="AD270" s="172" t="str">
        <f t="shared" si="273"/>
        <v/>
      </c>
      <c r="AE270" s="172" t="str">
        <f t="shared" si="273"/>
        <v/>
      </c>
      <c r="AF270" s="172" t="str">
        <f t="shared" si="273"/>
        <v/>
      </c>
      <c r="AG270" s="172" t="str">
        <f t="shared" si="273"/>
        <v/>
      </c>
      <c r="AH270" s="172" t="str">
        <f t="shared" si="273"/>
        <v/>
      </c>
      <c r="AI270" s="172" t="str">
        <f t="shared" si="273"/>
        <v/>
      </c>
      <c r="AJ270" s="172" t="str">
        <f t="shared" si="273"/>
        <v/>
      </c>
      <c r="AK270" s="172" t="str">
        <f t="shared" si="273"/>
        <v/>
      </c>
      <c r="AL270" s="172" t="str">
        <f t="shared" si="273"/>
        <v/>
      </c>
      <c r="AM270" s="172" t="str">
        <f t="shared" si="273"/>
        <v/>
      </c>
      <c r="AN270" s="172" t="str">
        <f t="shared" si="273"/>
        <v/>
      </c>
      <c r="AO270" s="172" t="str">
        <f t="shared" si="273"/>
        <v/>
      </c>
      <c r="AP270" s="172" t="str">
        <f t="shared" si="273"/>
        <v/>
      </c>
      <c r="AQ270" s="172" t="str">
        <f t="shared" si="273"/>
        <v/>
      </c>
      <c r="AR270" s="172" t="str">
        <f t="shared" si="273"/>
        <v/>
      </c>
      <c r="AS270" s="172" t="str">
        <f t="shared" si="273"/>
        <v/>
      </c>
      <c r="AT270" s="173">
        <f>IF(AT$6="","",IF(AT$3="Maior",iferror(VLOOKUP($R270,Capa!$A:$AJ,AT$5,0),0),IF(ISERROR(1/VLOOKUP($R270,Capa!$A:$AJ,AT$5,0)),0,1/VLOOKUP($R270,Capa!$A:$AJ,AT$5,0))))</f>
        <v>-0.9012671564</v>
      </c>
      <c r="AU270" s="174">
        <f>IF(AU$6="","",IF(AU$3="Maior",iferror(VLOOKUP($R270,Capa!$A:$AJ,AU$5,0),0),IF(ISERROR(1/VLOOKUP($R270,Capa!$A:$AJ,AU$5,0)),0,1/VLOOKUP($R270,Capa!$A:$AJ,AU$5,0))))</f>
        <v>14.12</v>
      </c>
      <c r="AV270" s="174" t="str">
        <f>IF(AV$6="","",IF(AV$3="Maior",iferror(VLOOKUP($R270,Capa!$A:$AJ,AV$5,0),0),IF(ISERROR(1/VLOOKUP($R270,Capa!$A:$AJ,AV$5,0)),0,1/VLOOKUP($R270,Capa!$A:$AJ,AV$5,0))))</f>
        <v/>
      </c>
      <c r="AW270" s="174" t="str">
        <f>IF(AW$6="","",IF(AW$3="Maior",iferror(VLOOKUP($R270,Capa!$A:$AJ,AW$5,0),0),IF(ISERROR(1/VLOOKUP($R270,Capa!$A:$AJ,AW$5,0)),0,1/VLOOKUP($R270,Capa!$A:$AJ,AW$5,0))))</f>
        <v/>
      </c>
      <c r="AX270" s="174" t="str">
        <f>IF(AX$6="","",IF(AX$3="Maior",iferror(VLOOKUP($R270,Capa!$A:$AJ,AX$5,0),0),IF(ISERROR(1/VLOOKUP($R270,Capa!$A:$AJ,AX$5,0)),0,1/VLOOKUP($R270,Capa!$A:$AJ,AX$5,0))))</f>
        <v/>
      </c>
      <c r="AY270" s="174" t="str">
        <f>IF(AY$6="","",IF(AY$3="Maior",iferror(VLOOKUP($R270,Capa!$A:$AJ,AY$5,0),0),IF(ISERROR(1/VLOOKUP($R270,Capa!$A:$AJ,AY$5,0)),0,1/VLOOKUP($R270,Capa!$A:$AJ,AY$5,0))))</f>
        <v/>
      </c>
      <c r="AZ270" s="174" t="str">
        <f>IF(AZ$6="","",IF(AZ$3="Maior",iferror(VLOOKUP($R270,Capa!$A:$AJ,AZ$5,0),0),IF(ISERROR(1/VLOOKUP($R270,Capa!$A:$AJ,AZ$5,0)),0,1/VLOOKUP($R270,Capa!$A:$AJ,AZ$5,0))))</f>
        <v/>
      </c>
      <c r="BA270" s="174" t="str">
        <f>IF(BA$6="","",IF(BA$3="Maior",iferror(VLOOKUP($R270,Capa!$A:$AJ,BA$5,0),0),IF(ISERROR(1/VLOOKUP($R270,Capa!$A:$AJ,BA$5,0)),0,1/VLOOKUP($R270,Capa!$A:$AJ,BA$5,0))))</f>
        <v/>
      </c>
      <c r="BB270" s="174" t="str">
        <f>IF(BB$6="","",IF(BB$3="Maior",iferror(VLOOKUP($R270,Capa!$A:$AJ,BB$5,0),0),IF(ISERROR(1/VLOOKUP($R270,Capa!$A:$AJ,BB$5,0)),0,1/VLOOKUP($R270,Capa!$A:$AJ,BB$5,0))))</f>
        <v/>
      </c>
      <c r="BC270" s="174" t="str">
        <f>IF(BC$6="","",IF(BC$3="Maior",iferror(VLOOKUP($R270,Capa!$A:$AJ,BC$5,0),0),IF(ISERROR(1/VLOOKUP($R270,Capa!$A:$AJ,BC$5,0)),0,1/VLOOKUP($R270,Capa!$A:$AJ,BC$5,0))))</f>
        <v/>
      </c>
      <c r="BD270" s="174" t="str">
        <f>IF(BD$6="","",IF(BD$3="Maior",iferror(VLOOKUP($R270,Capa!$A:$AJ,BD$5,0),0),IF(ISERROR(1/VLOOKUP($R270,Capa!$A:$AJ,BD$5,0)),0,1/VLOOKUP($R270,Capa!$A:$AJ,BD$5,0))))</f>
        <v/>
      </c>
      <c r="BE270" s="174" t="str">
        <f>IF(BE$6="","",IF(BE$3="Maior",iferror(VLOOKUP($R270,Capa!$A:$AJ,BE$5,0),0),IF(ISERROR(1/VLOOKUP($R270,Capa!$A:$AJ,BE$5,0)),0,1/VLOOKUP($R270,Capa!$A:$AJ,BE$5,0))))</f>
        <v/>
      </c>
      <c r="BF270" s="174" t="str">
        <f>IF(BF$6="","",IF(BF$3="Maior",iferror(VLOOKUP($R270,Capa!$A:$AJ,BF$5,0),0),IF(ISERROR(1/VLOOKUP($R270,Capa!$A:$AJ,BF$5,0)),0,1/VLOOKUP($R270,Capa!$A:$AJ,BF$5,0))))</f>
        <v/>
      </c>
      <c r="BG270" s="174" t="str">
        <f>IF(BG$6="","",IF(BG$3="Maior",iferror(VLOOKUP($R270,Capa!$A:$AJ,BG$5,0),0),IF(ISERROR(1/VLOOKUP($R270,Capa!$A:$AJ,BG$5,0)),0,1/VLOOKUP($R270,Capa!$A:$AJ,BG$5,0))))</f>
        <v/>
      </c>
      <c r="BH270" s="174" t="str">
        <f>IF(BH$6="","",IF(BH$3="Maior",iferror(VLOOKUP($R270,Capa!$A:$AJ,BH$5,0),0),IF(ISERROR(1/VLOOKUP($R270,Capa!$A:$AJ,BH$5,0)),0,1/VLOOKUP($R270,Capa!$A:$AJ,BH$5,0))))</f>
        <v/>
      </c>
      <c r="BI270" s="174" t="str">
        <f>IF(BI$6="","",IF(BI$3="Maior",iferror(VLOOKUP($R270,Capa!$A:$AJ,BI$5,0),0),IF(ISERROR(1/VLOOKUP($R270,Capa!$A:$AJ,BI$5,0)),0,1/VLOOKUP($R270,Capa!$A:$AJ,BI$5,0))))</f>
        <v/>
      </c>
      <c r="BJ270" s="174" t="str">
        <f>IF(BJ$6="","",IF(BJ$3="Maior",iferror(VLOOKUP($R270,Capa!$A:$AJ,BJ$5,0),0),IF(ISERROR(1/VLOOKUP($R270,Capa!$A:$AJ,BJ$5,0)),0,1/VLOOKUP($R270,Capa!$A:$AJ,BJ$5,0))))</f>
        <v/>
      </c>
      <c r="BK270" s="174" t="str">
        <f>IF(BK$6="","",IF(BK$3="Maior",iferror(VLOOKUP($R270,Capa!$A:$AJ,BK$5,0),0),IF(ISERROR(1/VLOOKUP($R270,Capa!$A:$AJ,BK$5,0)),0,1/VLOOKUP($R270,Capa!$A:$AJ,BK$5,0))))</f>
        <v/>
      </c>
      <c r="BL270" s="174" t="str">
        <f>IF(BL$6="","",IF(BL$3="Maior",iferror(VLOOKUP($R270,Capa!$A:$AJ,BL$5,0),0),IF(ISERROR(1/VLOOKUP($R270,Capa!$A:$AJ,BL$5,0)),0,1/VLOOKUP($R270,Capa!$A:$AJ,BL$5,0))))</f>
        <v/>
      </c>
      <c r="BM270" s="174" t="str">
        <f>IF(BM$6="","",IF(BM$3="Maior",iferror(VLOOKUP($R270,Capa!$A:$AJ,BM$5,0),0),IF(ISERROR(1/VLOOKUP($R270,Capa!$A:$AJ,BM$5,0)),0,1/VLOOKUP($R270,Capa!$A:$AJ,BM$5,0))))</f>
        <v/>
      </c>
      <c r="BN270" s="174" t="str">
        <f>IF(BN$6="","",IF(BN$3="Maior",iferror(VLOOKUP($R270,Capa!$A:$AJ,BN$5,0),0),IF(ISERROR(1/VLOOKUP($R270,Capa!$A:$AJ,BN$5,0)),0,1/VLOOKUP($R270,Capa!$A:$AJ,BN$5,0))))</f>
        <v/>
      </c>
      <c r="BO270" s="174" t="str">
        <f>IF(BO$6="","",IF(BO$3="Maior",iferror(VLOOKUP($R270,Capa!$A:$AJ,BO$5,0),0),IF(ISERROR(1/VLOOKUP($R270,Capa!$A:$AJ,BO$5,0)),0,1/VLOOKUP($R270,Capa!$A:$AJ,BO$5,0))))</f>
        <v/>
      </c>
      <c r="BP270" s="174" t="str">
        <f>IF(BP$6="","",IF(BP$3="Maior",iferror(VLOOKUP($R270,Capa!$A:$AJ,BP$5,0),0),IF(ISERROR(1/VLOOKUP($R270,Capa!$A:$AJ,BP$5,0)),0,1/VLOOKUP($R270,Capa!$A:$AJ,BP$5,0))))</f>
        <v/>
      </c>
      <c r="BQ270" s="174" t="str">
        <f>IF(BQ$6="","",IF(BQ$3="Maior",iferror(VLOOKUP($R270,Capa!$A:$AJ,BQ$5,0),0),IF(ISERROR(1/VLOOKUP($R270,Capa!$A:$AJ,BQ$5,0)),0,1/VLOOKUP($R270,Capa!$A:$AJ,BQ$5,0))))</f>
        <v/>
      </c>
      <c r="BR270" s="175"/>
      <c r="BS270" s="147"/>
    </row>
    <row r="271">
      <c r="G271" s="11"/>
      <c r="H271" s="8">
        <v>265.0</v>
      </c>
      <c r="I271" s="165" t="str">
        <f t="shared" si="6"/>
        <v>BMKS3</v>
      </c>
      <c r="J271" s="166" t="str">
        <f>(VLOOKUP($I271,Capa!$A:$B,2,0))</f>
        <v>Bicicletas Monark SA</v>
      </c>
      <c r="K271" s="167" t="str">
        <f>VLOOKUP(left(I271,4),Setor!A:D,3,0)&amp;" | "&amp;VLOOKUP(left(I271,4),Setor!A:D,4,0)</f>
        <v>Consumo Cíclico | Viagens e Lazer</v>
      </c>
      <c r="L271" s="168">
        <f>(VLOOKUP($I271,Capa!$A:$F,6,0))</f>
        <v>374.12</v>
      </c>
      <c r="M271" s="168">
        <f t="shared" si="7"/>
        <v>43088.95</v>
      </c>
      <c r="N271" s="11" t="str">
        <f>IFERROR(__xludf.DUMMYFUNCTION("(VLOOKUP($I271,Capa!$A:$H,7,0))"),"")</f>
        <v/>
      </c>
      <c r="O271" s="169">
        <f>(VLOOKUP($I271,Capa!$A:$H,8,0))</f>
        <v>-0.04680374022</v>
      </c>
      <c r="P271" s="11" t="str">
        <f>IFERROR(__xludf.DUMMYFUNCTION("(VLOOKUP($I271,Capa!$A:$J,10,0))"),"")</f>
        <v/>
      </c>
      <c r="Q271" s="169">
        <f>(VLOOKUP($I271,Capa!$A:$K,11,0))</f>
        <v>0.05683615819</v>
      </c>
      <c r="R271" s="45" t="str">
        <f>'Dados StatusInvest'!A266</f>
        <v>FBMC3</v>
      </c>
      <c r="S271" s="170">
        <f t="shared" si="234"/>
        <v>1318.0318</v>
      </c>
      <c r="T271" s="171">
        <f>VLOOKUP(R271,'Dados StatusInvest'!A:Z,26,0)</f>
        <v>0</v>
      </c>
      <c r="U271" s="172">
        <f t="shared" ref="U271:AS271" si="274">IF(AT271="","", RANK(AT271,AT$7:AT$626,0)+RANK(AT271,AT$7:AT$626,0)/10000)</f>
        <v>51.0051</v>
      </c>
      <c r="V271" s="172">
        <f t="shared" si="274"/>
        <v>267.0267</v>
      </c>
      <c r="W271" s="172" t="str">
        <f t="shared" si="274"/>
        <v/>
      </c>
      <c r="X271" s="172" t="str">
        <f t="shared" si="274"/>
        <v/>
      </c>
      <c r="Y271" s="172" t="str">
        <f t="shared" si="274"/>
        <v/>
      </c>
      <c r="Z271" s="172" t="str">
        <f t="shared" si="274"/>
        <v/>
      </c>
      <c r="AA271" s="172" t="str">
        <f t="shared" si="274"/>
        <v/>
      </c>
      <c r="AB271" s="172" t="str">
        <f t="shared" si="274"/>
        <v/>
      </c>
      <c r="AC271" s="172" t="str">
        <f t="shared" si="274"/>
        <v/>
      </c>
      <c r="AD271" s="172" t="str">
        <f t="shared" si="274"/>
        <v/>
      </c>
      <c r="AE271" s="172" t="str">
        <f t="shared" si="274"/>
        <v/>
      </c>
      <c r="AF271" s="172" t="str">
        <f t="shared" si="274"/>
        <v/>
      </c>
      <c r="AG271" s="172" t="str">
        <f t="shared" si="274"/>
        <v/>
      </c>
      <c r="AH271" s="172" t="str">
        <f t="shared" si="274"/>
        <v/>
      </c>
      <c r="AI271" s="172" t="str">
        <f t="shared" si="274"/>
        <v/>
      </c>
      <c r="AJ271" s="172" t="str">
        <f t="shared" si="274"/>
        <v/>
      </c>
      <c r="AK271" s="172" t="str">
        <f t="shared" si="274"/>
        <v/>
      </c>
      <c r="AL271" s="172" t="str">
        <f t="shared" si="274"/>
        <v/>
      </c>
      <c r="AM271" s="172" t="str">
        <f t="shared" si="274"/>
        <v/>
      </c>
      <c r="AN271" s="172" t="str">
        <f t="shared" si="274"/>
        <v/>
      </c>
      <c r="AO271" s="172" t="str">
        <f t="shared" si="274"/>
        <v/>
      </c>
      <c r="AP271" s="172" t="str">
        <f t="shared" si="274"/>
        <v/>
      </c>
      <c r="AQ271" s="172" t="str">
        <f t="shared" si="274"/>
        <v/>
      </c>
      <c r="AR271" s="172" t="str">
        <f t="shared" si="274"/>
        <v/>
      </c>
      <c r="AS271" s="172" t="str">
        <f t="shared" si="274"/>
        <v/>
      </c>
      <c r="AT271" s="173">
        <f>IF(AT$6="","",IF(AT$3="Maior",iferror(VLOOKUP($R271,Capa!$A:$AJ,AT$5,0),0),IF(ISERROR(1/VLOOKUP($R271,Capa!$A:$AJ,AT$5,0)),0,1/VLOOKUP($R271,Capa!$A:$AJ,AT$5,0))))</f>
        <v>0</v>
      </c>
      <c r="AU271" s="174">
        <f>IF(AU$6="","",IF(AU$3="Maior",iferror(VLOOKUP($R271,Capa!$A:$AJ,AU$5,0),0),IF(ISERROR(1/VLOOKUP($R271,Capa!$A:$AJ,AU$5,0)),0,1/VLOOKUP($R271,Capa!$A:$AJ,AU$5,0))))</f>
        <v>0</v>
      </c>
      <c r="AV271" s="174" t="str">
        <f>IF(AV$6="","",IF(AV$3="Maior",iferror(VLOOKUP($R271,Capa!$A:$AJ,AV$5,0),0),IF(ISERROR(1/VLOOKUP($R271,Capa!$A:$AJ,AV$5,0)),0,1/VLOOKUP($R271,Capa!$A:$AJ,AV$5,0))))</f>
        <v/>
      </c>
      <c r="AW271" s="174" t="str">
        <f>IF(AW$6="","",IF(AW$3="Maior",iferror(VLOOKUP($R271,Capa!$A:$AJ,AW$5,0),0),IF(ISERROR(1/VLOOKUP($R271,Capa!$A:$AJ,AW$5,0)),0,1/VLOOKUP($R271,Capa!$A:$AJ,AW$5,0))))</f>
        <v/>
      </c>
      <c r="AX271" s="174" t="str">
        <f>IF(AX$6="","",IF(AX$3="Maior",iferror(VLOOKUP($R271,Capa!$A:$AJ,AX$5,0),0),IF(ISERROR(1/VLOOKUP($R271,Capa!$A:$AJ,AX$5,0)),0,1/VLOOKUP($R271,Capa!$A:$AJ,AX$5,0))))</f>
        <v/>
      </c>
      <c r="AY271" s="174" t="str">
        <f>IF(AY$6="","",IF(AY$3="Maior",iferror(VLOOKUP($R271,Capa!$A:$AJ,AY$5,0),0),IF(ISERROR(1/VLOOKUP($R271,Capa!$A:$AJ,AY$5,0)),0,1/VLOOKUP($R271,Capa!$A:$AJ,AY$5,0))))</f>
        <v/>
      </c>
      <c r="AZ271" s="174" t="str">
        <f>IF(AZ$6="","",IF(AZ$3="Maior",iferror(VLOOKUP($R271,Capa!$A:$AJ,AZ$5,0),0),IF(ISERROR(1/VLOOKUP($R271,Capa!$A:$AJ,AZ$5,0)),0,1/VLOOKUP($R271,Capa!$A:$AJ,AZ$5,0))))</f>
        <v/>
      </c>
      <c r="BA271" s="174" t="str">
        <f>IF(BA$6="","",IF(BA$3="Maior",iferror(VLOOKUP($R271,Capa!$A:$AJ,BA$5,0),0),IF(ISERROR(1/VLOOKUP($R271,Capa!$A:$AJ,BA$5,0)),0,1/VLOOKUP($R271,Capa!$A:$AJ,BA$5,0))))</f>
        <v/>
      </c>
      <c r="BB271" s="174" t="str">
        <f>IF(BB$6="","",IF(BB$3="Maior",iferror(VLOOKUP($R271,Capa!$A:$AJ,BB$5,0),0),IF(ISERROR(1/VLOOKUP($R271,Capa!$A:$AJ,BB$5,0)),0,1/VLOOKUP($R271,Capa!$A:$AJ,BB$5,0))))</f>
        <v/>
      </c>
      <c r="BC271" s="174" t="str">
        <f>IF(BC$6="","",IF(BC$3="Maior",iferror(VLOOKUP($R271,Capa!$A:$AJ,BC$5,0),0),IF(ISERROR(1/VLOOKUP($R271,Capa!$A:$AJ,BC$5,0)),0,1/VLOOKUP($R271,Capa!$A:$AJ,BC$5,0))))</f>
        <v/>
      </c>
      <c r="BD271" s="174" t="str">
        <f>IF(BD$6="","",IF(BD$3="Maior",iferror(VLOOKUP($R271,Capa!$A:$AJ,BD$5,0),0),IF(ISERROR(1/VLOOKUP($R271,Capa!$A:$AJ,BD$5,0)),0,1/VLOOKUP($R271,Capa!$A:$AJ,BD$5,0))))</f>
        <v/>
      </c>
      <c r="BE271" s="174" t="str">
        <f>IF(BE$6="","",IF(BE$3="Maior",iferror(VLOOKUP($R271,Capa!$A:$AJ,BE$5,0),0),IF(ISERROR(1/VLOOKUP($R271,Capa!$A:$AJ,BE$5,0)),0,1/VLOOKUP($R271,Capa!$A:$AJ,BE$5,0))))</f>
        <v/>
      </c>
      <c r="BF271" s="174" t="str">
        <f>IF(BF$6="","",IF(BF$3="Maior",iferror(VLOOKUP($R271,Capa!$A:$AJ,BF$5,0),0),IF(ISERROR(1/VLOOKUP($R271,Capa!$A:$AJ,BF$5,0)),0,1/VLOOKUP($R271,Capa!$A:$AJ,BF$5,0))))</f>
        <v/>
      </c>
      <c r="BG271" s="174" t="str">
        <f>IF(BG$6="","",IF(BG$3="Maior",iferror(VLOOKUP($R271,Capa!$A:$AJ,BG$5,0),0),IF(ISERROR(1/VLOOKUP($R271,Capa!$A:$AJ,BG$5,0)),0,1/VLOOKUP($R271,Capa!$A:$AJ,BG$5,0))))</f>
        <v/>
      </c>
      <c r="BH271" s="174" t="str">
        <f>IF(BH$6="","",IF(BH$3="Maior",iferror(VLOOKUP($R271,Capa!$A:$AJ,BH$5,0),0),IF(ISERROR(1/VLOOKUP($R271,Capa!$A:$AJ,BH$5,0)),0,1/VLOOKUP($R271,Capa!$A:$AJ,BH$5,0))))</f>
        <v/>
      </c>
      <c r="BI271" s="174" t="str">
        <f>IF(BI$6="","",IF(BI$3="Maior",iferror(VLOOKUP($R271,Capa!$A:$AJ,BI$5,0),0),IF(ISERROR(1/VLOOKUP($R271,Capa!$A:$AJ,BI$5,0)),0,1/VLOOKUP($R271,Capa!$A:$AJ,BI$5,0))))</f>
        <v/>
      </c>
      <c r="BJ271" s="174" t="str">
        <f>IF(BJ$6="","",IF(BJ$3="Maior",iferror(VLOOKUP($R271,Capa!$A:$AJ,BJ$5,0),0),IF(ISERROR(1/VLOOKUP($R271,Capa!$A:$AJ,BJ$5,0)),0,1/VLOOKUP($R271,Capa!$A:$AJ,BJ$5,0))))</f>
        <v/>
      </c>
      <c r="BK271" s="174" t="str">
        <f>IF(BK$6="","",IF(BK$3="Maior",iferror(VLOOKUP($R271,Capa!$A:$AJ,BK$5,0),0),IF(ISERROR(1/VLOOKUP($R271,Capa!$A:$AJ,BK$5,0)),0,1/VLOOKUP($R271,Capa!$A:$AJ,BK$5,0))))</f>
        <v/>
      </c>
      <c r="BL271" s="174" t="str">
        <f>IF(BL$6="","",IF(BL$3="Maior",iferror(VLOOKUP($R271,Capa!$A:$AJ,BL$5,0),0),IF(ISERROR(1/VLOOKUP($R271,Capa!$A:$AJ,BL$5,0)),0,1/VLOOKUP($R271,Capa!$A:$AJ,BL$5,0))))</f>
        <v/>
      </c>
      <c r="BM271" s="174" t="str">
        <f>IF(BM$6="","",IF(BM$3="Maior",iferror(VLOOKUP($R271,Capa!$A:$AJ,BM$5,0),0),IF(ISERROR(1/VLOOKUP($R271,Capa!$A:$AJ,BM$5,0)),0,1/VLOOKUP($R271,Capa!$A:$AJ,BM$5,0))))</f>
        <v/>
      </c>
      <c r="BN271" s="174" t="str">
        <f>IF(BN$6="","",IF(BN$3="Maior",iferror(VLOOKUP($R271,Capa!$A:$AJ,BN$5,0),0),IF(ISERROR(1/VLOOKUP($R271,Capa!$A:$AJ,BN$5,0)),0,1/VLOOKUP($R271,Capa!$A:$AJ,BN$5,0))))</f>
        <v/>
      </c>
      <c r="BO271" s="174" t="str">
        <f>IF(BO$6="","",IF(BO$3="Maior",iferror(VLOOKUP($R271,Capa!$A:$AJ,BO$5,0),0),IF(ISERROR(1/VLOOKUP($R271,Capa!$A:$AJ,BO$5,0)),0,1/VLOOKUP($R271,Capa!$A:$AJ,BO$5,0))))</f>
        <v/>
      </c>
      <c r="BP271" s="174" t="str">
        <f>IF(BP$6="","",IF(BP$3="Maior",iferror(VLOOKUP($R271,Capa!$A:$AJ,BP$5,0),0),IF(ISERROR(1/VLOOKUP($R271,Capa!$A:$AJ,BP$5,0)),0,1/VLOOKUP($R271,Capa!$A:$AJ,BP$5,0))))</f>
        <v/>
      </c>
      <c r="BQ271" s="174" t="str">
        <f>IF(BQ$6="","",IF(BQ$3="Maior",iferror(VLOOKUP($R271,Capa!$A:$AJ,BQ$5,0),0),IF(ISERROR(1/VLOOKUP($R271,Capa!$A:$AJ,BQ$5,0)),0,1/VLOOKUP($R271,Capa!$A:$AJ,BQ$5,0))))</f>
        <v/>
      </c>
      <c r="BR271" s="175"/>
      <c r="BS271" s="147"/>
    </row>
    <row r="272">
      <c r="G272" s="11"/>
      <c r="H272" s="8">
        <v>266.0</v>
      </c>
      <c r="I272" s="165" t="str">
        <f t="shared" si="6"/>
        <v>BMKS3</v>
      </c>
      <c r="J272" s="166" t="str">
        <f>(VLOOKUP($I272,Capa!$A:$B,2,0))</f>
        <v>Bicicletas Monark SA</v>
      </c>
      <c r="K272" s="167" t="str">
        <f>VLOOKUP(left(I272,4),Setor!A:D,3,0)&amp;" | "&amp;VLOOKUP(left(I272,4),Setor!A:D,4,0)</f>
        <v>Consumo Cíclico | Viagens e Lazer</v>
      </c>
      <c r="L272" s="168">
        <f>(VLOOKUP($I272,Capa!$A:$F,6,0))</f>
        <v>374.12</v>
      </c>
      <c r="M272" s="168">
        <f t="shared" si="7"/>
        <v>43088.95</v>
      </c>
      <c r="N272" s="11" t="str">
        <f>IFERROR(__xludf.DUMMYFUNCTION("(VLOOKUP($I272,Capa!$A:$H,7,0))"),"")</f>
        <v/>
      </c>
      <c r="O272" s="169">
        <f>(VLOOKUP($I272,Capa!$A:$H,8,0))</f>
        <v>-0.04680374022</v>
      </c>
      <c r="P272" s="11" t="str">
        <f>IFERROR(__xludf.DUMMYFUNCTION("(VLOOKUP($I272,Capa!$A:$J,10,0))"),"")</f>
        <v/>
      </c>
      <c r="Q272" s="169">
        <f>(VLOOKUP($I272,Capa!$A:$K,11,0))</f>
        <v>0.05683615819</v>
      </c>
      <c r="R272" s="45" t="str">
        <f>'Dados StatusInvest'!A267</f>
        <v>FBMC4</v>
      </c>
      <c r="S272" s="170">
        <f t="shared" si="234"/>
        <v>1882.0882</v>
      </c>
      <c r="T272" s="171">
        <f>VLOOKUP(R272,'Dados StatusInvest'!A:Z,26,0)</f>
        <v>0</v>
      </c>
      <c r="U272" s="172">
        <f t="shared" ref="U272:AS272" si="275">IF(AT272="","", RANK(AT272,AT$7:AT$626,0)+RANK(AT272,AT$7:AT$626,0)/10000)</f>
        <v>615.0615</v>
      </c>
      <c r="V272" s="172">
        <f t="shared" si="275"/>
        <v>267.0267</v>
      </c>
      <c r="W272" s="172" t="str">
        <f t="shared" si="275"/>
        <v/>
      </c>
      <c r="X272" s="172" t="str">
        <f t="shared" si="275"/>
        <v/>
      </c>
      <c r="Y272" s="172" t="str">
        <f t="shared" si="275"/>
        <v/>
      </c>
      <c r="Z272" s="172" t="str">
        <f t="shared" si="275"/>
        <v/>
      </c>
      <c r="AA272" s="172" t="str">
        <f t="shared" si="275"/>
        <v/>
      </c>
      <c r="AB272" s="172" t="str">
        <f t="shared" si="275"/>
        <v/>
      </c>
      <c r="AC272" s="172" t="str">
        <f t="shared" si="275"/>
        <v/>
      </c>
      <c r="AD272" s="172" t="str">
        <f t="shared" si="275"/>
        <v/>
      </c>
      <c r="AE272" s="172" t="str">
        <f t="shared" si="275"/>
        <v/>
      </c>
      <c r="AF272" s="172" t="str">
        <f t="shared" si="275"/>
        <v/>
      </c>
      <c r="AG272" s="172" t="str">
        <f t="shared" si="275"/>
        <v/>
      </c>
      <c r="AH272" s="172" t="str">
        <f t="shared" si="275"/>
        <v/>
      </c>
      <c r="AI272" s="172" t="str">
        <f t="shared" si="275"/>
        <v/>
      </c>
      <c r="AJ272" s="172" t="str">
        <f t="shared" si="275"/>
        <v/>
      </c>
      <c r="AK272" s="172" t="str">
        <f t="shared" si="275"/>
        <v/>
      </c>
      <c r="AL272" s="172" t="str">
        <f t="shared" si="275"/>
        <v/>
      </c>
      <c r="AM272" s="172" t="str">
        <f t="shared" si="275"/>
        <v/>
      </c>
      <c r="AN272" s="172" t="str">
        <f t="shared" si="275"/>
        <v/>
      </c>
      <c r="AO272" s="172" t="str">
        <f t="shared" si="275"/>
        <v/>
      </c>
      <c r="AP272" s="172" t="str">
        <f t="shared" si="275"/>
        <v/>
      </c>
      <c r="AQ272" s="172" t="str">
        <f t="shared" si="275"/>
        <v/>
      </c>
      <c r="AR272" s="172" t="str">
        <f t="shared" si="275"/>
        <v/>
      </c>
      <c r="AS272" s="172" t="str">
        <f t="shared" si="275"/>
        <v/>
      </c>
      <c r="AT272" s="173">
        <f>IF(AT$6="","",IF(AT$3="Maior",iferror(VLOOKUP($R272,Capa!$A:$AJ,AT$5,0),0),IF(ISERROR(1/VLOOKUP($R272,Capa!$A:$AJ,AT$5,0)),0,1/VLOOKUP($R272,Capa!$A:$AJ,AT$5,0))))</f>
        <v>-100</v>
      </c>
      <c r="AU272" s="174">
        <f>IF(AU$6="","",IF(AU$3="Maior",iferror(VLOOKUP($R272,Capa!$A:$AJ,AU$5,0),0),IF(ISERROR(1/VLOOKUP($R272,Capa!$A:$AJ,AU$5,0)),0,1/VLOOKUP($R272,Capa!$A:$AJ,AU$5,0))))</f>
        <v>0</v>
      </c>
      <c r="AV272" s="174" t="str">
        <f>IF(AV$6="","",IF(AV$3="Maior",iferror(VLOOKUP($R272,Capa!$A:$AJ,AV$5,0),0),IF(ISERROR(1/VLOOKUP($R272,Capa!$A:$AJ,AV$5,0)),0,1/VLOOKUP($R272,Capa!$A:$AJ,AV$5,0))))</f>
        <v/>
      </c>
      <c r="AW272" s="174" t="str">
        <f>IF(AW$6="","",IF(AW$3="Maior",iferror(VLOOKUP($R272,Capa!$A:$AJ,AW$5,0),0),IF(ISERROR(1/VLOOKUP($R272,Capa!$A:$AJ,AW$5,0)),0,1/VLOOKUP($R272,Capa!$A:$AJ,AW$5,0))))</f>
        <v/>
      </c>
      <c r="AX272" s="174" t="str">
        <f>IF(AX$6="","",IF(AX$3="Maior",iferror(VLOOKUP($R272,Capa!$A:$AJ,AX$5,0),0),IF(ISERROR(1/VLOOKUP($R272,Capa!$A:$AJ,AX$5,0)),0,1/VLOOKUP($R272,Capa!$A:$AJ,AX$5,0))))</f>
        <v/>
      </c>
      <c r="AY272" s="174" t="str">
        <f>IF(AY$6="","",IF(AY$3="Maior",iferror(VLOOKUP($R272,Capa!$A:$AJ,AY$5,0),0),IF(ISERROR(1/VLOOKUP($R272,Capa!$A:$AJ,AY$5,0)),0,1/VLOOKUP($R272,Capa!$A:$AJ,AY$5,0))))</f>
        <v/>
      </c>
      <c r="AZ272" s="174" t="str">
        <f>IF(AZ$6="","",IF(AZ$3="Maior",iferror(VLOOKUP($R272,Capa!$A:$AJ,AZ$5,0),0),IF(ISERROR(1/VLOOKUP($R272,Capa!$A:$AJ,AZ$5,0)),0,1/VLOOKUP($R272,Capa!$A:$AJ,AZ$5,0))))</f>
        <v/>
      </c>
      <c r="BA272" s="174" t="str">
        <f>IF(BA$6="","",IF(BA$3="Maior",iferror(VLOOKUP($R272,Capa!$A:$AJ,BA$5,0),0),IF(ISERROR(1/VLOOKUP($R272,Capa!$A:$AJ,BA$5,0)),0,1/VLOOKUP($R272,Capa!$A:$AJ,BA$5,0))))</f>
        <v/>
      </c>
      <c r="BB272" s="174" t="str">
        <f>IF(BB$6="","",IF(BB$3="Maior",iferror(VLOOKUP($R272,Capa!$A:$AJ,BB$5,0),0),IF(ISERROR(1/VLOOKUP($R272,Capa!$A:$AJ,BB$5,0)),0,1/VLOOKUP($R272,Capa!$A:$AJ,BB$5,0))))</f>
        <v/>
      </c>
      <c r="BC272" s="174" t="str">
        <f>IF(BC$6="","",IF(BC$3="Maior",iferror(VLOOKUP($R272,Capa!$A:$AJ,BC$5,0),0),IF(ISERROR(1/VLOOKUP($R272,Capa!$A:$AJ,BC$5,0)),0,1/VLOOKUP($R272,Capa!$A:$AJ,BC$5,0))))</f>
        <v/>
      </c>
      <c r="BD272" s="174" t="str">
        <f>IF(BD$6="","",IF(BD$3="Maior",iferror(VLOOKUP($R272,Capa!$A:$AJ,BD$5,0),0),IF(ISERROR(1/VLOOKUP($R272,Capa!$A:$AJ,BD$5,0)),0,1/VLOOKUP($R272,Capa!$A:$AJ,BD$5,0))))</f>
        <v/>
      </c>
      <c r="BE272" s="174" t="str">
        <f>IF(BE$6="","",IF(BE$3="Maior",iferror(VLOOKUP($R272,Capa!$A:$AJ,BE$5,0),0),IF(ISERROR(1/VLOOKUP($R272,Capa!$A:$AJ,BE$5,0)),0,1/VLOOKUP($R272,Capa!$A:$AJ,BE$5,0))))</f>
        <v/>
      </c>
      <c r="BF272" s="174" t="str">
        <f>IF(BF$6="","",IF(BF$3="Maior",iferror(VLOOKUP($R272,Capa!$A:$AJ,BF$5,0),0),IF(ISERROR(1/VLOOKUP($R272,Capa!$A:$AJ,BF$5,0)),0,1/VLOOKUP($R272,Capa!$A:$AJ,BF$5,0))))</f>
        <v/>
      </c>
      <c r="BG272" s="174" t="str">
        <f>IF(BG$6="","",IF(BG$3="Maior",iferror(VLOOKUP($R272,Capa!$A:$AJ,BG$5,0),0),IF(ISERROR(1/VLOOKUP($R272,Capa!$A:$AJ,BG$5,0)),0,1/VLOOKUP($R272,Capa!$A:$AJ,BG$5,0))))</f>
        <v/>
      </c>
      <c r="BH272" s="174" t="str">
        <f>IF(BH$6="","",IF(BH$3="Maior",iferror(VLOOKUP($R272,Capa!$A:$AJ,BH$5,0),0),IF(ISERROR(1/VLOOKUP($R272,Capa!$A:$AJ,BH$5,0)),0,1/VLOOKUP($R272,Capa!$A:$AJ,BH$5,0))))</f>
        <v/>
      </c>
      <c r="BI272" s="174" t="str">
        <f>IF(BI$6="","",IF(BI$3="Maior",iferror(VLOOKUP($R272,Capa!$A:$AJ,BI$5,0),0),IF(ISERROR(1/VLOOKUP($R272,Capa!$A:$AJ,BI$5,0)),0,1/VLOOKUP($R272,Capa!$A:$AJ,BI$5,0))))</f>
        <v/>
      </c>
      <c r="BJ272" s="174" t="str">
        <f>IF(BJ$6="","",IF(BJ$3="Maior",iferror(VLOOKUP($R272,Capa!$A:$AJ,BJ$5,0),0),IF(ISERROR(1/VLOOKUP($R272,Capa!$A:$AJ,BJ$5,0)),0,1/VLOOKUP($R272,Capa!$A:$AJ,BJ$5,0))))</f>
        <v/>
      </c>
      <c r="BK272" s="174" t="str">
        <f>IF(BK$6="","",IF(BK$3="Maior",iferror(VLOOKUP($R272,Capa!$A:$AJ,BK$5,0),0),IF(ISERROR(1/VLOOKUP($R272,Capa!$A:$AJ,BK$5,0)),0,1/VLOOKUP($R272,Capa!$A:$AJ,BK$5,0))))</f>
        <v/>
      </c>
      <c r="BL272" s="174" t="str">
        <f>IF(BL$6="","",IF(BL$3="Maior",iferror(VLOOKUP($R272,Capa!$A:$AJ,BL$5,0),0),IF(ISERROR(1/VLOOKUP($R272,Capa!$A:$AJ,BL$5,0)),0,1/VLOOKUP($R272,Capa!$A:$AJ,BL$5,0))))</f>
        <v/>
      </c>
      <c r="BM272" s="174" t="str">
        <f>IF(BM$6="","",IF(BM$3="Maior",iferror(VLOOKUP($R272,Capa!$A:$AJ,BM$5,0),0),IF(ISERROR(1/VLOOKUP($R272,Capa!$A:$AJ,BM$5,0)),0,1/VLOOKUP($R272,Capa!$A:$AJ,BM$5,0))))</f>
        <v/>
      </c>
      <c r="BN272" s="174" t="str">
        <f>IF(BN$6="","",IF(BN$3="Maior",iferror(VLOOKUP($R272,Capa!$A:$AJ,BN$5,0),0),IF(ISERROR(1/VLOOKUP($R272,Capa!$A:$AJ,BN$5,0)),0,1/VLOOKUP($R272,Capa!$A:$AJ,BN$5,0))))</f>
        <v/>
      </c>
      <c r="BO272" s="174" t="str">
        <f>IF(BO$6="","",IF(BO$3="Maior",iferror(VLOOKUP($R272,Capa!$A:$AJ,BO$5,0),0),IF(ISERROR(1/VLOOKUP($R272,Capa!$A:$AJ,BO$5,0)),0,1/VLOOKUP($R272,Capa!$A:$AJ,BO$5,0))))</f>
        <v/>
      </c>
      <c r="BP272" s="174" t="str">
        <f>IF(BP$6="","",IF(BP$3="Maior",iferror(VLOOKUP($R272,Capa!$A:$AJ,BP$5,0),0),IF(ISERROR(1/VLOOKUP($R272,Capa!$A:$AJ,BP$5,0)),0,1/VLOOKUP($R272,Capa!$A:$AJ,BP$5,0))))</f>
        <v/>
      </c>
      <c r="BQ272" s="174" t="str">
        <f>IF(BQ$6="","",IF(BQ$3="Maior",iferror(VLOOKUP($R272,Capa!$A:$AJ,BQ$5,0),0),IF(ISERROR(1/VLOOKUP($R272,Capa!$A:$AJ,BQ$5,0)),0,1/VLOOKUP($R272,Capa!$A:$AJ,BQ$5,0))))</f>
        <v/>
      </c>
      <c r="BR272" s="175"/>
      <c r="BS272" s="147"/>
    </row>
    <row r="273">
      <c r="G273" s="11"/>
      <c r="H273" s="8">
        <v>267.0</v>
      </c>
      <c r="I273" s="165" t="str">
        <f t="shared" si="6"/>
        <v>CEPE3</v>
      </c>
      <c r="J273" s="166" t="str">
        <f>(VLOOKUP($I273,Capa!$A:$B,2,0))</f>
        <v/>
      </c>
      <c r="K273" s="167" t="str">
        <f>VLOOKUP(left(I273,4),Setor!A:D,3,0)&amp;" | "&amp;VLOOKUP(left(I273,4),Setor!A:D,4,0)</f>
        <v>Utilidade Pública | Energia Elétrica</v>
      </c>
      <c r="L273" s="168" t="str">
        <f>(VLOOKUP($I273,Capa!$A:$F,6,0))</f>
        <v/>
      </c>
      <c r="M273" s="168">
        <f t="shared" si="7"/>
        <v>0</v>
      </c>
      <c r="N273" s="11" t="str">
        <f>(VLOOKUP($I273,Capa!$A:$H,7,0))</f>
        <v/>
      </c>
      <c r="O273" s="169" t="str">
        <f>(VLOOKUP($I273,Capa!$A:$H,8,0))</f>
        <v/>
      </c>
      <c r="P273" s="11" t="str">
        <f>(VLOOKUP($I273,Capa!$A:$J,10,0))</f>
        <v/>
      </c>
      <c r="Q273" s="169" t="str">
        <f>(VLOOKUP($I273,Capa!$A:$K,11,0))</f>
        <v/>
      </c>
      <c r="R273" s="45" t="str">
        <f>'Dados StatusInvest'!A268</f>
        <v>FESA3</v>
      </c>
      <c r="S273" s="170">
        <f t="shared" si="234"/>
        <v>1815.0815</v>
      </c>
      <c r="T273" s="171">
        <f>VLOOKUP(R273,'Dados StatusInvest'!A:Z,26,0)</f>
        <v>13482.62</v>
      </c>
      <c r="U273" s="172">
        <f t="shared" ref="U273:AS273" si="276">IF(AT273="","", RANK(AT273,AT$7:AT$626,0)+RANK(AT273,AT$7:AT$626,0)/10000)</f>
        <v>278.0278</v>
      </c>
      <c r="V273" s="172">
        <f t="shared" si="276"/>
        <v>537.0537</v>
      </c>
      <c r="W273" s="172" t="str">
        <f t="shared" si="276"/>
        <v/>
      </c>
      <c r="X273" s="172" t="str">
        <f t="shared" si="276"/>
        <v/>
      </c>
      <c r="Y273" s="172" t="str">
        <f t="shared" si="276"/>
        <v/>
      </c>
      <c r="Z273" s="172" t="str">
        <f t="shared" si="276"/>
        <v/>
      </c>
      <c r="AA273" s="172" t="str">
        <f t="shared" si="276"/>
        <v/>
      </c>
      <c r="AB273" s="172" t="str">
        <f t="shared" si="276"/>
        <v/>
      </c>
      <c r="AC273" s="172" t="str">
        <f t="shared" si="276"/>
        <v/>
      </c>
      <c r="AD273" s="172" t="str">
        <f t="shared" si="276"/>
        <v/>
      </c>
      <c r="AE273" s="172" t="str">
        <f t="shared" si="276"/>
        <v/>
      </c>
      <c r="AF273" s="172" t="str">
        <f t="shared" si="276"/>
        <v/>
      </c>
      <c r="AG273" s="172" t="str">
        <f t="shared" si="276"/>
        <v/>
      </c>
      <c r="AH273" s="172" t="str">
        <f t="shared" si="276"/>
        <v/>
      </c>
      <c r="AI273" s="172" t="str">
        <f t="shared" si="276"/>
        <v/>
      </c>
      <c r="AJ273" s="172" t="str">
        <f t="shared" si="276"/>
        <v/>
      </c>
      <c r="AK273" s="172" t="str">
        <f t="shared" si="276"/>
        <v/>
      </c>
      <c r="AL273" s="172" t="str">
        <f t="shared" si="276"/>
        <v/>
      </c>
      <c r="AM273" s="172" t="str">
        <f t="shared" si="276"/>
        <v/>
      </c>
      <c r="AN273" s="172" t="str">
        <f t="shared" si="276"/>
        <v/>
      </c>
      <c r="AO273" s="172" t="str">
        <f t="shared" si="276"/>
        <v/>
      </c>
      <c r="AP273" s="172" t="str">
        <f t="shared" si="276"/>
        <v/>
      </c>
      <c r="AQ273" s="172" t="str">
        <f t="shared" si="276"/>
        <v/>
      </c>
      <c r="AR273" s="172" t="str">
        <f t="shared" si="276"/>
        <v/>
      </c>
      <c r="AS273" s="172" t="str">
        <f t="shared" si="276"/>
        <v/>
      </c>
      <c r="AT273" s="173">
        <f>IF(AT$6="","",IF(AT$3="Maior",iferror(VLOOKUP($R273,Capa!$A:$AJ,AT$5,0),0),IF(ISERROR(1/VLOOKUP($R273,Capa!$A:$AJ,AT$5,0)),0,1/VLOOKUP($R273,Capa!$A:$AJ,AT$5,0))))</f>
        <v>-0.5952380952</v>
      </c>
      <c r="AU273" s="174">
        <f>IF(AU$6="","",IF(AU$3="Maior",iferror(VLOOKUP($R273,Capa!$A:$AJ,AU$5,0),0),IF(ISERROR(1/VLOOKUP($R273,Capa!$A:$AJ,AU$5,0)),0,1/VLOOKUP($R273,Capa!$A:$AJ,AU$5,0))))</f>
        <v>-0.58</v>
      </c>
      <c r="AV273" s="174" t="str">
        <f>IF(AV$6="","",IF(AV$3="Maior",iferror(VLOOKUP($R273,Capa!$A:$AJ,AV$5,0),0),IF(ISERROR(1/VLOOKUP($R273,Capa!$A:$AJ,AV$5,0)),0,1/VLOOKUP($R273,Capa!$A:$AJ,AV$5,0))))</f>
        <v/>
      </c>
      <c r="AW273" s="174" t="str">
        <f>IF(AW$6="","",IF(AW$3="Maior",iferror(VLOOKUP($R273,Capa!$A:$AJ,AW$5,0),0),IF(ISERROR(1/VLOOKUP($R273,Capa!$A:$AJ,AW$5,0)),0,1/VLOOKUP($R273,Capa!$A:$AJ,AW$5,0))))</f>
        <v/>
      </c>
      <c r="AX273" s="174" t="str">
        <f>IF(AX$6="","",IF(AX$3="Maior",iferror(VLOOKUP($R273,Capa!$A:$AJ,AX$5,0),0),IF(ISERROR(1/VLOOKUP($R273,Capa!$A:$AJ,AX$5,0)),0,1/VLOOKUP($R273,Capa!$A:$AJ,AX$5,0))))</f>
        <v/>
      </c>
      <c r="AY273" s="174" t="str">
        <f>IF(AY$6="","",IF(AY$3="Maior",iferror(VLOOKUP($R273,Capa!$A:$AJ,AY$5,0),0),IF(ISERROR(1/VLOOKUP($R273,Capa!$A:$AJ,AY$5,0)),0,1/VLOOKUP($R273,Capa!$A:$AJ,AY$5,0))))</f>
        <v/>
      </c>
      <c r="AZ273" s="174" t="str">
        <f>IF(AZ$6="","",IF(AZ$3="Maior",iferror(VLOOKUP($R273,Capa!$A:$AJ,AZ$5,0),0),IF(ISERROR(1/VLOOKUP($R273,Capa!$A:$AJ,AZ$5,0)),0,1/VLOOKUP($R273,Capa!$A:$AJ,AZ$5,0))))</f>
        <v/>
      </c>
      <c r="BA273" s="174" t="str">
        <f>IF(BA$6="","",IF(BA$3="Maior",iferror(VLOOKUP($R273,Capa!$A:$AJ,BA$5,0),0),IF(ISERROR(1/VLOOKUP($R273,Capa!$A:$AJ,BA$5,0)),0,1/VLOOKUP($R273,Capa!$A:$AJ,BA$5,0))))</f>
        <v/>
      </c>
      <c r="BB273" s="174" t="str">
        <f>IF(BB$6="","",IF(BB$3="Maior",iferror(VLOOKUP($R273,Capa!$A:$AJ,BB$5,0),0),IF(ISERROR(1/VLOOKUP($R273,Capa!$A:$AJ,BB$5,0)),0,1/VLOOKUP($R273,Capa!$A:$AJ,BB$5,0))))</f>
        <v/>
      </c>
      <c r="BC273" s="174" t="str">
        <f>IF(BC$6="","",IF(BC$3="Maior",iferror(VLOOKUP($R273,Capa!$A:$AJ,BC$5,0),0),IF(ISERROR(1/VLOOKUP($R273,Capa!$A:$AJ,BC$5,0)),0,1/VLOOKUP($R273,Capa!$A:$AJ,BC$5,0))))</f>
        <v/>
      </c>
      <c r="BD273" s="174" t="str">
        <f>IF(BD$6="","",IF(BD$3="Maior",iferror(VLOOKUP($R273,Capa!$A:$AJ,BD$5,0),0),IF(ISERROR(1/VLOOKUP($R273,Capa!$A:$AJ,BD$5,0)),0,1/VLOOKUP($R273,Capa!$A:$AJ,BD$5,0))))</f>
        <v/>
      </c>
      <c r="BE273" s="174" t="str">
        <f>IF(BE$6="","",IF(BE$3="Maior",iferror(VLOOKUP($R273,Capa!$A:$AJ,BE$5,0),0),IF(ISERROR(1/VLOOKUP($R273,Capa!$A:$AJ,BE$5,0)),0,1/VLOOKUP($R273,Capa!$A:$AJ,BE$5,0))))</f>
        <v/>
      </c>
      <c r="BF273" s="174" t="str">
        <f>IF(BF$6="","",IF(BF$3="Maior",iferror(VLOOKUP($R273,Capa!$A:$AJ,BF$5,0),0),IF(ISERROR(1/VLOOKUP($R273,Capa!$A:$AJ,BF$5,0)),0,1/VLOOKUP($R273,Capa!$A:$AJ,BF$5,0))))</f>
        <v/>
      </c>
      <c r="BG273" s="174" t="str">
        <f>IF(BG$6="","",IF(BG$3="Maior",iferror(VLOOKUP($R273,Capa!$A:$AJ,BG$5,0),0),IF(ISERROR(1/VLOOKUP($R273,Capa!$A:$AJ,BG$5,0)),0,1/VLOOKUP($R273,Capa!$A:$AJ,BG$5,0))))</f>
        <v/>
      </c>
      <c r="BH273" s="174" t="str">
        <f>IF(BH$6="","",IF(BH$3="Maior",iferror(VLOOKUP($R273,Capa!$A:$AJ,BH$5,0),0),IF(ISERROR(1/VLOOKUP($R273,Capa!$A:$AJ,BH$5,0)),0,1/VLOOKUP($R273,Capa!$A:$AJ,BH$5,0))))</f>
        <v/>
      </c>
      <c r="BI273" s="174" t="str">
        <f>IF(BI$6="","",IF(BI$3="Maior",iferror(VLOOKUP($R273,Capa!$A:$AJ,BI$5,0),0),IF(ISERROR(1/VLOOKUP($R273,Capa!$A:$AJ,BI$5,0)),0,1/VLOOKUP($R273,Capa!$A:$AJ,BI$5,0))))</f>
        <v/>
      </c>
      <c r="BJ273" s="174" t="str">
        <f>IF(BJ$6="","",IF(BJ$3="Maior",iferror(VLOOKUP($R273,Capa!$A:$AJ,BJ$5,0),0),IF(ISERROR(1/VLOOKUP($R273,Capa!$A:$AJ,BJ$5,0)),0,1/VLOOKUP($R273,Capa!$A:$AJ,BJ$5,0))))</f>
        <v/>
      </c>
      <c r="BK273" s="174" t="str">
        <f>IF(BK$6="","",IF(BK$3="Maior",iferror(VLOOKUP($R273,Capa!$A:$AJ,BK$5,0),0),IF(ISERROR(1/VLOOKUP($R273,Capa!$A:$AJ,BK$5,0)),0,1/VLOOKUP($R273,Capa!$A:$AJ,BK$5,0))))</f>
        <v/>
      </c>
      <c r="BL273" s="174" t="str">
        <f>IF(BL$6="","",IF(BL$3="Maior",iferror(VLOOKUP($R273,Capa!$A:$AJ,BL$5,0),0),IF(ISERROR(1/VLOOKUP($R273,Capa!$A:$AJ,BL$5,0)),0,1/VLOOKUP($R273,Capa!$A:$AJ,BL$5,0))))</f>
        <v/>
      </c>
      <c r="BM273" s="174" t="str">
        <f>IF(BM$6="","",IF(BM$3="Maior",iferror(VLOOKUP($R273,Capa!$A:$AJ,BM$5,0),0),IF(ISERROR(1/VLOOKUP($R273,Capa!$A:$AJ,BM$5,0)),0,1/VLOOKUP($R273,Capa!$A:$AJ,BM$5,0))))</f>
        <v/>
      </c>
      <c r="BN273" s="174" t="str">
        <f>IF(BN$6="","",IF(BN$3="Maior",iferror(VLOOKUP($R273,Capa!$A:$AJ,BN$5,0),0),IF(ISERROR(1/VLOOKUP($R273,Capa!$A:$AJ,BN$5,0)),0,1/VLOOKUP($R273,Capa!$A:$AJ,BN$5,0))))</f>
        <v/>
      </c>
      <c r="BO273" s="174" t="str">
        <f>IF(BO$6="","",IF(BO$3="Maior",iferror(VLOOKUP($R273,Capa!$A:$AJ,BO$5,0),0),IF(ISERROR(1/VLOOKUP($R273,Capa!$A:$AJ,BO$5,0)),0,1/VLOOKUP($R273,Capa!$A:$AJ,BO$5,0))))</f>
        <v/>
      </c>
      <c r="BP273" s="174" t="str">
        <f>IF(BP$6="","",IF(BP$3="Maior",iferror(VLOOKUP($R273,Capa!$A:$AJ,BP$5,0),0),IF(ISERROR(1/VLOOKUP($R273,Capa!$A:$AJ,BP$5,0)),0,1/VLOOKUP($R273,Capa!$A:$AJ,BP$5,0))))</f>
        <v/>
      </c>
      <c r="BQ273" s="174" t="str">
        <f>IF(BQ$6="","",IF(BQ$3="Maior",iferror(VLOOKUP($R273,Capa!$A:$AJ,BQ$5,0),0),IF(ISERROR(1/VLOOKUP($R273,Capa!$A:$AJ,BQ$5,0)),0,1/VLOOKUP($R273,Capa!$A:$AJ,BQ$5,0))))</f>
        <v/>
      </c>
      <c r="BR273" s="175"/>
      <c r="BS273" s="147"/>
    </row>
    <row r="274">
      <c r="G274" s="11"/>
      <c r="H274" s="8">
        <v>268.0</v>
      </c>
      <c r="I274" s="165" t="str">
        <f t="shared" si="6"/>
        <v>BRBI3</v>
      </c>
      <c r="J274" s="166" t="str">
        <f>(VLOOKUP($I274,Capa!$A:$B,2,0))</f>
        <v/>
      </c>
      <c r="K274" s="167" t="str">
        <f>VLOOKUP(left(I274,4),Setor!A:D,3,0)&amp;" | "&amp;VLOOKUP(left(I274,4),Setor!A:D,4,0)</f>
        <v>#N/A</v>
      </c>
      <c r="L274" s="168" t="str">
        <f>(VLOOKUP($I274,Capa!$A:$F,6,0))</f>
        <v/>
      </c>
      <c r="M274" s="168">
        <f t="shared" si="7"/>
        <v>0</v>
      </c>
      <c r="N274" s="11" t="str">
        <f>(VLOOKUP($I274,Capa!$A:$H,7,0))</f>
        <v/>
      </c>
      <c r="O274" s="169" t="str">
        <f>(VLOOKUP($I274,Capa!$A:$H,8,0))</f>
        <v/>
      </c>
      <c r="P274" s="11" t="str">
        <f>(VLOOKUP($I274,Capa!$A:$J,10,0))</f>
        <v/>
      </c>
      <c r="Q274" s="169" t="str">
        <f>(VLOOKUP($I274,Capa!$A:$K,11,0))</f>
        <v/>
      </c>
      <c r="R274" s="45" t="str">
        <f>'Dados StatusInvest'!A269</f>
        <v>FESA4</v>
      </c>
      <c r="S274" s="170">
        <f t="shared" si="234"/>
        <v>872.0872</v>
      </c>
      <c r="T274" s="171">
        <f>VLOOKUP(R274,'Dados StatusInvest'!A:Z,26,0)</f>
        <v>7903421</v>
      </c>
      <c r="U274" s="172">
        <f t="shared" ref="U274:AS274" si="277">IF(AT274="","", RANK(AT274,AT$7:AT$626,0)+RANK(AT274,AT$7:AT$626,0)/10000)</f>
        <v>335.0335</v>
      </c>
      <c r="V274" s="172">
        <f t="shared" si="277"/>
        <v>537.0537</v>
      </c>
      <c r="W274" s="172" t="str">
        <f t="shared" si="277"/>
        <v/>
      </c>
      <c r="X274" s="172" t="str">
        <f t="shared" si="277"/>
        <v/>
      </c>
      <c r="Y274" s="172" t="str">
        <f t="shared" si="277"/>
        <v/>
      </c>
      <c r="Z274" s="172" t="str">
        <f t="shared" si="277"/>
        <v/>
      </c>
      <c r="AA274" s="172" t="str">
        <f t="shared" si="277"/>
        <v/>
      </c>
      <c r="AB274" s="172" t="str">
        <f t="shared" si="277"/>
        <v/>
      </c>
      <c r="AC274" s="172" t="str">
        <f t="shared" si="277"/>
        <v/>
      </c>
      <c r="AD274" s="172" t="str">
        <f t="shared" si="277"/>
        <v/>
      </c>
      <c r="AE274" s="172" t="str">
        <f t="shared" si="277"/>
        <v/>
      </c>
      <c r="AF274" s="172" t="str">
        <f t="shared" si="277"/>
        <v/>
      </c>
      <c r="AG274" s="172" t="str">
        <f t="shared" si="277"/>
        <v/>
      </c>
      <c r="AH274" s="172" t="str">
        <f t="shared" si="277"/>
        <v/>
      </c>
      <c r="AI274" s="172" t="str">
        <f t="shared" si="277"/>
        <v/>
      </c>
      <c r="AJ274" s="172" t="str">
        <f t="shared" si="277"/>
        <v/>
      </c>
      <c r="AK274" s="172" t="str">
        <f t="shared" si="277"/>
        <v/>
      </c>
      <c r="AL274" s="172" t="str">
        <f t="shared" si="277"/>
        <v/>
      </c>
      <c r="AM274" s="172" t="str">
        <f t="shared" si="277"/>
        <v/>
      </c>
      <c r="AN274" s="172" t="str">
        <f t="shared" si="277"/>
        <v/>
      </c>
      <c r="AO274" s="172" t="str">
        <f t="shared" si="277"/>
        <v/>
      </c>
      <c r="AP274" s="172" t="str">
        <f t="shared" si="277"/>
        <v/>
      </c>
      <c r="AQ274" s="172" t="str">
        <f t="shared" si="277"/>
        <v/>
      </c>
      <c r="AR274" s="172" t="str">
        <f t="shared" si="277"/>
        <v/>
      </c>
      <c r="AS274" s="172" t="str">
        <f t="shared" si="277"/>
        <v/>
      </c>
      <c r="AT274" s="173">
        <f>IF(AT$6="","",IF(AT$3="Maior",iferror(VLOOKUP($R274,Capa!$A:$AJ,AT$5,0),0),IF(ISERROR(1/VLOOKUP($R274,Capa!$A:$AJ,AT$5,0)),0,1/VLOOKUP($R274,Capa!$A:$AJ,AT$5,0))))</f>
        <v>-0.8929477423</v>
      </c>
      <c r="AU274" s="174">
        <f>IF(AU$6="","",IF(AU$3="Maior",iferror(VLOOKUP($R274,Capa!$A:$AJ,AU$5,0),0),IF(ISERROR(1/VLOOKUP($R274,Capa!$A:$AJ,AU$5,0)),0,1/VLOOKUP($R274,Capa!$A:$AJ,AU$5,0))))</f>
        <v>-0.58</v>
      </c>
      <c r="AV274" s="174" t="str">
        <f>IF(AV$6="","",IF(AV$3="Maior",iferror(VLOOKUP($R274,Capa!$A:$AJ,AV$5,0),0),IF(ISERROR(1/VLOOKUP($R274,Capa!$A:$AJ,AV$5,0)),0,1/VLOOKUP($R274,Capa!$A:$AJ,AV$5,0))))</f>
        <v/>
      </c>
      <c r="AW274" s="174" t="str">
        <f>IF(AW$6="","",IF(AW$3="Maior",iferror(VLOOKUP($R274,Capa!$A:$AJ,AW$5,0),0),IF(ISERROR(1/VLOOKUP($R274,Capa!$A:$AJ,AW$5,0)),0,1/VLOOKUP($R274,Capa!$A:$AJ,AW$5,0))))</f>
        <v/>
      </c>
      <c r="AX274" s="174" t="str">
        <f>IF(AX$6="","",IF(AX$3="Maior",iferror(VLOOKUP($R274,Capa!$A:$AJ,AX$5,0),0),IF(ISERROR(1/VLOOKUP($R274,Capa!$A:$AJ,AX$5,0)),0,1/VLOOKUP($R274,Capa!$A:$AJ,AX$5,0))))</f>
        <v/>
      </c>
      <c r="AY274" s="174" t="str">
        <f>IF(AY$6="","",IF(AY$3="Maior",iferror(VLOOKUP($R274,Capa!$A:$AJ,AY$5,0),0),IF(ISERROR(1/VLOOKUP($R274,Capa!$A:$AJ,AY$5,0)),0,1/VLOOKUP($R274,Capa!$A:$AJ,AY$5,0))))</f>
        <v/>
      </c>
      <c r="AZ274" s="174" t="str">
        <f>IF(AZ$6="","",IF(AZ$3="Maior",iferror(VLOOKUP($R274,Capa!$A:$AJ,AZ$5,0),0),IF(ISERROR(1/VLOOKUP($R274,Capa!$A:$AJ,AZ$5,0)),0,1/VLOOKUP($R274,Capa!$A:$AJ,AZ$5,0))))</f>
        <v/>
      </c>
      <c r="BA274" s="174" t="str">
        <f>IF(BA$6="","",IF(BA$3="Maior",iferror(VLOOKUP($R274,Capa!$A:$AJ,BA$5,0),0),IF(ISERROR(1/VLOOKUP($R274,Capa!$A:$AJ,BA$5,0)),0,1/VLOOKUP($R274,Capa!$A:$AJ,BA$5,0))))</f>
        <v/>
      </c>
      <c r="BB274" s="174" t="str">
        <f>IF(BB$6="","",IF(BB$3="Maior",iferror(VLOOKUP($R274,Capa!$A:$AJ,BB$5,0),0),IF(ISERROR(1/VLOOKUP($R274,Capa!$A:$AJ,BB$5,0)),0,1/VLOOKUP($R274,Capa!$A:$AJ,BB$5,0))))</f>
        <v/>
      </c>
      <c r="BC274" s="174" t="str">
        <f>IF(BC$6="","",IF(BC$3="Maior",iferror(VLOOKUP($R274,Capa!$A:$AJ,BC$5,0),0),IF(ISERROR(1/VLOOKUP($R274,Capa!$A:$AJ,BC$5,0)),0,1/VLOOKUP($R274,Capa!$A:$AJ,BC$5,0))))</f>
        <v/>
      </c>
      <c r="BD274" s="174" t="str">
        <f>IF(BD$6="","",IF(BD$3="Maior",iferror(VLOOKUP($R274,Capa!$A:$AJ,BD$5,0),0),IF(ISERROR(1/VLOOKUP($R274,Capa!$A:$AJ,BD$5,0)),0,1/VLOOKUP($R274,Capa!$A:$AJ,BD$5,0))))</f>
        <v/>
      </c>
      <c r="BE274" s="174" t="str">
        <f>IF(BE$6="","",IF(BE$3="Maior",iferror(VLOOKUP($R274,Capa!$A:$AJ,BE$5,0),0),IF(ISERROR(1/VLOOKUP($R274,Capa!$A:$AJ,BE$5,0)),0,1/VLOOKUP($R274,Capa!$A:$AJ,BE$5,0))))</f>
        <v/>
      </c>
      <c r="BF274" s="174" t="str">
        <f>IF(BF$6="","",IF(BF$3="Maior",iferror(VLOOKUP($R274,Capa!$A:$AJ,BF$5,0),0),IF(ISERROR(1/VLOOKUP($R274,Capa!$A:$AJ,BF$5,0)),0,1/VLOOKUP($R274,Capa!$A:$AJ,BF$5,0))))</f>
        <v/>
      </c>
      <c r="BG274" s="174" t="str">
        <f>IF(BG$6="","",IF(BG$3="Maior",iferror(VLOOKUP($R274,Capa!$A:$AJ,BG$5,0),0),IF(ISERROR(1/VLOOKUP($R274,Capa!$A:$AJ,BG$5,0)),0,1/VLOOKUP($R274,Capa!$A:$AJ,BG$5,0))))</f>
        <v/>
      </c>
      <c r="BH274" s="174" t="str">
        <f>IF(BH$6="","",IF(BH$3="Maior",iferror(VLOOKUP($R274,Capa!$A:$AJ,BH$5,0),0),IF(ISERROR(1/VLOOKUP($R274,Capa!$A:$AJ,BH$5,0)),0,1/VLOOKUP($R274,Capa!$A:$AJ,BH$5,0))))</f>
        <v/>
      </c>
      <c r="BI274" s="174" t="str">
        <f>IF(BI$6="","",IF(BI$3="Maior",iferror(VLOOKUP($R274,Capa!$A:$AJ,BI$5,0),0),IF(ISERROR(1/VLOOKUP($R274,Capa!$A:$AJ,BI$5,0)),0,1/VLOOKUP($R274,Capa!$A:$AJ,BI$5,0))))</f>
        <v/>
      </c>
      <c r="BJ274" s="174" t="str">
        <f>IF(BJ$6="","",IF(BJ$3="Maior",iferror(VLOOKUP($R274,Capa!$A:$AJ,BJ$5,0),0),IF(ISERROR(1/VLOOKUP($R274,Capa!$A:$AJ,BJ$5,0)),0,1/VLOOKUP($R274,Capa!$A:$AJ,BJ$5,0))))</f>
        <v/>
      </c>
      <c r="BK274" s="174" t="str">
        <f>IF(BK$6="","",IF(BK$3="Maior",iferror(VLOOKUP($R274,Capa!$A:$AJ,BK$5,0),0),IF(ISERROR(1/VLOOKUP($R274,Capa!$A:$AJ,BK$5,0)),0,1/VLOOKUP($R274,Capa!$A:$AJ,BK$5,0))))</f>
        <v/>
      </c>
      <c r="BL274" s="174" t="str">
        <f>IF(BL$6="","",IF(BL$3="Maior",iferror(VLOOKUP($R274,Capa!$A:$AJ,BL$5,0),0),IF(ISERROR(1/VLOOKUP($R274,Capa!$A:$AJ,BL$5,0)),0,1/VLOOKUP($R274,Capa!$A:$AJ,BL$5,0))))</f>
        <v/>
      </c>
      <c r="BM274" s="174" t="str">
        <f>IF(BM$6="","",IF(BM$3="Maior",iferror(VLOOKUP($R274,Capa!$A:$AJ,BM$5,0),0),IF(ISERROR(1/VLOOKUP($R274,Capa!$A:$AJ,BM$5,0)),0,1/VLOOKUP($R274,Capa!$A:$AJ,BM$5,0))))</f>
        <v/>
      </c>
      <c r="BN274" s="174" t="str">
        <f>IF(BN$6="","",IF(BN$3="Maior",iferror(VLOOKUP($R274,Capa!$A:$AJ,BN$5,0),0),IF(ISERROR(1/VLOOKUP($R274,Capa!$A:$AJ,BN$5,0)),0,1/VLOOKUP($R274,Capa!$A:$AJ,BN$5,0))))</f>
        <v/>
      </c>
      <c r="BO274" s="174" t="str">
        <f>IF(BO$6="","",IF(BO$3="Maior",iferror(VLOOKUP($R274,Capa!$A:$AJ,BO$5,0),0),IF(ISERROR(1/VLOOKUP($R274,Capa!$A:$AJ,BO$5,0)),0,1/VLOOKUP($R274,Capa!$A:$AJ,BO$5,0))))</f>
        <v/>
      </c>
      <c r="BP274" s="174" t="str">
        <f>IF(BP$6="","",IF(BP$3="Maior",iferror(VLOOKUP($R274,Capa!$A:$AJ,BP$5,0),0),IF(ISERROR(1/VLOOKUP($R274,Capa!$A:$AJ,BP$5,0)),0,1/VLOOKUP($R274,Capa!$A:$AJ,BP$5,0))))</f>
        <v/>
      </c>
      <c r="BQ274" s="174" t="str">
        <f>IF(BQ$6="","",IF(BQ$3="Maior",iferror(VLOOKUP($R274,Capa!$A:$AJ,BQ$5,0),0),IF(ISERROR(1/VLOOKUP($R274,Capa!$A:$AJ,BQ$5,0)),0,1/VLOOKUP($R274,Capa!$A:$AJ,BQ$5,0))))</f>
        <v/>
      </c>
      <c r="BR274" s="175"/>
      <c r="BS274" s="147"/>
    </row>
    <row r="275">
      <c r="G275" s="11"/>
      <c r="H275" s="8">
        <v>269.0</v>
      </c>
      <c r="I275" s="165" t="str">
        <f t="shared" si="6"/>
        <v>BRBI3</v>
      </c>
      <c r="J275" s="166" t="str">
        <f>(VLOOKUP($I275,Capa!$A:$B,2,0))</f>
        <v/>
      </c>
      <c r="K275" s="167" t="str">
        <f>VLOOKUP(left(I275,4),Setor!A:D,3,0)&amp;" | "&amp;VLOOKUP(left(I275,4),Setor!A:D,4,0)</f>
        <v>#N/A</v>
      </c>
      <c r="L275" s="168" t="str">
        <f>(VLOOKUP($I275,Capa!$A:$F,6,0))</f>
        <v/>
      </c>
      <c r="M275" s="168">
        <f t="shared" si="7"/>
        <v>0</v>
      </c>
      <c r="N275" s="11" t="str">
        <f>(VLOOKUP($I275,Capa!$A:$H,7,0))</f>
        <v/>
      </c>
      <c r="O275" s="169" t="str">
        <f>(VLOOKUP($I275,Capa!$A:$H,8,0))</f>
        <v/>
      </c>
      <c r="P275" s="11" t="str">
        <f>(VLOOKUP($I275,Capa!$A:$J,10,0))</f>
        <v/>
      </c>
      <c r="Q275" s="169" t="str">
        <f>(VLOOKUP($I275,Capa!$A:$K,11,0))</f>
        <v/>
      </c>
      <c r="R275" s="45" t="str">
        <f>'Dados StatusInvest'!A270</f>
        <v>FHER3</v>
      </c>
      <c r="S275" s="170">
        <f t="shared" si="234"/>
        <v>1783.0783</v>
      </c>
      <c r="T275" s="171">
        <f>VLOOKUP(R275,'Dados StatusInvest'!A:Z,26,0)</f>
        <v>47300.05</v>
      </c>
      <c r="U275" s="172">
        <f t="shared" ref="U275:AS275" si="278">IF(AT275="","", RANK(AT275,AT$7:AT$626,0)+RANK(AT275,AT$7:AT$626,0)/10000)</f>
        <v>516.0516</v>
      </c>
      <c r="V275" s="172">
        <f t="shared" si="278"/>
        <v>267.0267</v>
      </c>
      <c r="W275" s="172" t="str">
        <f t="shared" si="278"/>
        <v/>
      </c>
      <c r="X275" s="172" t="str">
        <f t="shared" si="278"/>
        <v/>
      </c>
      <c r="Y275" s="172" t="str">
        <f t="shared" si="278"/>
        <v/>
      </c>
      <c r="Z275" s="172" t="str">
        <f t="shared" si="278"/>
        <v/>
      </c>
      <c r="AA275" s="172" t="str">
        <f t="shared" si="278"/>
        <v/>
      </c>
      <c r="AB275" s="172" t="str">
        <f t="shared" si="278"/>
        <v/>
      </c>
      <c r="AC275" s="172" t="str">
        <f t="shared" si="278"/>
        <v/>
      </c>
      <c r="AD275" s="172" t="str">
        <f t="shared" si="278"/>
        <v/>
      </c>
      <c r="AE275" s="172" t="str">
        <f t="shared" si="278"/>
        <v/>
      </c>
      <c r="AF275" s="172" t="str">
        <f t="shared" si="278"/>
        <v/>
      </c>
      <c r="AG275" s="172" t="str">
        <f t="shared" si="278"/>
        <v/>
      </c>
      <c r="AH275" s="172" t="str">
        <f t="shared" si="278"/>
        <v/>
      </c>
      <c r="AI275" s="172" t="str">
        <f t="shared" si="278"/>
        <v/>
      </c>
      <c r="AJ275" s="172" t="str">
        <f t="shared" si="278"/>
        <v/>
      </c>
      <c r="AK275" s="172" t="str">
        <f t="shared" si="278"/>
        <v/>
      </c>
      <c r="AL275" s="172" t="str">
        <f t="shared" si="278"/>
        <v/>
      </c>
      <c r="AM275" s="172" t="str">
        <f t="shared" si="278"/>
        <v/>
      </c>
      <c r="AN275" s="172" t="str">
        <f t="shared" si="278"/>
        <v/>
      </c>
      <c r="AO275" s="172" t="str">
        <f t="shared" si="278"/>
        <v/>
      </c>
      <c r="AP275" s="172" t="str">
        <f t="shared" si="278"/>
        <v/>
      </c>
      <c r="AQ275" s="172" t="str">
        <f t="shared" si="278"/>
        <v/>
      </c>
      <c r="AR275" s="172" t="str">
        <f t="shared" si="278"/>
        <v/>
      </c>
      <c r="AS275" s="172" t="str">
        <f t="shared" si="278"/>
        <v/>
      </c>
      <c r="AT275" s="173">
        <f>IF(AT$6="","",IF(AT$3="Maior",iferror(VLOOKUP($R275,Capa!$A:$AJ,AT$5,0),0),IF(ISERROR(1/VLOOKUP($R275,Capa!$A:$AJ,AT$5,0)),0,1/VLOOKUP($R275,Capa!$A:$AJ,AT$5,0))))</f>
        <v>-3.846153846</v>
      </c>
      <c r="AU275" s="174">
        <f>IF(AU$6="","",IF(AU$3="Maior",iferror(VLOOKUP($R275,Capa!$A:$AJ,AU$5,0),0),IF(ISERROR(1/VLOOKUP($R275,Capa!$A:$AJ,AU$5,0)),0,1/VLOOKUP($R275,Capa!$A:$AJ,AU$5,0))))</f>
        <v>0</v>
      </c>
      <c r="AV275" s="174" t="str">
        <f>IF(AV$6="","",IF(AV$3="Maior",iferror(VLOOKUP($R275,Capa!$A:$AJ,AV$5,0),0),IF(ISERROR(1/VLOOKUP($R275,Capa!$A:$AJ,AV$5,0)),0,1/VLOOKUP($R275,Capa!$A:$AJ,AV$5,0))))</f>
        <v/>
      </c>
      <c r="AW275" s="174" t="str">
        <f>IF(AW$6="","",IF(AW$3="Maior",iferror(VLOOKUP($R275,Capa!$A:$AJ,AW$5,0),0),IF(ISERROR(1/VLOOKUP($R275,Capa!$A:$AJ,AW$5,0)),0,1/VLOOKUP($R275,Capa!$A:$AJ,AW$5,0))))</f>
        <v/>
      </c>
      <c r="AX275" s="174" t="str">
        <f>IF(AX$6="","",IF(AX$3="Maior",iferror(VLOOKUP($R275,Capa!$A:$AJ,AX$5,0),0),IF(ISERROR(1/VLOOKUP($R275,Capa!$A:$AJ,AX$5,0)),0,1/VLOOKUP($R275,Capa!$A:$AJ,AX$5,0))))</f>
        <v/>
      </c>
      <c r="AY275" s="174" t="str">
        <f>IF(AY$6="","",IF(AY$3="Maior",iferror(VLOOKUP($R275,Capa!$A:$AJ,AY$5,0),0),IF(ISERROR(1/VLOOKUP($R275,Capa!$A:$AJ,AY$5,0)),0,1/VLOOKUP($R275,Capa!$A:$AJ,AY$5,0))))</f>
        <v/>
      </c>
      <c r="AZ275" s="174" t="str">
        <f>IF(AZ$6="","",IF(AZ$3="Maior",iferror(VLOOKUP($R275,Capa!$A:$AJ,AZ$5,0),0),IF(ISERROR(1/VLOOKUP($R275,Capa!$A:$AJ,AZ$5,0)),0,1/VLOOKUP($R275,Capa!$A:$AJ,AZ$5,0))))</f>
        <v/>
      </c>
      <c r="BA275" s="174" t="str">
        <f>IF(BA$6="","",IF(BA$3="Maior",iferror(VLOOKUP($R275,Capa!$A:$AJ,BA$5,0),0),IF(ISERROR(1/VLOOKUP($R275,Capa!$A:$AJ,BA$5,0)),0,1/VLOOKUP($R275,Capa!$A:$AJ,BA$5,0))))</f>
        <v/>
      </c>
      <c r="BB275" s="174" t="str">
        <f>IF(BB$6="","",IF(BB$3="Maior",iferror(VLOOKUP($R275,Capa!$A:$AJ,BB$5,0),0),IF(ISERROR(1/VLOOKUP($R275,Capa!$A:$AJ,BB$5,0)),0,1/VLOOKUP($R275,Capa!$A:$AJ,BB$5,0))))</f>
        <v/>
      </c>
      <c r="BC275" s="174" t="str">
        <f>IF(BC$6="","",IF(BC$3="Maior",iferror(VLOOKUP($R275,Capa!$A:$AJ,BC$5,0),0),IF(ISERROR(1/VLOOKUP($R275,Capa!$A:$AJ,BC$5,0)),0,1/VLOOKUP($R275,Capa!$A:$AJ,BC$5,0))))</f>
        <v/>
      </c>
      <c r="BD275" s="174" t="str">
        <f>IF(BD$6="","",IF(BD$3="Maior",iferror(VLOOKUP($R275,Capa!$A:$AJ,BD$5,0),0),IF(ISERROR(1/VLOOKUP($R275,Capa!$A:$AJ,BD$5,0)),0,1/VLOOKUP($R275,Capa!$A:$AJ,BD$5,0))))</f>
        <v/>
      </c>
      <c r="BE275" s="174" t="str">
        <f>IF(BE$6="","",IF(BE$3="Maior",iferror(VLOOKUP($R275,Capa!$A:$AJ,BE$5,0),0),IF(ISERROR(1/VLOOKUP($R275,Capa!$A:$AJ,BE$5,0)),0,1/VLOOKUP($R275,Capa!$A:$AJ,BE$5,0))))</f>
        <v/>
      </c>
      <c r="BF275" s="174" t="str">
        <f>IF(BF$6="","",IF(BF$3="Maior",iferror(VLOOKUP($R275,Capa!$A:$AJ,BF$5,0),0),IF(ISERROR(1/VLOOKUP($R275,Capa!$A:$AJ,BF$5,0)),0,1/VLOOKUP($R275,Capa!$A:$AJ,BF$5,0))))</f>
        <v/>
      </c>
      <c r="BG275" s="174" t="str">
        <f>IF(BG$6="","",IF(BG$3="Maior",iferror(VLOOKUP($R275,Capa!$A:$AJ,BG$5,0),0),IF(ISERROR(1/VLOOKUP($R275,Capa!$A:$AJ,BG$5,0)),0,1/VLOOKUP($R275,Capa!$A:$AJ,BG$5,0))))</f>
        <v/>
      </c>
      <c r="BH275" s="174" t="str">
        <f>IF(BH$6="","",IF(BH$3="Maior",iferror(VLOOKUP($R275,Capa!$A:$AJ,BH$5,0),0),IF(ISERROR(1/VLOOKUP($R275,Capa!$A:$AJ,BH$5,0)),0,1/VLOOKUP($R275,Capa!$A:$AJ,BH$5,0))))</f>
        <v/>
      </c>
      <c r="BI275" s="174" t="str">
        <f>IF(BI$6="","",IF(BI$3="Maior",iferror(VLOOKUP($R275,Capa!$A:$AJ,BI$5,0),0),IF(ISERROR(1/VLOOKUP($R275,Capa!$A:$AJ,BI$5,0)),0,1/VLOOKUP($R275,Capa!$A:$AJ,BI$5,0))))</f>
        <v/>
      </c>
      <c r="BJ275" s="174" t="str">
        <f>IF(BJ$6="","",IF(BJ$3="Maior",iferror(VLOOKUP($R275,Capa!$A:$AJ,BJ$5,0),0),IF(ISERROR(1/VLOOKUP($R275,Capa!$A:$AJ,BJ$5,0)),0,1/VLOOKUP($R275,Capa!$A:$AJ,BJ$5,0))))</f>
        <v/>
      </c>
      <c r="BK275" s="174" t="str">
        <f>IF(BK$6="","",IF(BK$3="Maior",iferror(VLOOKUP($R275,Capa!$A:$AJ,BK$5,0),0),IF(ISERROR(1/VLOOKUP($R275,Capa!$A:$AJ,BK$5,0)),0,1/VLOOKUP($R275,Capa!$A:$AJ,BK$5,0))))</f>
        <v/>
      </c>
      <c r="BL275" s="174" t="str">
        <f>IF(BL$6="","",IF(BL$3="Maior",iferror(VLOOKUP($R275,Capa!$A:$AJ,BL$5,0),0),IF(ISERROR(1/VLOOKUP($R275,Capa!$A:$AJ,BL$5,0)),0,1/VLOOKUP($R275,Capa!$A:$AJ,BL$5,0))))</f>
        <v/>
      </c>
      <c r="BM275" s="174" t="str">
        <f>IF(BM$6="","",IF(BM$3="Maior",iferror(VLOOKUP($R275,Capa!$A:$AJ,BM$5,0),0),IF(ISERROR(1/VLOOKUP($R275,Capa!$A:$AJ,BM$5,0)),0,1/VLOOKUP($R275,Capa!$A:$AJ,BM$5,0))))</f>
        <v/>
      </c>
      <c r="BN275" s="174" t="str">
        <f>IF(BN$6="","",IF(BN$3="Maior",iferror(VLOOKUP($R275,Capa!$A:$AJ,BN$5,0),0),IF(ISERROR(1/VLOOKUP($R275,Capa!$A:$AJ,BN$5,0)),0,1/VLOOKUP($R275,Capa!$A:$AJ,BN$5,0))))</f>
        <v/>
      </c>
      <c r="BO275" s="174" t="str">
        <f>IF(BO$6="","",IF(BO$3="Maior",iferror(VLOOKUP($R275,Capa!$A:$AJ,BO$5,0),0),IF(ISERROR(1/VLOOKUP($R275,Capa!$A:$AJ,BO$5,0)),0,1/VLOOKUP($R275,Capa!$A:$AJ,BO$5,0))))</f>
        <v/>
      </c>
      <c r="BP275" s="174" t="str">
        <f>IF(BP$6="","",IF(BP$3="Maior",iferror(VLOOKUP($R275,Capa!$A:$AJ,BP$5,0),0),IF(ISERROR(1/VLOOKUP($R275,Capa!$A:$AJ,BP$5,0)),0,1/VLOOKUP($R275,Capa!$A:$AJ,BP$5,0))))</f>
        <v/>
      </c>
      <c r="BQ275" s="174" t="str">
        <f>IF(BQ$6="","",IF(BQ$3="Maior",iferror(VLOOKUP($R275,Capa!$A:$AJ,BQ$5,0),0),IF(ISERROR(1/VLOOKUP($R275,Capa!$A:$AJ,BQ$5,0)),0,1/VLOOKUP($R275,Capa!$A:$AJ,BQ$5,0))))</f>
        <v/>
      </c>
      <c r="BR275" s="175"/>
      <c r="BS275" s="147"/>
    </row>
    <row r="276">
      <c r="G276" s="11"/>
      <c r="H276" s="8">
        <v>270.0</v>
      </c>
      <c r="I276" s="165" t="str">
        <f t="shared" si="6"/>
        <v>CASN4</v>
      </c>
      <c r="J276" s="166" t="str">
        <f>(VLOOKUP($I276,Capa!$A:$B,2,0))</f>
        <v>Companhia Catarinense d Ags e Smnt CASAN Preference Shares</v>
      </c>
      <c r="K276" s="167" t="str">
        <f>VLOOKUP(left(I276,4),Setor!A:D,3,0)&amp;" | "&amp;VLOOKUP(left(I276,4),Setor!A:D,4,0)</f>
        <v>Utilidade Pública | Água e Saneamento</v>
      </c>
      <c r="L276" s="168">
        <f>(VLOOKUP($I276,Capa!$A:$F,6,0))</f>
        <v>0</v>
      </c>
      <c r="M276" s="168">
        <f t="shared" si="7"/>
        <v>0</v>
      </c>
      <c r="N276" s="11" t="str">
        <f>(VLOOKUP($I276,Capa!$A:$H,7,0))</f>
        <v/>
      </c>
      <c r="O276" s="169" t="str">
        <f>(VLOOKUP($I276,Capa!$A:$H,8,0))</f>
        <v/>
      </c>
      <c r="P276" s="11" t="str">
        <f>(VLOOKUP($I276,Capa!$A:$J,10,0))</f>
        <v/>
      </c>
      <c r="Q276" s="169" t="str">
        <f>(VLOOKUP($I276,Capa!$A:$K,11,0))</f>
        <v/>
      </c>
      <c r="R276" s="45" t="str">
        <f>'Dados StatusInvest'!A271</f>
        <v>FICT3</v>
      </c>
      <c r="S276" s="170">
        <f t="shared" si="234"/>
        <v>1488.0488</v>
      </c>
      <c r="T276" s="171">
        <f>VLOOKUP(R276,'Dados StatusInvest'!A:Z,26,0)</f>
        <v>165640.1</v>
      </c>
      <c r="U276" s="172">
        <f t="shared" ref="U276:AS276" si="279">IF(AT276="","", RANK(AT276,AT$7:AT$626,0)+RANK(AT276,AT$7:AT$626,0)/10000)</f>
        <v>221.0221</v>
      </c>
      <c r="V276" s="172">
        <f t="shared" si="279"/>
        <v>267.0267</v>
      </c>
      <c r="W276" s="172" t="str">
        <f t="shared" si="279"/>
        <v/>
      </c>
      <c r="X276" s="172" t="str">
        <f t="shared" si="279"/>
        <v/>
      </c>
      <c r="Y276" s="172" t="str">
        <f t="shared" si="279"/>
        <v/>
      </c>
      <c r="Z276" s="172" t="str">
        <f t="shared" si="279"/>
        <v/>
      </c>
      <c r="AA276" s="172" t="str">
        <f t="shared" si="279"/>
        <v/>
      </c>
      <c r="AB276" s="172" t="str">
        <f t="shared" si="279"/>
        <v/>
      </c>
      <c r="AC276" s="172" t="str">
        <f t="shared" si="279"/>
        <v/>
      </c>
      <c r="AD276" s="172" t="str">
        <f t="shared" si="279"/>
        <v/>
      </c>
      <c r="AE276" s="172" t="str">
        <f t="shared" si="279"/>
        <v/>
      </c>
      <c r="AF276" s="172" t="str">
        <f t="shared" si="279"/>
        <v/>
      </c>
      <c r="AG276" s="172" t="str">
        <f t="shared" si="279"/>
        <v/>
      </c>
      <c r="AH276" s="172" t="str">
        <f t="shared" si="279"/>
        <v/>
      </c>
      <c r="AI276" s="172" t="str">
        <f t="shared" si="279"/>
        <v/>
      </c>
      <c r="AJ276" s="172" t="str">
        <f t="shared" si="279"/>
        <v/>
      </c>
      <c r="AK276" s="172" t="str">
        <f t="shared" si="279"/>
        <v/>
      </c>
      <c r="AL276" s="172" t="str">
        <f t="shared" si="279"/>
        <v/>
      </c>
      <c r="AM276" s="172" t="str">
        <f t="shared" si="279"/>
        <v/>
      </c>
      <c r="AN276" s="172" t="str">
        <f t="shared" si="279"/>
        <v/>
      </c>
      <c r="AO276" s="172" t="str">
        <f t="shared" si="279"/>
        <v/>
      </c>
      <c r="AP276" s="172" t="str">
        <f t="shared" si="279"/>
        <v/>
      </c>
      <c r="AQ276" s="172" t="str">
        <f t="shared" si="279"/>
        <v/>
      </c>
      <c r="AR276" s="172" t="str">
        <f t="shared" si="279"/>
        <v/>
      </c>
      <c r="AS276" s="172" t="str">
        <f t="shared" si="279"/>
        <v/>
      </c>
      <c r="AT276" s="173">
        <f>IF(AT$6="","",IF(AT$3="Maior",iferror(VLOOKUP($R276,Capa!$A:$AJ,AT$5,0),0),IF(ISERROR(1/VLOOKUP($R276,Capa!$A:$AJ,AT$5,0)),0,1/VLOOKUP($R276,Capa!$A:$AJ,AT$5,0))))</f>
        <v>-0.3465003465</v>
      </c>
      <c r="AU276" s="174">
        <f>IF(AU$6="","",IF(AU$3="Maior",iferror(VLOOKUP($R276,Capa!$A:$AJ,AU$5,0),0),IF(ISERROR(1/VLOOKUP($R276,Capa!$A:$AJ,AU$5,0)),0,1/VLOOKUP($R276,Capa!$A:$AJ,AU$5,0))))</f>
        <v>0</v>
      </c>
      <c r="AV276" s="174" t="str">
        <f>IF(AV$6="","",IF(AV$3="Maior",iferror(VLOOKUP($R276,Capa!$A:$AJ,AV$5,0),0),IF(ISERROR(1/VLOOKUP($R276,Capa!$A:$AJ,AV$5,0)),0,1/VLOOKUP($R276,Capa!$A:$AJ,AV$5,0))))</f>
        <v/>
      </c>
      <c r="AW276" s="174" t="str">
        <f>IF(AW$6="","",IF(AW$3="Maior",iferror(VLOOKUP($R276,Capa!$A:$AJ,AW$5,0),0),IF(ISERROR(1/VLOOKUP($R276,Capa!$A:$AJ,AW$5,0)),0,1/VLOOKUP($R276,Capa!$A:$AJ,AW$5,0))))</f>
        <v/>
      </c>
      <c r="AX276" s="174" t="str">
        <f>IF(AX$6="","",IF(AX$3="Maior",iferror(VLOOKUP($R276,Capa!$A:$AJ,AX$5,0),0),IF(ISERROR(1/VLOOKUP($R276,Capa!$A:$AJ,AX$5,0)),0,1/VLOOKUP($R276,Capa!$A:$AJ,AX$5,0))))</f>
        <v/>
      </c>
      <c r="AY276" s="174" t="str">
        <f>IF(AY$6="","",IF(AY$3="Maior",iferror(VLOOKUP($R276,Capa!$A:$AJ,AY$5,0),0),IF(ISERROR(1/VLOOKUP($R276,Capa!$A:$AJ,AY$5,0)),0,1/VLOOKUP($R276,Capa!$A:$AJ,AY$5,0))))</f>
        <v/>
      </c>
      <c r="AZ276" s="174" t="str">
        <f>IF(AZ$6="","",IF(AZ$3="Maior",iferror(VLOOKUP($R276,Capa!$A:$AJ,AZ$5,0),0),IF(ISERROR(1/VLOOKUP($R276,Capa!$A:$AJ,AZ$5,0)),0,1/VLOOKUP($R276,Capa!$A:$AJ,AZ$5,0))))</f>
        <v/>
      </c>
      <c r="BA276" s="174" t="str">
        <f>IF(BA$6="","",IF(BA$3="Maior",iferror(VLOOKUP($R276,Capa!$A:$AJ,BA$5,0),0),IF(ISERROR(1/VLOOKUP($R276,Capa!$A:$AJ,BA$5,0)),0,1/VLOOKUP($R276,Capa!$A:$AJ,BA$5,0))))</f>
        <v/>
      </c>
      <c r="BB276" s="174" t="str">
        <f>IF(BB$6="","",IF(BB$3="Maior",iferror(VLOOKUP($R276,Capa!$A:$AJ,BB$5,0),0),IF(ISERROR(1/VLOOKUP($R276,Capa!$A:$AJ,BB$5,0)),0,1/VLOOKUP($R276,Capa!$A:$AJ,BB$5,0))))</f>
        <v/>
      </c>
      <c r="BC276" s="174" t="str">
        <f>IF(BC$6="","",IF(BC$3="Maior",iferror(VLOOKUP($R276,Capa!$A:$AJ,BC$5,0),0),IF(ISERROR(1/VLOOKUP($R276,Capa!$A:$AJ,BC$5,0)),0,1/VLOOKUP($R276,Capa!$A:$AJ,BC$5,0))))</f>
        <v/>
      </c>
      <c r="BD276" s="174" t="str">
        <f>IF(BD$6="","",IF(BD$3="Maior",iferror(VLOOKUP($R276,Capa!$A:$AJ,BD$5,0),0),IF(ISERROR(1/VLOOKUP($R276,Capa!$A:$AJ,BD$5,0)),0,1/VLOOKUP($R276,Capa!$A:$AJ,BD$5,0))))</f>
        <v/>
      </c>
      <c r="BE276" s="174" t="str">
        <f>IF(BE$6="","",IF(BE$3="Maior",iferror(VLOOKUP($R276,Capa!$A:$AJ,BE$5,0),0),IF(ISERROR(1/VLOOKUP($R276,Capa!$A:$AJ,BE$5,0)),0,1/VLOOKUP($R276,Capa!$A:$AJ,BE$5,0))))</f>
        <v/>
      </c>
      <c r="BF276" s="174" t="str">
        <f>IF(BF$6="","",IF(BF$3="Maior",iferror(VLOOKUP($R276,Capa!$A:$AJ,BF$5,0),0),IF(ISERROR(1/VLOOKUP($R276,Capa!$A:$AJ,BF$5,0)),0,1/VLOOKUP($R276,Capa!$A:$AJ,BF$5,0))))</f>
        <v/>
      </c>
      <c r="BG276" s="174" t="str">
        <f>IF(BG$6="","",IF(BG$3="Maior",iferror(VLOOKUP($R276,Capa!$A:$AJ,BG$5,0),0),IF(ISERROR(1/VLOOKUP($R276,Capa!$A:$AJ,BG$5,0)),0,1/VLOOKUP($R276,Capa!$A:$AJ,BG$5,0))))</f>
        <v/>
      </c>
      <c r="BH276" s="174" t="str">
        <f>IF(BH$6="","",IF(BH$3="Maior",iferror(VLOOKUP($R276,Capa!$A:$AJ,BH$5,0),0),IF(ISERROR(1/VLOOKUP($R276,Capa!$A:$AJ,BH$5,0)),0,1/VLOOKUP($R276,Capa!$A:$AJ,BH$5,0))))</f>
        <v/>
      </c>
      <c r="BI276" s="174" t="str">
        <f>IF(BI$6="","",IF(BI$3="Maior",iferror(VLOOKUP($R276,Capa!$A:$AJ,BI$5,0),0),IF(ISERROR(1/VLOOKUP($R276,Capa!$A:$AJ,BI$5,0)),0,1/VLOOKUP($R276,Capa!$A:$AJ,BI$5,0))))</f>
        <v/>
      </c>
      <c r="BJ276" s="174" t="str">
        <f>IF(BJ$6="","",IF(BJ$3="Maior",iferror(VLOOKUP($R276,Capa!$A:$AJ,BJ$5,0),0),IF(ISERROR(1/VLOOKUP($R276,Capa!$A:$AJ,BJ$5,0)),0,1/VLOOKUP($R276,Capa!$A:$AJ,BJ$5,0))))</f>
        <v/>
      </c>
      <c r="BK276" s="174" t="str">
        <f>IF(BK$6="","",IF(BK$3="Maior",iferror(VLOOKUP($R276,Capa!$A:$AJ,BK$5,0),0),IF(ISERROR(1/VLOOKUP($R276,Capa!$A:$AJ,BK$5,0)),0,1/VLOOKUP($R276,Capa!$A:$AJ,BK$5,0))))</f>
        <v/>
      </c>
      <c r="BL276" s="174" t="str">
        <f>IF(BL$6="","",IF(BL$3="Maior",iferror(VLOOKUP($R276,Capa!$A:$AJ,BL$5,0),0),IF(ISERROR(1/VLOOKUP($R276,Capa!$A:$AJ,BL$5,0)),0,1/VLOOKUP($R276,Capa!$A:$AJ,BL$5,0))))</f>
        <v/>
      </c>
      <c r="BM276" s="174" t="str">
        <f>IF(BM$6="","",IF(BM$3="Maior",iferror(VLOOKUP($R276,Capa!$A:$AJ,BM$5,0),0),IF(ISERROR(1/VLOOKUP($R276,Capa!$A:$AJ,BM$5,0)),0,1/VLOOKUP($R276,Capa!$A:$AJ,BM$5,0))))</f>
        <v/>
      </c>
      <c r="BN276" s="174" t="str">
        <f>IF(BN$6="","",IF(BN$3="Maior",iferror(VLOOKUP($R276,Capa!$A:$AJ,BN$5,0),0),IF(ISERROR(1/VLOOKUP($R276,Capa!$A:$AJ,BN$5,0)),0,1/VLOOKUP($R276,Capa!$A:$AJ,BN$5,0))))</f>
        <v/>
      </c>
      <c r="BO276" s="174" t="str">
        <f>IF(BO$6="","",IF(BO$3="Maior",iferror(VLOOKUP($R276,Capa!$A:$AJ,BO$5,0),0),IF(ISERROR(1/VLOOKUP($R276,Capa!$A:$AJ,BO$5,0)),0,1/VLOOKUP($R276,Capa!$A:$AJ,BO$5,0))))</f>
        <v/>
      </c>
      <c r="BP276" s="174" t="str">
        <f>IF(BP$6="","",IF(BP$3="Maior",iferror(VLOOKUP($R276,Capa!$A:$AJ,BP$5,0),0),IF(ISERROR(1/VLOOKUP($R276,Capa!$A:$AJ,BP$5,0)),0,1/VLOOKUP($R276,Capa!$A:$AJ,BP$5,0))))</f>
        <v/>
      </c>
      <c r="BQ276" s="174" t="str">
        <f>IF(BQ$6="","",IF(BQ$3="Maior",iferror(VLOOKUP($R276,Capa!$A:$AJ,BQ$5,0),0),IF(ISERROR(1/VLOOKUP($R276,Capa!$A:$AJ,BQ$5,0)),0,1/VLOOKUP($R276,Capa!$A:$AJ,BQ$5,0))))</f>
        <v/>
      </c>
      <c r="BR276" s="175"/>
      <c r="BS276" s="147"/>
    </row>
    <row r="277">
      <c r="G277" s="11"/>
      <c r="H277" s="8">
        <v>271.0</v>
      </c>
      <c r="I277" s="165" t="str">
        <f t="shared" si="6"/>
        <v>CEPE6</v>
      </c>
      <c r="J277" s="166" t="str">
        <f>(VLOOKUP($I277,Capa!$A:$B,2,0))</f>
        <v/>
      </c>
      <c r="K277" s="167" t="str">
        <f>VLOOKUP(left(I277,4),Setor!A:D,3,0)&amp;" | "&amp;VLOOKUP(left(I277,4),Setor!A:D,4,0)</f>
        <v>Utilidade Pública | Energia Elétrica</v>
      </c>
      <c r="L277" s="168" t="str">
        <f>(VLOOKUP($I277,Capa!$A:$F,6,0))</f>
        <v/>
      </c>
      <c r="M277" s="168">
        <f t="shared" si="7"/>
        <v>0</v>
      </c>
      <c r="N277" s="11" t="str">
        <f>(VLOOKUP($I277,Capa!$A:$H,7,0))</f>
        <v/>
      </c>
      <c r="O277" s="169" t="str">
        <f>(VLOOKUP($I277,Capa!$A:$H,8,0))</f>
        <v/>
      </c>
      <c r="P277" s="11" t="str">
        <f>(VLOOKUP($I277,Capa!$A:$J,10,0))</f>
        <v/>
      </c>
      <c r="Q277" s="169" t="str">
        <f>(VLOOKUP($I277,Capa!$A:$K,11,0))</f>
        <v/>
      </c>
      <c r="R277" s="45" t="str">
        <f>'Dados StatusInvest'!A272</f>
        <v>FIEI3</v>
      </c>
      <c r="S277" s="170">
        <f t="shared" si="234"/>
        <v>1773.0773</v>
      </c>
      <c r="T277" s="171">
        <f>VLOOKUP(R277,'Dados StatusInvest'!A:Z,26,0)</f>
        <v>10517.11</v>
      </c>
      <c r="U277" s="172">
        <f t="shared" ref="U277:AS277" si="280">IF(AT277="","", RANK(AT277,AT$7:AT$626,0)+RANK(AT277,AT$7:AT$626,0)/10000)</f>
        <v>506.0506</v>
      </c>
      <c r="V277" s="172">
        <f t="shared" si="280"/>
        <v>267.0267</v>
      </c>
      <c r="W277" s="172" t="str">
        <f t="shared" si="280"/>
        <v/>
      </c>
      <c r="X277" s="172" t="str">
        <f t="shared" si="280"/>
        <v/>
      </c>
      <c r="Y277" s="172" t="str">
        <f t="shared" si="280"/>
        <v/>
      </c>
      <c r="Z277" s="172" t="str">
        <f t="shared" si="280"/>
        <v/>
      </c>
      <c r="AA277" s="172" t="str">
        <f t="shared" si="280"/>
        <v/>
      </c>
      <c r="AB277" s="172" t="str">
        <f t="shared" si="280"/>
        <v/>
      </c>
      <c r="AC277" s="172" t="str">
        <f t="shared" si="280"/>
        <v/>
      </c>
      <c r="AD277" s="172" t="str">
        <f t="shared" si="280"/>
        <v/>
      </c>
      <c r="AE277" s="172" t="str">
        <f t="shared" si="280"/>
        <v/>
      </c>
      <c r="AF277" s="172" t="str">
        <f t="shared" si="280"/>
        <v/>
      </c>
      <c r="AG277" s="172" t="str">
        <f t="shared" si="280"/>
        <v/>
      </c>
      <c r="AH277" s="172" t="str">
        <f t="shared" si="280"/>
        <v/>
      </c>
      <c r="AI277" s="172" t="str">
        <f t="shared" si="280"/>
        <v/>
      </c>
      <c r="AJ277" s="172" t="str">
        <f t="shared" si="280"/>
        <v/>
      </c>
      <c r="AK277" s="172" t="str">
        <f t="shared" si="280"/>
        <v/>
      </c>
      <c r="AL277" s="172" t="str">
        <f t="shared" si="280"/>
        <v/>
      </c>
      <c r="AM277" s="172" t="str">
        <f t="shared" si="280"/>
        <v/>
      </c>
      <c r="AN277" s="172" t="str">
        <f t="shared" si="280"/>
        <v/>
      </c>
      <c r="AO277" s="172" t="str">
        <f t="shared" si="280"/>
        <v/>
      </c>
      <c r="AP277" s="172" t="str">
        <f t="shared" si="280"/>
        <v/>
      </c>
      <c r="AQ277" s="172" t="str">
        <f t="shared" si="280"/>
        <v/>
      </c>
      <c r="AR277" s="172" t="str">
        <f t="shared" si="280"/>
        <v/>
      </c>
      <c r="AS277" s="172" t="str">
        <f t="shared" si="280"/>
        <v/>
      </c>
      <c r="AT277" s="173">
        <f>IF(AT$6="","",IF(AT$3="Maior",iferror(VLOOKUP($R277,Capa!$A:$AJ,AT$5,0),0),IF(ISERROR(1/VLOOKUP($R277,Capa!$A:$AJ,AT$5,0)),0,1/VLOOKUP($R277,Capa!$A:$AJ,AT$5,0))))</f>
        <v>-3.448275862</v>
      </c>
      <c r="AU277" s="174">
        <f>IF(AU$6="","",IF(AU$3="Maior",iferror(VLOOKUP($R277,Capa!$A:$AJ,AU$5,0),0),IF(ISERROR(1/VLOOKUP($R277,Capa!$A:$AJ,AU$5,0)),0,1/VLOOKUP($R277,Capa!$A:$AJ,AU$5,0))))</f>
        <v>0</v>
      </c>
      <c r="AV277" s="174" t="str">
        <f>IF(AV$6="","",IF(AV$3="Maior",iferror(VLOOKUP($R277,Capa!$A:$AJ,AV$5,0),0),IF(ISERROR(1/VLOOKUP($R277,Capa!$A:$AJ,AV$5,0)),0,1/VLOOKUP($R277,Capa!$A:$AJ,AV$5,0))))</f>
        <v/>
      </c>
      <c r="AW277" s="174" t="str">
        <f>IF(AW$6="","",IF(AW$3="Maior",iferror(VLOOKUP($R277,Capa!$A:$AJ,AW$5,0),0),IF(ISERROR(1/VLOOKUP($R277,Capa!$A:$AJ,AW$5,0)),0,1/VLOOKUP($R277,Capa!$A:$AJ,AW$5,0))))</f>
        <v/>
      </c>
      <c r="AX277" s="174" t="str">
        <f>IF(AX$6="","",IF(AX$3="Maior",iferror(VLOOKUP($R277,Capa!$A:$AJ,AX$5,0),0),IF(ISERROR(1/VLOOKUP($R277,Capa!$A:$AJ,AX$5,0)),0,1/VLOOKUP($R277,Capa!$A:$AJ,AX$5,0))))</f>
        <v/>
      </c>
      <c r="AY277" s="174" t="str">
        <f>IF(AY$6="","",IF(AY$3="Maior",iferror(VLOOKUP($R277,Capa!$A:$AJ,AY$5,0),0),IF(ISERROR(1/VLOOKUP($R277,Capa!$A:$AJ,AY$5,0)),0,1/VLOOKUP($R277,Capa!$A:$AJ,AY$5,0))))</f>
        <v/>
      </c>
      <c r="AZ277" s="174" t="str">
        <f>IF(AZ$6="","",IF(AZ$3="Maior",iferror(VLOOKUP($R277,Capa!$A:$AJ,AZ$5,0),0),IF(ISERROR(1/VLOOKUP($R277,Capa!$A:$AJ,AZ$5,0)),0,1/VLOOKUP($R277,Capa!$A:$AJ,AZ$5,0))))</f>
        <v/>
      </c>
      <c r="BA277" s="174" t="str">
        <f>IF(BA$6="","",IF(BA$3="Maior",iferror(VLOOKUP($R277,Capa!$A:$AJ,BA$5,0),0),IF(ISERROR(1/VLOOKUP($R277,Capa!$A:$AJ,BA$5,0)),0,1/VLOOKUP($R277,Capa!$A:$AJ,BA$5,0))))</f>
        <v/>
      </c>
      <c r="BB277" s="174" t="str">
        <f>IF(BB$6="","",IF(BB$3="Maior",iferror(VLOOKUP($R277,Capa!$A:$AJ,BB$5,0),0),IF(ISERROR(1/VLOOKUP($R277,Capa!$A:$AJ,BB$5,0)),0,1/VLOOKUP($R277,Capa!$A:$AJ,BB$5,0))))</f>
        <v/>
      </c>
      <c r="BC277" s="174" t="str">
        <f>IF(BC$6="","",IF(BC$3="Maior",iferror(VLOOKUP($R277,Capa!$A:$AJ,BC$5,0),0),IF(ISERROR(1/VLOOKUP($R277,Capa!$A:$AJ,BC$5,0)),0,1/VLOOKUP($R277,Capa!$A:$AJ,BC$5,0))))</f>
        <v/>
      </c>
      <c r="BD277" s="174" t="str">
        <f>IF(BD$6="","",IF(BD$3="Maior",iferror(VLOOKUP($R277,Capa!$A:$AJ,BD$5,0),0),IF(ISERROR(1/VLOOKUP($R277,Capa!$A:$AJ,BD$5,0)),0,1/VLOOKUP($R277,Capa!$A:$AJ,BD$5,0))))</f>
        <v/>
      </c>
      <c r="BE277" s="174" t="str">
        <f>IF(BE$6="","",IF(BE$3="Maior",iferror(VLOOKUP($R277,Capa!$A:$AJ,BE$5,0),0),IF(ISERROR(1/VLOOKUP($R277,Capa!$A:$AJ,BE$5,0)),0,1/VLOOKUP($R277,Capa!$A:$AJ,BE$5,0))))</f>
        <v/>
      </c>
      <c r="BF277" s="174" t="str">
        <f>IF(BF$6="","",IF(BF$3="Maior",iferror(VLOOKUP($R277,Capa!$A:$AJ,BF$5,0),0),IF(ISERROR(1/VLOOKUP($R277,Capa!$A:$AJ,BF$5,0)),0,1/VLOOKUP($R277,Capa!$A:$AJ,BF$5,0))))</f>
        <v/>
      </c>
      <c r="BG277" s="174" t="str">
        <f>IF(BG$6="","",IF(BG$3="Maior",iferror(VLOOKUP($R277,Capa!$A:$AJ,BG$5,0),0),IF(ISERROR(1/VLOOKUP($R277,Capa!$A:$AJ,BG$5,0)),0,1/VLOOKUP($R277,Capa!$A:$AJ,BG$5,0))))</f>
        <v/>
      </c>
      <c r="BH277" s="174" t="str">
        <f>IF(BH$6="","",IF(BH$3="Maior",iferror(VLOOKUP($R277,Capa!$A:$AJ,BH$5,0),0),IF(ISERROR(1/VLOOKUP($R277,Capa!$A:$AJ,BH$5,0)),0,1/VLOOKUP($R277,Capa!$A:$AJ,BH$5,0))))</f>
        <v/>
      </c>
      <c r="BI277" s="174" t="str">
        <f>IF(BI$6="","",IF(BI$3="Maior",iferror(VLOOKUP($R277,Capa!$A:$AJ,BI$5,0),0),IF(ISERROR(1/VLOOKUP($R277,Capa!$A:$AJ,BI$5,0)),0,1/VLOOKUP($R277,Capa!$A:$AJ,BI$5,0))))</f>
        <v/>
      </c>
      <c r="BJ277" s="174" t="str">
        <f>IF(BJ$6="","",IF(BJ$3="Maior",iferror(VLOOKUP($R277,Capa!$A:$AJ,BJ$5,0),0),IF(ISERROR(1/VLOOKUP($R277,Capa!$A:$AJ,BJ$5,0)),0,1/VLOOKUP($R277,Capa!$A:$AJ,BJ$5,0))))</f>
        <v/>
      </c>
      <c r="BK277" s="174" t="str">
        <f>IF(BK$6="","",IF(BK$3="Maior",iferror(VLOOKUP($R277,Capa!$A:$AJ,BK$5,0),0),IF(ISERROR(1/VLOOKUP($R277,Capa!$A:$AJ,BK$5,0)),0,1/VLOOKUP($R277,Capa!$A:$AJ,BK$5,0))))</f>
        <v/>
      </c>
      <c r="BL277" s="174" t="str">
        <f>IF(BL$6="","",IF(BL$3="Maior",iferror(VLOOKUP($R277,Capa!$A:$AJ,BL$5,0),0),IF(ISERROR(1/VLOOKUP($R277,Capa!$A:$AJ,BL$5,0)),0,1/VLOOKUP($R277,Capa!$A:$AJ,BL$5,0))))</f>
        <v/>
      </c>
      <c r="BM277" s="174" t="str">
        <f>IF(BM$6="","",IF(BM$3="Maior",iferror(VLOOKUP($R277,Capa!$A:$AJ,BM$5,0),0),IF(ISERROR(1/VLOOKUP($R277,Capa!$A:$AJ,BM$5,0)),0,1/VLOOKUP($R277,Capa!$A:$AJ,BM$5,0))))</f>
        <v/>
      </c>
      <c r="BN277" s="174" t="str">
        <f>IF(BN$6="","",IF(BN$3="Maior",iferror(VLOOKUP($R277,Capa!$A:$AJ,BN$5,0),0),IF(ISERROR(1/VLOOKUP($R277,Capa!$A:$AJ,BN$5,0)),0,1/VLOOKUP($R277,Capa!$A:$AJ,BN$5,0))))</f>
        <v/>
      </c>
      <c r="BO277" s="174" t="str">
        <f>IF(BO$6="","",IF(BO$3="Maior",iferror(VLOOKUP($R277,Capa!$A:$AJ,BO$5,0),0),IF(ISERROR(1/VLOOKUP($R277,Capa!$A:$AJ,BO$5,0)),0,1/VLOOKUP($R277,Capa!$A:$AJ,BO$5,0))))</f>
        <v/>
      </c>
      <c r="BP277" s="174" t="str">
        <f>IF(BP$6="","",IF(BP$3="Maior",iferror(VLOOKUP($R277,Capa!$A:$AJ,BP$5,0),0),IF(ISERROR(1/VLOOKUP($R277,Capa!$A:$AJ,BP$5,0)),0,1/VLOOKUP($R277,Capa!$A:$AJ,BP$5,0))))</f>
        <v/>
      </c>
      <c r="BQ277" s="174" t="str">
        <f>IF(BQ$6="","",IF(BQ$3="Maior",iferror(VLOOKUP($R277,Capa!$A:$AJ,BQ$5,0),0),IF(ISERROR(1/VLOOKUP($R277,Capa!$A:$AJ,BQ$5,0)),0,1/VLOOKUP($R277,Capa!$A:$AJ,BQ$5,0))))</f>
        <v/>
      </c>
      <c r="BR277" s="175"/>
      <c r="BS277" s="147"/>
    </row>
    <row r="278">
      <c r="G278" s="11"/>
      <c r="H278" s="8">
        <v>272.0</v>
      </c>
      <c r="I278" s="165" t="str">
        <f t="shared" si="6"/>
        <v>SOND5</v>
      </c>
      <c r="J278" s="166" t="str">
        <f>(VLOOKUP($I278,Capa!$A:$B,2,0))</f>
        <v>Sondotecnica Engenharia de Solos SA Preference Shares Class A</v>
      </c>
      <c r="K278" s="167" t="str">
        <f>VLOOKUP(left(I278,4),Setor!A:D,3,0)&amp;" | "&amp;VLOOKUP(left(I278,4),Setor!A:D,4,0)</f>
        <v>Bens Industriais | Construção e Engenharia</v>
      </c>
      <c r="L278" s="168">
        <f>(VLOOKUP($I278,Capa!$A:$F,6,0))</f>
        <v>70</v>
      </c>
      <c r="M278" s="168">
        <f t="shared" si="7"/>
        <v>8219.92</v>
      </c>
      <c r="N278" s="177" t="str">
        <f>IFERROR(__xludf.DUMMYFUNCTION("(VLOOKUP($I278,Capa!$A:$H,7,0))"),"")</f>
        <v/>
      </c>
      <c r="O278" s="169">
        <f>(VLOOKUP($I278,Capa!$A:$H,8,0))</f>
        <v>0.06788710908</v>
      </c>
      <c r="P278" s="169" t="str">
        <f>IFERROR(__xludf.DUMMYFUNCTION("(VLOOKUP($I278,Capa!$A:$J,10,0))"),"")</f>
        <v/>
      </c>
      <c r="Q278" s="169" t="str">
        <f>(VLOOKUP($I278,Capa!$A:$K,11,0))</f>
        <v/>
      </c>
      <c r="R278" s="45" t="str">
        <f>'Dados StatusInvest'!A273</f>
        <v>FIGE3</v>
      </c>
      <c r="S278" s="170">
        <f t="shared" si="234"/>
        <v>1582.0582</v>
      </c>
      <c r="T278" s="171">
        <f>VLOOKUP(R278,'Dados StatusInvest'!A:Z,26,0)</f>
        <v>4214</v>
      </c>
      <c r="U278" s="172">
        <f t="shared" ref="U278:AS278" si="281">IF(AT278="","", RANK(AT278,AT$7:AT$626,0)+RANK(AT278,AT$7:AT$626,0)/10000)</f>
        <v>519.0519</v>
      </c>
      <c r="V278" s="172">
        <f t="shared" si="281"/>
        <v>63.0063</v>
      </c>
      <c r="W278" s="172" t="str">
        <f t="shared" si="281"/>
        <v/>
      </c>
      <c r="X278" s="172" t="str">
        <f t="shared" si="281"/>
        <v/>
      </c>
      <c r="Y278" s="172" t="str">
        <f t="shared" si="281"/>
        <v/>
      </c>
      <c r="Z278" s="172" t="str">
        <f t="shared" si="281"/>
        <v/>
      </c>
      <c r="AA278" s="172" t="str">
        <f t="shared" si="281"/>
        <v/>
      </c>
      <c r="AB278" s="172" t="str">
        <f t="shared" si="281"/>
        <v/>
      </c>
      <c r="AC278" s="172" t="str">
        <f t="shared" si="281"/>
        <v/>
      </c>
      <c r="AD278" s="172" t="str">
        <f t="shared" si="281"/>
        <v/>
      </c>
      <c r="AE278" s="172" t="str">
        <f t="shared" si="281"/>
        <v/>
      </c>
      <c r="AF278" s="172" t="str">
        <f t="shared" si="281"/>
        <v/>
      </c>
      <c r="AG278" s="172" t="str">
        <f t="shared" si="281"/>
        <v/>
      </c>
      <c r="AH278" s="172" t="str">
        <f t="shared" si="281"/>
        <v/>
      </c>
      <c r="AI278" s="172" t="str">
        <f t="shared" si="281"/>
        <v/>
      </c>
      <c r="AJ278" s="172" t="str">
        <f t="shared" si="281"/>
        <v/>
      </c>
      <c r="AK278" s="172" t="str">
        <f t="shared" si="281"/>
        <v/>
      </c>
      <c r="AL278" s="172" t="str">
        <f t="shared" si="281"/>
        <v/>
      </c>
      <c r="AM278" s="172" t="str">
        <f t="shared" si="281"/>
        <v/>
      </c>
      <c r="AN278" s="172" t="str">
        <f t="shared" si="281"/>
        <v/>
      </c>
      <c r="AO278" s="172" t="str">
        <f t="shared" si="281"/>
        <v/>
      </c>
      <c r="AP278" s="172" t="str">
        <f t="shared" si="281"/>
        <v/>
      </c>
      <c r="AQ278" s="172" t="str">
        <f t="shared" si="281"/>
        <v/>
      </c>
      <c r="AR278" s="172" t="str">
        <f t="shared" si="281"/>
        <v/>
      </c>
      <c r="AS278" s="172" t="str">
        <f t="shared" si="281"/>
        <v/>
      </c>
      <c r="AT278" s="173">
        <f>IF(AT$6="","",IF(AT$3="Maior",iferror(VLOOKUP($R278,Capa!$A:$AJ,AT$5,0),0),IF(ISERROR(1/VLOOKUP($R278,Capa!$A:$AJ,AT$5,0)),0,1/VLOOKUP($R278,Capa!$A:$AJ,AT$5,0))))</f>
        <v>-3.846153846</v>
      </c>
      <c r="AU278" s="174">
        <f>IF(AU$6="","",IF(AU$3="Maior",iferror(VLOOKUP($R278,Capa!$A:$AJ,AU$5,0),0),IF(ISERROR(1/VLOOKUP($R278,Capa!$A:$AJ,AU$5,0)),0,1/VLOOKUP($R278,Capa!$A:$AJ,AU$5,0))))</f>
        <v>35.04</v>
      </c>
      <c r="AV278" s="174" t="str">
        <f>IF(AV$6="","",IF(AV$3="Maior",iferror(VLOOKUP($R278,Capa!$A:$AJ,AV$5,0),0),IF(ISERROR(1/VLOOKUP($R278,Capa!$A:$AJ,AV$5,0)),0,1/VLOOKUP($R278,Capa!$A:$AJ,AV$5,0))))</f>
        <v/>
      </c>
      <c r="AW278" s="174" t="str">
        <f>IF(AW$6="","",IF(AW$3="Maior",iferror(VLOOKUP($R278,Capa!$A:$AJ,AW$5,0),0),IF(ISERROR(1/VLOOKUP($R278,Capa!$A:$AJ,AW$5,0)),0,1/VLOOKUP($R278,Capa!$A:$AJ,AW$5,0))))</f>
        <v/>
      </c>
      <c r="AX278" s="174" t="str">
        <f>IF(AX$6="","",IF(AX$3="Maior",iferror(VLOOKUP($R278,Capa!$A:$AJ,AX$5,0),0),IF(ISERROR(1/VLOOKUP($R278,Capa!$A:$AJ,AX$5,0)),0,1/VLOOKUP($R278,Capa!$A:$AJ,AX$5,0))))</f>
        <v/>
      </c>
      <c r="AY278" s="174" t="str">
        <f>IF(AY$6="","",IF(AY$3="Maior",iferror(VLOOKUP($R278,Capa!$A:$AJ,AY$5,0),0),IF(ISERROR(1/VLOOKUP($R278,Capa!$A:$AJ,AY$5,0)),0,1/VLOOKUP($R278,Capa!$A:$AJ,AY$5,0))))</f>
        <v/>
      </c>
      <c r="AZ278" s="174" t="str">
        <f>IF(AZ$6="","",IF(AZ$3="Maior",iferror(VLOOKUP($R278,Capa!$A:$AJ,AZ$5,0),0),IF(ISERROR(1/VLOOKUP($R278,Capa!$A:$AJ,AZ$5,0)),0,1/VLOOKUP($R278,Capa!$A:$AJ,AZ$5,0))))</f>
        <v/>
      </c>
      <c r="BA278" s="174" t="str">
        <f>IF(BA$6="","",IF(BA$3="Maior",iferror(VLOOKUP($R278,Capa!$A:$AJ,BA$5,0),0),IF(ISERROR(1/VLOOKUP($R278,Capa!$A:$AJ,BA$5,0)),0,1/VLOOKUP($R278,Capa!$A:$AJ,BA$5,0))))</f>
        <v/>
      </c>
      <c r="BB278" s="174" t="str">
        <f>IF(BB$6="","",IF(BB$3="Maior",iferror(VLOOKUP($R278,Capa!$A:$AJ,BB$5,0),0),IF(ISERROR(1/VLOOKUP($R278,Capa!$A:$AJ,BB$5,0)),0,1/VLOOKUP($R278,Capa!$A:$AJ,BB$5,0))))</f>
        <v/>
      </c>
      <c r="BC278" s="174" t="str">
        <f>IF(BC$6="","",IF(BC$3="Maior",iferror(VLOOKUP($R278,Capa!$A:$AJ,BC$5,0),0),IF(ISERROR(1/VLOOKUP($R278,Capa!$A:$AJ,BC$5,0)),0,1/VLOOKUP($R278,Capa!$A:$AJ,BC$5,0))))</f>
        <v/>
      </c>
      <c r="BD278" s="174" t="str">
        <f>IF(BD$6="","",IF(BD$3="Maior",iferror(VLOOKUP($R278,Capa!$A:$AJ,BD$5,0),0),IF(ISERROR(1/VLOOKUP($R278,Capa!$A:$AJ,BD$5,0)),0,1/VLOOKUP($R278,Capa!$A:$AJ,BD$5,0))))</f>
        <v/>
      </c>
      <c r="BE278" s="174" t="str">
        <f>IF(BE$6="","",IF(BE$3="Maior",iferror(VLOOKUP($R278,Capa!$A:$AJ,BE$5,0),0),IF(ISERROR(1/VLOOKUP($R278,Capa!$A:$AJ,BE$5,0)),0,1/VLOOKUP($R278,Capa!$A:$AJ,BE$5,0))))</f>
        <v/>
      </c>
      <c r="BF278" s="174" t="str">
        <f>IF(BF$6="","",IF(BF$3="Maior",iferror(VLOOKUP($R278,Capa!$A:$AJ,BF$5,0),0),IF(ISERROR(1/VLOOKUP($R278,Capa!$A:$AJ,BF$5,0)),0,1/VLOOKUP($R278,Capa!$A:$AJ,BF$5,0))))</f>
        <v/>
      </c>
      <c r="BG278" s="174" t="str">
        <f>IF(BG$6="","",IF(BG$3="Maior",iferror(VLOOKUP($R278,Capa!$A:$AJ,BG$5,0),0),IF(ISERROR(1/VLOOKUP($R278,Capa!$A:$AJ,BG$5,0)),0,1/VLOOKUP($R278,Capa!$A:$AJ,BG$5,0))))</f>
        <v/>
      </c>
      <c r="BH278" s="174" t="str">
        <f>IF(BH$6="","",IF(BH$3="Maior",iferror(VLOOKUP($R278,Capa!$A:$AJ,BH$5,0),0),IF(ISERROR(1/VLOOKUP($R278,Capa!$A:$AJ,BH$5,0)),0,1/VLOOKUP($R278,Capa!$A:$AJ,BH$5,0))))</f>
        <v/>
      </c>
      <c r="BI278" s="174" t="str">
        <f>IF(BI$6="","",IF(BI$3="Maior",iferror(VLOOKUP($R278,Capa!$A:$AJ,BI$5,0),0),IF(ISERROR(1/VLOOKUP($R278,Capa!$A:$AJ,BI$5,0)),0,1/VLOOKUP($R278,Capa!$A:$AJ,BI$5,0))))</f>
        <v/>
      </c>
      <c r="BJ278" s="174" t="str">
        <f>IF(BJ$6="","",IF(BJ$3="Maior",iferror(VLOOKUP($R278,Capa!$A:$AJ,BJ$5,0),0),IF(ISERROR(1/VLOOKUP($R278,Capa!$A:$AJ,BJ$5,0)),0,1/VLOOKUP($R278,Capa!$A:$AJ,BJ$5,0))))</f>
        <v/>
      </c>
      <c r="BK278" s="174" t="str">
        <f>IF(BK$6="","",IF(BK$3="Maior",iferror(VLOOKUP($R278,Capa!$A:$AJ,BK$5,0),0),IF(ISERROR(1/VLOOKUP($R278,Capa!$A:$AJ,BK$5,0)),0,1/VLOOKUP($R278,Capa!$A:$AJ,BK$5,0))))</f>
        <v/>
      </c>
      <c r="BL278" s="174" t="str">
        <f>IF(BL$6="","",IF(BL$3="Maior",iferror(VLOOKUP($R278,Capa!$A:$AJ,BL$5,0),0),IF(ISERROR(1/VLOOKUP($R278,Capa!$A:$AJ,BL$5,0)),0,1/VLOOKUP($R278,Capa!$A:$AJ,BL$5,0))))</f>
        <v/>
      </c>
      <c r="BM278" s="174" t="str">
        <f>IF(BM$6="","",IF(BM$3="Maior",iferror(VLOOKUP($R278,Capa!$A:$AJ,BM$5,0),0),IF(ISERROR(1/VLOOKUP($R278,Capa!$A:$AJ,BM$5,0)),0,1/VLOOKUP($R278,Capa!$A:$AJ,BM$5,0))))</f>
        <v/>
      </c>
      <c r="BN278" s="174" t="str">
        <f>IF(BN$6="","",IF(BN$3="Maior",iferror(VLOOKUP($R278,Capa!$A:$AJ,BN$5,0),0),IF(ISERROR(1/VLOOKUP($R278,Capa!$A:$AJ,BN$5,0)),0,1/VLOOKUP($R278,Capa!$A:$AJ,BN$5,0))))</f>
        <v/>
      </c>
      <c r="BO278" s="174" t="str">
        <f>IF(BO$6="","",IF(BO$3="Maior",iferror(VLOOKUP($R278,Capa!$A:$AJ,BO$5,0),0),IF(ISERROR(1/VLOOKUP($R278,Capa!$A:$AJ,BO$5,0)),0,1/VLOOKUP($R278,Capa!$A:$AJ,BO$5,0))))</f>
        <v/>
      </c>
      <c r="BP278" s="174" t="str">
        <f>IF(BP$6="","",IF(BP$3="Maior",iferror(VLOOKUP($R278,Capa!$A:$AJ,BP$5,0),0),IF(ISERROR(1/VLOOKUP($R278,Capa!$A:$AJ,BP$5,0)),0,1/VLOOKUP($R278,Capa!$A:$AJ,BP$5,0))))</f>
        <v/>
      </c>
      <c r="BQ278" s="174" t="str">
        <f>IF(BQ$6="","",IF(BQ$3="Maior",iferror(VLOOKUP($R278,Capa!$A:$AJ,BQ$5,0),0),IF(ISERROR(1/VLOOKUP($R278,Capa!$A:$AJ,BQ$5,0)),0,1/VLOOKUP($R278,Capa!$A:$AJ,BQ$5,0))))</f>
        <v/>
      </c>
      <c r="BR278" s="175"/>
      <c r="BS278" s="147"/>
    </row>
    <row r="279">
      <c r="G279" s="11"/>
      <c r="H279" s="8">
        <v>273.0</v>
      </c>
      <c r="I279" s="165" t="str">
        <f t="shared" si="6"/>
        <v>CEPE5</v>
      </c>
      <c r="J279" s="166" t="str">
        <f>(VLOOKUP($I279,Capa!$A:$B,2,0))</f>
        <v/>
      </c>
      <c r="K279" s="167" t="str">
        <f>VLOOKUP(left(I279,4),Setor!A:D,3,0)&amp;" | "&amp;VLOOKUP(left(I279,4),Setor!A:D,4,0)</f>
        <v>Utilidade Pública | Energia Elétrica</v>
      </c>
      <c r="L279" s="168" t="str">
        <f>(VLOOKUP($I279,Capa!$A:$F,6,0))</f>
        <v/>
      </c>
      <c r="M279" s="168">
        <f t="shared" si="7"/>
        <v>0</v>
      </c>
      <c r="N279" s="11" t="str">
        <f>(VLOOKUP($I279,Capa!$A:$H,7,0))</f>
        <v/>
      </c>
      <c r="O279" s="169" t="str">
        <f>(VLOOKUP($I279,Capa!$A:$H,8,0))</f>
        <v/>
      </c>
      <c r="P279" s="11" t="str">
        <f>(VLOOKUP($I279,Capa!$A:$J,10,0))</f>
        <v/>
      </c>
      <c r="Q279" s="169" t="str">
        <f>(VLOOKUP($I279,Capa!$A:$K,11,0))</f>
        <v/>
      </c>
      <c r="R279" s="45" t="str">
        <f>'Dados StatusInvest'!A274</f>
        <v>FIGE4</v>
      </c>
      <c r="S279" s="170">
        <f t="shared" si="234"/>
        <v>1114.0114</v>
      </c>
      <c r="T279" s="171">
        <f>VLOOKUP(R279,'Dados StatusInvest'!A:Z,26,0)</f>
        <v>0</v>
      </c>
      <c r="U279" s="172">
        <f t="shared" ref="U279:AS279" si="282">IF(AT279="","", RANK(AT279,AT$7:AT$626,0)+RANK(AT279,AT$7:AT$626,0)/10000)</f>
        <v>51.0051</v>
      </c>
      <c r="V279" s="172">
        <f t="shared" si="282"/>
        <v>63.0063</v>
      </c>
      <c r="W279" s="172" t="str">
        <f t="shared" si="282"/>
        <v/>
      </c>
      <c r="X279" s="172" t="str">
        <f t="shared" si="282"/>
        <v/>
      </c>
      <c r="Y279" s="172" t="str">
        <f t="shared" si="282"/>
        <v/>
      </c>
      <c r="Z279" s="172" t="str">
        <f t="shared" si="282"/>
        <v/>
      </c>
      <c r="AA279" s="172" t="str">
        <f t="shared" si="282"/>
        <v/>
      </c>
      <c r="AB279" s="172" t="str">
        <f t="shared" si="282"/>
        <v/>
      </c>
      <c r="AC279" s="172" t="str">
        <f t="shared" si="282"/>
        <v/>
      </c>
      <c r="AD279" s="172" t="str">
        <f t="shared" si="282"/>
        <v/>
      </c>
      <c r="AE279" s="172" t="str">
        <f t="shared" si="282"/>
        <v/>
      </c>
      <c r="AF279" s="172" t="str">
        <f t="shared" si="282"/>
        <v/>
      </c>
      <c r="AG279" s="172" t="str">
        <f t="shared" si="282"/>
        <v/>
      </c>
      <c r="AH279" s="172" t="str">
        <f t="shared" si="282"/>
        <v/>
      </c>
      <c r="AI279" s="172" t="str">
        <f t="shared" si="282"/>
        <v/>
      </c>
      <c r="AJ279" s="172" t="str">
        <f t="shared" si="282"/>
        <v/>
      </c>
      <c r="AK279" s="172" t="str">
        <f t="shared" si="282"/>
        <v/>
      </c>
      <c r="AL279" s="172" t="str">
        <f t="shared" si="282"/>
        <v/>
      </c>
      <c r="AM279" s="172" t="str">
        <f t="shared" si="282"/>
        <v/>
      </c>
      <c r="AN279" s="172" t="str">
        <f t="shared" si="282"/>
        <v/>
      </c>
      <c r="AO279" s="172" t="str">
        <f t="shared" si="282"/>
        <v/>
      </c>
      <c r="AP279" s="172" t="str">
        <f t="shared" si="282"/>
        <v/>
      </c>
      <c r="AQ279" s="172" t="str">
        <f t="shared" si="282"/>
        <v/>
      </c>
      <c r="AR279" s="172" t="str">
        <f t="shared" si="282"/>
        <v/>
      </c>
      <c r="AS279" s="172" t="str">
        <f t="shared" si="282"/>
        <v/>
      </c>
      <c r="AT279" s="173">
        <f>IF(AT$6="","",IF(AT$3="Maior",iferror(VLOOKUP($R279,Capa!$A:$AJ,AT$5,0),0),IF(ISERROR(1/VLOOKUP($R279,Capa!$A:$AJ,AT$5,0)),0,1/VLOOKUP($R279,Capa!$A:$AJ,AT$5,0))))</f>
        <v>0</v>
      </c>
      <c r="AU279" s="174">
        <f>IF(AU$6="","",IF(AU$3="Maior",iferror(VLOOKUP($R279,Capa!$A:$AJ,AU$5,0),0),IF(ISERROR(1/VLOOKUP($R279,Capa!$A:$AJ,AU$5,0)),0,1/VLOOKUP($R279,Capa!$A:$AJ,AU$5,0))))</f>
        <v>35.04</v>
      </c>
      <c r="AV279" s="174" t="str">
        <f>IF(AV$6="","",IF(AV$3="Maior",iferror(VLOOKUP($R279,Capa!$A:$AJ,AV$5,0),0),IF(ISERROR(1/VLOOKUP($R279,Capa!$A:$AJ,AV$5,0)),0,1/VLOOKUP($R279,Capa!$A:$AJ,AV$5,0))))</f>
        <v/>
      </c>
      <c r="AW279" s="174" t="str">
        <f>IF(AW$6="","",IF(AW$3="Maior",iferror(VLOOKUP($R279,Capa!$A:$AJ,AW$5,0),0),IF(ISERROR(1/VLOOKUP($R279,Capa!$A:$AJ,AW$5,0)),0,1/VLOOKUP($R279,Capa!$A:$AJ,AW$5,0))))</f>
        <v/>
      </c>
      <c r="AX279" s="174" t="str">
        <f>IF(AX$6="","",IF(AX$3="Maior",iferror(VLOOKUP($R279,Capa!$A:$AJ,AX$5,0),0),IF(ISERROR(1/VLOOKUP($R279,Capa!$A:$AJ,AX$5,0)),0,1/VLOOKUP($R279,Capa!$A:$AJ,AX$5,0))))</f>
        <v/>
      </c>
      <c r="AY279" s="174" t="str">
        <f>IF(AY$6="","",IF(AY$3="Maior",iferror(VLOOKUP($R279,Capa!$A:$AJ,AY$5,0),0),IF(ISERROR(1/VLOOKUP($R279,Capa!$A:$AJ,AY$5,0)),0,1/VLOOKUP($R279,Capa!$A:$AJ,AY$5,0))))</f>
        <v/>
      </c>
      <c r="AZ279" s="174" t="str">
        <f>IF(AZ$6="","",IF(AZ$3="Maior",iferror(VLOOKUP($R279,Capa!$A:$AJ,AZ$5,0),0),IF(ISERROR(1/VLOOKUP($R279,Capa!$A:$AJ,AZ$5,0)),0,1/VLOOKUP($R279,Capa!$A:$AJ,AZ$5,0))))</f>
        <v/>
      </c>
      <c r="BA279" s="174" t="str">
        <f>IF(BA$6="","",IF(BA$3="Maior",iferror(VLOOKUP($R279,Capa!$A:$AJ,BA$5,0),0),IF(ISERROR(1/VLOOKUP($R279,Capa!$A:$AJ,BA$5,0)),0,1/VLOOKUP($R279,Capa!$A:$AJ,BA$5,0))))</f>
        <v/>
      </c>
      <c r="BB279" s="174" t="str">
        <f>IF(BB$6="","",IF(BB$3="Maior",iferror(VLOOKUP($R279,Capa!$A:$AJ,BB$5,0),0),IF(ISERROR(1/VLOOKUP($R279,Capa!$A:$AJ,BB$5,0)),0,1/VLOOKUP($R279,Capa!$A:$AJ,BB$5,0))))</f>
        <v/>
      </c>
      <c r="BC279" s="174" t="str">
        <f>IF(BC$6="","",IF(BC$3="Maior",iferror(VLOOKUP($R279,Capa!$A:$AJ,BC$5,0),0),IF(ISERROR(1/VLOOKUP($R279,Capa!$A:$AJ,BC$5,0)),0,1/VLOOKUP($R279,Capa!$A:$AJ,BC$5,0))))</f>
        <v/>
      </c>
      <c r="BD279" s="174" t="str">
        <f>IF(BD$6="","",IF(BD$3="Maior",iferror(VLOOKUP($R279,Capa!$A:$AJ,BD$5,0),0),IF(ISERROR(1/VLOOKUP($R279,Capa!$A:$AJ,BD$5,0)),0,1/VLOOKUP($R279,Capa!$A:$AJ,BD$5,0))))</f>
        <v/>
      </c>
      <c r="BE279" s="174" t="str">
        <f>IF(BE$6="","",IF(BE$3="Maior",iferror(VLOOKUP($R279,Capa!$A:$AJ,BE$5,0),0),IF(ISERROR(1/VLOOKUP($R279,Capa!$A:$AJ,BE$5,0)),0,1/VLOOKUP($R279,Capa!$A:$AJ,BE$5,0))))</f>
        <v/>
      </c>
      <c r="BF279" s="174" t="str">
        <f>IF(BF$6="","",IF(BF$3="Maior",iferror(VLOOKUP($R279,Capa!$A:$AJ,BF$5,0),0),IF(ISERROR(1/VLOOKUP($R279,Capa!$A:$AJ,BF$5,0)),0,1/VLOOKUP($R279,Capa!$A:$AJ,BF$5,0))))</f>
        <v/>
      </c>
      <c r="BG279" s="174" t="str">
        <f>IF(BG$6="","",IF(BG$3="Maior",iferror(VLOOKUP($R279,Capa!$A:$AJ,BG$5,0),0),IF(ISERROR(1/VLOOKUP($R279,Capa!$A:$AJ,BG$5,0)),0,1/VLOOKUP($R279,Capa!$A:$AJ,BG$5,0))))</f>
        <v/>
      </c>
      <c r="BH279" s="174" t="str">
        <f>IF(BH$6="","",IF(BH$3="Maior",iferror(VLOOKUP($R279,Capa!$A:$AJ,BH$5,0),0),IF(ISERROR(1/VLOOKUP($R279,Capa!$A:$AJ,BH$5,0)),0,1/VLOOKUP($R279,Capa!$A:$AJ,BH$5,0))))</f>
        <v/>
      </c>
      <c r="BI279" s="174" t="str">
        <f>IF(BI$6="","",IF(BI$3="Maior",iferror(VLOOKUP($R279,Capa!$A:$AJ,BI$5,0),0),IF(ISERROR(1/VLOOKUP($R279,Capa!$A:$AJ,BI$5,0)),0,1/VLOOKUP($R279,Capa!$A:$AJ,BI$5,0))))</f>
        <v/>
      </c>
      <c r="BJ279" s="174" t="str">
        <f>IF(BJ$6="","",IF(BJ$3="Maior",iferror(VLOOKUP($R279,Capa!$A:$AJ,BJ$5,0),0),IF(ISERROR(1/VLOOKUP($R279,Capa!$A:$AJ,BJ$5,0)),0,1/VLOOKUP($R279,Capa!$A:$AJ,BJ$5,0))))</f>
        <v/>
      </c>
      <c r="BK279" s="174" t="str">
        <f>IF(BK$6="","",IF(BK$3="Maior",iferror(VLOOKUP($R279,Capa!$A:$AJ,BK$5,0),0),IF(ISERROR(1/VLOOKUP($R279,Capa!$A:$AJ,BK$5,0)),0,1/VLOOKUP($R279,Capa!$A:$AJ,BK$5,0))))</f>
        <v/>
      </c>
      <c r="BL279" s="174" t="str">
        <f>IF(BL$6="","",IF(BL$3="Maior",iferror(VLOOKUP($R279,Capa!$A:$AJ,BL$5,0),0),IF(ISERROR(1/VLOOKUP($R279,Capa!$A:$AJ,BL$5,0)),0,1/VLOOKUP($R279,Capa!$A:$AJ,BL$5,0))))</f>
        <v/>
      </c>
      <c r="BM279" s="174" t="str">
        <f>IF(BM$6="","",IF(BM$3="Maior",iferror(VLOOKUP($R279,Capa!$A:$AJ,BM$5,0),0),IF(ISERROR(1/VLOOKUP($R279,Capa!$A:$AJ,BM$5,0)),0,1/VLOOKUP($R279,Capa!$A:$AJ,BM$5,0))))</f>
        <v/>
      </c>
      <c r="BN279" s="174" t="str">
        <f>IF(BN$6="","",IF(BN$3="Maior",iferror(VLOOKUP($R279,Capa!$A:$AJ,BN$5,0),0),IF(ISERROR(1/VLOOKUP($R279,Capa!$A:$AJ,BN$5,0)),0,1/VLOOKUP($R279,Capa!$A:$AJ,BN$5,0))))</f>
        <v/>
      </c>
      <c r="BO279" s="174" t="str">
        <f>IF(BO$6="","",IF(BO$3="Maior",iferror(VLOOKUP($R279,Capa!$A:$AJ,BO$5,0),0),IF(ISERROR(1/VLOOKUP($R279,Capa!$A:$AJ,BO$5,0)),0,1/VLOOKUP($R279,Capa!$A:$AJ,BO$5,0))))</f>
        <v/>
      </c>
      <c r="BP279" s="174" t="str">
        <f>IF(BP$6="","",IF(BP$3="Maior",iferror(VLOOKUP($R279,Capa!$A:$AJ,BP$5,0),0),IF(ISERROR(1/VLOOKUP($R279,Capa!$A:$AJ,BP$5,0)),0,1/VLOOKUP($R279,Capa!$A:$AJ,BP$5,0))))</f>
        <v/>
      </c>
      <c r="BQ279" s="174" t="str">
        <f>IF(BQ$6="","",IF(BQ$3="Maior",iferror(VLOOKUP($R279,Capa!$A:$AJ,BQ$5,0),0),IF(ISERROR(1/VLOOKUP($R279,Capa!$A:$AJ,BQ$5,0)),0,1/VLOOKUP($R279,Capa!$A:$AJ,BQ$5,0))))</f>
        <v/>
      </c>
      <c r="BR279" s="175"/>
      <c r="BS279" s="147"/>
    </row>
    <row r="280">
      <c r="G280" s="11"/>
      <c r="H280" s="8">
        <v>274.0</v>
      </c>
      <c r="I280" s="165" t="str">
        <f t="shared" si="6"/>
        <v>CEPE5</v>
      </c>
      <c r="J280" s="166" t="str">
        <f>(VLOOKUP($I280,Capa!$A:$B,2,0))</f>
        <v/>
      </c>
      <c r="K280" s="167" t="str">
        <f>VLOOKUP(left(I280,4),Setor!A:D,3,0)&amp;" | "&amp;VLOOKUP(left(I280,4),Setor!A:D,4,0)</f>
        <v>Utilidade Pública | Energia Elétrica</v>
      </c>
      <c r="L280" s="168" t="str">
        <f>(VLOOKUP($I280,Capa!$A:$F,6,0))</f>
        <v/>
      </c>
      <c r="M280" s="168">
        <f t="shared" si="7"/>
        <v>0</v>
      </c>
      <c r="N280" s="11" t="str">
        <f>(VLOOKUP($I280,Capa!$A:$H,7,0))</f>
        <v/>
      </c>
      <c r="O280" s="169" t="str">
        <f>(VLOOKUP($I280,Capa!$A:$H,8,0))</f>
        <v/>
      </c>
      <c r="P280" s="11" t="str">
        <f>(VLOOKUP($I280,Capa!$A:$J,10,0))</f>
        <v/>
      </c>
      <c r="Q280" s="169" t="str">
        <f>(VLOOKUP($I280,Capa!$A:$K,11,0))</f>
        <v/>
      </c>
      <c r="R280" s="45" t="str">
        <f>'Dados StatusInvest'!A275</f>
        <v>FIQE3</v>
      </c>
      <c r="S280" s="170">
        <f t="shared" si="234"/>
        <v>355.0355</v>
      </c>
      <c r="T280" s="171">
        <f>VLOOKUP(R280,'Dados StatusInvest'!A:Z,26,0)</f>
        <v>2892520</v>
      </c>
      <c r="U280" s="172">
        <f t="shared" ref="U280:AS280" si="283">IF(AT280="","", RANK(AT280,AT$7:AT$626,0)+RANK(AT280,AT$7:AT$626,0)/10000)</f>
        <v>307.0307</v>
      </c>
      <c r="V280" s="172">
        <f t="shared" si="283"/>
        <v>48.0048</v>
      </c>
      <c r="W280" s="172" t="str">
        <f t="shared" si="283"/>
        <v/>
      </c>
      <c r="X280" s="172" t="str">
        <f t="shared" si="283"/>
        <v/>
      </c>
      <c r="Y280" s="172" t="str">
        <f t="shared" si="283"/>
        <v/>
      </c>
      <c r="Z280" s="172" t="str">
        <f t="shared" si="283"/>
        <v/>
      </c>
      <c r="AA280" s="172" t="str">
        <f t="shared" si="283"/>
        <v/>
      </c>
      <c r="AB280" s="172" t="str">
        <f t="shared" si="283"/>
        <v/>
      </c>
      <c r="AC280" s="172" t="str">
        <f t="shared" si="283"/>
        <v/>
      </c>
      <c r="AD280" s="172" t="str">
        <f t="shared" si="283"/>
        <v/>
      </c>
      <c r="AE280" s="172" t="str">
        <f t="shared" si="283"/>
        <v/>
      </c>
      <c r="AF280" s="172" t="str">
        <f t="shared" si="283"/>
        <v/>
      </c>
      <c r="AG280" s="172" t="str">
        <f t="shared" si="283"/>
        <v/>
      </c>
      <c r="AH280" s="172" t="str">
        <f t="shared" si="283"/>
        <v/>
      </c>
      <c r="AI280" s="172" t="str">
        <f t="shared" si="283"/>
        <v/>
      </c>
      <c r="AJ280" s="172" t="str">
        <f t="shared" si="283"/>
        <v/>
      </c>
      <c r="AK280" s="172" t="str">
        <f t="shared" si="283"/>
        <v/>
      </c>
      <c r="AL280" s="172" t="str">
        <f t="shared" si="283"/>
        <v/>
      </c>
      <c r="AM280" s="172" t="str">
        <f t="shared" si="283"/>
        <v/>
      </c>
      <c r="AN280" s="172" t="str">
        <f t="shared" si="283"/>
        <v/>
      </c>
      <c r="AO280" s="172" t="str">
        <f t="shared" si="283"/>
        <v/>
      </c>
      <c r="AP280" s="172" t="str">
        <f t="shared" si="283"/>
        <v/>
      </c>
      <c r="AQ280" s="172" t="str">
        <f t="shared" si="283"/>
        <v/>
      </c>
      <c r="AR280" s="172" t="str">
        <f t="shared" si="283"/>
        <v/>
      </c>
      <c r="AS280" s="172" t="str">
        <f t="shared" si="283"/>
        <v/>
      </c>
      <c r="AT280" s="173">
        <f>IF(AT$6="","",IF(AT$3="Maior",iferror(VLOOKUP($R280,Capa!$A:$AJ,AT$5,0),0),IF(ISERROR(1/VLOOKUP($R280,Capa!$A:$AJ,AT$5,0)),0,1/VLOOKUP($R280,Capa!$A:$AJ,AT$5,0))))</f>
        <v>-0.7142189648</v>
      </c>
      <c r="AU280" s="174">
        <f>IF(AU$6="","",IF(AU$3="Maior",iferror(VLOOKUP($R280,Capa!$A:$AJ,AU$5,0),0),IF(ISERROR(1/VLOOKUP($R280,Capa!$A:$AJ,AU$5,0)),0,1/VLOOKUP($R280,Capa!$A:$AJ,AU$5,0))))</f>
        <v>39.94</v>
      </c>
      <c r="AV280" s="174" t="str">
        <f>IF(AV$6="","",IF(AV$3="Maior",iferror(VLOOKUP($R280,Capa!$A:$AJ,AV$5,0),0),IF(ISERROR(1/VLOOKUP($R280,Capa!$A:$AJ,AV$5,0)),0,1/VLOOKUP($R280,Capa!$A:$AJ,AV$5,0))))</f>
        <v/>
      </c>
      <c r="AW280" s="174" t="str">
        <f>IF(AW$6="","",IF(AW$3="Maior",iferror(VLOOKUP($R280,Capa!$A:$AJ,AW$5,0),0),IF(ISERROR(1/VLOOKUP($R280,Capa!$A:$AJ,AW$5,0)),0,1/VLOOKUP($R280,Capa!$A:$AJ,AW$5,0))))</f>
        <v/>
      </c>
      <c r="AX280" s="174" t="str">
        <f>IF(AX$6="","",IF(AX$3="Maior",iferror(VLOOKUP($R280,Capa!$A:$AJ,AX$5,0),0),IF(ISERROR(1/VLOOKUP($R280,Capa!$A:$AJ,AX$5,0)),0,1/VLOOKUP($R280,Capa!$A:$AJ,AX$5,0))))</f>
        <v/>
      </c>
      <c r="AY280" s="174" t="str">
        <f>IF(AY$6="","",IF(AY$3="Maior",iferror(VLOOKUP($R280,Capa!$A:$AJ,AY$5,0),0),IF(ISERROR(1/VLOOKUP($R280,Capa!$A:$AJ,AY$5,0)),0,1/VLOOKUP($R280,Capa!$A:$AJ,AY$5,0))))</f>
        <v/>
      </c>
      <c r="AZ280" s="174" t="str">
        <f>IF(AZ$6="","",IF(AZ$3="Maior",iferror(VLOOKUP($R280,Capa!$A:$AJ,AZ$5,0),0),IF(ISERROR(1/VLOOKUP($R280,Capa!$A:$AJ,AZ$5,0)),0,1/VLOOKUP($R280,Capa!$A:$AJ,AZ$5,0))))</f>
        <v/>
      </c>
      <c r="BA280" s="174" t="str">
        <f>IF(BA$6="","",IF(BA$3="Maior",iferror(VLOOKUP($R280,Capa!$A:$AJ,BA$5,0),0),IF(ISERROR(1/VLOOKUP($R280,Capa!$A:$AJ,BA$5,0)),0,1/VLOOKUP($R280,Capa!$A:$AJ,BA$5,0))))</f>
        <v/>
      </c>
      <c r="BB280" s="174" t="str">
        <f>IF(BB$6="","",IF(BB$3="Maior",iferror(VLOOKUP($R280,Capa!$A:$AJ,BB$5,0),0),IF(ISERROR(1/VLOOKUP($R280,Capa!$A:$AJ,BB$5,0)),0,1/VLOOKUP($R280,Capa!$A:$AJ,BB$5,0))))</f>
        <v/>
      </c>
      <c r="BC280" s="174" t="str">
        <f>IF(BC$6="","",IF(BC$3="Maior",iferror(VLOOKUP($R280,Capa!$A:$AJ,BC$5,0),0),IF(ISERROR(1/VLOOKUP($R280,Capa!$A:$AJ,BC$5,0)),0,1/VLOOKUP($R280,Capa!$A:$AJ,BC$5,0))))</f>
        <v/>
      </c>
      <c r="BD280" s="174" t="str">
        <f>IF(BD$6="","",IF(BD$3="Maior",iferror(VLOOKUP($R280,Capa!$A:$AJ,BD$5,0),0),IF(ISERROR(1/VLOOKUP($R280,Capa!$A:$AJ,BD$5,0)),0,1/VLOOKUP($R280,Capa!$A:$AJ,BD$5,0))))</f>
        <v/>
      </c>
      <c r="BE280" s="174" t="str">
        <f>IF(BE$6="","",IF(BE$3="Maior",iferror(VLOOKUP($R280,Capa!$A:$AJ,BE$5,0),0),IF(ISERROR(1/VLOOKUP($R280,Capa!$A:$AJ,BE$5,0)),0,1/VLOOKUP($R280,Capa!$A:$AJ,BE$5,0))))</f>
        <v/>
      </c>
      <c r="BF280" s="174" t="str">
        <f>IF(BF$6="","",IF(BF$3="Maior",iferror(VLOOKUP($R280,Capa!$A:$AJ,BF$5,0),0),IF(ISERROR(1/VLOOKUP($R280,Capa!$A:$AJ,BF$5,0)),0,1/VLOOKUP($R280,Capa!$A:$AJ,BF$5,0))))</f>
        <v/>
      </c>
      <c r="BG280" s="174" t="str">
        <f>IF(BG$6="","",IF(BG$3="Maior",iferror(VLOOKUP($R280,Capa!$A:$AJ,BG$5,0),0),IF(ISERROR(1/VLOOKUP($R280,Capa!$A:$AJ,BG$5,0)),0,1/VLOOKUP($R280,Capa!$A:$AJ,BG$5,0))))</f>
        <v/>
      </c>
      <c r="BH280" s="174" t="str">
        <f>IF(BH$6="","",IF(BH$3="Maior",iferror(VLOOKUP($R280,Capa!$A:$AJ,BH$5,0),0),IF(ISERROR(1/VLOOKUP($R280,Capa!$A:$AJ,BH$5,0)),0,1/VLOOKUP($R280,Capa!$A:$AJ,BH$5,0))))</f>
        <v/>
      </c>
      <c r="BI280" s="174" t="str">
        <f>IF(BI$6="","",IF(BI$3="Maior",iferror(VLOOKUP($R280,Capa!$A:$AJ,BI$5,0),0),IF(ISERROR(1/VLOOKUP($R280,Capa!$A:$AJ,BI$5,0)),0,1/VLOOKUP($R280,Capa!$A:$AJ,BI$5,0))))</f>
        <v/>
      </c>
      <c r="BJ280" s="174" t="str">
        <f>IF(BJ$6="","",IF(BJ$3="Maior",iferror(VLOOKUP($R280,Capa!$A:$AJ,BJ$5,0),0),IF(ISERROR(1/VLOOKUP($R280,Capa!$A:$AJ,BJ$5,0)),0,1/VLOOKUP($R280,Capa!$A:$AJ,BJ$5,0))))</f>
        <v/>
      </c>
      <c r="BK280" s="174" t="str">
        <f>IF(BK$6="","",IF(BK$3="Maior",iferror(VLOOKUP($R280,Capa!$A:$AJ,BK$5,0),0),IF(ISERROR(1/VLOOKUP($R280,Capa!$A:$AJ,BK$5,0)),0,1/VLOOKUP($R280,Capa!$A:$AJ,BK$5,0))))</f>
        <v/>
      </c>
      <c r="BL280" s="174" t="str">
        <f>IF(BL$6="","",IF(BL$3="Maior",iferror(VLOOKUP($R280,Capa!$A:$AJ,BL$5,0),0),IF(ISERROR(1/VLOOKUP($R280,Capa!$A:$AJ,BL$5,0)),0,1/VLOOKUP($R280,Capa!$A:$AJ,BL$5,0))))</f>
        <v/>
      </c>
      <c r="BM280" s="174" t="str">
        <f>IF(BM$6="","",IF(BM$3="Maior",iferror(VLOOKUP($R280,Capa!$A:$AJ,BM$5,0),0),IF(ISERROR(1/VLOOKUP($R280,Capa!$A:$AJ,BM$5,0)),0,1/VLOOKUP($R280,Capa!$A:$AJ,BM$5,0))))</f>
        <v/>
      </c>
      <c r="BN280" s="174" t="str">
        <f>IF(BN$6="","",IF(BN$3="Maior",iferror(VLOOKUP($R280,Capa!$A:$AJ,BN$5,0),0),IF(ISERROR(1/VLOOKUP($R280,Capa!$A:$AJ,BN$5,0)),0,1/VLOOKUP($R280,Capa!$A:$AJ,BN$5,0))))</f>
        <v/>
      </c>
      <c r="BO280" s="174" t="str">
        <f>IF(BO$6="","",IF(BO$3="Maior",iferror(VLOOKUP($R280,Capa!$A:$AJ,BO$5,0),0),IF(ISERROR(1/VLOOKUP($R280,Capa!$A:$AJ,BO$5,0)),0,1/VLOOKUP($R280,Capa!$A:$AJ,BO$5,0))))</f>
        <v/>
      </c>
      <c r="BP280" s="174" t="str">
        <f>IF(BP$6="","",IF(BP$3="Maior",iferror(VLOOKUP($R280,Capa!$A:$AJ,BP$5,0),0),IF(ISERROR(1/VLOOKUP($R280,Capa!$A:$AJ,BP$5,0)),0,1/VLOOKUP($R280,Capa!$A:$AJ,BP$5,0))))</f>
        <v/>
      </c>
      <c r="BQ280" s="174" t="str">
        <f>IF(BQ$6="","",IF(BQ$3="Maior",iferror(VLOOKUP($R280,Capa!$A:$AJ,BQ$5,0),0),IF(ISERROR(1/VLOOKUP($R280,Capa!$A:$AJ,BQ$5,0)),0,1/VLOOKUP($R280,Capa!$A:$AJ,BQ$5,0))))</f>
        <v/>
      </c>
      <c r="BR280" s="175"/>
      <c r="BS280" s="147"/>
    </row>
    <row r="281">
      <c r="G281" s="11"/>
      <c r="H281" s="8">
        <v>275.0</v>
      </c>
      <c r="I281" s="165" t="str">
        <f t="shared" si="6"/>
        <v>LCAM3</v>
      </c>
      <c r="J281" s="166" t="str">
        <f>(VLOOKUP($I281,Capa!$A:$B,2,0))</f>
        <v/>
      </c>
      <c r="K281" s="167" t="str">
        <f>VLOOKUP(left(I281,4),Setor!A:D,3,0)&amp;" | "&amp;VLOOKUP(left(I281,4),Setor!A:D,4,0)</f>
        <v>Consumo Cíclico | Diversos</v>
      </c>
      <c r="L281" s="168" t="str">
        <f>(VLOOKUP($I281,Capa!$A:$F,6,0))</f>
        <v/>
      </c>
      <c r="M281" s="168">
        <f t="shared" si="7"/>
        <v>0</v>
      </c>
      <c r="N281" s="11" t="str">
        <f>(VLOOKUP($I281,Capa!$A:$H,7,0))</f>
        <v/>
      </c>
      <c r="O281" s="169" t="str">
        <f>(VLOOKUP($I281,Capa!$A:$H,8,0))</f>
        <v/>
      </c>
      <c r="P281" s="11" t="str">
        <f>(VLOOKUP($I281,Capa!$A:$J,10,0))</f>
        <v/>
      </c>
      <c r="Q281" s="169" t="str">
        <f>(VLOOKUP($I281,Capa!$A:$K,11,0))</f>
        <v/>
      </c>
      <c r="R281" s="45" t="str">
        <f>'Dados StatusInvest'!A276</f>
        <v>FLEX3</v>
      </c>
      <c r="S281" s="170">
        <f t="shared" si="234"/>
        <v>1318.0318</v>
      </c>
      <c r="T281" s="171">
        <f>VLOOKUP(R281,'Dados StatusInvest'!A:Z,26,0)</f>
        <v>0</v>
      </c>
      <c r="U281" s="172">
        <f t="shared" ref="U281:AS281" si="284">IF(AT281="","", RANK(AT281,AT$7:AT$626,0)+RANK(AT281,AT$7:AT$626,0)/10000)</f>
        <v>51.0051</v>
      </c>
      <c r="V281" s="172">
        <f t="shared" si="284"/>
        <v>267.0267</v>
      </c>
      <c r="W281" s="172" t="str">
        <f t="shared" si="284"/>
        <v/>
      </c>
      <c r="X281" s="172" t="str">
        <f t="shared" si="284"/>
        <v/>
      </c>
      <c r="Y281" s="172" t="str">
        <f t="shared" si="284"/>
        <v/>
      </c>
      <c r="Z281" s="172" t="str">
        <f t="shared" si="284"/>
        <v/>
      </c>
      <c r="AA281" s="172" t="str">
        <f t="shared" si="284"/>
        <v/>
      </c>
      <c r="AB281" s="172" t="str">
        <f t="shared" si="284"/>
        <v/>
      </c>
      <c r="AC281" s="172" t="str">
        <f t="shared" si="284"/>
        <v/>
      </c>
      <c r="AD281" s="172" t="str">
        <f t="shared" si="284"/>
        <v/>
      </c>
      <c r="AE281" s="172" t="str">
        <f t="shared" si="284"/>
        <v/>
      </c>
      <c r="AF281" s="172" t="str">
        <f t="shared" si="284"/>
        <v/>
      </c>
      <c r="AG281" s="172" t="str">
        <f t="shared" si="284"/>
        <v/>
      </c>
      <c r="AH281" s="172" t="str">
        <f t="shared" si="284"/>
        <v/>
      </c>
      <c r="AI281" s="172" t="str">
        <f t="shared" si="284"/>
        <v/>
      </c>
      <c r="AJ281" s="172" t="str">
        <f t="shared" si="284"/>
        <v/>
      </c>
      <c r="AK281" s="172" t="str">
        <f t="shared" si="284"/>
        <v/>
      </c>
      <c r="AL281" s="172" t="str">
        <f t="shared" si="284"/>
        <v/>
      </c>
      <c r="AM281" s="172" t="str">
        <f t="shared" si="284"/>
        <v/>
      </c>
      <c r="AN281" s="172" t="str">
        <f t="shared" si="284"/>
        <v/>
      </c>
      <c r="AO281" s="172" t="str">
        <f t="shared" si="284"/>
        <v/>
      </c>
      <c r="AP281" s="172" t="str">
        <f t="shared" si="284"/>
        <v/>
      </c>
      <c r="AQ281" s="172" t="str">
        <f t="shared" si="284"/>
        <v/>
      </c>
      <c r="AR281" s="172" t="str">
        <f t="shared" si="284"/>
        <v/>
      </c>
      <c r="AS281" s="172" t="str">
        <f t="shared" si="284"/>
        <v/>
      </c>
      <c r="AT281" s="173">
        <f>IF(AT$6="","",IF(AT$3="Maior",iferror(VLOOKUP($R281,Capa!$A:$AJ,AT$5,0),0),IF(ISERROR(1/VLOOKUP($R281,Capa!$A:$AJ,AT$5,0)),0,1/VLOOKUP($R281,Capa!$A:$AJ,AT$5,0))))</f>
        <v>0</v>
      </c>
      <c r="AU281" s="174">
        <f>IF(AU$6="","",IF(AU$3="Maior",iferror(VLOOKUP($R281,Capa!$A:$AJ,AU$5,0),0),IF(ISERROR(1/VLOOKUP($R281,Capa!$A:$AJ,AU$5,0)),0,1/VLOOKUP($R281,Capa!$A:$AJ,AU$5,0))))</f>
        <v>0</v>
      </c>
      <c r="AV281" s="174" t="str">
        <f>IF(AV$6="","",IF(AV$3="Maior",iferror(VLOOKUP($R281,Capa!$A:$AJ,AV$5,0),0),IF(ISERROR(1/VLOOKUP($R281,Capa!$A:$AJ,AV$5,0)),0,1/VLOOKUP($R281,Capa!$A:$AJ,AV$5,0))))</f>
        <v/>
      </c>
      <c r="AW281" s="174" t="str">
        <f>IF(AW$6="","",IF(AW$3="Maior",iferror(VLOOKUP($R281,Capa!$A:$AJ,AW$5,0),0),IF(ISERROR(1/VLOOKUP($R281,Capa!$A:$AJ,AW$5,0)),0,1/VLOOKUP($R281,Capa!$A:$AJ,AW$5,0))))</f>
        <v/>
      </c>
      <c r="AX281" s="174" t="str">
        <f>IF(AX$6="","",IF(AX$3="Maior",iferror(VLOOKUP($R281,Capa!$A:$AJ,AX$5,0),0),IF(ISERROR(1/VLOOKUP($R281,Capa!$A:$AJ,AX$5,0)),0,1/VLOOKUP($R281,Capa!$A:$AJ,AX$5,0))))</f>
        <v/>
      </c>
      <c r="AY281" s="174" t="str">
        <f>IF(AY$6="","",IF(AY$3="Maior",iferror(VLOOKUP($R281,Capa!$A:$AJ,AY$5,0),0),IF(ISERROR(1/VLOOKUP($R281,Capa!$A:$AJ,AY$5,0)),0,1/VLOOKUP($R281,Capa!$A:$AJ,AY$5,0))))</f>
        <v/>
      </c>
      <c r="AZ281" s="174" t="str">
        <f>IF(AZ$6="","",IF(AZ$3="Maior",iferror(VLOOKUP($R281,Capa!$A:$AJ,AZ$5,0),0),IF(ISERROR(1/VLOOKUP($R281,Capa!$A:$AJ,AZ$5,0)),0,1/VLOOKUP($R281,Capa!$A:$AJ,AZ$5,0))))</f>
        <v/>
      </c>
      <c r="BA281" s="174" t="str">
        <f>IF(BA$6="","",IF(BA$3="Maior",iferror(VLOOKUP($R281,Capa!$A:$AJ,BA$5,0),0),IF(ISERROR(1/VLOOKUP($R281,Capa!$A:$AJ,BA$5,0)),0,1/VLOOKUP($R281,Capa!$A:$AJ,BA$5,0))))</f>
        <v/>
      </c>
      <c r="BB281" s="174" t="str">
        <f>IF(BB$6="","",IF(BB$3="Maior",iferror(VLOOKUP($R281,Capa!$A:$AJ,BB$5,0),0),IF(ISERROR(1/VLOOKUP($R281,Capa!$A:$AJ,BB$5,0)),0,1/VLOOKUP($R281,Capa!$A:$AJ,BB$5,0))))</f>
        <v/>
      </c>
      <c r="BC281" s="174" t="str">
        <f>IF(BC$6="","",IF(BC$3="Maior",iferror(VLOOKUP($R281,Capa!$A:$AJ,BC$5,0),0),IF(ISERROR(1/VLOOKUP($R281,Capa!$A:$AJ,BC$5,0)),0,1/VLOOKUP($R281,Capa!$A:$AJ,BC$5,0))))</f>
        <v/>
      </c>
      <c r="BD281" s="174" t="str">
        <f>IF(BD$6="","",IF(BD$3="Maior",iferror(VLOOKUP($R281,Capa!$A:$AJ,BD$5,0),0),IF(ISERROR(1/VLOOKUP($R281,Capa!$A:$AJ,BD$5,0)),0,1/VLOOKUP($R281,Capa!$A:$AJ,BD$5,0))))</f>
        <v/>
      </c>
      <c r="BE281" s="174" t="str">
        <f>IF(BE$6="","",IF(BE$3="Maior",iferror(VLOOKUP($R281,Capa!$A:$AJ,BE$5,0),0),IF(ISERROR(1/VLOOKUP($R281,Capa!$A:$AJ,BE$5,0)),0,1/VLOOKUP($R281,Capa!$A:$AJ,BE$5,0))))</f>
        <v/>
      </c>
      <c r="BF281" s="174" t="str">
        <f>IF(BF$6="","",IF(BF$3="Maior",iferror(VLOOKUP($R281,Capa!$A:$AJ,BF$5,0),0),IF(ISERROR(1/VLOOKUP($R281,Capa!$A:$AJ,BF$5,0)),0,1/VLOOKUP($R281,Capa!$A:$AJ,BF$5,0))))</f>
        <v/>
      </c>
      <c r="BG281" s="174" t="str">
        <f>IF(BG$6="","",IF(BG$3="Maior",iferror(VLOOKUP($R281,Capa!$A:$AJ,BG$5,0),0),IF(ISERROR(1/VLOOKUP($R281,Capa!$A:$AJ,BG$5,0)),0,1/VLOOKUP($R281,Capa!$A:$AJ,BG$5,0))))</f>
        <v/>
      </c>
      <c r="BH281" s="174" t="str">
        <f>IF(BH$6="","",IF(BH$3="Maior",iferror(VLOOKUP($R281,Capa!$A:$AJ,BH$5,0),0),IF(ISERROR(1/VLOOKUP($R281,Capa!$A:$AJ,BH$5,0)),0,1/VLOOKUP($R281,Capa!$A:$AJ,BH$5,0))))</f>
        <v/>
      </c>
      <c r="BI281" s="174" t="str">
        <f>IF(BI$6="","",IF(BI$3="Maior",iferror(VLOOKUP($R281,Capa!$A:$AJ,BI$5,0),0),IF(ISERROR(1/VLOOKUP($R281,Capa!$A:$AJ,BI$5,0)),0,1/VLOOKUP($R281,Capa!$A:$AJ,BI$5,0))))</f>
        <v/>
      </c>
      <c r="BJ281" s="174" t="str">
        <f>IF(BJ$6="","",IF(BJ$3="Maior",iferror(VLOOKUP($R281,Capa!$A:$AJ,BJ$5,0),0),IF(ISERROR(1/VLOOKUP($R281,Capa!$A:$AJ,BJ$5,0)),0,1/VLOOKUP($R281,Capa!$A:$AJ,BJ$5,0))))</f>
        <v/>
      </c>
      <c r="BK281" s="174" t="str">
        <f>IF(BK$6="","",IF(BK$3="Maior",iferror(VLOOKUP($R281,Capa!$A:$AJ,BK$5,0),0),IF(ISERROR(1/VLOOKUP($R281,Capa!$A:$AJ,BK$5,0)),0,1/VLOOKUP($R281,Capa!$A:$AJ,BK$5,0))))</f>
        <v/>
      </c>
      <c r="BL281" s="174" t="str">
        <f>IF(BL$6="","",IF(BL$3="Maior",iferror(VLOOKUP($R281,Capa!$A:$AJ,BL$5,0),0),IF(ISERROR(1/VLOOKUP($R281,Capa!$A:$AJ,BL$5,0)),0,1/VLOOKUP($R281,Capa!$A:$AJ,BL$5,0))))</f>
        <v/>
      </c>
      <c r="BM281" s="174" t="str">
        <f>IF(BM$6="","",IF(BM$3="Maior",iferror(VLOOKUP($R281,Capa!$A:$AJ,BM$5,0),0),IF(ISERROR(1/VLOOKUP($R281,Capa!$A:$AJ,BM$5,0)),0,1/VLOOKUP($R281,Capa!$A:$AJ,BM$5,0))))</f>
        <v/>
      </c>
      <c r="BN281" s="174" t="str">
        <f>IF(BN$6="","",IF(BN$3="Maior",iferror(VLOOKUP($R281,Capa!$A:$AJ,BN$5,0),0),IF(ISERROR(1/VLOOKUP($R281,Capa!$A:$AJ,BN$5,0)),0,1/VLOOKUP($R281,Capa!$A:$AJ,BN$5,0))))</f>
        <v/>
      </c>
      <c r="BO281" s="174" t="str">
        <f>IF(BO$6="","",IF(BO$3="Maior",iferror(VLOOKUP($R281,Capa!$A:$AJ,BO$5,0),0),IF(ISERROR(1/VLOOKUP($R281,Capa!$A:$AJ,BO$5,0)),0,1/VLOOKUP($R281,Capa!$A:$AJ,BO$5,0))))</f>
        <v/>
      </c>
      <c r="BP281" s="174" t="str">
        <f>IF(BP$6="","",IF(BP$3="Maior",iferror(VLOOKUP($R281,Capa!$A:$AJ,BP$5,0),0),IF(ISERROR(1/VLOOKUP($R281,Capa!$A:$AJ,BP$5,0)),0,1/VLOOKUP($R281,Capa!$A:$AJ,BP$5,0))))</f>
        <v/>
      </c>
      <c r="BQ281" s="174" t="str">
        <f>IF(BQ$6="","",IF(BQ$3="Maior",iferror(VLOOKUP($R281,Capa!$A:$AJ,BQ$5,0),0),IF(ISERROR(1/VLOOKUP($R281,Capa!$A:$AJ,BQ$5,0)),0,1/VLOOKUP($R281,Capa!$A:$AJ,BQ$5,0))))</f>
        <v/>
      </c>
      <c r="BR281" s="175"/>
      <c r="BS281" s="147"/>
    </row>
    <row r="282">
      <c r="G282" s="11"/>
      <c r="H282" s="8">
        <v>276.0</v>
      </c>
      <c r="I282" s="165" t="str">
        <f t="shared" si="6"/>
        <v>ELPL3</v>
      </c>
      <c r="J282" s="166" t="str">
        <f>(VLOOKUP($I282,Capa!$A:$B,2,0))</f>
        <v/>
      </c>
      <c r="K282" s="167" t="str">
        <f>VLOOKUP(left(I282,4),Setor!A:D,3,0)&amp;" | "&amp;VLOOKUP(left(I282,4),Setor!A:D,4,0)</f>
        <v>#N/A</v>
      </c>
      <c r="L282" s="168" t="str">
        <f>(VLOOKUP($I282,Capa!$A:$F,6,0))</f>
        <v/>
      </c>
      <c r="M282" s="168">
        <f t="shared" si="7"/>
        <v>0</v>
      </c>
      <c r="N282" s="11" t="str">
        <f>(VLOOKUP($I282,Capa!$A:$H,7,0))</f>
        <v/>
      </c>
      <c r="O282" s="169" t="str">
        <f>(VLOOKUP($I282,Capa!$A:$H,8,0))</f>
        <v/>
      </c>
      <c r="P282" s="11" t="str">
        <f>(VLOOKUP($I282,Capa!$A:$J,10,0))</f>
        <v/>
      </c>
      <c r="Q282" s="169" t="str">
        <f>(VLOOKUP($I282,Capa!$A:$K,11,0))</f>
        <v/>
      </c>
      <c r="R282" s="45" t="str">
        <f>'Dados StatusInvest'!A277</f>
        <v>FLRY3</v>
      </c>
      <c r="S282" s="170">
        <f t="shared" si="234"/>
        <v>515.0515</v>
      </c>
      <c r="T282" s="171">
        <f>VLOOKUP(R282,'Dados StatusInvest'!A:Z,26,0)</f>
        <v>55006614</v>
      </c>
      <c r="U282" s="172">
        <f t="shared" ref="U282:AS282" si="285">IF(AT282="","", RANK(AT282,AT$7:AT$626,0)+RANK(AT282,AT$7:AT$626,0)/10000)</f>
        <v>330.033</v>
      </c>
      <c r="V282" s="172">
        <f t="shared" si="285"/>
        <v>185.0185</v>
      </c>
      <c r="W282" s="172" t="str">
        <f t="shared" si="285"/>
        <v/>
      </c>
      <c r="X282" s="172" t="str">
        <f t="shared" si="285"/>
        <v/>
      </c>
      <c r="Y282" s="172" t="str">
        <f t="shared" si="285"/>
        <v/>
      </c>
      <c r="Z282" s="172" t="str">
        <f t="shared" si="285"/>
        <v/>
      </c>
      <c r="AA282" s="172" t="str">
        <f t="shared" si="285"/>
        <v/>
      </c>
      <c r="AB282" s="172" t="str">
        <f t="shared" si="285"/>
        <v/>
      </c>
      <c r="AC282" s="172" t="str">
        <f t="shared" si="285"/>
        <v/>
      </c>
      <c r="AD282" s="172" t="str">
        <f t="shared" si="285"/>
        <v/>
      </c>
      <c r="AE282" s="172" t="str">
        <f t="shared" si="285"/>
        <v/>
      </c>
      <c r="AF282" s="172" t="str">
        <f t="shared" si="285"/>
        <v/>
      </c>
      <c r="AG282" s="172" t="str">
        <f t="shared" si="285"/>
        <v/>
      </c>
      <c r="AH282" s="172" t="str">
        <f t="shared" si="285"/>
        <v/>
      </c>
      <c r="AI282" s="172" t="str">
        <f t="shared" si="285"/>
        <v/>
      </c>
      <c r="AJ282" s="172" t="str">
        <f t="shared" si="285"/>
        <v/>
      </c>
      <c r="AK282" s="172" t="str">
        <f t="shared" si="285"/>
        <v/>
      </c>
      <c r="AL282" s="172" t="str">
        <f t="shared" si="285"/>
        <v/>
      </c>
      <c r="AM282" s="172" t="str">
        <f t="shared" si="285"/>
        <v/>
      </c>
      <c r="AN282" s="172" t="str">
        <f t="shared" si="285"/>
        <v/>
      </c>
      <c r="AO282" s="172" t="str">
        <f t="shared" si="285"/>
        <v/>
      </c>
      <c r="AP282" s="172" t="str">
        <f t="shared" si="285"/>
        <v/>
      </c>
      <c r="AQ282" s="172" t="str">
        <f t="shared" si="285"/>
        <v/>
      </c>
      <c r="AR282" s="172" t="str">
        <f t="shared" si="285"/>
        <v/>
      </c>
      <c r="AS282" s="172" t="str">
        <f t="shared" si="285"/>
        <v/>
      </c>
      <c r="AT282" s="173">
        <f>IF(AT$6="","",IF(AT$3="Maior",iferror(VLOOKUP($R282,Capa!$A:$AJ,AT$5,0),0),IF(ISERROR(1/VLOOKUP($R282,Capa!$A:$AJ,AT$5,0)),0,1/VLOOKUP($R282,Capa!$A:$AJ,AT$5,0))))</f>
        <v>-0.8629766203</v>
      </c>
      <c r="AU282" s="174">
        <f>IF(AU$6="","",IF(AU$3="Maior",iferror(VLOOKUP($R282,Capa!$A:$AJ,AU$5,0),0),IF(ISERROR(1/VLOOKUP($R282,Capa!$A:$AJ,AU$5,0)),0,1/VLOOKUP($R282,Capa!$A:$AJ,AU$5,0))))</f>
        <v>13.97</v>
      </c>
      <c r="AV282" s="174" t="str">
        <f>IF(AV$6="","",IF(AV$3="Maior",iferror(VLOOKUP($R282,Capa!$A:$AJ,AV$5,0),0),IF(ISERROR(1/VLOOKUP($R282,Capa!$A:$AJ,AV$5,0)),0,1/VLOOKUP($R282,Capa!$A:$AJ,AV$5,0))))</f>
        <v/>
      </c>
      <c r="AW282" s="174" t="str">
        <f>IF(AW$6="","",IF(AW$3="Maior",iferror(VLOOKUP($R282,Capa!$A:$AJ,AW$5,0),0),IF(ISERROR(1/VLOOKUP($R282,Capa!$A:$AJ,AW$5,0)),0,1/VLOOKUP($R282,Capa!$A:$AJ,AW$5,0))))</f>
        <v/>
      </c>
      <c r="AX282" s="174" t="str">
        <f>IF(AX$6="","",IF(AX$3="Maior",iferror(VLOOKUP($R282,Capa!$A:$AJ,AX$5,0),0),IF(ISERROR(1/VLOOKUP($R282,Capa!$A:$AJ,AX$5,0)),0,1/VLOOKUP($R282,Capa!$A:$AJ,AX$5,0))))</f>
        <v/>
      </c>
      <c r="AY282" s="174" t="str">
        <f>IF(AY$6="","",IF(AY$3="Maior",iferror(VLOOKUP($R282,Capa!$A:$AJ,AY$5,0),0),IF(ISERROR(1/VLOOKUP($R282,Capa!$A:$AJ,AY$5,0)),0,1/VLOOKUP($R282,Capa!$A:$AJ,AY$5,0))))</f>
        <v/>
      </c>
      <c r="AZ282" s="174" t="str">
        <f>IF(AZ$6="","",IF(AZ$3="Maior",iferror(VLOOKUP($R282,Capa!$A:$AJ,AZ$5,0),0),IF(ISERROR(1/VLOOKUP($R282,Capa!$A:$AJ,AZ$5,0)),0,1/VLOOKUP($R282,Capa!$A:$AJ,AZ$5,0))))</f>
        <v/>
      </c>
      <c r="BA282" s="174" t="str">
        <f>IF(BA$6="","",IF(BA$3="Maior",iferror(VLOOKUP($R282,Capa!$A:$AJ,BA$5,0),0),IF(ISERROR(1/VLOOKUP($R282,Capa!$A:$AJ,BA$5,0)),0,1/VLOOKUP($R282,Capa!$A:$AJ,BA$5,0))))</f>
        <v/>
      </c>
      <c r="BB282" s="174" t="str">
        <f>IF(BB$6="","",IF(BB$3="Maior",iferror(VLOOKUP($R282,Capa!$A:$AJ,BB$5,0),0),IF(ISERROR(1/VLOOKUP($R282,Capa!$A:$AJ,BB$5,0)),0,1/VLOOKUP($R282,Capa!$A:$AJ,BB$5,0))))</f>
        <v/>
      </c>
      <c r="BC282" s="174" t="str">
        <f>IF(BC$6="","",IF(BC$3="Maior",iferror(VLOOKUP($R282,Capa!$A:$AJ,BC$5,0),0),IF(ISERROR(1/VLOOKUP($R282,Capa!$A:$AJ,BC$5,0)),0,1/VLOOKUP($R282,Capa!$A:$AJ,BC$5,0))))</f>
        <v/>
      </c>
      <c r="BD282" s="174" t="str">
        <f>IF(BD$6="","",IF(BD$3="Maior",iferror(VLOOKUP($R282,Capa!$A:$AJ,BD$5,0),0),IF(ISERROR(1/VLOOKUP($R282,Capa!$A:$AJ,BD$5,0)),0,1/VLOOKUP($R282,Capa!$A:$AJ,BD$5,0))))</f>
        <v/>
      </c>
      <c r="BE282" s="174" t="str">
        <f>IF(BE$6="","",IF(BE$3="Maior",iferror(VLOOKUP($R282,Capa!$A:$AJ,BE$5,0),0),IF(ISERROR(1/VLOOKUP($R282,Capa!$A:$AJ,BE$5,0)),0,1/VLOOKUP($R282,Capa!$A:$AJ,BE$5,0))))</f>
        <v/>
      </c>
      <c r="BF282" s="174" t="str">
        <f>IF(BF$6="","",IF(BF$3="Maior",iferror(VLOOKUP($R282,Capa!$A:$AJ,BF$5,0),0),IF(ISERROR(1/VLOOKUP($R282,Capa!$A:$AJ,BF$5,0)),0,1/VLOOKUP($R282,Capa!$A:$AJ,BF$5,0))))</f>
        <v/>
      </c>
      <c r="BG282" s="174" t="str">
        <f>IF(BG$6="","",IF(BG$3="Maior",iferror(VLOOKUP($R282,Capa!$A:$AJ,BG$5,0),0),IF(ISERROR(1/VLOOKUP($R282,Capa!$A:$AJ,BG$5,0)),0,1/VLOOKUP($R282,Capa!$A:$AJ,BG$5,0))))</f>
        <v/>
      </c>
      <c r="BH282" s="174" t="str">
        <f>IF(BH$6="","",IF(BH$3="Maior",iferror(VLOOKUP($R282,Capa!$A:$AJ,BH$5,0),0),IF(ISERROR(1/VLOOKUP($R282,Capa!$A:$AJ,BH$5,0)),0,1/VLOOKUP($R282,Capa!$A:$AJ,BH$5,0))))</f>
        <v/>
      </c>
      <c r="BI282" s="174" t="str">
        <f>IF(BI$6="","",IF(BI$3="Maior",iferror(VLOOKUP($R282,Capa!$A:$AJ,BI$5,0),0),IF(ISERROR(1/VLOOKUP($R282,Capa!$A:$AJ,BI$5,0)),0,1/VLOOKUP($R282,Capa!$A:$AJ,BI$5,0))))</f>
        <v/>
      </c>
      <c r="BJ282" s="174" t="str">
        <f>IF(BJ$6="","",IF(BJ$3="Maior",iferror(VLOOKUP($R282,Capa!$A:$AJ,BJ$5,0),0),IF(ISERROR(1/VLOOKUP($R282,Capa!$A:$AJ,BJ$5,0)),0,1/VLOOKUP($R282,Capa!$A:$AJ,BJ$5,0))))</f>
        <v/>
      </c>
      <c r="BK282" s="174" t="str">
        <f>IF(BK$6="","",IF(BK$3="Maior",iferror(VLOOKUP($R282,Capa!$A:$AJ,BK$5,0),0),IF(ISERROR(1/VLOOKUP($R282,Capa!$A:$AJ,BK$5,0)),0,1/VLOOKUP($R282,Capa!$A:$AJ,BK$5,0))))</f>
        <v/>
      </c>
      <c r="BL282" s="174" t="str">
        <f>IF(BL$6="","",IF(BL$3="Maior",iferror(VLOOKUP($R282,Capa!$A:$AJ,BL$5,0),0),IF(ISERROR(1/VLOOKUP($R282,Capa!$A:$AJ,BL$5,0)),0,1/VLOOKUP($R282,Capa!$A:$AJ,BL$5,0))))</f>
        <v/>
      </c>
      <c r="BM282" s="174" t="str">
        <f>IF(BM$6="","",IF(BM$3="Maior",iferror(VLOOKUP($R282,Capa!$A:$AJ,BM$5,0),0),IF(ISERROR(1/VLOOKUP($R282,Capa!$A:$AJ,BM$5,0)),0,1/VLOOKUP($R282,Capa!$A:$AJ,BM$5,0))))</f>
        <v/>
      </c>
      <c r="BN282" s="174" t="str">
        <f>IF(BN$6="","",IF(BN$3="Maior",iferror(VLOOKUP($R282,Capa!$A:$AJ,BN$5,0),0),IF(ISERROR(1/VLOOKUP($R282,Capa!$A:$AJ,BN$5,0)),0,1/VLOOKUP($R282,Capa!$A:$AJ,BN$5,0))))</f>
        <v/>
      </c>
      <c r="BO282" s="174" t="str">
        <f>IF(BO$6="","",IF(BO$3="Maior",iferror(VLOOKUP($R282,Capa!$A:$AJ,BO$5,0),0),IF(ISERROR(1/VLOOKUP($R282,Capa!$A:$AJ,BO$5,0)),0,1/VLOOKUP($R282,Capa!$A:$AJ,BO$5,0))))</f>
        <v/>
      </c>
      <c r="BP282" s="174" t="str">
        <f>IF(BP$6="","",IF(BP$3="Maior",iferror(VLOOKUP($R282,Capa!$A:$AJ,BP$5,0),0),IF(ISERROR(1/VLOOKUP($R282,Capa!$A:$AJ,BP$5,0)),0,1/VLOOKUP($R282,Capa!$A:$AJ,BP$5,0))))</f>
        <v/>
      </c>
      <c r="BQ282" s="174" t="str">
        <f>IF(BQ$6="","",IF(BQ$3="Maior",iferror(VLOOKUP($R282,Capa!$A:$AJ,BQ$5,0),0),IF(ISERROR(1/VLOOKUP($R282,Capa!$A:$AJ,BQ$5,0)),0,1/VLOOKUP($R282,Capa!$A:$AJ,BQ$5,0))))</f>
        <v/>
      </c>
      <c r="BR282" s="175"/>
      <c r="BS282" s="147"/>
    </row>
    <row r="283">
      <c r="G283" s="11"/>
      <c r="H283" s="8">
        <v>277.0</v>
      </c>
      <c r="I283" s="165" t="str">
        <f t="shared" si="6"/>
        <v>CCXC3</v>
      </c>
      <c r="J283" s="166" t="str">
        <f>(VLOOKUP($I283,Capa!$A:$B,2,0))</f>
        <v/>
      </c>
      <c r="K283" s="167" t="str">
        <f>VLOOKUP(left(I283,4),Setor!A:D,3,0)&amp;" | "&amp;VLOOKUP(left(I283,4),Setor!A:D,4,0)</f>
        <v>#N/A</v>
      </c>
      <c r="L283" s="168" t="str">
        <f>(VLOOKUP($I283,Capa!$A:$F,6,0))</f>
        <v/>
      </c>
      <c r="M283" s="168">
        <f t="shared" si="7"/>
        <v>0</v>
      </c>
      <c r="N283" s="11" t="str">
        <f>(VLOOKUP($I283,Capa!$A:$H,7,0))</f>
        <v/>
      </c>
      <c r="O283" s="169" t="str">
        <f>(VLOOKUP($I283,Capa!$A:$H,8,0))</f>
        <v/>
      </c>
      <c r="P283" s="11" t="str">
        <f>(VLOOKUP($I283,Capa!$A:$J,10,0))</f>
        <v/>
      </c>
      <c r="Q283" s="169" t="str">
        <f>(VLOOKUP($I283,Capa!$A:$K,11,0))</f>
        <v/>
      </c>
      <c r="R283" s="45" t="str">
        <f>'Dados StatusInvest'!A278</f>
        <v>FNCN3</v>
      </c>
      <c r="S283" s="170">
        <f t="shared" si="234"/>
        <v>1874.0874</v>
      </c>
      <c r="T283" s="171">
        <f>VLOOKUP(R283,'Dados StatusInvest'!A:Z,26,0)</f>
        <v>0</v>
      </c>
      <c r="U283" s="172">
        <f t="shared" ref="U283:AS283" si="286">IF(AT283="","", RANK(AT283,AT$7:AT$626,0)+RANK(AT283,AT$7:AT$626,0)/10000)</f>
        <v>607.0607</v>
      </c>
      <c r="V283" s="172">
        <f t="shared" si="286"/>
        <v>267.0267</v>
      </c>
      <c r="W283" s="172" t="str">
        <f t="shared" si="286"/>
        <v/>
      </c>
      <c r="X283" s="172" t="str">
        <f t="shared" si="286"/>
        <v/>
      </c>
      <c r="Y283" s="172" t="str">
        <f t="shared" si="286"/>
        <v/>
      </c>
      <c r="Z283" s="172" t="str">
        <f t="shared" si="286"/>
        <v/>
      </c>
      <c r="AA283" s="172" t="str">
        <f t="shared" si="286"/>
        <v/>
      </c>
      <c r="AB283" s="172" t="str">
        <f t="shared" si="286"/>
        <v/>
      </c>
      <c r="AC283" s="172" t="str">
        <f t="shared" si="286"/>
        <v/>
      </c>
      <c r="AD283" s="172" t="str">
        <f t="shared" si="286"/>
        <v/>
      </c>
      <c r="AE283" s="172" t="str">
        <f t="shared" si="286"/>
        <v/>
      </c>
      <c r="AF283" s="172" t="str">
        <f t="shared" si="286"/>
        <v/>
      </c>
      <c r="AG283" s="172" t="str">
        <f t="shared" si="286"/>
        <v/>
      </c>
      <c r="AH283" s="172" t="str">
        <f t="shared" si="286"/>
        <v/>
      </c>
      <c r="AI283" s="172" t="str">
        <f t="shared" si="286"/>
        <v/>
      </c>
      <c r="AJ283" s="172" t="str">
        <f t="shared" si="286"/>
        <v/>
      </c>
      <c r="AK283" s="172" t="str">
        <f t="shared" si="286"/>
        <v/>
      </c>
      <c r="AL283" s="172" t="str">
        <f t="shared" si="286"/>
        <v/>
      </c>
      <c r="AM283" s="172" t="str">
        <f t="shared" si="286"/>
        <v/>
      </c>
      <c r="AN283" s="172" t="str">
        <f t="shared" si="286"/>
        <v/>
      </c>
      <c r="AO283" s="172" t="str">
        <f t="shared" si="286"/>
        <v/>
      </c>
      <c r="AP283" s="172" t="str">
        <f t="shared" si="286"/>
        <v/>
      </c>
      <c r="AQ283" s="172" t="str">
        <f t="shared" si="286"/>
        <v/>
      </c>
      <c r="AR283" s="172" t="str">
        <f t="shared" si="286"/>
        <v/>
      </c>
      <c r="AS283" s="172" t="str">
        <f t="shared" si="286"/>
        <v/>
      </c>
      <c r="AT283" s="173">
        <f>IF(AT$6="","",IF(AT$3="Maior",iferror(VLOOKUP($R283,Capa!$A:$AJ,AT$5,0),0),IF(ISERROR(1/VLOOKUP($R283,Capa!$A:$AJ,AT$5,0)),0,1/VLOOKUP($R283,Capa!$A:$AJ,AT$5,0))))</f>
        <v>-33.33333333</v>
      </c>
      <c r="AU283" s="174">
        <f>IF(AU$6="","",IF(AU$3="Maior",iferror(VLOOKUP($R283,Capa!$A:$AJ,AU$5,0),0),IF(ISERROR(1/VLOOKUP($R283,Capa!$A:$AJ,AU$5,0)),0,1/VLOOKUP($R283,Capa!$A:$AJ,AU$5,0))))</f>
        <v>0</v>
      </c>
      <c r="AV283" s="174" t="str">
        <f>IF(AV$6="","",IF(AV$3="Maior",iferror(VLOOKUP($R283,Capa!$A:$AJ,AV$5,0),0),IF(ISERROR(1/VLOOKUP($R283,Capa!$A:$AJ,AV$5,0)),0,1/VLOOKUP($R283,Capa!$A:$AJ,AV$5,0))))</f>
        <v/>
      </c>
      <c r="AW283" s="174" t="str">
        <f>IF(AW$6="","",IF(AW$3="Maior",iferror(VLOOKUP($R283,Capa!$A:$AJ,AW$5,0),0),IF(ISERROR(1/VLOOKUP($R283,Capa!$A:$AJ,AW$5,0)),0,1/VLOOKUP($R283,Capa!$A:$AJ,AW$5,0))))</f>
        <v/>
      </c>
      <c r="AX283" s="174" t="str">
        <f>IF(AX$6="","",IF(AX$3="Maior",iferror(VLOOKUP($R283,Capa!$A:$AJ,AX$5,0),0),IF(ISERROR(1/VLOOKUP($R283,Capa!$A:$AJ,AX$5,0)),0,1/VLOOKUP($R283,Capa!$A:$AJ,AX$5,0))))</f>
        <v/>
      </c>
      <c r="AY283" s="174" t="str">
        <f>IF(AY$6="","",IF(AY$3="Maior",iferror(VLOOKUP($R283,Capa!$A:$AJ,AY$5,0),0),IF(ISERROR(1/VLOOKUP($R283,Capa!$A:$AJ,AY$5,0)),0,1/VLOOKUP($R283,Capa!$A:$AJ,AY$5,0))))</f>
        <v/>
      </c>
      <c r="AZ283" s="174" t="str">
        <f>IF(AZ$6="","",IF(AZ$3="Maior",iferror(VLOOKUP($R283,Capa!$A:$AJ,AZ$5,0),0),IF(ISERROR(1/VLOOKUP($R283,Capa!$A:$AJ,AZ$5,0)),0,1/VLOOKUP($R283,Capa!$A:$AJ,AZ$5,0))))</f>
        <v/>
      </c>
      <c r="BA283" s="174" t="str">
        <f>IF(BA$6="","",IF(BA$3="Maior",iferror(VLOOKUP($R283,Capa!$A:$AJ,BA$5,0),0),IF(ISERROR(1/VLOOKUP($R283,Capa!$A:$AJ,BA$5,0)),0,1/VLOOKUP($R283,Capa!$A:$AJ,BA$5,0))))</f>
        <v/>
      </c>
      <c r="BB283" s="174" t="str">
        <f>IF(BB$6="","",IF(BB$3="Maior",iferror(VLOOKUP($R283,Capa!$A:$AJ,BB$5,0),0),IF(ISERROR(1/VLOOKUP($R283,Capa!$A:$AJ,BB$5,0)),0,1/VLOOKUP($R283,Capa!$A:$AJ,BB$5,0))))</f>
        <v/>
      </c>
      <c r="BC283" s="174" t="str">
        <f>IF(BC$6="","",IF(BC$3="Maior",iferror(VLOOKUP($R283,Capa!$A:$AJ,BC$5,0),0),IF(ISERROR(1/VLOOKUP($R283,Capa!$A:$AJ,BC$5,0)),0,1/VLOOKUP($R283,Capa!$A:$AJ,BC$5,0))))</f>
        <v/>
      </c>
      <c r="BD283" s="174" t="str">
        <f>IF(BD$6="","",IF(BD$3="Maior",iferror(VLOOKUP($R283,Capa!$A:$AJ,BD$5,0),0),IF(ISERROR(1/VLOOKUP($R283,Capa!$A:$AJ,BD$5,0)),0,1/VLOOKUP($R283,Capa!$A:$AJ,BD$5,0))))</f>
        <v/>
      </c>
      <c r="BE283" s="174" t="str">
        <f>IF(BE$6="","",IF(BE$3="Maior",iferror(VLOOKUP($R283,Capa!$A:$AJ,BE$5,0),0),IF(ISERROR(1/VLOOKUP($R283,Capa!$A:$AJ,BE$5,0)),0,1/VLOOKUP($R283,Capa!$A:$AJ,BE$5,0))))</f>
        <v/>
      </c>
      <c r="BF283" s="174" t="str">
        <f>IF(BF$6="","",IF(BF$3="Maior",iferror(VLOOKUP($R283,Capa!$A:$AJ,BF$5,0),0),IF(ISERROR(1/VLOOKUP($R283,Capa!$A:$AJ,BF$5,0)),0,1/VLOOKUP($R283,Capa!$A:$AJ,BF$5,0))))</f>
        <v/>
      </c>
      <c r="BG283" s="174" t="str">
        <f>IF(BG$6="","",IF(BG$3="Maior",iferror(VLOOKUP($R283,Capa!$A:$AJ,BG$5,0),0),IF(ISERROR(1/VLOOKUP($R283,Capa!$A:$AJ,BG$5,0)),0,1/VLOOKUP($R283,Capa!$A:$AJ,BG$5,0))))</f>
        <v/>
      </c>
      <c r="BH283" s="174" t="str">
        <f>IF(BH$6="","",IF(BH$3="Maior",iferror(VLOOKUP($R283,Capa!$A:$AJ,BH$5,0),0),IF(ISERROR(1/VLOOKUP($R283,Capa!$A:$AJ,BH$5,0)),0,1/VLOOKUP($R283,Capa!$A:$AJ,BH$5,0))))</f>
        <v/>
      </c>
      <c r="BI283" s="174" t="str">
        <f>IF(BI$6="","",IF(BI$3="Maior",iferror(VLOOKUP($R283,Capa!$A:$AJ,BI$5,0),0),IF(ISERROR(1/VLOOKUP($R283,Capa!$A:$AJ,BI$5,0)),0,1/VLOOKUP($R283,Capa!$A:$AJ,BI$5,0))))</f>
        <v/>
      </c>
      <c r="BJ283" s="174" t="str">
        <f>IF(BJ$6="","",IF(BJ$3="Maior",iferror(VLOOKUP($R283,Capa!$A:$AJ,BJ$5,0),0),IF(ISERROR(1/VLOOKUP($R283,Capa!$A:$AJ,BJ$5,0)),0,1/VLOOKUP($R283,Capa!$A:$AJ,BJ$5,0))))</f>
        <v/>
      </c>
      <c r="BK283" s="174" t="str">
        <f>IF(BK$6="","",IF(BK$3="Maior",iferror(VLOOKUP($R283,Capa!$A:$AJ,BK$5,0),0),IF(ISERROR(1/VLOOKUP($R283,Capa!$A:$AJ,BK$5,0)),0,1/VLOOKUP($R283,Capa!$A:$AJ,BK$5,0))))</f>
        <v/>
      </c>
      <c r="BL283" s="174" t="str">
        <f>IF(BL$6="","",IF(BL$3="Maior",iferror(VLOOKUP($R283,Capa!$A:$AJ,BL$5,0),0),IF(ISERROR(1/VLOOKUP($R283,Capa!$A:$AJ,BL$5,0)),0,1/VLOOKUP($R283,Capa!$A:$AJ,BL$5,0))))</f>
        <v/>
      </c>
      <c r="BM283" s="174" t="str">
        <f>IF(BM$6="","",IF(BM$3="Maior",iferror(VLOOKUP($R283,Capa!$A:$AJ,BM$5,0),0),IF(ISERROR(1/VLOOKUP($R283,Capa!$A:$AJ,BM$5,0)),0,1/VLOOKUP($R283,Capa!$A:$AJ,BM$5,0))))</f>
        <v/>
      </c>
      <c r="BN283" s="174" t="str">
        <f>IF(BN$6="","",IF(BN$3="Maior",iferror(VLOOKUP($R283,Capa!$A:$AJ,BN$5,0),0),IF(ISERROR(1/VLOOKUP($R283,Capa!$A:$AJ,BN$5,0)),0,1/VLOOKUP($R283,Capa!$A:$AJ,BN$5,0))))</f>
        <v/>
      </c>
      <c r="BO283" s="174" t="str">
        <f>IF(BO$6="","",IF(BO$3="Maior",iferror(VLOOKUP($R283,Capa!$A:$AJ,BO$5,0),0),IF(ISERROR(1/VLOOKUP($R283,Capa!$A:$AJ,BO$5,0)),0,1/VLOOKUP($R283,Capa!$A:$AJ,BO$5,0))))</f>
        <v/>
      </c>
      <c r="BP283" s="174" t="str">
        <f>IF(BP$6="","",IF(BP$3="Maior",iferror(VLOOKUP($R283,Capa!$A:$AJ,BP$5,0),0),IF(ISERROR(1/VLOOKUP($R283,Capa!$A:$AJ,BP$5,0)),0,1/VLOOKUP($R283,Capa!$A:$AJ,BP$5,0))))</f>
        <v/>
      </c>
      <c r="BQ283" s="174" t="str">
        <f>IF(BQ$6="","",IF(BQ$3="Maior",iferror(VLOOKUP($R283,Capa!$A:$AJ,BQ$5,0),0),IF(ISERROR(1/VLOOKUP($R283,Capa!$A:$AJ,BQ$5,0)),0,1/VLOOKUP($R283,Capa!$A:$AJ,BQ$5,0))))</f>
        <v/>
      </c>
      <c r="BR283" s="175"/>
      <c r="BS283" s="147"/>
    </row>
    <row r="284">
      <c r="G284" s="11"/>
      <c r="H284" s="8">
        <v>278.0</v>
      </c>
      <c r="I284" s="165" t="str">
        <f t="shared" si="6"/>
        <v>CCXC3</v>
      </c>
      <c r="J284" s="166" t="str">
        <f>(VLOOKUP($I284,Capa!$A:$B,2,0))</f>
        <v/>
      </c>
      <c r="K284" s="167" t="str">
        <f>VLOOKUP(left(I284,4),Setor!A:D,3,0)&amp;" | "&amp;VLOOKUP(left(I284,4),Setor!A:D,4,0)</f>
        <v>#N/A</v>
      </c>
      <c r="L284" s="168" t="str">
        <f>(VLOOKUP($I284,Capa!$A:$F,6,0))</f>
        <v/>
      </c>
      <c r="M284" s="168">
        <f t="shared" si="7"/>
        <v>0</v>
      </c>
      <c r="N284" s="11" t="str">
        <f>(VLOOKUP($I284,Capa!$A:$H,7,0))</f>
        <v/>
      </c>
      <c r="O284" s="169" t="str">
        <f>(VLOOKUP($I284,Capa!$A:$H,8,0))</f>
        <v/>
      </c>
      <c r="P284" s="11" t="str">
        <f>(VLOOKUP($I284,Capa!$A:$J,10,0))</f>
        <v/>
      </c>
      <c r="Q284" s="169" t="str">
        <f>(VLOOKUP($I284,Capa!$A:$K,11,0))</f>
        <v/>
      </c>
      <c r="R284" s="45" t="str">
        <f>'Dados StatusInvest'!A279</f>
        <v>FRAS3</v>
      </c>
      <c r="S284" s="170">
        <f t="shared" si="234"/>
        <v>269.0269</v>
      </c>
      <c r="T284" s="171">
        <f>VLOOKUP(R284,'Dados StatusInvest'!A:Z,26,0)</f>
        <v>6865960</v>
      </c>
      <c r="U284" s="172">
        <f t="shared" ref="U284:AS284" si="287">IF(AT284="","", RANK(AT284,AT$7:AT$626,0)+RANK(AT284,AT$7:AT$626,0)/10000)</f>
        <v>248.0248</v>
      </c>
      <c r="V284" s="172">
        <f t="shared" si="287"/>
        <v>21.0021</v>
      </c>
      <c r="W284" s="172" t="str">
        <f t="shared" si="287"/>
        <v/>
      </c>
      <c r="X284" s="172" t="str">
        <f t="shared" si="287"/>
        <v/>
      </c>
      <c r="Y284" s="172" t="str">
        <f t="shared" si="287"/>
        <v/>
      </c>
      <c r="Z284" s="172" t="str">
        <f t="shared" si="287"/>
        <v/>
      </c>
      <c r="AA284" s="172" t="str">
        <f t="shared" si="287"/>
        <v/>
      </c>
      <c r="AB284" s="172" t="str">
        <f t="shared" si="287"/>
        <v/>
      </c>
      <c r="AC284" s="172" t="str">
        <f t="shared" si="287"/>
        <v/>
      </c>
      <c r="AD284" s="172" t="str">
        <f t="shared" si="287"/>
        <v/>
      </c>
      <c r="AE284" s="172" t="str">
        <f t="shared" si="287"/>
        <v/>
      </c>
      <c r="AF284" s="172" t="str">
        <f t="shared" si="287"/>
        <v/>
      </c>
      <c r="AG284" s="172" t="str">
        <f t="shared" si="287"/>
        <v/>
      </c>
      <c r="AH284" s="172" t="str">
        <f t="shared" si="287"/>
        <v/>
      </c>
      <c r="AI284" s="172" t="str">
        <f t="shared" si="287"/>
        <v/>
      </c>
      <c r="AJ284" s="172" t="str">
        <f t="shared" si="287"/>
        <v/>
      </c>
      <c r="AK284" s="172" t="str">
        <f t="shared" si="287"/>
        <v/>
      </c>
      <c r="AL284" s="172" t="str">
        <f t="shared" si="287"/>
        <v/>
      </c>
      <c r="AM284" s="172" t="str">
        <f t="shared" si="287"/>
        <v/>
      </c>
      <c r="AN284" s="172" t="str">
        <f t="shared" si="287"/>
        <v/>
      </c>
      <c r="AO284" s="172" t="str">
        <f t="shared" si="287"/>
        <v/>
      </c>
      <c r="AP284" s="172" t="str">
        <f t="shared" si="287"/>
        <v/>
      </c>
      <c r="AQ284" s="172" t="str">
        <f t="shared" si="287"/>
        <v/>
      </c>
      <c r="AR284" s="172" t="str">
        <f t="shared" si="287"/>
        <v/>
      </c>
      <c r="AS284" s="172" t="str">
        <f t="shared" si="287"/>
        <v/>
      </c>
      <c r="AT284" s="173">
        <f>IF(AT$6="","",IF(AT$3="Maior",iferror(VLOOKUP($R284,Capa!$A:$AJ,AT$5,0),0),IF(ISERROR(1/VLOOKUP($R284,Capa!$A:$AJ,AT$5,0)),0,1/VLOOKUP($R284,Capa!$A:$AJ,AT$5,0))))</f>
        <v>-0.4706692251</v>
      </c>
      <c r="AU284" s="174">
        <f>IF(AU$6="","",IF(AU$3="Maior",iferror(VLOOKUP($R284,Capa!$A:$AJ,AU$5,0),0),IF(ISERROR(1/VLOOKUP($R284,Capa!$A:$AJ,AU$5,0)),0,1/VLOOKUP($R284,Capa!$A:$AJ,AU$5,0))))</f>
        <v>57.37</v>
      </c>
      <c r="AV284" s="174" t="str">
        <f>IF(AV$6="","",IF(AV$3="Maior",iferror(VLOOKUP($R284,Capa!$A:$AJ,AV$5,0),0),IF(ISERROR(1/VLOOKUP($R284,Capa!$A:$AJ,AV$5,0)),0,1/VLOOKUP($R284,Capa!$A:$AJ,AV$5,0))))</f>
        <v/>
      </c>
      <c r="AW284" s="174" t="str">
        <f>IF(AW$6="","",IF(AW$3="Maior",iferror(VLOOKUP($R284,Capa!$A:$AJ,AW$5,0),0),IF(ISERROR(1/VLOOKUP($R284,Capa!$A:$AJ,AW$5,0)),0,1/VLOOKUP($R284,Capa!$A:$AJ,AW$5,0))))</f>
        <v/>
      </c>
      <c r="AX284" s="174" t="str">
        <f>IF(AX$6="","",IF(AX$3="Maior",iferror(VLOOKUP($R284,Capa!$A:$AJ,AX$5,0),0),IF(ISERROR(1/VLOOKUP($R284,Capa!$A:$AJ,AX$5,0)),0,1/VLOOKUP($R284,Capa!$A:$AJ,AX$5,0))))</f>
        <v/>
      </c>
      <c r="AY284" s="174" t="str">
        <f>IF(AY$6="","",IF(AY$3="Maior",iferror(VLOOKUP($R284,Capa!$A:$AJ,AY$5,0),0),IF(ISERROR(1/VLOOKUP($R284,Capa!$A:$AJ,AY$5,0)),0,1/VLOOKUP($R284,Capa!$A:$AJ,AY$5,0))))</f>
        <v/>
      </c>
      <c r="AZ284" s="174" t="str">
        <f>IF(AZ$6="","",IF(AZ$3="Maior",iferror(VLOOKUP($R284,Capa!$A:$AJ,AZ$5,0),0),IF(ISERROR(1/VLOOKUP($R284,Capa!$A:$AJ,AZ$5,0)),0,1/VLOOKUP($R284,Capa!$A:$AJ,AZ$5,0))))</f>
        <v/>
      </c>
      <c r="BA284" s="174" t="str">
        <f>IF(BA$6="","",IF(BA$3="Maior",iferror(VLOOKUP($R284,Capa!$A:$AJ,BA$5,0),0),IF(ISERROR(1/VLOOKUP($R284,Capa!$A:$AJ,BA$5,0)),0,1/VLOOKUP($R284,Capa!$A:$AJ,BA$5,0))))</f>
        <v/>
      </c>
      <c r="BB284" s="174" t="str">
        <f>IF(BB$6="","",IF(BB$3="Maior",iferror(VLOOKUP($R284,Capa!$A:$AJ,BB$5,0),0),IF(ISERROR(1/VLOOKUP($R284,Capa!$A:$AJ,BB$5,0)),0,1/VLOOKUP($R284,Capa!$A:$AJ,BB$5,0))))</f>
        <v/>
      </c>
      <c r="BC284" s="174" t="str">
        <f>IF(BC$6="","",IF(BC$3="Maior",iferror(VLOOKUP($R284,Capa!$A:$AJ,BC$5,0),0),IF(ISERROR(1/VLOOKUP($R284,Capa!$A:$AJ,BC$5,0)),0,1/VLOOKUP($R284,Capa!$A:$AJ,BC$5,0))))</f>
        <v/>
      </c>
      <c r="BD284" s="174" t="str">
        <f>IF(BD$6="","",IF(BD$3="Maior",iferror(VLOOKUP($R284,Capa!$A:$AJ,BD$5,0),0),IF(ISERROR(1/VLOOKUP($R284,Capa!$A:$AJ,BD$5,0)),0,1/VLOOKUP($R284,Capa!$A:$AJ,BD$5,0))))</f>
        <v/>
      </c>
      <c r="BE284" s="174" t="str">
        <f>IF(BE$6="","",IF(BE$3="Maior",iferror(VLOOKUP($R284,Capa!$A:$AJ,BE$5,0),0),IF(ISERROR(1/VLOOKUP($R284,Capa!$A:$AJ,BE$5,0)),0,1/VLOOKUP($R284,Capa!$A:$AJ,BE$5,0))))</f>
        <v/>
      </c>
      <c r="BF284" s="174" t="str">
        <f>IF(BF$6="","",IF(BF$3="Maior",iferror(VLOOKUP($R284,Capa!$A:$AJ,BF$5,0),0),IF(ISERROR(1/VLOOKUP($R284,Capa!$A:$AJ,BF$5,0)),0,1/VLOOKUP($R284,Capa!$A:$AJ,BF$5,0))))</f>
        <v/>
      </c>
      <c r="BG284" s="174" t="str">
        <f>IF(BG$6="","",IF(BG$3="Maior",iferror(VLOOKUP($R284,Capa!$A:$AJ,BG$5,0),0),IF(ISERROR(1/VLOOKUP($R284,Capa!$A:$AJ,BG$5,0)),0,1/VLOOKUP($R284,Capa!$A:$AJ,BG$5,0))))</f>
        <v/>
      </c>
      <c r="BH284" s="174" t="str">
        <f>IF(BH$6="","",IF(BH$3="Maior",iferror(VLOOKUP($R284,Capa!$A:$AJ,BH$5,0),0),IF(ISERROR(1/VLOOKUP($R284,Capa!$A:$AJ,BH$5,0)),0,1/VLOOKUP($R284,Capa!$A:$AJ,BH$5,0))))</f>
        <v/>
      </c>
      <c r="BI284" s="174" t="str">
        <f>IF(BI$6="","",IF(BI$3="Maior",iferror(VLOOKUP($R284,Capa!$A:$AJ,BI$5,0),0),IF(ISERROR(1/VLOOKUP($R284,Capa!$A:$AJ,BI$5,0)),0,1/VLOOKUP($R284,Capa!$A:$AJ,BI$5,0))))</f>
        <v/>
      </c>
      <c r="BJ284" s="174" t="str">
        <f>IF(BJ$6="","",IF(BJ$3="Maior",iferror(VLOOKUP($R284,Capa!$A:$AJ,BJ$5,0),0),IF(ISERROR(1/VLOOKUP($R284,Capa!$A:$AJ,BJ$5,0)),0,1/VLOOKUP($R284,Capa!$A:$AJ,BJ$5,0))))</f>
        <v/>
      </c>
      <c r="BK284" s="174" t="str">
        <f>IF(BK$6="","",IF(BK$3="Maior",iferror(VLOOKUP($R284,Capa!$A:$AJ,BK$5,0),0),IF(ISERROR(1/VLOOKUP($R284,Capa!$A:$AJ,BK$5,0)),0,1/VLOOKUP($R284,Capa!$A:$AJ,BK$5,0))))</f>
        <v/>
      </c>
      <c r="BL284" s="174" t="str">
        <f>IF(BL$6="","",IF(BL$3="Maior",iferror(VLOOKUP($R284,Capa!$A:$AJ,BL$5,0),0),IF(ISERROR(1/VLOOKUP($R284,Capa!$A:$AJ,BL$5,0)),0,1/VLOOKUP($R284,Capa!$A:$AJ,BL$5,0))))</f>
        <v/>
      </c>
      <c r="BM284" s="174" t="str">
        <f>IF(BM$6="","",IF(BM$3="Maior",iferror(VLOOKUP($R284,Capa!$A:$AJ,BM$5,0),0),IF(ISERROR(1/VLOOKUP($R284,Capa!$A:$AJ,BM$5,0)),0,1/VLOOKUP($R284,Capa!$A:$AJ,BM$5,0))))</f>
        <v/>
      </c>
      <c r="BN284" s="174" t="str">
        <f>IF(BN$6="","",IF(BN$3="Maior",iferror(VLOOKUP($R284,Capa!$A:$AJ,BN$5,0),0),IF(ISERROR(1/VLOOKUP($R284,Capa!$A:$AJ,BN$5,0)),0,1/VLOOKUP($R284,Capa!$A:$AJ,BN$5,0))))</f>
        <v/>
      </c>
      <c r="BO284" s="174" t="str">
        <f>IF(BO$6="","",IF(BO$3="Maior",iferror(VLOOKUP($R284,Capa!$A:$AJ,BO$5,0),0),IF(ISERROR(1/VLOOKUP($R284,Capa!$A:$AJ,BO$5,0)),0,1/VLOOKUP($R284,Capa!$A:$AJ,BO$5,0))))</f>
        <v/>
      </c>
      <c r="BP284" s="174" t="str">
        <f>IF(BP$6="","",IF(BP$3="Maior",iferror(VLOOKUP($R284,Capa!$A:$AJ,BP$5,0),0),IF(ISERROR(1/VLOOKUP($R284,Capa!$A:$AJ,BP$5,0)),0,1/VLOOKUP($R284,Capa!$A:$AJ,BP$5,0))))</f>
        <v/>
      </c>
      <c r="BQ284" s="174" t="str">
        <f>IF(BQ$6="","",IF(BQ$3="Maior",iferror(VLOOKUP($R284,Capa!$A:$AJ,BQ$5,0),0),IF(ISERROR(1/VLOOKUP($R284,Capa!$A:$AJ,BQ$5,0)),0,1/VLOOKUP($R284,Capa!$A:$AJ,BQ$5,0))))</f>
        <v/>
      </c>
      <c r="BR284" s="175"/>
      <c r="BS284" s="147"/>
    </row>
    <row r="285">
      <c r="G285" s="11"/>
      <c r="H285" s="8">
        <v>279.0</v>
      </c>
      <c r="I285" s="165" t="str">
        <f t="shared" si="6"/>
        <v>TCNO3</v>
      </c>
      <c r="J285" s="166" t="str">
        <f>(VLOOKUP($I285,Capa!$A:$B,2,0))</f>
        <v/>
      </c>
      <c r="K285" s="167" t="str">
        <f>VLOOKUP(left(I285,4),Setor!A:D,3,0)&amp;" | "&amp;VLOOKUP(left(I285,4),Setor!A:D,4,0)</f>
        <v>Bens Industriais | Construção e Engenharia</v>
      </c>
      <c r="L285" s="168" t="str">
        <f>(VLOOKUP($I285,Capa!$A:$F,6,0))</f>
        <v/>
      </c>
      <c r="M285" s="168">
        <f t="shared" si="7"/>
        <v>0</v>
      </c>
      <c r="N285" s="177" t="str">
        <f>(VLOOKUP($I285,Capa!$A:$H,7,0))</f>
        <v/>
      </c>
      <c r="O285" s="169" t="str">
        <f>(VLOOKUP($I285,Capa!$A:$H,8,0))</f>
        <v/>
      </c>
      <c r="P285" s="169" t="str">
        <f>(VLOOKUP($I285,Capa!$A:$J,10,0))</f>
        <v/>
      </c>
      <c r="Q285" s="169" t="str">
        <f>(VLOOKUP($I285,Capa!$A:$K,11,0))</f>
        <v/>
      </c>
      <c r="R285" s="45" t="str">
        <f>'Dados StatusInvest'!A280</f>
        <v>FRIO3</v>
      </c>
      <c r="S285" s="170">
        <f t="shared" si="234"/>
        <v>1529.0529</v>
      </c>
      <c r="T285" s="171">
        <f>VLOOKUP(R285,'Dados StatusInvest'!A:Z,26,0)</f>
        <v>9108.25</v>
      </c>
      <c r="U285" s="172">
        <f t="shared" ref="U285:AS285" si="288">IF(AT285="","", RANK(AT285,AT$7:AT$626,0)+RANK(AT285,AT$7:AT$626,0)/10000)</f>
        <v>270.027</v>
      </c>
      <c r="V285" s="172">
        <f t="shared" si="288"/>
        <v>259.0259</v>
      </c>
      <c r="W285" s="172" t="str">
        <f t="shared" si="288"/>
        <v/>
      </c>
      <c r="X285" s="172" t="str">
        <f t="shared" si="288"/>
        <v/>
      </c>
      <c r="Y285" s="172" t="str">
        <f t="shared" si="288"/>
        <v/>
      </c>
      <c r="Z285" s="172" t="str">
        <f t="shared" si="288"/>
        <v/>
      </c>
      <c r="AA285" s="172" t="str">
        <f t="shared" si="288"/>
        <v/>
      </c>
      <c r="AB285" s="172" t="str">
        <f t="shared" si="288"/>
        <v/>
      </c>
      <c r="AC285" s="172" t="str">
        <f t="shared" si="288"/>
        <v/>
      </c>
      <c r="AD285" s="172" t="str">
        <f t="shared" si="288"/>
        <v/>
      </c>
      <c r="AE285" s="172" t="str">
        <f t="shared" si="288"/>
        <v/>
      </c>
      <c r="AF285" s="172" t="str">
        <f t="shared" si="288"/>
        <v/>
      </c>
      <c r="AG285" s="172" t="str">
        <f t="shared" si="288"/>
        <v/>
      </c>
      <c r="AH285" s="172" t="str">
        <f t="shared" si="288"/>
        <v/>
      </c>
      <c r="AI285" s="172" t="str">
        <f t="shared" si="288"/>
        <v/>
      </c>
      <c r="AJ285" s="172" t="str">
        <f t="shared" si="288"/>
        <v/>
      </c>
      <c r="AK285" s="172" t="str">
        <f t="shared" si="288"/>
        <v/>
      </c>
      <c r="AL285" s="172" t="str">
        <f t="shared" si="288"/>
        <v/>
      </c>
      <c r="AM285" s="172" t="str">
        <f t="shared" si="288"/>
        <v/>
      </c>
      <c r="AN285" s="172" t="str">
        <f t="shared" si="288"/>
        <v/>
      </c>
      <c r="AO285" s="172" t="str">
        <f t="shared" si="288"/>
        <v/>
      </c>
      <c r="AP285" s="172" t="str">
        <f t="shared" si="288"/>
        <v/>
      </c>
      <c r="AQ285" s="172" t="str">
        <f t="shared" si="288"/>
        <v/>
      </c>
      <c r="AR285" s="172" t="str">
        <f t="shared" si="288"/>
        <v/>
      </c>
      <c r="AS285" s="172" t="str">
        <f t="shared" si="288"/>
        <v/>
      </c>
      <c r="AT285" s="173">
        <f>IF(AT$6="","",IF(AT$3="Maior",iferror(VLOOKUP($R285,Capa!$A:$AJ,AT$5,0),0),IF(ISERROR(1/VLOOKUP($R285,Capa!$A:$AJ,AT$5,0)),0,1/VLOOKUP($R285,Capa!$A:$AJ,AT$5,0))))</f>
        <v>-0.5681818182</v>
      </c>
      <c r="AU285" s="174">
        <f>IF(AU$6="","",IF(AU$3="Maior",iferror(VLOOKUP($R285,Capa!$A:$AJ,AU$5,0),0),IF(ISERROR(1/VLOOKUP($R285,Capa!$A:$AJ,AU$5,0)),0,1/VLOOKUP($R285,Capa!$A:$AJ,AU$5,0))))</f>
        <v>2.08</v>
      </c>
      <c r="AV285" s="174" t="str">
        <f>IF(AV$6="","",IF(AV$3="Maior",iferror(VLOOKUP($R285,Capa!$A:$AJ,AV$5,0),0),IF(ISERROR(1/VLOOKUP($R285,Capa!$A:$AJ,AV$5,0)),0,1/VLOOKUP($R285,Capa!$A:$AJ,AV$5,0))))</f>
        <v/>
      </c>
      <c r="AW285" s="174" t="str">
        <f>IF(AW$6="","",IF(AW$3="Maior",iferror(VLOOKUP($R285,Capa!$A:$AJ,AW$5,0),0),IF(ISERROR(1/VLOOKUP($R285,Capa!$A:$AJ,AW$5,0)),0,1/VLOOKUP($R285,Capa!$A:$AJ,AW$5,0))))</f>
        <v/>
      </c>
      <c r="AX285" s="174" t="str">
        <f>IF(AX$6="","",IF(AX$3="Maior",iferror(VLOOKUP($R285,Capa!$A:$AJ,AX$5,0),0),IF(ISERROR(1/VLOOKUP($R285,Capa!$A:$AJ,AX$5,0)),0,1/VLOOKUP($R285,Capa!$A:$AJ,AX$5,0))))</f>
        <v/>
      </c>
      <c r="AY285" s="174" t="str">
        <f>IF(AY$6="","",IF(AY$3="Maior",iferror(VLOOKUP($R285,Capa!$A:$AJ,AY$5,0),0),IF(ISERROR(1/VLOOKUP($R285,Capa!$A:$AJ,AY$5,0)),0,1/VLOOKUP($R285,Capa!$A:$AJ,AY$5,0))))</f>
        <v/>
      </c>
      <c r="AZ285" s="174" t="str">
        <f>IF(AZ$6="","",IF(AZ$3="Maior",iferror(VLOOKUP($R285,Capa!$A:$AJ,AZ$5,0),0),IF(ISERROR(1/VLOOKUP($R285,Capa!$A:$AJ,AZ$5,0)),0,1/VLOOKUP($R285,Capa!$A:$AJ,AZ$5,0))))</f>
        <v/>
      </c>
      <c r="BA285" s="174" t="str">
        <f>IF(BA$6="","",IF(BA$3="Maior",iferror(VLOOKUP($R285,Capa!$A:$AJ,BA$5,0),0),IF(ISERROR(1/VLOOKUP($R285,Capa!$A:$AJ,BA$5,0)),0,1/VLOOKUP($R285,Capa!$A:$AJ,BA$5,0))))</f>
        <v/>
      </c>
      <c r="BB285" s="174" t="str">
        <f>IF(BB$6="","",IF(BB$3="Maior",iferror(VLOOKUP($R285,Capa!$A:$AJ,BB$5,0),0),IF(ISERROR(1/VLOOKUP($R285,Capa!$A:$AJ,BB$5,0)),0,1/VLOOKUP($R285,Capa!$A:$AJ,BB$5,0))))</f>
        <v/>
      </c>
      <c r="BC285" s="174" t="str">
        <f>IF(BC$6="","",IF(BC$3="Maior",iferror(VLOOKUP($R285,Capa!$A:$AJ,BC$5,0),0),IF(ISERROR(1/VLOOKUP($R285,Capa!$A:$AJ,BC$5,0)),0,1/VLOOKUP($R285,Capa!$A:$AJ,BC$5,0))))</f>
        <v/>
      </c>
      <c r="BD285" s="174" t="str">
        <f>IF(BD$6="","",IF(BD$3="Maior",iferror(VLOOKUP($R285,Capa!$A:$AJ,BD$5,0),0),IF(ISERROR(1/VLOOKUP($R285,Capa!$A:$AJ,BD$5,0)),0,1/VLOOKUP($R285,Capa!$A:$AJ,BD$5,0))))</f>
        <v/>
      </c>
      <c r="BE285" s="174" t="str">
        <f>IF(BE$6="","",IF(BE$3="Maior",iferror(VLOOKUP($R285,Capa!$A:$AJ,BE$5,0),0),IF(ISERROR(1/VLOOKUP($R285,Capa!$A:$AJ,BE$5,0)),0,1/VLOOKUP($R285,Capa!$A:$AJ,BE$5,0))))</f>
        <v/>
      </c>
      <c r="BF285" s="174" t="str">
        <f>IF(BF$6="","",IF(BF$3="Maior",iferror(VLOOKUP($R285,Capa!$A:$AJ,BF$5,0),0),IF(ISERROR(1/VLOOKUP($R285,Capa!$A:$AJ,BF$5,0)),0,1/VLOOKUP($R285,Capa!$A:$AJ,BF$5,0))))</f>
        <v/>
      </c>
      <c r="BG285" s="174" t="str">
        <f>IF(BG$6="","",IF(BG$3="Maior",iferror(VLOOKUP($R285,Capa!$A:$AJ,BG$5,0),0),IF(ISERROR(1/VLOOKUP($R285,Capa!$A:$AJ,BG$5,0)),0,1/VLOOKUP($R285,Capa!$A:$AJ,BG$5,0))))</f>
        <v/>
      </c>
      <c r="BH285" s="174" t="str">
        <f>IF(BH$6="","",IF(BH$3="Maior",iferror(VLOOKUP($R285,Capa!$A:$AJ,BH$5,0),0),IF(ISERROR(1/VLOOKUP($R285,Capa!$A:$AJ,BH$5,0)),0,1/VLOOKUP($R285,Capa!$A:$AJ,BH$5,0))))</f>
        <v/>
      </c>
      <c r="BI285" s="174" t="str">
        <f>IF(BI$6="","",IF(BI$3="Maior",iferror(VLOOKUP($R285,Capa!$A:$AJ,BI$5,0),0),IF(ISERROR(1/VLOOKUP($R285,Capa!$A:$AJ,BI$5,0)),0,1/VLOOKUP($R285,Capa!$A:$AJ,BI$5,0))))</f>
        <v/>
      </c>
      <c r="BJ285" s="174" t="str">
        <f>IF(BJ$6="","",IF(BJ$3="Maior",iferror(VLOOKUP($R285,Capa!$A:$AJ,BJ$5,0),0),IF(ISERROR(1/VLOOKUP($R285,Capa!$A:$AJ,BJ$5,0)),0,1/VLOOKUP($R285,Capa!$A:$AJ,BJ$5,0))))</f>
        <v/>
      </c>
      <c r="BK285" s="174" t="str">
        <f>IF(BK$6="","",IF(BK$3="Maior",iferror(VLOOKUP($R285,Capa!$A:$AJ,BK$5,0),0),IF(ISERROR(1/VLOOKUP($R285,Capa!$A:$AJ,BK$5,0)),0,1/VLOOKUP($R285,Capa!$A:$AJ,BK$5,0))))</f>
        <v/>
      </c>
      <c r="BL285" s="174" t="str">
        <f>IF(BL$6="","",IF(BL$3="Maior",iferror(VLOOKUP($R285,Capa!$A:$AJ,BL$5,0),0),IF(ISERROR(1/VLOOKUP($R285,Capa!$A:$AJ,BL$5,0)),0,1/VLOOKUP($R285,Capa!$A:$AJ,BL$5,0))))</f>
        <v/>
      </c>
      <c r="BM285" s="174" t="str">
        <f>IF(BM$6="","",IF(BM$3="Maior",iferror(VLOOKUP($R285,Capa!$A:$AJ,BM$5,0),0),IF(ISERROR(1/VLOOKUP($R285,Capa!$A:$AJ,BM$5,0)),0,1/VLOOKUP($R285,Capa!$A:$AJ,BM$5,0))))</f>
        <v/>
      </c>
      <c r="BN285" s="174" t="str">
        <f>IF(BN$6="","",IF(BN$3="Maior",iferror(VLOOKUP($R285,Capa!$A:$AJ,BN$5,0),0),IF(ISERROR(1/VLOOKUP($R285,Capa!$A:$AJ,BN$5,0)),0,1/VLOOKUP($R285,Capa!$A:$AJ,BN$5,0))))</f>
        <v/>
      </c>
      <c r="BO285" s="174" t="str">
        <f>IF(BO$6="","",IF(BO$3="Maior",iferror(VLOOKUP($R285,Capa!$A:$AJ,BO$5,0),0),IF(ISERROR(1/VLOOKUP($R285,Capa!$A:$AJ,BO$5,0)),0,1/VLOOKUP($R285,Capa!$A:$AJ,BO$5,0))))</f>
        <v/>
      </c>
      <c r="BP285" s="174" t="str">
        <f>IF(BP$6="","",IF(BP$3="Maior",iferror(VLOOKUP($R285,Capa!$A:$AJ,BP$5,0),0),IF(ISERROR(1/VLOOKUP($R285,Capa!$A:$AJ,BP$5,0)),0,1/VLOOKUP($R285,Capa!$A:$AJ,BP$5,0))))</f>
        <v/>
      </c>
      <c r="BQ285" s="174" t="str">
        <f>IF(BQ$6="","",IF(BQ$3="Maior",iferror(VLOOKUP($R285,Capa!$A:$AJ,BQ$5,0),0),IF(ISERROR(1/VLOOKUP($R285,Capa!$A:$AJ,BQ$5,0)),0,1/VLOOKUP($R285,Capa!$A:$AJ,BQ$5,0))))</f>
        <v/>
      </c>
      <c r="BR285" s="175"/>
      <c r="BS285" s="147"/>
    </row>
    <row r="286">
      <c r="G286" s="11"/>
      <c r="H286" s="8">
        <v>280.0</v>
      </c>
      <c r="I286" s="165" t="str">
        <f t="shared" si="6"/>
        <v>BLUT4</v>
      </c>
      <c r="J286" s="166" t="str">
        <f>(VLOOKUP($I286,Capa!$A:$B,2,0))</f>
        <v/>
      </c>
      <c r="K286" s="167" t="str">
        <f>VLOOKUP(left(I286,4),Setor!A:D,3,0)&amp;" | "&amp;VLOOKUP(left(I286,4),Setor!A:D,4,0)</f>
        <v>#N/A</v>
      </c>
      <c r="L286" s="168" t="str">
        <f>(VLOOKUP($I286,Capa!$A:$F,6,0))</f>
        <v/>
      </c>
      <c r="M286" s="168">
        <f t="shared" si="7"/>
        <v>0</v>
      </c>
      <c r="N286" s="11" t="str">
        <f>(VLOOKUP($I286,Capa!$A:$H,7,0))</f>
        <v/>
      </c>
      <c r="O286" s="169" t="str">
        <f>(VLOOKUP($I286,Capa!$A:$H,8,0))</f>
        <v/>
      </c>
      <c r="P286" s="11" t="str">
        <f>(VLOOKUP($I286,Capa!$A:$J,10,0))</f>
        <v/>
      </c>
      <c r="Q286" s="169" t="str">
        <f>(VLOOKUP($I286,Capa!$A:$K,11,0))</f>
        <v/>
      </c>
      <c r="R286" s="45" t="str">
        <f>'Dados StatusInvest'!A281</f>
        <v>FRTA3</v>
      </c>
      <c r="S286" s="170">
        <f t="shared" si="234"/>
        <v>1860.086</v>
      </c>
      <c r="T286" s="171">
        <f>VLOOKUP(R286,'Dados StatusInvest'!A:Z,26,0)</f>
        <v>0</v>
      </c>
      <c r="U286" s="172">
        <f t="shared" ref="U286:AS286" si="289">IF(AT286="","", RANK(AT286,AT$7:AT$626,0)+RANK(AT286,AT$7:AT$626,0)/10000)</f>
        <v>593.0593</v>
      </c>
      <c r="V286" s="172">
        <f t="shared" si="289"/>
        <v>267.0267</v>
      </c>
      <c r="W286" s="172" t="str">
        <f t="shared" si="289"/>
        <v/>
      </c>
      <c r="X286" s="172" t="str">
        <f t="shared" si="289"/>
        <v/>
      </c>
      <c r="Y286" s="172" t="str">
        <f t="shared" si="289"/>
        <v/>
      </c>
      <c r="Z286" s="172" t="str">
        <f t="shared" si="289"/>
        <v/>
      </c>
      <c r="AA286" s="172" t="str">
        <f t="shared" si="289"/>
        <v/>
      </c>
      <c r="AB286" s="172" t="str">
        <f t="shared" si="289"/>
        <v/>
      </c>
      <c r="AC286" s="172" t="str">
        <f t="shared" si="289"/>
        <v/>
      </c>
      <c r="AD286" s="172" t="str">
        <f t="shared" si="289"/>
        <v/>
      </c>
      <c r="AE286" s="172" t="str">
        <f t="shared" si="289"/>
        <v/>
      </c>
      <c r="AF286" s="172" t="str">
        <f t="shared" si="289"/>
        <v/>
      </c>
      <c r="AG286" s="172" t="str">
        <f t="shared" si="289"/>
        <v/>
      </c>
      <c r="AH286" s="172" t="str">
        <f t="shared" si="289"/>
        <v/>
      </c>
      <c r="AI286" s="172" t="str">
        <f t="shared" si="289"/>
        <v/>
      </c>
      <c r="AJ286" s="172" t="str">
        <f t="shared" si="289"/>
        <v/>
      </c>
      <c r="AK286" s="172" t="str">
        <f t="shared" si="289"/>
        <v/>
      </c>
      <c r="AL286" s="172" t="str">
        <f t="shared" si="289"/>
        <v/>
      </c>
      <c r="AM286" s="172" t="str">
        <f t="shared" si="289"/>
        <v/>
      </c>
      <c r="AN286" s="172" t="str">
        <f t="shared" si="289"/>
        <v/>
      </c>
      <c r="AO286" s="172" t="str">
        <f t="shared" si="289"/>
        <v/>
      </c>
      <c r="AP286" s="172" t="str">
        <f t="shared" si="289"/>
        <v/>
      </c>
      <c r="AQ286" s="172" t="str">
        <f t="shared" si="289"/>
        <v/>
      </c>
      <c r="AR286" s="172" t="str">
        <f t="shared" si="289"/>
        <v/>
      </c>
      <c r="AS286" s="172" t="str">
        <f t="shared" si="289"/>
        <v/>
      </c>
      <c r="AT286" s="173">
        <f>IF(AT$6="","",IF(AT$3="Maior",iferror(VLOOKUP($R286,Capa!$A:$AJ,AT$5,0),0),IF(ISERROR(1/VLOOKUP($R286,Capa!$A:$AJ,AT$5,0)),0,1/VLOOKUP($R286,Capa!$A:$AJ,AT$5,0))))</f>
        <v>-14.28571429</v>
      </c>
      <c r="AU286" s="174">
        <f>IF(AU$6="","",IF(AU$3="Maior",iferror(VLOOKUP($R286,Capa!$A:$AJ,AU$5,0),0),IF(ISERROR(1/VLOOKUP($R286,Capa!$A:$AJ,AU$5,0)),0,1/VLOOKUP($R286,Capa!$A:$AJ,AU$5,0))))</f>
        <v>0</v>
      </c>
      <c r="AV286" s="174" t="str">
        <f>IF(AV$6="","",IF(AV$3="Maior",iferror(VLOOKUP($R286,Capa!$A:$AJ,AV$5,0),0),IF(ISERROR(1/VLOOKUP($R286,Capa!$A:$AJ,AV$5,0)),0,1/VLOOKUP($R286,Capa!$A:$AJ,AV$5,0))))</f>
        <v/>
      </c>
      <c r="AW286" s="174" t="str">
        <f>IF(AW$6="","",IF(AW$3="Maior",iferror(VLOOKUP($R286,Capa!$A:$AJ,AW$5,0),0),IF(ISERROR(1/VLOOKUP($R286,Capa!$A:$AJ,AW$5,0)),0,1/VLOOKUP($R286,Capa!$A:$AJ,AW$5,0))))</f>
        <v/>
      </c>
      <c r="AX286" s="174" t="str">
        <f>IF(AX$6="","",IF(AX$3="Maior",iferror(VLOOKUP($R286,Capa!$A:$AJ,AX$5,0),0),IF(ISERROR(1/VLOOKUP($R286,Capa!$A:$AJ,AX$5,0)),0,1/VLOOKUP($R286,Capa!$A:$AJ,AX$5,0))))</f>
        <v/>
      </c>
      <c r="AY286" s="174" t="str">
        <f>IF(AY$6="","",IF(AY$3="Maior",iferror(VLOOKUP($R286,Capa!$A:$AJ,AY$5,0),0),IF(ISERROR(1/VLOOKUP($R286,Capa!$A:$AJ,AY$5,0)),0,1/VLOOKUP($R286,Capa!$A:$AJ,AY$5,0))))</f>
        <v/>
      </c>
      <c r="AZ286" s="174" t="str">
        <f>IF(AZ$6="","",IF(AZ$3="Maior",iferror(VLOOKUP($R286,Capa!$A:$AJ,AZ$5,0),0),IF(ISERROR(1/VLOOKUP($R286,Capa!$A:$AJ,AZ$5,0)),0,1/VLOOKUP($R286,Capa!$A:$AJ,AZ$5,0))))</f>
        <v/>
      </c>
      <c r="BA286" s="174" t="str">
        <f>IF(BA$6="","",IF(BA$3="Maior",iferror(VLOOKUP($R286,Capa!$A:$AJ,BA$5,0),0),IF(ISERROR(1/VLOOKUP($R286,Capa!$A:$AJ,BA$5,0)),0,1/VLOOKUP($R286,Capa!$A:$AJ,BA$5,0))))</f>
        <v/>
      </c>
      <c r="BB286" s="174" t="str">
        <f>IF(BB$6="","",IF(BB$3="Maior",iferror(VLOOKUP($R286,Capa!$A:$AJ,BB$5,0),0),IF(ISERROR(1/VLOOKUP($R286,Capa!$A:$AJ,BB$5,0)),0,1/VLOOKUP($R286,Capa!$A:$AJ,BB$5,0))))</f>
        <v/>
      </c>
      <c r="BC286" s="174" t="str">
        <f>IF(BC$6="","",IF(BC$3="Maior",iferror(VLOOKUP($R286,Capa!$A:$AJ,BC$5,0),0),IF(ISERROR(1/VLOOKUP($R286,Capa!$A:$AJ,BC$5,0)),0,1/VLOOKUP($R286,Capa!$A:$AJ,BC$5,0))))</f>
        <v/>
      </c>
      <c r="BD286" s="174" t="str">
        <f>IF(BD$6="","",IF(BD$3="Maior",iferror(VLOOKUP($R286,Capa!$A:$AJ,BD$5,0),0),IF(ISERROR(1/VLOOKUP($R286,Capa!$A:$AJ,BD$5,0)),0,1/VLOOKUP($R286,Capa!$A:$AJ,BD$5,0))))</f>
        <v/>
      </c>
      <c r="BE286" s="174" t="str">
        <f>IF(BE$6="","",IF(BE$3="Maior",iferror(VLOOKUP($R286,Capa!$A:$AJ,BE$5,0),0),IF(ISERROR(1/VLOOKUP($R286,Capa!$A:$AJ,BE$5,0)),0,1/VLOOKUP($R286,Capa!$A:$AJ,BE$5,0))))</f>
        <v/>
      </c>
      <c r="BF286" s="174" t="str">
        <f>IF(BF$6="","",IF(BF$3="Maior",iferror(VLOOKUP($R286,Capa!$A:$AJ,BF$5,0),0),IF(ISERROR(1/VLOOKUP($R286,Capa!$A:$AJ,BF$5,0)),0,1/VLOOKUP($R286,Capa!$A:$AJ,BF$5,0))))</f>
        <v/>
      </c>
      <c r="BG286" s="174" t="str">
        <f>IF(BG$6="","",IF(BG$3="Maior",iferror(VLOOKUP($R286,Capa!$A:$AJ,BG$5,0),0),IF(ISERROR(1/VLOOKUP($R286,Capa!$A:$AJ,BG$5,0)),0,1/VLOOKUP($R286,Capa!$A:$AJ,BG$5,0))))</f>
        <v/>
      </c>
      <c r="BH286" s="174" t="str">
        <f>IF(BH$6="","",IF(BH$3="Maior",iferror(VLOOKUP($R286,Capa!$A:$AJ,BH$5,0),0),IF(ISERROR(1/VLOOKUP($R286,Capa!$A:$AJ,BH$5,0)),0,1/VLOOKUP($R286,Capa!$A:$AJ,BH$5,0))))</f>
        <v/>
      </c>
      <c r="BI286" s="174" t="str">
        <f>IF(BI$6="","",IF(BI$3="Maior",iferror(VLOOKUP($R286,Capa!$A:$AJ,BI$5,0),0),IF(ISERROR(1/VLOOKUP($R286,Capa!$A:$AJ,BI$5,0)),0,1/VLOOKUP($R286,Capa!$A:$AJ,BI$5,0))))</f>
        <v/>
      </c>
      <c r="BJ286" s="174" t="str">
        <f>IF(BJ$6="","",IF(BJ$3="Maior",iferror(VLOOKUP($R286,Capa!$A:$AJ,BJ$5,0),0),IF(ISERROR(1/VLOOKUP($R286,Capa!$A:$AJ,BJ$5,0)),0,1/VLOOKUP($R286,Capa!$A:$AJ,BJ$5,0))))</f>
        <v/>
      </c>
      <c r="BK286" s="174" t="str">
        <f>IF(BK$6="","",IF(BK$3="Maior",iferror(VLOOKUP($R286,Capa!$A:$AJ,BK$5,0),0),IF(ISERROR(1/VLOOKUP($R286,Capa!$A:$AJ,BK$5,0)),0,1/VLOOKUP($R286,Capa!$A:$AJ,BK$5,0))))</f>
        <v/>
      </c>
      <c r="BL286" s="174" t="str">
        <f>IF(BL$6="","",IF(BL$3="Maior",iferror(VLOOKUP($R286,Capa!$A:$AJ,BL$5,0),0),IF(ISERROR(1/VLOOKUP($R286,Capa!$A:$AJ,BL$5,0)),0,1/VLOOKUP($R286,Capa!$A:$AJ,BL$5,0))))</f>
        <v/>
      </c>
      <c r="BM286" s="174" t="str">
        <f>IF(BM$6="","",IF(BM$3="Maior",iferror(VLOOKUP($R286,Capa!$A:$AJ,BM$5,0),0),IF(ISERROR(1/VLOOKUP($R286,Capa!$A:$AJ,BM$5,0)),0,1/VLOOKUP($R286,Capa!$A:$AJ,BM$5,0))))</f>
        <v/>
      </c>
      <c r="BN286" s="174" t="str">
        <f>IF(BN$6="","",IF(BN$3="Maior",iferror(VLOOKUP($R286,Capa!$A:$AJ,BN$5,0),0),IF(ISERROR(1/VLOOKUP($R286,Capa!$A:$AJ,BN$5,0)),0,1/VLOOKUP($R286,Capa!$A:$AJ,BN$5,0))))</f>
        <v/>
      </c>
      <c r="BO286" s="174" t="str">
        <f>IF(BO$6="","",IF(BO$3="Maior",iferror(VLOOKUP($R286,Capa!$A:$AJ,BO$5,0),0),IF(ISERROR(1/VLOOKUP($R286,Capa!$A:$AJ,BO$5,0)),0,1/VLOOKUP($R286,Capa!$A:$AJ,BO$5,0))))</f>
        <v/>
      </c>
      <c r="BP286" s="174" t="str">
        <f>IF(BP$6="","",IF(BP$3="Maior",iferror(VLOOKUP($R286,Capa!$A:$AJ,BP$5,0),0),IF(ISERROR(1/VLOOKUP($R286,Capa!$A:$AJ,BP$5,0)),0,1/VLOOKUP($R286,Capa!$A:$AJ,BP$5,0))))</f>
        <v/>
      </c>
      <c r="BQ286" s="174" t="str">
        <f>IF(BQ$6="","",IF(BQ$3="Maior",iferror(VLOOKUP($R286,Capa!$A:$AJ,BQ$5,0),0),IF(ISERROR(1/VLOOKUP($R286,Capa!$A:$AJ,BQ$5,0)),0,1/VLOOKUP($R286,Capa!$A:$AJ,BQ$5,0))))</f>
        <v/>
      </c>
      <c r="BR286" s="175"/>
      <c r="BS286" s="147"/>
    </row>
    <row r="287">
      <c r="G287" s="11"/>
      <c r="H287" s="8">
        <v>281.0</v>
      </c>
      <c r="I287" s="165" t="str">
        <f t="shared" si="6"/>
        <v>MODL4</v>
      </c>
      <c r="J287" s="166" t="str">
        <f>(VLOOKUP($I287,Capa!$A:$B,2,0))</f>
        <v/>
      </c>
      <c r="K287" s="167" t="str">
        <f>VLOOKUP(left(I287,4),Setor!A:D,3,0)&amp;" | "&amp;VLOOKUP(left(I287,4),Setor!A:D,4,0)</f>
        <v>#N/A</v>
      </c>
      <c r="L287" s="168" t="str">
        <f>(VLOOKUP($I287,Capa!$A:$F,6,0))</f>
        <v/>
      </c>
      <c r="M287" s="168">
        <f t="shared" si="7"/>
        <v>0</v>
      </c>
      <c r="N287" s="11" t="str">
        <f>(VLOOKUP($I287,Capa!$A:$H,7,0))</f>
        <v/>
      </c>
      <c r="O287" s="169" t="str">
        <f>(VLOOKUP($I287,Capa!$A:$H,8,0))</f>
        <v/>
      </c>
      <c r="P287" s="11" t="str">
        <f>(VLOOKUP($I287,Capa!$A:$J,10,0))</f>
        <v/>
      </c>
      <c r="Q287" s="169" t="str">
        <f>(VLOOKUP($I287,Capa!$A:$K,11,0))</f>
        <v/>
      </c>
      <c r="R287" s="45" t="str">
        <f>'Dados StatusInvest'!A282</f>
        <v>FTRT3B</v>
      </c>
      <c r="S287" s="170">
        <f t="shared" si="234"/>
        <v>1318.0318</v>
      </c>
      <c r="T287" s="171">
        <f>VLOOKUP(R287,'Dados StatusInvest'!A:Z,26,0)</f>
        <v>0</v>
      </c>
      <c r="U287" s="172">
        <f t="shared" ref="U287:AS287" si="290">IF(AT287="","", RANK(AT287,AT$7:AT$626,0)+RANK(AT287,AT$7:AT$626,0)/10000)</f>
        <v>51.0051</v>
      </c>
      <c r="V287" s="172">
        <f t="shared" si="290"/>
        <v>267.0267</v>
      </c>
      <c r="W287" s="172" t="str">
        <f t="shared" si="290"/>
        <v/>
      </c>
      <c r="X287" s="172" t="str">
        <f t="shared" si="290"/>
        <v/>
      </c>
      <c r="Y287" s="172" t="str">
        <f t="shared" si="290"/>
        <v/>
      </c>
      <c r="Z287" s="172" t="str">
        <f t="shared" si="290"/>
        <v/>
      </c>
      <c r="AA287" s="172" t="str">
        <f t="shared" si="290"/>
        <v/>
      </c>
      <c r="AB287" s="172" t="str">
        <f t="shared" si="290"/>
        <v/>
      </c>
      <c r="AC287" s="172" t="str">
        <f t="shared" si="290"/>
        <v/>
      </c>
      <c r="AD287" s="172" t="str">
        <f t="shared" si="290"/>
        <v/>
      </c>
      <c r="AE287" s="172" t="str">
        <f t="shared" si="290"/>
        <v/>
      </c>
      <c r="AF287" s="172" t="str">
        <f t="shared" si="290"/>
        <v/>
      </c>
      <c r="AG287" s="172" t="str">
        <f t="shared" si="290"/>
        <v/>
      </c>
      <c r="AH287" s="172" t="str">
        <f t="shared" si="290"/>
        <v/>
      </c>
      <c r="AI287" s="172" t="str">
        <f t="shared" si="290"/>
        <v/>
      </c>
      <c r="AJ287" s="172" t="str">
        <f t="shared" si="290"/>
        <v/>
      </c>
      <c r="AK287" s="172" t="str">
        <f t="shared" si="290"/>
        <v/>
      </c>
      <c r="AL287" s="172" t="str">
        <f t="shared" si="290"/>
        <v/>
      </c>
      <c r="AM287" s="172" t="str">
        <f t="shared" si="290"/>
        <v/>
      </c>
      <c r="AN287" s="172" t="str">
        <f t="shared" si="290"/>
        <v/>
      </c>
      <c r="AO287" s="172" t="str">
        <f t="shared" si="290"/>
        <v/>
      </c>
      <c r="AP287" s="172" t="str">
        <f t="shared" si="290"/>
        <v/>
      </c>
      <c r="AQ287" s="172" t="str">
        <f t="shared" si="290"/>
        <v/>
      </c>
      <c r="AR287" s="172" t="str">
        <f t="shared" si="290"/>
        <v/>
      </c>
      <c r="AS287" s="172" t="str">
        <f t="shared" si="290"/>
        <v/>
      </c>
      <c r="AT287" s="173">
        <f>IF(AT$6="","",IF(AT$3="Maior",iferror(VLOOKUP($R287,Capa!$A:$AJ,AT$5,0),0),IF(ISERROR(1/VLOOKUP($R287,Capa!$A:$AJ,AT$5,0)),0,1/VLOOKUP($R287,Capa!$A:$AJ,AT$5,0))))</f>
        <v>0</v>
      </c>
      <c r="AU287" s="174">
        <f>IF(AU$6="","",IF(AU$3="Maior",iferror(VLOOKUP($R287,Capa!$A:$AJ,AU$5,0),0),IF(ISERROR(1/VLOOKUP($R287,Capa!$A:$AJ,AU$5,0)),0,1/VLOOKUP($R287,Capa!$A:$AJ,AU$5,0))))</f>
        <v>0</v>
      </c>
      <c r="AV287" s="174" t="str">
        <f>IF(AV$6="","",IF(AV$3="Maior",iferror(VLOOKUP($R287,Capa!$A:$AJ,AV$5,0),0),IF(ISERROR(1/VLOOKUP($R287,Capa!$A:$AJ,AV$5,0)),0,1/VLOOKUP($R287,Capa!$A:$AJ,AV$5,0))))</f>
        <v/>
      </c>
      <c r="AW287" s="174" t="str">
        <f>IF(AW$6="","",IF(AW$3="Maior",iferror(VLOOKUP($R287,Capa!$A:$AJ,AW$5,0),0),IF(ISERROR(1/VLOOKUP($R287,Capa!$A:$AJ,AW$5,0)),0,1/VLOOKUP($R287,Capa!$A:$AJ,AW$5,0))))</f>
        <v/>
      </c>
      <c r="AX287" s="174" t="str">
        <f>IF(AX$6="","",IF(AX$3="Maior",iferror(VLOOKUP($R287,Capa!$A:$AJ,AX$5,0),0),IF(ISERROR(1/VLOOKUP($R287,Capa!$A:$AJ,AX$5,0)),0,1/VLOOKUP($R287,Capa!$A:$AJ,AX$5,0))))</f>
        <v/>
      </c>
      <c r="AY287" s="174" t="str">
        <f>IF(AY$6="","",IF(AY$3="Maior",iferror(VLOOKUP($R287,Capa!$A:$AJ,AY$5,0),0),IF(ISERROR(1/VLOOKUP($R287,Capa!$A:$AJ,AY$5,0)),0,1/VLOOKUP($R287,Capa!$A:$AJ,AY$5,0))))</f>
        <v/>
      </c>
      <c r="AZ287" s="174" t="str">
        <f>IF(AZ$6="","",IF(AZ$3="Maior",iferror(VLOOKUP($R287,Capa!$A:$AJ,AZ$5,0),0),IF(ISERROR(1/VLOOKUP($R287,Capa!$A:$AJ,AZ$5,0)),0,1/VLOOKUP($R287,Capa!$A:$AJ,AZ$5,0))))</f>
        <v/>
      </c>
      <c r="BA287" s="174" t="str">
        <f>IF(BA$6="","",IF(BA$3="Maior",iferror(VLOOKUP($R287,Capa!$A:$AJ,BA$5,0),0),IF(ISERROR(1/VLOOKUP($R287,Capa!$A:$AJ,BA$5,0)),0,1/VLOOKUP($R287,Capa!$A:$AJ,BA$5,0))))</f>
        <v/>
      </c>
      <c r="BB287" s="174" t="str">
        <f>IF(BB$6="","",IF(BB$3="Maior",iferror(VLOOKUP($R287,Capa!$A:$AJ,BB$5,0),0),IF(ISERROR(1/VLOOKUP($R287,Capa!$A:$AJ,BB$5,0)),0,1/VLOOKUP($R287,Capa!$A:$AJ,BB$5,0))))</f>
        <v/>
      </c>
      <c r="BC287" s="174" t="str">
        <f>IF(BC$6="","",IF(BC$3="Maior",iferror(VLOOKUP($R287,Capa!$A:$AJ,BC$5,0),0),IF(ISERROR(1/VLOOKUP($R287,Capa!$A:$AJ,BC$5,0)),0,1/VLOOKUP($R287,Capa!$A:$AJ,BC$5,0))))</f>
        <v/>
      </c>
      <c r="BD287" s="174" t="str">
        <f>IF(BD$6="","",IF(BD$3="Maior",iferror(VLOOKUP($R287,Capa!$A:$AJ,BD$5,0),0),IF(ISERROR(1/VLOOKUP($R287,Capa!$A:$AJ,BD$5,0)),0,1/VLOOKUP($R287,Capa!$A:$AJ,BD$5,0))))</f>
        <v/>
      </c>
      <c r="BE287" s="174" t="str">
        <f>IF(BE$6="","",IF(BE$3="Maior",iferror(VLOOKUP($R287,Capa!$A:$AJ,BE$5,0),0),IF(ISERROR(1/VLOOKUP($R287,Capa!$A:$AJ,BE$5,0)),0,1/VLOOKUP($R287,Capa!$A:$AJ,BE$5,0))))</f>
        <v/>
      </c>
      <c r="BF287" s="174" t="str">
        <f>IF(BF$6="","",IF(BF$3="Maior",iferror(VLOOKUP($R287,Capa!$A:$AJ,BF$5,0),0),IF(ISERROR(1/VLOOKUP($R287,Capa!$A:$AJ,BF$5,0)),0,1/VLOOKUP($R287,Capa!$A:$AJ,BF$5,0))))</f>
        <v/>
      </c>
      <c r="BG287" s="174" t="str">
        <f>IF(BG$6="","",IF(BG$3="Maior",iferror(VLOOKUP($R287,Capa!$A:$AJ,BG$5,0),0),IF(ISERROR(1/VLOOKUP($R287,Capa!$A:$AJ,BG$5,0)),0,1/VLOOKUP($R287,Capa!$A:$AJ,BG$5,0))))</f>
        <v/>
      </c>
      <c r="BH287" s="174" t="str">
        <f>IF(BH$6="","",IF(BH$3="Maior",iferror(VLOOKUP($R287,Capa!$A:$AJ,BH$5,0),0),IF(ISERROR(1/VLOOKUP($R287,Capa!$A:$AJ,BH$5,0)),0,1/VLOOKUP($R287,Capa!$A:$AJ,BH$5,0))))</f>
        <v/>
      </c>
      <c r="BI287" s="174" t="str">
        <f>IF(BI$6="","",IF(BI$3="Maior",iferror(VLOOKUP($R287,Capa!$A:$AJ,BI$5,0),0),IF(ISERROR(1/VLOOKUP($R287,Capa!$A:$AJ,BI$5,0)),0,1/VLOOKUP($R287,Capa!$A:$AJ,BI$5,0))))</f>
        <v/>
      </c>
      <c r="BJ287" s="174" t="str">
        <f>IF(BJ$6="","",IF(BJ$3="Maior",iferror(VLOOKUP($R287,Capa!$A:$AJ,BJ$5,0),0),IF(ISERROR(1/VLOOKUP($R287,Capa!$A:$AJ,BJ$5,0)),0,1/VLOOKUP($R287,Capa!$A:$AJ,BJ$5,0))))</f>
        <v/>
      </c>
      <c r="BK287" s="174" t="str">
        <f>IF(BK$6="","",IF(BK$3="Maior",iferror(VLOOKUP($R287,Capa!$A:$AJ,BK$5,0),0),IF(ISERROR(1/VLOOKUP($R287,Capa!$A:$AJ,BK$5,0)),0,1/VLOOKUP($R287,Capa!$A:$AJ,BK$5,0))))</f>
        <v/>
      </c>
      <c r="BL287" s="174" t="str">
        <f>IF(BL$6="","",IF(BL$3="Maior",iferror(VLOOKUP($R287,Capa!$A:$AJ,BL$5,0),0),IF(ISERROR(1/VLOOKUP($R287,Capa!$A:$AJ,BL$5,0)),0,1/VLOOKUP($R287,Capa!$A:$AJ,BL$5,0))))</f>
        <v/>
      </c>
      <c r="BM287" s="174" t="str">
        <f>IF(BM$6="","",IF(BM$3="Maior",iferror(VLOOKUP($R287,Capa!$A:$AJ,BM$5,0),0),IF(ISERROR(1/VLOOKUP($R287,Capa!$A:$AJ,BM$5,0)),0,1/VLOOKUP($R287,Capa!$A:$AJ,BM$5,0))))</f>
        <v/>
      </c>
      <c r="BN287" s="174" t="str">
        <f>IF(BN$6="","",IF(BN$3="Maior",iferror(VLOOKUP($R287,Capa!$A:$AJ,BN$5,0),0),IF(ISERROR(1/VLOOKUP($R287,Capa!$A:$AJ,BN$5,0)),0,1/VLOOKUP($R287,Capa!$A:$AJ,BN$5,0))))</f>
        <v/>
      </c>
      <c r="BO287" s="174" t="str">
        <f>IF(BO$6="","",IF(BO$3="Maior",iferror(VLOOKUP($R287,Capa!$A:$AJ,BO$5,0),0),IF(ISERROR(1/VLOOKUP($R287,Capa!$A:$AJ,BO$5,0)),0,1/VLOOKUP($R287,Capa!$A:$AJ,BO$5,0))))</f>
        <v/>
      </c>
      <c r="BP287" s="174" t="str">
        <f>IF(BP$6="","",IF(BP$3="Maior",iferror(VLOOKUP($R287,Capa!$A:$AJ,BP$5,0),0),IF(ISERROR(1/VLOOKUP($R287,Capa!$A:$AJ,BP$5,0)),0,1/VLOOKUP($R287,Capa!$A:$AJ,BP$5,0))))</f>
        <v/>
      </c>
      <c r="BQ287" s="174" t="str">
        <f>IF(BQ$6="","",IF(BQ$3="Maior",iferror(VLOOKUP($R287,Capa!$A:$AJ,BQ$5,0),0),IF(ISERROR(1/VLOOKUP($R287,Capa!$A:$AJ,BQ$5,0)),0,1/VLOOKUP($R287,Capa!$A:$AJ,BQ$5,0))))</f>
        <v/>
      </c>
      <c r="BR287" s="175"/>
      <c r="BS287" s="147"/>
    </row>
    <row r="288">
      <c r="G288" s="11"/>
      <c r="H288" s="8">
        <v>282.0</v>
      </c>
      <c r="I288" s="165" t="str">
        <f t="shared" si="6"/>
        <v>MODL11</v>
      </c>
      <c r="J288" s="166" t="str">
        <f>(VLOOKUP($I288,Capa!$A:$B,2,0))</f>
        <v/>
      </c>
      <c r="K288" s="167" t="str">
        <f>VLOOKUP(left(I288,4),Setor!A:D,3,0)&amp;" | "&amp;VLOOKUP(left(I288,4),Setor!A:D,4,0)</f>
        <v>#N/A</v>
      </c>
      <c r="L288" s="168" t="str">
        <f>(VLOOKUP($I288,Capa!$A:$F,6,0))</f>
        <v/>
      </c>
      <c r="M288" s="168">
        <f t="shared" si="7"/>
        <v>0</v>
      </c>
      <c r="N288" s="11" t="str">
        <f>(VLOOKUP($I288,Capa!$A:$H,7,0))</f>
        <v/>
      </c>
      <c r="O288" s="169" t="str">
        <f>(VLOOKUP($I288,Capa!$A:$H,8,0))</f>
        <v/>
      </c>
      <c r="P288" s="11" t="str">
        <f>(VLOOKUP($I288,Capa!$A:$J,10,0))</f>
        <v/>
      </c>
      <c r="Q288" s="169" t="str">
        <f>(VLOOKUP($I288,Capa!$A:$K,11,0))</f>
        <v/>
      </c>
      <c r="R288" s="45" t="str">
        <f>'Dados StatusInvest'!A283</f>
        <v>G2DI33</v>
      </c>
      <c r="S288" s="170">
        <f t="shared" si="234"/>
        <v>1791.0791</v>
      </c>
      <c r="T288" s="171">
        <f>VLOOKUP(R288,'Dados StatusInvest'!A:Z,26,0)</f>
        <v>65478.62</v>
      </c>
      <c r="U288" s="172">
        <f t="shared" ref="U288:AS288" si="291">IF(AT288="","", RANK(AT288,AT$7:AT$626,0)+RANK(AT288,AT$7:AT$626,0)/10000)</f>
        <v>524.0524</v>
      </c>
      <c r="V288" s="172">
        <f t="shared" si="291"/>
        <v>267.0267</v>
      </c>
      <c r="W288" s="172" t="str">
        <f t="shared" si="291"/>
        <v/>
      </c>
      <c r="X288" s="172" t="str">
        <f t="shared" si="291"/>
        <v/>
      </c>
      <c r="Y288" s="172" t="str">
        <f t="shared" si="291"/>
        <v/>
      </c>
      <c r="Z288" s="172" t="str">
        <f t="shared" si="291"/>
        <v/>
      </c>
      <c r="AA288" s="172" t="str">
        <f t="shared" si="291"/>
        <v/>
      </c>
      <c r="AB288" s="172" t="str">
        <f t="shared" si="291"/>
        <v/>
      </c>
      <c r="AC288" s="172" t="str">
        <f t="shared" si="291"/>
        <v/>
      </c>
      <c r="AD288" s="172" t="str">
        <f t="shared" si="291"/>
        <v/>
      </c>
      <c r="AE288" s="172" t="str">
        <f t="shared" si="291"/>
        <v/>
      </c>
      <c r="AF288" s="172" t="str">
        <f t="shared" si="291"/>
        <v/>
      </c>
      <c r="AG288" s="172" t="str">
        <f t="shared" si="291"/>
        <v/>
      </c>
      <c r="AH288" s="172" t="str">
        <f t="shared" si="291"/>
        <v/>
      </c>
      <c r="AI288" s="172" t="str">
        <f t="shared" si="291"/>
        <v/>
      </c>
      <c r="AJ288" s="172" t="str">
        <f t="shared" si="291"/>
        <v/>
      </c>
      <c r="AK288" s="172" t="str">
        <f t="shared" si="291"/>
        <v/>
      </c>
      <c r="AL288" s="172" t="str">
        <f t="shared" si="291"/>
        <v/>
      </c>
      <c r="AM288" s="172" t="str">
        <f t="shared" si="291"/>
        <v/>
      </c>
      <c r="AN288" s="172" t="str">
        <f t="shared" si="291"/>
        <v/>
      </c>
      <c r="AO288" s="172" t="str">
        <f t="shared" si="291"/>
        <v/>
      </c>
      <c r="AP288" s="172" t="str">
        <f t="shared" si="291"/>
        <v/>
      </c>
      <c r="AQ288" s="172" t="str">
        <f t="shared" si="291"/>
        <v/>
      </c>
      <c r="AR288" s="172" t="str">
        <f t="shared" si="291"/>
        <v/>
      </c>
      <c r="AS288" s="172" t="str">
        <f t="shared" si="291"/>
        <v/>
      </c>
      <c r="AT288" s="173">
        <f>IF(AT$6="","",IF(AT$3="Maior",iferror(VLOOKUP($R288,Capa!$A:$AJ,AT$5,0),0),IF(ISERROR(1/VLOOKUP($R288,Capa!$A:$AJ,AT$5,0)),0,1/VLOOKUP($R288,Capa!$A:$AJ,AT$5,0))))</f>
        <v>-4.166666667</v>
      </c>
      <c r="AU288" s="174">
        <f>IF(AU$6="","",IF(AU$3="Maior",iferror(VLOOKUP($R288,Capa!$A:$AJ,AU$5,0),0),IF(ISERROR(1/VLOOKUP($R288,Capa!$A:$AJ,AU$5,0)),0,1/VLOOKUP($R288,Capa!$A:$AJ,AU$5,0))))</f>
        <v>0</v>
      </c>
      <c r="AV288" s="174" t="str">
        <f>IF(AV$6="","",IF(AV$3="Maior",iferror(VLOOKUP($R288,Capa!$A:$AJ,AV$5,0),0),IF(ISERROR(1/VLOOKUP($R288,Capa!$A:$AJ,AV$5,0)),0,1/VLOOKUP($R288,Capa!$A:$AJ,AV$5,0))))</f>
        <v/>
      </c>
      <c r="AW288" s="174" t="str">
        <f>IF(AW$6="","",IF(AW$3="Maior",iferror(VLOOKUP($R288,Capa!$A:$AJ,AW$5,0),0),IF(ISERROR(1/VLOOKUP($R288,Capa!$A:$AJ,AW$5,0)),0,1/VLOOKUP($R288,Capa!$A:$AJ,AW$5,0))))</f>
        <v/>
      </c>
      <c r="AX288" s="174" t="str">
        <f>IF(AX$6="","",IF(AX$3="Maior",iferror(VLOOKUP($R288,Capa!$A:$AJ,AX$5,0),0),IF(ISERROR(1/VLOOKUP($R288,Capa!$A:$AJ,AX$5,0)),0,1/VLOOKUP($R288,Capa!$A:$AJ,AX$5,0))))</f>
        <v/>
      </c>
      <c r="AY288" s="174" t="str">
        <f>IF(AY$6="","",IF(AY$3="Maior",iferror(VLOOKUP($R288,Capa!$A:$AJ,AY$5,0),0),IF(ISERROR(1/VLOOKUP($R288,Capa!$A:$AJ,AY$5,0)),0,1/VLOOKUP($R288,Capa!$A:$AJ,AY$5,0))))</f>
        <v/>
      </c>
      <c r="AZ288" s="174" t="str">
        <f>IF(AZ$6="","",IF(AZ$3="Maior",iferror(VLOOKUP($R288,Capa!$A:$AJ,AZ$5,0),0),IF(ISERROR(1/VLOOKUP($R288,Capa!$A:$AJ,AZ$5,0)),0,1/VLOOKUP($R288,Capa!$A:$AJ,AZ$5,0))))</f>
        <v/>
      </c>
      <c r="BA288" s="174" t="str">
        <f>IF(BA$6="","",IF(BA$3="Maior",iferror(VLOOKUP($R288,Capa!$A:$AJ,BA$5,0),0),IF(ISERROR(1/VLOOKUP($R288,Capa!$A:$AJ,BA$5,0)),0,1/VLOOKUP($R288,Capa!$A:$AJ,BA$5,0))))</f>
        <v/>
      </c>
      <c r="BB288" s="174" t="str">
        <f>IF(BB$6="","",IF(BB$3="Maior",iferror(VLOOKUP($R288,Capa!$A:$AJ,BB$5,0),0),IF(ISERROR(1/VLOOKUP($R288,Capa!$A:$AJ,BB$5,0)),0,1/VLOOKUP($R288,Capa!$A:$AJ,BB$5,0))))</f>
        <v/>
      </c>
      <c r="BC288" s="174" t="str">
        <f>IF(BC$6="","",IF(BC$3="Maior",iferror(VLOOKUP($R288,Capa!$A:$AJ,BC$5,0),0),IF(ISERROR(1/VLOOKUP($R288,Capa!$A:$AJ,BC$5,0)),0,1/VLOOKUP($R288,Capa!$A:$AJ,BC$5,0))))</f>
        <v/>
      </c>
      <c r="BD288" s="174" t="str">
        <f>IF(BD$6="","",IF(BD$3="Maior",iferror(VLOOKUP($R288,Capa!$A:$AJ,BD$5,0),0),IF(ISERROR(1/VLOOKUP($R288,Capa!$A:$AJ,BD$5,0)),0,1/VLOOKUP($R288,Capa!$A:$AJ,BD$5,0))))</f>
        <v/>
      </c>
      <c r="BE288" s="174" t="str">
        <f>IF(BE$6="","",IF(BE$3="Maior",iferror(VLOOKUP($R288,Capa!$A:$AJ,BE$5,0),0),IF(ISERROR(1/VLOOKUP($R288,Capa!$A:$AJ,BE$5,0)),0,1/VLOOKUP($R288,Capa!$A:$AJ,BE$5,0))))</f>
        <v/>
      </c>
      <c r="BF288" s="174" t="str">
        <f>IF(BF$6="","",IF(BF$3="Maior",iferror(VLOOKUP($R288,Capa!$A:$AJ,BF$5,0),0),IF(ISERROR(1/VLOOKUP($R288,Capa!$A:$AJ,BF$5,0)),0,1/VLOOKUP($R288,Capa!$A:$AJ,BF$5,0))))</f>
        <v/>
      </c>
      <c r="BG288" s="174" t="str">
        <f>IF(BG$6="","",IF(BG$3="Maior",iferror(VLOOKUP($R288,Capa!$A:$AJ,BG$5,0),0),IF(ISERROR(1/VLOOKUP($R288,Capa!$A:$AJ,BG$5,0)),0,1/VLOOKUP($R288,Capa!$A:$AJ,BG$5,0))))</f>
        <v/>
      </c>
      <c r="BH288" s="174" t="str">
        <f>IF(BH$6="","",IF(BH$3="Maior",iferror(VLOOKUP($R288,Capa!$A:$AJ,BH$5,0),0),IF(ISERROR(1/VLOOKUP($R288,Capa!$A:$AJ,BH$5,0)),0,1/VLOOKUP($R288,Capa!$A:$AJ,BH$5,0))))</f>
        <v/>
      </c>
      <c r="BI288" s="174" t="str">
        <f>IF(BI$6="","",IF(BI$3="Maior",iferror(VLOOKUP($R288,Capa!$A:$AJ,BI$5,0),0),IF(ISERROR(1/VLOOKUP($R288,Capa!$A:$AJ,BI$5,0)),0,1/VLOOKUP($R288,Capa!$A:$AJ,BI$5,0))))</f>
        <v/>
      </c>
      <c r="BJ288" s="174" t="str">
        <f>IF(BJ$6="","",IF(BJ$3="Maior",iferror(VLOOKUP($R288,Capa!$A:$AJ,BJ$5,0),0),IF(ISERROR(1/VLOOKUP($R288,Capa!$A:$AJ,BJ$5,0)),0,1/VLOOKUP($R288,Capa!$A:$AJ,BJ$5,0))))</f>
        <v/>
      </c>
      <c r="BK288" s="174" t="str">
        <f>IF(BK$6="","",IF(BK$3="Maior",iferror(VLOOKUP($R288,Capa!$A:$AJ,BK$5,0),0),IF(ISERROR(1/VLOOKUP($R288,Capa!$A:$AJ,BK$5,0)),0,1/VLOOKUP($R288,Capa!$A:$AJ,BK$5,0))))</f>
        <v/>
      </c>
      <c r="BL288" s="174" t="str">
        <f>IF(BL$6="","",IF(BL$3="Maior",iferror(VLOOKUP($R288,Capa!$A:$AJ,BL$5,0),0),IF(ISERROR(1/VLOOKUP($R288,Capa!$A:$AJ,BL$5,0)),0,1/VLOOKUP($R288,Capa!$A:$AJ,BL$5,0))))</f>
        <v/>
      </c>
      <c r="BM288" s="174" t="str">
        <f>IF(BM$6="","",IF(BM$3="Maior",iferror(VLOOKUP($R288,Capa!$A:$AJ,BM$5,0),0),IF(ISERROR(1/VLOOKUP($R288,Capa!$A:$AJ,BM$5,0)),0,1/VLOOKUP($R288,Capa!$A:$AJ,BM$5,0))))</f>
        <v/>
      </c>
      <c r="BN288" s="174" t="str">
        <f>IF(BN$6="","",IF(BN$3="Maior",iferror(VLOOKUP($R288,Capa!$A:$AJ,BN$5,0),0),IF(ISERROR(1/VLOOKUP($R288,Capa!$A:$AJ,BN$5,0)),0,1/VLOOKUP($R288,Capa!$A:$AJ,BN$5,0))))</f>
        <v/>
      </c>
      <c r="BO288" s="174" t="str">
        <f>IF(BO$6="","",IF(BO$3="Maior",iferror(VLOOKUP($R288,Capa!$A:$AJ,BO$5,0),0),IF(ISERROR(1/VLOOKUP($R288,Capa!$A:$AJ,BO$5,0)),0,1/VLOOKUP($R288,Capa!$A:$AJ,BO$5,0))))</f>
        <v/>
      </c>
      <c r="BP288" s="174" t="str">
        <f>IF(BP$6="","",IF(BP$3="Maior",iferror(VLOOKUP($R288,Capa!$A:$AJ,BP$5,0),0),IF(ISERROR(1/VLOOKUP($R288,Capa!$A:$AJ,BP$5,0)),0,1/VLOOKUP($R288,Capa!$A:$AJ,BP$5,0))))</f>
        <v/>
      </c>
      <c r="BQ288" s="174" t="str">
        <f>IF(BQ$6="","",IF(BQ$3="Maior",iferror(VLOOKUP($R288,Capa!$A:$AJ,BQ$5,0),0),IF(ISERROR(1/VLOOKUP($R288,Capa!$A:$AJ,BQ$5,0)),0,1/VLOOKUP($R288,Capa!$A:$AJ,BQ$5,0))))</f>
        <v/>
      </c>
      <c r="BR288" s="175"/>
      <c r="BS288" s="147"/>
    </row>
    <row r="289">
      <c r="G289" s="11"/>
      <c r="H289" s="8">
        <v>283.0</v>
      </c>
      <c r="I289" s="165" t="str">
        <f t="shared" si="6"/>
        <v>MODL3</v>
      </c>
      <c r="J289" s="166" t="str">
        <f>(VLOOKUP($I289,Capa!$A:$B,2,0))</f>
        <v/>
      </c>
      <c r="K289" s="167" t="str">
        <f>VLOOKUP(left(I289,4),Setor!A:D,3,0)&amp;" | "&amp;VLOOKUP(left(I289,4),Setor!A:D,4,0)</f>
        <v>#N/A</v>
      </c>
      <c r="L289" s="168" t="str">
        <f>(VLOOKUP($I289,Capa!$A:$F,6,0))</f>
        <v/>
      </c>
      <c r="M289" s="168">
        <f t="shared" si="7"/>
        <v>0</v>
      </c>
      <c r="N289" s="11" t="str">
        <f>(VLOOKUP($I289,Capa!$A:$H,7,0))</f>
        <v/>
      </c>
      <c r="O289" s="169" t="str">
        <f>(VLOOKUP($I289,Capa!$A:$H,8,0))</f>
        <v/>
      </c>
      <c r="P289" s="11" t="str">
        <f>(VLOOKUP($I289,Capa!$A:$J,10,0))</f>
        <v/>
      </c>
      <c r="Q289" s="169" t="str">
        <f>(VLOOKUP($I289,Capa!$A:$K,11,0))</f>
        <v/>
      </c>
      <c r="R289" s="45" t="str">
        <f>'Dados StatusInvest'!A284</f>
        <v>GBIO33</v>
      </c>
      <c r="S289" s="170">
        <f t="shared" si="234"/>
        <v>1422.0422</v>
      </c>
      <c r="T289" s="171">
        <f>VLOOKUP(R289,'Dados StatusInvest'!A:Z,26,0)</f>
        <v>0</v>
      </c>
      <c r="U289" s="172">
        <f t="shared" ref="U289:AS289" si="292">IF(AT289="","", RANK(AT289,AT$7:AT$626,0)+RANK(AT289,AT$7:AT$626,0)/10000)</f>
        <v>155.0155</v>
      </c>
      <c r="V289" s="172">
        <f t="shared" si="292"/>
        <v>267.0267</v>
      </c>
      <c r="W289" s="172" t="str">
        <f t="shared" si="292"/>
        <v/>
      </c>
      <c r="X289" s="172" t="str">
        <f t="shared" si="292"/>
        <v/>
      </c>
      <c r="Y289" s="172" t="str">
        <f t="shared" si="292"/>
        <v/>
      </c>
      <c r="Z289" s="172" t="str">
        <f t="shared" si="292"/>
        <v/>
      </c>
      <c r="AA289" s="172" t="str">
        <f t="shared" si="292"/>
        <v/>
      </c>
      <c r="AB289" s="172" t="str">
        <f t="shared" si="292"/>
        <v/>
      </c>
      <c r="AC289" s="172" t="str">
        <f t="shared" si="292"/>
        <v/>
      </c>
      <c r="AD289" s="172" t="str">
        <f t="shared" si="292"/>
        <v/>
      </c>
      <c r="AE289" s="172" t="str">
        <f t="shared" si="292"/>
        <v/>
      </c>
      <c r="AF289" s="172" t="str">
        <f t="shared" si="292"/>
        <v/>
      </c>
      <c r="AG289" s="172" t="str">
        <f t="shared" si="292"/>
        <v/>
      </c>
      <c r="AH289" s="172" t="str">
        <f t="shared" si="292"/>
        <v/>
      </c>
      <c r="AI289" s="172" t="str">
        <f t="shared" si="292"/>
        <v/>
      </c>
      <c r="AJ289" s="172" t="str">
        <f t="shared" si="292"/>
        <v/>
      </c>
      <c r="AK289" s="172" t="str">
        <f t="shared" si="292"/>
        <v/>
      </c>
      <c r="AL289" s="172" t="str">
        <f t="shared" si="292"/>
        <v/>
      </c>
      <c r="AM289" s="172" t="str">
        <f t="shared" si="292"/>
        <v/>
      </c>
      <c r="AN289" s="172" t="str">
        <f t="shared" si="292"/>
        <v/>
      </c>
      <c r="AO289" s="172" t="str">
        <f t="shared" si="292"/>
        <v/>
      </c>
      <c r="AP289" s="172" t="str">
        <f t="shared" si="292"/>
        <v/>
      </c>
      <c r="AQ289" s="172" t="str">
        <f t="shared" si="292"/>
        <v/>
      </c>
      <c r="AR289" s="172" t="str">
        <f t="shared" si="292"/>
        <v/>
      </c>
      <c r="AS289" s="172" t="str">
        <f t="shared" si="292"/>
        <v/>
      </c>
      <c r="AT289" s="173">
        <f>IF(AT$6="","",IF(AT$3="Maior",iferror(VLOOKUP($R289,Capa!$A:$AJ,AT$5,0),0),IF(ISERROR(1/VLOOKUP($R289,Capa!$A:$AJ,AT$5,0)),0,1/VLOOKUP($R289,Capa!$A:$AJ,AT$5,0))))</f>
        <v>-0.1111111111</v>
      </c>
      <c r="AU289" s="174">
        <f>IF(AU$6="","",IF(AU$3="Maior",iferror(VLOOKUP($R289,Capa!$A:$AJ,AU$5,0),0),IF(ISERROR(1/VLOOKUP($R289,Capa!$A:$AJ,AU$5,0)),0,1/VLOOKUP($R289,Capa!$A:$AJ,AU$5,0))))</f>
        <v>0</v>
      </c>
      <c r="AV289" s="174" t="str">
        <f>IF(AV$6="","",IF(AV$3="Maior",iferror(VLOOKUP($R289,Capa!$A:$AJ,AV$5,0),0),IF(ISERROR(1/VLOOKUP($R289,Capa!$A:$AJ,AV$5,0)),0,1/VLOOKUP($R289,Capa!$A:$AJ,AV$5,0))))</f>
        <v/>
      </c>
      <c r="AW289" s="174" t="str">
        <f>IF(AW$6="","",IF(AW$3="Maior",iferror(VLOOKUP($R289,Capa!$A:$AJ,AW$5,0),0),IF(ISERROR(1/VLOOKUP($R289,Capa!$A:$AJ,AW$5,0)),0,1/VLOOKUP($R289,Capa!$A:$AJ,AW$5,0))))</f>
        <v/>
      </c>
      <c r="AX289" s="174" t="str">
        <f>IF(AX$6="","",IF(AX$3="Maior",iferror(VLOOKUP($R289,Capa!$A:$AJ,AX$5,0),0),IF(ISERROR(1/VLOOKUP($R289,Capa!$A:$AJ,AX$5,0)),0,1/VLOOKUP($R289,Capa!$A:$AJ,AX$5,0))))</f>
        <v/>
      </c>
      <c r="AY289" s="174" t="str">
        <f>IF(AY$6="","",IF(AY$3="Maior",iferror(VLOOKUP($R289,Capa!$A:$AJ,AY$5,0),0),IF(ISERROR(1/VLOOKUP($R289,Capa!$A:$AJ,AY$5,0)),0,1/VLOOKUP($R289,Capa!$A:$AJ,AY$5,0))))</f>
        <v/>
      </c>
      <c r="AZ289" s="174" t="str">
        <f>IF(AZ$6="","",IF(AZ$3="Maior",iferror(VLOOKUP($R289,Capa!$A:$AJ,AZ$5,0),0),IF(ISERROR(1/VLOOKUP($R289,Capa!$A:$AJ,AZ$5,0)),0,1/VLOOKUP($R289,Capa!$A:$AJ,AZ$5,0))))</f>
        <v/>
      </c>
      <c r="BA289" s="174" t="str">
        <f>IF(BA$6="","",IF(BA$3="Maior",iferror(VLOOKUP($R289,Capa!$A:$AJ,BA$5,0),0),IF(ISERROR(1/VLOOKUP($R289,Capa!$A:$AJ,BA$5,0)),0,1/VLOOKUP($R289,Capa!$A:$AJ,BA$5,0))))</f>
        <v/>
      </c>
      <c r="BB289" s="174" t="str">
        <f>IF(BB$6="","",IF(BB$3="Maior",iferror(VLOOKUP($R289,Capa!$A:$AJ,BB$5,0),0),IF(ISERROR(1/VLOOKUP($R289,Capa!$A:$AJ,BB$5,0)),0,1/VLOOKUP($R289,Capa!$A:$AJ,BB$5,0))))</f>
        <v/>
      </c>
      <c r="BC289" s="174" t="str">
        <f>IF(BC$6="","",IF(BC$3="Maior",iferror(VLOOKUP($R289,Capa!$A:$AJ,BC$5,0),0),IF(ISERROR(1/VLOOKUP($R289,Capa!$A:$AJ,BC$5,0)),0,1/VLOOKUP($R289,Capa!$A:$AJ,BC$5,0))))</f>
        <v/>
      </c>
      <c r="BD289" s="174" t="str">
        <f>IF(BD$6="","",IF(BD$3="Maior",iferror(VLOOKUP($R289,Capa!$A:$AJ,BD$5,0),0),IF(ISERROR(1/VLOOKUP($R289,Capa!$A:$AJ,BD$5,0)),0,1/VLOOKUP($R289,Capa!$A:$AJ,BD$5,0))))</f>
        <v/>
      </c>
      <c r="BE289" s="174" t="str">
        <f>IF(BE$6="","",IF(BE$3="Maior",iferror(VLOOKUP($R289,Capa!$A:$AJ,BE$5,0),0),IF(ISERROR(1/VLOOKUP($R289,Capa!$A:$AJ,BE$5,0)),0,1/VLOOKUP($R289,Capa!$A:$AJ,BE$5,0))))</f>
        <v/>
      </c>
      <c r="BF289" s="174" t="str">
        <f>IF(BF$6="","",IF(BF$3="Maior",iferror(VLOOKUP($R289,Capa!$A:$AJ,BF$5,0),0),IF(ISERROR(1/VLOOKUP($R289,Capa!$A:$AJ,BF$5,0)),0,1/VLOOKUP($R289,Capa!$A:$AJ,BF$5,0))))</f>
        <v/>
      </c>
      <c r="BG289" s="174" t="str">
        <f>IF(BG$6="","",IF(BG$3="Maior",iferror(VLOOKUP($R289,Capa!$A:$AJ,BG$5,0),0),IF(ISERROR(1/VLOOKUP($R289,Capa!$A:$AJ,BG$5,0)),0,1/VLOOKUP($R289,Capa!$A:$AJ,BG$5,0))))</f>
        <v/>
      </c>
      <c r="BH289" s="174" t="str">
        <f>IF(BH$6="","",IF(BH$3="Maior",iferror(VLOOKUP($R289,Capa!$A:$AJ,BH$5,0),0),IF(ISERROR(1/VLOOKUP($R289,Capa!$A:$AJ,BH$5,0)),0,1/VLOOKUP($R289,Capa!$A:$AJ,BH$5,0))))</f>
        <v/>
      </c>
      <c r="BI289" s="174" t="str">
        <f>IF(BI$6="","",IF(BI$3="Maior",iferror(VLOOKUP($R289,Capa!$A:$AJ,BI$5,0),0),IF(ISERROR(1/VLOOKUP($R289,Capa!$A:$AJ,BI$5,0)),0,1/VLOOKUP($R289,Capa!$A:$AJ,BI$5,0))))</f>
        <v/>
      </c>
      <c r="BJ289" s="174" t="str">
        <f>IF(BJ$6="","",IF(BJ$3="Maior",iferror(VLOOKUP($R289,Capa!$A:$AJ,BJ$5,0),0),IF(ISERROR(1/VLOOKUP($R289,Capa!$A:$AJ,BJ$5,0)),0,1/VLOOKUP($R289,Capa!$A:$AJ,BJ$5,0))))</f>
        <v/>
      </c>
      <c r="BK289" s="174" t="str">
        <f>IF(BK$6="","",IF(BK$3="Maior",iferror(VLOOKUP($R289,Capa!$A:$AJ,BK$5,0),0),IF(ISERROR(1/VLOOKUP($R289,Capa!$A:$AJ,BK$5,0)),0,1/VLOOKUP($R289,Capa!$A:$AJ,BK$5,0))))</f>
        <v/>
      </c>
      <c r="BL289" s="174" t="str">
        <f>IF(BL$6="","",IF(BL$3="Maior",iferror(VLOOKUP($R289,Capa!$A:$AJ,BL$5,0),0),IF(ISERROR(1/VLOOKUP($R289,Capa!$A:$AJ,BL$5,0)),0,1/VLOOKUP($R289,Capa!$A:$AJ,BL$5,0))))</f>
        <v/>
      </c>
      <c r="BM289" s="174" t="str">
        <f>IF(BM$6="","",IF(BM$3="Maior",iferror(VLOOKUP($R289,Capa!$A:$AJ,BM$5,0),0),IF(ISERROR(1/VLOOKUP($R289,Capa!$A:$AJ,BM$5,0)),0,1/VLOOKUP($R289,Capa!$A:$AJ,BM$5,0))))</f>
        <v/>
      </c>
      <c r="BN289" s="174" t="str">
        <f>IF(BN$6="","",IF(BN$3="Maior",iferror(VLOOKUP($R289,Capa!$A:$AJ,BN$5,0),0),IF(ISERROR(1/VLOOKUP($R289,Capa!$A:$AJ,BN$5,0)),0,1/VLOOKUP($R289,Capa!$A:$AJ,BN$5,0))))</f>
        <v/>
      </c>
      <c r="BO289" s="174" t="str">
        <f>IF(BO$6="","",IF(BO$3="Maior",iferror(VLOOKUP($R289,Capa!$A:$AJ,BO$5,0),0),IF(ISERROR(1/VLOOKUP($R289,Capa!$A:$AJ,BO$5,0)),0,1/VLOOKUP($R289,Capa!$A:$AJ,BO$5,0))))</f>
        <v/>
      </c>
      <c r="BP289" s="174" t="str">
        <f>IF(BP$6="","",IF(BP$3="Maior",iferror(VLOOKUP($R289,Capa!$A:$AJ,BP$5,0),0),IF(ISERROR(1/VLOOKUP($R289,Capa!$A:$AJ,BP$5,0)),0,1/VLOOKUP($R289,Capa!$A:$AJ,BP$5,0))))</f>
        <v/>
      </c>
      <c r="BQ289" s="174" t="str">
        <f>IF(BQ$6="","",IF(BQ$3="Maior",iferror(VLOOKUP($R289,Capa!$A:$AJ,BQ$5,0),0),IF(ISERROR(1/VLOOKUP($R289,Capa!$A:$AJ,BQ$5,0)),0,1/VLOOKUP($R289,Capa!$A:$AJ,BQ$5,0))))</f>
        <v/>
      </c>
      <c r="BR289" s="175"/>
      <c r="BS289" s="147"/>
    </row>
    <row r="290">
      <c r="G290" s="11"/>
      <c r="H290" s="8">
        <v>284.0</v>
      </c>
      <c r="I290" s="165" t="str">
        <f t="shared" si="6"/>
        <v>BSEV3</v>
      </c>
      <c r="J290" s="166" t="str">
        <f>(VLOOKUP($I290,Capa!$A:$B,2,0))</f>
        <v/>
      </c>
      <c r="K290" s="167" t="str">
        <f>VLOOKUP(left(I290,4),Setor!A:D,3,0)&amp;" | "&amp;VLOOKUP(left(I290,4),Setor!A:D,4,0)</f>
        <v>Consumo não Cíclico | Alimentos Processados</v>
      </c>
      <c r="L290" s="168" t="str">
        <f>(VLOOKUP($I290,Capa!$A:$F,6,0))</f>
        <v/>
      </c>
      <c r="M290" s="168">
        <f t="shared" si="7"/>
        <v>0</v>
      </c>
      <c r="N290" s="11" t="str">
        <f>(VLOOKUP($I290,Capa!$A:$H,7,0))</f>
        <v/>
      </c>
      <c r="O290" s="169" t="str">
        <f>(VLOOKUP($I290,Capa!$A:$H,8,0))</f>
        <v/>
      </c>
      <c r="P290" s="11" t="str">
        <f>(VLOOKUP($I290,Capa!$A:$J,10,0))</f>
        <v/>
      </c>
      <c r="Q290" s="169" t="str">
        <f>(VLOOKUP($I290,Capa!$A:$K,11,0))</f>
        <v/>
      </c>
      <c r="R290" s="45" t="str">
        <f>'Dados StatusInvest'!A285</f>
        <v>GEPA3</v>
      </c>
      <c r="S290" s="170">
        <f t="shared" si="234"/>
        <v>1916.0916</v>
      </c>
      <c r="T290" s="171">
        <f>VLOOKUP(R290,'Dados StatusInvest'!A:Z,26,0)</f>
        <v>8229.73</v>
      </c>
      <c r="U290" s="172">
        <f t="shared" ref="U290:AS290" si="293">IF(AT290="","", RANK(AT290,AT$7:AT$626,0)+RANK(AT290,AT$7:AT$626,0)/10000)</f>
        <v>382.0382</v>
      </c>
      <c r="V290" s="172">
        <f t="shared" si="293"/>
        <v>534.0534</v>
      </c>
      <c r="W290" s="172" t="str">
        <f t="shared" si="293"/>
        <v/>
      </c>
      <c r="X290" s="172" t="str">
        <f t="shared" si="293"/>
        <v/>
      </c>
      <c r="Y290" s="172" t="str">
        <f t="shared" si="293"/>
        <v/>
      </c>
      <c r="Z290" s="172" t="str">
        <f t="shared" si="293"/>
        <v/>
      </c>
      <c r="AA290" s="172" t="str">
        <f t="shared" si="293"/>
        <v/>
      </c>
      <c r="AB290" s="172" t="str">
        <f t="shared" si="293"/>
        <v/>
      </c>
      <c r="AC290" s="172" t="str">
        <f t="shared" si="293"/>
        <v/>
      </c>
      <c r="AD290" s="172" t="str">
        <f t="shared" si="293"/>
        <v/>
      </c>
      <c r="AE290" s="172" t="str">
        <f t="shared" si="293"/>
        <v/>
      </c>
      <c r="AF290" s="172" t="str">
        <f t="shared" si="293"/>
        <v/>
      </c>
      <c r="AG290" s="172" t="str">
        <f t="shared" si="293"/>
        <v/>
      </c>
      <c r="AH290" s="172" t="str">
        <f t="shared" si="293"/>
        <v/>
      </c>
      <c r="AI290" s="172" t="str">
        <f t="shared" si="293"/>
        <v/>
      </c>
      <c r="AJ290" s="172" t="str">
        <f t="shared" si="293"/>
        <v/>
      </c>
      <c r="AK290" s="172" t="str">
        <f t="shared" si="293"/>
        <v/>
      </c>
      <c r="AL290" s="172" t="str">
        <f t="shared" si="293"/>
        <v/>
      </c>
      <c r="AM290" s="172" t="str">
        <f t="shared" si="293"/>
        <v/>
      </c>
      <c r="AN290" s="172" t="str">
        <f t="shared" si="293"/>
        <v/>
      </c>
      <c r="AO290" s="172" t="str">
        <f t="shared" si="293"/>
        <v/>
      </c>
      <c r="AP290" s="172" t="str">
        <f t="shared" si="293"/>
        <v/>
      </c>
      <c r="AQ290" s="172" t="str">
        <f t="shared" si="293"/>
        <v/>
      </c>
      <c r="AR290" s="172" t="str">
        <f t="shared" si="293"/>
        <v/>
      </c>
      <c r="AS290" s="172" t="str">
        <f t="shared" si="293"/>
        <v/>
      </c>
      <c r="AT290" s="173">
        <f>IF(AT$6="","",IF(AT$3="Maior",iferror(VLOOKUP($R290,Capa!$A:$AJ,AT$5,0),0),IF(ISERROR(1/VLOOKUP($R290,Capa!$A:$AJ,AT$5,0)),0,1/VLOOKUP($R290,Capa!$A:$AJ,AT$5,0))))</f>
        <v>-1.19047619</v>
      </c>
      <c r="AU290" s="174">
        <f>IF(AU$6="","",IF(AU$3="Maior",iferror(VLOOKUP($R290,Capa!$A:$AJ,AU$5,0),0),IF(ISERROR(1/VLOOKUP($R290,Capa!$A:$AJ,AU$5,0)),0,1/VLOOKUP($R290,Capa!$A:$AJ,AU$5,0))))</f>
        <v>-0.25</v>
      </c>
      <c r="AV290" s="174" t="str">
        <f>IF(AV$6="","",IF(AV$3="Maior",iferror(VLOOKUP($R290,Capa!$A:$AJ,AV$5,0),0),IF(ISERROR(1/VLOOKUP($R290,Capa!$A:$AJ,AV$5,0)),0,1/VLOOKUP($R290,Capa!$A:$AJ,AV$5,0))))</f>
        <v/>
      </c>
      <c r="AW290" s="174" t="str">
        <f>IF(AW$6="","",IF(AW$3="Maior",iferror(VLOOKUP($R290,Capa!$A:$AJ,AW$5,0),0),IF(ISERROR(1/VLOOKUP($R290,Capa!$A:$AJ,AW$5,0)),0,1/VLOOKUP($R290,Capa!$A:$AJ,AW$5,0))))</f>
        <v/>
      </c>
      <c r="AX290" s="174" t="str">
        <f>IF(AX$6="","",IF(AX$3="Maior",iferror(VLOOKUP($R290,Capa!$A:$AJ,AX$5,0),0),IF(ISERROR(1/VLOOKUP($R290,Capa!$A:$AJ,AX$5,0)),0,1/VLOOKUP($R290,Capa!$A:$AJ,AX$5,0))))</f>
        <v/>
      </c>
      <c r="AY290" s="174" t="str">
        <f>IF(AY$6="","",IF(AY$3="Maior",iferror(VLOOKUP($R290,Capa!$A:$AJ,AY$5,0),0),IF(ISERROR(1/VLOOKUP($R290,Capa!$A:$AJ,AY$5,0)),0,1/VLOOKUP($R290,Capa!$A:$AJ,AY$5,0))))</f>
        <v/>
      </c>
      <c r="AZ290" s="174" t="str">
        <f>IF(AZ$6="","",IF(AZ$3="Maior",iferror(VLOOKUP($R290,Capa!$A:$AJ,AZ$5,0),0),IF(ISERROR(1/VLOOKUP($R290,Capa!$A:$AJ,AZ$5,0)),0,1/VLOOKUP($R290,Capa!$A:$AJ,AZ$5,0))))</f>
        <v/>
      </c>
      <c r="BA290" s="174" t="str">
        <f>IF(BA$6="","",IF(BA$3="Maior",iferror(VLOOKUP($R290,Capa!$A:$AJ,BA$5,0),0),IF(ISERROR(1/VLOOKUP($R290,Capa!$A:$AJ,BA$5,0)),0,1/VLOOKUP($R290,Capa!$A:$AJ,BA$5,0))))</f>
        <v/>
      </c>
      <c r="BB290" s="174" t="str">
        <f>IF(BB$6="","",IF(BB$3="Maior",iferror(VLOOKUP($R290,Capa!$A:$AJ,BB$5,0),0),IF(ISERROR(1/VLOOKUP($R290,Capa!$A:$AJ,BB$5,0)),0,1/VLOOKUP($R290,Capa!$A:$AJ,BB$5,0))))</f>
        <v/>
      </c>
      <c r="BC290" s="174" t="str">
        <f>IF(BC$6="","",IF(BC$3="Maior",iferror(VLOOKUP($R290,Capa!$A:$AJ,BC$5,0),0),IF(ISERROR(1/VLOOKUP($R290,Capa!$A:$AJ,BC$5,0)),0,1/VLOOKUP($R290,Capa!$A:$AJ,BC$5,0))))</f>
        <v/>
      </c>
      <c r="BD290" s="174" t="str">
        <f>IF(BD$6="","",IF(BD$3="Maior",iferror(VLOOKUP($R290,Capa!$A:$AJ,BD$5,0),0),IF(ISERROR(1/VLOOKUP($R290,Capa!$A:$AJ,BD$5,0)),0,1/VLOOKUP($R290,Capa!$A:$AJ,BD$5,0))))</f>
        <v/>
      </c>
      <c r="BE290" s="174" t="str">
        <f>IF(BE$6="","",IF(BE$3="Maior",iferror(VLOOKUP($R290,Capa!$A:$AJ,BE$5,0),0),IF(ISERROR(1/VLOOKUP($R290,Capa!$A:$AJ,BE$5,0)),0,1/VLOOKUP($R290,Capa!$A:$AJ,BE$5,0))))</f>
        <v/>
      </c>
      <c r="BF290" s="174" t="str">
        <f>IF(BF$6="","",IF(BF$3="Maior",iferror(VLOOKUP($R290,Capa!$A:$AJ,BF$5,0),0),IF(ISERROR(1/VLOOKUP($R290,Capa!$A:$AJ,BF$5,0)),0,1/VLOOKUP($R290,Capa!$A:$AJ,BF$5,0))))</f>
        <v/>
      </c>
      <c r="BG290" s="174" t="str">
        <f>IF(BG$6="","",IF(BG$3="Maior",iferror(VLOOKUP($R290,Capa!$A:$AJ,BG$5,0),0),IF(ISERROR(1/VLOOKUP($R290,Capa!$A:$AJ,BG$5,0)),0,1/VLOOKUP($R290,Capa!$A:$AJ,BG$5,0))))</f>
        <v/>
      </c>
      <c r="BH290" s="174" t="str">
        <f>IF(BH$6="","",IF(BH$3="Maior",iferror(VLOOKUP($R290,Capa!$A:$AJ,BH$5,0),0),IF(ISERROR(1/VLOOKUP($R290,Capa!$A:$AJ,BH$5,0)),0,1/VLOOKUP($R290,Capa!$A:$AJ,BH$5,0))))</f>
        <v/>
      </c>
      <c r="BI290" s="174" t="str">
        <f>IF(BI$6="","",IF(BI$3="Maior",iferror(VLOOKUP($R290,Capa!$A:$AJ,BI$5,0),0),IF(ISERROR(1/VLOOKUP($R290,Capa!$A:$AJ,BI$5,0)),0,1/VLOOKUP($R290,Capa!$A:$AJ,BI$5,0))))</f>
        <v/>
      </c>
      <c r="BJ290" s="174" t="str">
        <f>IF(BJ$6="","",IF(BJ$3="Maior",iferror(VLOOKUP($R290,Capa!$A:$AJ,BJ$5,0),0),IF(ISERROR(1/VLOOKUP($R290,Capa!$A:$AJ,BJ$5,0)),0,1/VLOOKUP($R290,Capa!$A:$AJ,BJ$5,0))))</f>
        <v/>
      </c>
      <c r="BK290" s="174" t="str">
        <f>IF(BK$6="","",IF(BK$3="Maior",iferror(VLOOKUP($R290,Capa!$A:$AJ,BK$5,0),0),IF(ISERROR(1/VLOOKUP($R290,Capa!$A:$AJ,BK$5,0)),0,1/VLOOKUP($R290,Capa!$A:$AJ,BK$5,0))))</f>
        <v/>
      </c>
      <c r="BL290" s="174" t="str">
        <f>IF(BL$6="","",IF(BL$3="Maior",iferror(VLOOKUP($R290,Capa!$A:$AJ,BL$5,0),0),IF(ISERROR(1/VLOOKUP($R290,Capa!$A:$AJ,BL$5,0)),0,1/VLOOKUP($R290,Capa!$A:$AJ,BL$5,0))))</f>
        <v/>
      </c>
      <c r="BM290" s="174" t="str">
        <f>IF(BM$6="","",IF(BM$3="Maior",iferror(VLOOKUP($R290,Capa!$A:$AJ,BM$5,0),0),IF(ISERROR(1/VLOOKUP($R290,Capa!$A:$AJ,BM$5,0)),0,1/VLOOKUP($R290,Capa!$A:$AJ,BM$5,0))))</f>
        <v/>
      </c>
      <c r="BN290" s="174" t="str">
        <f>IF(BN$6="","",IF(BN$3="Maior",iferror(VLOOKUP($R290,Capa!$A:$AJ,BN$5,0),0),IF(ISERROR(1/VLOOKUP($R290,Capa!$A:$AJ,BN$5,0)),0,1/VLOOKUP($R290,Capa!$A:$AJ,BN$5,0))))</f>
        <v/>
      </c>
      <c r="BO290" s="174" t="str">
        <f>IF(BO$6="","",IF(BO$3="Maior",iferror(VLOOKUP($R290,Capa!$A:$AJ,BO$5,0),0),IF(ISERROR(1/VLOOKUP($R290,Capa!$A:$AJ,BO$5,0)),0,1/VLOOKUP($R290,Capa!$A:$AJ,BO$5,0))))</f>
        <v/>
      </c>
      <c r="BP290" s="174" t="str">
        <f>IF(BP$6="","",IF(BP$3="Maior",iferror(VLOOKUP($R290,Capa!$A:$AJ,BP$5,0),0),IF(ISERROR(1/VLOOKUP($R290,Capa!$A:$AJ,BP$5,0)),0,1/VLOOKUP($R290,Capa!$A:$AJ,BP$5,0))))</f>
        <v/>
      </c>
      <c r="BQ290" s="174" t="str">
        <f>IF(BQ$6="","",IF(BQ$3="Maior",iferror(VLOOKUP($R290,Capa!$A:$AJ,BQ$5,0),0),IF(ISERROR(1/VLOOKUP($R290,Capa!$A:$AJ,BQ$5,0)),0,1/VLOOKUP($R290,Capa!$A:$AJ,BQ$5,0))))</f>
        <v/>
      </c>
      <c r="BR290" s="175"/>
      <c r="BS290" s="147"/>
    </row>
    <row r="291">
      <c r="G291" s="11"/>
      <c r="H291" s="8">
        <v>285.0</v>
      </c>
      <c r="I291" s="165" t="str">
        <f t="shared" si="6"/>
        <v>BLUT3</v>
      </c>
      <c r="J291" s="166" t="str">
        <f>(VLOOKUP($I291,Capa!$A:$B,2,0))</f>
        <v/>
      </c>
      <c r="K291" s="167" t="str">
        <f>VLOOKUP(left(I291,4),Setor!A:D,3,0)&amp;" | "&amp;VLOOKUP(left(I291,4),Setor!A:D,4,0)</f>
        <v>#N/A</v>
      </c>
      <c r="L291" s="168" t="str">
        <f>(VLOOKUP($I291,Capa!$A:$F,6,0))</f>
        <v/>
      </c>
      <c r="M291" s="168">
        <f t="shared" si="7"/>
        <v>0</v>
      </c>
      <c r="N291" s="11" t="str">
        <f>(VLOOKUP($I291,Capa!$A:$H,7,0))</f>
        <v/>
      </c>
      <c r="O291" s="169" t="str">
        <f>(VLOOKUP($I291,Capa!$A:$H,8,0))</f>
        <v/>
      </c>
      <c r="P291" s="11" t="str">
        <f>(VLOOKUP($I291,Capa!$A:$J,10,0))</f>
        <v/>
      </c>
      <c r="Q291" s="169" t="str">
        <f>(VLOOKUP($I291,Capa!$A:$K,11,0))</f>
        <v/>
      </c>
      <c r="R291" s="45" t="str">
        <f>'Dados StatusInvest'!A286</f>
        <v>GEPA4</v>
      </c>
      <c r="S291" s="170">
        <f t="shared" si="234"/>
        <v>1900.09</v>
      </c>
      <c r="T291" s="171">
        <f>VLOOKUP(R291,'Dados StatusInvest'!A:Z,26,0)</f>
        <v>24048.1</v>
      </c>
      <c r="U291" s="172">
        <f t="shared" ref="U291:AS291" si="294">IF(AT291="","", RANK(AT291,AT$7:AT$626,0)+RANK(AT291,AT$7:AT$626,0)/10000)</f>
        <v>366.0366</v>
      </c>
      <c r="V291" s="172">
        <f t="shared" si="294"/>
        <v>534.0534</v>
      </c>
      <c r="W291" s="172" t="str">
        <f t="shared" si="294"/>
        <v/>
      </c>
      <c r="X291" s="172" t="str">
        <f t="shared" si="294"/>
        <v/>
      </c>
      <c r="Y291" s="172" t="str">
        <f t="shared" si="294"/>
        <v/>
      </c>
      <c r="Z291" s="172" t="str">
        <f t="shared" si="294"/>
        <v/>
      </c>
      <c r="AA291" s="172" t="str">
        <f t="shared" si="294"/>
        <v/>
      </c>
      <c r="AB291" s="172" t="str">
        <f t="shared" si="294"/>
        <v/>
      </c>
      <c r="AC291" s="172" t="str">
        <f t="shared" si="294"/>
        <v/>
      </c>
      <c r="AD291" s="172" t="str">
        <f t="shared" si="294"/>
        <v/>
      </c>
      <c r="AE291" s="172" t="str">
        <f t="shared" si="294"/>
        <v/>
      </c>
      <c r="AF291" s="172" t="str">
        <f t="shared" si="294"/>
        <v/>
      </c>
      <c r="AG291" s="172" t="str">
        <f t="shared" si="294"/>
        <v/>
      </c>
      <c r="AH291" s="172" t="str">
        <f t="shared" si="294"/>
        <v/>
      </c>
      <c r="AI291" s="172" t="str">
        <f t="shared" si="294"/>
        <v/>
      </c>
      <c r="AJ291" s="172" t="str">
        <f t="shared" si="294"/>
        <v/>
      </c>
      <c r="AK291" s="172" t="str">
        <f t="shared" si="294"/>
        <v/>
      </c>
      <c r="AL291" s="172" t="str">
        <f t="shared" si="294"/>
        <v/>
      </c>
      <c r="AM291" s="172" t="str">
        <f t="shared" si="294"/>
        <v/>
      </c>
      <c r="AN291" s="172" t="str">
        <f t="shared" si="294"/>
        <v/>
      </c>
      <c r="AO291" s="172" t="str">
        <f t="shared" si="294"/>
        <v/>
      </c>
      <c r="AP291" s="172" t="str">
        <f t="shared" si="294"/>
        <v/>
      </c>
      <c r="AQ291" s="172" t="str">
        <f t="shared" si="294"/>
        <v/>
      </c>
      <c r="AR291" s="172" t="str">
        <f t="shared" si="294"/>
        <v/>
      </c>
      <c r="AS291" s="172" t="str">
        <f t="shared" si="294"/>
        <v/>
      </c>
      <c r="AT291" s="173">
        <f>IF(AT$6="","",IF(AT$3="Maior",iferror(VLOOKUP($R291,Capa!$A:$AJ,AT$5,0),0),IF(ISERROR(1/VLOOKUP($R291,Capa!$A:$AJ,AT$5,0)),0,1/VLOOKUP($R291,Capa!$A:$AJ,AT$5,0))))</f>
        <v>-1.111111111</v>
      </c>
      <c r="AU291" s="174">
        <f>IF(AU$6="","",IF(AU$3="Maior",iferror(VLOOKUP($R291,Capa!$A:$AJ,AU$5,0),0),IF(ISERROR(1/VLOOKUP($R291,Capa!$A:$AJ,AU$5,0)),0,1/VLOOKUP($R291,Capa!$A:$AJ,AU$5,0))))</f>
        <v>-0.25</v>
      </c>
      <c r="AV291" s="174" t="str">
        <f>IF(AV$6="","",IF(AV$3="Maior",iferror(VLOOKUP($R291,Capa!$A:$AJ,AV$5,0),0),IF(ISERROR(1/VLOOKUP($R291,Capa!$A:$AJ,AV$5,0)),0,1/VLOOKUP($R291,Capa!$A:$AJ,AV$5,0))))</f>
        <v/>
      </c>
      <c r="AW291" s="174" t="str">
        <f>IF(AW$6="","",IF(AW$3="Maior",iferror(VLOOKUP($R291,Capa!$A:$AJ,AW$5,0),0),IF(ISERROR(1/VLOOKUP($R291,Capa!$A:$AJ,AW$5,0)),0,1/VLOOKUP($R291,Capa!$A:$AJ,AW$5,0))))</f>
        <v/>
      </c>
      <c r="AX291" s="174" t="str">
        <f>IF(AX$6="","",IF(AX$3="Maior",iferror(VLOOKUP($R291,Capa!$A:$AJ,AX$5,0),0),IF(ISERROR(1/VLOOKUP($R291,Capa!$A:$AJ,AX$5,0)),0,1/VLOOKUP($R291,Capa!$A:$AJ,AX$5,0))))</f>
        <v/>
      </c>
      <c r="AY291" s="174" t="str">
        <f>IF(AY$6="","",IF(AY$3="Maior",iferror(VLOOKUP($R291,Capa!$A:$AJ,AY$5,0),0),IF(ISERROR(1/VLOOKUP($R291,Capa!$A:$AJ,AY$5,0)),0,1/VLOOKUP($R291,Capa!$A:$AJ,AY$5,0))))</f>
        <v/>
      </c>
      <c r="AZ291" s="174" t="str">
        <f>IF(AZ$6="","",IF(AZ$3="Maior",iferror(VLOOKUP($R291,Capa!$A:$AJ,AZ$5,0),0),IF(ISERROR(1/VLOOKUP($R291,Capa!$A:$AJ,AZ$5,0)),0,1/VLOOKUP($R291,Capa!$A:$AJ,AZ$5,0))))</f>
        <v/>
      </c>
      <c r="BA291" s="174" t="str">
        <f>IF(BA$6="","",IF(BA$3="Maior",iferror(VLOOKUP($R291,Capa!$A:$AJ,BA$5,0),0),IF(ISERROR(1/VLOOKUP($R291,Capa!$A:$AJ,BA$5,0)),0,1/VLOOKUP($R291,Capa!$A:$AJ,BA$5,0))))</f>
        <v/>
      </c>
      <c r="BB291" s="174" t="str">
        <f>IF(BB$6="","",IF(BB$3="Maior",iferror(VLOOKUP($R291,Capa!$A:$AJ,BB$5,0),0),IF(ISERROR(1/VLOOKUP($R291,Capa!$A:$AJ,BB$5,0)),0,1/VLOOKUP($R291,Capa!$A:$AJ,BB$5,0))))</f>
        <v/>
      </c>
      <c r="BC291" s="174" t="str">
        <f>IF(BC$6="","",IF(BC$3="Maior",iferror(VLOOKUP($R291,Capa!$A:$AJ,BC$5,0),0),IF(ISERROR(1/VLOOKUP($R291,Capa!$A:$AJ,BC$5,0)),0,1/VLOOKUP($R291,Capa!$A:$AJ,BC$5,0))))</f>
        <v/>
      </c>
      <c r="BD291" s="174" t="str">
        <f>IF(BD$6="","",IF(BD$3="Maior",iferror(VLOOKUP($R291,Capa!$A:$AJ,BD$5,0),0),IF(ISERROR(1/VLOOKUP($R291,Capa!$A:$AJ,BD$5,0)),0,1/VLOOKUP($R291,Capa!$A:$AJ,BD$5,0))))</f>
        <v/>
      </c>
      <c r="BE291" s="174" t="str">
        <f>IF(BE$6="","",IF(BE$3="Maior",iferror(VLOOKUP($R291,Capa!$A:$AJ,BE$5,0),0),IF(ISERROR(1/VLOOKUP($R291,Capa!$A:$AJ,BE$5,0)),0,1/VLOOKUP($R291,Capa!$A:$AJ,BE$5,0))))</f>
        <v/>
      </c>
      <c r="BF291" s="174" t="str">
        <f>IF(BF$6="","",IF(BF$3="Maior",iferror(VLOOKUP($R291,Capa!$A:$AJ,BF$5,0),0),IF(ISERROR(1/VLOOKUP($R291,Capa!$A:$AJ,BF$5,0)),0,1/VLOOKUP($R291,Capa!$A:$AJ,BF$5,0))))</f>
        <v/>
      </c>
      <c r="BG291" s="174" t="str">
        <f>IF(BG$6="","",IF(BG$3="Maior",iferror(VLOOKUP($R291,Capa!$A:$AJ,BG$5,0),0),IF(ISERROR(1/VLOOKUP($R291,Capa!$A:$AJ,BG$5,0)),0,1/VLOOKUP($R291,Capa!$A:$AJ,BG$5,0))))</f>
        <v/>
      </c>
      <c r="BH291" s="174" t="str">
        <f>IF(BH$6="","",IF(BH$3="Maior",iferror(VLOOKUP($R291,Capa!$A:$AJ,BH$5,0),0),IF(ISERROR(1/VLOOKUP($R291,Capa!$A:$AJ,BH$5,0)),0,1/VLOOKUP($R291,Capa!$A:$AJ,BH$5,0))))</f>
        <v/>
      </c>
      <c r="BI291" s="174" t="str">
        <f>IF(BI$6="","",IF(BI$3="Maior",iferror(VLOOKUP($R291,Capa!$A:$AJ,BI$5,0),0),IF(ISERROR(1/VLOOKUP($R291,Capa!$A:$AJ,BI$5,0)),0,1/VLOOKUP($R291,Capa!$A:$AJ,BI$5,0))))</f>
        <v/>
      </c>
      <c r="BJ291" s="174" t="str">
        <f>IF(BJ$6="","",IF(BJ$3="Maior",iferror(VLOOKUP($R291,Capa!$A:$AJ,BJ$5,0),0),IF(ISERROR(1/VLOOKUP($R291,Capa!$A:$AJ,BJ$5,0)),0,1/VLOOKUP($R291,Capa!$A:$AJ,BJ$5,0))))</f>
        <v/>
      </c>
      <c r="BK291" s="174" t="str">
        <f>IF(BK$6="","",IF(BK$3="Maior",iferror(VLOOKUP($R291,Capa!$A:$AJ,BK$5,0),0),IF(ISERROR(1/VLOOKUP($R291,Capa!$A:$AJ,BK$5,0)),0,1/VLOOKUP($R291,Capa!$A:$AJ,BK$5,0))))</f>
        <v/>
      </c>
      <c r="BL291" s="174" t="str">
        <f>IF(BL$6="","",IF(BL$3="Maior",iferror(VLOOKUP($R291,Capa!$A:$AJ,BL$5,0),0),IF(ISERROR(1/VLOOKUP($R291,Capa!$A:$AJ,BL$5,0)),0,1/VLOOKUP($R291,Capa!$A:$AJ,BL$5,0))))</f>
        <v/>
      </c>
      <c r="BM291" s="174" t="str">
        <f>IF(BM$6="","",IF(BM$3="Maior",iferror(VLOOKUP($R291,Capa!$A:$AJ,BM$5,0),0),IF(ISERROR(1/VLOOKUP($R291,Capa!$A:$AJ,BM$5,0)),0,1/VLOOKUP($R291,Capa!$A:$AJ,BM$5,0))))</f>
        <v/>
      </c>
      <c r="BN291" s="174" t="str">
        <f>IF(BN$6="","",IF(BN$3="Maior",iferror(VLOOKUP($R291,Capa!$A:$AJ,BN$5,0),0),IF(ISERROR(1/VLOOKUP($R291,Capa!$A:$AJ,BN$5,0)),0,1/VLOOKUP($R291,Capa!$A:$AJ,BN$5,0))))</f>
        <v/>
      </c>
      <c r="BO291" s="174" t="str">
        <f>IF(BO$6="","",IF(BO$3="Maior",iferror(VLOOKUP($R291,Capa!$A:$AJ,BO$5,0),0),IF(ISERROR(1/VLOOKUP($R291,Capa!$A:$AJ,BO$5,0)),0,1/VLOOKUP($R291,Capa!$A:$AJ,BO$5,0))))</f>
        <v/>
      </c>
      <c r="BP291" s="174" t="str">
        <f>IF(BP$6="","",IF(BP$3="Maior",iferror(VLOOKUP($R291,Capa!$A:$AJ,BP$5,0),0),IF(ISERROR(1/VLOOKUP($R291,Capa!$A:$AJ,BP$5,0)),0,1/VLOOKUP($R291,Capa!$A:$AJ,BP$5,0))))</f>
        <v/>
      </c>
      <c r="BQ291" s="174" t="str">
        <f>IF(BQ$6="","",IF(BQ$3="Maior",iferror(VLOOKUP($R291,Capa!$A:$AJ,BQ$5,0),0),IF(ISERROR(1/VLOOKUP($R291,Capa!$A:$AJ,BQ$5,0)),0,1/VLOOKUP($R291,Capa!$A:$AJ,BQ$5,0))))</f>
        <v/>
      </c>
      <c r="BR291" s="175"/>
      <c r="BS291" s="147"/>
    </row>
    <row r="292">
      <c r="G292" s="11"/>
      <c r="H292" s="8">
        <v>286.0</v>
      </c>
      <c r="I292" s="165" t="str">
        <f t="shared" si="6"/>
        <v>BLUT3</v>
      </c>
      <c r="J292" s="166" t="str">
        <f>(VLOOKUP($I292,Capa!$A:$B,2,0))</f>
        <v/>
      </c>
      <c r="K292" s="167" t="str">
        <f>VLOOKUP(left(I292,4),Setor!A:D,3,0)&amp;" | "&amp;VLOOKUP(left(I292,4),Setor!A:D,4,0)</f>
        <v>#N/A</v>
      </c>
      <c r="L292" s="168" t="str">
        <f>(VLOOKUP($I292,Capa!$A:$F,6,0))</f>
        <v/>
      </c>
      <c r="M292" s="168">
        <f t="shared" si="7"/>
        <v>0</v>
      </c>
      <c r="N292" s="11" t="str">
        <f>(VLOOKUP($I292,Capa!$A:$H,7,0))</f>
        <v/>
      </c>
      <c r="O292" s="169" t="str">
        <f>(VLOOKUP($I292,Capa!$A:$H,8,0))</f>
        <v/>
      </c>
      <c r="P292" s="11" t="str">
        <f>(VLOOKUP($I292,Capa!$A:$J,10,0))</f>
        <v/>
      </c>
      <c r="Q292" s="169" t="str">
        <f>(VLOOKUP($I292,Capa!$A:$K,11,0))</f>
        <v/>
      </c>
      <c r="R292" s="45" t="str">
        <f>'Dados StatusInvest'!A287</f>
        <v>GETT11</v>
      </c>
      <c r="S292" s="170">
        <f t="shared" si="234"/>
        <v>1400.04</v>
      </c>
      <c r="T292" s="171">
        <f>VLOOKUP(R292,'Dados StatusInvest'!A:Z,26,0)</f>
        <v>0</v>
      </c>
      <c r="U292" s="172">
        <f t="shared" ref="U292:AS292" si="295">IF(AT292="","", RANK(AT292,AT$7:AT$626,0)+RANK(AT292,AT$7:AT$626,0)/10000)</f>
        <v>133.0133</v>
      </c>
      <c r="V292" s="172">
        <f t="shared" si="295"/>
        <v>267.0267</v>
      </c>
      <c r="W292" s="172" t="str">
        <f t="shared" si="295"/>
        <v/>
      </c>
      <c r="X292" s="172" t="str">
        <f t="shared" si="295"/>
        <v/>
      </c>
      <c r="Y292" s="172" t="str">
        <f t="shared" si="295"/>
        <v/>
      </c>
      <c r="Z292" s="172" t="str">
        <f t="shared" si="295"/>
        <v/>
      </c>
      <c r="AA292" s="172" t="str">
        <f t="shared" si="295"/>
        <v/>
      </c>
      <c r="AB292" s="172" t="str">
        <f t="shared" si="295"/>
        <v/>
      </c>
      <c r="AC292" s="172" t="str">
        <f t="shared" si="295"/>
        <v/>
      </c>
      <c r="AD292" s="172" t="str">
        <f t="shared" si="295"/>
        <v/>
      </c>
      <c r="AE292" s="172" t="str">
        <f t="shared" si="295"/>
        <v/>
      </c>
      <c r="AF292" s="172" t="str">
        <f t="shared" si="295"/>
        <v/>
      </c>
      <c r="AG292" s="172" t="str">
        <f t="shared" si="295"/>
        <v/>
      </c>
      <c r="AH292" s="172" t="str">
        <f t="shared" si="295"/>
        <v/>
      </c>
      <c r="AI292" s="172" t="str">
        <f t="shared" si="295"/>
        <v/>
      </c>
      <c r="AJ292" s="172" t="str">
        <f t="shared" si="295"/>
        <v/>
      </c>
      <c r="AK292" s="172" t="str">
        <f t="shared" si="295"/>
        <v/>
      </c>
      <c r="AL292" s="172" t="str">
        <f t="shared" si="295"/>
        <v/>
      </c>
      <c r="AM292" s="172" t="str">
        <f t="shared" si="295"/>
        <v/>
      </c>
      <c r="AN292" s="172" t="str">
        <f t="shared" si="295"/>
        <v/>
      </c>
      <c r="AO292" s="172" t="str">
        <f t="shared" si="295"/>
        <v/>
      </c>
      <c r="AP292" s="172" t="str">
        <f t="shared" si="295"/>
        <v/>
      </c>
      <c r="AQ292" s="172" t="str">
        <f t="shared" si="295"/>
        <v/>
      </c>
      <c r="AR292" s="172" t="str">
        <f t="shared" si="295"/>
        <v/>
      </c>
      <c r="AS292" s="172" t="str">
        <f t="shared" si="295"/>
        <v/>
      </c>
      <c r="AT292" s="173">
        <f>IF(AT$6="","",IF(AT$3="Maior",iferror(VLOOKUP($R292,Capa!$A:$AJ,AT$5,0),0),IF(ISERROR(1/VLOOKUP($R292,Capa!$A:$AJ,AT$5,0)),0,1/VLOOKUP($R292,Capa!$A:$AJ,AT$5,0))))</f>
        <v>-0.0471475719</v>
      </c>
      <c r="AU292" s="174">
        <f>IF(AU$6="","",IF(AU$3="Maior",iferror(VLOOKUP($R292,Capa!$A:$AJ,AU$5,0),0),IF(ISERROR(1/VLOOKUP($R292,Capa!$A:$AJ,AU$5,0)),0,1/VLOOKUP($R292,Capa!$A:$AJ,AU$5,0))))</f>
        <v>0</v>
      </c>
      <c r="AV292" s="174" t="str">
        <f>IF(AV$6="","",IF(AV$3="Maior",iferror(VLOOKUP($R292,Capa!$A:$AJ,AV$5,0),0),IF(ISERROR(1/VLOOKUP($R292,Capa!$A:$AJ,AV$5,0)),0,1/VLOOKUP($R292,Capa!$A:$AJ,AV$5,0))))</f>
        <v/>
      </c>
      <c r="AW292" s="174" t="str">
        <f>IF(AW$6="","",IF(AW$3="Maior",iferror(VLOOKUP($R292,Capa!$A:$AJ,AW$5,0),0),IF(ISERROR(1/VLOOKUP($R292,Capa!$A:$AJ,AW$5,0)),0,1/VLOOKUP($R292,Capa!$A:$AJ,AW$5,0))))</f>
        <v/>
      </c>
      <c r="AX292" s="174" t="str">
        <f>IF(AX$6="","",IF(AX$3="Maior",iferror(VLOOKUP($R292,Capa!$A:$AJ,AX$5,0),0),IF(ISERROR(1/VLOOKUP($R292,Capa!$A:$AJ,AX$5,0)),0,1/VLOOKUP($R292,Capa!$A:$AJ,AX$5,0))))</f>
        <v/>
      </c>
      <c r="AY292" s="174" t="str">
        <f>IF(AY$6="","",IF(AY$3="Maior",iferror(VLOOKUP($R292,Capa!$A:$AJ,AY$5,0),0),IF(ISERROR(1/VLOOKUP($R292,Capa!$A:$AJ,AY$5,0)),0,1/VLOOKUP($R292,Capa!$A:$AJ,AY$5,0))))</f>
        <v/>
      </c>
      <c r="AZ292" s="174" t="str">
        <f>IF(AZ$6="","",IF(AZ$3="Maior",iferror(VLOOKUP($R292,Capa!$A:$AJ,AZ$5,0),0),IF(ISERROR(1/VLOOKUP($R292,Capa!$A:$AJ,AZ$5,0)),0,1/VLOOKUP($R292,Capa!$A:$AJ,AZ$5,0))))</f>
        <v/>
      </c>
      <c r="BA292" s="174" t="str">
        <f>IF(BA$6="","",IF(BA$3="Maior",iferror(VLOOKUP($R292,Capa!$A:$AJ,BA$5,0),0),IF(ISERROR(1/VLOOKUP($R292,Capa!$A:$AJ,BA$5,0)),0,1/VLOOKUP($R292,Capa!$A:$AJ,BA$5,0))))</f>
        <v/>
      </c>
      <c r="BB292" s="174" t="str">
        <f>IF(BB$6="","",IF(BB$3="Maior",iferror(VLOOKUP($R292,Capa!$A:$AJ,BB$5,0),0),IF(ISERROR(1/VLOOKUP($R292,Capa!$A:$AJ,BB$5,0)),0,1/VLOOKUP($R292,Capa!$A:$AJ,BB$5,0))))</f>
        <v/>
      </c>
      <c r="BC292" s="174" t="str">
        <f>IF(BC$6="","",IF(BC$3="Maior",iferror(VLOOKUP($R292,Capa!$A:$AJ,BC$5,0),0),IF(ISERROR(1/VLOOKUP($R292,Capa!$A:$AJ,BC$5,0)),0,1/VLOOKUP($R292,Capa!$A:$AJ,BC$5,0))))</f>
        <v/>
      </c>
      <c r="BD292" s="174" t="str">
        <f>IF(BD$6="","",IF(BD$3="Maior",iferror(VLOOKUP($R292,Capa!$A:$AJ,BD$5,0),0),IF(ISERROR(1/VLOOKUP($R292,Capa!$A:$AJ,BD$5,0)),0,1/VLOOKUP($R292,Capa!$A:$AJ,BD$5,0))))</f>
        <v/>
      </c>
      <c r="BE292" s="174" t="str">
        <f>IF(BE$6="","",IF(BE$3="Maior",iferror(VLOOKUP($R292,Capa!$A:$AJ,BE$5,0),0),IF(ISERROR(1/VLOOKUP($R292,Capa!$A:$AJ,BE$5,0)),0,1/VLOOKUP($R292,Capa!$A:$AJ,BE$5,0))))</f>
        <v/>
      </c>
      <c r="BF292" s="174" t="str">
        <f>IF(BF$6="","",IF(BF$3="Maior",iferror(VLOOKUP($R292,Capa!$A:$AJ,BF$5,0),0),IF(ISERROR(1/VLOOKUP($R292,Capa!$A:$AJ,BF$5,0)),0,1/VLOOKUP($R292,Capa!$A:$AJ,BF$5,0))))</f>
        <v/>
      </c>
      <c r="BG292" s="174" t="str">
        <f>IF(BG$6="","",IF(BG$3="Maior",iferror(VLOOKUP($R292,Capa!$A:$AJ,BG$5,0),0),IF(ISERROR(1/VLOOKUP($R292,Capa!$A:$AJ,BG$5,0)),0,1/VLOOKUP($R292,Capa!$A:$AJ,BG$5,0))))</f>
        <v/>
      </c>
      <c r="BH292" s="174" t="str">
        <f>IF(BH$6="","",IF(BH$3="Maior",iferror(VLOOKUP($R292,Capa!$A:$AJ,BH$5,0),0),IF(ISERROR(1/VLOOKUP($R292,Capa!$A:$AJ,BH$5,0)),0,1/VLOOKUP($R292,Capa!$A:$AJ,BH$5,0))))</f>
        <v/>
      </c>
      <c r="BI292" s="174" t="str">
        <f>IF(BI$6="","",IF(BI$3="Maior",iferror(VLOOKUP($R292,Capa!$A:$AJ,BI$5,0),0),IF(ISERROR(1/VLOOKUP($R292,Capa!$A:$AJ,BI$5,0)),0,1/VLOOKUP($R292,Capa!$A:$AJ,BI$5,0))))</f>
        <v/>
      </c>
      <c r="BJ292" s="174" t="str">
        <f>IF(BJ$6="","",IF(BJ$3="Maior",iferror(VLOOKUP($R292,Capa!$A:$AJ,BJ$5,0),0),IF(ISERROR(1/VLOOKUP($R292,Capa!$A:$AJ,BJ$5,0)),0,1/VLOOKUP($R292,Capa!$A:$AJ,BJ$5,0))))</f>
        <v/>
      </c>
      <c r="BK292" s="174" t="str">
        <f>IF(BK$6="","",IF(BK$3="Maior",iferror(VLOOKUP($R292,Capa!$A:$AJ,BK$5,0),0),IF(ISERROR(1/VLOOKUP($R292,Capa!$A:$AJ,BK$5,0)),0,1/VLOOKUP($R292,Capa!$A:$AJ,BK$5,0))))</f>
        <v/>
      </c>
      <c r="BL292" s="174" t="str">
        <f>IF(BL$6="","",IF(BL$3="Maior",iferror(VLOOKUP($R292,Capa!$A:$AJ,BL$5,0),0),IF(ISERROR(1/VLOOKUP($R292,Capa!$A:$AJ,BL$5,0)),0,1/VLOOKUP($R292,Capa!$A:$AJ,BL$5,0))))</f>
        <v/>
      </c>
      <c r="BM292" s="174" t="str">
        <f>IF(BM$6="","",IF(BM$3="Maior",iferror(VLOOKUP($R292,Capa!$A:$AJ,BM$5,0),0),IF(ISERROR(1/VLOOKUP($R292,Capa!$A:$AJ,BM$5,0)),0,1/VLOOKUP($R292,Capa!$A:$AJ,BM$5,0))))</f>
        <v/>
      </c>
      <c r="BN292" s="174" t="str">
        <f>IF(BN$6="","",IF(BN$3="Maior",iferror(VLOOKUP($R292,Capa!$A:$AJ,BN$5,0),0),IF(ISERROR(1/VLOOKUP($R292,Capa!$A:$AJ,BN$5,0)),0,1/VLOOKUP($R292,Capa!$A:$AJ,BN$5,0))))</f>
        <v/>
      </c>
      <c r="BO292" s="174" t="str">
        <f>IF(BO$6="","",IF(BO$3="Maior",iferror(VLOOKUP($R292,Capa!$A:$AJ,BO$5,0),0),IF(ISERROR(1/VLOOKUP($R292,Capa!$A:$AJ,BO$5,0)),0,1/VLOOKUP($R292,Capa!$A:$AJ,BO$5,0))))</f>
        <v/>
      </c>
      <c r="BP292" s="174" t="str">
        <f>IF(BP$6="","",IF(BP$3="Maior",iferror(VLOOKUP($R292,Capa!$A:$AJ,BP$5,0),0),IF(ISERROR(1/VLOOKUP($R292,Capa!$A:$AJ,BP$5,0)),0,1/VLOOKUP($R292,Capa!$A:$AJ,BP$5,0))))</f>
        <v/>
      </c>
      <c r="BQ292" s="174" t="str">
        <f>IF(BQ$6="","",IF(BQ$3="Maior",iferror(VLOOKUP($R292,Capa!$A:$AJ,BQ$5,0),0),IF(ISERROR(1/VLOOKUP($R292,Capa!$A:$AJ,BQ$5,0)),0,1/VLOOKUP($R292,Capa!$A:$AJ,BQ$5,0))))</f>
        <v/>
      </c>
      <c r="BR292" s="175"/>
      <c r="BS292" s="147"/>
    </row>
    <row r="293">
      <c r="G293" s="11"/>
      <c r="H293" s="8">
        <v>287.0</v>
      </c>
      <c r="I293" s="165" t="str">
        <f t="shared" si="6"/>
        <v>MTIG4</v>
      </c>
      <c r="J293" s="166" t="str">
        <f>(VLOOKUP($I293,Capa!$A:$B,2,0))</f>
        <v/>
      </c>
      <c r="K293" s="167" t="str">
        <f>VLOOKUP(left(I293,4),Setor!A:D,3,0)&amp;" | "&amp;VLOOKUP(left(I293,4),Setor!A:D,4,0)</f>
        <v>Materiais Básicos | Embalagens</v>
      </c>
      <c r="L293" s="168" t="str">
        <f>(VLOOKUP($I293,Capa!$A:$F,6,0))</f>
        <v/>
      </c>
      <c r="M293" s="168">
        <f t="shared" si="7"/>
        <v>0</v>
      </c>
      <c r="N293" s="11" t="str">
        <f>(VLOOKUP($I293,Capa!$A:$H,7,0))</f>
        <v/>
      </c>
      <c r="O293" s="169" t="str">
        <f>(VLOOKUP($I293,Capa!$A:$H,8,0))</f>
        <v/>
      </c>
      <c r="P293" s="11" t="str">
        <f>(VLOOKUP($I293,Capa!$A:$J,10,0))</f>
        <v/>
      </c>
      <c r="Q293" s="169" t="str">
        <f>(VLOOKUP($I293,Capa!$A:$K,11,0))</f>
        <v/>
      </c>
      <c r="R293" s="45" t="str">
        <f>'Dados StatusInvest'!A288</f>
        <v>GETT3</v>
      </c>
      <c r="S293" s="170">
        <f t="shared" si="234"/>
        <v>1437.0437</v>
      </c>
      <c r="T293" s="171">
        <f>VLOOKUP(R293,'Dados StatusInvest'!A:Z,26,0)</f>
        <v>0</v>
      </c>
      <c r="U293" s="172">
        <f t="shared" ref="U293:AS293" si="296">IF(AT293="","", RANK(AT293,AT$7:AT$626,0)+RANK(AT293,AT$7:AT$626,0)/10000)</f>
        <v>170.017</v>
      </c>
      <c r="V293" s="172">
        <f t="shared" si="296"/>
        <v>267.0267</v>
      </c>
      <c r="W293" s="172" t="str">
        <f t="shared" si="296"/>
        <v/>
      </c>
      <c r="X293" s="172" t="str">
        <f t="shared" si="296"/>
        <v/>
      </c>
      <c r="Y293" s="172" t="str">
        <f t="shared" si="296"/>
        <v/>
      </c>
      <c r="Z293" s="172" t="str">
        <f t="shared" si="296"/>
        <v/>
      </c>
      <c r="AA293" s="172" t="str">
        <f t="shared" si="296"/>
        <v/>
      </c>
      <c r="AB293" s="172" t="str">
        <f t="shared" si="296"/>
        <v/>
      </c>
      <c r="AC293" s="172" t="str">
        <f t="shared" si="296"/>
        <v/>
      </c>
      <c r="AD293" s="172" t="str">
        <f t="shared" si="296"/>
        <v/>
      </c>
      <c r="AE293" s="172" t="str">
        <f t="shared" si="296"/>
        <v/>
      </c>
      <c r="AF293" s="172" t="str">
        <f t="shared" si="296"/>
        <v/>
      </c>
      <c r="AG293" s="172" t="str">
        <f t="shared" si="296"/>
        <v/>
      </c>
      <c r="AH293" s="172" t="str">
        <f t="shared" si="296"/>
        <v/>
      </c>
      <c r="AI293" s="172" t="str">
        <f t="shared" si="296"/>
        <v/>
      </c>
      <c r="AJ293" s="172" t="str">
        <f t="shared" si="296"/>
        <v/>
      </c>
      <c r="AK293" s="172" t="str">
        <f t="shared" si="296"/>
        <v/>
      </c>
      <c r="AL293" s="172" t="str">
        <f t="shared" si="296"/>
        <v/>
      </c>
      <c r="AM293" s="172" t="str">
        <f t="shared" si="296"/>
        <v/>
      </c>
      <c r="AN293" s="172" t="str">
        <f t="shared" si="296"/>
        <v/>
      </c>
      <c r="AO293" s="172" t="str">
        <f t="shared" si="296"/>
        <v/>
      </c>
      <c r="AP293" s="172" t="str">
        <f t="shared" si="296"/>
        <v/>
      </c>
      <c r="AQ293" s="172" t="str">
        <f t="shared" si="296"/>
        <v/>
      </c>
      <c r="AR293" s="172" t="str">
        <f t="shared" si="296"/>
        <v/>
      </c>
      <c r="AS293" s="172" t="str">
        <f t="shared" si="296"/>
        <v/>
      </c>
      <c r="AT293" s="173">
        <f>IF(AT$6="","",IF(AT$3="Maior",iferror(VLOOKUP($R293,Capa!$A:$AJ,AT$5,0),0),IF(ISERROR(1/VLOOKUP($R293,Capa!$A:$AJ,AT$5,0)),0,1/VLOOKUP($R293,Capa!$A:$AJ,AT$5,0))))</f>
        <v>-0.1964636542</v>
      </c>
      <c r="AU293" s="174">
        <f>IF(AU$6="","",IF(AU$3="Maior",iferror(VLOOKUP($R293,Capa!$A:$AJ,AU$5,0),0),IF(ISERROR(1/VLOOKUP($R293,Capa!$A:$AJ,AU$5,0)),0,1/VLOOKUP($R293,Capa!$A:$AJ,AU$5,0))))</f>
        <v>0</v>
      </c>
      <c r="AV293" s="174" t="str">
        <f>IF(AV$6="","",IF(AV$3="Maior",iferror(VLOOKUP($R293,Capa!$A:$AJ,AV$5,0),0),IF(ISERROR(1/VLOOKUP($R293,Capa!$A:$AJ,AV$5,0)),0,1/VLOOKUP($R293,Capa!$A:$AJ,AV$5,0))))</f>
        <v/>
      </c>
      <c r="AW293" s="174" t="str">
        <f>IF(AW$6="","",IF(AW$3="Maior",iferror(VLOOKUP($R293,Capa!$A:$AJ,AW$5,0),0),IF(ISERROR(1/VLOOKUP($R293,Capa!$A:$AJ,AW$5,0)),0,1/VLOOKUP($R293,Capa!$A:$AJ,AW$5,0))))</f>
        <v/>
      </c>
      <c r="AX293" s="174" t="str">
        <f>IF(AX$6="","",IF(AX$3="Maior",iferror(VLOOKUP($R293,Capa!$A:$AJ,AX$5,0),0),IF(ISERROR(1/VLOOKUP($R293,Capa!$A:$AJ,AX$5,0)),0,1/VLOOKUP($R293,Capa!$A:$AJ,AX$5,0))))</f>
        <v/>
      </c>
      <c r="AY293" s="174" t="str">
        <f>IF(AY$6="","",IF(AY$3="Maior",iferror(VLOOKUP($R293,Capa!$A:$AJ,AY$5,0),0),IF(ISERROR(1/VLOOKUP($R293,Capa!$A:$AJ,AY$5,0)),0,1/VLOOKUP($R293,Capa!$A:$AJ,AY$5,0))))</f>
        <v/>
      </c>
      <c r="AZ293" s="174" t="str">
        <f>IF(AZ$6="","",IF(AZ$3="Maior",iferror(VLOOKUP($R293,Capa!$A:$AJ,AZ$5,0),0),IF(ISERROR(1/VLOOKUP($R293,Capa!$A:$AJ,AZ$5,0)),0,1/VLOOKUP($R293,Capa!$A:$AJ,AZ$5,0))))</f>
        <v/>
      </c>
      <c r="BA293" s="174" t="str">
        <f>IF(BA$6="","",IF(BA$3="Maior",iferror(VLOOKUP($R293,Capa!$A:$AJ,BA$5,0),0),IF(ISERROR(1/VLOOKUP($R293,Capa!$A:$AJ,BA$5,0)),0,1/VLOOKUP($R293,Capa!$A:$AJ,BA$5,0))))</f>
        <v/>
      </c>
      <c r="BB293" s="174" t="str">
        <f>IF(BB$6="","",IF(BB$3="Maior",iferror(VLOOKUP($R293,Capa!$A:$AJ,BB$5,0),0),IF(ISERROR(1/VLOOKUP($R293,Capa!$A:$AJ,BB$5,0)),0,1/VLOOKUP($R293,Capa!$A:$AJ,BB$5,0))))</f>
        <v/>
      </c>
      <c r="BC293" s="174" t="str">
        <f>IF(BC$6="","",IF(BC$3="Maior",iferror(VLOOKUP($R293,Capa!$A:$AJ,BC$5,0),0),IF(ISERROR(1/VLOOKUP($R293,Capa!$A:$AJ,BC$5,0)),0,1/VLOOKUP($R293,Capa!$A:$AJ,BC$5,0))))</f>
        <v/>
      </c>
      <c r="BD293" s="174" t="str">
        <f>IF(BD$6="","",IF(BD$3="Maior",iferror(VLOOKUP($R293,Capa!$A:$AJ,BD$5,0),0),IF(ISERROR(1/VLOOKUP($R293,Capa!$A:$AJ,BD$5,0)),0,1/VLOOKUP($R293,Capa!$A:$AJ,BD$5,0))))</f>
        <v/>
      </c>
      <c r="BE293" s="174" t="str">
        <f>IF(BE$6="","",IF(BE$3="Maior",iferror(VLOOKUP($R293,Capa!$A:$AJ,BE$5,0),0),IF(ISERROR(1/VLOOKUP($R293,Capa!$A:$AJ,BE$5,0)),0,1/VLOOKUP($R293,Capa!$A:$AJ,BE$5,0))))</f>
        <v/>
      </c>
      <c r="BF293" s="174" t="str">
        <f>IF(BF$6="","",IF(BF$3="Maior",iferror(VLOOKUP($R293,Capa!$A:$AJ,BF$5,0),0),IF(ISERROR(1/VLOOKUP($R293,Capa!$A:$AJ,BF$5,0)),0,1/VLOOKUP($R293,Capa!$A:$AJ,BF$5,0))))</f>
        <v/>
      </c>
      <c r="BG293" s="174" t="str">
        <f>IF(BG$6="","",IF(BG$3="Maior",iferror(VLOOKUP($R293,Capa!$A:$AJ,BG$5,0),0),IF(ISERROR(1/VLOOKUP($R293,Capa!$A:$AJ,BG$5,0)),0,1/VLOOKUP($R293,Capa!$A:$AJ,BG$5,0))))</f>
        <v/>
      </c>
      <c r="BH293" s="174" t="str">
        <f>IF(BH$6="","",IF(BH$3="Maior",iferror(VLOOKUP($R293,Capa!$A:$AJ,BH$5,0),0),IF(ISERROR(1/VLOOKUP($R293,Capa!$A:$AJ,BH$5,0)),0,1/VLOOKUP($R293,Capa!$A:$AJ,BH$5,0))))</f>
        <v/>
      </c>
      <c r="BI293" s="174" t="str">
        <f>IF(BI$6="","",IF(BI$3="Maior",iferror(VLOOKUP($R293,Capa!$A:$AJ,BI$5,0),0),IF(ISERROR(1/VLOOKUP($R293,Capa!$A:$AJ,BI$5,0)),0,1/VLOOKUP($R293,Capa!$A:$AJ,BI$5,0))))</f>
        <v/>
      </c>
      <c r="BJ293" s="174" t="str">
        <f>IF(BJ$6="","",IF(BJ$3="Maior",iferror(VLOOKUP($R293,Capa!$A:$AJ,BJ$5,0),0),IF(ISERROR(1/VLOOKUP($R293,Capa!$A:$AJ,BJ$5,0)),0,1/VLOOKUP($R293,Capa!$A:$AJ,BJ$5,0))))</f>
        <v/>
      </c>
      <c r="BK293" s="174" t="str">
        <f>IF(BK$6="","",IF(BK$3="Maior",iferror(VLOOKUP($R293,Capa!$A:$AJ,BK$5,0),0),IF(ISERROR(1/VLOOKUP($R293,Capa!$A:$AJ,BK$5,0)),0,1/VLOOKUP($R293,Capa!$A:$AJ,BK$5,0))))</f>
        <v/>
      </c>
      <c r="BL293" s="174" t="str">
        <f>IF(BL$6="","",IF(BL$3="Maior",iferror(VLOOKUP($R293,Capa!$A:$AJ,BL$5,0),0),IF(ISERROR(1/VLOOKUP($R293,Capa!$A:$AJ,BL$5,0)),0,1/VLOOKUP($R293,Capa!$A:$AJ,BL$5,0))))</f>
        <v/>
      </c>
      <c r="BM293" s="174" t="str">
        <f>IF(BM$6="","",IF(BM$3="Maior",iferror(VLOOKUP($R293,Capa!$A:$AJ,BM$5,0),0),IF(ISERROR(1/VLOOKUP($R293,Capa!$A:$AJ,BM$5,0)),0,1/VLOOKUP($R293,Capa!$A:$AJ,BM$5,0))))</f>
        <v/>
      </c>
      <c r="BN293" s="174" t="str">
        <f>IF(BN$6="","",IF(BN$3="Maior",iferror(VLOOKUP($R293,Capa!$A:$AJ,BN$5,0),0),IF(ISERROR(1/VLOOKUP($R293,Capa!$A:$AJ,BN$5,0)),0,1/VLOOKUP($R293,Capa!$A:$AJ,BN$5,0))))</f>
        <v/>
      </c>
      <c r="BO293" s="174" t="str">
        <f>IF(BO$6="","",IF(BO$3="Maior",iferror(VLOOKUP($R293,Capa!$A:$AJ,BO$5,0),0),IF(ISERROR(1/VLOOKUP($R293,Capa!$A:$AJ,BO$5,0)),0,1/VLOOKUP($R293,Capa!$A:$AJ,BO$5,0))))</f>
        <v/>
      </c>
      <c r="BP293" s="174" t="str">
        <f>IF(BP$6="","",IF(BP$3="Maior",iferror(VLOOKUP($R293,Capa!$A:$AJ,BP$5,0),0),IF(ISERROR(1/VLOOKUP($R293,Capa!$A:$AJ,BP$5,0)),0,1/VLOOKUP($R293,Capa!$A:$AJ,BP$5,0))))</f>
        <v/>
      </c>
      <c r="BQ293" s="174" t="str">
        <f>IF(BQ$6="","",IF(BQ$3="Maior",iferror(VLOOKUP($R293,Capa!$A:$AJ,BQ$5,0),0),IF(ISERROR(1/VLOOKUP($R293,Capa!$A:$AJ,BQ$5,0)),0,1/VLOOKUP($R293,Capa!$A:$AJ,BQ$5,0))))</f>
        <v/>
      </c>
      <c r="BR293" s="175"/>
      <c r="BS293" s="147"/>
    </row>
    <row r="294">
      <c r="G294" s="11"/>
      <c r="H294" s="8">
        <v>288.0</v>
      </c>
      <c r="I294" s="165" t="str">
        <f t="shared" si="6"/>
        <v>BAHI3</v>
      </c>
      <c r="J294" s="166" t="str">
        <f>(VLOOKUP($I294,Capa!$A:$B,2,0))</f>
        <v/>
      </c>
      <c r="K294" s="167" t="str">
        <f>VLOOKUP(left(I294,4),Setor!A:D,3,0)&amp;" | "&amp;VLOOKUP(left(I294,4),Setor!A:D,4,0)</f>
        <v>Consumo Cíclico | Diversos</v>
      </c>
      <c r="L294" s="168" t="str">
        <f>(VLOOKUP($I294,Capa!$A:$F,6,0))</f>
        <v/>
      </c>
      <c r="M294" s="168">
        <f t="shared" si="7"/>
        <v>16499</v>
      </c>
      <c r="N294" s="11" t="str">
        <f>(VLOOKUP($I294,Capa!$A:$H,7,0))</f>
        <v/>
      </c>
      <c r="O294" s="169" t="str">
        <f>(VLOOKUP($I294,Capa!$A:$H,8,0))</f>
        <v/>
      </c>
      <c r="P294" s="11" t="str">
        <f>(VLOOKUP($I294,Capa!$A:$J,10,0))</f>
        <v/>
      </c>
      <c r="Q294" s="169" t="str">
        <f>(VLOOKUP($I294,Capa!$A:$K,11,0))</f>
        <v/>
      </c>
      <c r="R294" s="45" t="str">
        <f>'Dados StatusInvest'!A289</f>
        <v>GETT4</v>
      </c>
      <c r="S294" s="170">
        <f t="shared" si="234"/>
        <v>1437.0437</v>
      </c>
      <c r="T294" s="171">
        <f>VLOOKUP(R294,'Dados StatusInvest'!A:Z,26,0)</f>
        <v>0</v>
      </c>
      <c r="U294" s="172">
        <f t="shared" ref="U294:AS294" si="297">IF(AT294="","", RANK(AT294,AT$7:AT$626,0)+RANK(AT294,AT$7:AT$626,0)/10000)</f>
        <v>170.017</v>
      </c>
      <c r="V294" s="172">
        <f t="shared" si="297"/>
        <v>267.0267</v>
      </c>
      <c r="W294" s="172" t="str">
        <f t="shared" si="297"/>
        <v/>
      </c>
      <c r="X294" s="172" t="str">
        <f t="shared" si="297"/>
        <v/>
      </c>
      <c r="Y294" s="172" t="str">
        <f t="shared" si="297"/>
        <v/>
      </c>
      <c r="Z294" s="172" t="str">
        <f t="shared" si="297"/>
        <v/>
      </c>
      <c r="AA294" s="172" t="str">
        <f t="shared" si="297"/>
        <v/>
      </c>
      <c r="AB294" s="172" t="str">
        <f t="shared" si="297"/>
        <v/>
      </c>
      <c r="AC294" s="172" t="str">
        <f t="shared" si="297"/>
        <v/>
      </c>
      <c r="AD294" s="172" t="str">
        <f t="shared" si="297"/>
        <v/>
      </c>
      <c r="AE294" s="172" t="str">
        <f t="shared" si="297"/>
        <v/>
      </c>
      <c r="AF294" s="172" t="str">
        <f t="shared" si="297"/>
        <v/>
      </c>
      <c r="AG294" s="172" t="str">
        <f t="shared" si="297"/>
        <v/>
      </c>
      <c r="AH294" s="172" t="str">
        <f t="shared" si="297"/>
        <v/>
      </c>
      <c r="AI294" s="172" t="str">
        <f t="shared" si="297"/>
        <v/>
      </c>
      <c r="AJ294" s="172" t="str">
        <f t="shared" si="297"/>
        <v/>
      </c>
      <c r="AK294" s="172" t="str">
        <f t="shared" si="297"/>
        <v/>
      </c>
      <c r="AL294" s="172" t="str">
        <f t="shared" si="297"/>
        <v/>
      </c>
      <c r="AM294" s="172" t="str">
        <f t="shared" si="297"/>
        <v/>
      </c>
      <c r="AN294" s="172" t="str">
        <f t="shared" si="297"/>
        <v/>
      </c>
      <c r="AO294" s="172" t="str">
        <f t="shared" si="297"/>
        <v/>
      </c>
      <c r="AP294" s="172" t="str">
        <f t="shared" si="297"/>
        <v/>
      </c>
      <c r="AQ294" s="172" t="str">
        <f t="shared" si="297"/>
        <v/>
      </c>
      <c r="AR294" s="172" t="str">
        <f t="shared" si="297"/>
        <v/>
      </c>
      <c r="AS294" s="172" t="str">
        <f t="shared" si="297"/>
        <v/>
      </c>
      <c r="AT294" s="173">
        <f>IF(AT$6="","",IF(AT$3="Maior",iferror(VLOOKUP($R294,Capa!$A:$AJ,AT$5,0),0),IF(ISERROR(1/VLOOKUP($R294,Capa!$A:$AJ,AT$5,0)),0,1/VLOOKUP($R294,Capa!$A:$AJ,AT$5,0))))</f>
        <v>-0.1964636542</v>
      </c>
      <c r="AU294" s="174">
        <f>IF(AU$6="","",IF(AU$3="Maior",iferror(VLOOKUP($R294,Capa!$A:$AJ,AU$5,0),0),IF(ISERROR(1/VLOOKUP($R294,Capa!$A:$AJ,AU$5,0)),0,1/VLOOKUP($R294,Capa!$A:$AJ,AU$5,0))))</f>
        <v>0</v>
      </c>
      <c r="AV294" s="174" t="str">
        <f>IF(AV$6="","",IF(AV$3="Maior",iferror(VLOOKUP($R294,Capa!$A:$AJ,AV$5,0),0),IF(ISERROR(1/VLOOKUP($R294,Capa!$A:$AJ,AV$5,0)),0,1/VLOOKUP($R294,Capa!$A:$AJ,AV$5,0))))</f>
        <v/>
      </c>
      <c r="AW294" s="174" t="str">
        <f>IF(AW$6="","",IF(AW$3="Maior",iferror(VLOOKUP($R294,Capa!$A:$AJ,AW$5,0),0),IF(ISERROR(1/VLOOKUP($R294,Capa!$A:$AJ,AW$5,0)),0,1/VLOOKUP($R294,Capa!$A:$AJ,AW$5,0))))</f>
        <v/>
      </c>
      <c r="AX294" s="174" t="str">
        <f>IF(AX$6="","",IF(AX$3="Maior",iferror(VLOOKUP($R294,Capa!$A:$AJ,AX$5,0),0),IF(ISERROR(1/VLOOKUP($R294,Capa!$A:$AJ,AX$5,0)),0,1/VLOOKUP($R294,Capa!$A:$AJ,AX$5,0))))</f>
        <v/>
      </c>
      <c r="AY294" s="174" t="str">
        <f>IF(AY$6="","",IF(AY$3="Maior",iferror(VLOOKUP($R294,Capa!$A:$AJ,AY$5,0),0),IF(ISERROR(1/VLOOKUP($R294,Capa!$A:$AJ,AY$5,0)),0,1/VLOOKUP($R294,Capa!$A:$AJ,AY$5,0))))</f>
        <v/>
      </c>
      <c r="AZ294" s="174" t="str">
        <f>IF(AZ$6="","",IF(AZ$3="Maior",iferror(VLOOKUP($R294,Capa!$A:$AJ,AZ$5,0),0),IF(ISERROR(1/VLOOKUP($R294,Capa!$A:$AJ,AZ$5,0)),0,1/VLOOKUP($R294,Capa!$A:$AJ,AZ$5,0))))</f>
        <v/>
      </c>
      <c r="BA294" s="174" t="str">
        <f>IF(BA$6="","",IF(BA$3="Maior",iferror(VLOOKUP($R294,Capa!$A:$AJ,BA$5,0),0),IF(ISERROR(1/VLOOKUP($R294,Capa!$A:$AJ,BA$5,0)),0,1/VLOOKUP($R294,Capa!$A:$AJ,BA$5,0))))</f>
        <v/>
      </c>
      <c r="BB294" s="174" t="str">
        <f>IF(BB$6="","",IF(BB$3="Maior",iferror(VLOOKUP($R294,Capa!$A:$AJ,BB$5,0),0),IF(ISERROR(1/VLOOKUP($R294,Capa!$A:$AJ,BB$5,0)),0,1/VLOOKUP($R294,Capa!$A:$AJ,BB$5,0))))</f>
        <v/>
      </c>
      <c r="BC294" s="174" t="str">
        <f>IF(BC$6="","",IF(BC$3="Maior",iferror(VLOOKUP($R294,Capa!$A:$AJ,BC$5,0),0),IF(ISERROR(1/VLOOKUP($R294,Capa!$A:$AJ,BC$5,0)),0,1/VLOOKUP($R294,Capa!$A:$AJ,BC$5,0))))</f>
        <v/>
      </c>
      <c r="BD294" s="174" t="str">
        <f>IF(BD$6="","",IF(BD$3="Maior",iferror(VLOOKUP($R294,Capa!$A:$AJ,BD$5,0),0),IF(ISERROR(1/VLOOKUP($R294,Capa!$A:$AJ,BD$5,0)),0,1/VLOOKUP($R294,Capa!$A:$AJ,BD$5,0))))</f>
        <v/>
      </c>
      <c r="BE294" s="174" t="str">
        <f>IF(BE$6="","",IF(BE$3="Maior",iferror(VLOOKUP($R294,Capa!$A:$AJ,BE$5,0),0),IF(ISERROR(1/VLOOKUP($R294,Capa!$A:$AJ,BE$5,0)),0,1/VLOOKUP($R294,Capa!$A:$AJ,BE$5,0))))</f>
        <v/>
      </c>
      <c r="BF294" s="174" t="str">
        <f>IF(BF$6="","",IF(BF$3="Maior",iferror(VLOOKUP($R294,Capa!$A:$AJ,BF$5,0),0),IF(ISERROR(1/VLOOKUP($R294,Capa!$A:$AJ,BF$5,0)),0,1/VLOOKUP($R294,Capa!$A:$AJ,BF$5,0))))</f>
        <v/>
      </c>
      <c r="BG294" s="174" t="str">
        <f>IF(BG$6="","",IF(BG$3="Maior",iferror(VLOOKUP($R294,Capa!$A:$AJ,BG$5,0),0),IF(ISERROR(1/VLOOKUP($R294,Capa!$A:$AJ,BG$5,0)),0,1/VLOOKUP($R294,Capa!$A:$AJ,BG$5,0))))</f>
        <v/>
      </c>
      <c r="BH294" s="174" t="str">
        <f>IF(BH$6="","",IF(BH$3="Maior",iferror(VLOOKUP($R294,Capa!$A:$AJ,BH$5,0),0),IF(ISERROR(1/VLOOKUP($R294,Capa!$A:$AJ,BH$5,0)),0,1/VLOOKUP($R294,Capa!$A:$AJ,BH$5,0))))</f>
        <v/>
      </c>
      <c r="BI294" s="174" t="str">
        <f>IF(BI$6="","",IF(BI$3="Maior",iferror(VLOOKUP($R294,Capa!$A:$AJ,BI$5,0),0),IF(ISERROR(1/VLOOKUP($R294,Capa!$A:$AJ,BI$5,0)),0,1/VLOOKUP($R294,Capa!$A:$AJ,BI$5,0))))</f>
        <v/>
      </c>
      <c r="BJ294" s="174" t="str">
        <f>IF(BJ$6="","",IF(BJ$3="Maior",iferror(VLOOKUP($R294,Capa!$A:$AJ,BJ$5,0),0),IF(ISERROR(1/VLOOKUP($R294,Capa!$A:$AJ,BJ$5,0)),0,1/VLOOKUP($R294,Capa!$A:$AJ,BJ$5,0))))</f>
        <v/>
      </c>
      <c r="BK294" s="174" t="str">
        <f>IF(BK$6="","",IF(BK$3="Maior",iferror(VLOOKUP($R294,Capa!$A:$AJ,BK$5,0),0),IF(ISERROR(1/VLOOKUP($R294,Capa!$A:$AJ,BK$5,0)),0,1/VLOOKUP($R294,Capa!$A:$AJ,BK$5,0))))</f>
        <v/>
      </c>
      <c r="BL294" s="174" t="str">
        <f>IF(BL$6="","",IF(BL$3="Maior",iferror(VLOOKUP($R294,Capa!$A:$AJ,BL$5,0),0),IF(ISERROR(1/VLOOKUP($R294,Capa!$A:$AJ,BL$5,0)),0,1/VLOOKUP($R294,Capa!$A:$AJ,BL$5,0))))</f>
        <v/>
      </c>
      <c r="BM294" s="174" t="str">
        <f>IF(BM$6="","",IF(BM$3="Maior",iferror(VLOOKUP($R294,Capa!$A:$AJ,BM$5,0),0),IF(ISERROR(1/VLOOKUP($R294,Capa!$A:$AJ,BM$5,0)),0,1/VLOOKUP($R294,Capa!$A:$AJ,BM$5,0))))</f>
        <v/>
      </c>
      <c r="BN294" s="174" t="str">
        <f>IF(BN$6="","",IF(BN$3="Maior",iferror(VLOOKUP($R294,Capa!$A:$AJ,BN$5,0),0),IF(ISERROR(1/VLOOKUP($R294,Capa!$A:$AJ,BN$5,0)),0,1/VLOOKUP($R294,Capa!$A:$AJ,BN$5,0))))</f>
        <v/>
      </c>
      <c r="BO294" s="174" t="str">
        <f>IF(BO$6="","",IF(BO$3="Maior",iferror(VLOOKUP($R294,Capa!$A:$AJ,BO$5,0),0),IF(ISERROR(1/VLOOKUP($R294,Capa!$A:$AJ,BO$5,0)),0,1/VLOOKUP($R294,Capa!$A:$AJ,BO$5,0))))</f>
        <v/>
      </c>
      <c r="BP294" s="174" t="str">
        <f>IF(BP$6="","",IF(BP$3="Maior",iferror(VLOOKUP($R294,Capa!$A:$AJ,BP$5,0),0),IF(ISERROR(1/VLOOKUP($R294,Capa!$A:$AJ,BP$5,0)),0,1/VLOOKUP($R294,Capa!$A:$AJ,BP$5,0))))</f>
        <v/>
      </c>
      <c r="BQ294" s="174" t="str">
        <f>IF(BQ$6="","",IF(BQ$3="Maior",iferror(VLOOKUP($R294,Capa!$A:$AJ,BQ$5,0),0),IF(ISERROR(1/VLOOKUP($R294,Capa!$A:$AJ,BQ$5,0)),0,1/VLOOKUP($R294,Capa!$A:$AJ,BQ$5,0))))</f>
        <v/>
      </c>
      <c r="BR294" s="175"/>
      <c r="BS294" s="147"/>
    </row>
    <row r="295">
      <c r="G295" s="11"/>
      <c r="H295" s="8">
        <v>289.0</v>
      </c>
      <c r="I295" s="165" t="str">
        <f t="shared" si="6"/>
        <v>BAHI3</v>
      </c>
      <c r="J295" s="166" t="str">
        <f>(VLOOKUP($I295,Capa!$A:$B,2,0))</f>
        <v/>
      </c>
      <c r="K295" s="167" t="str">
        <f>VLOOKUP(left(I295,4),Setor!A:D,3,0)&amp;" | "&amp;VLOOKUP(left(I295,4),Setor!A:D,4,0)</f>
        <v>Consumo Cíclico | Diversos</v>
      </c>
      <c r="L295" s="168" t="str">
        <f>(VLOOKUP($I295,Capa!$A:$F,6,0))</f>
        <v/>
      </c>
      <c r="M295" s="168">
        <f t="shared" si="7"/>
        <v>16499</v>
      </c>
      <c r="N295" s="11" t="str">
        <f>(VLOOKUP($I295,Capa!$A:$H,7,0))</f>
        <v/>
      </c>
      <c r="O295" s="169" t="str">
        <f>(VLOOKUP($I295,Capa!$A:$H,8,0))</f>
        <v/>
      </c>
      <c r="P295" s="11" t="str">
        <f>(VLOOKUP($I295,Capa!$A:$J,10,0))</f>
        <v/>
      </c>
      <c r="Q295" s="169" t="str">
        <f>(VLOOKUP($I295,Capa!$A:$K,11,0))</f>
        <v/>
      </c>
      <c r="R295" s="45" t="str">
        <f>'Dados StatusInvest'!A290</f>
        <v>GFSA3</v>
      </c>
      <c r="S295" s="170">
        <f t="shared" si="234"/>
        <v>873.0873</v>
      </c>
      <c r="T295" s="171">
        <f>VLOOKUP(R295,'Dados StatusInvest'!A:Z,26,0)</f>
        <v>2966414</v>
      </c>
      <c r="U295" s="172">
        <f t="shared" ref="U295:AS295" si="298">IF(AT295="","", RANK(AT295,AT$7:AT$626,0)+RANK(AT295,AT$7:AT$626,0)/10000)</f>
        <v>606.0606</v>
      </c>
      <c r="V295" s="172">
        <f t="shared" si="298"/>
        <v>267.0267</v>
      </c>
      <c r="W295" s="172" t="str">
        <f t="shared" si="298"/>
        <v/>
      </c>
      <c r="X295" s="172" t="str">
        <f t="shared" si="298"/>
        <v/>
      </c>
      <c r="Y295" s="172" t="str">
        <f t="shared" si="298"/>
        <v/>
      </c>
      <c r="Z295" s="172" t="str">
        <f t="shared" si="298"/>
        <v/>
      </c>
      <c r="AA295" s="172" t="str">
        <f t="shared" si="298"/>
        <v/>
      </c>
      <c r="AB295" s="172" t="str">
        <f t="shared" si="298"/>
        <v/>
      </c>
      <c r="AC295" s="172" t="str">
        <f t="shared" si="298"/>
        <v/>
      </c>
      <c r="AD295" s="172" t="str">
        <f t="shared" si="298"/>
        <v/>
      </c>
      <c r="AE295" s="172" t="str">
        <f t="shared" si="298"/>
        <v/>
      </c>
      <c r="AF295" s="172" t="str">
        <f t="shared" si="298"/>
        <v/>
      </c>
      <c r="AG295" s="172" t="str">
        <f t="shared" si="298"/>
        <v/>
      </c>
      <c r="AH295" s="172" t="str">
        <f t="shared" si="298"/>
        <v/>
      </c>
      <c r="AI295" s="172" t="str">
        <f t="shared" si="298"/>
        <v/>
      </c>
      <c r="AJ295" s="172" t="str">
        <f t="shared" si="298"/>
        <v/>
      </c>
      <c r="AK295" s="172" t="str">
        <f t="shared" si="298"/>
        <v/>
      </c>
      <c r="AL295" s="172" t="str">
        <f t="shared" si="298"/>
        <v/>
      </c>
      <c r="AM295" s="172" t="str">
        <f t="shared" si="298"/>
        <v/>
      </c>
      <c r="AN295" s="172" t="str">
        <f t="shared" si="298"/>
        <v/>
      </c>
      <c r="AO295" s="172" t="str">
        <f t="shared" si="298"/>
        <v/>
      </c>
      <c r="AP295" s="172" t="str">
        <f t="shared" si="298"/>
        <v/>
      </c>
      <c r="AQ295" s="172" t="str">
        <f t="shared" si="298"/>
        <v/>
      </c>
      <c r="AR295" s="172" t="str">
        <f t="shared" si="298"/>
        <v/>
      </c>
      <c r="AS295" s="172" t="str">
        <f t="shared" si="298"/>
        <v/>
      </c>
      <c r="AT295" s="173">
        <f>IF(AT$6="","",IF(AT$3="Maior",iferror(VLOOKUP($R295,Capa!$A:$AJ,AT$5,0),0),IF(ISERROR(1/VLOOKUP($R295,Capa!$A:$AJ,AT$5,0)),0,1/VLOOKUP($R295,Capa!$A:$AJ,AT$5,0))))</f>
        <v>-32.38636364</v>
      </c>
      <c r="AU295" s="174">
        <f>IF(AU$6="","",IF(AU$3="Maior",iferror(VLOOKUP($R295,Capa!$A:$AJ,AU$5,0),0),IF(ISERROR(1/VLOOKUP($R295,Capa!$A:$AJ,AU$5,0)),0,1/VLOOKUP($R295,Capa!$A:$AJ,AU$5,0))))</f>
        <v>0</v>
      </c>
      <c r="AV295" s="174" t="str">
        <f>IF(AV$6="","",IF(AV$3="Maior",iferror(VLOOKUP($R295,Capa!$A:$AJ,AV$5,0),0),IF(ISERROR(1/VLOOKUP($R295,Capa!$A:$AJ,AV$5,0)),0,1/VLOOKUP($R295,Capa!$A:$AJ,AV$5,0))))</f>
        <v/>
      </c>
      <c r="AW295" s="174" t="str">
        <f>IF(AW$6="","",IF(AW$3="Maior",iferror(VLOOKUP($R295,Capa!$A:$AJ,AW$5,0),0),IF(ISERROR(1/VLOOKUP($R295,Capa!$A:$AJ,AW$5,0)),0,1/VLOOKUP($R295,Capa!$A:$AJ,AW$5,0))))</f>
        <v/>
      </c>
      <c r="AX295" s="174" t="str">
        <f>IF(AX$6="","",IF(AX$3="Maior",iferror(VLOOKUP($R295,Capa!$A:$AJ,AX$5,0),0),IF(ISERROR(1/VLOOKUP($R295,Capa!$A:$AJ,AX$5,0)),0,1/VLOOKUP($R295,Capa!$A:$AJ,AX$5,0))))</f>
        <v/>
      </c>
      <c r="AY295" s="174" t="str">
        <f>IF(AY$6="","",IF(AY$3="Maior",iferror(VLOOKUP($R295,Capa!$A:$AJ,AY$5,0),0),IF(ISERROR(1/VLOOKUP($R295,Capa!$A:$AJ,AY$5,0)),0,1/VLOOKUP($R295,Capa!$A:$AJ,AY$5,0))))</f>
        <v/>
      </c>
      <c r="AZ295" s="174" t="str">
        <f>IF(AZ$6="","",IF(AZ$3="Maior",iferror(VLOOKUP($R295,Capa!$A:$AJ,AZ$5,0),0),IF(ISERROR(1/VLOOKUP($R295,Capa!$A:$AJ,AZ$5,0)),0,1/VLOOKUP($R295,Capa!$A:$AJ,AZ$5,0))))</f>
        <v/>
      </c>
      <c r="BA295" s="174" t="str">
        <f>IF(BA$6="","",IF(BA$3="Maior",iferror(VLOOKUP($R295,Capa!$A:$AJ,BA$5,0),0),IF(ISERROR(1/VLOOKUP($R295,Capa!$A:$AJ,BA$5,0)),0,1/VLOOKUP($R295,Capa!$A:$AJ,BA$5,0))))</f>
        <v/>
      </c>
      <c r="BB295" s="174" t="str">
        <f>IF(BB$6="","",IF(BB$3="Maior",iferror(VLOOKUP($R295,Capa!$A:$AJ,BB$5,0),0),IF(ISERROR(1/VLOOKUP($R295,Capa!$A:$AJ,BB$5,0)),0,1/VLOOKUP($R295,Capa!$A:$AJ,BB$5,0))))</f>
        <v/>
      </c>
      <c r="BC295" s="174" t="str">
        <f>IF(BC$6="","",IF(BC$3="Maior",iferror(VLOOKUP($R295,Capa!$A:$AJ,BC$5,0),0),IF(ISERROR(1/VLOOKUP($R295,Capa!$A:$AJ,BC$5,0)),0,1/VLOOKUP($R295,Capa!$A:$AJ,BC$5,0))))</f>
        <v/>
      </c>
      <c r="BD295" s="174" t="str">
        <f>IF(BD$6="","",IF(BD$3="Maior",iferror(VLOOKUP($R295,Capa!$A:$AJ,BD$5,0),0),IF(ISERROR(1/VLOOKUP($R295,Capa!$A:$AJ,BD$5,0)),0,1/VLOOKUP($R295,Capa!$A:$AJ,BD$5,0))))</f>
        <v/>
      </c>
      <c r="BE295" s="174" t="str">
        <f>IF(BE$6="","",IF(BE$3="Maior",iferror(VLOOKUP($R295,Capa!$A:$AJ,BE$5,0),0),IF(ISERROR(1/VLOOKUP($R295,Capa!$A:$AJ,BE$5,0)),0,1/VLOOKUP($R295,Capa!$A:$AJ,BE$5,0))))</f>
        <v/>
      </c>
      <c r="BF295" s="174" t="str">
        <f>IF(BF$6="","",IF(BF$3="Maior",iferror(VLOOKUP($R295,Capa!$A:$AJ,BF$5,0),0),IF(ISERROR(1/VLOOKUP($R295,Capa!$A:$AJ,BF$5,0)),0,1/VLOOKUP($R295,Capa!$A:$AJ,BF$5,0))))</f>
        <v/>
      </c>
      <c r="BG295" s="174" t="str">
        <f>IF(BG$6="","",IF(BG$3="Maior",iferror(VLOOKUP($R295,Capa!$A:$AJ,BG$5,0),0),IF(ISERROR(1/VLOOKUP($R295,Capa!$A:$AJ,BG$5,0)),0,1/VLOOKUP($R295,Capa!$A:$AJ,BG$5,0))))</f>
        <v/>
      </c>
      <c r="BH295" s="174" t="str">
        <f>IF(BH$6="","",IF(BH$3="Maior",iferror(VLOOKUP($R295,Capa!$A:$AJ,BH$5,0),0),IF(ISERROR(1/VLOOKUP($R295,Capa!$A:$AJ,BH$5,0)),0,1/VLOOKUP($R295,Capa!$A:$AJ,BH$5,0))))</f>
        <v/>
      </c>
      <c r="BI295" s="174" t="str">
        <f>IF(BI$6="","",IF(BI$3="Maior",iferror(VLOOKUP($R295,Capa!$A:$AJ,BI$5,0),0),IF(ISERROR(1/VLOOKUP($R295,Capa!$A:$AJ,BI$5,0)),0,1/VLOOKUP($R295,Capa!$A:$AJ,BI$5,0))))</f>
        <v/>
      </c>
      <c r="BJ295" s="174" t="str">
        <f>IF(BJ$6="","",IF(BJ$3="Maior",iferror(VLOOKUP($R295,Capa!$A:$AJ,BJ$5,0),0),IF(ISERROR(1/VLOOKUP($R295,Capa!$A:$AJ,BJ$5,0)),0,1/VLOOKUP($R295,Capa!$A:$AJ,BJ$5,0))))</f>
        <v/>
      </c>
      <c r="BK295" s="174" t="str">
        <f>IF(BK$6="","",IF(BK$3="Maior",iferror(VLOOKUP($R295,Capa!$A:$AJ,BK$5,0),0),IF(ISERROR(1/VLOOKUP($R295,Capa!$A:$AJ,BK$5,0)),0,1/VLOOKUP($R295,Capa!$A:$AJ,BK$5,0))))</f>
        <v/>
      </c>
      <c r="BL295" s="174" t="str">
        <f>IF(BL$6="","",IF(BL$3="Maior",iferror(VLOOKUP($R295,Capa!$A:$AJ,BL$5,0),0),IF(ISERROR(1/VLOOKUP($R295,Capa!$A:$AJ,BL$5,0)),0,1/VLOOKUP($R295,Capa!$A:$AJ,BL$5,0))))</f>
        <v/>
      </c>
      <c r="BM295" s="174" t="str">
        <f>IF(BM$6="","",IF(BM$3="Maior",iferror(VLOOKUP($R295,Capa!$A:$AJ,BM$5,0),0),IF(ISERROR(1/VLOOKUP($R295,Capa!$A:$AJ,BM$5,0)),0,1/VLOOKUP($R295,Capa!$A:$AJ,BM$5,0))))</f>
        <v/>
      </c>
      <c r="BN295" s="174" t="str">
        <f>IF(BN$6="","",IF(BN$3="Maior",iferror(VLOOKUP($R295,Capa!$A:$AJ,BN$5,0),0),IF(ISERROR(1/VLOOKUP($R295,Capa!$A:$AJ,BN$5,0)),0,1/VLOOKUP($R295,Capa!$A:$AJ,BN$5,0))))</f>
        <v/>
      </c>
      <c r="BO295" s="174" t="str">
        <f>IF(BO$6="","",IF(BO$3="Maior",iferror(VLOOKUP($R295,Capa!$A:$AJ,BO$5,0),0),IF(ISERROR(1/VLOOKUP($R295,Capa!$A:$AJ,BO$5,0)),0,1/VLOOKUP($R295,Capa!$A:$AJ,BO$5,0))))</f>
        <v/>
      </c>
      <c r="BP295" s="174" t="str">
        <f>IF(BP$6="","",IF(BP$3="Maior",iferror(VLOOKUP($R295,Capa!$A:$AJ,BP$5,0),0),IF(ISERROR(1/VLOOKUP($R295,Capa!$A:$AJ,BP$5,0)),0,1/VLOOKUP($R295,Capa!$A:$AJ,BP$5,0))))</f>
        <v/>
      </c>
      <c r="BQ295" s="174" t="str">
        <f>IF(BQ$6="","",IF(BQ$3="Maior",iferror(VLOOKUP($R295,Capa!$A:$AJ,BQ$5,0),0),IF(ISERROR(1/VLOOKUP($R295,Capa!$A:$AJ,BQ$5,0)),0,1/VLOOKUP($R295,Capa!$A:$AJ,BQ$5,0))))</f>
        <v/>
      </c>
      <c r="BR295" s="175"/>
      <c r="BS295" s="147"/>
    </row>
    <row r="296">
      <c r="G296" s="11"/>
      <c r="H296" s="8">
        <v>290.0</v>
      </c>
      <c r="I296" s="165" t="str">
        <f t="shared" si="6"/>
        <v>BAHI3</v>
      </c>
      <c r="J296" s="166" t="str">
        <f>(VLOOKUP($I296,Capa!$A:$B,2,0))</f>
        <v/>
      </c>
      <c r="K296" s="167" t="str">
        <f>VLOOKUP(left(I296,4),Setor!A:D,3,0)&amp;" | "&amp;VLOOKUP(left(I296,4),Setor!A:D,4,0)</f>
        <v>Consumo Cíclico | Diversos</v>
      </c>
      <c r="L296" s="168" t="str">
        <f>(VLOOKUP($I296,Capa!$A:$F,6,0))</f>
        <v/>
      </c>
      <c r="M296" s="168">
        <f t="shared" si="7"/>
        <v>16499</v>
      </c>
      <c r="N296" s="11" t="str">
        <f>(VLOOKUP($I296,Capa!$A:$H,7,0))</f>
        <v/>
      </c>
      <c r="O296" s="169" t="str">
        <f>(VLOOKUP($I296,Capa!$A:$H,8,0))</f>
        <v/>
      </c>
      <c r="P296" s="11" t="str">
        <f>(VLOOKUP($I296,Capa!$A:$J,10,0))</f>
        <v/>
      </c>
      <c r="Q296" s="169" t="str">
        <f>(VLOOKUP($I296,Capa!$A:$K,11,0))</f>
        <v/>
      </c>
      <c r="R296" s="45" t="str">
        <f>'Dados StatusInvest'!A291</f>
        <v>GGBR3</v>
      </c>
      <c r="S296" s="170">
        <f t="shared" si="234"/>
        <v>544.0544</v>
      </c>
      <c r="T296" s="171">
        <f>VLOOKUP(R296,'Dados StatusInvest'!A:Z,26,0)</f>
        <v>1010966</v>
      </c>
      <c r="U296" s="172">
        <f t="shared" ref="U296:AS296" si="299">IF(AT296="","", RANK(AT296,AT$7:AT$626,0)+RANK(AT296,AT$7:AT$626,0)/10000)</f>
        <v>412.0412</v>
      </c>
      <c r="V296" s="172">
        <f t="shared" si="299"/>
        <v>132.0132</v>
      </c>
      <c r="W296" s="172" t="str">
        <f t="shared" si="299"/>
        <v/>
      </c>
      <c r="X296" s="172" t="str">
        <f t="shared" si="299"/>
        <v/>
      </c>
      <c r="Y296" s="172" t="str">
        <f t="shared" si="299"/>
        <v/>
      </c>
      <c r="Z296" s="172" t="str">
        <f t="shared" si="299"/>
        <v/>
      </c>
      <c r="AA296" s="172" t="str">
        <f t="shared" si="299"/>
        <v/>
      </c>
      <c r="AB296" s="172" t="str">
        <f t="shared" si="299"/>
        <v/>
      </c>
      <c r="AC296" s="172" t="str">
        <f t="shared" si="299"/>
        <v/>
      </c>
      <c r="AD296" s="172" t="str">
        <f t="shared" si="299"/>
        <v/>
      </c>
      <c r="AE296" s="172" t="str">
        <f t="shared" si="299"/>
        <v/>
      </c>
      <c r="AF296" s="172" t="str">
        <f t="shared" si="299"/>
        <v/>
      </c>
      <c r="AG296" s="172" t="str">
        <f t="shared" si="299"/>
        <v/>
      </c>
      <c r="AH296" s="172" t="str">
        <f t="shared" si="299"/>
        <v/>
      </c>
      <c r="AI296" s="172" t="str">
        <f t="shared" si="299"/>
        <v/>
      </c>
      <c r="AJ296" s="172" t="str">
        <f t="shared" si="299"/>
        <v/>
      </c>
      <c r="AK296" s="172" t="str">
        <f t="shared" si="299"/>
        <v/>
      </c>
      <c r="AL296" s="172" t="str">
        <f t="shared" si="299"/>
        <v/>
      </c>
      <c r="AM296" s="172" t="str">
        <f t="shared" si="299"/>
        <v/>
      </c>
      <c r="AN296" s="172" t="str">
        <f t="shared" si="299"/>
        <v/>
      </c>
      <c r="AO296" s="172" t="str">
        <f t="shared" si="299"/>
        <v/>
      </c>
      <c r="AP296" s="172" t="str">
        <f t="shared" si="299"/>
        <v/>
      </c>
      <c r="AQ296" s="172" t="str">
        <f t="shared" si="299"/>
        <v/>
      </c>
      <c r="AR296" s="172" t="str">
        <f t="shared" si="299"/>
        <v/>
      </c>
      <c r="AS296" s="172" t="str">
        <f t="shared" si="299"/>
        <v/>
      </c>
      <c r="AT296" s="173">
        <f>IF(AT$6="","",IF(AT$3="Maior",iferror(VLOOKUP($R296,Capa!$A:$AJ,AT$5,0),0),IF(ISERROR(1/VLOOKUP($R296,Capa!$A:$AJ,AT$5,0)),0,1/VLOOKUP($R296,Capa!$A:$AJ,AT$5,0))))</f>
        <v>-1.443302188</v>
      </c>
      <c r="AU296" s="174">
        <f>IF(AU$6="","",IF(AU$3="Maior",iferror(VLOOKUP($R296,Capa!$A:$AJ,AU$5,0),0),IF(ISERROR(1/VLOOKUP($R296,Capa!$A:$AJ,AU$5,0)),0,1/VLOOKUP($R296,Capa!$A:$AJ,AU$5,0))))</f>
        <v>20.05</v>
      </c>
      <c r="AV296" s="174" t="str">
        <f>IF(AV$6="","",IF(AV$3="Maior",iferror(VLOOKUP($R296,Capa!$A:$AJ,AV$5,0),0),IF(ISERROR(1/VLOOKUP($R296,Capa!$A:$AJ,AV$5,0)),0,1/VLOOKUP($R296,Capa!$A:$AJ,AV$5,0))))</f>
        <v/>
      </c>
      <c r="AW296" s="174" t="str">
        <f>IF(AW$6="","",IF(AW$3="Maior",iferror(VLOOKUP($R296,Capa!$A:$AJ,AW$5,0),0),IF(ISERROR(1/VLOOKUP($R296,Capa!$A:$AJ,AW$5,0)),0,1/VLOOKUP($R296,Capa!$A:$AJ,AW$5,0))))</f>
        <v/>
      </c>
      <c r="AX296" s="174" t="str">
        <f>IF(AX$6="","",IF(AX$3="Maior",iferror(VLOOKUP($R296,Capa!$A:$AJ,AX$5,0),0),IF(ISERROR(1/VLOOKUP($R296,Capa!$A:$AJ,AX$5,0)),0,1/VLOOKUP($R296,Capa!$A:$AJ,AX$5,0))))</f>
        <v/>
      </c>
      <c r="AY296" s="174" t="str">
        <f>IF(AY$6="","",IF(AY$3="Maior",iferror(VLOOKUP($R296,Capa!$A:$AJ,AY$5,0),0),IF(ISERROR(1/VLOOKUP($R296,Capa!$A:$AJ,AY$5,0)),0,1/VLOOKUP($R296,Capa!$A:$AJ,AY$5,0))))</f>
        <v/>
      </c>
      <c r="AZ296" s="174" t="str">
        <f>IF(AZ$6="","",IF(AZ$3="Maior",iferror(VLOOKUP($R296,Capa!$A:$AJ,AZ$5,0),0),IF(ISERROR(1/VLOOKUP($R296,Capa!$A:$AJ,AZ$5,0)),0,1/VLOOKUP($R296,Capa!$A:$AJ,AZ$5,0))))</f>
        <v/>
      </c>
      <c r="BA296" s="174" t="str">
        <f>IF(BA$6="","",IF(BA$3="Maior",iferror(VLOOKUP($R296,Capa!$A:$AJ,BA$5,0),0),IF(ISERROR(1/VLOOKUP($R296,Capa!$A:$AJ,BA$5,0)),0,1/VLOOKUP($R296,Capa!$A:$AJ,BA$5,0))))</f>
        <v/>
      </c>
      <c r="BB296" s="174" t="str">
        <f>IF(BB$6="","",IF(BB$3="Maior",iferror(VLOOKUP($R296,Capa!$A:$AJ,BB$5,0),0),IF(ISERROR(1/VLOOKUP($R296,Capa!$A:$AJ,BB$5,0)),0,1/VLOOKUP($R296,Capa!$A:$AJ,BB$5,0))))</f>
        <v/>
      </c>
      <c r="BC296" s="174" t="str">
        <f>IF(BC$6="","",IF(BC$3="Maior",iferror(VLOOKUP($R296,Capa!$A:$AJ,BC$5,0),0),IF(ISERROR(1/VLOOKUP($R296,Capa!$A:$AJ,BC$5,0)),0,1/VLOOKUP($R296,Capa!$A:$AJ,BC$5,0))))</f>
        <v/>
      </c>
      <c r="BD296" s="174" t="str">
        <f>IF(BD$6="","",IF(BD$3="Maior",iferror(VLOOKUP($R296,Capa!$A:$AJ,BD$5,0),0),IF(ISERROR(1/VLOOKUP($R296,Capa!$A:$AJ,BD$5,0)),0,1/VLOOKUP($R296,Capa!$A:$AJ,BD$5,0))))</f>
        <v/>
      </c>
      <c r="BE296" s="174" t="str">
        <f>IF(BE$6="","",IF(BE$3="Maior",iferror(VLOOKUP($R296,Capa!$A:$AJ,BE$5,0),0),IF(ISERROR(1/VLOOKUP($R296,Capa!$A:$AJ,BE$5,0)),0,1/VLOOKUP($R296,Capa!$A:$AJ,BE$5,0))))</f>
        <v/>
      </c>
      <c r="BF296" s="174" t="str">
        <f>IF(BF$6="","",IF(BF$3="Maior",iferror(VLOOKUP($R296,Capa!$A:$AJ,BF$5,0),0),IF(ISERROR(1/VLOOKUP($R296,Capa!$A:$AJ,BF$5,0)),0,1/VLOOKUP($R296,Capa!$A:$AJ,BF$5,0))))</f>
        <v/>
      </c>
      <c r="BG296" s="174" t="str">
        <f>IF(BG$6="","",IF(BG$3="Maior",iferror(VLOOKUP($R296,Capa!$A:$AJ,BG$5,0),0),IF(ISERROR(1/VLOOKUP($R296,Capa!$A:$AJ,BG$5,0)),0,1/VLOOKUP($R296,Capa!$A:$AJ,BG$5,0))))</f>
        <v/>
      </c>
      <c r="BH296" s="174" t="str">
        <f>IF(BH$6="","",IF(BH$3="Maior",iferror(VLOOKUP($R296,Capa!$A:$AJ,BH$5,0),0),IF(ISERROR(1/VLOOKUP($R296,Capa!$A:$AJ,BH$5,0)),0,1/VLOOKUP($R296,Capa!$A:$AJ,BH$5,0))))</f>
        <v/>
      </c>
      <c r="BI296" s="174" t="str">
        <f>IF(BI$6="","",IF(BI$3="Maior",iferror(VLOOKUP($R296,Capa!$A:$AJ,BI$5,0),0),IF(ISERROR(1/VLOOKUP($R296,Capa!$A:$AJ,BI$5,0)),0,1/VLOOKUP($R296,Capa!$A:$AJ,BI$5,0))))</f>
        <v/>
      </c>
      <c r="BJ296" s="174" t="str">
        <f>IF(BJ$6="","",IF(BJ$3="Maior",iferror(VLOOKUP($R296,Capa!$A:$AJ,BJ$5,0),0),IF(ISERROR(1/VLOOKUP($R296,Capa!$A:$AJ,BJ$5,0)),0,1/VLOOKUP($R296,Capa!$A:$AJ,BJ$5,0))))</f>
        <v/>
      </c>
      <c r="BK296" s="174" t="str">
        <f>IF(BK$6="","",IF(BK$3="Maior",iferror(VLOOKUP($R296,Capa!$A:$AJ,BK$5,0),0),IF(ISERROR(1/VLOOKUP($R296,Capa!$A:$AJ,BK$5,0)),0,1/VLOOKUP($R296,Capa!$A:$AJ,BK$5,0))))</f>
        <v/>
      </c>
      <c r="BL296" s="174" t="str">
        <f>IF(BL$6="","",IF(BL$3="Maior",iferror(VLOOKUP($R296,Capa!$A:$AJ,BL$5,0),0),IF(ISERROR(1/VLOOKUP($R296,Capa!$A:$AJ,BL$5,0)),0,1/VLOOKUP($R296,Capa!$A:$AJ,BL$5,0))))</f>
        <v/>
      </c>
      <c r="BM296" s="174" t="str">
        <f>IF(BM$6="","",IF(BM$3="Maior",iferror(VLOOKUP($R296,Capa!$A:$AJ,BM$5,0),0),IF(ISERROR(1/VLOOKUP($R296,Capa!$A:$AJ,BM$5,0)),0,1/VLOOKUP($R296,Capa!$A:$AJ,BM$5,0))))</f>
        <v/>
      </c>
      <c r="BN296" s="174" t="str">
        <f>IF(BN$6="","",IF(BN$3="Maior",iferror(VLOOKUP($R296,Capa!$A:$AJ,BN$5,0),0),IF(ISERROR(1/VLOOKUP($R296,Capa!$A:$AJ,BN$5,0)),0,1/VLOOKUP($R296,Capa!$A:$AJ,BN$5,0))))</f>
        <v/>
      </c>
      <c r="BO296" s="174" t="str">
        <f>IF(BO$6="","",IF(BO$3="Maior",iferror(VLOOKUP($R296,Capa!$A:$AJ,BO$5,0),0),IF(ISERROR(1/VLOOKUP($R296,Capa!$A:$AJ,BO$5,0)),0,1/VLOOKUP($R296,Capa!$A:$AJ,BO$5,0))))</f>
        <v/>
      </c>
      <c r="BP296" s="174" t="str">
        <f>IF(BP$6="","",IF(BP$3="Maior",iferror(VLOOKUP($R296,Capa!$A:$AJ,BP$5,0),0),IF(ISERROR(1/VLOOKUP($R296,Capa!$A:$AJ,BP$5,0)),0,1/VLOOKUP($R296,Capa!$A:$AJ,BP$5,0))))</f>
        <v/>
      </c>
      <c r="BQ296" s="174" t="str">
        <f>IF(BQ$6="","",IF(BQ$3="Maior",iferror(VLOOKUP($R296,Capa!$A:$AJ,BQ$5,0),0),IF(ISERROR(1/VLOOKUP($R296,Capa!$A:$AJ,BQ$5,0)),0,1/VLOOKUP($R296,Capa!$A:$AJ,BQ$5,0))))</f>
        <v/>
      </c>
      <c r="BR296" s="175"/>
      <c r="BS296" s="147"/>
    </row>
    <row r="297">
      <c r="G297" s="11"/>
      <c r="H297" s="8">
        <v>291.0</v>
      </c>
      <c r="I297" s="165" t="str">
        <f t="shared" si="6"/>
        <v>BAHI3</v>
      </c>
      <c r="J297" s="166" t="str">
        <f>(VLOOKUP($I297,Capa!$A:$B,2,0))</f>
        <v/>
      </c>
      <c r="K297" s="167" t="str">
        <f>VLOOKUP(left(I297,4),Setor!A:D,3,0)&amp;" | "&amp;VLOOKUP(left(I297,4),Setor!A:D,4,0)</f>
        <v>Consumo Cíclico | Diversos</v>
      </c>
      <c r="L297" s="168" t="str">
        <f>(VLOOKUP($I297,Capa!$A:$F,6,0))</f>
        <v/>
      </c>
      <c r="M297" s="168">
        <f t="shared" si="7"/>
        <v>16499</v>
      </c>
      <c r="N297" s="11" t="str">
        <f>(VLOOKUP($I297,Capa!$A:$H,7,0))</f>
        <v/>
      </c>
      <c r="O297" s="169" t="str">
        <f>(VLOOKUP($I297,Capa!$A:$H,8,0))</f>
        <v/>
      </c>
      <c r="P297" s="11" t="str">
        <f>(VLOOKUP($I297,Capa!$A:$J,10,0))</f>
        <v/>
      </c>
      <c r="Q297" s="169" t="str">
        <f>(VLOOKUP($I297,Capa!$A:$K,11,0))</f>
        <v/>
      </c>
      <c r="R297" s="45" t="str">
        <f>'Dados StatusInvest'!A292</f>
        <v>GGBR4</v>
      </c>
      <c r="S297" s="170">
        <f t="shared" si="234"/>
        <v>518.0518</v>
      </c>
      <c r="T297" s="171">
        <f>VLOOKUP(R297,'Dados StatusInvest'!A:Z,26,0)</f>
        <v>320000000</v>
      </c>
      <c r="U297" s="172">
        <f t="shared" ref="U297:AS297" si="300">IF(AT297="","", RANK(AT297,AT$7:AT$626,0)+RANK(AT297,AT$7:AT$626,0)/10000)</f>
        <v>386.0386</v>
      </c>
      <c r="V297" s="172">
        <f t="shared" si="300"/>
        <v>132.0132</v>
      </c>
      <c r="W297" s="172" t="str">
        <f t="shared" si="300"/>
        <v/>
      </c>
      <c r="X297" s="172" t="str">
        <f t="shared" si="300"/>
        <v/>
      </c>
      <c r="Y297" s="172" t="str">
        <f t="shared" si="300"/>
        <v/>
      </c>
      <c r="Z297" s="172" t="str">
        <f t="shared" si="300"/>
        <v/>
      </c>
      <c r="AA297" s="172" t="str">
        <f t="shared" si="300"/>
        <v/>
      </c>
      <c r="AB297" s="172" t="str">
        <f t="shared" si="300"/>
        <v/>
      </c>
      <c r="AC297" s="172" t="str">
        <f t="shared" si="300"/>
        <v/>
      </c>
      <c r="AD297" s="172" t="str">
        <f t="shared" si="300"/>
        <v/>
      </c>
      <c r="AE297" s="172" t="str">
        <f t="shared" si="300"/>
        <v/>
      </c>
      <c r="AF297" s="172" t="str">
        <f t="shared" si="300"/>
        <v/>
      </c>
      <c r="AG297" s="172" t="str">
        <f t="shared" si="300"/>
        <v/>
      </c>
      <c r="AH297" s="172" t="str">
        <f t="shared" si="300"/>
        <v/>
      </c>
      <c r="AI297" s="172" t="str">
        <f t="shared" si="300"/>
        <v/>
      </c>
      <c r="AJ297" s="172" t="str">
        <f t="shared" si="300"/>
        <v/>
      </c>
      <c r="AK297" s="172" t="str">
        <f t="shared" si="300"/>
        <v/>
      </c>
      <c r="AL297" s="172" t="str">
        <f t="shared" si="300"/>
        <v/>
      </c>
      <c r="AM297" s="172" t="str">
        <f t="shared" si="300"/>
        <v/>
      </c>
      <c r="AN297" s="172" t="str">
        <f t="shared" si="300"/>
        <v/>
      </c>
      <c r="AO297" s="172" t="str">
        <f t="shared" si="300"/>
        <v/>
      </c>
      <c r="AP297" s="172" t="str">
        <f t="shared" si="300"/>
        <v/>
      </c>
      <c r="AQ297" s="172" t="str">
        <f t="shared" si="300"/>
        <v/>
      </c>
      <c r="AR297" s="172" t="str">
        <f t="shared" si="300"/>
        <v/>
      </c>
      <c r="AS297" s="172" t="str">
        <f t="shared" si="300"/>
        <v/>
      </c>
      <c r="AT297" s="173">
        <f>IF(AT$6="","",IF(AT$3="Maior",iferror(VLOOKUP($R297,Capa!$A:$AJ,AT$5,0),0),IF(ISERROR(1/VLOOKUP($R297,Capa!$A:$AJ,AT$5,0)),0,1/VLOOKUP($R297,Capa!$A:$AJ,AT$5,0))))</f>
        <v>-1.223770259</v>
      </c>
      <c r="AU297" s="174">
        <f>IF(AU$6="","",IF(AU$3="Maior",iferror(VLOOKUP($R297,Capa!$A:$AJ,AU$5,0),0),IF(ISERROR(1/VLOOKUP($R297,Capa!$A:$AJ,AU$5,0)),0,1/VLOOKUP($R297,Capa!$A:$AJ,AU$5,0))))</f>
        <v>20.05</v>
      </c>
      <c r="AV297" s="174" t="str">
        <f>IF(AV$6="","",IF(AV$3="Maior",iferror(VLOOKUP($R297,Capa!$A:$AJ,AV$5,0),0),IF(ISERROR(1/VLOOKUP($R297,Capa!$A:$AJ,AV$5,0)),0,1/VLOOKUP($R297,Capa!$A:$AJ,AV$5,0))))</f>
        <v/>
      </c>
      <c r="AW297" s="174" t="str">
        <f>IF(AW$6="","",IF(AW$3="Maior",iferror(VLOOKUP($R297,Capa!$A:$AJ,AW$5,0),0),IF(ISERROR(1/VLOOKUP($R297,Capa!$A:$AJ,AW$5,0)),0,1/VLOOKUP($R297,Capa!$A:$AJ,AW$5,0))))</f>
        <v/>
      </c>
      <c r="AX297" s="174" t="str">
        <f>IF(AX$6="","",IF(AX$3="Maior",iferror(VLOOKUP($R297,Capa!$A:$AJ,AX$5,0),0),IF(ISERROR(1/VLOOKUP($R297,Capa!$A:$AJ,AX$5,0)),0,1/VLOOKUP($R297,Capa!$A:$AJ,AX$5,0))))</f>
        <v/>
      </c>
      <c r="AY297" s="174" t="str">
        <f>IF(AY$6="","",IF(AY$3="Maior",iferror(VLOOKUP($R297,Capa!$A:$AJ,AY$5,0),0),IF(ISERROR(1/VLOOKUP($R297,Capa!$A:$AJ,AY$5,0)),0,1/VLOOKUP($R297,Capa!$A:$AJ,AY$5,0))))</f>
        <v/>
      </c>
      <c r="AZ297" s="174" t="str">
        <f>IF(AZ$6="","",IF(AZ$3="Maior",iferror(VLOOKUP($R297,Capa!$A:$AJ,AZ$5,0),0),IF(ISERROR(1/VLOOKUP($R297,Capa!$A:$AJ,AZ$5,0)),0,1/VLOOKUP($R297,Capa!$A:$AJ,AZ$5,0))))</f>
        <v/>
      </c>
      <c r="BA297" s="174" t="str">
        <f>IF(BA$6="","",IF(BA$3="Maior",iferror(VLOOKUP($R297,Capa!$A:$AJ,BA$5,0),0),IF(ISERROR(1/VLOOKUP($R297,Capa!$A:$AJ,BA$5,0)),0,1/VLOOKUP($R297,Capa!$A:$AJ,BA$5,0))))</f>
        <v/>
      </c>
      <c r="BB297" s="174" t="str">
        <f>IF(BB$6="","",IF(BB$3="Maior",iferror(VLOOKUP($R297,Capa!$A:$AJ,BB$5,0),0),IF(ISERROR(1/VLOOKUP($R297,Capa!$A:$AJ,BB$5,0)),0,1/VLOOKUP($R297,Capa!$A:$AJ,BB$5,0))))</f>
        <v/>
      </c>
      <c r="BC297" s="174" t="str">
        <f>IF(BC$6="","",IF(BC$3="Maior",iferror(VLOOKUP($R297,Capa!$A:$AJ,BC$5,0),0),IF(ISERROR(1/VLOOKUP($R297,Capa!$A:$AJ,BC$5,0)),0,1/VLOOKUP($R297,Capa!$A:$AJ,BC$5,0))))</f>
        <v/>
      </c>
      <c r="BD297" s="174" t="str">
        <f>IF(BD$6="","",IF(BD$3="Maior",iferror(VLOOKUP($R297,Capa!$A:$AJ,BD$5,0),0),IF(ISERROR(1/VLOOKUP($R297,Capa!$A:$AJ,BD$5,0)),0,1/VLOOKUP($R297,Capa!$A:$AJ,BD$5,0))))</f>
        <v/>
      </c>
      <c r="BE297" s="174" t="str">
        <f>IF(BE$6="","",IF(BE$3="Maior",iferror(VLOOKUP($R297,Capa!$A:$AJ,BE$5,0),0),IF(ISERROR(1/VLOOKUP($R297,Capa!$A:$AJ,BE$5,0)),0,1/VLOOKUP($R297,Capa!$A:$AJ,BE$5,0))))</f>
        <v/>
      </c>
      <c r="BF297" s="174" t="str">
        <f>IF(BF$6="","",IF(BF$3="Maior",iferror(VLOOKUP($R297,Capa!$A:$AJ,BF$5,0),0),IF(ISERROR(1/VLOOKUP($R297,Capa!$A:$AJ,BF$5,0)),0,1/VLOOKUP($R297,Capa!$A:$AJ,BF$5,0))))</f>
        <v/>
      </c>
      <c r="BG297" s="174" t="str">
        <f>IF(BG$6="","",IF(BG$3="Maior",iferror(VLOOKUP($R297,Capa!$A:$AJ,BG$5,0),0),IF(ISERROR(1/VLOOKUP($R297,Capa!$A:$AJ,BG$5,0)),0,1/VLOOKUP($R297,Capa!$A:$AJ,BG$5,0))))</f>
        <v/>
      </c>
      <c r="BH297" s="174" t="str">
        <f>IF(BH$6="","",IF(BH$3="Maior",iferror(VLOOKUP($R297,Capa!$A:$AJ,BH$5,0),0),IF(ISERROR(1/VLOOKUP($R297,Capa!$A:$AJ,BH$5,0)),0,1/VLOOKUP($R297,Capa!$A:$AJ,BH$5,0))))</f>
        <v/>
      </c>
      <c r="BI297" s="174" t="str">
        <f>IF(BI$6="","",IF(BI$3="Maior",iferror(VLOOKUP($R297,Capa!$A:$AJ,BI$5,0),0),IF(ISERROR(1/VLOOKUP($R297,Capa!$A:$AJ,BI$5,0)),0,1/VLOOKUP($R297,Capa!$A:$AJ,BI$5,0))))</f>
        <v/>
      </c>
      <c r="BJ297" s="174" t="str">
        <f>IF(BJ$6="","",IF(BJ$3="Maior",iferror(VLOOKUP($R297,Capa!$A:$AJ,BJ$5,0),0),IF(ISERROR(1/VLOOKUP($R297,Capa!$A:$AJ,BJ$5,0)),0,1/VLOOKUP($R297,Capa!$A:$AJ,BJ$5,0))))</f>
        <v/>
      </c>
      <c r="BK297" s="174" t="str">
        <f>IF(BK$6="","",IF(BK$3="Maior",iferror(VLOOKUP($R297,Capa!$A:$AJ,BK$5,0),0),IF(ISERROR(1/VLOOKUP($R297,Capa!$A:$AJ,BK$5,0)),0,1/VLOOKUP($R297,Capa!$A:$AJ,BK$5,0))))</f>
        <v/>
      </c>
      <c r="BL297" s="174" t="str">
        <f>IF(BL$6="","",IF(BL$3="Maior",iferror(VLOOKUP($R297,Capa!$A:$AJ,BL$5,0),0),IF(ISERROR(1/VLOOKUP($R297,Capa!$A:$AJ,BL$5,0)),0,1/VLOOKUP($R297,Capa!$A:$AJ,BL$5,0))))</f>
        <v/>
      </c>
      <c r="BM297" s="174" t="str">
        <f>IF(BM$6="","",IF(BM$3="Maior",iferror(VLOOKUP($R297,Capa!$A:$AJ,BM$5,0),0),IF(ISERROR(1/VLOOKUP($R297,Capa!$A:$AJ,BM$5,0)),0,1/VLOOKUP($R297,Capa!$A:$AJ,BM$5,0))))</f>
        <v/>
      </c>
      <c r="BN297" s="174" t="str">
        <f>IF(BN$6="","",IF(BN$3="Maior",iferror(VLOOKUP($R297,Capa!$A:$AJ,BN$5,0),0),IF(ISERROR(1/VLOOKUP($R297,Capa!$A:$AJ,BN$5,0)),0,1/VLOOKUP($R297,Capa!$A:$AJ,BN$5,0))))</f>
        <v/>
      </c>
      <c r="BO297" s="174" t="str">
        <f>IF(BO$6="","",IF(BO$3="Maior",iferror(VLOOKUP($R297,Capa!$A:$AJ,BO$5,0),0),IF(ISERROR(1/VLOOKUP($R297,Capa!$A:$AJ,BO$5,0)),0,1/VLOOKUP($R297,Capa!$A:$AJ,BO$5,0))))</f>
        <v/>
      </c>
      <c r="BP297" s="174" t="str">
        <f>IF(BP$6="","",IF(BP$3="Maior",iferror(VLOOKUP($R297,Capa!$A:$AJ,BP$5,0),0),IF(ISERROR(1/VLOOKUP($R297,Capa!$A:$AJ,BP$5,0)),0,1/VLOOKUP($R297,Capa!$A:$AJ,BP$5,0))))</f>
        <v/>
      </c>
      <c r="BQ297" s="174" t="str">
        <f>IF(BQ$6="","",IF(BQ$3="Maior",iferror(VLOOKUP($R297,Capa!$A:$AJ,BQ$5,0),0),IF(ISERROR(1/VLOOKUP($R297,Capa!$A:$AJ,BQ$5,0)),0,1/VLOOKUP($R297,Capa!$A:$AJ,BQ$5,0))))</f>
        <v/>
      </c>
      <c r="BR297" s="175"/>
      <c r="BS297" s="147"/>
    </row>
    <row r="298">
      <c r="G298" s="11"/>
      <c r="H298" s="8">
        <v>292.0</v>
      </c>
      <c r="I298" s="165" t="str">
        <f t="shared" si="6"/>
        <v>OGXP3</v>
      </c>
      <c r="J298" s="166" t="str">
        <f>(VLOOKUP($I298,Capa!$A:$B,2,0))</f>
        <v/>
      </c>
      <c r="K298" s="167" t="str">
        <f>VLOOKUP(left(I298,4),Setor!A:D,3,0)&amp;" | "&amp;VLOOKUP(left(I298,4),Setor!A:D,4,0)</f>
        <v>#N/A</v>
      </c>
      <c r="L298" s="168" t="str">
        <f>(VLOOKUP($I298,Capa!$A:$F,6,0))</f>
        <v/>
      </c>
      <c r="M298" s="168">
        <f t="shared" si="7"/>
        <v>0</v>
      </c>
      <c r="N298" s="11" t="str">
        <f>(VLOOKUP($I298,Capa!$A:$H,7,0))</f>
        <v/>
      </c>
      <c r="O298" s="169" t="str">
        <f>(VLOOKUP($I298,Capa!$A:$H,8,0))</f>
        <v/>
      </c>
      <c r="P298" s="11" t="str">
        <f>(VLOOKUP($I298,Capa!$A:$J,10,0))</f>
        <v/>
      </c>
      <c r="Q298" s="169" t="str">
        <f>(VLOOKUP($I298,Capa!$A:$K,11,0))</f>
        <v/>
      </c>
      <c r="R298" s="45" t="str">
        <f>'Dados StatusInvest'!A293</f>
        <v>GGPS3</v>
      </c>
      <c r="S298" s="170">
        <f t="shared" si="234"/>
        <v>352.0352</v>
      </c>
      <c r="T298" s="171">
        <f>VLOOKUP(R298,'Dados StatusInvest'!A:Z,26,0)</f>
        <v>56898091</v>
      </c>
      <c r="U298" s="172">
        <f t="shared" ref="U298:AS298" si="301">IF(AT298="","", RANK(AT298,AT$7:AT$626,0)+RANK(AT298,AT$7:AT$626,0)/10000)</f>
        <v>240.024</v>
      </c>
      <c r="V298" s="172">
        <f t="shared" si="301"/>
        <v>112.0112</v>
      </c>
      <c r="W298" s="172" t="str">
        <f t="shared" si="301"/>
        <v/>
      </c>
      <c r="X298" s="172" t="str">
        <f t="shared" si="301"/>
        <v/>
      </c>
      <c r="Y298" s="172" t="str">
        <f t="shared" si="301"/>
        <v/>
      </c>
      <c r="Z298" s="172" t="str">
        <f t="shared" si="301"/>
        <v/>
      </c>
      <c r="AA298" s="172" t="str">
        <f t="shared" si="301"/>
        <v/>
      </c>
      <c r="AB298" s="172" t="str">
        <f t="shared" si="301"/>
        <v/>
      </c>
      <c r="AC298" s="172" t="str">
        <f t="shared" si="301"/>
        <v/>
      </c>
      <c r="AD298" s="172" t="str">
        <f t="shared" si="301"/>
        <v/>
      </c>
      <c r="AE298" s="172" t="str">
        <f t="shared" si="301"/>
        <v/>
      </c>
      <c r="AF298" s="172" t="str">
        <f t="shared" si="301"/>
        <v/>
      </c>
      <c r="AG298" s="172" t="str">
        <f t="shared" si="301"/>
        <v/>
      </c>
      <c r="AH298" s="172" t="str">
        <f t="shared" si="301"/>
        <v/>
      </c>
      <c r="AI298" s="172" t="str">
        <f t="shared" si="301"/>
        <v/>
      </c>
      <c r="AJ298" s="172" t="str">
        <f t="shared" si="301"/>
        <v/>
      </c>
      <c r="AK298" s="172" t="str">
        <f t="shared" si="301"/>
        <v/>
      </c>
      <c r="AL298" s="172" t="str">
        <f t="shared" si="301"/>
        <v/>
      </c>
      <c r="AM298" s="172" t="str">
        <f t="shared" si="301"/>
        <v/>
      </c>
      <c r="AN298" s="172" t="str">
        <f t="shared" si="301"/>
        <v/>
      </c>
      <c r="AO298" s="172" t="str">
        <f t="shared" si="301"/>
        <v/>
      </c>
      <c r="AP298" s="172" t="str">
        <f t="shared" si="301"/>
        <v/>
      </c>
      <c r="AQ298" s="172" t="str">
        <f t="shared" si="301"/>
        <v/>
      </c>
      <c r="AR298" s="172" t="str">
        <f t="shared" si="301"/>
        <v/>
      </c>
      <c r="AS298" s="172" t="str">
        <f t="shared" si="301"/>
        <v/>
      </c>
      <c r="AT298" s="173">
        <f>IF(AT$6="","",IF(AT$3="Maior",iferror(VLOOKUP($R298,Capa!$A:$AJ,AT$5,0),0),IF(ISERROR(1/VLOOKUP($R298,Capa!$A:$AJ,AT$5,0)),0,1/VLOOKUP($R298,Capa!$A:$AJ,AT$5,0))))</f>
        <v>-0.4529280811</v>
      </c>
      <c r="AU298" s="174">
        <f>IF(AU$6="","",IF(AU$3="Maior",iferror(VLOOKUP($R298,Capa!$A:$AJ,AU$5,0),0),IF(ISERROR(1/VLOOKUP($R298,Capa!$A:$AJ,AU$5,0)),0,1/VLOOKUP($R298,Capa!$A:$AJ,AU$5,0))))</f>
        <v>25.4</v>
      </c>
      <c r="AV298" s="174" t="str">
        <f>IF(AV$6="","",IF(AV$3="Maior",iferror(VLOOKUP($R298,Capa!$A:$AJ,AV$5,0),0),IF(ISERROR(1/VLOOKUP($R298,Capa!$A:$AJ,AV$5,0)),0,1/VLOOKUP($R298,Capa!$A:$AJ,AV$5,0))))</f>
        <v/>
      </c>
      <c r="AW298" s="174" t="str">
        <f>IF(AW$6="","",IF(AW$3="Maior",iferror(VLOOKUP($R298,Capa!$A:$AJ,AW$5,0),0),IF(ISERROR(1/VLOOKUP($R298,Capa!$A:$AJ,AW$5,0)),0,1/VLOOKUP($R298,Capa!$A:$AJ,AW$5,0))))</f>
        <v/>
      </c>
      <c r="AX298" s="174" t="str">
        <f>IF(AX$6="","",IF(AX$3="Maior",iferror(VLOOKUP($R298,Capa!$A:$AJ,AX$5,0),0),IF(ISERROR(1/VLOOKUP($R298,Capa!$A:$AJ,AX$5,0)),0,1/VLOOKUP($R298,Capa!$A:$AJ,AX$5,0))))</f>
        <v/>
      </c>
      <c r="AY298" s="174" t="str">
        <f>IF(AY$6="","",IF(AY$3="Maior",iferror(VLOOKUP($R298,Capa!$A:$AJ,AY$5,0),0),IF(ISERROR(1/VLOOKUP($R298,Capa!$A:$AJ,AY$5,0)),0,1/VLOOKUP($R298,Capa!$A:$AJ,AY$5,0))))</f>
        <v/>
      </c>
      <c r="AZ298" s="174" t="str">
        <f>IF(AZ$6="","",IF(AZ$3="Maior",iferror(VLOOKUP($R298,Capa!$A:$AJ,AZ$5,0),0),IF(ISERROR(1/VLOOKUP($R298,Capa!$A:$AJ,AZ$5,0)),0,1/VLOOKUP($R298,Capa!$A:$AJ,AZ$5,0))))</f>
        <v/>
      </c>
      <c r="BA298" s="174" t="str">
        <f>IF(BA$6="","",IF(BA$3="Maior",iferror(VLOOKUP($R298,Capa!$A:$AJ,BA$5,0),0),IF(ISERROR(1/VLOOKUP($R298,Capa!$A:$AJ,BA$5,0)),0,1/VLOOKUP($R298,Capa!$A:$AJ,BA$5,0))))</f>
        <v/>
      </c>
      <c r="BB298" s="174" t="str">
        <f>IF(BB$6="","",IF(BB$3="Maior",iferror(VLOOKUP($R298,Capa!$A:$AJ,BB$5,0),0),IF(ISERROR(1/VLOOKUP($R298,Capa!$A:$AJ,BB$5,0)),0,1/VLOOKUP($R298,Capa!$A:$AJ,BB$5,0))))</f>
        <v/>
      </c>
      <c r="BC298" s="174" t="str">
        <f>IF(BC$6="","",IF(BC$3="Maior",iferror(VLOOKUP($R298,Capa!$A:$AJ,BC$5,0),0),IF(ISERROR(1/VLOOKUP($R298,Capa!$A:$AJ,BC$5,0)),0,1/VLOOKUP($R298,Capa!$A:$AJ,BC$5,0))))</f>
        <v/>
      </c>
      <c r="BD298" s="174" t="str">
        <f>IF(BD$6="","",IF(BD$3="Maior",iferror(VLOOKUP($R298,Capa!$A:$AJ,BD$5,0),0),IF(ISERROR(1/VLOOKUP($R298,Capa!$A:$AJ,BD$5,0)),0,1/VLOOKUP($R298,Capa!$A:$AJ,BD$5,0))))</f>
        <v/>
      </c>
      <c r="BE298" s="174" t="str">
        <f>IF(BE$6="","",IF(BE$3="Maior",iferror(VLOOKUP($R298,Capa!$A:$AJ,BE$5,0),0),IF(ISERROR(1/VLOOKUP($R298,Capa!$A:$AJ,BE$5,0)),0,1/VLOOKUP($R298,Capa!$A:$AJ,BE$5,0))))</f>
        <v/>
      </c>
      <c r="BF298" s="174" t="str">
        <f>IF(BF$6="","",IF(BF$3="Maior",iferror(VLOOKUP($R298,Capa!$A:$AJ,BF$5,0),0),IF(ISERROR(1/VLOOKUP($R298,Capa!$A:$AJ,BF$5,0)),0,1/VLOOKUP($R298,Capa!$A:$AJ,BF$5,0))))</f>
        <v/>
      </c>
      <c r="BG298" s="174" t="str">
        <f>IF(BG$6="","",IF(BG$3="Maior",iferror(VLOOKUP($R298,Capa!$A:$AJ,BG$5,0),0),IF(ISERROR(1/VLOOKUP($R298,Capa!$A:$AJ,BG$5,0)),0,1/VLOOKUP($R298,Capa!$A:$AJ,BG$5,0))))</f>
        <v/>
      </c>
      <c r="BH298" s="174" t="str">
        <f>IF(BH$6="","",IF(BH$3="Maior",iferror(VLOOKUP($R298,Capa!$A:$AJ,BH$5,0),0),IF(ISERROR(1/VLOOKUP($R298,Capa!$A:$AJ,BH$5,0)),0,1/VLOOKUP($R298,Capa!$A:$AJ,BH$5,0))))</f>
        <v/>
      </c>
      <c r="BI298" s="174" t="str">
        <f>IF(BI$6="","",IF(BI$3="Maior",iferror(VLOOKUP($R298,Capa!$A:$AJ,BI$5,0),0),IF(ISERROR(1/VLOOKUP($R298,Capa!$A:$AJ,BI$5,0)),0,1/VLOOKUP($R298,Capa!$A:$AJ,BI$5,0))))</f>
        <v/>
      </c>
      <c r="BJ298" s="174" t="str">
        <f>IF(BJ$6="","",IF(BJ$3="Maior",iferror(VLOOKUP($R298,Capa!$A:$AJ,BJ$5,0),0),IF(ISERROR(1/VLOOKUP($R298,Capa!$A:$AJ,BJ$5,0)),0,1/VLOOKUP($R298,Capa!$A:$AJ,BJ$5,0))))</f>
        <v/>
      </c>
      <c r="BK298" s="174" t="str">
        <f>IF(BK$6="","",IF(BK$3="Maior",iferror(VLOOKUP($R298,Capa!$A:$AJ,BK$5,0),0),IF(ISERROR(1/VLOOKUP($R298,Capa!$A:$AJ,BK$5,0)),0,1/VLOOKUP($R298,Capa!$A:$AJ,BK$5,0))))</f>
        <v/>
      </c>
      <c r="BL298" s="174" t="str">
        <f>IF(BL$6="","",IF(BL$3="Maior",iferror(VLOOKUP($R298,Capa!$A:$AJ,BL$5,0),0),IF(ISERROR(1/VLOOKUP($R298,Capa!$A:$AJ,BL$5,0)),0,1/VLOOKUP($R298,Capa!$A:$AJ,BL$5,0))))</f>
        <v/>
      </c>
      <c r="BM298" s="174" t="str">
        <f>IF(BM$6="","",IF(BM$3="Maior",iferror(VLOOKUP($R298,Capa!$A:$AJ,BM$5,0),0),IF(ISERROR(1/VLOOKUP($R298,Capa!$A:$AJ,BM$5,0)),0,1/VLOOKUP($R298,Capa!$A:$AJ,BM$5,0))))</f>
        <v/>
      </c>
      <c r="BN298" s="174" t="str">
        <f>IF(BN$6="","",IF(BN$3="Maior",iferror(VLOOKUP($R298,Capa!$A:$AJ,BN$5,0),0),IF(ISERROR(1/VLOOKUP($R298,Capa!$A:$AJ,BN$5,0)),0,1/VLOOKUP($R298,Capa!$A:$AJ,BN$5,0))))</f>
        <v/>
      </c>
      <c r="BO298" s="174" t="str">
        <f>IF(BO$6="","",IF(BO$3="Maior",iferror(VLOOKUP($R298,Capa!$A:$AJ,BO$5,0),0),IF(ISERROR(1/VLOOKUP($R298,Capa!$A:$AJ,BO$5,0)),0,1/VLOOKUP($R298,Capa!$A:$AJ,BO$5,0))))</f>
        <v/>
      </c>
      <c r="BP298" s="174" t="str">
        <f>IF(BP$6="","",IF(BP$3="Maior",iferror(VLOOKUP($R298,Capa!$A:$AJ,BP$5,0),0),IF(ISERROR(1/VLOOKUP($R298,Capa!$A:$AJ,BP$5,0)),0,1/VLOOKUP($R298,Capa!$A:$AJ,BP$5,0))))</f>
        <v/>
      </c>
      <c r="BQ298" s="174" t="str">
        <f>IF(BQ$6="","",IF(BQ$3="Maior",iferror(VLOOKUP($R298,Capa!$A:$AJ,BQ$5,0),0),IF(ISERROR(1/VLOOKUP($R298,Capa!$A:$AJ,BQ$5,0)),0,1/VLOOKUP($R298,Capa!$A:$AJ,BQ$5,0))))</f>
        <v/>
      </c>
      <c r="BR298" s="175"/>
      <c r="BS298" s="147"/>
    </row>
    <row r="299">
      <c r="G299" s="11"/>
      <c r="H299" s="8">
        <v>293.0</v>
      </c>
      <c r="I299" s="165" t="str">
        <f t="shared" si="6"/>
        <v>BALM3</v>
      </c>
      <c r="J299" s="166" t="str">
        <f>(VLOOKUP($I299,Capa!$A:$B,2,0))</f>
        <v>Baumer SA</v>
      </c>
      <c r="K299" s="167" t="str">
        <f>VLOOKUP(left(I299,4),Setor!A:D,3,0)&amp;" | "&amp;VLOOKUP(left(I299,4),Setor!A:D,4,0)</f>
        <v>Saúde | Equipamentos</v>
      </c>
      <c r="L299" s="168">
        <f>(VLOOKUP($I299,Capa!$A:$F,6,0))</f>
        <v>26</v>
      </c>
      <c r="M299" s="168">
        <f t="shared" si="7"/>
        <v>7411.71</v>
      </c>
      <c r="N299" s="11" t="str">
        <f>IFERROR(__xludf.DUMMYFUNCTION("(VLOOKUP($I299,Capa!$A:$H,7,0))"),"")</f>
        <v/>
      </c>
      <c r="O299" s="169">
        <f>(VLOOKUP($I299,Capa!$A:$H,8,0))</f>
        <v>-0.1333333333</v>
      </c>
      <c r="P299" s="11" t="str">
        <f>IFERROR(__xludf.DUMMYFUNCTION("(VLOOKUP($I299,Capa!$A:$J,10,0))"),"")</f>
        <v/>
      </c>
      <c r="Q299" s="169">
        <f>(VLOOKUP($I299,Capa!$A:$K,11,0))</f>
        <v>0.531213192</v>
      </c>
      <c r="R299" s="45" t="str">
        <f>'Dados StatusInvest'!A294</f>
        <v>GMAT3</v>
      </c>
      <c r="S299" s="170">
        <f t="shared" si="234"/>
        <v>378.0378</v>
      </c>
      <c r="T299" s="171">
        <f>VLOOKUP(R299,'Dados StatusInvest'!A:Z,26,0)</f>
        <v>42505218</v>
      </c>
      <c r="U299" s="172">
        <f t="shared" ref="U299:AS299" si="302">IF(AT299="","", RANK(AT299,AT$7:AT$626,0)+RANK(AT299,AT$7:AT$626,0)/10000)</f>
        <v>332.0332</v>
      </c>
      <c r="V299" s="172">
        <f t="shared" si="302"/>
        <v>46.0046</v>
      </c>
      <c r="W299" s="172" t="str">
        <f t="shared" si="302"/>
        <v/>
      </c>
      <c r="X299" s="172" t="str">
        <f t="shared" si="302"/>
        <v/>
      </c>
      <c r="Y299" s="172" t="str">
        <f t="shared" si="302"/>
        <v/>
      </c>
      <c r="Z299" s="172" t="str">
        <f t="shared" si="302"/>
        <v/>
      </c>
      <c r="AA299" s="172" t="str">
        <f t="shared" si="302"/>
        <v/>
      </c>
      <c r="AB299" s="172" t="str">
        <f t="shared" si="302"/>
        <v/>
      </c>
      <c r="AC299" s="172" t="str">
        <f t="shared" si="302"/>
        <v/>
      </c>
      <c r="AD299" s="172" t="str">
        <f t="shared" si="302"/>
        <v/>
      </c>
      <c r="AE299" s="172" t="str">
        <f t="shared" si="302"/>
        <v/>
      </c>
      <c r="AF299" s="172" t="str">
        <f t="shared" si="302"/>
        <v/>
      </c>
      <c r="AG299" s="172" t="str">
        <f t="shared" si="302"/>
        <v/>
      </c>
      <c r="AH299" s="172" t="str">
        <f t="shared" si="302"/>
        <v/>
      </c>
      <c r="AI299" s="172" t="str">
        <f t="shared" si="302"/>
        <v/>
      </c>
      <c r="AJ299" s="172" t="str">
        <f t="shared" si="302"/>
        <v/>
      </c>
      <c r="AK299" s="172" t="str">
        <f t="shared" si="302"/>
        <v/>
      </c>
      <c r="AL299" s="172" t="str">
        <f t="shared" si="302"/>
        <v/>
      </c>
      <c r="AM299" s="172" t="str">
        <f t="shared" si="302"/>
        <v/>
      </c>
      <c r="AN299" s="172" t="str">
        <f t="shared" si="302"/>
        <v/>
      </c>
      <c r="AO299" s="172" t="str">
        <f t="shared" si="302"/>
        <v/>
      </c>
      <c r="AP299" s="172" t="str">
        <f t="shared" si="302"/>
        <v/>
      </c>
      <c r="AQ299" s="172" t="str">
        <f t="shared" si="302"/>
        <v/>
      </c>
      <c r="AR299" s="172" t="str">
        <f t="shared" si="302"/>
        <v/>
      </c>
      <c r="AS299" s="172" t="str">
        <f t="shared" si="302"/>
        <v/>
      </c>
      <c r="AT299" s="173">
        <f>IF(AT$6="","",IF(AT$3="Maior",iferror(VLOOKUP($R299,Capa!$A:$AJ,AT$5,0),0),IF(ISERROR(1/VLOOKUP($R299,Capa!$A:$AJ,AT$5,0)),0,1/VLOOKUP($R299,Capa!$A:$AJ,AT$5,0))))</f>
        <v>-0.8771929825</v>
      </c>
      <c r="AU299" s="174">
        <f>IF(AU$6="","",IF(AU$3="Maior",iferror(VLOOKUP($R299,Capa!$A:$AJ,AU$5,0),0),IF(ISERROR(1/VLOOKUP($R299,Capa!$A:$AJ,AU$5,0)),0,1/VLOOKUP($R299,Capa!$A:$AJ,AU$5,0))))</f>
        <v>41</v>
      </c>
      <c r="AV299" s="174" t="str">
        <f>IF(AV$6="","",IF(AV$3="Maior",iferror(VLOOKUP($R299,Capa!$A:$AJ,AV$5,0),0),IF(ISERROR(1/VLOOKUP($R299,Capa!$A:$AJ,AV$5,0)),0,1/VLOOKUP($R299,Capa!$A:$AJ,AV$5,0))))</f>
        <v/>
      </c>
      <c r="AW299" s="174" t="str">
        <f>IF(AW$6="","",IF(AW$3="Maior",iferror(VLOOKUP($R299,Capa!$A:$AJ,AW$5,0),0),IF(ISERROR(1/VLOOKUP($R299,Capa!$A:$AJ,AW$5,0)),0,1/VLOOKUP($R299,Capa!$A:$AJ,AW$5,0))))</f>
        <v/>
      </c>
      <c r="AX299" s="174" t="str">
        <f>IF(AX$6="","",IF(AX$3="Maior",iferror(VLOOKUP($R299,Capa!$A:$AJ,AX$5,0),0),IF(ISERROR(1/VLOOKUP($R299,Capa!$A:$AJ,AX$5,0)),0,1/VLOOKUP($R299,Capa!$A:$AJ,AX$5,0))))</f>
        <v/>
      </c>
      <c r="AY299" s="174" t="str">
        <f>IF(AY$6="","",IF(AY$3="Maior",iferror(VLOOKUP($R299,Capa!$A:$AJ,AY$5,0),0),IF(ISERROR(1/VLOOKUP($R299,Capa!$A:$AJ,AY$5,0)),0,1/VLOOKUP($R299,Capa!$A:$AJ,AY$5,0))))</f>
        <v/>
      </c>
      <c r="AZ299" s="174" t="str">
        <f>IF(AZ$6="","",IF(AZ$3="Maior",iferror(VLOOKUP($R299,Capa!$A:$AJ,AZ$5,0),0),IF(ISERROR(1/VLOOKUP($R299,Capa!$A:$AJ,AZ$5,0)),0,1/VLOOKUP($R299,Capa!$A:$AJ,AZ$5,0))))</f>
        <v/>
      </c>
      <c r="BA299" s="174" t="str">
        <f>IF(BA$6="","",IF(BA$3="Maior",iferror(VLOOKUP($R299,Capa!$A:$AJ,BA$5,0),0),IF(ISERROR(1/VLOOKUP($R299,Capa!$A:$AJ,BA$5,0)),0,1/VLOOKUP($R299,Capa!$A:$AJ,BA$5,0))))</f>
        <v/>
      </c>
      <c r="BB299" s="174" t="str">
        <f>IF(BB$6="","",IF(BB$3="Maior",iferror(VLOOKUP($R299,Capa!$A:$AJ,BB$5,0),0),IF(ISERROR(1/VLOOKUP($R299,Capa!$A:$AJ,BB$5,0)),0,1/VLOOKUP($R299,Capa!$A:$AJ,BB$5,0))))</f>
        <v/>
      </c>
      <c r="BC299" s="174" t="str">
        <f>IF(BC$6="","",IF(BC$3="Maior",iferror(VLOOKUP($R299,Capa!$A:$AJ,BC$5,0),0),IF(ISERROR(1/VLOOKUP($R299,Capa!$A:$AJ,BC$5,0)),0,1/VLOOKUP($R299,Capa!$A:$AJ,BC$5,0))))</f>
        <v/>
      </c>
      <c r="BD299" s="174" t="str">
        <f>IF(BD$6="","",IF(BD$3="Maior",iferror(VLOOKUP($R299,Capa!$A:$AJ,BD$5,0),0),IF(ISERROR(1/VLOOKUP($R299,Capa!$A:$AJ,BD$5,0)),0,1/VLOOKUP($R299,Capa!$A:$AJ,BD$5,0))))</f>
        <v/>
      </c>
      <c r="BE299" s="174" t="str">
        <f>IF(BE$6="","",IF(BE$3="Maior",iferror(VLOOKUP($R299,Capa!$A:$AJ,BE$5,0),0),IF(ISERROR(1/VLOOKUP($R299,Capa!$A:$AJ,BE$5,0)),0,1/VLOOKUP($R299,Capa!$A:$AJ,BE$5,0))))</f>
        <v/>
      </c>
      <c r="BF299" s="174" t="str">
        <f>IF(BF$6="","",IF(BF$3="Maior",iferror(VLOOKUP($R299,Capa!$A:$AJ,BF$5,0),0),IF(ISERROR(1/VLOOKUP($R299,Capa!$A:$AJ,BF$5,0)),0,1/VLOOKUP($R299,Capa!$A:$AJ,BF$5,0))))</f>
        <v/>
      </c>
      <c r="BG299" s="174" t="str">
        <f>IF(BG$6="","",IF(BG$3="Maior",iferror(VLOOKUP($R299,Capa!$A:$AJ,BG$5,0),0),IF(ISERROR(1/VLOOKUP($R299,Capa!$A:$AJ,BG$5,0)),0,1/VLOOKUP($R299,Capa!$A:$AJ,BG$5,0))))</f>
        <v/>
      </c>
      <c r="BH299" s="174" t="str">
        <f>IF(BH$6="","",IF(BH$3="Maior",iferror(VLOOKUP($R299,Capa!$A:$AJ,BH$5,0),0),IF(ISERROR(1/VLOOKUP($R299,Capa!$A:$AJ,BH$5,0)),0,1/VLOOKUP($R299,Capa!$A:$AJ,BH$5,0))))</f>
        <v/>
      </c>
      <c r="BI299" s="174" t="str">
        <f>IF(BI$6="","",IF(BI$3="Maior",iferror(VLOOKUP($R299,Capa!$A:$AJ,BI$5,0),0),IF(ISERROR(1/VLOOKUP($R299,Capa!$A:$AJ,BI$5,0)),0,1/VLOOKUP($R299,Capa!$A:$AJ,BI$5,0))))</f>
        <v/>
      </c>
      <c r="BJ299" s="174" t="str">
        <f>IF(BJ$6="","",IF(BJ$3="Maior",iferror(VLOOKUP($R299,Capa!$A:$AJ,BJ$5,0),0),IF(ISERROR(1/VLOOKUP($R299,Capa!$A:$AJ,BJ$5,0)),0,1/VLOOKUP($R299,Capa!$A:$AJ,BJ$5,0))))</f>
        <v/>
      </c>
      <c r="BK299" s="174" t="str">
        <f>IF(BK$6="","",IF(BK$3="Maior",iferror(VLOOKUP($R299,Capa!$A:$AJ,BK$5,0),0),IF(ISERROR(1/VLOOKUP($R299,Capa!$A:$AJ,BK$5,0)),0,1/VLOOKUP($R299,Capa!$A:$AJ,BK$5,0))))</f>
        <v/>
      </c>
      <c r="BL299" s="174" t="str">
        <f>IF(BL$6="","",IF(BL$3="Maior",iferror(VLOOKUP($R299,Capa!$A:$AJ,BL$5,0),0),IF(ISERROR(1/VLOOKUP($R299,Capa!$A:$AJ,BL$5,0)),0,1/VLOOKUP($R299,Capa!$A:$AJ,BL$5,0))))</f>
        <v/>
      </c>
      <c r="BM299" s="174" t="str">
        <f>IF(BM$6="","",IF(BM$3="Maior",iferror(VLOOKUP($R299,Capa!$A:$AJ,BM$5,0),0),IF(ISERROR(1/VLOOKUP($R299,Capa!$A:$AJ,BM$5,0)),0,1/VLOOKUP($R299,Capa!$A:$AJ,BM$5,0))))</f>
        <v/>
      </c>
      <c r="BN299" s="174" t="str">
        <f>IF(BN$6="","",IF(BN$3="Maior",iferror(VLOOKUP($R299,Capa!$A:$AJ,BN$5,0),0),IF(ISERROR(1/VLOOKUP($R299,Capa!$A:$AJ,BN$5,0)),0,1/VLOOKUP($R299,Capa!$A:$AJ,BN$5,0))))</f>
        <v/>
      </c>
      <c r="BO299" s="174" t="str">
        <f>IF(BO$6="","",IF(BO$3="Maior",iferror(VLOOKUP($R299,Capa!$A:$AJ,BO$5,0),0),IF(ISERROR(1/VLOOKUP($R299,Capa!$A:$AJ,BO$5,0)),0,1/VLOOKUP($R299,Capa!$A:$AJ,BO$5,0))))</f>
        <v/>
      </c>
      <c r="BP299" s="174" t="str">
        <f>IF(BP$6="","",IF(BP$3="Maior",iferror(VLOOKUP($R299,Capa!$A:$AJ,BP$5,0),0),IF(ISERROR(1/VLOOKUP($R299,Capa!$A:$AJ,BP$5,0)),0,1/VLOOKUP($R299,Capa!$A:$AJ,BP$5,0))))</f>
        <v/>
      </c>
      <c r="BQ299" s="174" t="str">
        <f>IF(BQ$6="","",IF(BQ$3="Maior",iferror(VLOOKUP($R299,Capa!$A:$AJ,BQ$5,0),0),IF(ISERROR(1/VLOOKUP($R299,Capa!$A:$AJ,BQ$5,0)),0,1/VLOOKUP($R299,Capa!$A:$AJ,BQ$5,0))))</f>
        <v/>
      </c>
      <c r="BR299" s="175"/>
      <c r="BS299" s="147"/>
    </row>
    <row r="300">
      <c r="G300" s="11"/>
      <c r="H300" s="8">
        <v>294.0</v>
      </c>
      <c r="I300" s="165" t="str">
        <f t="shared" si="6"/>
        <v>BALM3</v>
      </c>
      <c r="J300" s="166" t="str">
        <f>(VLOOKUP($I300,Capa!$A:$B,2,0))</f>
        <v>Baumer SA</v>
      </c>
      <c r="K300" s="167" t="str">
        <f>VLOOKUP(left(I300,4),Setor!A:D,3,0)&amp;" | "&amp;VLOOKUP(left(I300,4),Setor!A:D,4,0)</f>
        <v>Saúde | Equipamentos</v>
      </c>
      <c r="L300" s="168">
        <f>(VLOOKUP($I300,Capa!$A:$F,6,0))</f>
        <v>26</v>
      </c>
      <c r="M300" s="168">
        <f t="shared" si="7"/>
        <v>7411.71</v>
      </c>
      <c r="N300" s="11" t="str">
        <f>IFERROR(__xludf.DUMMYFUNCTION("(VLOOKUP($I300,Capa!$A:$H,7,0))"),"")</f>
        <v/>
      </c>
      <c r="O300" s="169">
        <f>(VLOOKUP($I300,Capa!$A:$H,8,0))</f>
        <v>-0.1333333333</v>
      </c>
      <c r="P300" s="11" t="str">
        <f>IFERROR(__xludf.DUMMYFUNCTION("(VLOOKUP($I300,Capa!$A:$J,10,0))"),"")</f>
        <v/>
      </c>
      <c r="Q300" s="169">
        <f>(VLOOKUP($I300,Capa!$A:$K,11,0))</f>
        <v>0.531213192</v>
      </c>
      <c r="R300" s="45" t="str">
        <f>'Dados StatusInvest'!A295</f>
        <v>GNDI3</v>
      </c>
      <c r="S300" s="170">
        <f t="shared" si="234"/>
        <v>1387.0387</v>
      </c>
      <c r="T300" s="171">
        <f>VLOOKUP(R300,'Dados StatusInvest'!A:Z,26,0)</f>
        <v>0</v>
      </c>
      <c r="U300" s="172">
        <f t="shared" ref="U300:AS300" si="303">IF(AT300="","", RANK(AT300,AT$7:AT$626,0)+RANK(AT300,AT$7:AT$626,0)/10000)</f>
        <v>120.012</v>
      </c>
      <c r="V300" s="172">
        <f t="shared" si="303"/>
        <v>267.0267</v>
      </c>
      <c r="W300" s="172" t="str">
        <f t="shared" si="303"/>
        <v/>
      </c>
      <c r="X300" s="172" t="str">
        <f t="shared" si="303"/>
        <v/>
      </c>
      <c r="Y300" s="172" t="str">
        <f t="shared" si="303"/>
        <v/>
      </c>
      <c r="Z300" s="172" t="str">
        <f t="shared" si="303"/>
        <v/>
      </c>
      <c r="AA300" s="172" t="str">
        <f t="shared" si="303"/>
        <v/>
      </c>
      <c r="AB300" s="172" t="str">
        <f t="shared" si="303"/>
        <v/>
      </c>
      <c r="AC300" s="172" t="str">
        <f t="shared" si="303"/>
        <v/>
      </c>
      <c r="AD300" s="172" t="str">
        <f t="shared" si="303"/>
        <v/>
      </c>
      <c r="AE300" s="172" t="str">
        <f t="shared" si="303"/>
        <v/>
      </c>
      <c r="AF300" s="172" t="str">
        <f t="shared" si="303"/>
        <v/>
      </c>
      <c r="AG300" s="172" t="str">
        <f t="shared" si="303"/>
        <v/>
      </c>
      <c r="AH300" s="172" t="str">
        <f t="shared" si="303"/>
        <v/>
      </c>
      <c r="AI300" s="172" t="str">
        <f t="shared" si="303"/>
        <v/>
      </c>
      <c r="AJ300" s="172" t="str">
        <f t="shared" si="303"/>
        <v/>
      </c>
      <c r="AK300" s="172" t="str">
        <f t="shared" si="303"/>
        <v/>
      </c>
      <c r="AL300" s="172" t="str">
        <f t="shared" si="303"/>
        <v/>
      </c>
      <c r="AM300" s="172" t="str">
        <f t="shared" si="303"/>
        <v/>
      </c>
      <c r="AN300" s="172" t="str">
        <f t="shared" si="303"/>
        <v/>
      </c>
      <c r="AO300" s="172" t="str">
        <f t="shared" si="303"/>
        <v/>
      </c>
      <c r="AP300" s="172" t="str">
        <f t="shared" si="303"/>
        <v/>
      </c>
      <c r="AQ300" s="172" t="str">
        <f t="shared" si="303"/>
        <v/>
      </c>
      <c r="AR300" s="172" t="str">
        <f t="shared" si="303"/>
        <v/>
      </c>
      <c r="AS300" s="172" t="str">
        <f t="shared" si="303"/>
        <v/>
      </c>
      <c r="AT300" s="173">
        <f>IF(AT$6="","",IF(AT$3="Maior",iferror(VLOOKUP($R300,Capa!$A:$AJ,AT$5,0),0),IF(ISERROR(1/VLOOKUP($R300,Capa!$A:$AJ,AT$5,0)),0,1/VLOOKUP($R300,Capa!$A:$AJ,AT$5,0))))</f>
        <v>-0.01209774982</v>
      </c>
      <c r="AU300" s="174">
        <f>IF(AU$6="","",IF(AU$3="Maior",iferror(VLOOKUP($R300,Capa!$A:$AJ,AU$5,0),0),IF(ISERROR(1/VLOOKUP($R300,Capa!$A:$AJ,AU$5,0)),0,1/VLOOKUP($R300,Capa!$A:$AJ,AU$5,0))))</f>
        <v>0</v>
      </c>
      <c r="AV300" s="174" t="str">
        <f>IF(AV$6="","",IF(AV$3="Maior",iferror(VLOOKUP($R300,Capa!$A:$AJ,AV$5,0),0),IF(ISERROR(1/VLOOKUP($R300,Capa!$A:$AJ,AV$5,0)),0,1/VLOOKUP($R300,Capa!$A:$AJ,AV$5,0))))</f>
        <v/>
      </c>
      <c r="AW300" s="174" t="str">
        <f>IF(AW$6="","",IF(AW$3="Maior",iferror(VLOOKUP($R300,Capa!$A:$AJ,AW$5,0),0),IF(ISERROR(1/VLOOKUP($R300,Capa!$A:$AJ,AW$5,0)),0,1/VLOOKUP($R300,Capa!$A:$AJ,AW$5,0))))</f>
        <v/>
      </c>
      <c r="AX300" s="174" t="str">
        <f>IF(AX$6="","",IF(AX$3="Maior",iferror(VLOOKUP($R300,Capa!$A:$AJ,AX$5,0),0),IF(ISERROR(1/VLOOKUP($R300,Capa!$A:$AJ,AX$5,0)),0,1/VLOOKUP($R300,Capa!$A:$AJ,AX$5,0))))</f>
        <v/>
      </c>
      <c r="AY300" s="174" t="str">
        <f>IF(AY$6="","",IF(AY$3="Maior",iferror(VLOOKUP($R300,Capa!$A:$AJ,AY$5,0),0),IF(ISERROR(1/VLOOKUP($R300,Capa!$A:$AJ,AY$5,0)),0,1/VLOOKUP($R300,Capa!$A:$AJ,AY$5,0))))</f>
        <v/>
      </c>
      <c r="AZ300" s="174" t="str">
        <f>IF(AZ$6="","",IF(AZ$3="Maior",iferror(VLOOKUP($R300,Capa!$A:$AJ,AZ$5,0),0),IF(ISERROR(1/VLOOKUP($R300,Capa!$A:$AJ,AZ$5,0)),0,1/VLOOKUP($R300,Capa!$A:$AJ,AZ$5,0))))</f>
        <v/>
      </c>
      <c r="BA300" s="174" t="str">
        <f>IF(BA$6="","",IF(BA$3="Maior",iferror(VLOOKUP($R300,Capa!$A:$AJ,BA$5,0),0),IF(ISERROR(1/VLOOKUP($R300,Capa!$A:$AJ,BA$5,0)),0,1/VLOOKUP($R300,Capa!$A:$AJ,BA$5,0))))</f>
        <v/>
      </c>
      <c r="BB300" s="174" t="str">
        <f>IF(BB$6="","",IF(BB$3="Maior",iferror(VLOOKUP($R300,Capa!$A:$AJ,BB$5,0),0),IF(ISERROR(1/VLOOKUP($R300,Capa!$A:$AJ,BB$5,0)),0,1/VLOOKUP($R300,Capa!$A:$AJ,BB$5,0))))</f>
        <v/>
      </c>
      <c r="BC300" s="174" t="str">
        <f>IF(BC$6="","",IF(BC$3="Maior",iferror(VLOOKUP($R300,Capa!$A:$AJ,BC$5,0),0),IF(ISERROR(1/VLOOKUP($R300,Capa!$A:$AJ,BC$5,0)),0,1/VLOOKUP($R300,Capa!$A:$AJ,BC$5,0))))</f>
        <v/>
      </c>
      <c r="BD300" s="174" t="str">
        <f>IF(BD$6="","",IF(BD$3="Maior",iferror(VLOOKUP($R300,Capa!$A:$AJ,BD$5,0),0),IF(ISERROR(1/VLOOKUP($R300,Capa!$A:$AJ,BD$5,0)),0,1/VLOOKUP($R300,Capa!$A:$AJ,BD$5,0))))</f>
        <v/>
      </c>
      <c r="BE300" s="174" t="str">
        <f>IF(BE$6="","",IF(BE$3="Maior",iferror(VLOOKUP($R300,Capa!$A:$AJ,BE$5,0),0),IF(ISERROR(1/VLOOKUP($R300,Capa!$A:$AJ,BE$5,0)),0,1/VLOOKUP($R300,Capa!$A:$AJ,BE$5,0))))</f>
        <v/>
      </c>
      <c r="BF300" s="174" t="str">
        <f>IF(BF$6="","",IF(BF$3="Maior",iferror(VLOOKUP($R300,Capa!$A:$AJ,BF$5,0),0),IF(ISERROR(1/VLOOKUP($R300,Capa!$A:$AJ,BF$5,0)),0,1/VLOOKUP($R300,Capa!$A:$AJ,BF$5,0))))</f>
        <v/>
      </c>
      <c r="BG300" s="174" t="str">
        <f>IF(BG$6="","",IF(BG$3="Maior",iferror(VLOOKUP($R300,Capa!$A:$AJ,BG$5,0),0),IF(ISERROR(1/VLOOKUP($R300,Capa!$A:$AJ,BG$5,0)),0,1/VLOOKUP($R300,Capa!$A:$AJ,BG$5,0))))</f>
        <v/>
      </c>
      <c r="BH300" s="174" t="str">
        <f>IF(BH$6="","",IF(BH$3="Maior",iferror(VLOOKUP($R300,Capa!$A:$AJ,BH$5,0),0),IF(ISERROR(1/VLOOKUP($R300,Capa!$A:$AJ,BH$5,0)),0,1/VLOOKUP($R300,Capa!$A:$AJ,BH$5,0))))</f>
        <v/>
      </c>
      <c r="BI300" s="174" t="str">
        <f>IF(BI$6="","",IF(BI$3="Maior",iferror(VLOOKUP($R300,Capa!$A:$AJ,BI$5,0),0),IF(ISERROR(1/VLOOKUP($R300,Capa!$A:$AJ,BI$5,0)),0,1/VLOOKUP($R300,Capa!$A:$AJ,BI$5,0))))</f>
        <v/>
      </c>
      <c r="BJ300" s="174" t="str">
        <f>IF(BJ$6="","",IF(BJ$3="Maior",iferror(VLOOKUP($R300,Capa!$A:$AJ,BJ$5,0),0),IF(ISERROR(1/VLOOKUP($R300,Capa!$A:$AJ,BJ$5,0)),0,1/VLOOKUP($R300,Capa!$A:$AJ,BJ$5,0))))</f>
        <v/>
      </c>
      <c r="BK300" s="174" t="str">
        <f>IF(BK$6="","",IF(BK$3="Maior",iferror(VLOOKUP($R300,Capa!$A:$AJ,BK$5,0),0),IF(ISERROR(1/VLOOKUP($R300,Capa!$A:$AJ,BK$5,0)),0,1/VLOOKUP($R300,Capa!$A:$AJ,BK$5,0))))</f>
        <v/>
      </c>
      <c r="BL300" s="174" t="str">
        <f>IF(BL$6="","",IF(BL$3="Maior",iferror(VLOOKUP($R300,Capa!$A:$AJ,BL$5,0),0),IF(ISERROR(1/VLOOKUP($R300,Capa!$A:$AJ,BL$5,0)),0,1/VLOOKUP($R300,Capa!$A:$AJ,BL$5,0))))</f>
        <v/>
      </c>
      <c r="BM300" s="174" t="str">
        <f>IF(BM$6="","",IF(BM$3="Maior",iferror(VLOOKUP($R300,Capa!$A:$AJ,BM$5,0),0),IF(ISERROR(1/VLOOKUP($R300,Capa!$A:$AJ,BM$5,0)),0,1/VLOOKUP($R300,Capa!$A:$AJ,BM$5,0))))</f>
        <v/>
      </c>
      <c r="BN300" s="174" t="str">
        <f>IF(BN$6="","",IF(BN$3="Maior",iferror(VLOOKUP($R300,Capa!$A:$AJ,BN$5,0),0),IF(ISERROR(1/VLOOKUP($R300,Capa!$A:$AJ,BN$5,0)),0,1/VLOOKUP($R300,Capa!$A:$AJ,BN$5,0))))</f>
        <v/>
      </c>
      <c r="BO300" s="174" t="str">
        <f>IF(BO$6="","",IF(BO$3="Maior",iferror(VLOOKUP($R300,Capa!$A:$AJ,BO$5,0),0),IF(ISERROR(1/VLOOKUP($R300,Capa!$A:$AJ,BO$5,0)),0,1/VLOOKUP($R300,Capa!$A:$AJ,BO$5,0))))</f>
        <v/>
      </c>
      <c r="BP300" s="174" t="str">
        <f>IF(BP$6="","",IF(BP$3="Maior",iferror(VLOOKUP($R300,Capa!$A:$AJ,BP$5,0),0),IF(ISERROR(1/VLOOKUP($R300,Capa!$A:$AJ,BP$5,0)),0,1/VLOOKUP($R300,Capa!$A:$AJ,BP$5,0))))</f>
        <v/>
      </c>
      <c r="BQ300" s="174" t="str">
        <f>IF(BQ$6="","",IF(BQ$3="Maior",iferror(VLOOKUP($R300,Capa!$A:$AJ,BQ$5,0),0),IF(ISERROR(1/VLOOKUP($R300,Capa!$A:$AJ,BQ$5,0)),0,1/VLOOKUP($R300,Capa!$A:$AJ,BQ$5,0))))</f>
        <v/>
      </c>
      <c r="BR300" s="175"/>
      <c r="BS300" s="147"/>
    </row>
    <row r="301">
      <c r="G301" s="11"/>
      <c r="H301" s="8">
        <v>295.0</v>
      </c>
      <c r="I301" s="165" t="str">
        <f t="shared" si="6"/>
        <v>BALM3</v>
      </c>
      <c r="J301" s="166" t="str">
        <f>(VLOOKUP($I301,Capa!$A:$B,2,0))</f>
        <v>Baumer SA</v>
      </c>
      <c r="K301" s="167" t="str">
        <f>VLOOKUP(left(I301,4),Setor!A:D,3,0)&amp;" | "&amp;VLOOKUP(left(I301,4),Setor!A:D,4,0)</f>
        <v>Saúde | Equipamentos</v>
      </c>
      <c r="L301" s="168">
        <f>(VLOOKUP($I301,Capa!$A:$F,6,0))</f>
        <v>26</v>
      </c>
      <c r="M301" s="168">
        <f t="shared" si="7"/>
        <v>7411.71</v>
      </c>
      <c r="N301" s="11" t="str">
        <f>IFERROR(__xludf.DUMMYFUNCTION("(VLOOKUP($I301,Capa!$A:$H,7,0))"),"")</f>
        <v/>
      </c>
      <c r="O301" s="169">
        <f>(VLOOKUP($I301,Capa!$A:$H,8,0))</f>
        <v>-0.1333333333</v>
      </c>
      <c r="P301" s="11" t="str">
        <f>IFERROR(__xludf.DUMMYFUNCTION("(VLOOKUP($I301,Capa!$A:$J,10,0))"),"")</f>
        <v/>
      </c>
      <c r="Q301" s="169">
        <f>(VLOOKUP($I301,Capa!$A:$K,11,0))</f>
        <v>0.531213192</v>
      </c>
      <c r="R301" s="45" t="str">
        <f>'Dados StatusInvest'!A296</f>
        <v>GOAU3</v>
      </c>
      <c r="S301" s="170">
        <f t="shared" si="234"/>
        <v>667.0667</v>
      </c>
      <c r="T301" s="171">
        <f>VLOOKUP(R301,'Dados StatusInvest'!A:Z,26,0)</f>
        <v>718490.7</v>
      </c>
      <c r="U301" s="172">
        <f t="shared" ref="U301:AS301" si="304">IF(AT301="","", RANK(AT301,AT$7:AT$626,0)+RANK(AT301,AT$7:AT$626,0)/10000)</f>
        <v>529.0529</v>
      </c>
      <c r="V301" s="172">
        <f t="shared" si="304"/>
        <v>138.0138</v>
      </c>
      <c r="W301" s="172" t="str">
        <f t="shared" si="304"/>
        <v/>
      </c>
      <c r="X301" s="172" t="str">
        <f t="shared" si="304"/>
        <v/>
      </c>
      <c r="Y301" s="172" t="str">
        <f t="shared" si="304"/>
        <v/>
      </c>
      <c r="Z301" s="172" t="str">
        <f t="shared" si="304"/>
        <v/>
      </c>
      <c r="AA301" s="172" t="str">
        <f t="shared" si="304"/>
        <v/>
      </c>
      <c r="AB301" s="172" t="str">
        <f t="shared" si="304"/>
        <v/>
      </c>
      <c r="AC301" s="172" t="str">
        <f t="shared" si="304"/>
        <v/>
      </c>
      <c r="AD301" s="172" t="str">
        <f t="shared" si="304"/>
        <v/>
      </c>
      <c r="AE301" s="172" t="str">
        <f t="shared" si="304"/>
        <v/>
      </c>
      <c r="AF301" s="172" t="str">
        <f t="shared" si="304"/>
        <v/>
      </c>
      <c r="AG301" s="172" t="str">
        <f t="shared" si="304"/>
        <v/>
      </c>
      <c r="AH301" s="172" t="str">
        <f t="shared" si="304"/>
        <v/>
      </c>
      <c r="AI301" s="172" t="str">
        <f t="shared" si="304"/>
        <v/>
      </c>
      <c r="AJ301" s="172" t="str">
        <f t="shared" si="304"/>
        <v/>
      </c>
      <c r="AK301" s="172" t="str">
        <f t="shared" si="304"/>
        <v/>
      </c>
      <c r="AL301" s="172" t="str">
        <f t="shared" si="304"/>
        <v/>
      </c>
      <c r="AM301" s="172" t="str">
        <f t="shared" si="304"/>
        <v/>
      </c>
      <c r="AN301" s="172" t="str">
        <f t="shared" si="304"/>
        <v/>
      </c>
      <c r="AO301" s="172" t="str">
        <f t="shared" si="304"/>
        <v/>
      </c>
      <c r="AP301" s="172" t="str">
        <f t="shared" si="304"/>
        <v/>
      </c>
      <c r="AQ301" s="172" t="str">
        <f t="shared" si="304"/>
        <v/>
      </c>
      <c r="AR301" s="172" t="str">
        <f t="shared" si="304"/>
        <v/>
      </c>
      <c r="AS301" s="172" t="str">
        <f t="shared" si="304"/>
        <v/>
      </c>
      <c r="AT301" s="173">
        <f>IF(AT$6="","",IF(AT$3="Maior",iferror(VLOOKUP($R301,Capa!$A:$AJ,AT$5,0),0),IF(ISERROR(1/VLOOKUP($R301,Capa!$A:$AJ,AT$5,0)),0,1/VLOOKUP($R301,Capa!$A:$AJ,AT$5,0))))</f>
        <v>-4.289544236</v>
      </c>
      <c r="AU301" s="174">
        <f>IF(AU$6="","",IF(AU$3="Maior",iferror(VLOOKUP($R301,Capa!$A:$AJ,AU$5,0),0),IF(ISERROR(1/VLOOKUP($R301,Capa!$A:$AJ,AU$5,0)),0,1/VLOOKUP($R301,Capa!$A:$AJ,AU$5,0))))</f>
        <v>19.81</v>
      </c>
      <c r="AV301" s="174" t="str">
        <f>IF(AV$6="","",IF(AV$3="Maior",iferror(VLOOKUP($R301,Capa!$A:$AJ,AV$5,0),0),IF(ISERROR(1/VLOOKUP($R301,Capa!$A:$AJ,AV$5,0)),0,1/VLOOKUP($R301,Capa!$A:$AJ,AV$5,0))))</f>
        <v/>
      </c>
      <c r="AW301" s="174" t="str">
        <f>IF(AW$6="","",IF(AW$3="Maior",iferror(VLOOKUP($R301,Capa!$A:$AJ,AW$5,0),0),IF(ISERROR(1/VLOOKUP($R301,Capa!$A:$AJ,AW$5,0)),0,1/VLOOKUP($R301,Capa!$A:$AJ,AW$5,0))))</f>
        <v/>
      </c>
      <c r="AX301" s="174" t="str">
        <f>IF(AX$6="","",IF(AX$3="Maior",iferror(VLOOKUP($R301,Capa!$A:$AJ,AX$5,0),0),IF(ISERROR(1/VLOOKUP($R301,Capa!$A:$AJ,AX$5,0)),0,1/VLOOKUP($R301,Capa!$A:$AJ,AX$5,0))))</f>
        <v/>
      </c>
      <c r="AY301" s="174" t="str">
        <f>IF(AY$6="","",IF(AY$3="Maior",iferror(VLOOKUP($R301,Capa!$A:$AJ,AY$5,0),0),IF(ISERROR(1/VLOOKUP($R301,Capa!$A:$AJ,AY$5,0)),0,1/VLOOKUP($R301,Capa!$A:$AJ,AY$5,0))))</f>
        <v/>
      </c>
      <c r="AZ301" s="174" t="str">
        <f>IF(AZ$6="","",IF(AZ$3="Maior",iferror(VLOOKUP($R301,Capa!$A:$AJ,AZ$5,0),0),IF(ISERROR(1/VLOOKUP($R301,Capa!$A:$AJ,AZ$5,0)),0,1/VLOOKUP($R301,Capa!$A:$AJ,AZ$5,0))))</f>
        <v/>
      </c>
      <c r="BA301" s="174" t="str">
        <f>IF(BA$6="","",IF(BA$3="Maior",iferror(VLOOKUP($R301,Capa!$A:$AJ,BA$5,0),0),IF(ISERROR(1/VLOOKUP($R301,Capa!$A:$AJ,BA$5,0)),0,1/VLOOKUP($R301,Capa!$A:$AJ,BA$5,0))))</f>
        <v/>
      </c>
      <c r="BB301" s="174" t="str">
        <f>IF(BB$6="","",IF(BB$3="Maior",iferror(VLOOKUP($R301,Capa!$A:$AJ,BB$5,0),0),IF(ISERROR(1/VLOOKUP($R301,Capa!$A:$AJ,BB$5,0)),0,1/VLOOKUP($R301,Capa!$A:$AJ,BB$5,0))))</f>
        <v/>
      </c>
      <c r="BC301" s="174" t="str">
        <f>IF(BC$6="","",IF(BC$3="Maior",iferror(VLOOKUP($R301,Capa!$A:$AJ,BC$5,0),0),IF(ISERROR(1/VLOOKUP($R301,Capa!$A:$AJ,BC$5,0)),0,1/VLOOKUP($R301,Capa!$A:$AJ,BC$5,0))))</f>
        <v/>
      </c>
      <c r="BD301" s="174" t="str">
        <f>IF(BD$6="","",IF(BD$3="Maior",iferror(VLOOKUP($R301,Capa!$A:$AJ,BD$5,0),0),IF(ISERROR(1/VLOOKUP($R301,Capa!$A:$AJ,BD$5,0)),0,1/VLOOKUP($R301,Capa!$A:$AJ,BD$5,0))))</f>
        <v/>
      </c>
      <c r="BE301" s="174" t="str">
        <f>IF(BE$6="","",IF(BE$3="Maior",iferror(VLOOKUP($R301,Capa!$A:$AJ,BE$5,0),0),IF(ISERROR(1/VLOOKUP($R301,Capa!$A:$AJ,BE$5,0)),0,1/VLOOKUP($R301,Capa!$A:$AJ,BE$5,0))))</f>
        <v/>
      </c>
      <c r="BF301" s="174" t="str">
        <f>IF(BF$6="","",IF(BF$3="Maior",iferror(VLOOKUP($R301,Capa!$A:$AJ,BF$5,0),0),IF(ISERROR(1/VLOOKUP($R301,Capa!$A:$AJ,BF$5,0)),0,1/VLOOKUP($R301,Capa!$A:$AJ,BF$5,0))))</f>
        <v/>
      </c>
      <c r="BG301" s="174" t="str">
        <f>IF(BG$6="","",IF(BG$3="Maior",iferror(VLOOKUP($R301,Capa!$A:$AJ,BG$5,0),0),IF(ISERROR(1/VLOOKUP($R301,Capa!$A:$AJ,BG$5,0)),0,1/VLOOKUP($R301,Capa!$A:$AJ,BG$5,0))))</f>
        <v/>
      </c>
      <c r="BH301" s="174" t="str">
        <f>IF(BH$6="","",IF(BH$3="Maior",iferror(VLOOKUP($R301,Capa!$A:$AJ,BH$5,0),0),IF(ISERROR(1/VLOOKUP($R301,Capa!$A:$AJ,BH$5,0)),0,1/VLOOKUP($R301,Capa!$A:$AJ,BH$5,0))))</f>
        <v/>
      </c>
      <c r="BI301" s="174" t="str">
        <f>IF(BI$6="","",IF(BI$3="Maior",iferror(VLOOKUP($R301,Capa!$A:$AJ,BI$5,0),0),IF(ISERROR(1/VLOOKUP($R301,Capa!$A:$AJ,BI$5,0)),0,1/VLOOKUP($R301,Capa!$A:$AJ,BI$5,0))))</f>
        <v/>
      </c>
      <c r="BJ301" s="174" t="str">
        <f>IF(BJ$6="","",IF(BJ$3="Maior",iferror(VLOOKUP($R301,Capa!$A:$AJ,BJ$5,0),0),IF(ISERROR(1/VLOOKUP($R301,Capa!$A:$AJ,BJ$5,0)),0,1/VLOOKUP($R301,Capa!$A:$AJ,BJ$5,0))))</f>
        <v/>
      </c>
      <c r="BK301" s="174" t="str">
        <f>IF(BK$6="","",IF(BK$3="Maior",iferror(VLOOKUP($R301,Capa!$A:$AJ,BK$5,0),0),IF(ISERROR(1/VLOOKUP($R301,Capa!$A:$AJ,BK$5,0)),0,1/VLOOKUP($R301,Capa!$A:$AJ,BK$5,0))))</f>
        <v/>
      </c>
      <c r="BL301" s="174" t="str">
        <f>IF(BL$6="","",IF(BL$3="Maior",iferror(VLOOKUP($R301,Capa!$A:$AJ,BL$5,0),0),IF(ISERROR(1/VLOOKUP($R301,Capa!$A:$AJ,BL$5,0)),0,1/VLOOKUP($R301,Capa!$A:$AJ,BL$5,0))))</f>
        <v/>
      </c>
      <c r="BM301" s="174" t="str">
        <f>IF(BM$6="","",IF(BM$3="Maior",iferror(VLOOKUP($R301,Capa!$A:$AJ,BM$5,0),0),IF(ISERROR(1/VLOOKUP($R301,Capa!$A:$AJ,BM$5,0)),0,1/VLOOKUP($R301,Capa!$A:$AJ,BM$5,0))))</f>
        <v/>
      </c>
      <c r="BN301" s="174" t="str">
        <f>IF(BN$6="","",IF(BN$3="Maior",iferror(VLOOKUP($R301,Capa!$A:$AJ,BN$5,0),0),IF(ISERROR(1/VLOOKUP($R301,Capa!$A:$AJ,BN$5,0)),0,1/VLOOKUP($R301,Capa!$A:$AJ,BN$5,0))))</f>
        <v/>
      </c>
      <c r="BO301" s="174" t="str">
        <f>IF(BO$6="","",IF(BO$3="Maior",iferror(VLOOKUP($R301,Capa!$A:$AJ,BO$5,0),0),IF(ISERROR(1/VLOOKUP($R301,Capa!$A:$AJ,BO$5,0)),0,1/VLOOKUP($R301,Capa!$A:$AJ,BO$5,0))))</f>
        <v/>
      </c>
      <c r="BP301" s="174" t="str">
        <f>IF(BP$6="","",IF(BP$3="Maior",iferror(VLOOKUP($R301,Capa!$A:$AJ,BP$5,0),0),IF(ISERROR(1/VLOOKUP($R301,Capa!$A:$AJ,BP$5,0)),0,1/VLOOKUP($R301,Capa!$A:$AJ,BP$5,0))))</f>
        <v/>
      </c>
      <c r="BQ301" s="174" t="str">
        <f>IF(BQ$6="","",IF(BQ$3="Maior",iferror(VLOOKUP($R301,Capa!$A:$AJ,BQ$5,0),0),IF(ISERROR(1/VLOOKUP($R301,Capa!$A:$AJ,BQ$5,0)),0,1/VLOOKUP($R301,Capa!$A:$AJ,BQ$5,0))))</f>
        <v/>
      </c>
      <c r="BR301" s="175"/>
      <c r="BS301" s="147"/>
    </row>
    <row r="302">
      <c r="G302" s="11"/>
      <c r="H302" s="8">
        <v>296.0</v>
      </c>
      <c r="I302" s="165" t="str">
        <f t="shared" si="6"/>
        <v>PARD3</v>
      </c>
      <c r="J302" s="166" t="str">
        <f>(VLOOKUP($I302,Capa!$A:$B,2,0))</f>
        <v/>
      </c>
      <c r="K302" s="167" t="str">
        <f>VLOOKUP(left(I302,4),Setor!A:D,3,0)&amp;" | "&amp;VLOOKUP(left(I302,4),Setor!A:D,4,0)</f>
        <v>Saúde | Análises e Diagnósticos</v>
      </c>
      <c r="L302" s="168" t="str">
        <f>(VLOOKUP($I302,Capa!$A:$F,6,0))</f>
        <v/>
      </c>
      <c r="M302" s="168">
        <f t="shared" si="7"/>
        <v>0</v>
      </c>
      <c r="N302" s="11" t="str">
        <f>(VLOOKUP($I302,Capa!$A:$H,7,0))</f>
        <v/>
      </c>
      <c r="O302" s="169" t="str">
        <f>(VLOOKUP($I302,Capa!$A:$H,8,0))</f>
        <v/>
      </c>
      <c r="P302" s="11" t="str">
        <f>(VLOOKUP($I302,Capa!$A:$J,10,0))</f>
        <v/>
      </c>
      <c r="Q302" s="169" t="str">
        <f>(VLOOKUP($I302,Capa!$A:$K,11,0))</f>
        <v/>
      </c>
      <c r="R302" s="45" t="str">
        <f>'Dados StatusInvest'!A297</f>
        <v>GOAU4</v>
      </c>
      <c r="S302" s="170">
        <f t="shared" si="234"/>
        <v>661.0661</v>
      </c>
      <c r="T302" s="171">
        <f>VLOOKUP(R302,'Dados StatusInvest'!A:Z,26,0)</f>
        <v>125000000</v>
      </c>
      <c r="U302" s="172">
        <f t="shared" ref="U302:AS302" si="305">IF(AT302="","", RANK(AT302,AT$7:AT$626,0)+RANK(AT302,AT$7:AT$626,0)/10000)</f>
        <v>523.0523</v>
      </c>
      <c r="V302" s="172">
        <f t="shared" si="305"/>
        <v>138.0138</v>
      </c>
      <c r="W302" s="172" t="str">
        <f t="shared" si="305"/>
        <v/>
      </c>
      <c r="X302" s="172" t="str">
        <f t="shared" si="305"/>
        <v/>
      </c>
      <c r="Y302" s="172" t="str">
        <f t="shared" si="305"/>
        <v/>
      </c>
      <c r="Z302" s="172" t="str">
        <f t="shared" si="305"/>
        <v/>
      </c>
      <c r="AA302" s="172" t="str">
        <f t="shared" si="305"/>
        <v/>
      </c>
      <c r="AB302" s="172" t="str">
        <f t="shared" si="305"/>
        <v/>
      </c>
      <c r="AC302" s="172" t="str">
        <f t="shared" si="305"/>
        <v/>
      </c>
      <c r="AD302" s="172" t="str">
        <f t="shared" si="305"/>
        <v/>
      </c>
      <c r="AE302" s="172" t="str">
        <f t="shared" si="305"/>
        <v/>
      </c>
      <c r="AF302" s="172" t="str">
        <f t="shared" si="305"/>
        <v/>
      </c>
      <c r="AG302" s="172" t="str">
        <f t="shared" si="305"/>
        <v/>
      </c>
      <c r="AH302" s="172" t="str">
        <f t="shared" si="305"/>
        <v/>
      </c>
      <c r="AI302" s="172" t="str">
        <f t="shared" si="305"/>
        <v/>
      </c>
      <c r="AJ302" s="172" t="str">
        <f t="shared" si="305"/>
        <v/>
      </c>
      <c r="AK302" s="172" t="str">
        <f t="shared" si="305"/>
        <v/>
      </c>
      <c r="AL302" s="172" t="str">
        <f t="shared" si="305"/>
        <v/>
      </c>
      <c r="AM302" s="172" t="str">
        <f t="shared" si="305"/>
        <v/>
      </c>
      <c r="AN302" s="172" t="str">
        <f t="shared" si="305"/>
        <v/>
      </c>
      <c r="AO302" s="172" t="str">
        <f t="shared" si="305"/>
        <v/>
      </c>
      <c r="AP302" s="172" t="str">
        <f t="shared" si="305"/>
        <v/>
      </c>
      <c r="AQ302" s="172" t="str">
        <f t="shared" si="305"/>
        <v/>
      </c>
      <c r="AR302" s="172" t="str">
        <f t="shared" si="305"/>
        <v/>
      </c>
      <c r="AS302" s="172" t="str">
        <f t="shared" si="305"/>
        <v/>
      </c>
      <c r="AT302" s="173">
        <f>IF(AT$6="","",IF(AT$3="Maior",iferror(VLOOKUP($R302,Capa!$A:$AJ,AT$5,0),0),IF(ISERROR(1/VLOOKUP($R302,Capa!$A:$AJ,AT$5,0)),0,1/VLOOKUP($R302,Capa!$A:$AJ,AT$5,0))))</f>
        <v>-4.039773673</v>
      </c>
      <c r="AU302" s="174">
        <f>IF(AU$6="","",IF(AU$3="Maior",iferror(VLOOKUP($R302,Capa!$A:$AJ,AU$5,0),0),IF(ISERROR(1/VLOOKUP($R302,Capa!$A:$AJ,AU$5,0)),0,1/VLOOKUP($R302,Capa!$A:$AJ,AU$5,0))))</f>
        <v>19.81</v>
      </c>
      <c r="AV302" s="174" t="str">
        <f>IF(AV$6="","",IF(AV$3="Maior",iferror(VLOOKUP($R302,Capa!$A:$AJ,AV$5,0),0),IF(ISERROR(1/VLOOKUP($R302,Capa!$A:$AJ,AV$5,0)),0,1/VLOOKUP($R302,Capa!$A:$AJ,AV$5,0))))</f>
        <v/>
      </c>
      <c r="AW302" s="174" t="str">
        <f>IF(AW$6="","",IF(AW$3="Maior",iferror(VLOOKUP($R302,Capa!$A:$AJ,AW$5,0),0),IF(ISERROR(1/VLOOKUP($R302,Capa!$A:$AJ,AW$5,0)),0,1/VLOOKUP($R302,Capa!$A:$AJ,AW$5,0))))</f>
        <v/>
      </c>
      <c r="AX302" s="174" t="str">
        <f>IF(AX$6="","",IF(AX$3="Maior",iferror(VLOOKUP($R302,Capa!$A:$AJ,AX$5,0),0),IF(ISERROR(1/VLOOKUP($R302,Capa!$A:$AJ,AX$5,0)),0,1/VLOOKUP($R302,Capa!$A:$AJ,AX$5,0))))</f>
        <v/>
      </c>
      <c r="AY302" s="174" t="str">
        <f>IF(AY$6="","",IF(AY$3="Maior",iferror(VLOOKUP($R302,Capa!$A:$AJ,AY$5,0),0),IF(ISERROR(1/VLOOKUP($R302,Capa!$A:$AJ,AY$5,0)),0,1/VLOOKUP($R302,Capa!$A:$AJ,AY$5,0))))</f>
        <v/>
      </c>
      <c r="AZ302" s="174" t="str">
        <f>IF(AZ$6="","",IF(AZ$3="Maior",iferror(VLOOKUP($R302,Capa!$A:$AJ,AZ$5,0),0),IF(ISERROR(1/VLOOKUP($R302,Capa!$A:$AJ,AZ$5,0)),0,1/VLOOKUP($R302,Capa!$A:$AJ,AZ$5,0))))</f>
        <v/>
      </c>
      <c r="BA302" s="174" t="str">
        <f>IF(BA$6="","",IF(BA$3="Maior",iferror(VLOOKUP($R302,Capa!$A:$AJ,BA$5,0),0),IF(ISERROR(1/VLOOKUP($R302,Capa!$A:$AJ,BA$5,0)),0,1/VLOOKUP($R302,Capa!$A:$AJ,BA$5,0))))</f>
        <v/>
      </c>
      <c r="BB302" s="174" t="str">
        <f>IF(BB$6="","",IF(BB$3="Maior",iferror(VLOOKUP($R302,Capa!$A:$AJ,BB$5,0),0),IF(ISERROR(1/VLOOKUP($R302,Capa!$A:$AJ,BB$5,0)),0,1/VLOOKUP($R302,Capa!$A:$AJ,BB$5,0))))</f>
        <v/>
      </c>
      <c r="BC302" s="174" t="str">
        <f>IF(BC$6="","",IF(BC$3="Maior",iferror(VLOOKUP($R302,Capa!$A:$AJ,BC$5,0),0),IF(ISERROR(1/VLOOKUP($R302,Capa!$A:$AJ,BC$5,0)),0,1/VLOOKUP($R302,Capa!$A:$AJ,BC$5,0))))</f>
        <v/>
      </c>
      <c r="BD302" s="174" t="str">
        <f>IF(BD$6="","",IF(BD$3="Maior",iferror(VLOOKUP($R302,Capa!$A:$AJ,BD$5,0),0),IF(ISERROR(1/VLOOKUP($R302,Capa!$A:$AJ,BD$5,0)),0,1/VLOOKUP($R302,Capa!$A:$AJ,BD$5,0))))</f>
        <v/>
      </c>
      <c r="BE302" s="174" t="str">
        <f>IF(BE$6="","",IF(BE$3="Maior",iferror(VLOOKUP($R302,Capa!$A:$AJ,BE$5,0),0),IF(ISERROR(1/VLOOKUP($R302,Capa!$A:$AJ,BE$5,0)),0,1/VLOOKUP($R302,Capa!$A:$AJ,BE$5,0))))</f>
        <v/>
      </c>
      <c r="BF302" s="174" t="str">
        <f>IF(BF$6="","",IF(BF$3="Maior",iferror(VLOOKUP($R302,Capa!$A:$AJ,BF$5,0),0),IF(ISERROR(1/VLOOKUP($R302,Capa!$A:$AJ,BF$5,0)),0,1/VLOOKUP($R302,Capa!$A:$AJ,BF$5,0))))</f>
        <v/>
      </c>
      <c r="BG302" s="174" t="str">
        <f>IF(BG$6="","",IF(BG$3="Maior",iferror(VLOOKUP($R302,Capa!$A:$AJ,BG$5,0),0),IF(ISERROR(1/VLOOKUP($R302,Capa!$A:$AJ,BG$5,0)),0,1/VLOOKUP($R302,Capa!$A:$AJ,BG$5,0))))</f>
        <v/>
      </c>
      <c r="BH302" s="174" t="str">
        <f>IF(BH$6="","",IF(BH$3="Maior",iferror(VLOOKUP($R302,Capa!$A:$AJ,BH$5,0),0),IF(ISERROR(1/VLOOKUP($R302,Capa!$A:$AJ,BH$5,0)),0,1/VLOOKUP($R302,Capa!$A:$AJ,BH$5,0))))</f>
        <v/>
      </c>
      <c r="BI302" s="174" t="str">
        <f>IF(BI$6="","",IF(BI$3="Maior",iferror(VLOOKUP($R302,Capa!$A:$AJ,BI$5,0),0),IF(ISERROR(1/VLOOKUP($R302,Capa!$A:$AJ,BI$5,0)),0,1/VLOOKUP($R302,Capa!$A:$AJ,BI$5,0))))</f>
        <v/>
      </c>
      <c r="BJ302" s="174" t="str">
        <f>IF(BJ$6="","",IF(BJ$3="Maior",iferror(VLOOKUP($R302,Capa!$A:$AJ,BJ$5,0),0),IF(ISERROR(1/VLOOKUP($R302,Capa!$A:$AJ,BJ$5,0)),0,1/VLOOKUP($R302,Capa!$A:$AJ,BJ$5,0))))</f>
        <v/>
      </c>
      <c r="BK302" s="174" t="str">
        <f>IF(BK$6="","",IF(BK$3="Maior",iferror(VLOOKUP($R302,Capa!$A:$AJ,BK$5,0),0),IF(ISERROR(1/VLOOKUP($R302,Capa!$A:$AJ,BK$5,0)),0,1/VLOOKUP($R302,Capa!$A:$AJ,BK$5,0))))</f>
        <v/>
      </c>
      <c r="BL302" s="174" t="str">
        <f>IF(BL$6="","",IF(BL$3="Maior",iferror(VLOOKUP($R302,Capa!$A:$AJ,BL$5,0),0),IF(ISERROR(1/VLOOKUP($R302,Capa!$A:$AJ,BL$5,0)),0,1/VLOOKUP($R302,Capa!$A:$AJ,BL$5,0))))</f>
        <v/>
      </c>
      <c r="BM302" s="174" t="str">
        <f>IF(BM$6="","",IF(BM$3="Maior",iferror(VLOOKUP($R302,Capa!$A:$AJ,BM$5,0),0),IF(ISERROR(1/VLOOKUP($R302,Capa!$A:$AJ,BM$5,0)),0,1/VLOOKUP($R302,Capa!$A:$AJ,BM$5,0))))</f>
        <v/>
      </c>
      <c r="BN302" s="174" t="str">
        <f>IF(BN$6="","",IF(BN$3="Maior",iferror(VLOOKUP($R302,Capa!$A:$AJ,BN$5,0),0),IF(ISERROR(1/VLOOKUP($R302,Capa!$A:$AJ,BN$5,0)),0,1/VLOOKUP($R302,Capa!$A:$AJ,BN$5,0))))</f>
        <v/>
      </c>
      <c r="BO302" s="174" t="str">
        <f>IF(BO$6="","",IF(BO$3="Maior",iferror(VLOOKUP($R302,Capa!$A:$AJ,BO$5,0),0),IF(ISERROR(1/VLOOKUP($R302,Capa!$A:$AJ,BO$5,0)),0,1/VLOOKUP($R302,Capa!$A:$AJ,BO$5,0))))</f>
        <v/>
      </c>
      <c r="BP302" s="174" t="str">
        <f>IF(BP$6="","",IF(BP$3="Maior",iferror(VLOOKUP($R302,Capa!$A:$AJ,BP$5,0),0),IF(ISERROR(1/VLOOKUP($R302,Capa!$A:$AJ,BP$5,0)),0,1/VLOOKUP($R302,Capa!$A:$AJ,BP$5,0))))</f>
        <v/>
      </c>
      <c r="BQ302" s="174" t="str">
        <f>IF(BQ$6="","",IF(BQ$3="Maior",iferror(VLOOKUP($R302,Capa!$A:$AJ,BQ$5,0),0),IF(ISERROR(1/VLOOKUP($R302,Capa!$A:$AJ,BQ$5,0)),0,1/VLOOKUP($R302,Capa!$A:$AJ,BQ$5,0))))</f>
        <v/>
      </c>
      <c r="BR302" s="175"/>
      <c r="BS302" s="147"/>
    </row>
    <row r="303">
      <c r="G303" s="11"/>
      <c r="H303" s="8">
        <v>297.0</v>
      </c>
      <c r="I303" s="165" t="str">
        <f t="shared" si="6"/>
        <v>VSPT3</v>
      </c>
      <c r="J303" s="166" t="str">
        <f>(VLOOKUP($I303,Capa!$A:$B,2,0))</f>
        <v>Ferrovia Centro-Atlantica SA</v>
      </c>
      <c r="K303" s="167" t="str">
        <f>VLOOKUP(left(I303,4),Setor!A:D,3,0)&amp;" | "&amp;VLOOKUP(left(I303,4),Setor!A:D,4,0)</f>
        <v>Bens Industriais | Transporte</v>
      </c>
      <c r="L303" s="168">
        <f>(VLOOKUP($I303,Capa!$A:$F,6,0))</f>
        <v>0</v>
      </c>
      <c r="M303" s="168">
        <f t="shared" si="7"/>
        <v>0</v>
      </c>
      <c r="N303" s="177" t="str">
        <f>(VLOOKUP($I303,Capa!$A:$H,7,0))</f>
        <v/>
      </c>
      <c r="O303" s="169" t="str">
        <f>(VLOOKUP($I303,Capa!$A:$H,8,0))</f>
        <v/>
      </c>
      <c r="P303" s="169" t="str">
        <f>(VLOOKUP($I303,Capa!$A:$J,10,0))</f>
        <v/>
      </c>
      <c r="Q303" s="169" t="str">
        <f>(VLOOKUP($I303,Capa!$A:$K,11,0))</f>
        <v/>
      </c>
      <c r="R303" s="45" t="str">
        <f>'Dados StatusInvest'!A298</f>
        <v>GOLL54</v>
      </c>
      <c r="S303" s="170">
        <f t="shared" si="234"/>
        <v>373.0373</v>
      </c>
      <c r="T303" s="171">
        <f>VLOOKUP(R303,'Dados StatusInvest'!A:Z,26,0)</f>
        <v>1546805</v>
      </c>
      <c r="U303" s="172">
        <f t="shared" ref="U303:AS303" si="306">IF(AT303="","", RANK(AT303,AT$7:AT$626,0)+RANK(AT303,AT$7:AT$626,0)/10000)</f>
        <v>106.0106</v>
      </c>
      <c r="V303" s="172">
        <f t="shared" si="306"/>
        <v>267.0267</v>
      </c>
      <c r="W303" s="172" t="str">
        <f t="shared" si="306"/>
        <v/>
      </c>
      <c r="X303" s="172" t="str">
        <f t="shared" si="306"/>
        <v/>
      </c>
      <c r="Y303" s="172" t="str">
        <f t="shared" si="306"/>
        <v/>
      </c>
      <c r="Z303" s="172" t="str">
        <f t="shared" si="306"/>
        <v/>
      </c>
      <c r="AA303" s="172" t="str">
        <f t="shared" si="306"/>
        <v/>
      </c>
      <c r="AB303" s="172" t="str">
        <f t="shared" si="306"/>
        <v/>
      </c>
      <c r="AC303" s="172" t="str">
        <f t="shared" si="306"/>
        <v/>
      </c>
      <c r="AD303" s="172" t="str">
        <f t="shared" si="306"/>
        <v/>
      </c>
      <c r="AE303" s="172" t="str">
        <f t="shared" si="306"/>
        <v/>
      </c>
      <c r="AF303" s="172" t="str">
        <f t="shared" si="306"/>
        <v/>
      </c>
      <c r="AG303" s="172" t="str">
        <f t="shared" si="306"/>
        <v/>
      </c>
      <c r="AH303" s="172" t="str">
        <f t="shared" si="306"/>
        <v/>
      </c>
      <c r="AI303" s="172" t="str">
        <f t="shared" si="306"/>
        <v/>
      </c>
      <c r="AJ303" s="172" t="str">
        <f t="shared" si="306"/>
        <v/>
      </c>
      <c r="AK303" s="172" t="str">
        <f t="shared" si="306"/>
        <v/>
      </c>
      <c r="AL303" s="172" t="str">
        <f t="shared" si="306"/>
        <v/>
      </c>
      <c r="AM303" s="172" t="str">
        <f t="shared" si="306"/>
        <v/>
      </c>
      <c r="AN303" s="172" t="str">
        <f t="shared" si="306"/>
        <v/>
      </c>
      <c r="AO303" s="172" t="str">
        <f t="shared" si="306"/>
        <v/>
      </c>
      <c r="AP303" s="172" t="str">
        <f t="shared" si="306"/>
        <v/>
      </c>
      <c r="AQ303" s="172" t="str">
        <f t="shared" si="306"/>
        <v/>
      </c>
      <c r="AR303" s="172" t="str">
        <f t="shared" si="306"/>
        <v/>
      </c>
      <c r="AS303" s="172" t="str">
        <f t="shared" si="306"/>
        <v/>
      </c>
      <c r="AT303" s="173">
        <f>IF(AT$6="","",IF(AT$3="Maior",iferror(VLOOKUP($R303,Capa!$A:$AJ,AT$5,0),0),IF(ISERROR(1/VLOOKUP($R303,Capa!$A:$AJ,AT$5,0)),0,1/VLOOKUP($R303,Capa!$A:$AJ,AT$5,0))))</f>
        <v>-0.0001812555369</v>
      </c>
      <c r="AU303" s="174">
        <f>IF(AU$6="","",IF(AU$3="Maior",iferror(VLOOKUP($R303,Capa!$A:$AJ,AU$5,0),0),IF(ISERROR(1/VLOOKUP($R303,Capa!$A:$AJ,AU$5,0)),0,1/VLOOKUP($R303,Capa!$A:$AJ,AU$5,0))))</f>
        <v>0</v>
      </c>
      <c r="AV303" s="174" t="str">
        <f>IF(AV$6="","",IF(AV$3="Maior",iferror(VLOOKUP($R303,Capa!$A:$AJ,AV$5,0),0),IF(ISERROR(1/VLOOKUP($R303,Capa!$A:$AJ,AV$5,0)),0,1/VLOOKUP($R303,Capa!$A:$AJ,AV$5,0))))</f>
        <v/>
      </c>
      <c r="AW303" s="174" t="str">
        <f>IF(AW$6="","",IF(AW$3="Maior",iferror(VLOOKUP($R303,Capa!$A:$AJ,AW$5,0),0),IF(ISERROR(1/VLOOKUP($R303,Capa!$A:$AJ,AW$5,0)),0,1/VLOOKUP($R303,Capa!$A:$AJ,AW$5,0))))</f>
        <v/>
      </c>
      <c r="AX303" s="174" t="str">
        <f>IF(AX$6="","",IF(AX$3="Maior",iferror(VLOOKUP($R303,Capa!$A:$AJ,AX$5,0),0),IF(ISERROR(1/VLOOKUP($R303,Capa!$A:$AJ,AX$5,0)),0,1/VLOOKUP($R303,Capa!$A:$AJ,AX$5,0))))</f>
        <v/>
      </c>
      <c r="AY303" s="174" t="str">
        <f>IF(AY$6="","",IF(AY$3="Maior",iferror(VLOOKUP($R303,Capa!$A:$AJ,AY$5,0),0),IF(ISERROR(1/VLOOKUP($R303,Capa!$A:$AJ,AY$5,0)),0,1/VLOOKUP($R303,Capa!$A:$AJ,AY$5,0))))</f>
        <v/>
      </c>
      <c r="AZ303" s="174" t="str">
        <f>IF(AZ$6="","",IF(AZ$3="Maior",iferror(VLOOKUP($R303,Capa!$A:$AJ,AZ$5,0),0),IF(ISERROR(1/VLOOKUP($R303,Capa!$A:$AJ,AZ$5,0)),0,1/VLOOKUP($R303,Capa!$A:$AJ,AZ$5,0))))</f>
        <v/>
      </c>
      <c r="BA303" s="174" t="str">
        <f>IF(BA$6="","",IF(BA$3="Maior",iferror(VLOOKUP($R303,Capa!$A:$AJ,BA$5,0),0),IF(ISERROR(1/VLOOKUP($R303,Capa!$A:$AJ,BA$5,0)),0,1/VLOOKUP($R303,Capa!$A:$AJ,BA$5,0))))</f>
        <v/>
      </c>
      <c r="BB303" s="174" t="str">
        <f>IF(BB$6="","",IF(BB$3="Maior",iferror(VLOOKUP($R303,Capa!$A:$AJ,BB$5,0),0),IF(ISERROR(1/VLOOKUP($R303,Capa!$A:$AJ,BB$5,0)),0,1/VLOOKUP($R303,Capa!$A:$AJ,BB$5,0))))</f>
        <v/>
      </c>
      <c r="BC303" s="174" t="str">
        <f>IF(BC$6="","",IF(BC$3="Maior",iferror(VLOOKUP($R303,Capa!$A:$AJ,BC$5,0),0),IF(ISERROR(1/VLOOKUP($R303,Capa!$A:$AJ,BC$5,0)),0,1/VLOOKUP($R303,Capa!$A:$AJ,BC$5,0))))</f>
        <v/>
      </c>
      <c r="BD303" s="174" t="str">
        <f>IF(BD$6="","",IF(BD$3="Maior",iferror(VLOOKUP($R303,Capa!$A:$AJ,BD$5,0),0),IF(ISERROR(1/VLOOKUP($R303,Capa!$A:$AJ,BD$5,0)),0,1/VLOOKUP($R303,Capa!$A:$AJ,BD$5,0))))</f>
        <v/>
      </c>
      <c r="BE303" s="174" t="str">
        <f>IF(BE$6="","",IF(BE$3="Maior",iferror(VLOOKUP($R303,Capa!$A:$AJ,BE$5,0),0),IF(ISERROR(1/VLOOKUP($R303,Capa!$A:$AJ,BE$5,0)),0,1/VLOOKUP($R303,Capa!$A:$AJ,BE$5,0))))</f>
        <v/>
      </c>
      <c r="BF303" s="174" t="str">
        <f>IF(BF$6="","",IF(BF$3="Maior",iferror(VLOOKUP($R303,Capa!$A:$AJ,BF$5,0),0),IF(ISERROR(1/VLOOKUP($R303,Capa!$A:$AJ,BF$5,0)),0,1/VLOOKUP($R303,Capa!$A:$AJ,BF$5,0))))</f>
        <v/>
      </c>
      <c r="BG303" s="174" t="str">
        <f>IF(BG$6="","",IF(BG$3="Maior",iferror(VLOOKUP($R303,Capa!$A:$AJ,BG$5,0),0),IF(ISERROR(1/VLOOKUP($R303,Capa!$A:$AJ,BG$5,0)),0,1/VLOOKUP($R303,Capa!$A:$AJ,BG$5,0))))</f>
        <v/>
      </c>
      <c r="BH303" s="174" t="str">
        <f>IF(BH$6="","",IF(BH$3="Maior",iferror(VLOOKUP($R303,Capa!$A:$AJ,BH$5,0),0),IF(ISERROR(1/VLOOKUP($R303,Capa!$A:$AJ,BH$5,0)),0,1/VLOOKUP($R303,Capa!$A:$AJ,BH$5,0))))</f>
        <v/>
      </c>
      <c r="BI303" s="174" t="str">
        <f>IF(BI$6="","",IF(BI$3="Maior",iferror(VLOOKUP($R303,Capa!$A:$AJ,BI$5,0),0),IF(ISERROR(1/VLOOKUP($R303,Capa!$A:$AJ,BI$5,0)),0,1/VLOOKUP($R303,Capa!$A:$AJ,BI$5,0))))</f>
        <v/>
      </c>
      <c r="BJ303" s="174" t="str">
        <f>IF(BJ$6="","",IF(BJ$3="Maior",iferror(VLOOKUP($R303,Capa!$A:$AJ,BJ$5,0),0),IF(ISERROR(1/VLOOKUP($R303,Capa!$A:$AJ,BJ$5,0)),0,1/VLOOKUP($R303,Capa!$A:$AJ,BJ$5,0))))</f>
        <v/>
      </c>
      <c r="BK303" s="174" t="str">
        <f>IF(BK$6="","",IF(BK$3="Maior",iferror(VLOOKUP($R303,Capa!$A:$AJ,BK$5,0),0),IF(ISERROR(1/VLOOKUP($R303,Capa!$A:$AJ,BK$5,0)),0,1/VLOOKUP($R303,Capa!$A:$AJ,BK$5,0))))</f>
        <v/>
      </c>
      <c r="BL303" s="174" t="str">
        <f>IF(BL$6="","",IF(BL$3="Maior",iferror(VLOOKUP($R303,Capa!$A:$AJ,BL$5,0),0),IF(ISERROR(1/VLOOKUP($R303,Capa!$A:$AJ,BL$5,0)),0,1/VLOOKUP($R303,Capa!$A:$AJ,BL$5,0))))</f>
        <v/>
      </c>
      <c r="BM303" s="174" t="str">
        <f>IF(BM$6="","",IF(BM$3="Maior",iferror(VLOOKUP($R303,Capa!$A:$AJ,BM$5,0),0),IF(ISERROR(1/VLOOKUP($R303,Capa!$A:$AJ,BM$5,0)),0,1/VLOOKUP($R303,Capa!$A:$AJ,BM$5,0))))</f>
        <v/>
      </c>
      <c r="BN303" s="174" t="str">
        <f>IF(BN$6="","",IF(BN$3="Maior",iferror(VLOOKUP($R303,Capa!$A:$AJ,BN$5,0),0),IF(ISERROR(1/VLOOKUP($R303,Capa!$A:$AJ,BN$5,0)),0,1/VLOOKUP($R303,Capa!$A:$AJ,BN$5,0))))</f>
        <v/>
      </c>
      <c r="BO303" s="174" t="str">
        <f>IF(BO$6="","",IF(BO$3="Maior",iferror(VLOOKUP($R303,Capa!$A:$AJ,BO$5,0),0),IF(ISERROR(1/VLOOKUP($R303,Capa!$A:$AJ,BO$5,0)),0,1/VLOOKUP($R303,Capa!$A:$AJ,BO$5,0))))</f>
        <v/>
      </c>
      <c r="BP303" s="174" t="str">
        <f>IF(BP$6="","",IF(BP$3="Maior",iferror(VLOOKUP($R303,Capa!$A:$AJ,BP$5,0),0),IF(ISERROR(1/VLOOKUP($R303,Capa!$A:$AJ,BP$5,0)),0,1/VLOOKUP($R303,Capa!$A:$AJ,BP$5,0))))</f>
        <v/>
      </c>
      <c r="BQ303" s="174" t="str">
        <f>IF(BQ$6="","",IF(BQ$3="Maior",iferror(VLOOKUP($R303,Capa!$A:$AJ,BQ$5,0),0),IF(ISERROR(1/VLOOKUP($R303,Capa!$A:$AJ,BQ$5,0)),0,1/VLOOKUP($R303,Capa!$A:$AJ,BQ$5,0))))</f>
        <v/>
      </c>
      <c r="BR303" s="175"/>
      <c r="BS303" s="147"/>
    </row>
    <row r="304">
      <c r="G304" s="11"/>
      <c r="H304" s="8">
        <v>298.0</v>
      </c>
      <c r="I304" s="165" t="str">
        <f t="shared" si="6"/>
        <v>BOBR3</v>
      </c>
      <c r="J304" s="166" t="str">
        <f>(VLOOKUP($I304,Capa!$A:$B,2,0))</f>
        <v>Bombril SA</v>
      </c>
      <c r="K304" s="167" t="str">
        <f>VLOOKUP(left(I304,4),Setor!A:D,3,0)&amp;" | "&amp;VLOOKUP(left(I304,4),Setor!A:D,4,0)</f>
        <v>Consumo não Cíclico | Produtos de Uso Pessoal e de Limpeza</v>
      </c>
      <c r="L304" s="168">
        <f>(VLOOKUP($I304,Capa!$A:$F,6,0))</f>
        <v>0</v>
      </c>
      <c r="M304" s="168">
        <f t="shared" si="7"/>
        <v>0</v>
      </c>
      <c r="N304" s="11" t="str">
        <f>(VLOOKUP($I304,Capa!$A:$H,7,0))</f>
        <v/>
      </c>
      <c r="O304" s="169" t="str">
        <f>(VLOOKUP($I304,Capa!$A:$H,8,0))</f>
        <v/>
      </c>
      <c r="P304" s="11" t="str">
        <f>(VLOOKUP($I304,Capa!$A:$J,10,0))</f>
        <v/>
      </c>
      <c r="Q304" s="169" t="str">
        <f>(VLOOKUP($I304,Capa!$A:$K,11,0))</f>
        <v/>
      </c>
      <c r="R304" s="45" t="str">
        <f>'Dados StatusInvest'!A299</f>
        <v>GPAR3</v>
      </c>
      <c r="S304" s="170">
        <f t="shared" si="234"/>
        <v>1489.0489</v>
      </c>
      <c r="T304" s="171">
        <f>VLOOKUP(R304,'Dados StatusInvest'!A:Z,26,0)</f>
        <v>1592.73</v>
      </c>
      <c r="U304" s="172">
        <f t="shared" ref="U304:AS304" si="307">IF(AT304="","", RANK(AT304,AT$7:AT$626,0)+RANK(AT304,AT$7:AT$626,0)/10000)</f>
        <v>222.0222</v>
      </c>
      <c r="V304" s="172">
        <f t="shared" si="307"/>
        <v>267.0267</v>
      </c>
      <c r="W304" s="172" t="str">
        <f t="shared" si="307"/>
        <v/>
      </c>
      <c r="X304" s="172" t="str">
        <f t="shared" si="307"/>
        <v/>
      </c>
      <c r="Y304" s="172" t="str">
        <f t="shared" si="307"/>
        <v/>
      </c>
      <c r="Z304" s="172" t="str">
        <f t="shared" si="307"/>
        <v/>
      </c>
      <c r="AA304" s="172" t="str">
        <f t="shared" si="307"/>
        <v/>
      </c>
      <c r="AB304" s="172" t="str">
        <f t="shared" si="307"/>
        <v/>
      </c>
      <c r="AC304" s="172" t="str">
        <f t="shared" si="307"/>
        <v/>
      </c>
      <c r="AD304" s="172" t="str">
        <f t="shared" si="307"/>
        <v/>
      </c>
      <c r="AE304" s="172" t="str">
        <f t="shared" si="307"/>
        <v/>
      </c>
      <c r="AF304" s="172" t="str">
        <f t="shared" si="307"/>
        <v/>
      </c>
      <c r="AG304" s="172" t="str">
        <f t="shared" si="307"/>
        <v/>
      </c>
      <c r="AH304" s="172" t="str">
        <f t="shared" si="307"/>
        <v/>
      </c>
      <c r="AI304" s="172" t="str">
        <f t="shared" si="307"/>
        <v/>
      </c>
      <c r="AJ304" s="172" t="str">
        <f t="shared" si="307"/>
        <v/>
      </c>
      <c r="AK304" s="172" t="str">
        <f t="shared" si="307"/>
        <v/>
      </c>
      <c r="AL304" s="172" t="str">
        <f t="shared" si="307"/>
        <v/>
      </c>
      <c r="AM304" s="172" t="str">
        <f t="shared" si="307"/>
        <v/>
      </c>
      <c r="AN304" s="172" t="str">
        <f t="shared" si="307"/>
        <v/>
      </c>
      <c r="AO304" s="172" t="str">
        <f t="shared" si="307"/>
        <v/>
      </c>
      <c r="AP304" s="172" t="str">
        <f t="shared" si="307"/>
        <v/>
      </c>
      <c r="AQ304" s="172" t="str">
        <f t="shared" si="307"/>
        <v/>
      </c>
      <c r="AR304" s="172" t="str">
        <f t="shared" si="307"/>
        <v/>
      </c>
      <c r="AS304" s="172" t="str">
        <f t="shared" si="307"/>
        <v/>
      </c>
      <c r="AT304" s="173">
        <f>IF(AT$6="","",IF(AT$3="Maior",iferror(VLOOKUP($R304,Capa!$A:$AJ,AT$5,0),0),IF(ISERROR(1/VLOOKUP($R304,Capa!$A:$AJ,AT$5,0)),0,1/VLOOKUP($R304,Capa!$A:$AJ,AT$5,0))))</f>
        <v>-0.3472222222</v>
      </c>
      <c r="AU304" s="174">
        <f>IF(AU$6="","",IF(AU$3="Maior",iferror(VLOOKUP($R304,Capa!$A:$AJ,AU$5,0),0),IF(ISERROR(1/VLOOKUP($R304,Capa!$A:$AJ,AU$5,0)),0,1/VLOOKUP($R304,Capa!$A:$AJ,AU$5,0))))</f>
        <v>0</v>
      </c>
      <c r="AV304" s="174" t="str">
        <f>IF(AV$6="","",IF(AV$3="Maior",iferror(VLOOKUP($R304,Capa!$A:$AJ,AV$5,0),0),IF(ISERROR(1/VLOOKUP($R304,Capa!$A:$AJ,AV$5,0)),0,1/VLOOKUP($R304,Capa!$A:$AJ,AV$5,0))))</f>
        <v/>
      </c>
      <c r="AW304" s="174" t="str">
        <f>IF(AW$6="","",IF(AW$3="Maior",iferror(VLOOKUP($R304,Capa!$A:$AJ,AW$5,0),0),IF(ISERROR(1/VLOOKUP($R304,Capa!$A:$AJ,AW$5,0)),0,1/VLOOKUP($R304,Capa!$A:$AJ,AW$5,0))))</f>
        <v/>
      </c>
      <c r="AX304" s="174" t="str">
        <f>IF(AX$6="","",IF(AX$3="Maior",iferror(VLOOKUP($R304,Capa!$A:$AJ,AX$5,0),0),IF(ISERROR(1/VLOOKUP($R304,Capa!$A:$AJ,AX$5,0)),0,1/VLOOKUP($R304,Capa!$A:$AJ,AX$5,0))))</f>
        <v/>
      </c>
      <c r="AY304" s="174" t="str">
        <f>IF(AY$6="","",IF(AY$3="Maior",iferror(VLOOKUP($R304,Capa!$A:$AJ,AY$5,0),0),IF(ISERROR(1/VLOOKUP($R304,Capa!$A:$AJ,AY$5,0)),0,1/VLOOKUP($R304,Capa!$A:$AJ,AY$5,0))))</f>
        <v/>
      </c>
      <c r="AZ304" s="174" t="str">
        <f>IF(AZ$6="","",IF(AZ$3="Maior",iferror(VLOOKUP($R304,Capa!$A:$AJ,AZ$5,0),0),IF(ISERROR(1/VLOOKUP($R304,Capa!$A:$AJ,AZ$5,0)),0,1/VLOOKUP($R304,Capa!$A:$AJ,AZ$5,0))))</f>
        <v/>
      </c>
      <c r="BA304" s="174" t="str">
        <f>IF(BA$6="","",IF(BA$3="Maior",iferror(VLOOKUP($R304,Capa!$A:$AJ,BA$5,0),0),IF(ISERROR(1/VLOOKUP($R304,Capa!$A:$AJ,BA$5,0)),0,1/VLOOKUP($R304,Capa!$A:$AJ,BA$5,0))))</f>
        <v/>
      </c>
      <c r="BB304" s="174" t="str">
        <f>IF(BB$6="","",IF(BB$3="Maior",iferror(VLOOKUP($R304,Capa!$A:$AJ,BB$5,0),0),IF(ISERROR(1/VLOOKUP($R304,Capa!$A:$AJ,BB$5,0)),0,1/VLOOKUP($R304,Capa!$A:$AJ,BB$5,0))))</f>
        <v/>
      </c>
      <c r="BC304" s="174" t="str">
        <f>IF(BC$6="","",IF(BC$3="Maior",iferror(VLOOKUP($R304,Capa!$A:$AJ,BC$5,0),0),IF(ISERROR(1/VLOOKUP($R304,Capa!$A:$AJ,BC$5,0)),0,1/VLOOKUP($R304,Capa!$A:$AJ,BC$5,0))))</f>
        <v/>
      </c>
      <c r="BD304" s="174" t="str">
        <f>IF(BD$6="","",IF(BD$3="Maior",iferror(VLOOKUP($R304,Capa!$A:$AJ,BD$5,0),0),IF(ISERROR(1/VLOOKUP($R304,Capa!$A:$AJ,BD$5,0)),0,1/VLOOKUP($R304,Capa!$A:$AJ,BD$5,0))))</f>
        <v/>
      </c>
      <c r="BE304" s="174" t="str">
        <f>IF(BE$6="","",IF(BE$3="Maior",iferror(VLOOKUP($R304,Capa!$A:$AJ,BE$5,0),0),IF(ISERROR(1/VLOOKUP($R304,Capa!$A:$AJ,BE$5,0)),0,1/VLOOKUP($R304,Capa!$A:$AJ,BE$5,0))))</f>
        <v/>
      </c>
      <c r="BF304" s="174" t="str">
        <f>IF(BF$6="","",IF(BF$3="Maior",iferror(VLOOKUP($R304,Capa!$A:$AJ,BF$5,0),0),IF(ISERROR(1/VLOOKUP($R304,Capa!$A:$AJ,BF$5,0)),0,1/VLOOKUP($R304,Capa!$A:$AJ,BF$5,0))))</f>
        <v/>
      </c>
      <c r="BG304" s="174" t="str">
        <f>IF(BG$6="","",IF(BG$3="Maior",iferror(VLOOKUP($R304,Capa!$A:$AJ,BG$5,0),0),IF(ISERROR(1/VLOOKUP($R304,Capa!$A:$AJ,BG$5,0)),0,1/VLOOKUP($R304,Capa!$A:$AJ,BG$5,0))))</f>
        <v/>
      </c>
      <c r="BH304" s="174" t="str">
        <f>IF(BH$6="","",IF(BH$3="Maior",iferror(VLOOKUP($R304,Capa!$A:$AJ,BH$5,0),0),IF(ISERROR(1/VLOOKUP($R304,Capa!$A:$AJ,BH$5,0)),0,1/VLOOKUP($R304,Capa!$A:$AJ,BH$5,0))))</f>
        <v/>
      </c>
      <c r="BI304" s="174" t="str">
        <f>IF(BI$6="","",IF(BI$3="Maior",iferror(VLOOKUP($R304,Capa!$A:$AJ,BI$5,0),0),IF(ISERROR(1/VLOOKUP($R304,Capa!$A:$AJ,BI$5,0)),0,1/VLOOKUP($R304,Capa!$A:$AJ,BI$5,0))))</f>
        <v/>
      </c>
      <c r="BJ304" s="174" t="str">
        <f>IF(BJ$6="","",IF(BJ$3="Maior",iferror(VLOOKUP($R304,Capa!$A:$AJ,BJ$5,0),0),IF(ISERROR(1/VLOOKUP($R304,Capa!$A:$AJ,BJ$5,0)),0,1/VLOOKUP($R304,Capa!$A:$AJ,BJ$5,0))))</f>
        <v/>
      </c>
      <c r="BK304" s="174" t="str">
        <f>IF(BK$6="","",IF(BK$3="Maior",iferror(VLOOKUP($R304,Capa!$A:$AJ,BK$5,0),0),IF(ISERROR(1/VLOOKUP($R304,Capa!$A:$AJ,BK$5,0)),0,1/VLOOKUP($R304,Capa!$A:$AJ,BK$5,0))))</f>
        <v/>
      </c>
      <c r="BL304" s="174" t="str">
        <f>IF(BL$6="","",IF(BL$3="Maior",iferror(VLOOKUP($R304,Capa!$A:$AJ,BL$5,0),0),IF(ISERROR(1/VLOOKUP($R304,Capa!$A:$AJ,BL$5,0)),0,1/VLOOKUP($R304,Capa!$A:$AJ,BL$5,0))))</f>
        <v/>
      </c>
      <c r="BM304" s="174" t="str">
        <f>IF(BM$6="","",IF(BM$3="Maior",iferror(VLOOKUP($R304,Capa!$A:$AJ,BM$5,0),0),IF(ISERROR(1/VLOOKUP($R304,Capa!$A:$AJ,BM$5,0)),0,1/VLOOKUP($R304,Capa!$A:$AJ,BM$5,0))))</f>
        <v/>
      </c>
      <c r="BN304" s="174" t="str">
        <f>IF(BN$6="","",IF(BN$3="Maior",iferror(VLOOKUP($R304,Capa!$A:$AJ,BN$5,0),0),IF(ISERROR(1/VLOOKUP($R304,Capa!$A:$AJ,BN$5,0)),0,1/VLOOKUP($R304,Capa!$A:$AJ,BN$5,0))))</f>
        <v/>
      </c>
      <c r="BO304" s="174" t="str">
        <f>IF(BO$6="","",IF(BO$3="Maior",iferror(VLOOKUP($R304,Capa!$A:$AJ,BO$5,0),0),IF(ISERROR(1/VLOOKUP($R304,Capa!$A:$AJ,BO$5,0)),0,1/VLOOKUP($R304,Capa!$A:$AJ,BO$5,0))))</f>
        <v/>
      </c>
      <c r="BP304" s="174" t="str">
        <f>IF(BP$6="","",IF(BP$3="Maior",iferror(VLOOKUP($R304,Capa!$A:$AJ,BP$5,0),0),IF(ISERROR(1/VLOOKUP($R304,Capa!$A:$AJ,BP$5,0)),0,1/VLOOKUP($R304,Capa!$A:$AJ,BP$5,0))))</f>
        <v/>
      </c>
      <c r="BQ304" s="174" t="str">
        <f>IF(BQ$6="","",IF(BQ$3="Maior",iferror(VLOOKUP($R304,Capa!$A:$AJ,BQ$5,0),0),IF(ISERROR(1/VLOOKUP($R304,Capa!$A:$AJ,BQ$5,0)),0,1/VLOOKUP($R304,Capa!$A:$AJ,BQ$5,0))))</f>
        <v/>
      </c>
      <c r="BR304" s="175"/>
      <c r="BS304" s="147"/>
    </row>
    <row r="305">
      <c r="G305" s="11"/>
      <c r="H305" s="8">
        <v>299.0</v>
      </c>
      <c r="I305" s="165" t="str">
        <f t="shared" si="6"/>
        <v>TIET11</v>
      </c>
      <c r="J305" s="166" t="str">
        <f>(VLOOKUP($I305,Capa!$A:$B,2,0))</f>
        <v/>
      </c>
      <c r="K305" s="167" t="str">
        <f>VLOOKUP(left(I305,4),Setor!A:D,3,0)&amp;" | "&amp;VLOOKUP(left(I305,4),Setor!A:D,4,0)</f>
        <v>Utilidade Pública | Energia Elétrica</v>
      </c>
      <c r="L305" s="168" t="str">
        <f>(VLOOKUP($I305,Capa!$A:$F,6,0))</f>
        <v/>
      </c>
      <c r="M305" s="168">
        <f t="shared" si="7"/>
        <v>0</v>
      </c>
      <c r="N305" s="177" t="str">
        <f>(VLOOKUP($I305,Capa!$A:$H,7,0))</f>
        <v/>
      </c>
      <c r="O305" s="169" t="str">
        <f>(VLOOKUP($I305,Capa!$A:$H,8,0))</f>
        <v/>
      </c>
      <c r="P305" s="169" t="str">
        <f>(VLOOKUP($I305,Capa!$A:$J,10,0))</f>
        <v/>
      </c>
      <c r="Q305" s="169" t="str">
        <f>(VLOOKUP($I305,Capa!$A:$K,11,0))</f>
        <v/>
      </c>
      <c r="R305" s="45" t="str">
        <f>'Dados StatusInvest'!A300</f>
        <v>GPIV33</v>
      </c>
      <c r="S305" s="170">
        <f t="shared" si="234"/>
        <v>1609.0609</v>
      </c>
      <c r="T305" s="171">
        <f>VLOOKUP(R305,'Dados StatusInvest'!A:Z,26,0)</f>
        <v>308564</v>
      </c>
      <c r="U305" s="172">
        <f t="shared" ref="U305:AS305" si="308">IF(AT305="","", RANK(AT305,AT$7:AT$626,0)+RANK(AT305,AT$7:AT$626,0)/10000)</f>
        <v>342.0342</v>
      </c>
      <c r="V305" s="172">
        <f t="shared" si="308"/>
        <v>267.0267</v>
      </c>
      <c r="W305" s="172" t="str">
        <f t="shared" si="308"/>
        <v/>
      </c>
      <c r="X305" s="172" t="str">
        <f t="shared" si="308"/>
        <v/>
      </c>
      <c r="Y305" s="172" t="str">
        <f t="shared" si="308"/>
        <v/>
      </c>
      <c r="Z305" s="172" t="str">
        <f t="shared" si="308"/>
        <v/>
      </c>
      <c r="AA305" s="172" t="str">
        <f t="shared" si="308"/>
        <v/>
      </c>
      <c r="AB305" s="172" t="str">
        <f t="shared" si="308"/>
        <v/>
      </c>
      <c r="AC305" s="172" t="str">
        <f t="shared" si="308"/>
        <v/>
      </c>
      <c r="AD305" s="172" t="str">
        <f t="shared" si="308"/>
        <v/>
      </c>
      <c r="AE305" s="172" t="str">
        <f t="shared" si="308"/>
        <v/>
      </c>
      <c r="AF305" s="172" t="str">
        <f t="shared" si="308"/>
        <v/>
      </c>
      <c r="AG305" s="172" t="str">
        <f t="shared" si="308"/>
        <v/>
      </c>
      <c r="AH305" s="172" t="str">
        <f t="shared" si="308"/>
        <v/>
      </c>
      <c r="AI305" s="172" t="str">
        <f t="shared" si="308"/>
        <v/>
      </c>
      <c r="AJ305" s="172" t="str">
        <f t="shared" si="308"/>
        <v/>
      </c>
      <c r="AK305" s="172" t="str">
        <f t="shared" si="308"/>
        <v/>
      </c>
      <c r="AL305" s="172" t="str">
        <f t="shared" si="308"/>
        <v/>
      </c>
      <c r="AM305" s="172" t="str">
        <f t="shared" si="308"/>
        <v/>
      </c>
      <c r="AN305" s="172" t="str">
        <f t="shared" si="308"/>
        <v/>
      </c>
      <c r="AO305" s="172" t="str">
        <f t="shared" si="308"/>
        <v/>
      </c>
      <c r="AP305" s="172" t="str">
        <f t="shared" si="308"/>
        <v/>
      </c>
      <c r="AQ305" s="172" t="str">
        <f t="shared" si="308"/>
        <v/>
      </c>
      <c r="AR305" s="172" t="str">
        <f t="shared" si="308"/>
        <v/>
      </c>
      <c r="AS305" s="172" t="str">
        <f t="shared" si="308"/>
        <v/>
      </c>
      <c r="AT305" s="173">
        <f>IF(AT$6="","",IF(AT$3="Maior",iferror(VLOOKUP($R305,Capa!$A:$AJ,AT$5,0),0),IF(ISERROR(1/VLOOKUP($R305,Capa!$A:$AJ,AT$5,0)),0,1/VLOOKUP($R305,Capa!$A:$AJ,AT$5,0))))</f>
        <v>-0.9615384615</v>
      </c>
      <c r="AU305" s="174">
        <f>IF(AU$6="","",IF(AU$3="Maior",iferror(VLOOKUP($R305,Capa!$A:$AJ,AU$5,0),0),IF(ISERROR(1/VLOOKUP($R305,Capa!$A:$AJ,AU$5,0)),0,1/VLOOKUP($R305,Capa!$A:$AJ,AU$5,0))))</f>
        <v>0</v>
      </c>
      <c r="AV305" s="174" t="str">
        <f>IF(AV$6="","",IF(AV$3="Maior",iferror(VLOOKUP($R305,Capa!$A:$AJ,AV$5,0),0),IF(ISERROR(1/VLOOKUP($R305,Capa!$A:$AJ,AV$5,0)),0,1/VLOOKUP($R305,Capa!$A:$AJ,AV$5,0))))</f>
        <v/>
      </c>
      <c r="AW305" s="174" t="str">
        <f>IF(AW$6="","",IF(AW$3="Maior",iferror(VLOOKUP($R305,Capa!$A:$AJ,AW$5,0),0),IF(ISERROR(1/VLOOKUP($R305,Capa!$A:$AJ,AW$5,0)),0,1/VLOOKUP($R305,Capa!$A:$AJ,AW$5,0))))</f>
        <v/>
      </c>
      <c r="AX305" s="174" t="str">
        <f>IF(AX$6="","",IF(AX$3="Maior",iferror(VLOOKUP($R305,Capa!$A:$AJ,AX$5,0),0),IF(ISERROR(1/VLOOKUP($R305,Capa!$A:$AJ,AX$5,0)),0,1/VLOOKUP($R305,Capa!$A:$AJ,AX$5,0))))</f>
        <v/>
      </c>
      <c r="AY305" s="174" t="str">
        <f>IF(AY$6="","",IF(AY$3="Maior",iferror(VLOOKUP($R305,Capa!$A:$AJ,AY$5,0),0),IF(ISERROR(1/VLOOKUP($R305,Capa!$A:$AJ,AY$5,0)),0,1/VLOOKUP($R305,Capa!$A:$AJ,AY$5,0))))</f>
        <v/>
      </c>
      <c r="AZ305" s="174" t="str">
        <f>IF(AZ$6="","",IF(AZ$3="Maior",iferror(VLOOKUP($R305,Capa!$A:$AJ,AZ$5,0),0),IF(ISERROR(1/VLOOKUP($R305,Capa!$A:$AJ,AZ$5,0)),0,1/VLOOKUP($R305,Capa!$A:$AJ,AZ$5,0))))</f>
        <v/>
      </c>
      <c r="BA305" s="174" t="str">
        <f>IF(BA$6="","",IF(BA$3="Maior",iferror(VLOOKUP($R305,Capa!$A:$AJ,BA$5,0),0),IF(ISERROR(1/VLOOKUP($R305,Capa!$A:$AJ,BA$5,0)),0,1/VLOOKUP($R305,Capa!$A:$AJ,BA$5,0))))</f>
        <v/>
      </c>
      <c r="BB305" s="174" t="str">
        <f>IF(BB$6="","",IF(BB$3="Maior",iferror(VLOOKUP($R305,Capa!$A:$AJ,BB$5,0),0),IF(ISERROR(1/VLOOKUP($R305,Capa!$A:$AJ,BB$5,0)),0,1/VLOOKUP($R305,Capa!$A:$AJ,BB$5,0))))</f>
        <v/>
      </c>
      <c r="BC305" s="174" t="str">
        <f>IF(BC$6="","",IF(BC$3="Maior",iferror(VLOOKUP($R305,Capa!$A:$AJ,BC$5,0),0),IF(ISERROR(1/VLOOKUP($R305,Capa!$A:$AJ,BC$5,0)),0,1/VLOOKUP($R305,Capa!$A:$AJ,BC$5,0))))</f>
        <v/>
      </c>
      <c r="BD305" s="174" t="str">
        <f>IF(BD$6="","",IF(BD$3="Maior",iferror(VLOOKUP($R305,Capa!$A:$AJ,BD$5,0),0),IF(ISERROR(1/VLOOKUP($R305,Capa!$A:$AJ,BD$5,0)),0,1/VLOOKUP($R305,Capa!$A:$AJ,BD$5,0))))</f>
        <v/>
      </c>
      <c r="BE305" s="174" t="str">
        <f>IF(BE$6="","",IF(BE$3="Maior",iferror(VLOOKUP($R305,Capa!$A:$AJ,BE$5,0),0),IF(ISERROR(1/VLOOKUP($R305,Capa!$A:$AJ,BE$5,0)),0,1/VLOOKUP($R305,Capa!$A:$AJ,BE$5,0))))</f>
        <v/>
      </c>
      <c r="BF305" s="174" t="str">
        <f>IF(BF$6="","",IF(BF$3="Maior",iferror(VLOOKUP($R305,Capa!$A:$AJ,BF$5,0),0),IF(ISERROR(1/VLOOKUP($R305,Capa!$A:$AJ,BF$5,0)),0,1/VLOOKUP($R305,Capa!$A:$AJ,BF$5,0))))</f>
        <v/>
      </c>
      <c r="BG305" s="174" t="str">
        <f>IF(BG$6="","",IF(BG$3="Maior",iferror(VLOOKUP($R305,Capa!$A:$AJ,BG$5,0),0),IF(ISERROR(1/VLOOKUP($R305,Capa!$A:$AJ,BG$5,0)),0,1/VLOOKUP($R305,Capa!$A:$AJ,BG$5,0))))</f>
        <v/>
      </c>
      <c r="BH305" s="174" t="str">
        <f>IF(BH$6="","",IF(BH$3="Maior",iferror(VLOOKUP($R305,Capa!$A:$AJ,BH$5,0),0),IF(ISERROR(1/VLOOKUP($R305,Capa!$A:$AJ,BH$5,0)),0,1/VLOOKUP($R305,Capa!$A:$AJ,BH$5,0))))</f>
        <v/>
      </c>
      <c r="BI305" s="174" t="str">
        <f>IF(BI$6="","",IF(BI$3="Maior",iferror(VLOOKUP($R305,Capa!$A:$AJ,BI$5,0),0),IF(ISERROR(1/VLOOKUP($R305,Capa!$A:$AJ,BI$5,0)),0,1/VLOOKUP($R305,Capa!$A:$AJ,BI$5,0))))</f>
        <v/>
      </c>
      <c r="BJ305" s="174" t="str">
        <f>IF(BJ$6="","",IF(BJ$3="Maior",iferror(VLOOKUP($R305,Capa!$A:$AJ,BJ$5,0),0),IF(ISERROR(1/VLOOKUP($R305,Capa!$A:$AJ,BJ$5,0)),0,1/VLOOKUP($R305,Capa!$A:$AJ,BJ$5,0))))</f>
        <v/>
      </c>
      <c r="BK305" s="174" t="str">
        <f>IF(BK$6="","",IF(BK$3="Maior",iferror(VLOOKUP($R305,Capa!$A:$AJ,BK$5,0),0),IF(ISERROR(1/VLOOKUP($R305,Capa!$A:$AJ,BK$5,0)),0,1/VLOOKUP($R305,Capa!$A:$AJ,BK$5,0))))</f>
        <v/>
      </c>
      <c r="BL305" s="174" t="str">
        <f>IF(BL$6="","",IF(BL$3="Maior",iferror(VLOOKUP($R305,Capa!$A:$AJ,BL$5,0),0),IF(ISERROR(1/VLOOKUP($R305,Capa!$A:$AJ,BL$5,0)),0,1/VLOOKUP($R305,Capa!$A:$AJ,BL$5,0))))</f>
        <v/>
      </c>
      <c r="BM305" s="174" t="str">
        <f>IF(BM$6="","",IF(BM$3="Maior",iferror(VLOOKUP($R305,Capa!$A:$AJ,BM$5,0),0),IF(ISERROR(1/VLOOKUP($R305,Capa!$A:$AJ,BM$5,0)),0,1/VLOOKUP($R305,Capa!$A:$AJ,BM$5,0))))</f>
        <v/>
      </c>
      <c r="BN305" s="174" t="str">
        <f>IF(BN$6="","",IF(BN$3="Maior",iferror(VLOOKUP($R305,Capa!$A:$AJ,BN$5,0),0),IF(ISERROR(1/VLOOKUP($R305,Capa!$A:$AJ,BN$5,0)),0,1/VLOOKUP($R305,Capa!$A:$AJ,BN$5,0))))</f>
        <v/>
      </c>
      <c r="BO305" s="174" t="str">
        <f>IF(BO$6="","",IF(BO$3="Maior",iferror(VLOOKUP($R305,Capa!$A:$AJ,BO$5,0),0),IF(ISERROR(1/VLOOKUP($R305,Capa!$A:$AJ,BO$5,0)),0,1/VLOOKUP($R305,Capa!$A:$AJ,BO$5,0))))</f>
        <v/>
      </c>
      <c r="BP305" s="174" t="str">
        <f>IF(BP$6="","",IF(BP$3="Maior",iferror(VLOOKUP($R305,Capa!$A:$AJ,BP$5,0),0),IF(ISERROR(1/VLOOKUP($R305,Capa!$A:$AJ,BP$5,0)),0,1/VLOOKUP($R305,Capa!$A:$AJ,BP$5,0))))</f>
        <v/>
      </c>
      <c r="BQ305" s="174" t="str">
        <f>IF(BQ$6="","",IF(BQ$3="Maior",iferror(VLOOKUP($R305,Capa!$A:$AJ,BQ$5,0),0),IF(ISERROR(1/VLOOKUP($R305,Capa!$A:$AJ,BQ$5,0)),0,1/VLOOKUP($R305,Capa!$A:$AJ,BQ$5,0))))</f>
        <v/>
      </c>
      <c r="BR305" s="175"/>
      <c r="BS305" s="147"/>
    </row>
    <row r="306">
      <c r="G306" s="11"/>
      <c r="H306" s="8">
        <v>300.0</v>
      </c>
      <c r="I306" s="165" t="str">
        <f t="shared" si="6"/>
        <v>SOND3</v>
      </c>
      <c r="J306" s="166" t="str">
        <f>(VLOOKUP($I306,Capa!$A:$B,2,0))</f>
        <v>Sondotecnica Engenharia de Solos SA</v>
      </c>
      <c r="K306" s="167" t="str">
        <f>VLOOKUP(left(I306,4),Setor!A:D,3,0)&amp;" | "&amp;VLOOKUP(left(I306,4),Setor!A:D,4,0)</f>
        <v>Bens Industriais | Construção e Engenharia</v>
      </c>
      <c r="L306" s="168">
        <f>(VLOOKUP($I306,Capa!$A:$F,6,0))</f>
        <v>38.66</v>
      </c>
      <c r="M306" s="168">
        <f t="shared" si="7"/>
        <v>3866</v>
      </c>
      <c r="N306" s="177" t="str">
        <f>(VLOOKUP($I306,Capa!$A:$H,7,0))</f>
        <v/>
      </c>
      <c r="O306" s="169" t="str">
        <f>(VLOOKUP($I306,Capa!$A:$H,8,0))</f>
        <v/>
      </c>
      <c r="P306" s="169" t="str">
        <f>IFERROR(__xludf.DUMMYFUNCTION("(VLOOKUP($I306,Capa!$A:$J,10,0))"),"")</f>
        <v/>
      </c>
      <c r="Q306" s="169" t="str">
        <f>(VLOOKUP($I306,Capa!$A:$K,11,0))</f>
        <v/>
      </c>
      <c r="R306" s="45" t="str">
        <f>'Dados StatusInvest'!A301</f>
        <v>GRAO3</v>
      </c>
      <c r="S306" s="170">
        <f t="shared" si="234"/>
        <v>1058.0058</v>
      </c>
      <c r="T306" s="171">
        <f>VLOOKUP(R306,'Dados StatusInvest'!A:Z,26,0)</f>
        <v>0</v>
      </c>
      <c r="U306" s="172">
        <f t="shared" ref="U306:AS306" si="309">IF(AT306="","", RANK(AT306,AT$7:AT$626,0)+RANK(AT306,AT$7:AT$626,0)/10000)</f>
        <v>51.0051</v>
      </c>
      <c r="V306" s="172">
        <f t="shared" si="309"/>
        <v>7.0007</v>
      </c>
      <c r="W306" s="172" t="str">
        <f t="shared" si="309"/>
        <v/>
      </c>
      <c r="X306" s="172" t="str">
        <f t="shared" si="309"/>
        <v/>
      </c>
      <c r="Y306" s="172" t="str">
        <f t="shared" si="309"/>
        <v/>
      </c>
      <c r="Z306" s="172" t="str">
        <f t="shared" si="309"/>
        <v/>
      </c>
      <c r="AA306" s="172" t="str">
        <f t="shared" si="309"/>
        <v/>
      </c>
      <c r="AB306" s="172" t="str">
        <f t="shared" si="309"/>
        <v/>
      </c>
      <c r="AC306" s="172" t="str">
        <f t="shared" si="309"/>
        <v/>
      </c>
      <c r="AD306" s="172" t="str">
        <f t="shared" si="309"/>
        <v/>
      </c>
      <c r="AE306" s="172" t="str">
        <f t="shared" si="309"/>
        <v/>
      </c>
      <c r="AF306" s="172" t="str">
        <f t="shared" si="309"/>
        <v/>
      </c>
      <c r="AG306" s="172" t="str">
        <f t="shared" si="309"/>
        <v/>
      </c>
      <c r="AH306" s="172" t="str">
        <f t="shared" si="309"/>
        <v/>
      </c>
      <c r="AI306" s="172" t="str">
        <f t="shared" si="309"/>
        <v/>
      </c>
      <c r="AJ306" s="172" t="str">
        <f t="shared" si="309"/>
        <v/>
      </c>
      <c r="AK306" s="172" t="str">
        <f t="shared" si="309"/>
        <v/>
      </c>
      <c r="AL306" s="172" t="str">
        <f t="shared" si="309"/>
        <v/>
      </c>
      <c r="AM306" s="172" t="str">
        <f t="shared" si="309"/>
        <v/>
      </c>
      <c r="AN306" s="172" t="str">
        <f t="shared" si="309"/>
        <v/>
      </c>
      <c r="AO306" s="172" t="str">
        <f t="shared" si="309"/>
        <v/>
      </c>
      <c r="AP306" s="172" t="str">
        <f t="shared" si="309"/>
        <v/>
      </c>
      <c r="AQ306" s="172" t="str">
        <f t="shared" si="309"/>
        <v/>
      </c>
      <c r="AR306" s="172" t="str">
        <f t="shared" si="309"/>
        <v/>
      </c>
      <c r="AS306" s="172" t="str">
        <f t="shared" si="309"/>
        <v/>
      </c>
      <c r="AT306" s="173">
        <f>IF(AT$6="","",IF(AT$3="Maior",iferror(VLOOKUP($R306,Capa!$A:$AJ,AT$5,0),0),IF(ISERROR(1/VLOOKUP($R306,Capa!$A:$AJ,AT$5,0)),0,1/VLOOKUP($R306,Capa!$A:$AJ,AT$5,0))))</f>
        <v>0</v>
      </c>
      <c r="AU306" s="174">
        <f>IF(AU$6="","",IF(AU$3="Maior",iferror(VLOOKUP($R306,Capa!$A:$AJ,AU$5,0),0),IF(ISERROR(1/VLOOKUP($R306,Capa!$A:$AJ,AU$5,0)),0,1/VLOOKUP($R306,Capa!$A:$AJ,AU$5,0))))</f>
        <v>84.79</v>
      </c>
      <c r="AV306" s="174" t="str">
        <f>IF(AV$6="","",IF(AV$3="Maior",iferror(VLOOKUP($R306,Capa!$A:$AJ,AV$5,0),0),IF(ISERROR(1/VLOOKUP($R306,Capa!$A:$AJ,AV$5,0)),0,1/VLOOKUP($R306,Capa!$A:$AJ,AV$5,0))))</f>
        <v/>
      </c>
      <c r="AW306" s="174" t="str">
        <f>IF(AW$6="","",IF(AW$3="Maior",iferror(VLOOKUP($R306,Capa!$A:$AJ,AW$5,0),0),IF(ISERROR(1/VLOOKUP($R306,Capa!$A:$AJ,AW$5,0)),0,1/VLOOKUP($R306,Capa!$A:$AJ,AW$5,0))))</f>
        <v/>
      </c>
      <c r="AX306" s="174" t="str">
        <f>IF(AX$6="","",IF(AX$3="Maior",iferror(VLOOKUP($R306,Capa!$A:$AJ,AX$5,0),0),IF(ISERROR(1/VLOOKUP($R306,Capa!$A:$AJ,AX$5,0)),0,1/VLOOKUP($R306,Capa!$A:$AJ,AX$5,0))))</f>
        <v/>
      </c>
      <c r="AY306" s="174" t="str">
        <f>IF(AY$6="","",IF(AY$3="Maior",iferror(VLOOKUP($R306,Capa!$A:$AJ,AY$5,0),0),IF(ISERROR(1/VLOOKUP($R306,Capa!$A:$AJ,AY$5,0)),0,1/VLOOKUP($R306,Capa!$A:$AJ,AY$5,0))))</f>
        <v/>
      </c>
      <c r="AZ306" s="174" t="str">
        <f>IF(AZ$6="","",IF(AZ$3="Maior",iferror(VLOOKUP($R306,Capa!$A:$AJ,AZ$5,0),0),IF(ISERROR(1/VLOOKUP($R306,Capa!$A:$AJ,AZ$5,0)),0,1/VLOOKUP($R306,Capa!$A:$AJ,AZ$5,0))))</f>
        <v/>
      </c>
      <c r="BA306" s="174" t="str">
        <f>IF(BA$6="","",IF(BA$3="Maior",iferror(VLOOKUP($R306,Capa!$A:$AJ,BA$5,0),0),IF(ISERROR(1/VLOOKUP($R306,Capa!$A:$AJ,BA$5,0)),0,1/VLOOKUP($R306,Capa!$A:$AJ,BA$5,0))))</f>
        <v/>
      </c>
      <c r="BB306" s="174" t="str">
        <f>IF(BB$6="","",IF(BB$3="Maior",iferror(VLOOKUP($R306,Capa!$A:$AJ,BB$5,0),0),IF(ISERROR(1/VLOOKUP($R306,Capa!$A:$AJ,BB$5,0)),0,1/VLOOKUP($R306,Capa!$A:$AJ,BB$5,0))))</f>
        <v/>
      </c>
      <c r="BC306" s="174" t="str">
        <f>IF(BC$6="","",IF(BC$3="Maior",iferror(VLOOKUP($R306,Capa!$A:$AJ,BC$5,0),0),IF(ISERROR(1/VLOOKUP($R306,Capa!$A:$AJ,BC$5,0)),0,1/VLOOKUP($R306,Capa!$A:$AJ,BC$5,0))))</f>
        <v/>
      </c>
      <c r="BD306" s="174" t="str">
        <f>IF(BD$6="","",IF(BD$3="Maior",iferror(VLOOKUP($R306,Capa!$A:$AJ,BD$5,0),0),IF(ISERROR(1/VLOOKUP($R306,Capa!$A:$AJ,BD$5,0)),0,1/VLOOKUP($R306,Capa!$A:$AJ,BD$5,0))))</f>
        <v/>
      </c>
      <c r="BE306" s="174" t="str">
        <f>IF(BE$6="","",IF(BE$3="Maior",iferror(VLOOKUP($R306,Capa!$A:$AJ,BE$5,0),0),IF(ISERROR(1/VLOOKUP($R306,Capa!$A:$AJ,BE$5,0)),0,1/VLOOKUP($R306,Capa!$A:$AJ,BE$5,0))))</f>
        <v/>
      </c>
      <c r="BF306" s="174" t="str">
        <f>IF(BF$6="","",IF(BF$3="Maior",iferror(VLOOKUP($R306,Capa!$A:$AJ,BF$5,0),0),IF(ISERROR(1/VLOOKUP($R306,Capa!$A:$AJ,BF$5,0)),0,1/VLOOKUP($R306,Capa!$A:$AJ,BF$5,0))))</f>
        <v/>
      </c>
      <c r="BG306" s="174" t="str">
        <f>IF(BG$6="","",IF(BG$3="Maior",iferror(VLOOKUP($R306,Capa!$A:$AJ,BG$5,0),0),IF(ISERROR(1/VLOOKUP($R306,Capa!$A:$AJ,BG$5,0)),0,1/VLOOKUP($R306,Capa!$A:$AJ,BG$5,0))))</f>
        <v/>
      </c>
      <c r="BH306" s="174" t="str">
        <f>IF(BH$6="","",IF(BH$3="Maior",iferror(VLOOKUP($R306,Capa!$A:$AJ,BH$5,0),0),IF(ISERROR(1/VLOOKUP($R306,Capa!$A:$AJ,BH$5,0)),0,1/VLOOKUP($R306,Capa!$A:$AJ,BH$5,0))))</f>
        <v/>
      </c>
      <c r="BI306" s="174" t="str">
        <f>IF(BI$6="","",IF(BI$3="Maior",iferror(VLOOKUP($R306,Capa!$A:$AJ,BI$5,0),0),IF(ISERROR(1/VLOOKUP($R306,Capa!$A:$AJ,BI$5,0)),0,1/VLOOKUP($R306,Capa!$A:$AJ,BI$5,0))))</f>
        <v/>
      </c>
      <c r="BJ306" s="174" t="str">
        <f>IF(BJ$6="","",IF(BJ$3="Maior",iferror(VLOOKUP($R306,Capa!$A:$AJ,BJ$5,0),0),IF(ISERROR(1/VLOOKUP($R306,Capa!$A:$AJ,BJ$5,0)),0,1/VLOOKUP($R306,Capa!$A:$AJ,BJ$5,0))))</f>
        <v/>
      </c>
      <c r="BK306" s="174" t="str">
        <f>IF(BK$6="","",IF(BK$3="Maior",iferror(VLOOKUP($R306,Capa!$A:$AJ,BK$5,0),0),IF(ISERROR(1/VLOOKUP($R306,Capa!$A:$AJ,BK$5,0)),0,1/VLOOKUP($R306,Capa!$A:$AJ,BK$5,0))))</f>
        <v/>
      </c>
      <c r="BL306" s="174" t="str">
        <f>IF(BL$6="","",IF(BL$3="Maior",iferror(VLOOKUP($R306,Capa!$A:$AJ,BL$5,0),0),IF(ISERROR(1/VLOOKUP($R306,Capa!$A:$AJ,BL$5,0)),0,1/VLOOKUP($R306,Capa!$A:$AJ,BL$5,0))))</f>
        <v/>
      </c>
      <c r="BM306" s="174" t="str">
        <f>IF(BM$6="","",IF(BM$3="Maior",iferror(VLOOKUP($R306,Capa!$A:$AJ,BM$5,0),0),IF(ISERROR(1/VLOOKUP($R306,Capa!$A:$AJ,BM$5,0)),0,1/VLOOKUP($R306,Capa!$A:$AJ,BM$5,0))))</f>
        <v/>
      </c>
      <c r="BN306" s="174" t="str">
        <f>IF(BN$6="","",IF(BN$3="Maior",iferror(VLOOKUP($R306,Capa!$A:$AJ,BN$5,0),0),IF(ISERROR(1/VLOOKUP($R306,Capa!$A:$AJ,BN$5,0)),0,1/VLOOKUP($R306,Capa!$A:$AJ,BN$5,0))))</f>
        <v/>
      </c>
      <c r="BO306" s="174" t="str">
        <f>IF(BO$6="","",IF(BO$3="Maior",iferror(VLOOKUP($R306,Capa!$A:$AJ,BO$5,0),0),IF(ISERROR(1/VLOOKUP($R306,Capa!$A:$AJ,BO$5,0)),0,1/VLOOKUP($R306,Capa!$A:$AJ,BO$5,0))))</f>
        <v/>
      </c>
      <c r="BP306" s="174" t="str">
        <f>IF(BP$6="","",IF(BP$3="Maior",iferror(VLOOKUP($R306,Capa!$A:$AJ,BP$5,0),0),IF(ISERROR(1/VLOOKUP($R306,Capa!$A:$AJ,BP$5,0)),0,1/VLOOKUP($R306,Capa!$A:$AJ,BP$5,0))))</f>
        <v/>
      </c>
      <c r="BQ306" s="174" t="str">
        <f>IF(BQ$6="","",IF(BQ$3="Maior",iferror(VLOOKUP($R306,Capa!$A:$AJ,BQ$5,0),0),IF(ISERROR(1/VLOOKUP($R306,Capa!$A:$AJ,BQ$5,0)),0,1/VLOOKUP($R306,Capa!$A:$AJ,BQ$5,0))))</f>
        <v/>
      </c>
      <c r="BR306" s="175"/>
      <c r="BS306" s="147"/>
    </row>
    <row r="307">
      <c r="G307" s="11"/>
      <c r="H307" s="8">
        <v>301.0</v>
      </c>
      <c r="I307" s="165" t="str">
        <f t="shared" si="6"/>
        <v>CSRN6</v>
      </c>
      <c r="J307" s="166" t="str">
        <f>(VLOOKUP($I307,Capa!$A:$B,2,0))</f>
        <v/>
      </c>
      <c r="K307" s="167" t="str">
        <f>VLOOKUP(left(I307,4),Setor!A:D,3,0)&amp;" | "&amp;VLOOKUP(left(I307,4),Setor!A:D,4,0)</f>
        <v>Utilidade Pública | Energia Elétrica</v>
      </c>
      <c r="L307" s="168" t="str">
        <f>(VLOOKUP($I307,Capa!$A:$F,6,0))</f>
        <v/>
      </c>
      <c r="M307" s="168">
        <f t="shared" si="7"/>
        <v>0</v>
      </c>
      <c r="N307" s="11" t="str">
        <f>(VLOOKUP($I307,Capa!$A:$H,7,0))</f>
        <v/>
      </c>
      <c r="O307" s="169" t="str">
        <f>(VLOOKUP($I307,Capa!$A:$H,8,0))</f>
        <v/>
      </c>
      <c r="P307" s="11" t="str">
        <f>(VLOOKUP($I307,Capa!$A:$J,10,0))</f>
        <v/>
      </c>
      <c r="Q307" s="169" t="str">
        <f>(VLOOKUP($I307,Capa!$A:$K,11,0))</f>
        <v/>
      </c>
      <c r="R307" s="45" t="str">
        <f>'Dados StatusInvest'!A302</f>
        <v>GRND3</v>
      </c>
      <c r="S307" s="170">
        <f t="shared" si="234"/>
        <v>455.0455</v>
      </c>
      <c r="T307" s="171">
        <f>VLOOKUP(R307,'Dados StatusInvest'!A:Z,26,0)</f>
        <v>19559389</v>
      </c>
      <c r="U307" s="172">
        <f t="shared" ref="U307:AS307" si="310">IF(AT307="","", RANK(AT307,AT$7:AT$626,0)+RANK(AT307,AT$7:AT$626,0)/10000)</f>
        <v>231.0231</v>
      </c>
      <c r="V307" s="172">
        <f t="shared" si="310"/>
        <v>224.0224</v>
      </c>
      <c r="W307" s="172" t="str">
        <f t="shared" si="310"/>
        <v/>
      </c>
      <c r="X307" s="172" t="str">
        <f t="shared" si="310"/>
        <v/>
      </c>
      <c r="Y307" s="172" t="str">
        <f t="shared" si="310"/>
        <v/>
      </c>
      <c r="Z307" s="172" t="str">
        <f t="shared" si="310"/>
        <v/>
      </c>
      <c r="AA307" s="172" t="str">
        <f t="shared" si="310"/>
        <v/>
      </c>
      <c r="AB307" s="172" t="str">
        <f t="shared" si="310"/>
        <v/>
      </c>
      <c r="AC307" s="172" t="str">
        <f t="shared" si="310"/>
        <v/>
      </c>
      <c r="AD307" s="172" t="str">
        <f t="shared" si="310"/>
        <v/>
      </c>
      <c r="AE307" s="172" t="str">
        <f t="shared" si="310"/>
        <v/>
      </c>
      <c r="AF307" s="172" t="str">
        <f t="shared" si="310"/>
        <v/>
      </c>
      <c r="AG307" s="172" t="str">
        <f t="shared" si="310"/>
        <v/>
      </c>
      <c r="AH307" s="172" t="str">
        <f t="shared" si="310"/>
        <v/>
      </c>
      <c r="AI307" s="172" t="str">
        <f t="shared" si="310"/>
        <v/>
      </c>
      <c r="AJ307" s="172" t="str">
        <f t="shared" si="310"/>
        <v/>
      </c>
      <c r="AK307" s="172" t="str">
        <f t="shared" si="310"/>
        <v/>
      </c>
      <c r="AL307" s="172" t="str">
        <f t="shared" si="310"/>
        <v/>
      </c>
      <c r="AM307" s="172" t="str">
        <f t="shared" si="310"/>
        <v/>
      </c>
      <c r="AN307" s="172" t="str">
        <f t="shared" si="310"/>
        <v/>
      </c>
      <c r="AO307" s="172" t="str">
        <f t="shared" si="310"/>
        <v/>
      </c>
      <c r="AP307" s="172" t="str">
        <f t="shared" si="310"/>
        <v/>
      </c>
      <c r="AQ307" s="172" t="str">
        <f t="shared" si="310"/>
        <v/>
      </c>
      <c r="AR307" s="172" t="str">
        <f t="shared" si="310"/>
        <v/>
      </c>
      <c r="AS307" s="172" t="str">
        <f t="shared" si="310"/>
        <v/>
      </c>
      <c r="AT307" s="173">
        <f>IF(AT$6="","",IF(AT$3="Maior",iferror(VLOOKUP($R307,Capa!$A:$AJ,AT$5,0),0),IF(ISERROR(1/VLOOKUP($R307,Capa!$A:$AJ,AT$5,0)),0,1/VLOOKUP($R307,Capa!$A:$AJ,AT$5,0))))</f>
        <v>-0.4019599701</v>
      </c>
      <c r="AU307" s="174">
        <f>IF(AU$6="","",IF(AU$3="Maior",iferror(VLOOKUP($R307,Capa!$A:$AJ,AU$5,0),0),IF(ISERROR(1/VLOOKUP($R307,Capa!$A:$AJ,AU$5,0)),0,1/VLOOKUP($R307,Capa!$A:$AJ,AU$5,0))))</f>
        <v>7.96</v>
      </c>
      <c r="AV307" s="174" t="str">
        <f>IF(AV$6="","",IF(AV$3="Maior",iferror(VLOOKUP($R307,Capa!$A:$AJ,AV$5,0),0),IF(ISERROR(1/VLOOKUP($R307,Capa!$A:$AJ,AV$5,0)),0,1/VLOOKUP($R307,Capa!$A:$AJ,AV$5,0))))</f>
        <v/>
      </c>
      <c r="AW307" s="174" t="str">
        <f>IF(AW$6="","",IF(AW$3="Maior",iferror(VLOOKUP($R307,Capa!$A:$AJ,AW$5,0),0),IF(ISERROR(1/VLOOKUP($R307,Capa!$A:$AJ,AW$5,0)),0,1/VLOOKUP($R307,Capa!$A:$AJ,AW$5,0))))</f>
        <v/>
      </c>
      <c r="AX307" s="174" t="str">
        <f>IF(AX$6="","",IF(AX$3="Maior",iferror(VLOOKUP($R307,Capa!$A:$AJ,AX$5,0),0),IF(ISERROR(1/VLOOKUP($R307,Capa!$A:$AJ,AX$5,0)),0,1/VLOOKUP($R307,Capa!$A:$AJ,AX$5,0))))</f>
        <v/>
      </c>
      <c r="AY307" s="174" t="str">
        <f>IF(AY$6="","",IF(AY$3="Maior",iferror(VLOOKUP($R307,Capa!$A:$AJ,AY$5,0),0),IF(ISERROR(1/VLOOKUP($R307,Capa!$A:$AJ,AY$5,0)),0,1/VLOOKUP($R307,Capa!$A:$AJ,AY$5,0))))</f>
        <v/>
      </c>
      <c r="AZ307" s="174" t="str">
        <f>IF(AZ$6="","",IF(AZ$3="Maior",iferror(VLOOKUP($R307,Capa!$A:$AJ,AZ$5,0),0),IF(ISERROR(1/VLOOKUP($R307,Capa!$A:$AJ,AZ$5,0)),0,1/VLOOKUP($R307,Capa!$A:$AJ,AZ$5,0))))</f>
        <v/>
      </c>
      <c r="BA307" s="174" t="str">
        <f>IF(BA$6="","",IF(BA$3="Maior",iferror(VLOOKUP($R307,Capa!$A:$AJ,BA$5,0),0),IF(ISERROR(1/VLOOKUP($R307,Capa!$A:$AJ,BA$5,0)),0,1/VLOOKUP($R307,Capa!$A:$AJ,BA$5,0))))</f>
        <v/>
      </c>
      <c r="BB307" s="174" t="str">
        <f>IF(BB$6="","",IF(BB$3="Maior",iferror(VLOOKUP($R307,Capa!$A:$AJ,BB$5,0),0),IF(ISERROR(1/VLOOKUP($R307,Capa!$A:$AJ,BB$5,0)),0,1/VLOOKUP($R307,Capa!$A:$AJ,BB$5,0))))</f>
        <v/>
      </c>
      <c r="BC307" s="174" t="str">
        <f>IF(BC$6="","",IF(BC$3="Maior",iferror(VLOOKUP($R307,Capa!$A:$AJ,BC$5,0),0),IF(ISERROR(1/VLOOKUP($R307,Capa!$A:$AJ,BC$5,0)),0,1/VLOOKUP($R307,Capa!$A:$AJ,BC$5,0))))</f>
        <v/>
      </c>
      <c r="BD307" s="174" t="str">
        <f>IF(BD$6="","",IF(BD$3="Maior",iferror(VLOOKUP($R307,Capa!$A:$AJ,BD$5,0),0),IF(ISERROR(1/VLOOKUP($R307,Capa!$A:$AJ,BD$5,0)),0,1/VLOOKUP($R307,Capa!$A:$AJ,BD$5,0))))</f>
        <v/>
      </c>
      <c r="BE307" s="174" t="str">
        <f>IF(BE$6="","",IF(BE$3="Maior",iferror(VLOOKUP($R307,Capa!$A:$AJ,BE$5,0),0),IF(ISERROR(1/VLOOKUP($R307,Capa!$A:$AJ,BE$5,0)),0,1/VLOOKUP($R307,Capa!$A:$AJ,BE$5,0))))</f>
        <v/>
      </c>
      <c r="BF307" s="174" t="str">
        <f>IF(BF$6="","",IF(BF$3="Maior",iferror(VLOOKUP($R307,Capa!$A:$AJ,BF$5,0),0),IF(ISERROR(1/VLOOKUP($R307,Capa!$A:$AJ,BF$5,0)),0,1/VLOOKUP($R307,Capa!$A:$AJ,BF$5,0))))</f>
        <v/>
      </c>
      <c r="BG307" s="174" t="str">
        <f>IF(BG$6="","",IF(BG$3="Maior",iferror(VLOOKUP($R307,Capa!$A:$AJ,BG$5,0),0),IF(ISERROR(1/VLOOKUP($R307,Capa!$A:$AJ,BG$5,0)),0,1/VLOOKUP($R307,Capa!$A:$AJ,BG$5,0))))</f>
        <v/>
      </c>
      <c r="BH307" s="174" t="str">
        <f>IF(BH$6="","",IF(BH$3="Maior",iferror(VLOOKUP($R307,Capa!$A:$AJ,BH$5,0),0),IF(ISERROR(1/VLOOKUP($R307,Capa!$A:$AJ,BH$5,0)),0,1/VLOOKUP($R307,Capa!$A:$AJ,BH$5,0))))</f>
        <v/>
      </c>
      <c r="BI307" s="174" t="str">
        <f>IF(BI$6="","",IF(BI$3="Maior",iferror(VLOOKUP($R307,Capa!$A:$AJ,BI$5,0),0),IF(ISERROR(1/VLOOKUP($R307,Capa!$A:$AJ,BI$5,0)),0,1/VLOOKUP($R307,Capa!$A:$AJ,BI$5,0))))</f>
        <v/>
      </c>
      <c r="BJ307" s="174" t="str">
        <f>IF(BJ$6="","",IF(BJ$3="Maior",iferror(VLOOKUP($R307,Capa!$A:$AJ,BJ$5,0),0),IF(ISERROR(1/VLOOKUP($R307,Capa!$A:$AJ,BJ$5,0)),0,1/VLOOKUP($R307,Capa!$A:$AJ,BJ$5,0))))</f>
        <v/>
      </c>
      <c r="BK307" s="174" t="str">
        <f>IF(BK$6="","",IF(BK$3="Maior",iferror(VLOOKUP($R307,Capa!$A:$AJ,BK$5,0),0),IF(ISERROR(1/VLOOKUP($R307,Capa!$A:$AJ,BK$5,0)),0,1/VLOOKUP($R307,Capa!$A:$AJ,BK$5,0))))</f>
        <v/>
      </c>
      <c r="BL307" s="174" t="str">
        <f>IF(BL$6="","",IF(BL$3="Maior",iferror(VLOOKUP($R307,Capa!$A:$AJ,BL$5,0),0),IF(ISERROR(1/VLOOKUP($R307,Capa!$A:$AJ,BL$5,0)),0,1/VLOOKUP($R307,Capa!$A:$AJ,BL$5,0))))</f>
        <v/>
      </c>
      <c r="BM307" s="174" t="str">
        <f>IF(BM$6="","",IF(BM$3="Maior",iferror(VLOOKUP($R307,Capa!$A:$AJ,BM$5,0),0),IF(ISERROR(1/VLOOKUP($R307,Capa!$A:$AJ,BM$5,0)),0,1/VLOOKUP($R307,Capa!$A:$AJ,BM$5,0))))</f>
        <v/>
      </c>
      <c r="BN307" s="174" t="str">
        <f>IF(BN$6="","",IF(BN$3="Maior",iferror(VLOOKUP($R307,Capa!$A:$AJ,BN$5,0),0),IF(ISERROR(1/VLOOKUP($R307,Capa!$A:$AJ,BN$5,0)),0,1/VLOOKUP($R307,Capa!$A:$AJ,BN$5,0))))</f>
        <v/>
      </c>
      <c r="BO307" s="174" t="str">
        <f>IF(BO$6="","",IF(BO$3="Maior",iferror(VLOOKUP($R307,Capa!$A:$AJ,BO$5,0),0),IF(ISERROR(1/VLOOKUP($R307,Capa!$A:$AJ,BO$5,0)),0,1/VLOOKUP($R307,Capa!$A:$AJ,BO$5,0))))</f>
        <v/>
      </c>
      <c r="BP307" s="174" t="str">
        <f>IF(BP$6="","",IF(BP$3="Maior",iferror(VLOOKUP($R307,Capa!$A:$AJ,BP$5,0),0),IF(ISERROR(1/VLOOKUP($R307,Capa!$A:$AJ,BP$5,0)),0,1/VLOOKUP($R307,Capa!$A:$AJ,BP$5,0))))</f>
        <v/>
      </c>
      <c r="BQ307" s="174" t="str">
        <f>IF(BQ$6="","",IF(BQ$3="Maior",iferror(VLOOKUP($R307,Capa!$A:$AJ,BQ$5,0),0),IF(ISERROR(1/VLOOKUP($R307,Capa!$A:$AJ,BQ$5,0)),0,1/VLOOKUP($R307,Capa!$A:$AJ,BQ$5,0))))</f>
        <v/>
      </c>
      <c r="BR307" s="175"/>
      <c r="BS307" s="147"/>
    </row>
    <row r="308">
      <c r="G308" s="11"/>
      <c r="H308" s="8">
        <v>302.0</v>
      </c>
      <c r="I308" s="165" t="str">
        <f t="shared" si="6"/>
        <v>CSRN6</v>
      </c>
      <c r="J308" s="166" t="str">
        <f>(VLOOKUP($I308,Capa!$A:$B,2,0))</f>
        <v/>
      </c>
      <c r="K308" s="167" t="str">
        <f>VLOOKUP(left(I308,4),Setor!A:D,3,0)&amp;" | "&amp;VLOOKUP(left(I308,4),Setor!A:D,4,0)</f>
        <v>Utilidade Pública | Energia Elétrica</v>
      </c>
      <c r="L308" s="168" t="str">
        <f>(VLOOKUP($I308,Capa!$A:$F,6,0))</f>
        <v/>
      </c>
      <c r="M308" s="168">
        <f t="shared" si="7"/>
        <v>0</v>
      </c>
      <c r="N308" s="11" t="str">
        <f>(VLOOKUP($I308,Capa!$A:$H,7,0))</f>
        <v/>
      </c>
      <c r="O308" s="169" t="str">
        <f>(VLOOKUP($I308,Capa!$A:$H,8,0))</f>
        <v/>
      </c>
      <c r="P308" s="11" t="str">
        <f>(VLOOKUP($I308,Capa!$A:$J,10,0))</f>
        <v/>
      </c>
      <c r="Q308" s="169" t="str">
        <f>(VLOOKUP($I308,Capa!$A:$K,11,0))</f>
        <v/>
      </c>
      <c r="R308" s="45" t="str">
        <f>'Dados StatusInvest'!A303</f>
        <v>GSHP3</v>
      </c>
      <c r="S308" s="170">
        <f t="shared" si="234"/>
        <v>1882.0882</v>
      </c>
      <c r="T308" s="171">
        <f>VLOOKUP(R308,'Dados StatusInvest'!A:Z,26,0)</f>
        <v>775.75</v>
      </c>
      <c r="U308" s="172">
        <f t="shared" ref="U308:AS308" si="311">IF(AT308="","", RANK(AT308,AT$7:AT$626,0)+RANK(AT308,AT$7:AT$626,0)/10000)</f>
        <v>615.0615</v>
      </c>
      <c r="V308" s="172">
        <f t="shared" si="311"/>
        <v>267.0267</v>
      </c>
      <c r="W308" s="172" t="str">
        <f t="shared" si="311"/>
        <v/>
      </c>
      <c r="X308" s="172" t="str">
        <f t="shared" si="311"/>
        <v/>
      </c>
      <c r="Y308" s="172" t="str">
        <f t="shared" si="311"/>
        <v/>
      </c>
      <c r="Z308" s="172" t="str">
        <f t="shared" si="311"/>
        <v/>
      </c>
      <c r="AA308" s="172" t="str">
        <f t="shared" si="311"/>
        <v/>
      </c>
      <c r="AB308" s="172" t="str">
        <f t="shared" si="311"/>
        <v/>
      </c>
      <c r="AC308" s="172" t="str">
        <f t="shared" si="311"/>
        <v/>
      </c>
      <c r="AD308" s="172" t="str">
        <f t="shared" si="311"/>
        <v/>
      </c>
      <c r="AE308" s="172" t="str">
        <f t="shared" si="311"/>
        <v/>
      </c>
      <c r="AF308" s="172" t="str">
        <f t="shared" si="311"/>
        <v/>
      </c>
      <c r="AG308" s="172" t="str">
        <f t="shared" si="311"/>
        <v/>
      </c>
      <c r="AH308" s="172" t="str">
        <f t="shared" si="311"/>
        <v/>
      </c>
      <c r="AI308" s="172" t="str">
        <f t="shared" si="311"/>
        <v/>
      </c>
      <c r="AJ308" s="172" t="str">
        <f t="shared" si="311"/>
        <v/>
      </c>
      <c r="AK308" s="172" t="str">
        <f t="shared" si="311"/>
        <v/>
      </c>
      <c r="AL308" s="172" t="str">
        <f t="shared" si="311"/>
        <v/>
      </c>
      <c r="AM308" s="172" t="str">
        <f t="shared" si="311"/>
        <v/>
      </c>
      <c r="AN308" s="172" t="str">
        <f t="shared" si="311"/>
        <v/>
      </c>
      <c r="AO308" s="172" t="str">
        <f t="shared" si="311"/>
        <v/>
      </c>
      <c r="AP308" s="172" t="str">
        <f t="shared" si="311"/>
        <v/>
      </c>
      <c r="AQ308" s="172" t="str">
        <f t="shared" si="311"/>
        <v/>
      </c>
      <c r="AR308" s="172" t="str">
        <f t="shared" si="311"/>
        <v/>
      </c>
      <c r="AS308" s="172" t="str">
        <f t="shared" si="311"/>
        <v/>
      </c>
      <c r="AT308" s="173">
        <f>IF(AT$6="","",IF(AT$3="Maior",iferror(VLOOKUP($R308,Capa!$A:$AJ,AT$5,0),0),IF(ISERROR(1/VLOOKUP($R308,Capa!$A:$AJ,AT$5,0)),0,1/VLOOKUP($R308,Capa!$A:$AJ,AT$5,0))))</f>
        <v>-100</v>
      </c>
      <c r="AU308" s="174">
        <f>IF(AU$6="","",IF(AU$3="Maior",iferror(VLOOKUP($R308,Capa!$A:$AJ,AU$5,0),0),IF(ISERROR(1/VLOOKUP($R308,Capa!$A:$AJ,AU$5,0)),0,1/VLOOKUP($R308,Capa!$A:$AJ,AU$5,0))))</f>
        <v>0</v>
      </c>
      <c r="AV308" s="174" t="str">
        <f>IF(AV$6="","",IF(AV$3="Maior",iferror(VLOOKUP($R308,Capa!$A:$AJ,AV$5,0),0),IF(ISERROR(1/VLOOKUP($R308,Capa!$A:$AJ,AV$5,0)),0,1/VLOOKUP($R308,Capa!$A:$AJ,AV$5,0))))</f>
        <v/>
      </c>
      <c r="AW308" s="174" t="str">
        <f>IF(AW$6="","",IF(AW$3="Maior",iferror(VLOOKUP($R308,Capa!$A:$AJ,AW$5,0),0),IF(ISERROR(1/VLOOKUP($R308,Capa!$A:$AJ,AW$5,0)),0,1/VLOOKUP($R308,Capa!$A:$AJ,AW$5,0))))</f>
        <v/>
      </c>
      <c r="AX308" s="174" t="str">
        <f>IF(AX$6="","",IF(AX$3="Maior",iferror(VLOOKUP($R308,Capa!$A:$AJ,AX$5,0),0),IF(ISERROR(1/VLOOKUP($R308,Capa!$A:$AJ,AX$5,0)),0,1/VLOOKUP($R308,Capa!$A:$AJ,AX$5,0))))</f>
        <v/>
      </c>
      <c r="AY308" s="174" t="str">
        <f>IF(AY$6="","",IF(AY$3="Maior",iferror(VLOOKUP($R308,Capa!$A:$AJ,AY$5,0),0),IF(ISERROR(1/VLOOKUP($R308,Capa!$A:$AJ,AY$5,0)),0,1/VLOOKUP($R308,Capa!$A:$AJ,AY$5,0))))</f>
        <v/>
      </c>
      <c r="AZ308" s="174" t="str">
        <f>IF(AZ$6="","",IF(AZ$3="Maior",iferror(VLOOKUP($R308,Capa!$A:$AJ,AZ$5,0),0),IF(ISERROR(1/VLOOKUP($R308,Capa!$A:$AJ,AZ$5,0)),0,1/VLOOKUP($R308,Capa!$A:$AJ,AZ$5,0))))</f>
        <v/>
      </c>
      <c r="BA308" s="174" t="str">
        <f>IF(BA$6="","",IF(BA$3="Maior",iferror(VLOOKUP($R308,Capa!$A:$AJ,BA$5,0),0),IF(ISERROR(1/VLOOKUP($R308,Capa!$A:$AJ,BA$5,0)),0,1/VLOOKUP($R308,Capa!$A:$AJ,BA$5,0))))</f>
        <v/>
      </c>
      <c r="BB308" s="174" t="str">
        <f>IF(BB$6="","",IF(BB$3="Maior",iferror(VLOOKUP($R308,Capa!$A:$AJ,BB$5,0),0),IF(ISERROR(1/VLOOKUP($R308,Capa!$A:$AJ,BB$5,0)),0,1/VLOOKUP($R308,Capa!$A:$AJ,BB$5,0))))</f>
        <v/>
      </c>
      <c r="BC308" s="174" t="str">
        <f>IF(BC$6="","",IF(BC$3="Maior",iferror(VLOOKUP($R308,Capa!$A:$AJ,BC$5,0),0),IF(ISERROR(1/VLOOKUP($R308,Capa!$A:$AJ,BC$5,0)),0,1/VLOOKUP($R308,Capa!$A:$AJ,BC$5,0))))</f>
        <v/>
      </c>
      <c r="BD308" s="174" t="str">
        <f>IF(BD$6="","",IF(BD$3="Maior",iferror(VLOOKUP($R308,Capa!$A:$AJ,BD$5,0),0),IF(ISERROR(1/VLOOKUP($R308,Capa!$A:$AJ,BD$5,0)),0,1/VLOOKUP($R308,Capa!$A:$AJ,BD$5,0))))</f>
        <v/>
      </c>
      <c r="BE308" s="174" t="str">
        <f>IF(BE$6="","",IF(BE$3="Maior",iferror(VLOOKUP($R308,Capa!$A:$AJ,BE$5,0),0),IF(ISERROR(1/VLOOKUP($R308,Capa!$A:$AJ,BE$5,0)),0,1/VLOOKUP($R308,Capa!$A:$AJ,BE$5,0))))</f>
        <v/>
      </c>
      <c r="BF308" s="174" t="str">
        <f>IF(BF$6="","",IF(BF$3="Maior",iferror(VLOOKUP($R308,Capa!$A:$AJ,BF$5,0),0),IF(ISERROR(1/VLOOKUP($R308,Capa!$A:$AJ,BF$5,0)),0,1/VLOOKUP($R308,Capa!$A:$AJ,BF$5,0))))</f>
        <v/>
      </c>
      <c r="BG308" s="174" t="str">
        <f>IF(BG$6="","",IF(BG$3="Maior",iferror(VLOOKUP($R308,Capa!$A:$AJ,BG$5,0),0),IF(ISERROR(1/VLOOKUP($R308,Capa!$A:$AJ,BG$5,0)),0,1/VLOOKUP($R308,Capa!$A:$AJ,BG$5,0))))</f>
        <v/>
      </c>
      <c r="BH308" s="174" t="str">
        <f>IF(BH$6="","",IF(BH$3="Maior",iferror(VLOOKUP($R308,Capa!$A:$AJ,BH$5,0),0),IF(ISERROR(1/VLOOKUP($R308,Capa!$A:$AJ,BH$5,0)),0,1/VLOOKUP($R308,Capa!$A:$AJ,BH$5,0))))</f>
        <v/>
      </c>
      <c r="BI308" s="174" t="str">
        <f>IF(BI$6="","",IF(BI$3="Maior",iferror(VLOOKUP($R308,Capa!$A:$AJ,BI$5,0),0),IF(ISERROR(1/VLOOKUP($R308,Capa!$A:$AJ,BI$5,0)),0,1/VLOOKUP($R308,Capa!$A:$AJ,BI$5,0))))</f>
        <v/>
      </c>
      <c r="BJ308" s="174" t="str">
        <f>IF(BJ$6="","",IF(BJ$3="Maior",iferror(VLOOKUP($R308,Capa!$A:$AJ,BJ$5,0),0),IF(ISERROR(1/VLOOKUP($R308,Capa!$A:$AJ,BJ$5,0)),0,1/VLOOKUP($R308,Capa!$A:$AJ,BJ$5,0))))</f>
        <v/>
      </c>
      <c r="BK308" s="174" t="str">
        <f>IF(BK$6="","",IF(BK$3="Maior",iferror(VLOOKUP($R308,Capa!$A:$AJ,BK$5,0),0),IF(ISERROR(1/VLOOKUP($R308,Capa!$A:$AJ,BK$5,0)),0,1/VLOOKUP($R308,Capa!$A:$AJ,BK$5,0))))</f>
        <v/>
      </c>
      <c r="BL308" s="174" t="str">
        <f>IF(BL$6="","",IF(BL$3="Maior",iferror(VLOOKUP($R308,Capa!$A:$AJ,BL$5,0),0),IF(ISERROR(1/VLOOKUP($R308,Capa!$A:$AJ,BL$5,0)),0,1/VLOOKUP($R308,Capa!$A:$AJ,BL$5,0))))</f>
        <v/>
      </c>
      <c r="BM308" s="174" t="str">
        <f>IF(BM$6="","",IF(BM$3="Maior",iferror(VLOOKUP($R308,Capa!$A:$AJ,BM$5,0),0),IF(ISERROR(1/VLOOKUP($R308,Capa!$A:$AJ,BM$5,0)),0,1/VLOOKUP($R308,Capa!$A:$AJ,BM$5,0))))</f>
        <v/>
      </c>
      <c r="BN308" s="174" t="str">
        <f>IF(BN$6="","",IF(BN$3="Maior",iferror(VLOOKUP($R308,Capa!$A:$AJ,BN$5,0),0),IF(ISERROR(1/VLOOKUP($R308,Capa!$A:$AJ,BN$5,0)),0,1/VLOOKUP($R308,Capa!$A:$AJ,BN$5,0))))</f>
        <v/>
      </c>
      <c r="BO308" s="174" t="str">
        <f>IF(BO$6="","",IF(BO$3="Maior",iferror(VLOOKUP($R308,Capa!$A:$AJ,BO$5,0),0),IF(ISERROR(1/VLOOKUP($R308,Capa!$A:$AJ,BO$5,0)),0,1/VLOOKUP($R308,Capa!$A:$AJ,BO$5,0))))</f>
        <v/>
      </c>
      <c r="BP308" s="174" t="str">
        <f>IF(BP$6="","",IF(BP$3="Maior",iferror(VLOOKUP($R308,Capa!$A:$AJ,BP$5,0),0),IF(ISERROR(1/VLOOKUP($R308,Capa!$A:$AJ,BP$5,0)),0,1/VLOOKUP($R308,Capa!$A:$AJ,BP$5,0))))</f>
        <v/>
      </c>
      <c r="BQ308" s="174" t="str">
        <f>IF(BQ$6="","",IF(BQ$3="Maior",iferror(VLOOKUP($R308,Capa!$A:$AJ,BQ$5,0),0),IF(ISERROR(1/VLOOKUP($R308,Capa!$A:$AJ,BQ$5,0)),0,1/VLOOKUP($R308,Capa!$A:$AJ,BQ$5,0))))</f>
        <v/>
      </c>
      <c r="BR308" s="175"/>
      <c r="BS308" s="147"/>
    </row>
    <row r="309">
      <c r="G309" s="11"/>
      <c r="H309" s="8">
        <v>303.0</v>
      </c>
      <c r="I309" s="165" t="str">
        <f t="shared" si="6"/>
        <v>CSRN5</v>
      </c>
      <c r="J309" s="166" t="str">
        <f>(VLOOKUP($I309,Capa!$A:$B,2,0))</f>
        <v/>
      </c>
      <c r="K309" s="167" t="str">
        <f>VLOOKUP(left(I309,4),Setor!A:D,3,0)&amp;" | "&amp;VLOOKUP(left(I309,4),Setor!A:D,4,0)</f>
        <v>Utilidade Pública | Energia Elétrica</v>
      </c>
      <c r="L309" s="168" t="str">
        <f>(VLOOKUP($I309,Capa!$A:$F,6,0))</f>
        <v/>
      </c>
      <c r="M309" s="168">
        <f t="shared" si="7"/>
        <v>0</v>
      </c>
      <c r="N309" s="11" t="str">
        <f>(VLOOKUP($I309,Capa!$A:$H,7,0))</f>
        <v/>
      </c>
      <c r="O309" s="169" t="str">
        <f>(VLOOKUP($I309,Capa!$A:$H,8,0))</f>
        <v/>
      </c>
      <c r="P309" s="11" t="str">
        <f>(VLOOKUP($I309,Capa!$A:$J,10,0))</f>
        <v/>
      </c>
      <c r="Q309" s="169" t="str">
        <f>(VLOOKUP($I309,Capa!$A:$K,11,0))</f>
        <v/>
      </c>
      <c r="R309" s="45" t="str">
        <f>'Dados StatusInvest'!A304</f>
        <v>HAGA3</v>
      </c>
      <c r="S309" s="170">
        <f t="shared" si="234"/>
        <v>1786.0786</v>
      </c>
      <c r="T309" s="171">
        <f>VLOOKUP(R309,'Dados StatusInvest'!A:Z,26,0)</f>
        <v>7786.35</v>
      </c>
      <c r="U309" s="172">
        <f t="shared" ref="U309:AS309" si="312">IF(AT309="","", RANK(AT309,AT$7:AT$626,0)+RANK(AT309,AT$7:AT$626,0)/10000)</f>
        <v>200.02</v>
      </c>
      <c r="V309" s="172">
        <f t="shared" si="312"/>
        <v>586.0586</v>
      </c>
      <c r="W309" s="172" t="str">
        <f t="shared" si="312"/>
        <v/>
      </c>
      <c r="X309" s="172" t="str">
        <f t="shared" si="312"/>
        <v/>
      </c>
      <c r="Y309" s="172" t="str">
        <f t="shared" si="312"/>
        <v/>
      </c>
      <c r="Z309" s="172" t="str">
        <f t="shared" si="312"/>
        <v/>
      </c>
      <c r="AA309" s="172" t="str">
        <f t="shared" si="312"/>
        <v/>
      </c>
      <c r="AB309" s="172" t="str">
        <f t="shared" si="312"/>
        <v/>
      </c>
      <c r="AC309" s="172" t="str">
        <f t="shared" si="312"/>
        <v/>
      </c>
      <c r="AD309" s="172" t="str">
        <f t="shared" si="312"/>
        <v/>
      </c>
      <c r="AE309" s="172" t="str">
        <f t="shared" si="312"/>
        <v/>
      </c>
      <c r="AF309" s="172" t="str">
        <f t="shared" si="312"/>
        <v/>
      </c>
      <c r="AG309" s="172" t="str">
        <f t="shared" si="312"/>
        <v/>
      </c>
      <c r="AH309" s="172" t="str">
        <f t="shared" si="312"/>
        <v/>
      </c>
      <c r="AI309" s="172" t="str">
        <f t="shared" si="312"/>
        <v/>
      </c>
      <c r="AJ309" s="172" t="str">
        <f t="shared" si="312"/>
        <v/>
      </c>
      <c r="AK309" s="172" t="str">
        <f t="shared" si="312"/>
        <v/>
      </c>
      <c r="AL309" s="172" t="str">
        <f t="shared" si="312"/>
        <v/>
      </c>
      <c r="AM309" s="172" t="str">
        <f t="shared" si="312"/>
        <v/>
      </c>
      <c r="AN309" s="172" t="str">
        <f t="shared" si="312"/>
        <v/>
      </c>
      <c r="AO309" s="172" t="str">
        <f t="shared" si="312"/>
        <v/>
      </c>
      <c r="AP309" s="172" t="str">
        <f t="shared" si="312"/>
        <v/>
      </c>
      <c r="AQ309" s="172" t="str">
        <f t="shared" si="312"/>
        <v/>
      </c>
      <c r="AR309" s="172" t="str">
        <f t="shared" si="312"/>
        <v/>
      </c>
      <c r="AS309" s="172" t="str">
        <f t="shared" si="312"/>
        <v/>
      </c>
      <c r="AT309" s="173">
        <f>IF(AT$6="","",IF(AT$3="Maior",iferror(VLOOKUP($R309,Capa!$A:$AJ,AT$5,0),0),IF(ISERROR(1/VLOOKUP($R309,Capa!$A:$AJ,AT$5,0)),0,1/VLOOKUP($R309,Capa!$A:$AJ,AT$5,0))))</f>
        <v>-0.271048213</v>
      </c>
      <c r="AU309" s="174">
        <f>IF(AU$6="","",IF(AU$3="Maior",iferror(VLOOKUP($R309,Capa!$A:$AJ,AU$5,0),0),IF(ISERROR(1/VLOOKUP($R309,Capa!$A:$AJ,AU$5,0)),0,1/VLOOKUP($R309,Capa!$A:$AJ,AU$5,0))))</f>
        <v>-16.45</v>
      </c>
      <c r="AV309" s="174" t="str">
        <f>IF(AV$6="","",IF(AV$3="Maior",iferror(VLOOKUP($R309,Capa!$A:$AJ,AV$5,0),0),IF(ISERROR(1/VLOOKUP($R309,Capa!$A:$AJ,AV$5,0)),0,1/VLOOKUP($R309,Capa!$A:$AJ,AV$5,0))))</f>
        <v/>
      </c>
      <c r="AW309" s="174" t="str">
        <f>IF(AW$6="","",IF(AW$3="Maior",iferror(VLOOKUP($R309,Capa!$A:$AJ,AW$5,0),0),IF(ISERROR(1/VLOOKUP($R309,Capa!$A:$AJ,AW$5,0)),0,1/VLOOKUP($R309,Capa!$A:$AJ,AW$5,0))))</f>
        <v/>
      </c>
      <c r="AX309" s="174" t="str">
        <f>IF(AX$6="","",IF(AX$3="Maior",iferror(VLOOKUP($R309,Capa!$A:$AJ,AX$5,0),0),IF(ISERROR(1/VLOOKUP($R309,Capa!$A:$AJ,AX$5,0)),0,1/VLOOKUP($R309,Capa!$A:$AJ,AX$5,0))))</f>
        <v/>
      </c>
      <c r="AY309" s="174" t="str">
        <f>IF(AY$6="","",IF(AY$3="Maior",iferror(VLOOKUP($R309,Capa!$A:$AJ,AY$5,0),0),IF(ISERROR(1/VLOOKUP($R309,Capa!$A:$AJ,AY$5,0)),0,1/VLOOKUP($R309,Capa!$A:$AJ,AY$5,0))))</f>
        <v/>
      </c>
      <c r="AZ309" s="174" t="str">
        <f>IF(AZ$6="","",IF(AZ$3="Maior",iferror(VLOOKUP($R309,Capa!$A:$AJ,AZ$5,0),0),IF(ISERROR(1/VLOOKUP($R309,Capa!$A:$AJ,AZ$5,0)),0,1/VLOOKUP($R309,Capa!$A:$AJ,AZ$5,0))))</f>
        <v/>
      </c>
      <c r="BA309" s="174" t="str">
        <f>IF(BA$6="","",IF(BA$3="Maior",iferror(VLOOKUP($R309,Capa!$A:$AJ,BA$5,0),0),IF(ISERROR(1/VLOOKUP($R309,Capa!$A:$AJ,BA$5,0)),0,1/VLOOKUP($R309,Capa!$A:$AJ,BA$5,0))))</f>
        <v/>
      </c>
      <c r="BB309" s="174" t="str">
        <f>IF(BB$6="","",IF(BB$3="Maior",iferror(VLOOKUP($R309,Capa!$A:$AJ,BB$5,0),0),IF(ISERROR(1/VLOOKUP($R309,Capa!$A:$AJ,BB$5,0)),0,1/VLOOKUP($R309,Capa!$A:$AJ,BB$5,0))))</f>
        <v/>
      </c>
      <c r="BC309" s="174" t="str">
        <f>IF(BC$6="","",IF(BC$3="Maior",iferror(VLOOKUP($R309,Capa!$A:$AJ,BC$5,0),0),IF(ISERROR(1/VLOOKUP($R309,Capa!$A:$AJ,BC$5,0)),0,1/VLOOKUP($R309,Capa!$A:$AJ,BC$5,0))))</f>
        <v/>
      </c>
      <c r="BD309" s="174" t="str">
        <f>IF(BD$6="","",IF(BD$3="Maior",iferror(VLOOKUP($R309,Capa!$A:$AJ,BD$5,0),0),IF(ISERROR(1/VLOOKUP($R309,Capa!$A:$AJ,BD$5,0)),0,1/VLOOKUP($R309,Capa!$A:$AJ,BD$5,0))))</f>
        <v/>
      </c>
      <c r="BE309" s="174" t="str">
        <f>IF(BE$6="","",IF(BE$3="Maior",iferror(VLOOKUP($R309,Capa!$A:$AJ,BE$5,0),0),IF(ISERROR(1/VLOOKUP($R309,Capa!$A:$AJ,BE$5,0)),0,1/VLOOKUP($R309,Capa!$A:$AJ,BE$5,0))))</f>
        <v/>
      </c>
      <c r="BF309" s="174" t="str">
        <f>IF(BF$6="","",IF(BF$3="Maior",iferror(VLOOKUP($R309,Capa!$A:$AJ,BF$5,0),0),IF(ISERROR(1/VLOOKUP($R309,Capa!$A:$AJ,BF$5,0)),0,1/VLOOKUP($R309,Capa!$A:$AJ,BF$5,0))))</f>
        <v/>
      </c>
      <c r="BG309" s="174" t="str">
        <f>IF(BG$6="","",IF(BG$3="Maior",iferror(VLOOKUP($R309,Capa!$A:$AJ,BG$5,0),0),IF(ISERROR(1/VLOOKUP($R309,Capa!$A:$AJ,BG$5,0)),0,1/VLOOKUP($R309,Capa!$A:$AJ,BG$5,0))))</f>
        <v/>
      </c>
      <c r="BH309" s="174" t="str">
        <f>IF(BH$6="","",IF(BH$3="Maior",iferror(VLOOKUP($R309,Capa!$A:$AJ,BH$5,0),0),IF(ISERROR(1/VLOOKUP($R309,Capa!$A:$AJ,BH$5,0)),0,1/VLOOKUP($R309,Capa!$A:$AJ,BH$5,0))))</f>
        <v/>
      </c>
      <c r="BI309" s="174" t="str">
        <f>IF(BI$6="","",IF(BI$3="Maior",iferror(VLOOKUP($R309,Capa!$A:$AJ,BI$5,0),0),IF(ISERROR(1/VLOOKUP($R309,Capa!$A:$AJ,BI$5,0)),0,1/VLOOKUP($R309,Capa!$A:$AJ,BI$5,0))))</f>
        <v/>
      </c>
      <c r="BJ309" s="174" t="str">
        <f>IF(BJ$6="","",IF(BJ$3="Maior",iferror(VLOOKUP($R309,Capa!$A:$AJ,BJ$5,0),0),IF(ISERROR(1/VLOOKUP($R309,Capa!$A:$AJ,BJ$5,0)),0,1/VLOOKUP($R309,Capa!$A:$AJ,BJ$5,0))))</f>
        <v/>
      </c>
      <c r="BK309" s="174" t="str">
        <f>IF(BK$6="","",IF(BK$3="Maior",iferror(VLOOKUP($R309,Capa!$A:$AJ,BK$5,0),0),IF(ISERROR(1/VLOOKUP($R309,Capa!$A:$AJ,BK$5,0)),0,1/VLOOKUP($R309,Capa!$A:$AJ,BK$5,0))))</f>
        <v/>
      </c>
      <c r="BL309" s="174" t="str">
        <f>IF(BL$6="","",IF(BL$3="Maior",iferror(VLOOKUP($R309,Capa!$A:$AJ,BL$5,0),0),IF(ISERROR(1/VLOOKUP($R309,Capa!$A:$AJ,BL$5,0)),0,1/VLOOKUP($R309,Capa!$A:$AJ,BL$5,0))))</f>
        <v/>
      </c>
      <c r="BM309" s="174" t="str">
        <f>IF(BM$6="","",IF(BM$3="Maior",iferror(VLOOKUP($R309,Capa!$A:$AJ,BM$5,0),0),IF(ISERROR(1/VLOOKUP($R309,Capa!$A:$AJ,BM$5,0)),0,1/VLOOKUP($R309,Capa!$A:$AJ,BM$5,0))))</f>
        <v/>
      </c>
      <c r="BN309" s="174" t="str">
        <f>IF(BN$6="","",IF(BN$3="Maior",iferror(VLOOKUP($R309,Capa!$A:$AJ,BN$5,0),0),IF(ISERROR(1/VLOOKUP($R309,Capa!$A:$AJ,BN$5,0)),0,1/VLOOKUP($R309,Capa!$A:$AJ,BN$5,0))))</f>
        <v/>
      </c>
      <c r="BO309" s="174" t="str">
        <f>IF(BO$6="","",IF(BO$3="Maior",iferror(VLOOKUP($R309,Capa!$A:$AJ,BO$5,0),0),IF(ISERROR(1/VLOOKUP($R309,Capa!$A:$AJ,BO$5,0)),0,1/VLOOKUP($R309,Capa!$A:$AJ,BO$5,0))))</f>
        <v/>
      </c>
      <c r="BP309" s="174" t="str">
        <f>IF(BP$6="","",IF(BP$3="Maior",iferror(VLOOKUP($R309,Capa!$A:$AJ,BP$5,0),0),IF(ISERROR(1/VLOOKUP($R309,Capa!$A:$AJ,BP$5,0)),0,1/VLOOKUP($R309,Capa!$A:$AJ,BP$5,0))))</f>
        <v/>
      </c>
      <c r="BQ309" s="174" t="str">
        <f>IF(BQ$6="","",IF(BQ$3="Maior",iferror(VLOOKUP($R309,Capa!$A:$AJ,BQ$5,0),0),IF(ISERROR(1/VLOOKUP($R309,Capa!$A:$AJ,BQ$5,0)),0,1/VLOOKUP($R309,Capa!$A:$AJ,BQ$5,0))))</f>
        <v/>
      </c>
      <c r="BR309" s="175"/>
      <c r="BS309" s="147"/>
    </row>
    <row r="310">
      <c r="G310" s="11"/>
      <c r="H310" s="8">
        <v>304.0</v>
      </c>
      <c r="I310" s="165" t="str">
        <f t="shared" si="6"/>
        <v>CSRN5</v>
      </c>
      <c r="J310" s="166" t="str">
        <f>(VLOOKUP($I310,Capa!$A:$B,2,0))</f>
        <v/>
      </c>
      <c r="K310" s="167" t="str">
        <f>VLOOKUP(left(I310,4),Setor!A:D,3,0)&amp;" | "&amp;VLOOKUP(left(I310,4),Setor!A:D,4,0)</f>
        <v>Utilidade Pública | Energia Elétrica</v>
      </c>
      <c r="L310" s="168" t="str">
        <f>(VLOOKUP($I310,Capa!$A:$F,6,0))</f>
        <v/>
      </c>
      <c r="M310" s="168">
        <f t="shared" si="7"/>
        <v>0</v>
      </c>
      <c r="N310" s="11" t="str">
        <f>(VLOOKUP($I310,Capa!$A:$H,7,0))</f>
        <v/>
      </c>
      <c r="O310" s="169" t="str">
        <f>(VLOOKUP($I310,Capa!$A:$H,8,0))</f>
        <v/>
      </c>
      <c r="P310" s="11" t="str">
        <f>(VLOOKUP($I310,Capa!$A:$J,10,0))</f>
        <v/>
      </c>
      <c r="Q310" s="169" t="str">
        <f>(VLOOKUP($I310,Capa!$A:$K,11,0))</f>
        <v/>
      </c>
      <c r="R310" s="45" t="str">
        <f>'Dados StatusInvest'!A305</f>
        <v>HAGA4</v>
      </c>
      <c r="S310" s="170">
        <f t="shared" si="234"/>
        <v>1822.0822</v>
      </c>
      <c r="T310" s="171">
        <f>VLOOKUP(R310,'Dados StatusInvest'!A:Z,26,0)</f>
        <v>8440.52</v>
      </c>
      <c r="U310" s="172">
        <f t="shared" ref="U310:AS310" si="313">IF(AT310="","", RANK(AT310,AT$7:AT$626,0)+RANK(AT310,AT$7:AT$626,0)/10000)</f>
        <v>236.0236</v>
      </c>
      <c r="V310" s="172">
        <f t="shared" si="313"/>
        <v>586.0586</v>
      </c>
      <c r="W310" s="172" t="str">
        <f t="shared" si="313"/>
        <v/>
      </c>
      <c r="X310" s="172" t="str">
        <f t="shared" si="313"/>
        <v/>
      </c>
      <c r="Y310" s="172" t="str">
        <f t="shared" si="313"/>
        <v/>
      </c>
      <c r="Z310" s="172" t="str">
        <f t="shared" si="313"/>
        <v/>
      </c>
      <c r="AA310" s="172" t="str">
        <f t="shared" si="313"/>
        <v/>
      </c>
      <c r="AB310" s="172" t="str">
        <f t="shared" si="313"/>
        <v/>
      </c>
      <c r="AC310" s="172" t="str">
        <f t="shared" si="313"/>
        <v/>
      </c>
      <c r="AD310" s="172" t="str">
        <f t="shared" si="313"/>
        <v/>
      </c>
      <c r="AE310" s="172" t="str">
        <f t="shared" si="313"/>
        <v/>
      </c>
      <c r="AF310" s="172" t="str">
        <f t="shared" si="313"/>
        <v/>
      </c>
      <c r="AG310" s="172" t="str">
        <f t="shared" si="313"/>
        <v/>
      </c>
      <c r="AH310" s="172" t="str">
        <f t="shared" si="313"/>
        <v/>
      </c>
      <c r="AI310" s="172" t="str">
        <f t="shared" si="313"/>
        <v/>
      </c>
      <c r="AJ310" s="172" t="str">
        <f t="shared" si="313"/>
        <v/>
      </c>
      <c r="AK310" s="172" t="str">
        <f t="shared" si="313"/>
        <v/>
      </c>
      <c r="AL310" s="172" t="str">
        <f t="shared" si="313"/>
        <v/>
      </c>
      <c r="AM310" s="172" t="str">
        <f t="shared" si="313"/>
        <v/>
      </c>
      <c r="AN310" s="172" t="str">
        <f t="shared" si="313"/>
        <v/>
      </c>
      <c r="AO310" s="172" t="str">
        <f t="shared" si="313"/>
        <v/>
      </c>
      <c r="AP310" s="172" t="str">
        <f t="shared" si="313"/>
        <v/>
      </c>
      <c r="AQ310" s="172" t="str">
        <f t="shared" si="313"/>
        <v/>
      </c>
      <c r="AR310" s="172" t="str">
        <f t="shared" si="313"/>
        <v/>
      </c>
      <c r="AS310" s="172" t="str">
        <f t="shared" si="313"/>
        <v/>
      </c>
      <c r="AT310" s="173">
        <f>IF(AT$6="","",IF(AT$3="Maior",iferror(VLOOKUP($R310,Capa!$A:$AJ,AT$5,0),0),IF(ISERROR(1/VLOOKUP($R310,Capa!$A:$AJ,AT$5,0)),0,1/VLOOKUP($R310,Capa!$A:$AJ,AT$5,0))))</f>
        <v>-0.4347826087</v>
      </c>
      <c r="AU310" s="174">
        <f>IF(AU$6="","",IF(AU$3="Maior",iferror(VLOOKUP($R310,Capa!$A:$AJ,AU$5,0),0),IF(ISERROR(1/VLOOKUP($R310,Capa!$A:$AJ,AU$5,0)),0,1/VLOOKUP($R310,Capa!$A:$AJ,AU$5,0))))</f>
        <v>-16.45</v>
      </c>
      <c r="AV310" s="174" t="str">
        <f>IF(AV$6="","",IF(AV$3="Maior",iferror(VLOOKUP($R310,Capa!$A:$AJ,AV$5,0),0),IF(ISERROR(1/VLOOKUP($R310,Capa!$A:$AJ,AV$5,0)),0,1/VLOOKUP($R310,Capa!$A:$AJ,AV$5,0))))</f>
        <v/>
      </c>
      <c r="AW310" s="174" t="str">
        <f>IF(AW$6="","",IF(AW$3="Maior",iferror(VLOOKUP($R310,Capa!$A:$AJ,AW$5,0),0),IF(ISERROR(1/VLOOKUP($R310,Capa!$A:$AJ,AW$5,0)),0,1/VLOOKUP($R310,Capa!$A:$AJ,AW$5,0))))</f>
        <v/>
      </c>
      <c r="AX310" s="174" t="str">
        <f>IF(AX$6="","",IF(AX$3="Maior",iferror(VLOOKUP($R310,Capa!$A:$AJ,AX$5,0),0),IF(ISERROR(1/VLOOKUP($R310,Capa!$A:$AJ,AX$5,0)),0,1/VLOOKUP($R310,Capa!$A:$AJ,AX$5,0))))</f>
        <v/>
      </c>
      <c r="AY310" s="174" t="str">
        <f>IF(AY$6="","",IF(AY$3="Maior",iferror(VLOOKUP($R310,Capa!$A:$AJ,AY$5,0),0),IF(ISERROR(1/VLOOKUP($R310,Capa!$A:$AJ,AY$5,0)),0,1/VLOOKUP($R310,Capa!$A:$AJ,AY$5,0))))</f>
        <v/>
      </c>
      <c r="AZ310" s="174" t="str">
        <f>IF(AZ$6="","",IF(AZ$3="Maior",iferror(VLOOKUP($R310,Capa!$A:$AJ,AZ$5,0),0),IF(ISERROR(1/VLOOKUP($R310,Capa!$A:$AJ,AZ$5,0)),0,1/VLOOKUP($R310,Capa!$A:$AJ,AZ$5,0))))</f>
        <v/>
      </c>
      <c r="BA310" s="174" t="str">
        <f>IF(BA$6="","",IF(BA$3="Maior",iferror(VLOOKUP($R310,Capa!$A:$AJ,BA$5,0),0),IF(ISERROR(1/VLOOKUP($R310,Capa!$A:$AJ,BA$5,0)),0,1/VLOOKUP($R310,Capa!$A:$AJ,BA$5,0))))</f>
        <v/>
      </c>
      <c r="BB310" s="174" t="str">
        <f>IF(BB$6="","",IF(BB$3="Maior",iferror(VLOOKUP($R310,Capa!$A:$AJ,BB$5,0),0),IF(ISERROR(1/VLOOKUP($R310,Capa!$A:$AJ,BB$5,0)),0,1/VLOOKUP($R310,Capa!$A:$AJ,BB$5,0))))</f>
        <v/>
      </c>
      <c r="BC310" s="174" t="str">
        <f>IF(BC$6="","",IF(BC$3="Maior",iferror(VLOOKUP($R310,Capa!$A:$AJ,BC$5,0),0),IF(ISERROR(1/VLOOKUP($R310,Capa!$A:$AJ,BC$5,0)),0,1/VLOOKUP($R310,Capa!$A:$AJ,BC$5,0))))</f>
        <v/>
      </c>
      <c r="BD310" s="174" t="str">
        <f>IF(BD$6="","",IF(BD$3="Maior",iferror(VLOOKUP($R310,Capa!$A:$AJ,BD$5,0),0),IF(ISERROR(1/VLOOKUP($R310,Capa!$A:$AJ,BD$5,0)),0,1/VLOOKUP($R310,Capa!$A:$AJ,BD$5,0))))</f>
        <v/>
      </c>
      <c r="BE310" s="174" t="str">
        <f>IF(BE$6="","",IF(BE$3="Maior",iferror(VLOOKUP($R310,Capa!$A:$AJ,BE$5,0),0),IF(ISERROR(1/VLOOKUP($R310,Capa!$A:$AJ,BE$5,0)),0,1/VLOOKUP($R310,Capa!$A:$AJ,BE$5,0))))</f>
        <v/>
      </c>
      <c r="BF310" s="174" t="str">
        <f>IF(BF$6="","",IF(BF$3="Maior",iferror(VLOOKUP($R310,Capa!$A:$AJ,BF$5,0),0),IF(ISERROR(1/VLOOKUP($R310,Capa!$A:$AJ,BF$5,0)),0,1/VLOOKUP($R310,Capa!$A:$AJ,BF$5,0))))</f>
        <v/>
      </c>
      <c r="BG310" s="174" t="str">
        <f>IF(BG$6="","",IF(BG$3="Maior",iferror(VLOOKUP($R310,Capa!$A:$AJ,BG$5,0),0),IF(ISERROR(1/VLOOKUP($R310,Capa!$A:$AJ,BG$5,0)),0,1/VLOOKUP($R310,Capa!$A:$AJ,BG$5,0))))</f>
        <v/>
      </c>
      <c r="BH310" s="174" t="str">
        <f>IF(BH$6="","",IF(BH$3="Maior",iferror(VLOOKUP($R310,Capa!$A:$AJ,BH$5,0),0),IF(ISERROR(1/VLOOKUP($R310,Capa!$A:$AJ,BH$5,0)),0,1/VLOOKUP($R310,Capa!$A:$AJ,BH$5,0))))</f>
        <v/>
      </c>
      <c r="BI310" s="174" t="str">
        <f>IF(BI$6="","",IF(BI$3="Maior",iferror(VLOOKUP($R310,Capa!$A:$AJ,BI$5,0),0),IF(ISERROR(1/VLOOKUP($R310,Capa!$A:$AJ,BI$5,0)),0,1/VLOOKUP($R310,Capa!$A:$AJ,BI$5,0))))</f>
        <v/>
      </c>
      <c r="BJ310" s="174" t="str">
        <f>IF(BJ$6="","",IF(BJ$3="Maior",iferror(VLOOKUP($R310,Capa!$A:$AJ,BJ$5,0),0),IF(ISERROR(1/VLOOKUP($R310,Capa!$A:$AJ,BJ$5,0)),0,1/VLOOKUP($R310,Capa!$A:$AJ,BJ$5,0))))</f>
        <v/>
      </c>
      <c r="BK310" s="174" t="str">
        <f>IF(BK$6="","",IF(BK$3="Maior",iferror(VLOOKUP($R310,Capa!$A:$AJ,BK$5,0),0),IF(ISERROR(1/VLOOKUP($R310,Capa!$A:$AJ,BK$5,0)),0,1/VLOOKUP($R310,Capa!$A:$AJ,BK$5,0))))</f>
        <v/>
      </c>
      <c r="BL310" s="174" t="str">
        <f>IF(BL$6="","",IF(BL$3="Maior",iferror(VLOOKUP($R310,Capa!$A:$AJ,BL$5,0),0),IF(ISERROR(1/VLOOKUP($R310,Capa!$A:$AJ,BL$5,0)),0,1/VLOOKUP($R310,Capa!$A:$AJ,BL$5,0))))</f>
        <v/>
      </c>
      <c r="BM310" s="174" t="str">
        <f>IF(BM$6="","",IF(BM$3="Maior",iferror(VLOOKUP($R310,Capa!$A:$AJ,BM$5,0),0),IF(ISERROR(1/VLOOKUP($R310,Capa!$A:$AJ,BM$5,0)),0,1/VLOOKUP($R310,Capa!$A:$AJ,BM$5,0))))</f>
        <v/>
      </c>
      <c r="BN310" s="174" t="str">
        <f>IF(BN$6="","",IF(BN$3="Maior",iferror(VLOOKUP($R310,Capa!$A:$AJ,BN$5,0),0),IF(ISERROR(1/VLOOKUP($R310,Capa!$A:$AJ,BN$5,0)),0,1/VLOOKUP($R310,Capa!$A:$AJ,BN$5,0))))</f>
        <v/>
      </c>
      <c r="BO310" s="174" t="str">
        <f>IF(BO$6="","",IF(BO$3="Maior",iferror(VLOOKUP($R310,Capa!$A:$AJ,BO$5,0),0),IF(ISERROR(1/VLOOKUP($R310,Capa!$A:$AJ,BO$5,0)),0,1/VLOOKUP($R310,Capa!$A:$AJ,BO$5,0))))</f>
        <v/>
      </c>
      <c r="BP310" s="174" t="str">
        <f>IF(BP$6="","",IF(BP$3="Maior",iferror(VLOOKUP($R310,Capa!$A:$AJ,BP$5,0),0),IF(ISERROR(1/VLOOKUP($R310,Capa!$A:$AJ,BP$5,0)),0,1/VLOOKUP($R310,Capa!$A:$AJ,BP$5,0))))</f>
        <v/>
      </c>
      <c r="BQ310" s="174" t="str">
        <f>IF(BQ$6="","",IF(BQ$3="Maior",iferror(VLOOKUP($R310,Capa!$A:$AJ,BQ$5,0),0),IF(ISERROR(1/VLOOKUP($R310,Capa!$A:$AJ,BQ$5,0)),0,1/VLOOKUP($R310,Capa!$A:$AJ,BQ$5,0))))</f>
        <v/>
      </c>
      <c r="BR310" s="175"/>
      <c r="BS310" s="147"/>
    </row>
    <row r="311">
      <c r="G311" s="11"/>
      <c r="H311" s="8">
        <v>305.0</v>
      </c>
      <c r="I311" s="165" t="str">
        <f t="shared" si="6"/>
        <v>ZAMP3</v>
      </c>
      <c r="J311" s="166" t="str">
        <f>(VLOOKUP($I311,Capa!$A:$B,2,0))</f>
        <v/>
      </c>
      <c r="K311" s="167" t="str">
        <f>VLOOKUP(left(I311,4),Setor!A:D,3,0)&amp;" | "&amp;VLOOKUP(left(I311,4),Setor!A:D,4,0)</f>
        <v>#N/A</v>
      </c>
      <c r="L311" s="168" t="str">
        <f>(VLOOKUP($I311,Capa!$A:$F,6,0))</f>
        <v/>
      </c>
      <c r="M311" s="168">
        <f t="shared" si="7"/>
        <v>247849</v>
      </c>
      <c r="N311" s="177" t="str">
        <f>(VLOOKUP($I311,Capa!$A:$H,7,0))</f>
        <v/>
      </c>
      <c r="O311" s="177" t="str">
        <f>(VLOOKUP($I311,Capa!$A:$H,8,0))</f>
        <v/>
      </c>
      <c r="P311" s="169" t="str">
        <f>(VLOOKUP($I311,Capa!$A:$J,10,0))</f>
        <v/>
      </c>
      <c r="Q311" s="169" t="str">
        <f>(VLOOKUP($I311,Capa!$A:$K,11,0))</f>
        <v/>
      </c>
      <c r="R311" s="45" t="str">
        <f>'Dados StatusInvest'!A306</f>
        <v>HAPV3</v>
      </c>
      <c r="S311" s="170">
        <f t="shared" si="234"/>
        <v>300.03</v>
      </c>
      <c r="T311" s="171">
        <f>VLOOKUP(R311,'Dados StatusInvest'!A:Z,26,0)</f>
        <v>117000000</v>
      </c>
      <c r="U311" s="172">
        <f t="shared" ref="U311:AS311" si="314">IF(AT311="","", RANK(AT311,AT$7:AT$626,0)+RANK(AT311,AT$7:AT$626,0)/10000)</f>
        <v>33.0033</v>
      </c>
      <c r="V311" s="172">
        <f t="shared" si="314"/>
        <v>267.0267</v>
      </c>
      <c r="W311" s="172" t="str">
        <f t="shared" si="314"/>
        <v/>
      </c>
      <c r="X311" s="172" t="str">
        <f t="shared" si="314"/>
        <v/>
      </c>
      <c r="Y311" s="172" t="str">
        <f t="shared" si="314"/>
        <v/>
      </c>
      <c r="Z311" s="172" t="str">
        <f t="shared" si="314"/>
        <v/>
      </c>
      <c r="AA311" s="172" t="str">
        <f t="shared" si="314"/>
        <v/>
      </c>
      <c r="AB311" s="172" t="str">
        <f t="shared" si="314"/>
        <v/>
      </c>
      <c r="AC311" s="172" t="str">
        <f t="shared" si="314"/>
        <v/>
      </c>
      <c r="AD311" s="172" t="str">
        <f t="shared" si="314"/>
        <v/>
      </c>
      <c r="AE311" s="172" t="str">
        <f t="shared" si="314"/>
        <v/>
      </c>
      <c r="AF311" s="172" t="str">
        <f t="shared" si="314"/>
        <v/>
      </c>
      <c r="AG311" s="172" t="str">
        <f t="shared" si="314"/>
        <v/>
      </c>
      <c r="AH311" s="172" t="str">
        <f t="shared" si="314"/>
        <v/>
      </c>
      <c r="AI311" s="172" t="str">
        <f t="shared" si="314"/>
        <v/>
      </c>
      <c r="AJ311" s="172" t="str">
        <f t="shared" si="314"/>
        <v/>
      </c>
      <c r="AK311" s="172" t="str">
        <f t="shared" si="314"/>
        <v/>
      </c>
      <c r="AL311" s="172" t="str">
        <f t="shared" si="314"/>
        <v/>
      </c>
      <c r="AM311" s="172" t="str">
        <f t="shared" si="314"/>
        <v/>
      </c>
      <c r="AN311" s="172" t="str">
        <f t="shared" si="314"/>
        <v/>
      </c>
      <c r="AO311" s="172" t="str">
        <f t="shared" si="314"/>
        <v/>
      </c>
      <c r="AP311" s="172" t="str">
        <f t="shared" si="314"/>
        <v/>
      </c>
      <c r="AQ311" s="172" t="str">
        <f t="shared" si="314"/>
        <v/>
      </c>
      <c r="AR311" s="172" t="str">
        <f t="shared" si="314"/>
        <v/>
      </c>
      <c r="AS311" s="172" t="str">
        <f t="shared" si="314"/>
        <v/>
      </c>
      <c r="AT311" s="173">
        <f>IF(AT$6="","",IF(AT$3="Maior",iferror(VLOOKUP($R311,Capa!$A:$AJ,AT$5,0),0),IF(ISERROR(1/VLOOKUP($R311,Capa!$A:$AJ,AT$5,0)),0,1/VLOOKUP($R311,Capa!$A:$AJ,AT$5,0))))</f>
        <v>0.004030291356</v>
      </c>
      <c r="AU311" s="174">
        <f>IF(AU$6="","",IF(AU$3="Maior",iferror(VLOOKUP($R311,Capa!$A:$AJ,AU$5,0),0),IF(ISERROR(1/VLOOKUP($R311,Capa!$A:$AJ,AU$5,0)),0,1/VLOOKUP($R311,Capa!$A:$AJ,AU$5,0))))</f>
        <v>0</v>
      </c>
      <c r="AV311" s="174" t="str">
        <f>IF(AV$6="","",IF(AV$3="Maior",iferror(VLOOKUP($R311,Capa!$A:$AJ,AV$5,0),0),IF(ISERROR(1/VLOOKUP($R311,Capa!$A:$AJ,AV$5,0)),0,1/VLOOKUP($R311,Capa!$A:$AJ,AV$5,0))))</f>
        <v/>
      </c>
      <c r="AW311" s="174" t="str">
        <f>IF(AW$6="","",IF(AW$3="Maior",iferror(VLOOKUP($R311,Capa!$A:$AJ,AW$5,0),0),IF(ISERROR(1/VLOOKUP($R311,Capa!$A:$AJ,AW$5,0)),0,1/VLOOKUP($R311,Capa!$A:$AJ,AW$5,0))))</f>
        <v/>
      </c>
      <c r="AX311" s="174" t="str">
        <f>IF(AX$6="","",IF(AX$3="Maior",iferror(VLOOKUP($R311,Capa!$A:$AJ,AX$5,0),0),IF(ISERROR(1/VLOOKUP($R311,Capa!$A:$AJ,AX$5,0)),0,1/VLOOKUP($R311,Capa!$A:$AJ,AX$5,0))))</f>
        <v/>
      </c>
      <c r="AY311" s="174" t="str">
        <f>IF(AY$6="","",IF(AY$3="Maior",iferror(VLOOKUP($R311,Capa!$A:$AJ,AY$5,0),0),IF(ISERROR(1/VLOOKUP($R311,Capa!$A:$AJ,AY$5,0)),0,1/VLOOKUP($R311,Capa!$A:$AJ,AY$5,0))))</f>
        <v/>
      </c>
      <c r="AZ311" s="174" t="str">
        <f>IF(AZ$6="","",IF(AZ$3="Maior",iferror(VLOOKUP($R311,Capa!$A:$AJ,AZ$5,0),0),IF(ISERROR(1/VLOOKUP($R311,Capa!$A:$AJ,AZ$5,0)),0,1/VLOOKUP($R311,Capa!$A:$AJ,AZ$5,0))))</f>
        <v/>
      </c>
      <c r="BA311" s="174" t="str">
        <f>IF(BA$6="","",IF(BA$3="Maior",iferror(VLOOKUP($R311,Capa!$A:$AJ,BA$5,0),0),IF(ISERROR(1/VLOOKUP($R311,Capa!$A:$AJ,BA$5,0)),0,1/VLOOKUP($R311,Capa!$A:$AJ,BA$5,0))))</f>
        <v/>
      </c>
      <c r="BB311" s="174" t="str">
        <f>IF(BB$6="","",IF(BB$3="Maior",iferror(VLOOKUP($R311,Capa!$A:$AJ,BB$5,0),0),IF(ISERROR(1/VLOOKUP($R311,Capa!$A:$AJ,BB$5,0)),0,1/VLOOKUP($R311,Capa!$A:$AJ,BB$5,0))))</f>
        <v/>
      </c>
      <c r="BC311" s="174" t="str">
        <f>IF(BC$6="","",IF(BC$3="Maior",iferror(VLOOKUP($R311,Capa!$A:$AJ,BC$5,0),0),IF(ISERROR(1/VLOOKUP($R311,Capa!$A:$AJ,BC$5,0)),0,1/VLOOKUP($R311,Capa!$A:$AJ,BC$5,0))))</f>
        <v/>
      </c>
      <c r="BD311" s="174" t="str">
        <f>IF(BD$6="","",IF(BD$3="Maior",iferror(VLOOKUP($R311,Capa!$A:$AJ,BD$5,0),0),IF(ISERROR(1/VLOOKUP($R311,Capa!$A:$AJ,BD$5,0)),0,1/VLOOKUP($R311,Capa!$A:$AJ,BD$5,0))))</f>
        <v/>
      </c>
      <c r="BE311" s="174" t="str">
        <f>IF(BE$6="","",IF(BE$3="Maior",iferror(VLOOKUP($R311,Capa!$A:$AJ,BE$5,0),0),IF(ISERROR(1/VLOOKUP($R311,Capa!$A:$AJ,BE$5,0)),0,1/VLOOKUP($R311,Capa!$A:$AJ,BE$5,0))))</f>
        <v/>
      </c>
      <c r="BF311" s="174" t="str">
        <f>IF(BF$6="","",IF(BF$3="Maior",iferror(VLOOKUP($R311,Capa!$A:$AJ,BF$5,0),0),IF(ISERROR(1/VLOOKUP($R311,Capa!$A:$AJ,BF$5,0)),0,1/VLOOKUP($R311,Capa!$A:$AJ,BF$5,0))))</f>
        <v/>
      </c>
      <c r="BG311" s="174" t="str">
        <f>IF(BG$6="","",IF(BG$3="Maior",iferror(VLOOKUP($R311,Capa!$A:$AJ,BG$5,0),0),IF(ISERROR(1/VLOOKUP($R311,Capa!$A:$AJ,BG$5,0)),0,1/VLOOKUP($R311,Capa!$A:$AJ,BG$5,0))))</f>
        <v/>
      </c>
      <c r="BH311" s="174" t="str">
        <f>IF(BH$6="","",IF(BH$3="Maior",iferror(VLOOKUP($R311,Capa!$A:$AJ,BH$5,0),0),IF(ISERROR(1/VLOOKUP($R311,Capa!$A:$AJ,BH$5,0)),0,1/VLOOKUP($R311,Capa!$A:$AJ,BH$5,0))))</f>
        <v/>
      </c>
      <c r="BI311" s="174" t="str">
        <f>IF(BI$6="","",IF(BI$3="Maior",iferror(VLOOKUP($R311,Capa!$A:$AJ,BI$5,0),0),IF(ISERROR(1/VLOOKUP($R311,Capa!$A:$AJ,BI$5,0)),0,1/VLOOKUP($R311,Capa!$A:$AJ,BI$5,0))))</f>
        <v/>
      </c>
      <c r="BJ311" s="174" t="str">
        <f>IF(BJ$6="","",IF(BJ$3="Maior",iferror(VLOOKUP($R311,Capa!$A:$AJ,BJ$5,0),0),IF(ISERROR(1/VLOOKUP($R311,Capa!$A:$AJ,BJ$5,0)),0,1/VLOOKUP($R311,Capa!$A:$AJ,BJ$5,0))))</f>
        <v/>
      </c>
      <c r="BK311" s="174" t="str">
        <f>IF(BK$6="","",IF(BK$3="Maior",iferror(VLOOKUP($R311,Capa!$A:$AJ,BK$5,0),0),IF(ISERROR(1/VLOOKUP($R311,Capa!$A:$AJ,BK$5,0)),0,1/VLOOKUP($R311,Capa!$A:$AJ,BK$5,0))))</f>
        <v/>
      </c>
      <c r="BL311" s="174" t="str">
        <f>IF(BL$6="","",IF(BL$3="Maior",iferror(VLOOKUP($R311,Capa!$A:$AJ,BL$5,0),0),IF(ISERROR(1/VLOOKUP($R311,Capa!$A:$AJ,BL$5,0)),0,1/VLOOKUP($R311,Capa!$A:$AJ,BL$5,0))))</f>
        <v/>
      </c>
      <c r="BM311" s="174" t="str">
        <f>IF(BM$6="","",IF(BM$3="Maior",iferror(VLOOKUP($R311,Capa!$A:$AJ,BM$5,0),0),IF(ISERROR(1/VLOOKUP($R311,Capa!$A:$AJ,BM$5,0)),0,1/VLOOKUP($R311,Capa!$A:$AJ,BM$5,0))))</f>
        <v/>
      </c>
      <c r="BN311" s="174" t="str">
        <f>IF(BN$6="","",IF(BN$3="Maior",iferror(VLOOKUP($R311,Capa!$A:$AJ,BN$5,0),0),IF(ISERROR(1/VLOOKUP($R311,Capa!$A:$AJ,BN$5,0)),0,1/VLOOKUP($R311,Capa!$A:$AJ,BN$5,0))))</f>
        <v/>
      </c>
      <c r="BO311" s="174" t="str">
        <f>IF(BO$6="","",IF(BO$3="Maior",iferror(VLOOKUP($R311,Capa!$A:$AJ,BO$5,0),0),IF(ISERROR(1/VLOOKUP($R311,Capa!$A:$AJ,BO$5,0)),0,1/VLOOKUP($R311,Capa!$A:$AJ,BO$5,0))))</f>
        <v/>
      </c>
      <c r="BP311" s="174" t="str">
        <f>IF(BP$6="","",IF(BP$3="Maior",iferror(VLOOKUP($R311,Capa!$A:$AJ,BP$5,0),0),IF(ISERROR(1/VLOOKUP($R311,Capa!$A:$AJ,BP$5,0)),0,1/VLOOKUP($R311,Capa!$A:$AJ,BP$5,0))))</f>
        <v/>
      </c>
      <c r="BQ311" s="174" t="str">
        <f>IF(BQ$6="","",IF(BQ$3="Maior",iferror(VLOOKUP($R311,Capa!$A:$AJ,BQ$5,0),0),IF(ISERROR(1/VLOOKUP($R311,Capa!$A:$AJ,BQ$5,0)),0,1/VLOOKUP($R311,Capa!$A:$AJ,BQ$5,0))))</f>
        <v/>
      </c>
      <c r="BR311" s="175"/>
      <c r="BS311" s="147"/>
    </row>
    <row r="312">
      <c r="G312" s="11"/>
      <c r="H312" s="8">
        <v>306.0</v>
      </c>
      <c r="I312" s="165" t="str">
        <f t="shared" si="6"/>
        <v>ZAMP3</v>
      </c>
      <c r="J312" s="166" t="str">
        <f>(VLOOKUP($I312,Capa!$A:$B,2,0))</f>
        <v/>
      </c>
      <c r="K312" s="167" t="str">
        <f>VLOOKUP(left(I312,4),Setor!A:D,3,0)&amp;" | "&amp;VLOOKUP(left(I312,4),Setor!A:D,4,0)</f>
        <v>#N/A</v>
      </c>
      <c r="L312" s="168" t="str">
        <f>(VLOOKUP($I312,Capa!$A:$F,6,0))</f>
        <v/>
      </c>
      <c r="M312" s="168">
        <f t="shared" si="7"/>
        <v>247849</v>
      </c>
      <c r="N312" s="177" t="str">
        <f>(VLOOKUP($I312,Capa!$A:$H,7,0))</f>
        <v/>
      </c>
      <c r="O312" s="177" t="str">
        <f>(VLOOKUP($I312,Capa!$A:$H,8,0))</f>
        <v/>
      </c>
      <c r="P312" s="169" t="str">
        <f>(VLOOKUP($I312,Capa!$A:$J,10,0))</f>
        <v/>
      </c>
      <c r="Q312" s="169" t="str">
        <f>(VLOOKUP($I312,Capa!$A:$K,11,0))</f>
        <v/>
      </c>
      <c r="R312" s="45" t="str">
        <f>'Dados StatusInvest'!A307</f>
        <v>HBOR3</v>
      </c>
      <c r="S312" s="170">
        <f t="shared" si="234"/>
        <v>835.0835</v>
      </c>
      <c r="T312" s="171">
        <f>VLOOKUP(R312,'Dados StatusInvest'!A:Z,26,0)</f>
        <v>2913298</v>
      </c>
      <c r="U312" s="172">
        <f t="shared" ref="U312:AS312" si="315">IF(AT312="","", RANK(AT312,AT$7:AT$626,0)+RANK(AT312,AT$7:AT$626,0)/10000)</f>
        <v>568.0568</v>
      </c>
      <c r="V312" s="172">
        <f t="shared" si="315"/>
        <v>267.0267</v>
      </c>
      <c r="W312" s="172" t="str">
        <f t="shared" si="315"/>
        <v/>
      </c>
      <c r="X312" s="172" t="str">
        <f t="shared" si="315"/>
        <v/>
      </c>
      <c r="Y312" s="172" t="str">
        <f t="shared" si="315"/>
        <v/>
      </c>
      <c r="Z312" s="172" t="str">
        <f t="shared" si="315"/>
        <v/>
      </c>
      <c r="AA312" s="172" t="str">
        <f t="shared" si="315"/>
        <v/>
      </c>
      <c r="AB312" s="172" t="str">
        <f t="shared" si="315"/>
        <v/>
      </c>
      <c r="AC312" s="172" t="str">
        <f t="shared" si="315"/>
        <v/>
      </c>
      <c r="AD312" s="172" t="str">
        <f t="shared" si="315"/>
        <v/>
      </c>
      <c r="AE312" s="172" t="str">
        <f t="shared" si="315"/>
        <v/>
      </c>
      <c r="AF312" s="172" t="str">
        <f t="shared" si="315"/>
        <v/>
      </c>
      <c r="AG312" s="172" t="str">
        <f t="shared" si="315"/>
        <v/>
      </c>
      <c r="AH312" s="172" t="str">
        <f t="shared" si="315"/>
        <v/>
      </c>
      <c r="AI312" s="172" t="str">
        <f t="shared" si="315"/>
        <v/>
      </c>
      <c r="AJ312" s="172" t="str">
        <f t="shared" si="315"/>
        <v/>
      </c>
      <c r="AK312" s="172" t="str">
        <f t="shared" si="315"/>
        <v/>
      </c>
      <c r="AL312" s="172" t="str">
        <f t="shared" si="315"/>
        <v/>
      </c>
      <c r="AM312" s="172" t="str">
        <f t="shared" si="315"/>
        <v/>
      </c>
      <c r="AN312" s="172" t="str">
        <f t="shared" si="315"/>
        <v/>
      </c>
      <c r="AO312" s="172" t="str">
        <f t="shared" si="315"/>
        <v/>
      </c>
      <c r="AP312" s="172" t="str">
        <f t="shared" si="315"/>
        <v/>
      </c>
      <c r="AQ312" s="172" t="str">
        <f t="shared" si="315"/>
        <v/>
      </c>
      <c r="AR312" s="172" t="str">
        <f t="shared" si="315"/>
        <v/>
      </c>
      <c r="AS312" s="172" t="str">
        <f t="shared" si="315"/>
        <v/>
      </c>
      <c r="AT312" s="173">
        <f>IF(AT$6="","",IF(AT$3="Maior",iferror(VLOOKUP($R312,Capa!$A:$AJ,AT$5,0),0),IF(ISERROR(1/VLOOKUP($R312,Capa!$A:$AJ,AT$5,0)),0,1/VLOOKUP($R312,Capa!$A:$AJ,AT$5,0))))</f>
        <v>-7.644628099</v>
      </c>
      <c r="AU312" s="174">
        <f>IF(AU$6="","",IF(AU$3="Maior",iferror(VLOOKUP($R312,Capa!$A:$AJ,AU$5,0),0),IF(ISERROR(1/VLOOKUP($R312,Capa!$A:$AJ,AU$5,0)),0,1/VLOOKUP($R312,Capa!$A:$AJ,AU$5,0))))</f>
        <v>0</v>
      </c>
      <c r="AV312" s="174" t="str">
        <f>IF(AV$6="","",IF(AV$3="Maior",iferror(VLOOKUP($R312,Capa!$A:$AJ,AV$5,0),0),IF(ISERROR(1/VLOOKUP($R312,Capa!$A:$AJ,AV$5,0)),0,1/VLOOKUP($R312,Capa!$A:$AJ,AV$5,0))))</f>
        <v/>
      </c>
      <c r="AW312" s="174" t="str">
        <f>IF(AW$6="","",IF(AW$3="Maior",iferror(VLOOKUP($R312,Capa!$A:$AJ,AW$5,0),0),IF(ISERROR(1/VLOOKUP($R312,Capa!$A:$AJ,AW$5,0)),0,1/VLOOKUP($R312,Capa!$A:$AJ,AW$5,0))))</f>
        <v/>
      </c>
      <c r="AX312" s="174" t="str">
        <f>IF(AX$6="","",IF(AX$3="Maior",iferror(VLOOKUP($R312,Capa!$A:$AJ,AX$5,0),0),IF(ISERROR(1/VLOOKUP($R312,Capa!$A:$AJ,AX$5,0)),0,1/VLOOKUP($R312,Capa!$A:$AJ,AX$5,0))))</f>
        <v/>
      </c>
      <c r="AY312" s="174" t="str">
        <f>IF(AY$6="","",IF(AY$3="Maior",iferror(VLOOKUP($R312,Capa!$A:$AJ,AY$5,0),0),IF(ISERROR(1/VLOOKUP($R312,Capa!$A:$AJ,AY$5,0)),0,1/VLOOKUP($R312,Capa!$A:$AJ,AY$5,0))))</f>
        <v/>
      </c>
      <c r="AZ312" s="174" t="str">
        <f>IF(AZ$6="","",IF(AZ$3="Maior",iferror(VLOOKUP($R312,Capa!$A:$AJ,AZ$5,0),0),IF(ISERROR(1/VLOOKUP($R312,Capa!$A:$AJ,AZ$5,0)),0,1/VLOOKUP($R312,Capa!$A:$AJ,AZ$5,0))))</f>
        <v/>
      </c>
      <c r="BA312" s="174" t="str">
        <f>IF(BA$6="","",IF(BA$3="Maior",iferror(VLOOKUP($R312,Capa!$A:$AJ,BA$5,0),0),IF(ISERROR(1/VLOOKUP($R312,Capa!$A:$AJ,BA$5,0)),0,1/VLOOKUP($R312,Capa!$A:$AJ,BA$5,0))))</f>
        <v/>
      </c>
      <c r="BB312" s="174" t="str">
        <f>IF(BB$6="","",IF(BB$3="Maior",iferror(VLOOKUP($R312,Capa!$A:$AJ,BB$5,0),0),IF(ISERROR(1/VLOOKUP($R312,Capa!$A:$AJ,BB$5,0)),0,1/VLOOKUP($R312,Capa!$A:$AJ,BB$5,0))))</f>
        <v/>
      </c>
      <c r="BC312" s="174" t="str">
        <f>IF(BC$6="","",IF(BC$3="Maior",iferror(VLOOKUP($R312,Capa!$A:$AJ,BC$5,0),0),IF(ISERROR(1/VLOOKUP($R312,Capa!$A:$AJ,BC$5,0)),0,1/VLOOKUP($R312,Capa!$A:$AJ,BC$5,0))))</f>
        <v/>
      </c>
      <c r="BD312" s="174" t="str">
        <f>IF(BD$6="","",IF(BD$3="Maior",iferror(VLOOKUP($R312,Capa!$A:$AJ,BD$5,0),0),IF(ISERROR(1/VLOOKUP($R312,Capa!$A:$AJ,BD$5,0)),0,1/VLOOKUP($R312,Capa!$A:$AJ,BD$5,0))))</f>
        <v/>
      </c>
      <c r="BE312" s="174" t="str">
        <f>IF(BE$6="","",IF(BE$3="Maior",iferror(VLOOKUP($R312,Capa!$A:$AJ,BE$5,0),0),IF(ISERROR(1/VLOOKUP($R312,Capa!$A:$AJ,BE$5,0)),0,1/VLOOKUP($R312,Capa!$A:$AJ,BE$5,0))))</f>
        <v/>
      </c>
      <c r="BF312" s="174" t="str">
        <f>IF(BF$6="","",IF(BF$3="Maior",iferror(VLOOKUP($R312,Capa!$A:$AJ,BF$5,0),0),IF(ISERROR(1/VLOOKUP($R312,Capa!$A:$AJ,BF$5,0)),0,1/VLOOKUP($R312,Capa!$A:$AJ,BF$5,0))))</f>
        <v/>
      </c>
      <c r="BG312" s="174" t="str">
        <f>IF(BG$6="","",IF(BG$3="Maior",iferror(VLOOKUP($R312,Capa!$A:$AJ,BG$5,0),0),IF(ISERROR(1/VLOOKUP($R312,Capa!$A:$AJ,BG$5,0)),0,1/VLOOKUP($R312,Capa!$A:$AJ,BG$5,0))))</f>
        <v/>
      </c>
      <c r="BH312" s="174" t="str">
        <f>IF(BH$6="","",IF(BH$3="Maior",iferror(VLOOKUP($R312,Capa!$A:$AJ,BH$5,0),0),IF(ISERROR(1/VLOOKUP($R312,Capa!$A:$AJ,BH$5,0)),0,1/VLOOKUP($R312,Capa!$A:$AJ,BH$5,0))))</f>
        <v/>
      </c>
      <c r="BI312" s="174" t="str">
        <f>IF(BI$6="","",IF(BI$3="Maior",iferror(VLOOKUP($R312,Capa!$A:$AJ,BI$5,0),0),IF(ISERROR(1/VLOOKUP($R312,Capa!$A:$AJ,BI$5,0)),0,1/VLOOKUP($R312,Capa!$A:$AJ,BI$5,0))))</f>
        <v/>
      </c>
      <c r="BJ312" s="174" t="str">
        <f>IF(BJ$6="","",IF(BJ$3="Maior",iferror(VLOOKUP($R312,Capa!$A:$AJ,BJ$5,0),0),IF(ISERROR(1/VLOOKUP($R312,Capa!$A:$AJ,BJ$5,0)),0,1/VLOOKUP($R312,Capa!$A:$AJ,BJ$5,0))))</f>
        <v/>
      </c>
      <c r="BK312" s="174" t="str">
        <f>IF(BK$6="","",IF(BK$3="Maior",iferror(VLOOKUP($R312,Capa!$A:$AJ,BK$5,0),0),IF(ISERROR(1/VLOOKUP($R312,Capa!$A:$AJ,BK$5,0)),0,1/VLOOKUP($R312,Capa!$A:$AJ,BK$5,0))))</f>
        <v/>
      </c>
      <c r="BL312" s="174" t="str">
        <f>IF(BL$6="","",IF(BL$3="Maior",iferror(VLOOKUP($R312,Capa!$A:$AJ,BL$5,0),0),IF(ISERROR(1/VLOOKUP($R312,Capa!$A:$AJ,BL$5,0)),0,1/VLOOKUP($R312,Capa!$A:$AJ,BL$5,0))))</f>
        <v/>
      </c>
      <c r="BM312" s="174" t="str">
        <f>IF(BM$6="","",IF(BM$3="Maior",iferror(VLOOKUP($R312,Capa!$A:$AJ,BM$5,0),0),IF(ISERROR(1/VLOOKUP($R312,Capa!$A:$AJ,BM$5,0)),0,1/VLOOKUP($R312,Capa!$A:$AJ,BM$5,0))))</f>
        <v/>
      </c>
      <c r="BN312" s="174" t="str">
        <f>IF(BN$6="","",IF(BN$3="Maior",iferror(VLOOKUP($R312,Capa!$A:$AJ,BN$5,0),0),IF(ISERROR(1/VLOOKUP($R312,Capa!$A:$AJ,BN$5,0)),0,1/VLOOKUP($R312,Capa!$A:$AJ,BN$5,0))))</f>
        <v/>
      </c>
      <c r="BO312" s="174" t="str">
        <f>IF(BO$6="","",IF(BO$3="Maior",iferror(VLOOKUP($R312,Capa!$A:$AJ,BO$5,0),0),IF(ISERROR(1/VLOOKUP($R312,Capa!$A:$AJ,BO$5,0)),0,1/VLOOKUP($R312,Capa!$A:$AJ,BO$5,0))))</f>
        <v/>
      </c>
      <c r="BP312" s="174" t="str">
        <f>IF(BP$6="","",IF(BP$3="Maior",iferror(VLOOKUP($R312,Capa!$A:$AJ,BP$5,0),0),IF(ISERROR(1/VLOOKUP($R312,Capa!$A:$AJ,BP$5,0)),0,1/VLOOKUP($R312,Capa!$A:$AJ,BP$5,0))))</f>
        <v/>
      </c>
      <c r="BQ312" s="174" t="str">
        <f>IF(BQ$6="","",IF(BQ$3="Maior",iferror(VLOOKUP($R312,Capa!$A:$AJ,BQ$5,0),0),IF(ISERROR(1/VLOOKUP($R312,Capa!$A:$AJ,BQ$5,0)),0,1/VLOOKUP($R312,Capa!$A:$AJ,BQ$5,0))))</f>
        <v/>
      </c>
      <c r="BR312" s="175"/>
      <c r="BS312" s="147"/>
    </row>
    <row r="313">
      <c r="G313" s="11"/>
      <c r="H313" s="8">
        <v>307.0</v>
      </c>
      <c r="I313" s="165" t="str">
        <f t="shared" si="6"/>
        <v>CSRN3</v>
      </c>
      <c r="J313" s="166" t="str">
        <f>(VLOOKUP($I313,Capa!$A:$B,2,0))</f>
        <v/>
      </c>
      <c r="K313" s="167" t="str">
        <f>VLOOKUP(left(I313,4),Setor!A:D,3,0)&amp;" | "&amp;VLOOKUP(left(I313,4),Setor!A:D,4,0)</f>
        <v>Utilidade Pública | Energia Elétrica</v>
      </c>
      <c r="L313" s="168" t="str">
        <f>(VLOOKUP($I313,Capa!$A:$F,6,0))</f>
        <v/>
      </c>
      <c r="M313" s="168">
        <f t="shared" si="7"/>
        <v>0</v>
      </c>
      <c r="N313" s="11" t="str">
        <f>(VLOOKUP($I313,Capa!$A:$H,7,0))</f>
        <v/>
      </c>
      <c r="O313" s="169" t="str">
        <f>(VLOOKUP($I313,Capa!$A:$H,8,0))</f>
        <v/>
      </c>
      <c r="P313" s="11" t="str">
        <f>(VLOOKUP($I313,Capa!$A:$J,10,0))</f>
        <v/>
      </c>
      <c r="Q313" s="169" t="str">
        <f>(VLOOKUP($I313,Capa!$A:$K,11,0))</f>
        <v/>
      </c>
      <c r="R313" s="45" t="str">
        <f>'Dados StatusInvest'!A308</f>
        <v>HBRE3</v>
      </c>
      <c r="S313" s="170">
        <f t="shared" si="234"/>
        <v>1199.1199</v>
      </c>
      <c r="T313" s="171">
        <f>VLOOKUP(R313,'Dados StatusInvest'!A:Z,26,0)</f>
        <v>2402404</v>
      </c>
      <c r="U313" s="172">
        <f t="shared" ref="U313:AS313" si="316">IF(AT313="","", RANK(AT313,AT$7:AT$626,0)+RANK(AT313,AT$7:AT$626,0)/10000)</f>
        <v>582.0582</v>
      </c>
      <c r="V313" s="172">
        <f t="shared" si="316"/>
        <v>617.0617</v>
      </c>
      <c r="W313" s="172" t="str">
        <f t="shared" si="316"/>
        <v/>
      </c>
      <c r="X313" s="172" t="str">
        <f t="shared" si="316"/>
        <v/>
      </c>
      <c r="Y313" s="172" t="str">
        <f t="shared" si="316"/>
        <v/>
      </c>
      <c r="Z313" s="172" t="str">
        <f t="shared" si="316"/>
        <v/>
      </c>
      <c r="AA313" s="172" t="str">
        <f t="shared" si="316"/>
        <v/>
      </c>
      <c r="AB313" s="172" t="str">
        <f t="shared" si="316"/>
        <v/>
      </c>
      <c r="AC313" s="172" t="str">
        <f t="shared" si="316"/>
        <v/>
      </c>
      <c r="AD313" s="172" t="str">
        <f t="shared" si="316"/>
        <v/>
      </c>
      <c r="AE313" s="172" t="str">
        <f t="shared" si="316"/>
        <v/>
      </c>
      <c r="AF313" s="172" t="str">
        <f t="shared" si="316"/>
        <v/>
      </c>
      <c r="AG313" s="172" t="str">
        <f t="shared" si="316"/>
        <v/>
      </c>
      <c r="AH313" s="172" t="str">
        <f t="shared" si="316"/>
        <v/>
      </c>
      <c r="AI313" s="172" t="str">
        <f t="shared" si="316"/>
        <v/>
      </c>
      <c r="AJ313" s="172" t="str">
        <f t="shared" si="316"/>
        <v/>
      </c>
      <c r="AK313" s="172" t="str">
        <f t="shared" si="316"/>
        <v/>
      </c>
      <c r="AL313" s="172" t="str">
        <f t="shared" si="316"/>
        <v/>
      </c>
      <c r="AM313" s="172" t="str">
        <f t="shared" si="316"/>
        <v/>
      </c>
      <c r="AN313" s="172" t="str">
        <f t="shared" si="316"/>
        <v/>
      </c>
      <c r="AO313" s="172" t="str">
        <f t="shared" si="316"/>
        <v/>
      </c>
      <c r="AP313" s="172" t="str">
        <f t="shared" si="316"/>
        <v/>
      </c>
      <c r="AQ313" s="172" t="str">
        <f t="shared" si="316"/>
        <v/>
      </c>
      <c r="AR313" s="172" t="str">
        <f t="shared" si="316"/>
        <v/>
      </c>
      <c r="AS313" s="172" t="str">
        <f t="shared" si="316"/>
        <v/>
      </c>
      <c r="AT313" s="173">
        <f>IF(AT$6="","",IF(AT$3="Maior",iferror(VLOOKUP($R313,Capa!$A:$AJ,AT$5,0),0),IF(ISERROR(1/VLOOKUP($R313,Capa!$A:$AJ,AT$5,0)),0,1/VLOOKUP($R313,Capa!$A:$AJ,AT$5,0))))</f>
        <v>-9.22595778</v>
      </c>
      <c r="AU313" s="174">
        <f>IF(AU$6="","",IF(AU$3="Maior",iferror(VLOOKUP($R313,Capa!$A:$AJ,AU$5,0),0),IF(ISERROR(1/VLOOKUP($R313,Capa!$A:$AJ,AU$5,0)),0,1/VLOOKUP($R313,Capa!$A:$AJ,AU$5,0))))</f>
        <v>-45.8</v>
      </c>
      <c r="AV313" s="174" t="str">
        <f>IF(AV$6="","",IF(AV$3="Maior",iferror(VLOOKUP($R313,Capa!$A:$AJ,AV$5,0),0),IF(ISERROR(1/VLOOKUP($R313,Capa!$A:$AJ,AV$5,0)),0,1/VLOOKUP($R313,Capa!$A:$AJ,AV$5,0))))</f>
        <v/>
      </c>
      <c r="AW313" s="174" t="str">
        <f>IF(AW$6="","",IF(AW$3="Maior",iferror(VLOOKUP($R313,Capa!$A:$AJ,AW$5,0),0),IF(ISERROR(1/VLOOKUP($R313,Capa!$A:$AJ,AW$5,0)),0,1/VLOOKUP($R313,Capa!$A:$AJ,AW$5,0))))</f>
        <v/>
      </c>
      <c r="AX313" s="174" t="str">
        <f>IF(AX$6="","",IF(AX$3="Maior",iferror(VLOOKUP($R313,Capa!$A:$AJ,AX$5,0),0),IF(ISERROR(1/VLOOKUP($R313,Capa!$A:$AJ,AX$5,0)),0,1/VLOOKUP($R313,Capa!$A:$AJ,AX$5,0))))</f>
        <v/>
      </c>
      <c r="AY313" s="174" t="str">
        <f>IF(AY$6="","",IF(AY$3="Maior",iferror(VLOOKUP($R313,Capa!$A:$AJ,AY$5,0),0),IF(ISERROR(1/VLOOKUP($R313,Capa!$A:$AJ,AY$5,0)),0,1/VLOOKUP($R313,Capa!$A:$AJ,AY$5,0))))</f>
        <v/>
      </c>
      <c r="AZ313" s="174" t="str">
        <f>IF(AZ$6="","",IF(AZ$3="Maior",iferror(VLOOKUP($R313,Capa!$A:$AJ,AZ$5,0),0),IF(ISERROR(1/VLOOKUP($R313,Capa!$A:$AJ,AZ$5,0)),0,1/VLOOKUP($R313,Capa!$A:$AJ,AZ$5,0))))</f>
        <v/>
      </c>
      <c r="BA313" s="174" t="str">
        <f>IF(BA$6="","",IF(BA$3="Maior",iferror(VLOOKUP($R313,Capa!$A:$AJ,BA$5,0),0),IF(ISERROR(1/VLOOKUP($R313,Capa!$A:$AJ,BA$5,0)),0,1/VLOOKUP($R313,Capa!$A:$AJ,BA$5,0))))</f>
        <v/>
      </c>
      <c r="BB313" s="174" t="str">
        <f>IF(BB$6="","",IF(BB$3="Maior",iferror(VLOOKUP($R313,Capa!$A:$AJ,BB$5,0),0),IF(ISERROR(1/VLOOKUP($R313,Capa!$A:$AJ,BB$5,0)),0,1/VLOOKUP($R313,Capa!$A:$AJ,BB$5,0))))</f>
        <v/>
      </c>
      <c r="BC313" s="174" t="str">
        <f>IF(BC$6="","",IF(BC$3="Maior",iferror(VLOOKUP($R313,Capa!$A:$AJ,BC$5,0),0),IF(ISERROR(1/VLOOKUP($R313,Capa!$A:$AJ,BC$5,0)),0,1/VLOOKUP($R313,Capa!$A:$AJ,BC$5,0))))</f>
        <v/>
      </c>
      <c r="BD313" s="174" t="str">
        <f>IF(BD$6="","",IF(BD$3="Maior",iferror(VLOOKUP($R313,Capa!$A:$AJ,BD$5,0),0),IF(ISERROR(1/VLOOKUP($R313,Capa!$A:$AJ,BD$5,0)),0,1/VLOOKUP($R313,Capa!$A:$AJ,BD$5,0))))</f>
        <v/>
      </c>
      <c r="BE313" s="174" t="str">
        <f>IF(BE$6="","",IF(BE$3="Maior",iferror(VLOOKUP($R313,Capa!$A:$AJ,BE$5,0),0),IF(ISERROR(1/VLOOKUP($R313,Capa!$A:$AJ,BE$5,0)),0,1/VLOOKUP($R313,Capa!$A:$AJ,BE$5,0))))</f>
        <v/>
      </c>
      <c r="BF313" s="174" t="str">
        <f>IF(BF$6="","",IF(BF$3="Maior",iferror(VLOOKUP($R313,Capa!$A:$AJ,BF$5,0),0),IF(ISERROR(1/VLOOKUP($R313,Capa!$A:$AJ,BF$5,0)),0,1/VLOOKUP($R313,Capa!$A:$AJ,BF$5,0))))</f>
        <v/>
      </c>
      <c r="BG313" s="174" t="str">
        <f>IF(BG$6="","",IF(BG$3="Maior",iferror(VLOOKUP($R313,Capa!$A:$AJ,BG$5,0),0),IF(ISERROR(1/VLOOKUP($R313,Capa!$A:$AJ,BG$5,0)),0,1/VLOOKUP($R313,Capa!$A:$AJ,BG$5,0))))</f>
        <v/>
      </c>
      <c r="BH313" s="174" t="str">
        <f>IF(BH$6="","",IF(BH$3="Maior",iferror(VLOOKUP($R313,Capa!$A:$AJ,BH$5,0),0),IF(ISERROR(1/VLOOKUP($R313,Capa!$A:$AJ,BH$5,0)),0,1/VLOOKUP($R313,Capa!$A:$AJ,BH$5,0))))</f>
        <v/>
      </c>
      <c r="BI313" s="174" t="str">
        <f>IF(BI$6="","",IF(BI$3="Maior",iferror(VLOOKUP($R313,Capa!$A:$AJ,BI$5,0),0),IF(ISERROR(1/VLOOKUP($R313,Capa!$A:$AJ,BI$5,0)),0,1/VLOOKUP($R313,Capa!$A:$AJ,BI$5,0))))</f>
        <v/>
      </c>
      <c r="BJ313" s="174" t="str">
        <f>IF(BJ$6="","",IF(BJ$3="Maior",iferror(VLOOKUP($R313,Capa!$A:$AJ,BJ$5,0),0),IF(ISERROR(1/VLOOKUP($R313,Capa!$A:$AJ,BJ$5,0)),0,1/VLOOKUP($R313,Capa!$A:$AJ,BJ$5,0))))</f>
        <v/>
      </c>
      <c r="BK313" s="174" t="str">
        <f>IF(BK$6="","",IF(BK$3="Maior",iferror(VLOOKUP($R313,Capa!$A:$AJ,BK$5,0),0),IF(ISERROR(1/VLOOKUP($R313,Capa!$A:$AJ,BK$5,0)),0,1/VLOOKUP($R313,Capa!$A:$AJ,BK$5,0))))</f>
        <v/>
      </c>
      <c r="BL313" s="174" t="str">
        <f>IF(BL$6="","",IF(BL$3="Maior",iferror(VLOOKUP($R313,Capa!$A:$AJ,BL$5,0),0),IF(ISERROR(1/VLOOKUP($R313,Capa!$A:$AJ,BL$5,0)),0,1/VLOOKUP($R313,Capa!$A:$AJ,BL$5,0))))</f>
        <v/>
      </c>
      <c r="BM313" s="174" t="str">
        <f>IF(BM$6="","",IF(BM$3="Maior",iferror(VLOOKUP($R313,Capa!$A:$AJ,BM$5,0),0),IF(ISERROR(1/VLOOKUP($R313,Capa!$A:$AJ,BM$5,0)),0,1/VLOOKUP($R313,Capa!$A:$AJ,BM$5,0))))</f>
        <v/>
      </c>
      <c r="BN313" s="174" t="str">
        <f>IF(BN$6="","",IF(BN$3="Maior",iferror(VLOOKUP($R313,Capa!$A:$AJ,BN$5,0),0),IF(ISERROR(1/VLOOKUP($R313,Capa!$A:$AJ,BN$5,0)),0,1/VLOOKUP($R313,Capa!$A:$AJ,BN$5,0))))</f>
        <v/>
      </c>
      <c r="BO313" s="174" t="str">
        <f>IF(BO$6="","",IF(BO$3="Maior",iferror(VLOOKUP($R313,Capa!$A:$AJ,BO$5,0),0),IF(ISERROR(1/VLOOKUP($R313,Capa!$A:$AJ,BO$5,0)),0,1/VLOOKUP($R313,Capa!$A:$AJ,BO$5,0))))</f>
        <v/>
      </c>
      <c r="BP313" s="174" t="str">
        <f>IF(BP$6="","",IF(BP$3="Maior",iferror(VLOOKUP($R313,Capa!$A:$AJ,BP$5,0),0),IF(ISERROR(1/VLOOKUP($R313,Capa!$A:$AJ,BP$5,0)),0,1/VLOOKUP($R313,Capa!$A:$AJ,BP$5,0))))</f>
        <v/>
      </c>
      <c r="BQ313" s="174" t="str">
        <f>IF(BQ$6="","",IF(BQ$3="Maior",iferror(VLOOKUP($R313,Capa!$A:$AJ,BQ$5,0),0),IF(ISERROR(1/VLOOKUP($R313,Capa!$A:$AJ,BQ$5,0)),0,1/VLOOKUP($R313,Capa!$A:$AJ,BQ$5,0))))</f>
        <v/>
      </c>
      <c r="BR313" s="175"/>
      <c r="BS313" s="147"/>
    </row>
    <row r="314">
      <c r="G314" s="11"/>
      <c r="H314" s="8">
        <v>308.0</v>
      </c>
      <c r="I314" s="165" t="str">
        <f t="shared" si="6"/>
        <v>TESA3</v>
      </c>
      <c r="J314" s="166" t="str">
        <f>(VLOOKUP($I314,Capa!$A:$B,2,0))</f>
        <v/>
      </c>
      <c r="K314" s="167" t="str">
        <f>VLOOKUP(left(I314,4),Setor!A:D,3,0)&amp;" | "&amp;VLOOKUP(left(I314,4),Setor!A:D,4,0)</f>
        <v>Consumo não Cíclico | Agropecuária</v>
      </c>
      <c r="L314" s="168" t="str">
        <f>(VLOOKUP($I314,Capa!$A:$F,6,0))</f>
        <v/>
      </c>
      <c r="M314" s="168">
        <f t="shared" si="7"/>
        <v>0</v>
      </c>
      <c r="N314" s="177" t="str">
        <f>(VLOOKUP($I314,Capa!$A:$H,7,0))</f>
        <v/>
      </c>
      <c r="O314" s="169" t="str">
        <f>(VLOOKUP($I314,Capa!$A:$H,8,0))</f>
        <v/>
      </c>
      <c r="P314" s="169" t="str">
        <f>(VLOOKUP($I314,Capa!$A:$J,10,0))</f>
        <v/>
      </c>
      <c r="Q314" s="169" t="str">
        <f>(VLOOKUP($I314,Capa!$A:$K,11,0))</f>
        <v/>
      </c>
      <c r="R314" s="45" t="str">
        <f>'Dados StatusInvest'!A309</f>
        <v>HBSA3</v>
      </c>
      <c r="S314" s="170">
        <f t="shared" si="234"/>
        <v>590.059</v>
      </c>
      <c r="T314" s="171">
        <f>VLOOKUP(R314,'Dados StatusInvest'!A:Z,26,0)</f>
        <v>9425819</v>
      </c>
      <c r="U314" s="172">
        <f t="shared" ref="U314:AS314" si="317">IF(AT314="","", RANK(AT314,AT$7:AT$626,0)+RANK(AT314,AT$7:AT$626,0)/10000)</f>
        <v>323.0323</v>
      </c>
      <c r="V314" s="172">
        <f t="shared" si="317"/>
        <v>267.0267</v>
      </c>
      <c r="W314" s="172" t="str">
        <f t="shared" si="317"/>
        <v/>
      </c>
      <c r="X314" s="172" t="str">
        <f t="shared" si="317"/>
        <v/>
      </c>
      <c r="Y314" s="172" t="str">
        <f t="shared" si="317"/>
        <v/>
      </c>
      <c r="Z314" s="172" t="str">
        <f t="shared" si="317"/>
        <v/>
      </c>
      <c r="AA314" s="172" t="str">
        <f t="shared" si="317"/>
        <v/>
      </c>
      <c r="AB314" s="172" t="str">
        <f t="shared" si="317"/>
        <v/>
      </c>
      <c r="AC314" s="172" t="str">
        <f t="shared" si="317"/>
        <v/>
      </c>
      <c r="AD314" s="172" t="str">
        <f t="shared" si="317"/>
        <v/>
      </c>
      <c r="AE314" s="172" t="str">
        <f t="shared" si="317"/>
        <v/>
      </c>
      <c r="AF314" s="172" t="str">
        <f t="shared" si="317"/>
        <v/>
      </c>
      <c r="AG314" s="172" t="str">
        <f t="shared" si="317"/>
        <v/>
      </c>
      <c r="AH314" s="172" t="str">
        <f t="shared" si="317"/>
        <v/>
      </c>
      <c r="AI314" s="172" t="str">
        <f t="shared" si="317"/>
        <v/>
      </c>
      <c r="AJ314" s="172" t="str">
        <f t="shared" si="317"/>
        <v/>
      </c>
      <c r="AK314" s="172" t="str">
        <f t="shared" si="317"/>
        <v/>
      </c>
      <c r="AL314" s="172" t="str">
        <f t="shared" si="317"/>
        <v/>
      </c>
      <c r="AM314" s="172" t="str">
        <f t="shared" si="317"/>
        <v/>
      </c>
      <c r="AN314" s="172" t="str">
        <f t="shared" si="317"/>
        <v/>
      </c>
      <c r="AO314" s="172" t="str">
        <f t="shared" si="317"/>
        <v/>
      </c>
      <c r="AP314" s="172" t="str">
        <f t="shared" si="317"/>
        <v/>
      </c>
      <c r="AQ314" s="172" t="str">
        <f t="shared" si="317"/>
        <v/>
      </c>
      <c r="AR314" s="172" t="str">
        <f t="shared" si="317"/>
        <v/>
      </c>
      <c r="AS314" s="172" t="str">
        <f t="shared" si="317"/>
        <v/>
      </c>
      <c r="AT314" s="173">
        <f>IF(AT$6="","",IF(AT$3="Maior",iferror(VLOOKUP($R314,Capa!$A:$AJ,AT$5,0),0),IF(ISERROR(1/VLOOKUP($R314,Capa!$A:$AJ,AT$5,0)),0,1/VLOOKUP($R314,Capa!$A:$AJ,AT$5,0))))</f>
        <v>-0.8269588588</v>
      </c>
      <c r="AU314" s="174">
        <f>IF(AU$6="","",IF(AU$3="Maior",iferror(VLOOKUP($R314,Capa!$A:$AJ,AU$5,0),0),IF(ISERROR(1/VLOOKUP($R314,Capa!$A:$AJ,AU$5,0)),0,1/VLOOKUP($R314,Capa!$A:$AJ,AU$5,0))))</f>
        <v>0</v>
      </c>
      <c r="AV314" s="174" t="str">
        <f>IF(AV$6="","",IF(AV$3="Maior",iferror(VLOOKUP($R314,Capa!$A:$AJ,AV$5,0),0),IF(ISERROR(1/VLOOKUP($R314,Capa!$A:$AJ,AV$5,0)),0,1/VLOOKUP($R314,Capa!$A:$AJ,AV$5,0))))</f>
        <v/>
      </c>
      <c r="AW314" s="174" t="str">
        <f>IF(AW$6="","",IF(AW$3="Maior",iferror(VLOOKUP($R314,Capa!$A:$AJ,AW$5,0),0),IF(ISERROR(1/VLOOKUP($R314,Capa!$A:$AJ,AW$5,0)),0,1/VLOOKUP($R314,Capa!$A:$AJ,AW$5,0))))</f>
        <v/>
      </c>
      <c r="AX314" s="174" t="str">
        <f>IF(AX$6="","",IF(AX$3="Maior",iferror(VLOOKUP($R314,Capa!$A:$AJ,AX$5,0),0),IF(ISERROR(1/VLOOKUP($R314,Capa!$A:$AJ,AX$5,0)),0,1/VLOOKUP($R314,Capa!$A:$AJ,AX$5,0))))</f>
        <v/>
      </c>
      <c r="AY314" s="174" t="str">
        <f>IF(AY$6="","",IF(AY$3="Maior",iferror(VLOOKUP($R314,Capa!$A:$AJ,AY$5,0),0),IF(ISERROR(1/VLOOKUP($R314,Capa!$A:$AJ,AY$5,0)),0,1/VLOOKUP($R314,Capa!$A:$AJ,AY$5,0))))</f>
        <v/>
      </c>
      <c r="AZ314" s="174" t="str">
        <f>IF(AZ$6="","",IF(AZ$3="Maior",iferror(VLOOKUP($R314,Capa!$A:$AJ,AZ$5,0),0),IF(ISERROR(1/VLOOKUP($R314,Capa!$A:$AJ,AZ$5,0)),0,1/VLOOKUP($R314,Capa!$A:$AJ,AZ$5,0))))</f>
        <v/>
      </c>
      <c r="BA314" s="174" t="str">
        <f>IF(BA$6="","",IF(BA$3="Maior",iferror(VLOOKUP($R314,Capa!$A:$AJ,BA$5,0),0),IF(ISERROR(1/VLOOKUP($R314,Capa!$A:$AJ,BA$5,0)),0,1/VLOOKUP($R314,Capa!$A:$AJ,BA$5,0))))</f>
        <v/>
      </c>
      <c r="BB314" s="174" t="str">
        <f>IF(BB$6="","",IF(BB$3="Maior",iferror(VLOOKUP($R314,Capa!$A:$AJ,BB$5,0),0),IF(ISERROR(1/VLOOKUP($R314,Capa!$A:$AJ,BB$5,0)),0,1/VLOOKUP($R314,Capa!$A:$AJ,BB$5,0))))</f>
        <v/>
      </c>
      <c r="BC314" s="174" t="str">
        <f>IF(BC$6="","",IF(BC$3="Maior",iferror(VLOOKUP($R314,Capa!$A:$AJ,BC$5,0),0),IF(ISERROR(1/VLOOKUP($R314,Capa!$A:$AJ,BC$5,0)),0,1/VLOOKUP($R314,Capa!$A:$AJ,BC$5,0))))</f>
        <v/>
      </c>
      <c r="BD314" s="174" t="str">
        <f>IF(BD$6="","",IF(BD$3="Maior",iferror(VLOOKUP($R314,Capa!$A:$AJ,BD$5,0),0),IF(ISERROR(1/VLOOKUP($R314,Capa!$A:$AJ,BD$5,0)),0,1/VLOOKUP($R314,Capa!$A:$AJ,BD$5,0))))</f>
        <v/>
      </c>
      <c r="BE314" s="174" t="str">
        <f>IF(BE$6="","",IF(BE$3="Maior",iferror(VLOOKUP($R314,Capa!$A:$AJ,BE$5,0),0),IF(ISERROR(1/VLOOKUP($R314,Capa!$A:$AJ,BE$5,0)),0,1/VLOOKUP($R314,Capa!$A:$AJ,BE$5,0))))</f>
        <v/>
      </c>
      <c r="BF314" s="174" t="str">
        <f>IF(BF$6="","",IF(BF$3="Maior",iferror(VLOOKUP($R314,Capa!$A:$AJ,BF$5,0),0),IF(ISERROR(1/VLOOKUP($R314,Capa!$A:$AJ,BF$5,0)),0,1/VLOOKUP($R314,Capa!$A:$AJ,BF$5,0))))</f>
        <v/>
      </c>
      <c r="BG314" s="174" t="str">
        <f>IF(BG$6="","",IF(BG$3="Maior",iferror(VLOOKUP($R314,Capa!$A:$AJ,BG$5,0),0),IF(ISERROR(1/VLOOKUP($R314,Capa!$A:$AJ,BG$5,0)),0,1/VLOOKUP($R314,Capa!$A:$AJ,BG$5,0))))</f>
        <v/>
      </c>
      <c r="BH314" s="174" t="str">
        <f>IF(BH$6="","",IF(BH$3="Maior",iferror(VLOOKUP($R314,Capa!$A:$AJ,BH$5,0),0),IF(ISERROR(1/VLOOKUP($R314,Capa!$A:$AJ,BH$5,0)),0,1/VLOOKUP($R314,Capa!$A:$AJ,BH$5,0))))</f>
        <v/>
      </c>
      <c r="BI314" s="174" t="str">
        <f>IF(BI$6="","",IF(BI$3="Maior",iferror(VLOOKUP($R314,Capa!$A:$AJ,BI$5,0),0),IF(ISERROR(1/VLOOKUP($R314,Capa!$A:$AJ,BI$5,0)),0,1/VLOOKUP($R314,Capa!$A:$AJ,BI$5,0))))</f>
        <v/>
      </c>
      <c r="BJ314" s="174" t="str">
        <f>IF(BJ$6="","",IF(BJ$3="Maior",iferror(VLOOKUP($R314,Capa!$A:$AJ,BJ$5,0),0),IF(ISERROR(1/VLOOKUP($R314,Capa!$A:$AJ,BJ$5,0)),0,1/VLOOKUP($R314,Capa!$A:$AJ,BJ$5,0))))</f>
        <v/>
      </c>
      <c r="BK314" s="174" t="str">
        <f>IF(BK$6="","",IF(BK$3="Maior",iferror(VLOOKUP($R314,Capa!$A:$AJ,BK$5,0),0),IF(ISERROR(1/VLOOKUP($R314,Capa!$A:$AJ,BK$5,0)),0,1/VLOOKUP($R314,Capa!$A:$AJ,BK$5,0))))</f>
        <v/>
      </c>
      <c r="BL314" s="174" t="str">
        <f>IF(BL$6="","",IF(BL$3="Maior",iferror(VLOOKUP($R314,Capa!$A:$AJ,BL$5,0),0),IF(ISERROR(1/VLOOKUP($R314,Capa!$A:$AJ,BL$5,0)),0,1/VLOOKUP($R314,Capa!$A:$AJ,BL$5,0))))</f>
        <v/>
      </c>
      <c r="BM314" s="174" t="str">
        <f>IF(BM$6="","",IF(BM$3="Maior",iferror(VLOOKUP($R314,Capa!$A:$AJ,BM$5,0),0),IF(ISERROR(1/VLOOKUP($R314,Capa!$A:$AJ,BM$5,0)),0,1/VLOOKUP($R314,Capa!$A:$AJ,BM$5,0))))</f>
        <v/>
      </c>
      <c r="BN314" s="174" t="str">
        <f>IF(BN$6="","",IF(BN$3="Maior",iferror(VLOOKUP($R314,Capa!$A:$AJ,BN$5,0),0),IF(ISERROR(1/VLOOKUP($R314,Capa!$A:$AJ,BN$5,0)),0,1/VLOOKUP($R314,Capa!$A:$AJ,BN$5,0))))</f>
        <v/>
      </c>
      <c r="BO314" s="174" t="str">
        <f>IF(BO$6="","",IF(BO$3="Maior",iferror(VLOOKUP($R314,Capa!$A:$AJ,BO$5,0),0),IF(ISERROR(1/VLOOKUP($R314,Capa!$A:$AJ,BO$5,0)),0,1/VLOOKUP($R314,Capa!$A:$AJ,BO$5,0))))</f>
        <v/>
      </c>
      <c r="BP314" s="174" t="str">
        <f>IF(BP$6="","",IF(BP$3="Maior",iferror(VLOOKUP($R314,Capa!$A:$AJ,BP$5,0),0),IF(ISERROR(1/VLOOKUP($R314,Capa!$A:$AJ,BP$5,0)),0,1/VLOOKUP($R314,Capa!$A:$AJ,BP$5,0))))</f>
        <v/>
      </c>
      <c r="BQ314" s="174" t="str">
        <f>IF(BQ$6="","",IF(BQ$3="Maior",iferror(VLOOKUP($R314,Capa!$A:$AJ,BQ$5,0),0),IF(ISERROR(1/VLOOKUP($R314,Capa!$A:$AJ,BQ$5,0)),0,1/VLOOKUP($R314,Capa!$A:$AJ,BQ$5,0))))</f>
        <v/>
      </c>
      <c r="BR314" s="175"/>
      <c r="BS314" s="147"/>
    </row>
    <row r="315">
      <c r="G315" s="11"/>
      <c r="H315" s="8">
        <v>309.0</v>
      </c>
      <c r="I315" s="165" t="str">
        <f t="shared" si="6"/>
        <v>PCAR4</v>
      </c>
      <c r="J315" s="166" t="str">
        <f>(VLOOKUP($I315,Capa!$A:$B,2,0))</f>
        <v/>
      </c>
      <c r="K315" s="167" t="str">
        <f>VLOOKUP(left(I315,4),Setor!A:D,3,0)&amp;" | "&amp;VLOOKUP(left(I315,4),Setor!A:D,4,0)</f>
        <v>Consumo não Cíclico | Comércio e Distribuição</v>
      </c>
      <c r="L315" s="168" t="str">
        <f>(VLOOKUP($I315,Capa!$A:$F,6,0))</f>
        <v/>
      </c>
      <c r="M315" s="168">
        <f t="shared" si="7"/>
        <v>0</v>
      </c>
      <c r="N315" s="11" t="str">
        <f>(VLOOKUP($I315,Capa!$A:$H,7,0))</f>
        <v/>
      </c>
      <c r="O315" s="169" t="str">
        <f>(VLOOKUP($I315,Capa!$A:$H,8,0))</f>
        <v/>
      </c>
      <c r="P315" s="11" t="str">
        <f>(VLOOKUP($I315,Capa!$A:$J,10,0))</f>
        <v/>
      </c>
      <c r="Q315" s="169" t="str">
        <f>(VLOOKUP($I315,Capa!$A:$K,11,0))</f>
        <v/>
      </c>
      <c r="R315" s="45" t="str">
        <f>'Dados StatusInvest'!A310</f>
        <v>HBTS3</v>
      </c>
      <c r="S315" s="170">
        <f t="shared" si="234"/>
        <v>1318.0318</v>
      </c>
      <c r="T315" s="171">
        <f>VLOOKUP(R315,'Dados StatusInvest'!A:Z,26,0)</f>
        <v>0</v>
      </c>
      <c r="U315" s="172">
        <f t="shared" ref="U315:AS315" si="318">IF(AT315="","", RANK(AT315,AT$7:AT$626,0)+RANK(AT315,AT$7:AT$626,0)/10000)</f>
        <v>51.0051</v>
      </c>
      <c r="V315" s="172">
        <f t="shared" si="318"/>
        <v>267.0267</v>
      </c>
      <c r="W315" s="172" t="str">
        <f t="shared" si="318"/>
        <v/>
      </c>
      <c r="X315" s="172" t="str">
        <f t="shared" si="318"/>
        <v/>
      </c>
      <c r="Y315" s="172" t="str">
        <f t="shared" si="318"/>
        <v/>
      </c>
      <c r="Z315" s="172" t="str">
        <f t="shared" si="318"/>
        <v/>
      </c>
      <c r="AA315" s="172" t="str">
        <f t="shared" si="318"/>
        <v/>
      </c>
      <c r="AB315" s="172" t="str">
        <f t="shared" si="318"/>
        <v/>
      </c>
      <c r="AC315" s="172" t="str">
        <f t="shared" si="318"/>
        <v/>
      </c>
      <c r="AD315" s="172" t="str">
        <f t="shared" si="318"/>
        <v/>
      </c>
      <c r="AE315" s="172" t="str">
        <f t="shared" si="318"/>
        <v/>
      </c>
      <c r="AF315" s="172" t="str">
        <f t="shared" si="318"/>
        <v/>
      </c>
      <c r="AG315" s="172" t="str">
        <f t="shared" si="318"/>
        <v/>
      </c>
      <c r="AH315" s="172" t="str">
        <f t="shared" si="318"/>
        <v/>
      </c>
      <c r="AI315" s="172" t="str">
        <f t="shared" si="318"/>
        <v/>
      </c>
      <c r="AJ315" s="172" t="str">
        <f t="shared" si="318"/>
        <v/>
      </c>
      <c r="AK315" s="172" t="str">
        <f t="shared" si="318"/>
        <v/>
      </c>
      <c r="AL315" s="172" t="str">
        <f t="shared" si="318"/>
        <v/>
      </c>
      <c r="AM315" s="172" t="str">
        <f t="shared" si="318"/>
        <v/>
      </c>
      <c r="AN315" s="172" t="str">
        <f t="shared" si="318"/>
        <v/>
      </c>
      <c r="AO315" s="172" t="str">
        <f t="shared" si="318"/>
        <v/>
      </c>
      <c r="AP315" s="172" t="str">
        <f t="shared" si="318"/>
        <v/>
      </c>
      <c r="AQ315" s="172" t="str">
        <f t="shared" si="318"/>
        <v/>
      </c>
      <c r="AR315" s="172" t="str">
        <f t="shared" si="318"/>
        <v/>
      </c>
      <c r="AS315" s="172" t="str">
        <f t="shared" si="318"/>
        <v/>
      </c>
      <c r="AT315" s="173">
        <f>IF(AT$6="","",IF(AT$3="Maior",iferror(VLOOKUP($R315,Capa!$A:$AJ,AT$5,0),0),IF(ISERROR(1/VLOOKUP($R315,Capa!$A:$AJ,AT$5,0)),0,1/VLOOKUP($R315,Capa!$A:$AJ,AT$5,0))))</f>
        <v>0</v>
      </c>
      <c r="AU315" s="174">
        <f>IF(AU$6="","",IF(AU$3="Maior",iferror(VLOOKUP($R315,Capa!$A:$AJ,AU$5,0),0),IF(ISERROR(1/VLOOKUP($R315,Capa!$A:$AJ,AU$5,0)),0,1/VLOOKUP($R315,Capa!$A:$AJ,AU$5,0))))</f>
        <v>0</v>
      </c>
      <c r="AV315" s="174" t="str">
        <f>IF(AV$6="","",IF(AV$3="Maior",iferror(VLOOKUP($R315,Capa!$A:$AJ,AV$5,0),0),IF(ISERROR(1/VLOOKUP($R315,Capa!$A:$AJ,AV$5,0)),0,1/VLOOKUP($R315,Capa!$A:$AJ,AV$5,0))))</f>
        <v/>
      </c>
      <c r="AW315" s="174" t="str">
        <f>IF(AW$6="","",IF(AW$3="Maior",iferror(VLOOKUP($R315,Capa!$A:$AJ,AW$5,0),0),IF(ISERROR(1/VLOOKUP($R315,Capa!$A:$AJ,AW$5,0)),0,1/VLOOKUP($R315,Capa!$A:$AJ,AW$5,0))))</f>
        <v/>
      </c>
      <c r="AX315" s="174" t="str">
        <f>IF(AX$6="","",IF(AX$3="Maior",iferror(VLOOKUP($R315,Capa!$A:$AJ,AX$5,0),0),IF(ISERROR(1/VLOOKUP($R315,Capa!$A:$AJ,AX$5,0)),0,1/VLOOKUP($R315,Capa!$A:$AJ,AX$5,0))))</f>
        <v/>
      </c>
      <c r="AY315" s="174" t="str">
        <f>IF(AY$6="","",IF(AY$3="Maior",iferror(VLOOKUP($R315,Capa!$A:$AJ,AY$5,0),0),IF(ISERROR(1/VLOOKUP($R315,Capa!$A:$AJ,AY$5,0)),0,1/VLOOKUP($R315,Capa!$A:$AJ,AY$5,0))))</f>
        <v/>
      </c>
      <c r="AZ315" s="174" t="str">
        <f>IF(AZ$6="","",IF(AZ$3="Maior",iferror(VLOOKUP($R315,Capa!$A:$AJ,AZ$5,0),0),IF(ISERROR(1/VLOOKUP($R315,Capa!$A:$AJ,AZ$5,0)),0,1/VLOOKUP($R315,Capa!$A:$AJ,AZ$5,0))))</f>
        <v/>
      </c>
      <c r="BA315" s="174" t="str">
        <f>IF(BA$6="","",IF(BA$3="Maior",iferror(VLOOKUP($R315,Capa!$A:$AJ,BA$5,0),0),IF(ISERROR(1/VLOOKUP($R315,Capa!$A:$AJ,BA$5,0)),0,1/VLOOKUP($R315,Capa!$A:$AJ,BA$5,0))))</f>
        <v/>
      </c>
      <c r="BB315" s="174" t="str">
        <f>IF(BB$6="","",IF(BB$3="Maior",iferror(VLOOKUP($R315,Capa!$A:$AJ,BB$5,0),0),IF(ISERROR(1/VLOOKUP($R315,Capa!$A:$AJ,BB$5,0)),0,1/VLOOKUP($R315,Capa!$A:$AJ,BB$5,0))))</f>
        <v/>
      </c>
      <c r="BC315" s="174" t="str">
        <f>IF(BC$6="","",IF(BC$3="Maior",iferror(VLOOKUP($R315,Capa!$A:$AJ,BC$5,0),0),IF(ISERROR(1/VLOOKUP($R315,Capa!$A:$AJ,BC$5,0)),0,1/VLOOKUP($R315,Capa!$A:$AJ,BC$5,0))))</f>
        <v/>
      </c>
      <c r="BD315" s="174" t="str">
        <f>IF(BD$6="","",IF(BD$3="Maior",iferror(VLOOKUP($R315,Capa!$A:$AJ,BD$5,0),0),IF(ISERROR(1/VLOOKUP($R315,Capa!$A:$AJ,BD$5,0)),0,1/VLOOKUP($R315,Capa!$A:$AJ,BD$5,0))))</f>
        <v/>
      </c>
      <c r="BE315" s="174" t="str">
        <f>IF(BE$6="","",IF(BE$3="Maior",iferror(VLOOKUP($R315,Capa!$A:$AJ,BE$5,0),0),IF(ISERROR(1/VLOOKUP($R315,Capa!$A:$AJ,BE$5,0)),0,1/VLOOKUP($R315,Capa!$A:$AJ,BE$5,0))))</f>
        <v/>
      </c>
      <c r="BF315" s="174" t="str">
        <f>IF(BF$6="","",IF(BF$3="Maior",iferror(VLOOKUP($R315,Capa!$A:$AJ,BF$5,0),0),IF(ISERROR(1/VLOOKUP($R315,Capa!$A:$AJ,BF$5,0)),0,1/VLOOKUP($R315,Capa!$A:$AJ,BF$5,0))))</f>
        <v/>
      </c>
      <c r="BG315" s="174" t="str">
        <f>IF(BG$6="","",IF(BG$3="Maior",iferror(VLOOKUP($R315,Capa!$A:$AJ,BG$5,0),0),IF(ISERROR(1/VLOOKUP($R315,Capa!$A:$AJ,BG$5,0)),0,1/VLOOKUP($R315,Capa!$A:$AJ,BG$5,0))))</f>
        <v/>
      </c>
      <c r="BH315" s="174" t="str">
        <f>IF(BH$6="","",IF(BH$3="Maior",iferror(VLOOKUP($R315,Capa!$A:$AJ,BH$5,0),0),IF(ISERROR(1/VLOOKUP($R315,Capa!$A:$AJ,BH$5,0)),0,1/VLOOKUP($R315,Capa!$A:$AJ,BH$5,0))))</f>
        <v/>
      </c>
      <c r="BI315" s="174" t="str">
        <f>IF(BI$6="","",IF(BI$3="Maior",iferror(VLOOKUP($R315,Capa!$A:$AJ,BI$5,0),0),IF(ISERROR(1/VLOOKUP($R315,Capa!$A:$AJ,BI$5,0)),0,1/VLOOKUP($R315,Capa!$A:$AJ,BI$5,0))))</f>
        <v/>
      </c>
      <c r="BJ315" s="174" t="str">
        <f>IF(BJ$6="","",IF(BJ$3="Maior",iferror(VLOOKUP($R315,Capa!$A:$AJ,BJ$5,0),0),IF(ISERROR(1/VLOOKUP($R315,Capa!$A:$AJ,BJ$5,0)),0,1/VLOOKUP($R315,Capa!$A:$AJ,BJ$5,0))))</f>
        <v/>
      </c>
      <c r="BK315" s="174" t="str">
        <f>IF(BK$6="","",IF(BK$3="Maior",iferror(VLOOKUP($R315,Capa!$A:$AJ,BK$5,0),0),IF(ISERROR(1/VLOOKUP($R315,Capa!$A:$AJ,BK$5,0)),0,1/VLOOKUP($R315,Capa!$A:$AJ,BK$5,0))))</f>
        <v/>
      </c>
      <c r="BL315" s="174" t="str">
        <f>IF(BL$6="","",IF(BL$3="Maior",iferror(VLOOKUP($R315,Capa!$A:$AJ,BL$5,0),0),IF(ISERROR(1/VLOOKUP($R315,Capa!$A:$AJ,BL$5,0)),0,1/VLOOKUP($R315,Capa!$A:$AJ,BL$5,0))))</f>
        <v/>
      </c>
      <c r="BM315" s="174" t="str">
        <f>IF(BM$6="","",IF(BM$3="Maior",iferror(VLOOKUP($R315,Capa!$A:$AJ,BM$5,0),0),IF(ISERROR(1/VLOOKUP($R315,Capa!$A:$AJ,BM$5,0)),0,1/VLOOKUP($R315,Capa!$A:$AJ,BM$5,0))))</f>
        <v/>
      </c>
      <c r="BN315" s="174" t="str">
        <f>IF(BN$6="","",IF(BN$3="Maior",iferror(VLOOKUP($R315,Capa!$A:$AJ,BN$5,0),0),IF(ISERROR(1/VLOOKUP($R315,Capa!$A:$AJ,BN$5,0)),0,1/VLOOKUP($R315,Capa!$A:$AJ,BN$5,0))))</f>
        <v/>
      </c>
      <c r="BO315" s="174" t="str">
        <f>IF(BO$6="","",IF(BO$3="Maior",iferror(VLOOKUP($R315,Capa!$A:$AJ,BO$5,0),0),IF(ISERROR(1/VLOOKUP($R315,Capa!$A:$AJ,BO$5,0)),0,1/VLOOKUP($R315,Capa!$A:$AJ,BO$5,0))))</f>
        <v/>
      </c>
      <c r="BP315" s="174" t="str">
        <f>IF(BP$6="","",IF(BP$3="Maior",iferror(VLOOKUP($R315,Capa!$A:$AJ,BP$5,0),0),IF(ISERROR(1/VLOOKUP($R315,Capa!$A:$AJ,BP$5,0)),0,1/VLOOKUP($R315,Capa!$A:$AJ,BP$5,0))))</f>
        <v/>
      </c>
      <c r="BQ315" s="174" t="str">
        <f>IF(BQ$6="","",IF(BQ$3="Maior",iferror(VLOOKUP($R315,Capa!$A:$AJ,BQ$5,0),0),IF(ISERROR(1/VLOOKUP($R315,Capa!$A:$AJ,BQ$5,0)),0,1/VLOOKUP($R315,Capa!$A:$AJ,BQ$5,0))))</f>
        <v/>
      </c>
      <c r="BR315" s="175"/>
      <c r="BS315" s="147"/>
    </row>
    <row r="316">
      <c r="G316" s="11"/>
      <c r="H316" s="8">
        <v>310.0</v>
      </c>
      <c r="I316" s="165" t="str">
        <f t="shared" si="6"/>
        <v>CNSY3</v>
      </c>
      <c r="J316" s="166" t="str">
        <f>(VLOOKUP($I316,Capa!$A:$B,2,0))</f>
        <v/>
      </c>
      <c r="K316" s="167" t="str">
        <f>VLOOKUP(left(I316,4),Setor!A:D,3,0)&amp;" | "&amp;VLOOKUP(left(I316,4),Setor!A:D,4,0)</f>
        <v>Comunicações | Mídia</v>
      </c>
      <c r="L316" s="168" t="str">
        <f>(VLOOKUP($I316,Capa!$A:$F,6,0))</f>
        <v/>
      </c>
      <c r="M316" s="168">
        <f t="shared" si="7"/>
        <v>0</v>
      </c>
      <c r="N316" s="11" t="str">
        <f>(VLOOKUP($I316,Capa!$A:$H,7,0))</f>
        <v/>
      </c>
      <c r="O316" s="169" t="str">
        <f>(VLOOKUP($I316,Capa!$A:$H,8,0))</f>
        <v/>
      </c>
      <c r="P316" s="11" t="str">
        <f>(VLOOKUP($I316,Capa!$A:$J,10,0))</f>
        <v/>
      </c>
      <c r="Q316" s="169" t="str">
        <f>(VLOOKUP($I316,Capa!$A:$K,11,0))</f>
        <v/>
      </c>
      <c r="R316" s="45" t="str">
        <f>'Dados StatusInvest'!A311</f>
        <v>HBTS5</v>
      </c>
      <c r="S316" s="170">
        <f t="shared" si="234"/>
        <v>1804.0804</v>
      </c>
      <c r="T316" s="171">
        <f>VLOOKUP(R316,'Dados StatusInvest'!A:Z,26,0)</f>
        <v>4284.21</v>
      </c>
      <c r="U316" s="172">
        <f t="shared" ref="U316:AS316" si="319">IF(AT316="","", RANK(AT316,AT$7:AT$626,0)+RANK(AT316,AT$7:AT$626,0)/10000)</f>
        <v>537.0537</v>
      </c>
      <c r="V316" s="172">
        <f t="shared" si="319"/>
        <v>267.0267</v>
      </c>
      <c r="W316" s="172" t="str">
        <f t="shared" si="319"/>
        <v/>
      </c>
      <c r="X316" s="172" t="str">
        <f t="shared" si="319"/>
        <v/>
      </c>
      <c r="Y316" s="172" t="str">
        <f t="shared" si="319"/>
        <v/>
      </c>
      <c r="Z316" s="172" t="str">
        <f t="shared" si="319"/>
        <v/>
      </c>
      <c r="AA316" s="172" t="str">
        <f t="shared" si="319"/>
        <v/>
      </c>
      <c r="AB316" s="172" t="str">
        <f t="shared" si="319"/>
        <v/>
      </c>
      <c r="AC316" s="172" t="str">
        <f t="shared" si="319"/>
        <v/>
      </c>
      <c r="AD316" s="172" t="str">
        <f t="shared" si="319"/>
        <v/>
      </c>
      <c r="AE316" s="172" t="str">
        <f t="shared" si="319"/>
        <v/>
      </c>
      <c r="AF316" s="172" t="str">
        <f t="shared" si="319"/>
        <v/>
      </c>
      <c r="AG316" s="172" t="str">
        <f t="shared" si="319"/>
        <v/>
      </c>
      <c r="AH316" s="172" t="str">
        <f t="shared" si="319"/>
        <v/>
      </c>
      <c r="AI316" s="172" t="str">
        <f t="shared" si="319"/>
        <v/>
      </c>
      <c r="AJ316" s="172" t="str">
        <f t="shared" si="319"/>
        <v/>
      </c>
      <c r="AK316" s="172" t="str">
        <f t="shared" si="319"/>
        <v/>
      </c>
      <c r="AL316" s="172" t="str">
        <f t="shared" si="319"/>
        <v/>
      </c>
      <c r="AM316" s="172" t="str">
        <f t="shared" si="319"/>
        <v/>
      </c>
      <c r="AN316" s="172" t="str">
        <f t="shared" si="319"/>
        <v/>
      </c>
      <c r="AO316" s="172" t="str">
        <f t="shared" si="319"/>
        <v/>
      </c>
      <c r="AP316" s="172" t="str">
        <f t="shared" si="319"/>
        <v/>
      </c>
      <c r="AQ316" s="172" t="str">
        <f t="shared" si="319"/>
        <v/>
      </c>
      <c r="AR316" s="172" t="str">
        <f t="shared" si="319"/>
        <v/>
      </c>
      <c r="AS316" s="172" t="str">
        <f t="shared" si="319"/>
        <v/>
      </c>
      <c r="AT316" s="173">
        <f>IF(AT$6="","",IF(AT$3="Maior",iferror(VLOOKUP($R316,Capa!$A:$AJ,AT$5,0),0),IF(ISERROR(1/VLOOKUP($R316,Capa!$A:$AJ,AT$5,0)),0,1/VLOOKUP($R316,Capa!$A:$AJ,AT$5,0))))</f>
        <v>-4.545454545</v>
      </c>
      <c r="AU316" s="174">
        <f>IF(AU$6="","",IF(AU$3="Maior",iferror(VLOOKUP($R316,Capa!$A:$AJ,AU$5,0),0),IF(ISERROR(1/VLOOKUP($R316,Capa!$A:$AJ,AU$5,0)),0,1/VLOOKUP($R316,Capa!$A:$AJ,AU$5,0))))</f>
        <v>0</v>
      </c>
      <c r="AV316" s="174" t="str">
        <f>IF(AV$6="","",IF(AV$3="Maior",iferror(VLOOKUP($R316,Capa!$A:$AJ,AV$5,0),0),IF(ISERROR(1/VLOOKUP($R316,Capa!$A:$AJ,AV$5,0)),0,1/VLOOKUP($R316,Capa!$A:$AJ,AV$5,0))))</f>
        <v/>
      </c>
      <c r="AW316" s="174" t="str">
        <f>IF(AW$6="","",IF(AW$3="Maior",iferror(VLOOKUP($R316,Capa!$A:$AJ,AW$5,0),0),IF(ISERROR(1/VLOOKUP($R316,Capa!$A:$AJ,AW$5,0)),0,1/VLOOKUP($R316,Capa!$A:$AJ,AW$5,0))))</f>
        <v/>
      </c>
      <c r="AX316" s="174" t="str">
        <f>IF(AX$6="","",IF(AX$3="Maior",iferror(VLOOKUP($R316,Capa!$A:$AJ,AX$5,0),0),IF(ISERROR(1/VLOOKUP($R316,Capa!$A:$AJ,AX$5,0)),0,1/VLOOKUP($R316,Capa!$A:$AJ,AX$5,0))))</f>
        <v/>
      </c>
      <c r="AY316" s="174" t="str">
        <f>IF(AY$6="","",IF(AY$3="Maior",iferror(VLOOKUP($R316,Capa!$A:$AJ,AY$5,0),0),IF(ISERROR(1/VLOOKUP($R316,Capa!$A:$AJ,AY$5,0)),0,1/VLOOKUP($R316,Capa!$A:$AJ,AY$5,0))))</f>
        <v/>
      </c>
      <c r="AZ316" s="174" t="str">
        <f>IF(AZ$6="","",IF(AZ$3="Maior",iferror(VLOOKUP($R316,Capa!$A:$AJ,AZ$5,0),0),IF(ISERROR(1/VLOOKUP($R316,Capa!$A:$AJ,AZ$5,0)),0,1/VLOOKUP($R316,Capa!$A:$AJ,AZ$5,0))))</f>
        <v/>
      </c>
      <c r="BA316" s="174" t="str">
        <f>IF(BA$6="","",IF(BA$3="Maior",iferror(VLOOKUP($R316,Capa!$A:$AJ,BA$5,0),0),IF(ISERROR(1/VLOOKUP($R316,Capa!$A:$AJ,BA$5,0)),0,1/VLOOKUP($R316,Capa!$A:$AJ,BA$5,0))))</f>
        <v/>
      </c>
      <c r="BB316" s="174" t="str">
        <f>IF(BB$6="","",IF(BB$3="Maior",iferror(VLOOKUP($R316,Capa!$A:$AJ,BB$5,0),0),IF(ISERROR(1/VLOOKUP($R316,Capa!$A:$AJ,BB$5,0)),0,1/VLOOKUP($R316,Capa!$A:$AJ,BB$5,0))))</f>
        <v/>
      </c>
      <c r="BC316" s="174" t="str">
        <f>IF(BC$6="","",IF(BC$3="Maior",iferror(VLOOKUP($R316,Capa!$A:$AJ,BC$5,0),0),IF(ISERROR(1/VLOOKUP($R316,Capa!$A:$AJ,BC$5,0)),0,1/VLOOKUP($R316,Capa!$A:$AJ,BC$5,0))))</f>
        <v/>
      </c>
      <c r="BD316" s="174" t="str">
        <f>IF(BD$6="","",IF(BD$3="Maior",iferror(VLOOKUP($R316,Capa!$A:$AJ,BD$5,0),0),IF(ISERROR(1/VLOOKUP($R316,Capa!$A:$AJ,BD$5,0)),0,1/VLOOKUP($R316,Capa!$A:$AJ,BD$5,0))))</f>
        <v/>
      </c>
      <c r="BE316" s="174" t="str">
        <f>IF(BE$6="","",IF(BE$3="Maior",iferror(VLOOKUP($R316,Capa!$A:$AJ,BE$5,0),0),IF(ISERROR(1/VLOOKUP($R316,Capa!$A:$AJ,BE$5,0)),0,1/VLOOKUP($R316,Capa!$A:$AJ,BE$5,0))))</f>
        <v/>
      </c>
      <c r="BF316" s="174" t="str">
        <f>IF(BF$6="","",IF(BF$3="Maior",iferror(VLOOKUP($R316,Capa!$A:$AJ,BF$5,0),0),IF(ISERROR(1/VLOOKUP($R316,Capa!$A:$AJ,BF$5,0)),0,1/VLOOKUP($R316,Capa!$A:$AJ,BF$5,0))))</f>
        <v/>
      </c>
      <c r="BG316" s="174" t="str">
        <f>IF(BG$6="","",IF(BG$3="Maior",iferror(VLOOKUP($R316,Capa!$A:$AJ,BG$5,0),0),IF(ISERROR(1/VLOOKUP($R316,Capa!$A:$AJ,BG$5,0)),0,1/VLOOKUP($R316,Capa!$A:$AJ,BG$5,0))))</f>
        <v/>
      </c>
      <c r="BH316" s="174" t="str">
        <f>IF(BH$6="","",IF(BH$3="Maior",iferror(VLOOKUP($R316,Capa!$A:$AJ,BH$5,0),0),IF(ISERROR(1/VLOOKUP($R316,Capa!$A:$AJ,BH$5,0)),0,1/VLOOKUP($R316,Capa!$A:$AJ,BH$5,0))))</f>
        <v/>
      </c>
      <c r="BI316" s="174" t="str">
        <f>IF(BI$6="","",IF(BI$3="Maior",iferror(VLOOKUP($R316,Capa!$A:$AJ,BI$5,0),0),IF(ISERROR(1/VLOOKUP($R316,Capa!$A:$AJ,BI$5,0)),0,1/VLOOKUP($R316,Capa!$A:$AJ,BI$5,0))))</f>
        <v/>
      </c>
      <c r="BJ316" s="174" t="str">
        <f>IF(BJ$6="","",IF(BJ$3="Maior",iferror(VLOOKUP($R316,Capa!$A:$AJ,BJ$5,0),0),IF(ISERROR(1/VLOOKUP($R316,Capa!$A:$AJ,BJ$5,0)),0,1/VLOOKUP($R316,Capa!$A:$AJ,BJ$5,0))))</f>
        <v/>
      </c>
      <c r="BK316" s="174" t="str">
        <f>IF(BK$6="","",IF(BK$3="Maior",iferror(VLOOKUP($R316,Capa!$A:$AJ,BK$5,0),0),IF(ISERROR(1/VLOOKUP($R316,Capa!$A:$AJ,BK$5,0)),0,1/VLOOKUP($R316,Capa!$A:$AJ,BK$5,0))))</f>
        <v/>
      </c>
      <c r="BL316" s="174" t="str">
        <f>IF(BL$6="","",IF(BL$3="Maior",iferror(VLOOKUP($R316,Capa!$A:$AJ,BL$5,0),0),IF(ISERROR(1/VLOOKUP($R316,Capa!$A:$AJ,BL$5,0)),0,1/VLOOKUP($R316,Capa!$A:$AJ,BL$5,0))))</f>
        <v/>
      </c>
      <c r="BM316" s="174" t="str">
        <f>IF(BM$6="","",IF(BM$3="Maior",iferror(VLOOKUP($R316,Capa!$A:$AJ,BM$5,0),0),IF(ISERROR(1/VLOOKUP($R316,Capa!$A:$AJ,BM$5,0)),0,1/VLOOKUP($R316,Capa!$A:$AJ,BM$5,0))))</f>
        <v/>
      </c>
      <c r="BN316" s="174" t="str">
        <f>IF(BN$6="","",IF(BN$3="Maior",iferror(VLOOKUP($R316,Capa!$A:$AJ,BN$5,0),0),IF(ISERROR(1/VLOOKUP($R316,Capa!$A:$AJ,BN$5,0)),0,1/VLOOKUP($R316,Capa!$A:$AJ,BN$5,0))))</f>
        <v/>
      </c>
      <c r="BO316" s="174" t="str">
        <f>IF(BO$6="","",IF(BO$3="Maior",iferror(VLOOKUP($R316,Capa!$A:$AJ,BO$5,0),0),IF(ISERROR(1/VLOOKUP($R316,Capa!$A:$AJ,BO$5,0)),0,1/VLOOKUP($R316,Capa!$A:$AJ,BO$5,0))))</f>
        <v/>
      </c>
      <c r="BP316" s="174" t="str">
        <f>IF(BP$6="","",IF(BP$3="Maior",iferror(VLOOKUP($R316,Capa!$A:$AJ,BP$5,0),0),IF(ISERROR(1/VLOOKUP($R316,Capa!$A:$AJ,BP$5,0)),0,1/VLOOKUP($R316,Capa!$A:$AJ,BP$5,0))))</f>
        <v/>
      </c>
      <c r="BQ316" s="174" t="str">
        <f>IF(BQ$6="","",IF(BQ$3="Maior",iferror(VLOOKUP($R316,Capa!$A:$AJ,BQ$5,0),0),IF(ISERROR(1/VLOOKUP($R316,Capa!$A:$AJ,BQ$5,0)),0,1/VLOOKUP($R316,Capa!$A:$AJ,BQ$5,0))))</f>
        <v/>
      </c>
      <c r="BR316" s="175"/>
      <c r="BS316" s="147"/>
    </row>
    <row r="317">
      <c r="G317" s="11"/>
      <c r="H317" s="8">
        <v>311.0</v>
      </c>
      <c r="I317" s="165" t="str">
        <f t="shared" si="6"/>
        <v>MSRO3</v>
      </c>
      <c r="J317" s="166" t="str">
        <f>(VLOOKUP($I317,Capa!$A:$B,2,0))</f>
        <v/>
      </c>
      <c r="K317" s="167" t="str">
        <f>VLOOKUP(left(I317,4),Setor!A:D,3,0)&amp;" | "&amp;VLOOKUP(left(I317,4),Setor!A:D,4,0)</f>
        <v>Consumo Cíclico | Diversos</v>
      </c>
      <c r="L317" s="168" t="str">
        <f>(VLOOKUP($I317,Capa!$A:$F,6,0))</f>
        <v/>
      </c>
      <c r="M317" s="168">
        <f t="shared" si="7"/>
        <v>0</v>
      </c>
      <c r="N317" s="11" t="str">
        <f>(VLOOKUP($I317,Capa!$A:$H,7,0))</f>
        <v/>
      </c>
      <c r="O317" s="169" t="str">
        <f>(VLOOKUP($I317,Capa!$A:$H,8,0))</f>
        <v/>
      </c>
      <c r="P317" s="11" t="str">
        <f>(VLOOKUP($I317,Capa!$A:$J,10,0))</f>
        <v/>
      </c>
      <c r="Q317" s="169" t="str">
        <f>(VLOOKUP($I317,Capa!$A:$K,11,0))</f>
        <v/>
      </c>
      <c r="R317" s="45" t="str">
        <f>'Dados StatusInvest'!A312</f>
        <v>HBTS6</v>
      </c>
      <c r="S317" s="170">
        <f t="shared" si="234"/>
        <v>1318.0318</v>
      </c>
      <c r="T317" s="171">
        <f>VLOOKUP(R317,'Dados StatusInvest'!A:Z,26,0)</f>
        <v>0</v>
      </c>
      <c r="U317" s="172">
        <f t="shared" ref="U317:AS317" si="320">IF(AT317="","", RANK(AT317,AT$7:AT$626,0)+RANK(AT317,AT$7:AT$626,0)/10000)</f>
        <v>51.0051</v>
      </c>
      <c r="V317" s="172">
        <f t="shared" si="320"/>
        <v>267.0267</v>
      </c>
      <c r="W317" s="172" t="str">
        <f t="shared" si="320"/>
        <v/>
      </c>
      <c r="X317" s="172" t="str">
        <f t="shared" si="320"/>
        <v/>
      </c>
      <c r="Y317" s="172" t="str">
        <f t="shared" si="320"/>
        <v/>
      </c>
      <c r="Z317" s="172" t="str">
        <f t="shared" si="320"/>
        <v/>
      </c>
      <c r="AA317" s="172" t="str">
        <f t="shared" si="320"/>
        <v/>
      </c>
      <c r="AB317" s="172" t="str">
        <f t="shared" si="320"/>
        <v/>
      </c>
      <c r="AC317" s="172" t="str">
        <f t="shared" si="320"/>
        <v/>
      </c>
      <c r="AD317" s="172" t="str">
        <f t="shared" si="320"/>
        <v/>
      </c>
      <c r="AE317" s="172" t="str">
        <f t="shared" si="320"/>
        <v/>
      </c>
      <c r="AF317" s="172" t="str">
        <f t="shared" si="320"/>
        <v/>
      </c>
      <c r="AG317" s="172" t="str">
        <f t="shared" si="320"/>
        <v/>
      </c>
      <c r="AH317" s="172" t="str">
        <f t="shared" si="320"/>
        <v/>
      </c>
      <c r="AI317" s="172" t="str">
        <f t="shared" si="320"/>
        <v/>
      </c>
      <c r="AJ317" s="172" t="str">
        <f t="shared" si="320"/>
        <v/>
      </c>
      <c r="AK317" s="172" t="str">
        <f t="shared" si="320"/>
        <v/>
      </c>
      <c r="AL317" s="172" t="str">
        <f t="shared" si="320"/>
        <v/>
      </c>
      <c r="AM317" s="172" t="str">
        <f t="shared" si="320"/>
        <v/>
      </c>
      <c r="AN317" s="172" t="str">
        <f t="shared" si="320"/>
        <v/>
      </c>
      <c r="AO317" s="172" t="str">
        <f t="shared" si="320"/>
        <v/>
      </c>
      <c r="AP317" s="172" t="str">
        <f t="shared" si="320"/>
        <v/>
      </c>
      <c r="AQ317" s="172" t="str">
        <f t="shared" si="320"/>
        <v/>
      </c>
      <c r="AR317" s="172" t="str">
        <f t="shared" si="320"/>
        <v/>
      </c>
      <c r="AS317" s="172" t="str">
        <f t="shared" si="320"/>
        <v/>
      </c>
      <c r="AT317" s="173">
        <f>IF(AT$6="","",IF(AT$3="Maior",iferror(VLOOKUP($R317,Capa!$A:$AJ,AT$5,0),0),IF(ISERROR(1/VLOOKUP($R317,Capa!$A:$AJ,AT$5,0)),0,1/VLOOKUP($R317,Capa!$A:$AJ,AT$5,0))))</f>
        <v>0</v>
      </c>
      <c r="AU317" s="174">
        <f>IF(AU$6="","",IF(AU$3="Maior",iferror(VLOOKUP($R317,Capa!$A:$AJ,AU$5,0),0),IF(ISERROR(1/VLOOKUP($R317,Capa!$A:$AJ,AU$5,0)),0,1/VLOOKUP($R317,Capa!$A:$AJ,AU$5,0))))</f>
        <v>0</v>
      </c>
      <c r="AV317" s="174" t="str">
        <f>IF(AV$6="","",IF(AV$3="Maior",iferror(VLOOKUP($R317,Capa!$A:$AJ,AV$5,0),0),IF(ISERROR(1/VLOOKUP($R317,Capa!$A:$AJ,AV$5,0)),0,1/VLOOKUP($R317,Capa!$A:$AJ,AV$5,0))))</f>
        <v/>
      </c>
      <c r="AW317" s="174" t="str">
        <f>IF(AW$6="","",IF(AW$3="Maior",iferror(VLOOKUP($R317,Capa!$A:$AJ,AW$5,0),0),IF(ISERROR(1/VLOOKUP($R317,Capa!$A:$AJ,AW$5,0)),0,1/VLOOKUP($R317,Capa!$A:$AJ,AW$5,0))))</f>
        <v/>
      </c>
      <c r="AX317" s="174" t="str">
        <f>IF(AX$6="","",IF(AX$3="Maior",iferror(VLOOKUP($R317,Capa!$A:$AJ,AX$5,0),0),IF(ISERROR(1/VLOOKUP($R317,Capa!$A:$AJ,AX$5,0)),0,1/VLOOKUP($R317,Capa!$A:$AJ,AX$5,0))))</f>
        <v/>
      </c>
      <c r="AY317" s="174" t="str">
        <f>IF(AY$6="","",IF(AY$3="Maior",iferror(VLOOKUP($R317,Capa!$A:$AJ,AY$5,0),0),IF(ISERROR(1/VLOOKUP($R317,Capa!$A:$AJ,AY$5,0)),0,1/VLOOKUP($R317,Capa!$A:$AJ,AY$5,0))))</f>
        <v/>
      </c>
      <c r="AZ317" s="174" t="str">
        <f>IF(AZ$6="","",IF(AZ$3="Maior",iferror(VLOOKUP($R317,Capa!$A:$AJ,AZ$5,0),0),IF(ISERROR(1/VLOOKUP($R317,Capa!$A:$AJ,AZ$5,0)),0,1/VLOOKUP($R317,Capa!$A:$AJ,AZ$5,0))))</f>
        <v/>
      </c>
      <c r="BA317" s="174" t="str">
        <f>IF(BA$6="","",IF(BA$3="Maior",iferror(VLOOKUP($R317,Capa!$A:$AJ,BA$5,0),0),IF(ISERROR(1/VLOOKUP($R317,Capa!$A:$AJ,BA$5,0)),0,1/VLOOKUP($R317,Capa!$A:$AJ,BA$5,0))))</f>
        <v/>
      </c>
      <c r="BB317" s="174" t="str">
        <f>IF(BB$6="","",IF(BB$3="Maior",iferror(VLOOKUP($R317,Capa!$A:$AJ,BB$5,0),0),IF(ISERROR(1/VLOOKUP($R317,Capa!$A:$AJ,BB$5,0)),0,1/VLOOKUP($R317,Capa!$A:$AJ,BB$5,0))))</f>
        <v/>
      </c>
      <c r="BC317" s="174" t="str">
        <f>IF(BC$6="","",IF(BC$3="Maior",iferror(VLOOKUP($R317,Capa!$A:$AJ,BC$5,0),0),IF(ISERROR(1/VLOOKUP($R317,Capa!$A:$AJ,BC$5,0)),0,1/VLOOKUP($R317,Capa!$A:$AJ,BC$5,0))))</f>
        <v/>
      </c>
      <c r="BD317" s="174" t="str">
        <f>IF(BD$6="","",IF(BD$3="Maior",iferror(VLOOKUP($R317,Capa!$A:$AJ,BD$5,0),0),IF(ISERROR(1/VLOOKUP($R317,Capa!$A:$AJ,BD$5,0)),0,1/VLOOKUP($R317,Capa!$A:$AJ,BD$5,0))))</f>
        <v/>
      </c>
      <c r="BE317" s="174" t="str">
        <f>IF(BE$6="","",IF(BE$3="Maior",iferror(VLOOKUP($R317,Capa!$A:$AJ,BE$5,0),0),IF(ISERROR(1/VLOOKUP($R317,Capa!$A:$AJ,BE$5,0)),0,1/VLOOKUP($R317,Capa!$A:$AJ,BE$5,0))))</f>
        <v/>
      </c>
      <c r="BF317" s="174" t="str">
        <f>IF(BF$6="","",IF(BF$3="Maior",iferror(VLOOKUP($R317,Capa!$A:$AJ,BF$5,0),0),IF(ISERROR(1/VLOOKUP($R317,Capa!$A:$AJ,BF$5,0)),0,1/VLOOKUP($R317,Capa!$A:$AJ,BF$5,0))))</f>
        <v/>
      </c>
      <c r="BG317" s="174" t="str">
        <f>IF(BG$6="","",IF(BG$3="Maior",iferror(VLOOKUP($R317,Capa!$A:$AJ,BG$5,0),0),IF(ISERROR(1/VLOOKUP($R317,Capa!$A:$AJ,BG$5,0)),0,1/VLOOKUP($R317,Capa!$A:$AJ,BG$5,0))))</f>
        <v/>
      </c>
      <c r="BH317" s="174" t="str">
        <f>IF(BH$6="","",IF(BH$3="Maior",iferror(VLOOKUP($R317,Capa!$A:$AJ,BH$5,0),0),IF(ISERROR(1/VLOOKUP($R317,Capa!$A:$AJ,BH$5,0)),0,1/VLOOKUP($R317,Capa!$A:$AJ,BH$5,0))))</f>
        <v/>
      </c>
      <c r="BI317" s="174" t="str">
        <f>IF(BI$6="","",IF(BI$3="Maior",iferror(VLOOKUP($R317,Capa!$A:$AJ,BI$5,0),0),IF(ISERROR(1/VLOOKUP($R317,Capa!$A:$AJ,BI$5,0)),0,1/VLOOKUP($R317,Capa!$A:$AJ,BI$5,0))))</f>
        <v/>
      </c>
      <c r="BJ317" s="174" t="str">
        <f>IF(BJ$6="","",IF(BJ$3="Maior",iferror(VLOOKUP($R317,Capa!$A:$AJ,BJ$5,0),0),IF(ISERROR(1/VLOOKUP($R317,Capa!$A:$AJ,BJ$5,0)),0,1/VLOOKUP($R317,Capa!$A:$AJ,BJ$5,0))))</f>
        <v/>
      </c>
      <c r="BK317" s="174" t="str">
        <f>IF(BK$6="","",IF(BK$3="Maior",iferror(VLOOKUP($R317,Capa!$A:$AJ,BK$5,0),0),IF(ISERROR(1/VLOOKUP($R317,Capa!$A:$AJ,BK$5,0)),0,1/VLOOKUP($R317,Capa!$A:$AJ,BK$5,0))))</f>
        <v/>
      </c>
      <c r="BL317" s="174" t="str">
        <f>IF(BL$6="","",IF(BL$3="Maior",iferror(VLOOKUP($R317,Capa!$A:$AJ,BL$5,0),0),IF(ISERROR(1/VLOOKUP($R317,Capa!$A:$AJ,BL$5,0)),0,1/VLOOKUP($R317,Capa!$A:$AJ,BL$5,0))))</f>
        <v/>
      </c>
      <c r="BM317" s="174" t="str">
        <f>IF(BM$6="","",IF(BM$3="Maior",iferror(VLOOKUP($R317,Capa!$A:$AJ,BM$5,0),0),IF(ISERROR(1/VLOOKUP($R317,Capa!$A:$AJ,BM$5,0)),0,1/VLOOKUP($R317,Capa!$A:$AJ,BM$5,0))))</f>
        <v/>
      </c>
      <c r="BN317" s="174" t="str">
        <f>IF(BN$6="","",IF(BN$3="Maior",iferror(VLOOKUP($R317,Capa!$A:$AJ,BN$5,0),0),IF(ISERROR(1/VLOOKUP($R317,Capa!$A:$AJ,BN$5,0)),0,1/VLOOKUP($R317,Capa!$A:$AJ,BN$5,0))))</f>
        <v/>
      </c>
      <c r="BO317" s="174" t="str">
        <f>IF(BO$6="","",IF(BO$3="Maior",iferror(VLOOKUP($R317,Capa!$A:$AJ,BO$5,0),0),IF(ISERROR(1/VLOOKUP($R317,Capa!$A:$AJ,BO$5,0)),0,1/VLOOKUP($R317,Capa!$A:$AJ,BO$5,0))))</f>
        <v/>
      </c>
      <c r="BP317" s="174" t="str">
        <f>IF(BP$6="","",IF(BP$3="Maior",iferror(VLOOKUP($R317,Capa!$A:$AJ,BP$5,0),0),IF(ISERROR(1/VLOOKUP($R317,Capa!$A:$AJ,BP$5,0)),0,1/VLOOKUP($R317,Capa!$A:$AJ,BP$5,0))))</f>
        <v/>
      </c>
      <c r="BQ317" s="174" t="str">
        <f>IF(BQ$6="","",IF(BQ$3="Maior",iferror(VLOOKUP($R317,Capa!$A:$AJ,BQ$5,0),0),IF(ISERROR(1/VLOOKUP($R317,Capa!$A:$AJ,BQ$5,0)),0,1/VLOOKUP($R317,Capa!$A:$AJ,BQ$5,0))))</f>
        <v/>
      </c>
      <c r="BR317" s="175"/>
      <c r="BS317" s="147"/>
    </row>
    <row r="318">
      <c r="G318" s="11"/>
      <c r="H318" s="8">
        <v>312.0</v>
      </c>
      <c r="I318" s="165" t="str">
        <f t="shared" si="6"/>
        <v>EMAE3</v>
      </c>
      <c r="J318" s="166" t="str">
        <f>(VLOOKUP($I318,Capa!$A:$B,2,0))</f>
        <v>EMAE Empresa Metropltn de Agus e Enrg SA</v>
      </c>
      <c r="K318" s="167" t="str">
        <f>VLOOKUP(left(I318,4),Setor!A:D,3,0)&amp;" | "&amp;VLOOKUP(left(I318,4),Setor!A:D,4,0)</f>
        <v>Utilidade Pública | Energia Elétrica</v>
      </c>
      <c r="L318" s="168">
        <f>(VLOOKUP($I318,Capa!$A:$F,6,0))</f>
        <v>150</v>
      </c>
      <c r="M318" s="168">
        <f t="shared" si="7"/>
        <v>0</v>
      </c>
      <c r="N318" s="11" t="str">
        <f>(VLOOKUP($I318,Capa!$A:$H,7,0))</f>
        <v/>
      </c>
      <c r="O318" s="169" t="str">
        <f>(VLOOKUP($I318,Capa!$A:$H,8,0))</f>
        <v/>
      </c>
      <c r="P318" s="11" t="str">
        <f>IFERROR(__xludf.DUMMYFUNCTION("(VLOOKUP($I318,Capa!$A:$J,10,0))"),"")</f>
        <v/>
      </c>
      <c r="Q318" s="169" t="str">
        <f>(VLOOKUP($I318,Capa!$A:$K,11,0))</f>
        <v/>
      </c>
      <c r="R318" s="45" t="str">
        <f>'Dados StatusInvest'!A313</f>
        <v>HETA3</v>
      </c>
      <c r="S318" s="170">
        <f t="shared" si="234"/>
        <v>1775.0775</v>
      </c>
      <c r="T318" s="171">
        <f>VLOOKUP(R318,'Dados StatusInvest'!A:Z,26,0)</f>
        <v>0</v>
      </c>
      <c r="U318" s="172">
        <f t="shared" ref="U318:AS318" si="321">IF(AT318="","", RANK(AT318,AT$7:AT$626,0)+RANK(AT318,AT$7:AT$626,0)/10000)</f>
        <v>176.0176</v>
      </c>
      <c r="V318" s="172">
        <f t="shared" si="321"/>
        <v>599.0599</v>
      </c>
      <c r="W318" s="172" t="str">
        <f t="shared" si="321"/>
        <v/>
      </c>
      <c r="X318" s="172" t="str">
        <f t="shared" si="321"/>
        <v/>
      </c>
      <c r="Y318" s="172" t="str">
        <f t="shared" si="321"/>
        <v/>
      </c>
      <c r="Z318" s="172" t="str">
        <f t="shared" si="321"/>
        <v/>
      </c>
      <c r="AA318" s="172" t="str">
        <f t="shared" si="321"/>
        <v/>
      </c>
      <c r="AB318" s="172" t="str">
        <f t="shared" si="321"/>
        <v/>
      </c>
      <c r="AC318" s="172" t="str">
        <f t="shared" si="321"/>
        <v/>
      </c>
      <c r="AD318" s="172" t="str">
        <f t="shared" si="321"/>
        <v/>
      </c>
      <c r="AE318" s="172" t="str">
        <f t="shared" si="321"/>
        <v/>
      </c>
      <c r="AF318" s="172" t="str">
        <f t="shared" si="321"/>
        <v/>
      </c>
      <c r="AG318" s="172" t="str">
        <f t="shared" si="321"/>
        <v/>
      </c>
      <c r="AH318" s="172" t="str">
        <f t="shared" si="321"/>
        <v/>
      </c>
      <c r="AI318" s="172" t="str">
        <f t="shared" si="321"/>
        <v/>
      </c>
      <c r="AJ318" s="172" t="str">
        <f t="shared" si="321"/>
        <v/>
      </c>
      <c r="AK318" s="172" t="str">
        <f t="shared" si="321"/>
        <v/>
      </c>
      <c r="AL318" s="172" t="str">
        <f t="shared" si="321"/>
        <v/>
      </c>
      <c r="AM318" s="172" t="str">
        <f t="shared" si="321"/>
        <v/>
      </c>
      <c r="AN318" s="172" t="str">
        <f t="shared" si="321"/>
        <v/>
      </c>
      <c r="AO318" s="172" t="str">
        <f t="shared" si="321"/>
        <v/>
      </c>
      <c r="AP318" s="172" t="str">
        <f t="shared" si="321"/>
        <v/>
      </c>
      <c r="AQ318" s="172" t="str">
        <f t="shared" si="321"/>
        <v/>
      </c>
      <c r="AR318" s="172" t="str">
        <f t="shared" si="321"/>
        <v/>
      </c>
      <c r="AS318" s="172" t="str">
        <f t="shared" si="321"/>
        <v/>
      </c>
      <c r="AT318" s="173">
        <f>IF(AT$6="","",IF(AT$3="Maior",iferror(VLOOKUP($R318,Capa!$A:$AJ,AT$5,0),0),IF(ISERROR(1/VLOOKUP($R318,Capa!$A:$AJ,AT$5,0)),0,1/VLOOKUP($R318,Capa!$A:$AJ,AT$5,0))))</f>
        <v>-0.2105263158</v>
      </c>
      <c r="AU318" s="174">
        <f>IF(AU$6="","",IF(AU$3="Maior",iferror(VLOOKUP($R318,Capa!$A:$AJ,AU$5,0),0),IF(ISERROR(1/VLOOKUP($R318,Capa!$A:$AJ,AU$5,0)),0,1/VLOOKUP($R318,Capa!$A:$AJ,AU$5,0))))</f>
        <v>-20.33</v>
      </c>
      <c r="AV318" s="174" t="str">
        <f>IF(AV$6="","",IF(AV$3="Maior",iferror(VLOOKUP($R318,Capa!$A:$AJ,AV$5,0),0),IF(ISERROR(1/VLOOKUP($R318,Capa!$A:$AJ,AV$5,0)),0,1/VLOOKUP($R318,Capa!$A:$AJ,AV$5,0))))</f>
        <v/>
      </c>
      <c r="AW318" s="174" t="str">
        <f>IF(AW$6="","",IF(AW$3="Maior",iferror(VLOOKUP($R318,Capa!$A:$AJ,AW$5,0),0),IF(ISERROR(1/VLOOKUP($R318,Capa!$A:$AJ,AW$5,0)),0,1/VLOOKUP($R318,Capa!$A:$AJ,AW$5,0))))</f>
        <v/>
      </c>
      <c r="AX318" s="174" t="str">
        <f>IF(AX$6="","",IF(AX$3="Maior",iferror(VLOOKUP($R318,Capa!$A:$AJ,AX$5,0),0),IF(ISERROR(1/VLOOKUP($R318,Capa!$A:$AJ,AX$5,0)),0,1/VLOOKUP($R318,Capa!$A:$AJ,AX$5,0))))</f>
        <v/>
      </c>
      <c r="AY318" s="174" t="str">
        <f>IF(AY$6="","",IF(AY$3="Maior",iferror(VLOOKUP($R318,Capa!$A:$AJ,AY$5,0),0),IF(ISERROR(1/VLOOKUP($R318,Capa!$A:$AJ,AY$5,0)),0,1/VLOOKUP($R318,Capa!$A:$AJ,AY$5,0))))</f>
        <v/>
      </c>
      <c r="AZ318" s="174" t="str">
        <f>IF(AZ$6="","",IF(AZ$3="Maior",iferror(VLOOKUP($R318,Capa!$A:$AJ,AZ$5,0),0),IF(ISERROR(1/VLOOKUP($R318,Capa!$A:$AJ,AZ$5,0)),0,1/VLOOKUP($R318,Capa!$A:$AJ,AZ$5,0))))</f>
        <v/>
      </c>
      <c r="BA318" s="174" t="str">
        <f>IF(BA$6="","",IF(BA$3="Maior",iferror(VLOOKUP($R318,Capa!$A:$AJ,BA$5,0),0),IF(ISERROR(1/VLOOKUP($R318,Capa!$A:$AJ,BA$5,0)),0,1/VLOOKUP($R318,Capa!$A:$AJ,BA$5,0))))</f>
        <v/>
      </c>
      <c r="BB318" s="174" t="str">
        <f>IF(BB$6="","",IF(BB$3="Maior",iferror(VLOOKUP($R318,Capa!$A:$AJ,BB$5,0),0),IF(ISERROR(1/VLOOKUP($R318,Capa!$A:$AJ,BB$5,0)),0,1/VLOOKUP($R318,Capa!$A:$AJ,BB$5,0))))</f>
        <v/>
      </c>
      <c r="BC318" s="174" t="str">
        <f>IF(BC$6="","",IF(BC$3="Maior",iferror(VLOOKUP($R318,Capa!$A:$AJ,BC$5,0),0),IF(ISERROR(1/VLOOKUP($R318,Capa!$A:$AJ,BC$5,0)),0,1/VLOOKUP($R318,Capa!$A:$AJ,BC$5,0))))</f>
        <v/>
      </c>
      <c r="BD318" s="174" t="str">
        <f>IF(BD$6="","",IF(BD$3="Maior",iferror(VLOOKUP($R318,Capa!$A:$AJ,BD$5,0),0),IF(ISERROR(1/VLOOKUP($R318,Capa!$A:$AJ,BD$5,0)),0,1/VLOOKUP($R318,Capa!$A:$AJ,BD$5,0))))</f>
        <v/>
      </c>
      <c r="BE318" s="174" t="str">
        <f>IF(BE$6="","",IF(BE$3="Maior",iferror(VLOOKUP($R318,Capa!$A:$AJ,BE$5,0),0),IF(ISERROR(1/VLOOKUP($R318,Capa!$A:$AJ,BE$5,0)),0,1/VLOOKUP($R318,Capa!$A:$AJ,BE$5,0))))</f>
        <v/>
      </c>
      <c r="BF318" s="174" t="str">
        <f>IF(BF$6="","",IF(BF$3="Maior",iferror(VLOOKUP($R318,Capa!$A:$AJ,BF$5,0),0),IF(ISERROR(1/VLOOKUP($R318,Capa!$A:$AJ,BF$5,0)),0,1/VLOOKUP($R318,Capa!$A:$AJ,BF$5,0))))</f>
        <v/>
      </c>
      <c r="BG318" s="174" t="str">
        <f>IF(BG$6="","",IF(BG$3="Maior",iferror(VLOOKUP($R318,Capa!$A:$AJ,BG$5,0),0),IF(ISERROR(1/VLOOKUP($R318,Capa!$A:$AJ,BG$5,0)),0,1/VLOOKUP($R318,Capa!$A:$AJ,BG$5,0))))</f>
        <v/>
      </c>
      <c r="BH318" s="174" t="str">
        <f>IF(BH$6="","",IF(BH$3="Maior",iferror(VLOOKUP($R318,Capa!$A:$AJ,BH$5,0),0),IF(ISERROR(1/VLOOKUP($R318,Capa!$A:$AJ,BH$5,0)),0,1/VLOOKUP($R318,Capa!$A:$AJ,BH$5,0))))</f>
        <v/>
      </c>
      <c r="BI318" s="174" t="str">
        <f>IF(BI$6="","",IF(BI$3="Maior",iferror(VLOOKUP($R318,Capa!$A:$AJ,BI$5,0),0),IF(ISERROR(1/VLOOKUP($R318,Capa!$A:$AJ,BI$5,0)),0,1/VLOOKUP($R318,Capa!$A:$AJ,BI$5,0))))</f>
        <v/>
      </c>
      <c r="BJ318" s="174" t="str">
        <f>IF(BJ$6="","",IF(BJ$3="Maior",iferror(VLOOKUP($R318,Capa!$A:$AJ,BJ$5,0),0),IF(ISERROR(1/VLOOKUP($R318,Capa!$A:$AJ,BJ$5,0)),0,1/VLOOKUP($R318,Capa!$A:$AJ,BJ$5,0))))</f>
        <v/>
      </c>
      <c r="BK318" s="174" t="str">
        <f>IF(BK$6="","",IF(BK$3="Maior",iferror(VLOOKUP($R318,Capa!$A:$AJ,BK$5,0),0),IF(ISERROR(1/VLOOKUP($R318,Capa!$A:$AJ,BK$5,0)),0,1/VLOOKUP($R318,Capa!$A:$AJ,BK$5,0))))</f>
        <v/>
      </c>
      <c r="BL318" s="174" t="str">
        <f>IF(BL$6="","",IF(BL$3="Maior",iferror(VLOOKUP($R318,Capa!$A:$AJ,BL$5,0),0),IF(ISERROR(1/VLOOKUP($R318,Capa!$A:$AJ,BL$5,0)),0,1/VLOOKUP($R318,Capa!$A:$AJ,BL$5,0))))</f>
        <v/>
      </c>
      <c r="BM318" s="174" t="str">
        <f>IF(BM$6="","",IF(BM$3="Maior",iferror(VLOOKUP($R318,Capa!$A:$AJ,BM$5,0),0),IF(ISERROR(1/VLOOKUP($R318,Capa!$A:$AJ,BM$5,0)),0,1/VLOOKUP($R318,Capa!$A:$AJ,BM$5,0))))</f>
        <v/>
      </c>
      <c r="BN318" s="174" t="str">
        <f>IF(BN$6="","",IF(BN$3="Maior",iferror(VLOOKUP($R318,Capa!$A:$AJ,BN$5,0),0),IF(ISERROR(1/VLOOKUP($R318,Capa!$A:$AJ,BN$5,0)),0,1/VLOOKUP($R318,Capa!$A:$AJ,BN$5,0))))</f>
        <v/>
      </c>
      <c r="BO318" s="174" t="str">
        <f>IF(BO$6="","",IF(BO$3="Maior",iferror(VLOOKUP($R318,Capa!$A:$AJ,BO$5,0),0),IF(ISERROR(1/VLOOKUP($R318,Capa!$A:$AJ,BO$5,0)),0,1/VLOOKUP($R318,Capa!$A:$AJ,BO$5,0))))</f>
        <v/>
      </c>
      <c r="BP318" s="174" t="str">
        <f>IF(BP$6="","",IF(BP$3="Maior",iferror(VLOOKUP($R318,Capa!$A:$AJ,BP$5,0),0),IF(ISERROR(1/VLOOKUP($R318,Capa!$A:$AJ,BP$5,0)),0,1/VLOOKUP($R318,Capa!$A:$AJ,BP$5,0))))</f>
        <v/>
      </c>
      <c r="BQ318" s="174" t="str">
        <f>IF(BQ$6="","",IF(BQ$3="Maior",iferror(VLOOKUP($R318,Capa!$A:$AJ,BQ$5,0),0),IF(ISERROR(1/VLOOKUP($R318,Capa!$A:$AJ,BQ$5,0)),0,1/VLOOKUP($R318,Capa!$A:$AJ,BQ$5,0))))</f>
        <v/>
      </c>
      <c r="BR318" s="175"/>
      <c r="BS318" s="147"/>
    </row>
    <row r="319">
      <c r="G319" s="11"/>
      <c r="H319" s="8">
        <v>313.0</v>
      </c>
      <c r="I319" s="165" t="str">
        <f t="shared" si="6"/>
        <v>EMAE3</v>
      </c>
      <c r="J319" s="166" t="str">
        <f>(VLOOKUP($I319,Capa!$A:$B,2,0))</f>
        <v>EMAE Empresa Metropltn de Agus e Enrg SA</v>
      </c>
      <c r="K319" s="167" t="str">
        <f>VLOOKUP(left(I319,4),Setor!A:D,3,0)&amp;" | "&amp;VLOOKUP(left(I319,4),Setor!A:D,4,0)</f>
        <v>Utilidade Pública | Energia Elétrica</v>
      </c>
      <c r="L319" s="168">
        <f>(VLOOKUP($I319,Capa!$A:$F,6,0))</f>
        <v>150</v>
      </c>
      <c r="M319" s="168">
        <f t="shared" si="7"/>
        <v>0</v>
      </c>
      <c r="N319" s="11" t="str">
        <f>(VLOOKUP($I319,Capa!$A:$H,7,0))</f>
        <v/>
      </c>
      <c r="O319" s="169" t="str">
        <f>(VLOOKUP($I319,Capa!$A:$H,8,0))</f>
        <v/>
      </c>
      <c r="P319" s="11" t="str">
        <f>IFERROR(__xludf.DUMMYFUNCTION("(VLOOKUP($I319,Capa!$A:$J,10,0))"),"")</f>
        <v/>
      </c>
      <c r="Q319" s="169" t="str">
        <f>(VLOOKUP($I319,Capa!$A:$K,11,0))</f>
        <v/>
      </c>
      <c r="R319" s="45" t="str">
        <f>'Dados StatusInvest'!A314</f>
        <v>HETA4</v>
      </c>
      <c r="S319" s="170">
        <f t="shared" si="234"/>
        <v>2120.112</v>
      </c>
      <c r="T319" s="171">
        <f>VLOOKUP(R319,'Dados StatusInvest'!A:Z,26,0)</f>
        <v>1011.6</v>
      </c>
      <c r="U319" s="172">
        <f t="shared" ref="U319:AS319" si="322">IF(AT319="","", RANK(AT319,AT$7:AT$626,0)+RANK(AT319,AT$7:AT$626,0)/10000)</f>
        <v>521.0521</v>
      </c>
      <c r="V319" s="172">
        <f t="shared" si="322"/>
        <v>599.0599</v>
      </c>
      <c r="W319" s="172" t="str">
        <f t="shared" si="322"/>
        <v/>
      </c>
      <c r="X319" s="172" t="str">
        <f t="shared" si="322"/>
        <v/>
      </c>
      <c r="Y319" s="172" t="str">
        <f t="shared" si="322"/>
        <v/>
      </c>
      <c r="Z319" s="172" t="str">
        <f t="shared" si="322"/>
        <v/>
      </c>
      <c r="AA319" s="172" t="str">
        <f t="shared" si="322"/>
        <v/>
      </c>
      <c r="AB319" s="172" t="str">
        <f t="shared" si="322"/>
        <v/>
      </c>
      <c r="AC319" s="172" t="str">
        <f t="shared" si="322"/>
        <v/>
      </c>
      <c r="AD319" s="172" t="str">
        <f t="shared" si="322"/>
        <v/>
      </c>
      <c r="AE319" s="172" t="str">
        <f t="shared" si="322"/>
        <v/>
      </c>
      <c r="AF319" s="172" t="str">
        <f t="shared" si="322"/>
        <v/>
      </c>
      <c r="AG319" s="172" t="str">
        <f t="shared" si="322"/>
        <v/>
      </c>
      <c r="AH319" s="172" t="str">
        <f t="shared" si="322"/>
        <v/>
      </c>
      <c r="AI319" s="172" t="str">
        <f t="shared" si="322"/>
        <v/>
      </c>
      <c r="AJ319" s="172" t="str">
        <f t="shared" si="322"/>
        <v/>
      </c>
      <c r="AK319" s="172" t="str">
        <f t="shared" si="322"/>
        <v/>
      </c>
      <c r="AL319" s="172" t="str">
        <f t="shared" si="322"/>
        <v/>
      </c>
      <c r="AM319" s="172" t="str">
        <f t="shared" si="322"/>
        <v/>
      </c>
      <c r="AN319" s="172" t="str">
        <f t="shared" si="322"/>
        <v/>
      </c>
      <c r="AO319" s="172" t="str">
        <f t="shared" si="322"/>
        <v/>
      </c>
      <c r="AP319" s="172" t="str">
        <f t="shared" si="322"/>
        <v/>
      </c>
      <c r="AQ319" s="172" t="str">
        <f t="shared" si="322"/>
        <v/>
      </c>
      <c r="AR319" s="172" t="str">
        <f t="shared" si="322"/>
        <v/>
      </c>
      <c r="AS319" s="172" t="str">
        <f t="shared" si="322"/>
        <v/>
      </c>
      <c r="AT319" s="173">
        <f>IF(AT$6="","",IF(AT$3="Maior",iferror(VLOOKUP($R319,Capa!$A:$AJ,AT$5,0),0),IF(ISERROR(1/VLOOKUP($R319,Capa!$A:$AJ,AT$5,0)),0,1/VLOOKUP($R319,Capa!$A:$AJ,AT$5,0))))</f>
        <v>-4</v>
      </c>
      <c r="AU319" s="174">
        <f>IF(AU$6="","",IF(AU$3="Maior",iferror(VLOOKUP($R319,Capa!$A:$AJ,AU$5,0),0),IF(ISERROR(1/VLOOKUP($R319,Capa!$A:$AJ,AU$5,0)),0,1/VLOOKUP($R319,Capa!$A:$AJ,AU$5,0))))</f>
        <v>-20.33</v>
      </c>
      <c r="AV319" s="174" t="str">
        <f>IF(AV$6="","",IF(AV$3="Maior",iferror(VLOOKUP($R319,Capa!$A:$AJ,AV$5,0),0),IF(ISERROR(1/VLOOKUP($R319,Capa!$A:$AJ,AV$5,0)),0,1/VLOOKUP($R319,Capa!$A:$AJ,AV$5,0))))</f>
        <v/>
      </c>
      <c r="AW319" s="174" t="str">
        <f>IF(AW$6="","",IF(AW$3="Maior",iferror(VLOOKUP($R319,Capa!$A:$AJ,AW$5,0),0),IF(ISERROR(1/VLOOKUP($R319,Capa!$A:$AJ,AW$5,0)),0,1/VLOOKUP($R319,Capa!$A:$AJ,AW$5,0))))</f>
        <v/>
      </c>
      <c r="AX319" s="174" t="str">
        <f>IF(AX$6="","",IF(AX$3="Maior",iferror(VLOOKUP($R319,Capa!$A:$AJ,AX$5,0),0),IF(ISERROR(1/VLOOKUP($R319,Capa!$A:$AJ,AX$5,0)),0,1/VLOOKUP($R319,Capa!$A:$AJ,AX$5,0))))</f>
        <v/>
      </c>
      <c r="AY319" s="174" t="str">
        <f>IF(AY$6="","",IF(AY$3="Maior",iferror(VLOOKUP($R319,Capa!$A:$AJ,AY$5,0),0),IF(ISERROR(1/VLOOKUP($R319,Capa!$A:$AJ,AY$5,0)),0,1/VLOOKUP($R319,Capa!$A:$AJ,AY$5,0))))</f>
        <v/>
      </c>
      <c r="AZ319" s="174" t="str">
        <f>IF(AZ$6="","",IF(AZ$3="Maior",iferror(VLOOKUP($R319,Capa!$A:$AJ,AZ$5,0),0),IF(ISERROR(1/VLOOKUP($R319,Capa!$A:$AJ,AZ$5,0)),0,1/VLOOKUP($R319,Capa!$A:$AJ,AZ$5,0))))</f>
        <v/>
      </c>
      <c r="BA319" s="174" t="str">
        <f>IF(BA$6="","",IF(BA$3="Maior",iferror(VLOOKUP($R319,Capa!$A:$AJ,BA$5,0),0),IF(ISERROR(1/VLOOKUP($R319,Capa!$A:$AJ,BA$5,0)),0,1/VLOOKUP($R319,Capa!$A:$AJ,BA$5,0))))</f>
        <v/>
      </c>
      <c r="BB319" s="174" t="str">
        <f>IF(BB$6="","",IF(BB$3="Maior",iferror(VLOOKUP($R319,Capa!$A:$AJ,BB$5,0),0),IF(ISERROR(1/VLOOKUP($R319,Capa!$A:$AJ,BB$5,0)),0,1/VLOOKUP($R319,Capa!$A:$AJ,BB$5,0))))</f>
        <v/>
      </c>
      <c r="BC319" s="174" t="str">
        <f>IF(BC$6="","",IF(BC$3="Maior",iferror(VLOOKUP($R319,Capa!$A:$AJ,BC$5,0),0),IF(ISERROR(1/VLOOKUP($R319,Capa!$A:$AJ,BC$5,0)),0,1/VLOOKUP($R319,Capa!$A:$AJ,BC$5,0))))</f>
        <v/>
      </c>
      <c r="BD319" s="174" t="str">
        <f>IF(BD$6="","",IF(BD$3="Maior",iferror(VLOOKUP($R319,Capa!$A:$AJ,BD$5,0),0),IF(ISERROR(1/VLOOKUP($R319,Capa!$A:$AJ,BD$5,0)),0,1/VLOOKUP($R319,Capa!$A:$AJ,BD$5,0))))</f>
        <v/>
      </c>
      <c r="BE319" s="174" t="str">
        <f>IF(BE$6="","",IF(BE$3="Maior",iferror(VLOOKUP($R319,Capa!$A:$AJ,BE$5,0),0),IF(ISERROR(1/VLOOKUP($R319,Capa!$A:$AJ,BE$5,0)),0,1/VLOOKUP($R319,Capa!$A:$AJ,BE$5,0))))</f>
        <v/>
      </c>
      <c r="BF319" s="174" t="str">
        <f>IF(BF$6="","",IF(BF$3="Maior",iferror(VLOOKUP($R319,Capa!$A:$AJ,BF$5,0),0),IF(ISERROR(1/VLOOKUP($R319,Capa!$A:$AJ,BF$5,0)),0,1/VLOOKUP($R319,Capa!$A:$AJ,BF$5,0))))</f>
        <v/>
      </c>
      <c r="BG319" s="174" t="str">
        <f>IF(BG$6="","",IF(BG$3="Maior",iferror(VLOOKUP($R319,Capa!$A:$AJ,BG$5,0),0),IF(ISERROR(1/VLOOKUP($R319,Capa!$A:$AJ,BG$5,0)),0,1/VLOOKUP($R319,Capa!$A:$AJ,BG$5,0))))</f>
        <v/>
      </c>
      <c r="BH319" s="174" t="str">
        <f>IF(BH$6="","",IF(BH$3="Maior",iferror(VLOOKUP($R319,Capa!$A:$AJ,BH$5,0),0),IF(ISERROR(1/VLOOKUP($R319,Capa!$A:$AJ,BH$5,0)),0,1/VLOOKUP($R319,Capa!$A:$AJ,BH$5,0))))</f>
        <v/>
      </c>
      <c r="BI319" s="174" t="str">
        <f>IF(BI$6="","",IF(BI$3="Maior",iferror(VLOOKUP($R319,Capa!$A:$AJ,BI$5,0),0),IF(ISERROR(1/VLOOKUP($R319,Capa!$A:$AJ,BI$5,0)),0,1/VLOOKUP($R319,Capa!$A:$AJ,BI$5,0))))</f>
        <v/>
      </c>
      <c r="BJ319" s="174" t="str">
        <f>IF(BJ$6="","",IF(BJ$3="Maior",iferror(VLOOKUP($R319,Capa!$A:$AJ,BJ$5,0),0),IF(ISERROR(1/VLOOKUP($R319,Capa!$A:$AJ,BJ$5,0)),0,1/VLOOKUP($R319,Capa!$A:$AJ,BJ$5,0))))</f>
        <v/>
      </c>
      <c r="BK319" s="174" t="str">
        <f>IF(BK$6="","",IF(BK$3="Maior",iferror(VLOOKUP($R319,Capa!$A:$AJ,BK$5,0),0),IF(ISERROR(1/VLOOKUP($R319,Capa!$A:$AJ,BK$5,0)),0,1/VLOOKUP($R319,Capa!$A:$AJ,BK$5,0))))</f>
        <v/>
      </c>
      <c r="BL319" s="174" t="str">
        <f>IF(BL$6="","",IF(BL$3="Maior",iferror(VLOOKUP($R319,Capa!$A:$AJ,BL$5,0),0),IF(ISERROR(1/VLOOKUP($R319,Capa!$A:$AJ,BL$5,0)),0,1/VLOOKUP($R319,Capa!$A:$AJ,BL$5,0))))</f>
        <v/>
      </c>
      <c r="BM319" s="174" t="str">
        <f>IF(BM$6="","",IF(BM$3="Maior",iferror(VLOOKUP($R319,Capa!$A:$AJ,BM$5,0),0),IF(ISERROR(1/VLOOKUP($R319,Capa!$A:$AJ,BM$5,0)),0,1/VLOOKUP($R319,Capa!$A:$AJ,BM$5,0))))</f>
        <v/>
      </c>
      <c r="BN319" s="174" t="str">
        <f>IF(BN$6="","",IF(BN$3="Maior",iferror(VLOOKUP($R319,Capa!$A:$AJ,BN$5,0),0),IF(ISERROR(1/VLOOKUP($R319,Capa!$A:$AJ,BN$5,0)),0,1/VLOOKUP($R319,Capa!$A:$AJ,BN$5,0))))</f>
        <v/>
      </c>
      <c r="BO319" s="174" t="str">
        <f>IF(BO$6="","",IF(BO$3="Maior",iferror(VLOOKUP($R319,Capa!$A:$AJ,BO$5,0),0),IF(ISERROR(1/VLOOKUP($R319,Capa!$A:$AJ,BO$5,0)),0,1/VLOOKUP($R319,Capa!$A:$AJ,BO$5,0))))</f>
        <v/>
      </c>
      <c r="BP319" s="174" t="str">
        <f>IF(BP$6="","",IF(BP$3="Maior",iferror(VLOOKUP($R319,Capa!$A:$AJ,BP$5,0),0),IF(ISERROR(1/VLOOKUP($R319,Capa!$A:$AJ,BP$5,0)),0,1/VLOOKUP($R319,Capa!$A:$AJ,BP$5,0))))</f>
        <v/>
      </c>
      <c r="BQ319" s="174" t="str">
        <f>IF(BQ$6="","",IF(BQ$3="Maior",iferror(VLOOKUP($R319,Capa!$A:$AJ,BQ$5,0),0),IF(ISERROR(1/VLOOKUP($R319,Capa!$A:$AJ,BQ$5,0)),0,1/VLOOKUP($R319,Capa!$A:$AJ,BQ$5,0))))</f>
        <v/>
      </c>
      <c r="BR319" s="175"/>
      <c r="BS319" s="147"/>
    </row>
    <row r="320">
      <c r="G320" s="11"/>
      <c r="H320" s="8">
        <v>314.0</v>
      </c>
      <c r="I320" s="165" t="str">
        <f t="shared" si="6"/>
        <v>CIEL3</v>
      </c>
      <c r="J320" s="166" t="str">
        <f>(VLOOKUP($I320,Capa!$A:$B,2,0))</f>
        <v/>
      </c>
      <c r="K320" s="167" t="str">
        <f>VLOOKUP(left(I320,4),Setor!A:D,3,0)&amp;" | "&amp;VLOOKUP(left(I320,4),Setor!A:D,4,0)</f>
        <v>Financeiro | Serviços Financeiros Diversos</v>
      </c>
      <c r="L320" s="168" t="str">
        <f>(VLOOKUP($I320,Capa!$A:$F,6,0))</f>
        <v/>
      </c>
      <c r="M320" s="168">
        <f t="shared" si="7"/>
        <v>0</v>
      </c>
      <c r="N320" s="11" t="str">
        <f>(VLOOKUP($I320,Capa!$A:$H,7,0))</f>
        <v/>
      </c>
      <c r="O320" s="169" t="str">
        <f>(VLOOKUP($I320,Capa!$A:$H,8,0))</f>
        <v/>
      </c>
      <c r="P320" s="11" t="str">
        <f>(VLOOKUP($I320,Capa!$A:$J,10,0))</f>
        <v/>
      </c>
      <c r="Q320" s="169" t="str">
        <f>(VLOOKUP($I320,Capa!$A:$K,11,0))</f>
        <v/>
      </c>
      <c r="R320" s="45" t="str">
        <f>'Dados StatusInvest'!A315</f>
        <v>HGTX3</v>
      </c>
      <c r="S320" s="170">
        <f t="shared" si="234"/>
        <v>1750.075</v>
      </c>
      <c r="T320" s="171">
        <f>VLOOKUP(R320,'Dados StatusInvest'!A:Z,26,0)</f>
        <v>0</v>
      </c>
      <c r="U320" s="172">
        <f t="shared" ref="U320:AS320" si="323">IF(AT320="","", RANK(AT320,AT$7:AT$626,0)+RANK(AT320,AT$7:AT$626,0)/10000)</f>
        <v>141.0141</v>
      </c>
      <c r="V320" s="172">
        <f t="shared" si="323"/>
        <v>609.0609</v>
      </c>
      <c r="W320" s="172" t="str">
        <f t="shared" si="323"/>
        <v/>
      </c>
      <c r="X320" s="172" t="str">
        <f t="shared" si="323"/>
        <v/>
      </c>
      <c r="Y320" s="172" t="str">
        <f t="shared" si="323"/>
        <v/>
      </c>
      <c r="Z320" s="172" t="str">
        <f t="shared" si="323"/>
        <v/>
      </c>
      <c r="AA320" s="172" t="str">
        <f t="shared" si="323"/>
        <v/>
      </c>
      <c r="AB320" s="172" t="str">
        <f t="shared" si="323"/>
        <v/>
      </c>
      <c r="AC320" s="172" t="str">
        <f t="shared" si="323"/>
        <v/>
      </c>
      <c r="AD320" s="172" t="str">
        <f t="shared" si="323"/>
        <v/>
      </c>
      <c r="AE320" s="172" t="str">
        <f t="shared" si="323"/>
        <v/>
      </c>
      <c r="AF320" s="172" t="str">
        <f t="shared" si="323"/>
        <v/>
      </c>
      <c r="AG320" s="172" t="str">
        <f t="shared" si="323"/>
        <v/>
      </c>
      <c r="AH320" s="172" t="str">
        <f t="shared" si="323"/>
        <v/>
      </c>
      <c r="AI320" s="172" t="str">
        <f t="shared" si="323"/>
        <v/>
      </c>
      <c r="AJ320" s="172" t="str">
        <f t="shared" si="323"/>
        <v/>
      </c>
      <c r="AK320" s="172" t="str">
        <f t="shared" si="323"/>
        <v/>
      </c>
      <c r="AL320" s="172" t="str">
        <f t="shared" si="323"/>
        <v/>
      </c>
      <c r="AM320" s="172" t="str">
        <f t="shared" si="323"/>
        <v/>
      </c>
      <c r="AN320" s="172" t="str">
        <f t="shared" si="323"/>
        <v/>
      </c>
      <c r="AO320" s="172" t="str">
        <f t="shared" si="323"/>
        <v/>
      </c>
      <c r="AP320" s="172" t="str">
        <f t="shared" si="323"/>
        <v/>
      </c>
      <c r="AQ320" s="172" t="str">
        <f t="shared" si="323"/>
        <v/>
      </c>
      <c r="AR320" s="172" t="str">
        <f t="shared" si="323"/>
        <v/>
      </c>
      <c r="AS320" s="172" t="str">
        <f t="shared" si="323"/>
        <v/>
      </c>
      <c r="AT320" s="173">
        <f>IF(AT$6="","",IF(AT$3="Maior",iferror(VLOOKUP($R320,Capa!$A:$AJ,AT$5,0),0),IF(ISERROR(1/VLOOKUP($R320,Capa!$A:$AJ,AT$5,0)),0,1/VLOOKUP($R320,Capa!$A:$AJ,AT$5,0))))</f>
        <v>-0.07639419404</v>
      </c>
      <c r="AU320" s="174">
        <f>IF(AU$6="","",IF(AU$3="Maior",iferror(VLOOKUP($R320,Capa!$A:$AJ,AU$5,0),0),IF(ISERROR(1/VLOOKUP($R320,Capa!$A:$AJ,AU$5,0)),0,1/VLOOKUP($R320,Capa!$A:$AJ,AU$5,0))))</f>
        <v>-26.63</v>
      </c>
      <c r="AV320" s="174" t="str">
        <f>IF(AV$6="","",IF(AV$3="Maior",iferror(VLOOKUP($R320,Capa!$A:$AJ,AV$5,0),0),IF(ISERROR(1/VLOOKUP($R320,Capa!$A:$AJ,AV$5,0)),0,1/VLOOKUP($R320,Capa!$A:$AJ,AV$5,0))))</f>
        <v/>
      </c>
      <c r="AW320" s="174" t="str">
        <f>IF(AW$6="","",IF(AW$3="Maior",iferror(VLOOKUP($R320,Capa!$A:$AJ,AW$5,0),0),IF(ISERROR(1/VLOOKUP($R320,Capa!$A:$AJ,AW$5,0)),0,1/VLOOKUP($R320,Capa!$A:$AJ,AW$5,0))))</f>
        <v/>
      </c>
      <c r="AX320" s="174" t="str">
        <f>IF(AX$6="","",IF(AX$3="Maior",iferror(VLOOKUP($R320,Capa!$A:$AJ,AX$5,0),0),IF(ISERROR(1/VLOOKUP($R320,Capa!$A:$AJ,AX$5,0)),0,1/VLOOKUP($R320,Capa!$A:$AJ,AX$5,0))))</f>
        <v/>
      </c>
      <c r="AY320" s="174" t="str">
        <f>IF(AY$6="","",IF(AY$3="Maior",iferror(VLOOKUP($R320,Capa!$A:$AJ,AY$5,0),0),IF(ISERROR(1/VLOOKUP($R320,Capa!$A:$AJ,AY$5,0)),0,1/VLOOKUP($R320,Capa!$A:$AJ,AY$5,0))))</f>
        <v/>
      </c>
      <c r="AZ320" s="174" t="str">
        <f>IF(AZ$6="","",IF(AZ$3="Maior",iferror(VLOOKUP($R320,Capa!$A:$AJ,AZ$5,0),0),IF(ISERROR(1/VLOOKUP($R320,Capa!$A:$AJ,AZ$5,0)),0,1/VLOOKUP($R320,Capa!$A:$AJ,AZ$5,0))))</f>
        <v/>
      </c>
      <c r="BA320" s="174" t="str">
        <f>IF(BA$6="","",IF(BA$3="Maior",iferror(VLOOKUP($R320,Capa!$A:$AJ,BA$5,0),0),IF(ISERROR(1/VLOOKUP($R320,Capa!$A:$AJ,BA$5,0)),0,1/VLOOKUP($R320,Capa!$A:$AJ,BA$5,0))))</f>
        <v/>
      </c>
      <c r="BB320" s="174" t="str">
        <f>IF(BB$6="","",IF(BB$3="Maior",iferror(VLOOKUP($R320,Capa!$A:$AJ,BB$5,0),0),IF(ISERROR(1/VLOOKUP($R320,Capa!$A:$AJ,BB$5,0)),0,1/VLOOKUP($R320,Capa!$A:$AJ,BB$5,0))))</f>
        <v/>
      </c>
      <c r="BC320" s="174" t="str">
        <f>IF(BC$6="","",IF(BC$3="Maior",iferror(VLOOKUP($R320,Capa!$A:$AJ,BC$5,0),0),IF(ISERROR(1/VLOOKUP($R320,Capa!$A:$AJ,BC$5,0)),0,1/VLOOKUP($R320,Capa!$A:$AJ,BC$5,0))))</f>
        <v/>
      </c>
      <c r="BD320" s="174" t="str">
        <f>IF(BD$6="","",IF(BD$3="Maior",iferror(VLOOKUP($R320,Capa!$A:$AJ,BD$5,0),0),IF(ISERROR(1/VLOOKUP($R320,Capa!$A:$AJ,BD$5,0)),0,1/VLOOKUP($R320,Capa!$A:$AJ,BD$5,0))))</f>
        <v/>
      </c>
      <c r="BE320" s="174" t="str">
        <f>IF(BE$6="","",IF(BE$3="Maior",iferror(VLOOKUP($R320,Capa!$A:$AJ,BE$5,0),0),IF(ISERROR(1/VLOOKUP($R320,Capa!$A:$AJ,BE$5,0)),0,1/VLOOKUP($R320,Capa!$A:$AJ,BE$5,0))))</f>
        <v/>
      </c>
      <c r="BF320" s="174" t="str">
        <f>IF(BF$6="","",IF(BF$3="Maior",iferror(VLOOKUP($R320,Capa!$A:$AJ,BF$5,0),0),IF(ISERROR(1/VLOOKUP($R320,Capa!$A:$AJ,BF$5,0)),0,1/VLOOKUP($R320,Capa!$A:$AJ,BF$5,0))))</f>
        <v/>
      </c>
      <c r="BG320" s="174" t="str">
        <f>IF(BG$6="","",IF(BG$3="Maior",iferror(VLOOKUP($R320,Capa!$A:$AJ,BG$5,0),0),IF(ISERROR(1/VLOOKUP($R320,Capa!$A:$AJ,BG$5,0)),0,1/VLOOKUP($R320,Capa!$A:$AJ,BG$5,0))))</f>
        <v/>
      </c>
      <c r="BH320" s="174" t="str">
        <f>IF(BH$6="","",IF(BH$3="Maior",iferror(VLOOKUP($R320,Capa!$A:$AJ,BH$5,0),0),IF(ISERROR(1/VLOOKUP($R320,Capa!$A:$AJ,BH$5,0)),0,1/VLOOKUP($R320,Capa!$A:$AJ,BH$5,0))))</f>
        <v/>
      </c>
      <c r="BI320" s="174" t="str">
        <f>IF(BI$6="","",IF(BI$3="Maior",iferror(VLOOKUP($R320,Capa!$A:$AJ,BI$5,0),0),IF(ISERROR(1/VLOOKUP($R320,Capa!$A:$AJ,BI$5,0)),0,1/VLOOKUP($R320,Capa!$A:$AJ,BI$5,0))))</f>
        <v/>
      </c>
      <c r="BJ320" s="174" t="str">
        <f>IF(BJ$6="","",IF(BJ$3="Maior",iferror(VLOOKUP($R320,Capa!$A:$AJ,BJ$5,0),0),IF(ISERROR(1/VLOOKUP($R320,Capa!$A:$AJ,BJ$5,0)),0,1/VLOOKUP($R320,Capa!$A:$AJ,BJ$5,0))))</f>
        <v/>
      </c>
      <c r="BK320" s="174" t="str">
        <f>IF(BK$6="","",IF(BK$3="Maior",iferror(VLOOKUP($R320,Capa!$A:$AJ,BK$5,0),0),IF(ISERROR(1/VLOOKUP($R320,Capa!$A:$AJ,BK$5,0)),0,1/VLOOKUP($R320,Capa!$A:$AJ,BK$5,0))))</f>
        <v/>
      </c>
      <c r="BL320" s="174" t="str">
        <f>IF(BL$6="","",IF(BL$3="Maior",iferror(VLOOKUP($R320,Capa!$A:$AJ,BL$5,0),0),IF(ISERROR(1/VLOOKUP($R320,Capa!$A:$AJ,BL$5,0)),0,1/VLOOKUP($R320,Capa!$A:$AJ,BL$5,0))))</f>
        <v/>
      </c>
      <c r="BM320" s="174" t="str">
        <f>IF(BM$6="","",IF(BM$3="Maior",iferror(VLOOKUP($R320,Capa!$A:$AJ,BM$5,0),0),IF(ISERROR(1/VLOOKUP($R320,Capa!$A:$AJ,BM$5,0)),0,1/VLOOKUP($R320,Capa!$A:$AJ,BM$5,0))))</f>
        <v/>
      </c>
      <c r="BN320" s="174" t="str">
        <f>IF(BN$6="","",IF(BN$3="Maior",iferror(VLOOKUP($R320,Capa!$A:$AJ,BN$5,0),0),IF(ISERROR(1/VLOOKUP($R320,Capa!$A:$AJ,BN$5,0)),0,1/VLOOKUP($R320,Capa!$A:$AJ,BN$5,0))))</f>
        <v/>
      </c>
      <c r="BO320" s="174" t="str">
        <f>IF(BO$6="","",IF(BO$3="Maior",iferror(VLOOKUP($R320,Capa!$A:$AJ,BO$5,0),0),IF(ISERROR(1/VLOOKUP($R320,Capa!$A:$AJ,BO$5,0)),0,1/VLOOKUP($R320,Capa!$A:$AJ,BO$5,0))))</f>
        <v/>
      </c>
      <c r="BP320" s="174" t="str">
        <f>IF(BP$6="","",IF(BP$3="Maior",iferror(VLOOKUP($R320,Capa!$A:$AJ,BP$5,0),0),IF(ISERROR(1/VLOOKUP($R320,Capa!$A:$AJ,BP$5,0)),0,1/VLOOKUP($R320,Capa!$A:$AJ,BP$5,0))))</f>
        <v/>
      </c>
      <c r="BQ320" s="174" t="str">
        <f>IF(BQ$6="","",IF(BQ$3="Maior",iferror(VLOOKUP($R320,Capa!$A:$AJ,BQ$5,0),0),IF(ISERROR(1/VLOOKUP($R320,Capa!$A:$AJ,BQ$5,0)),0,1/VLOOKUP($R320,Capa!$A:$AJ,BQ$5,0))))</f>
        <v/>
      </c>
      <c r="BR320" s="175"/>
      <c r="BS320" s="147"/>
    </row>
    <row r="321">
      <c r="G321" s="11"/>
      <c r="H321" s="8">
        <v>315.0</v>
      </c>
      <c r="I321" s="165" t="str">
        <f t="shared" si="6"/>
        <v>BALM4</v>
      </c>
      <c r="J321" s="166" t="str">
        <f>(VLOOKUP($I321,Capa!$A:$B,2,0))</f>
        <v>Baumer SA Preference Shares</v>
      </c>
      <c r="K321" s="167" t="str">
        <f>VLOOKUP(left(I321,4),Setor!A:D,3,0)&amp;" | "&amp;VLOOKUP(left(I321,4),Setor!A:D,4,0)</f>
        <v>Saúde | Equipamentos</v>
      </c>
      <c r="L321" s="168">
        <f>(VLOOKUP($I321,Capa!$A:$F,6,0))</f>
        <v>18.51</v>
      </c>
      <c r="M321" s="168">
        <f t="shared" si="7"/>
        <v>20127.4</v>
      </c>
      <c r="N321" s="11" t="str">
        <f>IFERROR(__xludf.DUMMYFUNCTION("(VLOOKUP($I321,Capa!$A:$H,7,0))"),"")</f>
        <v/>
      </c>
      <c r="O321" s="169">
        <f>(VLOOKUP($I321,Capa!$A:$H,8,0))</f>
        <v>0.006525285481</v>
      </c>
      <c r="P321" s="11" t="str">
        <f>IFERROR(__xludf.DUMMYFUNCTION("(VLOOKUP($I321,Capa!$A:$J,10,0))"),"")</f>
        <v/>
      </c>
      <c r="Q321" s="169">
        <f>(VLOOKUP($I321,Capa!$A:$K,11,0))</f>
        <v>0.6981651376</v>
      </c>
      <c r="R321" s="45" t="str">
        <f>'Dados StatusInvest'!A316</f>
        <v>HOOT3</v>
      </c>
      <c r="S321" s="170">
        <f t="shared" si="234"/>
        <v>1318.0318</v>
      </c>
      <c r="T321" s="171">
        <f>VLOOKUP(R321,'Dados StatusInvest'!A:Z,26,0)</f>
        <v>0</v>
      </c>
      <c r="U321" s="172">
        <f t="shared" ref="U321:AS321" si="324">IF(AT321="","", RANK(AT321,AT$7:AT$626,0)+RANK(AT321,AT$7:AT$626,0)/10000)</f>
        <v>51.0051</v>
      </c>
      <c r="V321" s="172">
        <f t="shared" si="324"/>
        <v>267.0267</v>
      </c>
      <c r="W321" s="172" t="str">
        <f t="shared" si="324"/>
        <v/>
      </c>
      <c r="X321" s="172" t="str">
        <f t="shared" si="324"/>
        <v/>
      </c>
      <c r="Y321" s="172" t="str">
        <f t="shared" si="324"/>
        <v/>
      </c>
      <c r="Z321" s="172" t="str">
        <f t="shared" si="324"/>
        <v/>
      </c>
      <c r="AA321" s="172" t="str">
        <f t="shared" si="324"/>
        <v/>
      </c>
      <c r="AB321" s="172" t="str">
        <f t="shared" si="324"/>
        <v/>
      </c>
      <c r="AC321" s="172" t="str">
        <f t="shared" si="324"/>
        <v/>
      </c>
      <c r="AD321" s="172" t="str">
        <f t="shared" si="324"/>
        <v/>
      </c>
      <c r="AE321" s="172" t="str">
        <f t="shared" si="324"/>
        <v/>
      </c>
      <c r="AF321" s="172" t="str">
        <f t="shared" si="324"/>
        <v/>
      </c>
      <c r="AG321" s="172" t="str">
        <f t="shared" si="324"/>
        <v/>
      </c>
      <c r="AH321" s="172" t="str">
        <f t="shared" si="324"/>
        <v/>
      </c>
      <c r="AI321" s="172" t="str">
        <f t="shared" si="324"/>
        <v/>
      </c>
      <c r="AJ321" s="172" t="str">
        <f t="shared" si="324"/>
        <v/>
      </c>
      <c r="AK321" s="172" t="str">
        <f t="shared" si="324"/>
        <v/>
      </c>
      <c r="AL321" s="172" t="str">
        <f t="shared" si="324"/>
        <v/>
      </c>
      <c r="AM321" s="172" t="str">
        <f t="shared" si="324"/>
        <v/>
      </c>
      <c r="AN321" s="172" t="str">
        <f t="shared" si="324"/>
        <v/>
      </c>
      <c r="AO321" s="172" t="str">
        <f t="shared" si="324"/>
        <v/>
      </c>
      <c r="AP321" s="172" t="str">
        <f t="shared" si="324"/>
        <v/>
      </c>
      <c r="AQ321" s="172" t="str">
        <f t="shared" si="324"/>
        <v/>
      </c>
      <c r="AR321" s="172" t="str">
        <f t="shared" si="324"/>
        <v/>
      </c>
      <c r="AS321" s="172" t="str">
        <f t="shared" si="324"/>
        <v/>
      </c>
      <c r="AT321" s="173">
        <f>IF(AT$6="","",IF(AT$3="Maior",iferror(VLOOKUP($R321,Capa!$A:$AJ,AT$5,0),0),IF(ISERROR(1/VLOOKUP($R321,Capa!$A:$AJ,AT$5,0)),0,1/VLOOKUP($R321,Capa!$A:$AJ,AT$5,0))))</f>
        <v>0</v>
      </c>
      <c r="AU321" s="174">
        <f>IF(AU$6="","",IF(AU$3="Maior",iferror(VLOOKUP($R321,Capa!$A:$AJ,AU$5,0),0),IF(ISERROR(1/VLOOKUP($R321,Capa!$A:$AJ,AU$5,0)),0,1/VLOOKUP($R321,Capa!$A:$AJ,AU$5,0))))</f>
        <v>0</v>
      </c>
      <c r="AV321" s="174" t="str">
        <f>IF(AV$6="","",IF(AV$3="Maior",iferror(VLOOKUP($R321,Capa!$A:$AJ,AV$5,0),0),IF(ISERROR(1/VLOOKUP($R321,Capa!$A:$AJ,AV$5,0)),0,1/VLOOKUP($R321,Capa!$A:$AJ,AV$5,0))))</f>
        <v/>
      </c>
      <c r="AW321" s="174" t="str">
        <f>IF(AW$6="","",IF(AW$3="Maior",iferror(VLOOKUP($R321,Capa!$A:$AJ,AW$5,0),0),IF(ISERROR(1/VLOOKUP($R321,Capa!$A:$AJ,AW$5,0)),0,1/VLOOKUP($R321,Capa!$A:$AJ,AW$5,0))))</f>
        <v/>
      </c>
      <c r="AX321" s="174" t="str">
        <f>IF(AX$6="","",IF(AX$3="Maior",iferror(VLOOKUP($R321,Capa!$A:$AJ,AX$5,0),0),IF(ISERROR(1/VLOOKUP($R321,Capa!$A:$AJ,AX$5,0)),0,1/VLOOKUP($R321,Capa!$A:$AJ,AX$5,0))))</f>
        <v/>
      </c>
      <c r="AY321" s="174" t="str">
        <f>IF(AY$6="","",IF(AY$3="Maior",iferror(VLOOKUP($R321,Capa!$A:$AJ,AY$5,0),0),IF(ISERROR(1/VLOOKUP($R321,Capa!$A:$AJ,AY$5,0)),0,1/VLOOKUP($R321,Capa!$A:$AJ,AY$5,0))))</f>
        <v/>
      </c>
      <c r="AZ321" s="174" t="str">
        <f>IF(AZ$6="","",IF(AZ$3="Maior",iferror(VLOOKUP($R321,Capa!$A:$AJ,AZ$5,0),0),IF(ISERROR(1/VLOOKUP($R321,Capa!$A:$AJ,AZ$5,0)),0,1/VLOOKUP($R321,Capa!$A:$AJ,AZ$5,0))))</f>
        <v/>
      </c>
      <c r="BA321" s="174" t="str">
        <f>IF(BA$6="","",IF(BA$3="Maior",iferror(VLOOKUP($R321,Capa!$A:$AJ,BA$5,0),0),IF(ISERROR(1/VLOOKUP($R321,Capa!$A:$AJ,BA$5,0)),0,1/VLOOKUP($R321,Capa!$A:$AJ,BA$5,0))))</f>
        <v/>
      </c>
      <c r="BB321" s="174" t="str">
        <f>IF(BB$6="","",IF(BB$3="Maior",iferror(VLOOKUP($R321,Capa!$A:$AJ,BB$5,0),0),IF(ISERROR(1/VLOOKUP($R321,Capa!$A:$AJ,BB$5,0)),0,1/VLOOKUP($R321,Capa!$A:$AJ,BB$5,0))))</f>
        <v/>
      </c>
      <c r="BC321" s="174" t="str">
        <f>IF(BC$6="","",IF(BC$3="Maior",iferror(VLOOKUP($R321,Capa!$A:$AJ,BC$5,0),0),IF(ISERROR(1/VLOOKUP($R321,Capa!$A:$AJ,BC$5,0)),0,1/VLOOKUP($R321,Capa!$A:$AJ,BC$5,0))))</f>
        <v/>
      </c>
      <c r="BD321" s="174" t="str">
        <f>IF(BD$6="","",IF(BD$3="Maior",iferror(VLOOKUP($R321,Capa!$A:$AJ,BD$5,0),0),IF(ISERROR(1/VLOOKUP($R321,Capa!$A:$AJ,BD$5,0)),0,1/VLOOKUP($R321,Capa!$A:$AJ,BD$5,0))))</f>
        <v/>
      </c>
      <c r="BE321" s="174" t="str">
        <f>IF(BE$6="","",IF(BE$3="Maior",iferror(VLOOKUP($R321,Capa!$A:$AJ,BE$5,0),0),IF(ISERROR(1/VLOOKUP($R321,Capa!$A:$AJ,BE$5,0)),0,1/VLOOKUP($R321,Capa!$A:$AJ,BE$5,0))))</f>
        <v/>
      </c>
      <c r="BF321" s="174" t="str">
        <f>IF(BF$6="","",IF(BF$3="Maior",iferror(VLOOKUP($R321,Capa!$A:$AJ,BF$5,0),0),IF(ISERROR(1/VLOOKUP($R321,Capa!$A:$AJ,BF$5,0)),0,1/VLOOKUP($R321,Capa!$A:$AJ,BF$5,0))))</f>
        <v/>
      </c>
      <c r="BG321" s="174" t="str">
        <f>IF(BG$6="","",IF(BG$3="Maior",iferror(VLOOKUP($R321,Capa!$A:$AJ,BG$5,0),0),IF(ISERROR(1/VLOOKUP($R321,Capa!$A:$AJ,BG$5,0)),0,1/VLOOKUP($R321,Capa!$A:$AJ,BG$5,0))))</f>
        <v/>
      </c>
      <c r="BH321" s="174" t="str">
        <f>IF(BH$6="","",IF(BH$3="Maior",iferror(VLOOKUP($R321,Capa!$A:$AJ,BH$5,0),0),IF(ISERROR(1/VLOOKUP($R321,Capa!$A:$AJ,BH$5,0)),0,1/VLOOKUP($R321,Capa!$A:$AJ,BH$5,0))))</f>
        <v/>
      </c>
      <c r="BI321" s="174" t="str">
        <f>IF(BI$6="","",IF(BI$3="Maior",iferror(VLOOKUP($R321,Capa!$A:$AJ,BI$5,0),0),IF(ISERROR(1/VLOOKUP($R321,Capa!$A:$AJ,BI$5,0)),0,1/VLOOKUP($R321,Capa!$A:$AJ,BI$5,0))))</f>
        <v/>
      </c>
      <c r="BJ321" s="174" t="str">
        <f>IF(BJ$6="","",IF(BJ$3="Maior",iferror(VLOOKUP($R321,Capa!$A:$AJ,BJ$5,0),0),IF(ISERROR(1/VLOOKUP($R321,Capa!$A:$AJ,BJ$5,0)),0,1/VLOOKUP($R321,Capa!$A:$AJ,BJ$5,0))))</f>
        <v/>
      </c>
      <c r="BK321" s="174" t="str">
        <f>IF(BK$6="","",IF(BK$3="Maior",iferror(VLOOKUP($R321,Capa!$A:$AJ,BK$5,0),0),IF(ISERROR(1/VLOOKUP($R321,Capa!$A:$AJ,BK$5,0)),0,1/VLOOKUP($R321,Capa!$A:$AJ,BK$5,0))))</f>
        <v/>
      </c>
      <c r="BL321" s="174" t="str">
        <f>IF(BL$6="","",IF(BL$3="Maior",iferror(VLOOKUP($R321,Capa!$A:$AJ,BL$5,0),0),IF(ISERROR(1/VLOOKUP($R321,Capa!$A:$AJ,BL$5,0)),0,1/VLOOKUP($R321,Capa!$A:$AJ,BL$5,0))))</f>
        <v/>
      </c>
      <c r="BM321" s="174" t="str">
        <f>IF(BM$6="","",IF(BM$3="Maior",iferror(VLOOKUP($R321,Capa!$A:$AJ,BM$5,0),0),IF(ISERROR(1/VLOOKUP($R321,Capa!$A:$AJ,BM$5,0)),0,1/VLOOKUP($R321,Capa!$A:$AJ,BM$5,0))))</f>
        <v/>
      </c>
      <c r="BN321" s="174" t="str">
        <f>IF(BN$6="","",IF(BN$3="Maior",iferror(VLOOKUP($R321,Capa!$A:$AJ,BN$5,0),0),IF(ISERROR(1/VLOOKUP($R321,Capa!$A:$AJ,BN$5,0)),0,1/VLOOKUP($R321,Capa!$A:$AJ,BN$5,0))))</f>
        <v/>
      </c>
      <c r="BO321" s="174" t="str">
        <f>IF(BO$6="","",IF(BO$3="Maior",iferror(VLOOKUP($R321,Capa!$A:$AJ,BO$5,0),0),IF(ISERROR(1/VLOOKUP($R321,Capa!$A:$AJ,BO$5,0)),0,1/VLOOKUP($R321,Capa!$A:$AJ,BO$5,0))))</f>
        <v/>
      </c>
      <c r="BP321" s="174" t="str">
        <f>IF(BP$6="","",IF(BP$3="Maior",iferror(VLOOKUP($R321,Capa!$A:$AJ,BP$5,0),0),IF(ISERROR(1/VLOOKUP($R321,Capa!$A:$AJ,BP$5,0)),0,1/VLOOKUP($R321,Capa!$A:$AJ,BP$5,0))))</f>
        <v/>
      </c>
      <c r="BQ321" s="174" t="str">
        <f>IF(BQ$6="","",IF(BQ$3="Maior",iferror(VLOOKUP($R321,Capa!$A:$AJ,BQ$5,0),0),IF(ISERROR(1/VLOOKUP($R321,Capa!$A:$AJ,BQ$5,0)),0,1/VLOOKUP($R321,Capa!$A:$AJ,BQ$5,0))))</f>
        <v/>
      </c>
      <c r="BR321" s="175"/>
      <c r="BS321" s="147"/>
    </row>
    <row r="322">
      <c r="G322" s="11"/>
      <c r="H322" s="8">
        <v>316.0</v>
      </c>
      <c r="I322" s="165" t="str">
        <f t="shared" si="6"/>
        <v>BALM4</v>
      </c>
      <c r="J322" s="166" t="str">
        <f>(VLOOKUP($I322,Capa!$A:$B,2,0))</f>
        <v>Baumer SA Preference Shares</v>
      </c>
      <c r="K322" s="167" t="str">
        <f>VLOOKUP(left(I322,4),Setor!A:D,3,0)&amp;" | "&amp;VLOOKUP(left(I322,4),Setor!A:D,4,0)</f>
        <v>Saúde | Equipamentos</v>
      </c>
      <c r="L322" s="168">
        <f>(VLOOKUP($I322,Capa!$A:$F,6,0))</f>
        <v>18.51</v>
      </c>
      <c r="M322" s="168">
        <f t="shared" si="7"/>
        <v>20127.4</v>
      </c>
      <c r="N322" s="11" t="str">
        <f>IFERROR(__xludf.DUMMYFUNCTION("(VLOOKUP($I322,Capa!$A:$H,7,0))"),"")</f>
        <v/>
      </c>
      <c r="O322" s="169">
        <f>(VLOOKUP($I322,Capa!$A:$H,8,0))</f>
        <v>0.006525285481</v>
      </c>
      <c r="P322" s="11" t="str">
        <f>IFERROR(__xludf.DUMMYFUNCTION("(VLOOKUP($I322,Capa!$A:$J,10,0))"),"")</f>
        <v/>
      </c>
      <c r="Q322" s="169">
        <f>(VLOOKUP($I322,Capa!$A:$K,11,0))</f>
        <v>0.6981651376</v>
      </c>
      <c r="R322" s="45" t="str">
        <f>'Dados StatusInvest'!A317</f>
        <v>HOOT4</v>
      </c>
      <c r="S322" s="170">
        <f t="shared" si="234"/>
        <v>1769.0769</v>
      </c>
      <c r="T322" s="171">
        <f>VLOOKUP(R322,'Dados StatusInvest'!A:Z,26,0)</f>
        <v>22505.45</v>
      </c>
      <c r="U322" s="172">
        <f t="shared" ref="U322:AS322" si="325">IF(AT322="","", RANK(AT322,AT$7:AT$626,0)+RANK(AT322,AT$7:AT$626,0)/10000)</f>
        <v>502.0502</v>
      </c>
      <c r="V322" s="172">
        <f t="shared" si="325"/>
        <v>267.0267</v>
      </c>
      <c r="W322" s="172" t="str">
        <f t="shared" si="325"/>
        <v/>
      </c>
      <c r="X322" s="172" t="str">
        <f t="shared" si="325"/>
        <v/>
      </c>
      <c r="Y322" s="172" t="str">
        <f t="shared" si="325"/>
        <v/>
      </c>
      <c r="Z322" s="172" t="str">
        <f t="shared" si="325"/>
        <v/>
      </c>
      <c r="AA322" s="172" t="str">
        <f t="shared" si="325"/>
        <v/>
      </c>
      <c r="AB322" s="172" t="str">
        <f t="shared" si="325"/>
        <v/>
      </c>
      <c r="AC322" s="172" t="str">
        <f t="shared" si="325"/>
        <v/>
      </c>
      <c r="AD322" s="172" t="str">
        <f t="shared" si="325"/>
        <v/>
      </c>
      <c r="AE322" s="172" t="str">
        <f t="shared" si="325"/>
        <v/>
      </c>
      <c r="AF322" s="172" t="str">
        <f t="shared" si="325"/>
        <v/>
      </c>
      <c r="AG322" s="172" t="str">
        <f t="shared" si="325"/>
        <v/>
      </c>
      <c r="AH322" s="172" t="str">
        <f t="shared" si="325"/>
        <v/>
      </c>
      <c r="AI322" s="172" t="str">
        <f t="shared" si="325"/>
        <v/>
      </c>
      <c r="AJ322" s="172" t="str">
        <f t="shared" si="325"/>
        <v/>
      </c>
      <c r="AK322" s="172" t="str">
        <f t="shared" si="325"/>
        <v/>
      </c>
      <c r="AL322" s="172" t="str">
        <f t="shared" si="325"/>
        <v/>
      </c>
      <c r="AM322" s="172" t="str">
        <f t="shared" si="325"/>
        <v/>
      </c>
      <c r="AN322" s="172" t="str">
        <f t="shared" si="325"/>
        <v/>
      </c>
      <c r="AO322" s="172" t="str">
        <f t="shared" si="325"/>
        <v/>
      </c>
      <c r="AP322" s="172" t="str">
        <f t="shared" si="325"/>
        <v/>
      </c>
      <c r="AQ322" s="172" t="str">
        <f t="shared" si="325"/>
        <v/>
      </c>
      <c r="AR322" s="172" t="str">
        <f t="shared" si="325"/>
        <v/>
      </c>
      <c r="AS322" s="172" t="str">
        <f t="shared" si="325"/>
        <v/>
      </c>
      <c r="AT322" s="173">
        <f>IF(AT$6="","",IF(AT$3="Maior",iferror(VLOOKUP($R322,Capa!$A:$AJ,AT$5,0),0),IF(ISERROR(1/VLOOKUP($R322,Capa!$A:$AJ,AT$5,0)),0,1/VLOOKUP($R322,Capa!$A:$AJ,AT$5,0))))</f>
        <v>-3.225806452</v>
      </c>
      <c r="AU322" s="174">
        <f>IF(AU$6="","",IF(AU$3="Maior",iferror(VLOOKUP($R322,Capa!$A:$AJ,AU$5,0),0),IF(ISERROR(1/VLOOKUP($R322,Capa!$A:$AJ,AU$5,0)),0,1/VLOOKUP($R322,Capa!$A:$AJ,AU$5,0))))</f>
        <v>0</v>
      </c>
      <c r="AV322" s="174" t="str">
        <f>IF(AV$6="","",IF(AV$3="Maior",iferror(VLOOKUP($R322,Capa!$A:$AJ,AV$5,0),0),IF(ISERROR(1/VLOOKUP($R322,Capa!$A:$AJ,AV$5,0)),0,1/VLOOKUP($R322,Capa!$A:$AJ,AV$5,0))))</f>
        <v/>
      </c>
      <c r="AW322" s="174" t="str">
        <f>IF(AW$6="","",IF(AW$3="Maior",iferror(VLOOKUP($R322,Capa!$A:$AJ,AW$5,0),0),IF(ISERROR(1/VLOOKUP($R322,Capa!$A:$AJ,AW$5,0)),0,1/VLOOKUP($R322,Capa!$A:$AJ,AW$5,0))))</f>
        <v/>
      </c>
      <c r="AX322" s="174" t="str">
        <f>IF(AX$6="","",IF(AX$3="Maior",iferror(VLOOKUP($R322,Capa!$A:$AJ,AX$5,0),0),IF(ISERROR(1/VLOOKUP($R322,Capa!$A:$AJ,AX$5,0)),0,1/VLOOKUP($R322,Capa!$A:$AJ,AX$5,0))))</f>
        <v/>
      </c>
      <c r="AY322" s="174" t="str">
        <f>IF(AY$6="","",IF(AY$3="Maior",iferror(VLOOKUP($R322,Capa!$A:$AJ,AY$5,0),0),IF(ISERROR(1/VLOOKUP($R322,Capa!$A:$AJ,AY$5,0)),0,1/VLOOKUP($R322,Capa!$A:$AJ,AY$5,0))))</f>
        <v/>
      </c>
      <c r="AZ322" s="174" t="str">
        <f>IF(AZ$6="","",IF(AZ$3="Maior",iferror(VLOOKUP($R322,Capa!$A:$AJ,AZ$5,0),0),IF(ISERROR(1/VLOOKUP($R322,Capa!$A:$AJ,AZ$5,0)),0,1/VLOOKUP($R322,Capa!$A:$AJ,AZ$5,0))))</f>
        <v/>
      </c>
      <c r="BA322" s="174" t="str">
        <f>IF(BA$6="","",IF(BA$3="Maior",iferror(VLOOKUP($R322,Capa!$A:$AJ,BA$5,0),0),IF(ISERROR(1/VLOOKUP($R322,Capa!$A:$AJ,BA$5,0)),0,1/VLOOKUP($R322,Capa!$A:$AJ,BA$5,0))))</f>
        <v/>
      </c>
      <c r="BB322" s="174" t="str">
        <f>IF(BB$6="","",IF(BB$3="Maior",iferror(VLOOKUP($R322,Capa!$A:$AJ,BB$5,0),0),IF(ISERROR(1/VLOOKUP($R322,Capa!$A:$AJ,BB$5,0)),0,1/VLOOKUP($R322,Capa!$A:$AJ,BB$5,0))))</f>
        <v/>
      </c>
      <c r="BC322" s="174" t="str">
        <f>IF(BC$6="","",IF(BC$3="Maior",iferror(VLOOKUP($R322,Capa!$A:$AJ,BC$5,0),0),IF(ISERROR(1/VLOOKUP($R322,Capa!$A:$AJ,BC$5,0)),0,1/VLOOKUP($R322,Capa!$A:$AJ,BC$5,0))))</f>
        <v/>
      </c>
      <c r="BD322" s="174" t="str">
        <f>IF(BD$6="","",IF(BD$3="Maior",iferror(VLOOKUP($R322,Capa!$A:$AJ,BD$5,0),0),IF(ISERROR(1/VLOOKUP($R322,Capa!$A:$AJ,BD$5,0)),0,1/VLOOKUP($R322,Capa!$A:$AJ,BD$5,0))))</f>
        <v/>
      </c>
      <c r="BE322" s="174" t="str">
        <f>IF(BE$6="","",IF(BE$3="Maior",iferror(VLOOKUP($R322,Capa!$A:$AJ,BE$5,0),0),IF(ISERROR(1/VLOOKUP($R322,Capa!$A:$AJ,BE$5,0)),0,1/VLOOKUP($R322,Capa!$A:$AJ,BE$5,0))))</f>
        <v/>
      </c>
      <c r="BF322" s="174" t="str">
        <f>IF(BF$6="","",IF(BF$3="Maior",iferror(VLOOKUP($R322,Capa!$A:$AJ,BF$5,0),0),IF(ISERROR(1/VLOOKUP($R322,Capa!$A:$AJ,BF$5,0)),0,1/VLOOKUP($R322,Capa!$A:$AJ,BF$5,0))))</f>
        <v/>
      </c>
      <c r="BG322" s="174" t="str">
        <f>IF(BG$6="","",IF(BG$3="Maior",iferror(VLOOKUP($R322,Capa!$A:$AJ,BG$5,0),0),IF(ISERROR(1/VLOOKUP($R322,Capa!$A:$AJ,BG$5,0)),0,1/VLOOKUP($R322,Capa!$A:$AJ,BG$5,0))))</f>
        <v/>
      </c>
      <c r="BH322" s="174" t="str">
        <f>IF(BH$6="","",IF(BH$3="Maior",iferror(VLOOKUP($R322,Capa!$A:$AJ,BH$5,0),0),IF(ISERROR(1/VLOOKUP($R322,Capa!$A:$AJ,BH$5,0)),0,1/VLOOKUP($R322,Capa!$A:$AJ,BH$5,0))))</f>
        <v/>
      </c>
      <c r="BI322" s="174" t="str">
        <f>IF(BI$6="","",IF(BI$3="Maior",iferror(VLOOKUP($R322,Capa!$A:$AJ,BI$5,0),0),IF(ISERROR(1/VLOOKUP($R322,Capa!$A:$AJ,BI$5,0)),0,1/VLOOKUP($R322,Capa!$A:$AJ,BI$5,0))))</f>
        <v/>
      </c>
      <c r="BJ322" s="174" t="str">
        <f>IF(BJ$6="","",IF(BJ$3="Maior",iferror(VLOOKUP($R322,Capa!$A:$AJ,BJ$5,0),0),IF(ISERROR(1/VLOOKUP($R322,Capa!$A:$AJ,BJ$5,0)),0,1/VLOOKUP($R322,Capa!$A:$AJ,BJ$5,0))))</f>
        <v/>
      </c>
      <c r="BK322" s="174" t="str">
        <f>IF(BK$6="","",IF(BK$3="Maior",iferror(VLOOKUP($R322,Capa!$A:$AJ,BK$5,0),0),IF(ISERROR(1/VLOOKUP($R322,Capa!$A:$AJ,BK$5,0)),0,1/VLOOKUP($R322,Capa!$A:$AJ,BK$5,0))))</f>
        <v/>
      </c>
      <c r="BL322" s="174" t="str">
        <f>IF(BL$6="","",IF(BL$3="Maior",iferror(VLOOKUP($R322,Capa!$A:$AJ,BL$5,0),0),IF(ISERROR(1/VLOOKUP($R322,Capa!$A:$AJ,BL$5,0)),0,1/VLOOKUP($R322,Capa!$A:$AJ,BL$5,0))))</f>
        <v/>
      </c>
      <c r="BM322" s="174" t="str">
        <f>IF(BM$6="","",IF(BM$3="Maior",iferror(VLOOKUP($R322,Capa!$A:$AJ,BM$5,0),0),IF(ISERROR(1/VLOOKUP($R322,Capa!$A:$AJ,BM$5,0)),0,1/VLOOKUP($R322,Capa!$A:$AJ,BM$5,0))))</f>
        <v/>
      </c>
      <c r="BN322" s="174" t="str">
        <f>IF(BN$6="","",IF(BN$3="Maior",iferror(VLOOKUP($R322,Capa!$A:$AJ,BN$5,0),0),IF(ISERROR(1/VLOOKUP($R322,Capa!$A:$AJ,BN$5,0)),0,1/VLOOKUP($R322,Capa!$A:$AJ,BN$5,0))))</f>
        <v/>
      </c>
      <c r="BO322" s="174" t="str">
        <f>IF(BO$6="","",IF(BO$3="Maior",iferror(VLOOKUP($R322,Capa!$A:$AJ,BO$5,0),0),IF(ISERROR(1/VLOOKUP($R322,Capa!$A:$AJ,BO$5,0)),0,1/VLOOKUP($R322,Capa!$A:$AJ,BO$5,0))))</f>
        <v/>
      </c>
      <c r="BP322" s="174" t="str">
        <f>IF(BP$6="","",IF(BP$3="Maior",iferror(VLOOKUP($R322,Capa!$A:$AJ,BP$5,0),0),IF(ISERROR(1/VLOOKUP($R322,Capa!$A:$AJ,BP$5,0)),0,1/VLOOKUP($R322,Capa!$A:$AJ,BP$5,0))))</f>
        <v/>
      </c>
      <c r="BQ322" s="174" t="str">
        <f>IF(BQ$6="","",IF(BQ$3="Maior",iferror(VLOOKUP($R322,Capa!$A:$AJ,BQ$5,0),0),IF(ISERROR(1/VLOOKUP($R322,Capa!$A:$AJ,BQ$5,0)),0,1/VLOOKUP($R322,Capa!$A:$AJ,BQ$5,0))))</f>
        <v/>
      </c>
      <c r="BR322" s="175"/>
      <c r="BS322" s="147"/>
    </row>
    <row r="323">
      <c r="G323" s="11"/>
      <c r="H323" s="8">
        <v>317.0</v>
      </c>
      <c r="I323" s="165" t="str">
        <f t="shared" si="6"/>
        <v>BAUH3</v>
      </c>
      <c r="J323" s="166" t="str">
        <f>(VLOOKUP($I323,Capa!$A:$B,2,0))</f>
        <v>Excelsior Alimentos SA</v>
      </c>
      <c r="K323" s="167" t="str">
        <f>VLOOKUP(left(I323,4),Setor!A:D,3,0)&amp;" | "&amp;VLOOKUP(left(I323,4),Setor!A:D,4,0)</f>
        <v>Consumo não Cíclico | Alimentos Processados</v>
      </c>
      <c r="L323" s="168">
        <f>(VLOOKUP($I323,Capa!$A:$F,6,0))</f>
        <v>0</v>
      </c>
      <c r="M323" s="168">
        <f t="shared" si="7"/>
        <v>0</v>
      </c>
      <c r="N323" s="11" t="str">
        <f>(VLOOKUP($I323,Capa!$A:$H,7,0))</f>
        <v/>
      </c>
      <c r="O323" s="169" t="str">
        <f>(VLOOKUP($I323,Capa!$A:$H,8,0))</f>
        <v/>
      </c>
      <c r="P323" s="11" t="str">
        <f>(VLOOKUP($I323,Capa!$A:$J,10,0))</f>
        <v/>
      </c>
      <c r="Q323" s="169" t="str">
        <f>(VLOOKUP($I323,Capa!$A:$K,11,0))</f>
        <v/>
      </c>
      <c r="R323" s="45" t="str">
        <f>'Dados StatusInvest'!A318</f>
        <v>HYPE3</v>
      </c>
      <c r="S323" s="170">
        <f t="shared" si="234"/>
        <v>933.0933</v>
      </c>
      <c r="T323" s="171">
        <f>VLOOKUP(R323,'Dados StatusInvest'!A:Z,26,0)</f>
        <v>69618341</v>
      </c>
      <c r="U323" s="172">
        <f t="shared" ref="U323:AS323" si="326">IF(AT323="","", RANK(AT323,AT$7:AT$626,0)+RANK(AT323,AT$7:AT$626,0)/10000)</f>
        <v>371.0371</v>
      </c>
      <c r="V323" s="172">
        <f t="shared" si="326"/>
        <v>562.0562</v>
      </c>
      <c r="W323" s="172" t="str">
        <f t="shared" si="326"/>
        <v/>
      </c>
      <c r="X323" s="172" t="str">
        <f t="shared" si="326"/>
        <v/>
      </c>
      <c r="Y323" s="172" t="str">
        <f t="shared" si="326"/>
        <v/>
      </c>
      <c r="Z323" s="172" t="str">
        <f t="shared" si="326"/>
        <v/>
      </c>
      <c r="AA323" s="172" t="str">
        <f t="shared" si="326"/>
        <v/>
      </c>
      <c r="AB323" s="172" t="str">
        <f t="shared" si="326"/>
        <v/>
      </c>
      <c r="AC323" s="172" t="str">
        <f t="shared" si="326"/>
        <v/>
      </c>
      <c r="AD323" s="172" t="str">
        <f t="shared" si="326"/>
        <v/>
      </c>
      <c r="AE323" s="172" t="str">
        <f t="shared" si="326"/>
        <v/>
      </c>
      <c r="AF323" s="172" t="str">
        <f t="shared" si="326"/>
        <v/>
      </c>
      <c r="AG323" s="172" t="str">
        <f t="shared" si="326"/>
        <v/>
      </c>
      <c r="AH323" s="172" t="str">
        <f t="shared" si="326"/>
        <v/>
      </c>
      <c r="AI323" s="172" t="str">
        <f t="shared" si="326"/>
        <v/>
      </c>
      <c r="AJ323" s="172" t="str">
        <f t="shared" si="326"/>
        <v/>
      </c>
      <c r="AK323" s="172" t="str">
        <f t="shared" si="326"/>
        <v/>
      </c>
      <c r="AL323" s="172" t="str">
        <f t="shared" si="326"/>
        <v/>
      </c>
      <c r="AM323" s="172" t="str">
        <f t="shared" si="326"/>
        <v/>
      </c>
      <c r="AN323" s="172" t="str">
        <f t="shared" si="326"/>
        <v/>
      </c>
      <c r="AO323" s="172" t="str">
        <f t="shared" si="326"/>
        <v/>
      </c>
      <c r="AP323" s="172" t="str">
        <f t="shared" si="326"/>
        <v/>
      </c>
      <c r="AQ323" s="172" t="str">
        <f t="shared" si="326"/>
        <v/>
      </c>
      <c r="AR323" s="172" t="str">
        <f t="shared" si="326"/>
        <v/>
      </c>
      <c r="AS323" s="172" t="str">
        <f t="shared" si="326"/>
        <v/>
      </c>
      <c r="AT323" s="173">
        <f>IF(AT$6="","",IF(AT$3="Maior",iferror(VLOOKUP($R323,Capa!$A:$AJ,AT$5,0),0),IF(ISERROR(1/VLOOKUP($R323,Capa!$A:$AJ,AT$5,0)),0,1/VLOOKUP($R323,Capa!$A:$AJ,AT$5,0))))</f>
        <v>-1.128691783</v>
      </c>
      <c r="AU323" s="174">
        <f>IF(AU$6="","",IF(AU$3="Maior",iferror(VLOOKUP($R323,Capa!$A:$AJ,AU$5,0),0),IF(ISERROR(1/VLOOKUP($R323,Capa!$A:$AJ,AU$5,0)),0,1/VLOOKUP($R323,Capa!$A:$AJ,AU$5,0))))</f>
        <v>-6.68</v>
      </c>
      <c r="AV323" s="174" t="str">
        <f>IF(AV$6="","",IF(AV$3="Maior",iferror(VLOOKUP($R323,Capa!$A:$AJ,AV$5,0),0),IF(ISERROR(1/VLOOKUP($R323,Capa!$A:$AJ,AV$5,0)),0,1/VLOOKUP($R323,Capa!$A:$AJ,AV$5,0))))</f>
        <v/>
      </c>
      <c r="AW323" s="174" t="str">
        <f>IF(AW$6="","",IF(AW$3="Maior",iferror(VLOOKUP($R323,Capa!$A:$AJ,AW$5,0),0),IF(ISERROR(1/VLOOKUP($R323,Capa!$A:$AJ,AW$5,0)),0,1/VLOOKUP($R323,Capa!$A:$AJ,AW$5,0))))</f>
        <v/>
      </c>
      <c r="AX323" s="174" t="str">
        <f>IF(AX$6="","",IF(AX$3="Maior",iferror(VLOOKUP($R323,Capa!$A:$AJ,AX$5,0),0),IF(ISERROR(1/VLOOKUP($R323,Capa!$A:$AJ,AX$5,0)),0,1/VLOOKUP($R323,Capa!$A:$AJ,AX$5,0))))</f>
        <v/>
      </c>
      <c r="AY323" s="174" t="str">
        <f>IF(AY$6="","",IF(AY$3="Maior",iferror(VLOOKUP($R323,Capa!$A:$AJ,AY$5,0),0),IF(ISERROR(1/VLOOKUP($R323,Capa!$A:$AJ,AY$5,0)),0,1/VLOOKUP($R323,Capa!$A:$AJ,AY$5,0))))</f>
        <v/>
      </c>
      <c r="AZ323" s="174" t="str">
        <f>IF(AZ$6="","",IF(AZ$3="Maior",iferror(VLOOKUP($R323,Capa!$A:$AJ,AZ$5,0),0),IF(ISERROR(1/VLOOKUP($R323,Capa!$A:$AJ,AZ$5,0)),0,1/VLOOKUP($R323,Capa!$A:$AJ,AZ$5,0))))</f>
        <v/>
      </c>
      <c r="BA323" s="174" t="str">
        <f>IF(BA$6="","",IF(BA$3="Maior",iferror(VLOOKUP($R323,Capa!$A:$AJ,BA$5,0),0),IF(ISERROR(1/VLOOKUP($R323,Capa!$A:$AJ,BA$5,0)),0,1/VLOOKUP($R323,Capa!$A:$AJ,BA$5,0))))</f>
        <v/>
      </c>
      <c r="BB323" s="174" t="str">
        <f>IF(BB$6="","",IF(BB$3="Maior",iferror(VLOOKUP($R323,Capa!$A:$AJ,BB$5,0),0),IF(ISERROR(1/VLOOKUP($R323,Capa!$A:$AJ,BB$5,0)),0,1/VLOOKUP($R323,Capa!$A:$AJ,BB$5,0))))</f>
        <v/>
      </c>
      <c r="BC323" s="174" t="str">
        <f>IF(BC$6="","",IF(BC$3="Maior",iferror(VLOOKUP($R323,Capa!$A:$AJ,BC$5,0),0),IF(ISERROR(1/VLOOKUP($R323,Capa!$A:$AJ,BC$5,0)),0,1/VLOOKUP($R323,Capa!$A:$AJ,BC$5,0))))</f>
        <v/>
      </c>
      <c r="BD323" s="174" t="str">
        <f>IF(BD$6="","",IF(BD$3="Maior",iferror(VLOOKUP($R323,Capa!$A:$AJ,BD$5,0),0),IF(ISERROR(1/VLOOKUP($R323,Capa!$A:$AJ,BD$5,0)),0,1/VLOOKUP($R323,Capa!$A:$AJ,BD$5,0))))</f>
        <v/>
      </c>
      <c r="BE323" s="174" t="str">
        <f>IF(BE$6="","",IF(BE$3="Maior",iferror(VLOOKUP($R323,Capa!$A:$AJ,BE$5,0),0),IF(ISERROR(1/VLOOKUP($R323,Capa!$A:$AJ,BE$5,0)),0,1/VLOOKUP($R323,Capa!$A:$AJ,BE$5,0))))</f>
        <v/>
      </c>
      <c r="BF323" s="174" t="str">
        <f>IF(BF$6="","",IF(BF$3="Maior",iferror(VLOOKUP($R323,Capa!$A:$AJ,BF$5,0),0),IF(ISERROR(1/VLOOKUP($R323,Capa!$A:$AJ,BF$5,0)),0,1/VLOOKUP($R323,Capa!$A:$AJ,BF$5,0))))</f>
        <v/>
      </c>
      <c r="BG323" s="174" t="str">
        <f>IF(BG$6="","",IF(BG$3="Maior",iferror(VLOOKUP($R323,Capa!$A:$AJ,BG$5,0),0),IF(ISERROR(1/VLOOKUP($R323,Capa!$A:$AJ,BG$5,0)),0,1/VLOOKUP($R323,Capa!$A:$AJ,BG$5,0))))</f>
        <v/>
      </c>
      <c r="BH323" s="174" t="str">
        <f>IF(BH$6="","",IF(BH$3="Maior",iferror(VLOOKUP($R323,Capa!$A:$AJ,BH$5,0),0),IF(ISERROR(1/VLOOKUP($R323,Capa!$A:$AJ,BH$5,0)),0,1/VLOOKUP($R323,Capa!$A:$AJ,BH$5,0))))</f>
        <v/>
      </c>
      <c r="BI323" s="174" t="str">
        <f>IF(BI$6="","",IF(BI$3="Maior",iferror(VLOOKUP($R323,Capa!$A:$AJ,BI$5,0),0),IF(ISERROR(1/VLOOKUP($R323,Capa!$A:$AJ,BI$5,0)),0,1/VLOOKUP($R323,Capa!$A:$AJ,BI$5,0))))</f>
        <v/>
      </c>
      <c r="BJ323" s="174" t="str">
        <f>IF(BJ$6="","",IF(BJ$3="Maior",iferror(VLOOKUP($R323,Capa!$A:$AJ,BJ$5,0),0),IF(ISERROR(1/VLOOKUP($R323,Capa!$A:$AJ,BJ$5,0)),0,1/VLOOKUP($R323,Capa!$A:$AJ,BJ$5,0))))</f>
        <v/>
      </c>
      <c r="BK323" s="174" t="str">
        <f>IF(BK$6="","",IF(BK$3="Maior",iferror(VLOOKUP($R323,Capa!$A:$AJ,BK$5,0),0),IF(ISERROR(1/VLOOKUP($R323,Capa!$A:$AJ,BK$5,0)),0,1/VLOOKUP($R323,Capa!$A:$AJ,BK$5,0))))</f>
        <v/>
      </c>
      <c r="BL323" s="174" t="str">
        <f>IF(BL$6="","",IF(BL$3="Maior",iferror(VLOOKUP($R323,Capa!$A:$AJ,BL$5,0),0),IF(ISERROR(1/VLOOKUP($R323,Capa!$A:$AJ,BL$5,0)),0,1/VLOOKUP($R323,Capa!$A:$AJ,BL$5,0))))</f>
        <v/>
      </c>
      <c r="BM323" s="174" t="str">
        <f>IF(BM$6="","",IF(BM$3="Maior",iferror(VLOOKUP($R323,Capa!$A:$AJ,BM$5,0),0),IF(ISERROR(1/VLOOKUP($R323,Capa!$A:$AJ,BM$5,0)),0,1/VLOOKUP($R323,Capa!$A:$AJ,BM$5,0))))</f>
        <v/>
      </c>
      <c r="BN323" s="174" t="str">
        <f>IF(BN$6="","",IF(BN$3="Maior",iferror(VLOOKUP($R323,Capa!$A:$AJ,BN$5,0),0),IF(ISERROR(1/VLOOKUP($R323,Capa!$A:$AJ,BN$5,0)),0,1/VLOOKUP($R323,Capa!$A:$AJ,BN$5,0))))</f>
        <v/>
      </c>
      <c r="BO323" s="174" t="str">
        <f>IF(BO$6="","",IF(BO$3="Maior",iferror(VLOOKUP($R323,Capa!$A:$AJ,BO$5,0),0),IF(ISERROR(1/VLOOKUP($R323,Capa!$A:$AJ,BO$5,0)),0,1/VLOOKUP($R323,Capa!$A:$AJ,BO$5,0))))</f>
        <v/>
      </c>
      <c r="BP323" s="174" t="str">
        <f>IF(BP$6="","",IF(BP$3="Maior",iferror(VLOOKUP($R323,Capa!$A:$AJ,BP$5,0),0),IF(ISERROR(1/VLOOKUP($R323,Capa!$A:$AJ,BP$5,0)),0,1/VLOOKUP($R323,Capa!$A:$AJ,BP$5,0))))</f>
        <v/>
      </c>
      <c r="BQ323" s="174" t="str">
        <f>IF(BQ$6="","",IF(BQ$3="Maior",iferror(VLOOKUP($R323,Capa!$A:$AJ,BQ$5,0),0),IF(ISERROR(1/VLOOKUP($R323,Capa!$A:$AJ,BQ$5,0)),0,1/VLOOKUP($R323,Capa!$A:$AJ,BQ$5,0))))</f>
        <v/>
      </c>
      <c r="BR323" s="175"/>
      <c r="BS323" s="147"/>
    </row>
    <row r="324">
      <c r="G324" s="11"/>
      <c r="H324" s="8">
        <v>318.0</v>
      </c>
      <c r="I324" s="165" t="str">
        <f t="shared" si="6"/>
        <v>DEXP4</v>
      </c>
      <c r="J324" s="166" t="str">
        <f>(VLOOKUP($I324,Capa!$A:$B,2,0))</f>
        <v>Dexxos Participacoes SA Preference Shares</v>
      </c>
      <c r="K324" s="167" t="str">
        <f>VLOOKUP(left(I324,4),Setor!A:D,3,0)&amp;" | "&amp;VLOOKUP(left(I324,4),Setor!A:D,4,0)</f>
        <v>Petróleo, Gás e Biocombustíveis | Petróleo, Gás e Biocombustíveis</v>
      </c>
      <c r="L324" s="168">
        <f>(VLOOKUP($I324,Capa!$A:$F,6,0))</f>
        <v>7.65</v>
      </c>
      <c r="M324" s="168">
        <f t="shared" si="7"/>
        <v>34692.7</v>
      </c>
      <c r="N324" s="11" t="str">
        <f>IFERROR(__xludf.DUMMYFUNCTION("(VLOOKUP($I324,Capa!$A:$H,7,0))"),"")</f>
        <v/>
      </c>
      <c r="O324" s="169">
        <f>(VLOOKUP($I324,Capa!$A:$H,8,0))</f>
        <v>0.04794520548</v>
      </c>
      <c r="P324" s="11" t="str">
        <f>IFERROR(__xludf.DUMMYFUNCTION("(VLOOKUP($I324,Capa!$A:$J,10,0))"),"")</f>
        <v/>
      </c>
      <c r="Q324" s="169">
        <f>(VLOOKUP($I324,Capa!$A:$K,11,0))</f>
        <v>0.009234828496</v>
      </c>
      <c r="R324" s="45" t="str">
        <f>'Dados StatusInvest'!A319</f>
        <v>IDVL3</v>
      </c>
      <c r="S324" s="170">
        <f t="shared" si="234"/>
        <v>1698.0698</v>
      </c>
      <c r="T324" s="171">
        <f>VLOOKUP(R324,'Dados StatusInvest'!A:Z,26,0)</f>
        <v>0</v>
      </c>
      <c r="U324" s="172">
        <f t="shared" ref="U324:AS324" si="327">IF(AT324="","", RANK(AT324,AT$7:AT$626,0)+RANK(AT324,AT$7:AT$626,0)/10000)</f>
        <v>431.0431</v>
      </c>
      <c r="V324" s="172">
        <f t="shared" si="327"/>
        <v>267.0267</v>
      </c>
      <c r="W324" s="172" t="str">
        <f t="shared" si="327"/>
        <v/>
      </c>
      <c r="X324" s="172" t="str">
        <f t="shared" si="327"/>
        <v/>
      </c>
      <c r="Y324" s="172" t="str">
        <f t="shared" si="327"/>
        <v/>
      </c>
      <c r="Z324" s="172" t="str">
        <f t="shared" si="327"/>
        <v/>
      </c>
      <c r="AA324" s="172" t="str">
        <f t="shared" si="327"/>
        <v/>
      </c>
      <c r="AB324" s="172" t="str">
        <f t="shared" si="327"/>
        <v/>
      </c>
      <c r="AC324" s="172" t="str">
        <f t="shared" si="327"/>
        <v/>
      </c>
      <c r="AD324" s="172" t="str">
        <f t="shared" si="327"/>
        <v/>
      </c>
      <c r="AE324" s="172" t="str">
        <f t="shared" si="327"/>
        <v/>
      </c>
      <c r="AF324" s="172" t="str">
        <f t="shared" si="327"/>
        <v/>
      </c>
      <c r="AG324" s="172" t="str">
        <f t="shared" si="327"/>
        <v/>
      </c>
      <c r="AH324" s="172" t="str">
        <f t="shared" si="327"/>
        <v/>
      </c>
      <c r="AI324" s="172" t="str">
        <f t="shared" si="327"/>
        <v/>
      </c>
      <c r="AJ324" s="172" t="str">
        <f t="shared" si="327"/>
        <v/>
      </c>
      <c r="AK324" s="172" t="str">
        <f t="shared" si="327"/>
        <v/>
      </c>
      <c r="AL324" s="172" t="str">
        <f t="shared" si="327"/>
        <v/>
      </c>
      <c r="AM324" s="172" t="str">
        <f t="shared" si="327"/>
        <v/>
      </c>
      <c r="AN324" s="172" t="str">
        <f t="shared" si="327"/>
        <v/>
      </c>
      <c r="AO324" s="172" t="str">
        <f t="shared" si="327"/>
        <v/>
      </c>
      <c r="AP324" s="172" t="str">
        <f t="shared" si="327"/>
        <v/>
      </c>
      <c r="AQ324" s="172" t="str">
        <f t="shared" si="327"/>
        <v/>
      </c>
      <c r="AR324" s="172" t="str">
        <f t="shared" si="327"/>
        <v/>
      </c>
      <c r="AS324" s="172" t="str">
        <f t="shared" si="327"/>
        <v/>
      </c>
      <c r="AT324" s="173">
        <f>IF(AT$6="","",IF(AT$3="Maior",iferror(VLOOKUP($R324,Capa!$A:$AJ,AT$5,0),0),IF(ISERROR(1/VLOOKUP($R324,Capa!$A:$AJ,AT$5,0)),0,1/VLOOKUP($R324,Capa!$A:$AJ,AT$5,0))))</f>
        <v>-1.639344262</v>
      </c>
      <c r="AU324" s="174">
        <f>IF(AU$6="","",IF(AU$3="Maior",iferror(VLOOKUP($R324,Capa!$A:$AJ,AU$5,0),0),IF(ISERROR(1/VLOOKUP($R324,Capa!$A:$AJ,AU$5,0)),0,1/VLOOKUP($R324,Capa!$A:$AJ,AU$5,0))))</f>
        <v>0</v>
      </c>
      <c r="AV324" s="174" t="str">
        <f>IF(AV$6="","",IF(AV$3="Maior",iferror(VLOOKUP($R324,Capa!$A:$AJ,AV$5,0),0),IF(ISERROR(1/VLOOKUP($R324,Capa!$A:$AJ,AV$5,0)),0,1/VLOOKUP($R324,Capa!$A:$AJ,AV$5,0))))</f>
        <v/>
      </c>
      <c r="AW324" s="174" t="str">
        <f>IF(AW$6="","",IF(AW$3="Maior",iferror(VLOOKUP($R324,Capa!$A:$AJ,AW$5,0),0),IF(ISERROR(1/VLOOKUP($R324,Capa!$A:$AJ,AW$5,0)),0,1/VLOOKUP($R324,Capa!$A:$AJ,AW$5,0))))</f>
        <v/>
      </c>
      <c r="AX324" s="174" t="str">
        <f>IF(AX$6="","",IF(AX$3="Maior",iferror(VLOOKUP($R324,Capa!$A:$AJ,AX$5,0),0),IF(ISERROR(1/VLOOKUP($R324,Capa!$A:$AJ,AX$5,0)),0,1/VLOOKUP($R324,Capa!$A:$AJ,AX$5,0))))</f>
        <v/>
      </c>
      <c r="AY324" s="174" t="str">
        <f>IF(AY$6="","",IF(AY$3="Maior",iferror(VLOOKUP($R324,Capa!$A:$AJ,AY$5,0),0),IF(ISERROR(1/VLOOKUP($R324,Capa!$A:$AJ,AY$5,0)),0,1/VLOOKUP($R324,Capa!$A:$AJ,AY$5,0))))</f>
        <v/>
      </c>
      <c r="AZ324" s="174" t="str">
        <f>IF(AZ$6="","",IF(AZ$3="Maior",iferror(VLOOKUP($R324,Capa!$A:$AJ,AZ$5,0),0),IF(ISERROR(1/VLOOKUP($R324,Capa!$A:$AJ,AZ$5,0)),0,1/VLOOKUP($R324,Capa!$A:$AJ,AZ$5,0))))</f>
        <v/>
      </c>
      <c r="BA324" s="174" t="str">
        <f>IF(BA$6="","",IF(BA$3="Maior",iferror(VLOOKUP($R324,Capa!$A:$AJ,BA$5,0),0),IF(ISERROR(1/VLOOKUP($R324,Capa!$A:$AJ,BA$5,0)),0,1/VLOOKUP($R324,Capa!$A:$AJ,BA$5,0))))</f>
        <v/>
      </c>
      <c r="BB324" s="174" t="str">
        <f>IF(BB$6="","",IF(BB$3="Maior",iferror(VLOOKUP($R324,Capa!$A:$AJ,BB$5,0),0),IF(ISERROR(1/VLOOKUP($R324,Capa!$A:$AJ,BB$5,0)),0,1/VLOOKUP($R324,Capa!$A:$AJ,BB$5,0))))</f>
        <v/>
      </c>
      <c r="BC324" s="174" t="str">
        <f>IF(BC$6="","",IF(BC$3="Maior",iferror(VLOOKUP($R324,Capa!$A:$AJ,BC$5,0),0),IF(ISERROR(1/VLOOKUP($R324,Capa!$A:$AJ,BC$5,0)),0,1/VLOOKUP($R324,Capa!$A:$AJ,BC$5,0))))</f>
        <v/>
      </c>
      <c r="BD324" s="174" t="str">
        <f>IF(BD$6="","",IF(BD$3="Maior",iferror(VLOOKUP($R324,Capa!$A:$AJ,BD$5,0),0),IF(ISERROR(1/VLOOKUP($R324,Capa!$A:$AJ,BD$5,0)),0,1/VLOOKUP($R324,Capa!$A:$AJ,BD$5,0))))</f>
        <v/>
      </c>
      <c r="BE324" s="174" t="str">
        <f>IF(BE$6="","",IF(BE$3="Maior",iferror(VLOOKUP($R324,Capa!$A:$AJ,BE$5,0),0),IF(ISERROR(1/VLOOKUP($R324,Capa!$A:$AJ,BE$5,0)),0,1/VLOOKUP($R324,Capa!$A:$AJ,BE$5,0))))</f>
        <v/>
      </c>
      <c r="BF324" s="174" t="str">
        <f>IF(BF$6="","",IF(BF$3="Maior",iferror(VLOOKUP($R324,Capa!$A:$AJ,BF$5,0),0),IF(ISERROR(1/VLOOKUP($R324,Capa!$A:$AJ,BF$5,0)),0,1/VLOOKUP($R324,Capa!$A:$AJ,BF$5,0))))</f>
        <v/>
      </c>
      <c r="BG324" s="174" t="str">
        <f>IF(BG$6="","",IF(BG$3="Maior",iferror(VLOOKUP($R324,Capa!$A:$AJ,BG$5,0),0),IF(ISERROR(1/VLOOKUP($R324,Capa!$A:$AJ,BG$5,0)),0,1/VLOOKUP($R324,Capa!$A:$AJ,BG$5,0))))</f>
        <v/>
      </c>
      <c r="BH324" s="174" t="str">
        <f>IF(BH$6="","",IF(BH$3="Maior",iferror(VLOOKUP($R324,Capa!$A:$AJ,BH$5,0),0),IF(ISERROR(1/VLOOKUP($R324,Capa!$A:$AJ,BH$5,0)),0,1/VLOOKUP($R324,Capa!$A:$AJ,BH$5,0))))</f>
        <v/>
      </c>
      <c r="BI324" s="174" t="str">
        <f>IF(BI$6="","",IF(BI$3="Maior",iferror(VLOOKUP($R324,Capa!$A:$AJ,BI$5,0),0),IF(ISERROR(1/VLOOKUP($R324,Capa!$A:$AJ,BI$5,0)),0,1/VLOOKUP($R324,Capa!$A:$AJ,BI$5,0))))</f>
        <v/>
      </c>
      <c r="BJ324" s="174" t="str">
        <f>IF(BJ$6="","",IF(BJ$3="Maior",iferror(VLOOKUP($R324,Capa!$A:$AJ,BJ$5,0),0),IF(ISERROR(1/VLOOKUP($R324,Capa!$A:$AJ,BJ$5,0)),0,1/VLOOKUP($R324,Capa!$A:$AJ,BJ$5,0))))</f>
        <v/>
      </c>
      <c r="BK324" s="174" t="str">
        <f>IF(BK$6="","",IF(BK$3="Maior",iferror(VLOOKUP($R324,Capa!$A:$AJ,BK$5,0),0),IF(ISERROR(1/VLOOKUP($R324,Capa!$A:$AJ,BK$5,0)),0,1/VLOOKUP($R324,Capa!$A:$AJ,BK$5,0))))</f>
        <v/>
      </c>
      <c r="BL324" s="174" t="str">
        <f>IF(BL$6="","",IF(BL$3="Maior",iferror(VLOOKUP($R324,Capa!$A:$AJ,BL$5,0),0),IF(ISERROR(1/VLOOKUP($R324,Capa!$A:$AJ,BL$5,0)),0,1/VLOOKUP($R324,Capa!$A:$AJ,BL$5,0))))</f>
        <v/>
      </c>
      <c r="BM324" s="174" t="str">
        <f>IF(BM$6="","",IF(BM$3="Maior",iferror(VLOOKUP($R324,Capa!$A:$AJ,BM$5,0),0),IF(ISERROR(1/VLOOKUP($R324,Capa!$A:$AJ,BM$5,0)),0,1/VLOOKUP($R324,Capa!$A:$AJ,BM$5,0))))</f>
        <v/>
      </c>
      <c r="BN324" s="174" t="str">
        <f>IF(BN$6="","",IF(BN$3="Maior",iferror(VLOOKUP($R324,Capa!$A:$AJ,BN$5,0),0),IF(ISERROR(1/VLOOKUP($R324,Capa!$A:$AJ,BN$5,0)),0,1/VLOOKUP($R324,Capa!$A:$AJ,BN$5,0))))</f>
        <v/>
      </c>
      <c r="BO324" s="174" t="str">
        <f>IF(BO$6="","",IF(BO$3="Maior",iferror(VLOOKUP($R324,Capa!$A:$AJ,BO$5,0),0),IF(ISERROR(1/VLOOKUP($R324,Capa!$A:$AJ,BO$5,0)),0,1/VLOOKUP($R324,Capa!$A:$AJ,BO$5,0))))</f>
        <v/>
      </c>
      <c r="BP324" s="174" t="str">
        <f>IF(BP$6="","",IF(BP$3="Maior",iferror(VLOOKUP($R324,Capa!$A:$AJ,BP$5,0),0),IF(ISERROR(1/VLOOKUP($R324,Capa!$A:$AJ,BP$5,0)),0,1/VLOOKUP($R324,Capa!$A:$AJ,BP$5,0))))</f>
        <v/>
      </c>
      <c r="BQ324" s="174" t="str">
        <f>IF(BQ$6="","",IF(BQ$3="Maior",iferror(VLOOKUP($R324,Capa!$A:$AJ,BQ$5,0),0),IF(ISERROR(1/VLOOKUP($R324,Capa!$A:$AJ,BQ$5,0)),0,1/VLOOKUP($R324,Capa!$A:$AJ,BQ$5,0))))</f>
        <v/>
      </c>
      <c r="BR324" s="175"/>
      <c r="BS324" s="147"/>
    </row>
    <row r="325">
      <c r="G325" s="11"/>
      <c r="H325" s="8">
        <v>319.0</v>
      </c>
      <c r="I325" s="165" t="str">
        <f t="shared" si="6"/>
        <v>CAMB4</v>
      </c>
      <c r="J325" s="166" t="str">
        <f>(VLOOKUP($I325,Capa!$A:$B,2,0))</f>
        <v/>
      </c>
      <c r="K325" s="167" t="str">
        <f>VLOOKUP(left(I325,4),Setor!A:D,3,0)&amp;" | "&amp;VLOOKUP(left(I325,4),Setor!A:D,4,0)</f>
        <v>Consumo Cíclico | Tecidos, Vestuário e Calçados</v>
      </c>
      <c r="L325" s="168" t="str">
        <f>(VLOOKUP($I325,Capa!$A:$F,6,0))</f>
        <v/>
      </c>
      <c r="M325" s="168">
        <f t="shared" si="7"/>
        <v>0</v>
      </c>
      <c r="N325" s="11" t="str">
        <f>(VLOOKUP($I325,Capa!$A:$H,7,0))</f>
        <v/>
      </c>
      <c r="O325" s="169" t="str">
        <f>(VLOOKUP($I325,Capa!$A:$H,8,0))</f>
        <v/>
      </c>
      <c r="P325" s="11" t="str">
        <f>(VLOOKUP($I325,Capa!$A:$J,10,0))</f>
        <v/>
      </c>
      <c r="Q325" s="169" t="str">
        <f>(VLOOKUP($I325,Capa!$A:$K,11,0))</f>
        <v/>
      </c>
      <c r="R325" s="45" t="str">
        <f>'Dados StatusInvest'!A320</f>
        <v>IDVL4</v>
      </c>
      <c r="S325" s="170">
        <f t="shared" si="234"/>
        <v>1663.0663</v>
      </c>
      <c r="T325" s="171">
        <f>VLOOKUP(R325,'Dados StatusInvest'!A:Z,26,0)</f>
        <v>0</v>
      </c>
      <c r="U325" s="172">
        <f t="shared" ref="U325:AS325" si="328">IF(AT325="","", RANK(AT325,AT$7:AT$626,0)+RANK(AT325,AT$7:AT$626,0)/10000)</f>
        <v>396.0396</v>
      </c>
      <c r="V325" s="172">
        <f t="shared" si="328"/>
        <v>267.0267</v>
      </c>
      <c r="W325" s="172" t="str">
        <f t="shared" si="328"/>
        <v/>
      </c>
      <c r="X325" s="172" t="str">
        <f t="shared" si="328"/>
        <v/>
      </c>
      <c r="Y325" s="172" t="str">
        <f t="shared" si="328"/>
        <v/>
      </c>
      <c r="Z325" s="172" t="str">
        <f t="shared" si="328"/>
        <v/>
      </c>
      <c r="AA325" s="172" t="str">
        <f t="shared" si="328"/>
        <v/>
      </c>
      <c r="AB325" s="172" t="str">
        <f t="shared" si="328"/>
        <v/>
      </c>
      <c r="AC325" s="172" t="str">
        <f t="shared" si="328"/>
        <v/>
      </c>
      <c r="AD325" s="172" t="str">
        <f t="shared" si="328"/>
        <v/>
      </c>
      <c r="AE325" s="172" t="str">
        <f t="shared" si="328"/>
        <v/>
      </c>
      <c r="AF325" s="172" t="str">
        <f t="shared" si="328"/>
        <v/>
      </c>
      <c r="AG325" s="172" t="str">
        <f t="shared" si="328"/>
        <v/>
      </c>
      <c r="AH325" s="172" t="str">
        <f t="shared" si="328"/>
        <v/>
      </c>
      <c r="AI325" s="172" t="str">
        <f t="shared" si="328"/>
        <v/>
      </c>
      <c r="AJ325" s="172" t="str">
        <f t="shared" si="328"/>
        <v/>
      </c>
      <c r="AK325" s="172" t="str">
        <f t="shared" si="328"/>
        <v/>
      </c>
      <c r="AL325" s="172" t="str">
        <f t="shared" si="328"/>
        <v/>
      </c>
      <c r="AM325" s="172" t="str">
        <f t="shared" si="328"/>
        <v/>
      </c>
      <c r="AN325" s="172" t="str">
        <f t="shared" si="328"/>
        <v/>
      </c>
      <c r="AO325" s="172" t="str">
        <f t="shared" si="328"/>
        <v/>
      </c>
      <c r="AP325" s="172" t="str">
        <f t="shared" si="328"/>
        <v/>
      </c>
      <c r="AQ325" s="172" t="str">
        <f t="shared" si="328"/>
        <v/>
      </c>
      <c r="AR325" s="172" t="str">
        <f t="shared" si="328"/>
        <v/>
      </c>
      <c r="AS325" s="172" t="str">
        <f t="shared" si="328"/>
        <v/>
      </c>
      <c r="AT325" s="173">
        <f>IF(AT$6="","",IF(AT$3="Maior",iferror(VLOOKUP($R325,Capa!$A:$AJ,AT$5,0),0),IF(ISERROR(1/VLOOKUP($R325,Capa!$A:$AJ,AT$5,0)),0,1/VLOOKUP($R325,Capa!$A:$AJ,AT$5,0))))</f>
        <v>-1.333333333</v>
      </c>
      <c r="AU325" s="174">
        <f>IF(AU$6="","",IF(AU$3="Maior",iferror(VLOOKUP($R325,Capa!$A:$AJ,AU$5,0),0),IF(ISERROR(1/VLOOKUP($R325,Capa!$A:$AJ,AU$5,0)),0,1/VLOOKUP($R325,Capa!$A:$AJ,AU$5,0))))</f>
        <v>0</v>
      </c>
      <c r="AV325" s="174" t="str">
        <f>IF(AV$6="","",IF(AV$3="Maior",iferror(VLOOKUP($R325,Capa!$A:$AJ,AV$5,0),0),IF(ISERROR(1/VLOOKUP($R325,Capa!$A:$AJ,AV$5,0)),0,1/VLOOKUP($R325,Capa!$A:$AJ,AV$5,0))))</f>
        <v/>
      </c>
      <c r="AW325" s="174" t="str">
        <f>IF(AW$6="","",IF(AW$3="Maior",iferror(VLOOKUP($R325,Capa!$A:$AJ,AW$5,0),0),IF(ISERROR(1/VLOOKUP($R325,Capa!$A:$AJ,AW$5,0)),0,1/VLOOKUP($R325,Capa!$A:$AJ,AW$5,0))))</f>
        <v/>
      </c>
      <c r="AX325" s="174" t="str">
        <f>IF(AX$6="","",IF(AX$3="Maior",iferror(VLOOKUP($R325,Capa!$A:$AJ,AX$5,0),0),IF(ISERROR(1/VLOOKUP($R325,Capa!$A:$AJ,AX$5,0)),0,1/VLOOKUP($R325,Capa!$A:$AJ,AX$5,0))))</f>
        <v/>
      </c>
      <c r="AY325" s="174" t="str">
        <f>IF(AY$6="","",IF(AY$3="Maior",iferror(VLOOKUP($R325,Capa!$A:$AJ,AY$5,0),0),IF(ISERROR(1/VLOOKUP($R325,Capa!$A:$AJ,AY$5,0)),0,1/VLOOKUP($R325,Capa!$A:$AJ,AY$5,0))))</f>
        <v/>
      </c>
      <c r="AZ325" s="174" t="str">
        <f>IF(AZ$6="","",IF(AZ$3="Maior",iferror(VLOOKUP($R325,Capa!$A:$AJ,AZ$5,0),0),IF(ISERROR(1/VLOOKUP($R325,Capa!$A:$AJ,AZ$5,0)),0,1/VLOOKUP($R325,Capa!$A:$AJ,AZ$5,0))))</f>
        <v/>
      </c>
      <c r="BA325" s="174" t="str">
        <f>IF(BA$6="","",IF(BA$3="Maior",iferror(VLOOKUP($R325,Capa!$A:$AJ,BA$5,0),0),IF(ISERROR(1/VLOOKUP($R325,Capa!$A:$AJ,BA$5,0)),0,1/VLOOKUP($R325,Capa!$A:$AJ,BA$5,0))))</f>
        <v/>
      </c>
      <c r="BB325" s="174" t="str">
        <f>IF(BB$6="","",IF(BB$3="Maior",iferror(VLOOKUP($R325,Capa!$A:$AJ,BB$5,0),0),IF(ISERROR(1/VLOOKUP($R325,Capa!$A:$AJ,BB$5,0)),0,1/VLOOKUP($R325,Capa!$A:$AJ,BB$5,0))))</f>
        <v/>
      </c>
      <c r="BC325" s="174" t="str">
        <f>IF(BC$6="","",IF(BC$3="Maior",iferror(VLOOKUP($R325,Capa!$A:$AJ,BC$5,0),0),IF(ISERROR(1/VLOOKUP($R325,Capa!$A:$AJ,BC$5,0)),0,1/VLOOKUP($R325,Capa!$A:$AJ,BC$5,0))))</f>
        <v/>
      </c>
      <c r="BD325" s="174" t="str">
        <f>IF(BD$6="","",IF(BD$3="Maior",iferror(VLOOKUP($R325,Capa!$A:$AJ,BD$5,0),0),IF(ISERROR(1/VLOOKUP($R325,Capa!$A:$AJ,BD$5,0)),0,1/VLOOKUP($R325,Capa!$A:$AJ,BD$5,0))))</f>
        <v/>
      </c>
      <c r="BE325" s="174" t="str">
        <f>IF(BE$6="","",IF(BE$3="Maior",iferror(VLOOKUP($R325,Capa!$A:$AJ,BE$5,0),0),IF(ISERROR(1/VLOOKUP($R325,Capa!$A:$AJ,BE$5,0)),0,1/VLOOKUP($R325,Capa!$A:$AJ,BE$5,0))))</f>
        <v/>
      </c>
      <c r="BF325" s="174" t="str">
        <f>IF(BF$6="","",IF(BF$3="Maior",iferror(VLOOKUP($R325,Capa!$A:$AJ,BF$5,0),0),IF(ISERROR(1/VLOOKUP($R325,Capa!$A:$AJ,BF$5,0)),0,1/VLOOKUP($R325,Capa!$A:$AJ,BF$5,0))))</f>
        <v/>
      </c>
      <c r="BG325" s="174" t="str">
        <f>IF(BG$6="","",IF(BG$3="Maior",iferror(VLOOKUP($R325,Capa!$A:$AJ,BG$5,0),0),IF(ISERROR(1/VLOOKUP($R325,Capa!$A:$AJ,BG$5,0)),0,1/VLOOKUP($R325,Capa!$A:$AJ,BG$5,0))))</f>
        <v/>
      </c>
      <c r="BH325" s="174" t="str">
        <f>IF(BH$6="","",IF(BH$3="Maior",iferror(VLOOKUP($R325,Capa!$A:$AJ,BH$5,0),0),IF(ISERROR(1/VLOOKUP($R325,Capa!$A:$AJ,BH$5,0)),0,1/VLOOKUP($R325,Capa!$A:$AJ,BH$5,0))))</f>
        <v/>
      </c>
      <c r="BI325" s="174" t="str">
        <f>IF(BI$6="","",IF(BI$3="Maior",iferror(VLOOKUP($R325,Capa!$A:$AJ,BI$5,0),0),IF(ISERROR(1/VLOOKUP($R325,Capa!$A:$AJ,BI$5,0)),0,1/VLOOKUP($R325,Capa!$A:$AJ,BI$5,0))))</f>
        <v/>
      </c>
      <c r="BJ325" s="174" t="str">
        <f>IF(BJ$6="","",IF(BJ$3="Maior",iferror(VLOOKUP($R325,Capa!$A:$AJ,BJ$5,0),0),IF(ISERROR(1/VLOOKUP($R325,Capa!$A:$AJ,BJ$5,0)),0,1/VLOOKUP($R325,Capa!$A:$AJ,BJ$5,0))))</f>
        <v/>
      </c>
      <c r="BK325" s="174" t="str">
        <f>IF(BK$6="","",IF(BK$3="Maior",iferror(VLOOKUP($R325,Capa!$A:$AJ,BK$5,0),0),IF(ISERROR(1/VLOOKUP($R325,Capa!$A:$AJ,BK$5,0)),0,1/VLOOKUP($R325,Capa!$A:$AJ,BK$5,0))))</f>
        <v/>
      </c>
      <c r="BL325" s="174" t="str">
        <f>IF(BL$6="","",IF(BL$3="Maior",iferror(VLOOKUP($R325,Capa!$A:$AJ,BL$5,0),0),IF(ISERROR(1/VLOOKUP($R325,Capa!$A:$AJ,BL$5,0)),0,1/VLOOKUP($R325,Capa!$A:$AJ,BL$5,0))))</f>
        <v/>
      </c>
      <c r="BM325" s="174" t="str">
        <f>IF(BM$6="","",IF(BM$3="Maior",iferror(VLOOKUP($R325,Capa!$A:$AJ,BM$5,0),0),IF(ISERROR(1/VLOOKUP($R325,Capa!$A:$AJ,BM$5,0)),0,1/VLOOKUP($R325,Capa!$A:$AJ,BM$5,0))))</f>
        <v/>
      </c>
      <c r="BN325" s="174" t="str">
        <f>IF(BN$6="","",IF(BN$3="Maior",iferror(VLOOKUP($R325,Capa!$A:$AJ,BN$5,0),0),IF(ISERROR(1/VLOOKUP($R325,Capa!$A:$AJ,BN$5,0)),0,1/VLOOKUP($R325,Capa!$A:$AJ,BN$5,0))))</f>
        <v/>
      </c>
      <c r="BO325" s="174" t="str">
        <f>IF(BO$6="","",IF(BO$3="Maior",iferror(VLOOKUP($R325,Capa!$A:$AJ,BO$5,0),0),IF(ISERROR(1/VLOOKUP($R325,Capa!$A:$AJ,BO$5,0)),0,1/VLOOKUP($R325,Capa!$A:$AJ,BO$5,0))))</f>
        <v/>
      </c>
      <c r="BP325" s="174" t="str">
        <f>IF(BP$6="","",IF(BP$3="Maior",iferror(VLOOKUP($R325,Capa!$A:$AJ,BP$5,0),0),IF(ISERROR(1/VLOOKUP($R325,Capa!$A:$AJ,BP$5,0)),0,1/VLOOKUP($R325,Capa!$A:$AJ,BP$5,0))))</f>
        <v/>
      </c>
      <c r="BQ325" s="174" t="str">
        <f>IF(BQ$6="","",IF(BQ$3="Maior",iferror(VLOOKUP($R325,Capa!$A:$AJ,BQ$5,0),0),IF(ISERROR(1/VLOOKUP($R325,Capa!$A:$AJ,BQ$5,0)),0,1/VLOOKUP($R325,Capa!$A:$AJ,BQ$5,0))))</f>
        <v/>
      </c>
      <c r="BR325" s="175"/>
      <c r="BS325" s="147"/>
    </row>
    <row r="326">
      <c r="G326" s="11"/>
      <c r="H326" s="8">
        <v>320.0</v>
      </c>
      <c r="I326" s="165" t="str">
        <f t="shared" si="6"/>
        <v>AALR3</v>
      </c>
      <c r="J326" s="167" t="str">
        <f>(VLOOKUP($I326,Capa!$A:$B,2,0))</f>
        <v>#N/A</v>
      </c>
      <c r="K326" s="167" t="str">
        <f>VLOOKUP(left(I326,4),Setor!A:D,3,0)&amp;" | "&amp;VLOOKUP(left(I326,4),Setor!A:D,4,0)</f>
        <v>Saúde | Análises e Diagnósticos</v>
      </c>
      <c r="L326" s="10" t="str">
        <f>(VLOOKUP($I326,Capa!$A:$F,6,0))</f>
        <v>#N/A</v>
      </c>
      <c r="M326" s="168">
        <f t="shared" si="7"/>
        <v>233843</v>
      </c>
      <c r="N326" s="11" t="str">
        <f>(VLOOKUP($I326,Capa!$A:$H,7,0))</f>
        <v>#N/A</v>
      </c>
      <c r="O326" s="11" t="str">
        <f>(VLOOKUP($I326,Capa!$A:$H,8,0))</f>
        <v>#N/A</v>
      </c>
      <c r="P326" s="11" t="str">
        <f>(VLOOKUP($I326,Capa!$A:$J,10,0))</f>
        <v>#N/A</v>
      </c>
      <c r="Q326" s="11" t="str">
        <f>(VLOOKUP($I326,Capa!$A:$K,11,0))</f>
        <v>#N/A</v>
      </c>
      <c r="R326" s="45" t="str">
        <f>'Dados StatusInvest'!A321</f>
        <v>IFCM3</v>
      </c>
      <c r="S326" s="170">
        <f t="shared" si="234"/>
        <v>850.085</v>
      </c>
      <c r="T326" s="171">
        <f>VLOOKUP(R326,'Dados StatusInvest'!A:Z,26,0)</f>
        <v>634200.1</v>
      </c>
      <c r="U326" s="172">
        <f t="shared" ref="U326:AS326" si="329">IF(AT326="","", RANK(AT326,AT$7:AT$626,0)+RANK(AT326,AT$7:AT$626,0)/10000)</f>
        <v>583.0583</v>
      </c>
      <c r="V326" s="172">
        <f t="shared" si="329"/>
        <v>267.0267</v>
      </c>
      <c r="W326" s="172" t="str">
        <f t="shared" si="329"/>
        <v/>
      </c>
      <c r="X326" s="172" t="str">
        <f t="shared" si="329"/>
        <v/>
      </c>
      <c r="Y326" s="172" t="str">
        <f t="shared" si="329"/>
        <v/>
      </c>
      <c r="Z326" s="172" t="str">
        <f t="shared" si="329"/>
        <v/>
      </c>
      <c r="AA326" s="172" t="str">
        <f t="shared" si="329"/>
        <v/>
      </c>
      <c r="AB326" s="172" t="str">
        <f t="shared" si="329"/>
        <v/>
      </c>
      <c r="AC326" s="172" t="str">
        <f t="shared" si="329"/>
        <v/>
      </c>
      <c r="AD326" s="172" t="str">
        <f t="shared" si="329"/>
        <v/>
      </c>
      <c r="AE326" s="172" t="str">
        <f t="shared" si="329"/>
        <v/>
      </c>
      <c r="AF326" s="172" t="str">
        <f t="shared" si="329"/>
        <v/>
      </c>
      <c r="AG326" s="172" t="str">
        <f t="shared" si="329"/>
        <v/>
      </c>
      <c r="AH326" s="172" t="str">
        <f t="shared" si="329"/>
        <v/>
      </c>
      <c r="AI326" s="172" t="str">
        <f t="shared" si="329"/>
        <v/>
      </c>
      <c r="AJ326" s="172" t="str">
        <f t="shared" si="329"/>
        <v/>
      </c>
      <c r="AK326" s="172" t="str">
        <f t="shared" si="329"/>
        <v/>
      </c>
      <c r="AL326" s="172" t="str">
        <f t="shared" si="329"/>
        <v/>
      </c>
      <c r="AM326" s="172" t="str">
        <f t="shared" si="329"/>
        <v/>
      </c>
      <c r="AN326" s="172" t="str">
        <f t="shared" si="329"/>
        <v/>
      </c>
      <c r="AO326" s="172" t="str">
        <f t="shared" si="329"/>
        <v/>
      </c>
      <c r="AP326" s="172" t="str">
        <f t="shared" si="329"/>
        <v/>
      </c>
      <c r="AQ326" s="172" t="str">
        <f t="shared" si="329"/>
        <v/>
      </c>
      <c r="AR326" s="172" t="str">
        <f t="shared" si="329"/>
        <v/>
      </c>
      <c r="AS326" s="172" t="str">
        <f t="shared" si="329"/>
        <v/>
      </c>
      <c r="AT326" s="173">
        <f>IF(AT$6="","",IF(AT$3="Maior",iferror(VLOOKUP($R326,Capa!$A:$AJ,AT$5,0),0),IF(ISERROR(1/VLOOKUP($R326,Capa!$A:$AJ,AT$5,0)),0,1/VLOOKUP($R326,Capa!$A:$AJ,AT$5,0))))</f>
        <v>-9.247648903</v>
      </c>
      <c r="AU326" s="174">
        <f>IF(AU$6="","",IF(AU$3="Maior",iferror(VLOOKUP($R326,Capa!$A:$AJ,AU$5,0),0),IF(ISERROR(1/VLOOKUP($R326,Capa!$A:$AJ,AU$5,0)),0,1/VLOOKUP($R326,Capa!$A:$AJ,AU$5,0))))</f>
        <v>0</v>
      </c>
      <c r="AV326" s="174" t="str">
        <f>IF(AV$6="","",IF(AV$3="Maior",iferror(VLOOKUP($R326,Capa!$A:$AJ,AV$5,0),0),IF(ISERROR(1/VLOOKUP($R326,Capa!$A:$AJ,AV$5,0)),0,1/VLOOKUP($R326,Capa!$A:$AJ,AV$5,0))))</f>
        <v/>
      </c>
      <c r="AW326" s="174" t="str">
        <f>IF(AW$6="","",IF(AW$3="Maior",iferror(VLOOKUP($R326,Capa!$A:$AJ,AW$5,0),0),IF(ISERROR(1/VLOOKUP($R326,Capa!$A:$AJ,AW$5,0)),0,1/VLOOKUP($R326,Capa!$A:$AJ,AW$5,0))))</f>
        <v/>
      </c>
      <c r="AX326" s="174" t="str">
        <f>IF(AX$6="","",IF(AX$3="Maior",iferror(VLOOKUP($R326,Capa!$A:$AJ,AX$5,0),0),IF(ISERROR(1/VLOOKUP($R326,Capa!$A:$AJ,AX$5,0)),0,1/VLOOKUP($R326,Capa!$A:$AJ,AX$5,0))))</f>
        <v/>
      </c>
      <c r="AY326" s="174" t="str">
        <f>IF(AY$6="","",IF(AY$3="Maior",iferror(VLOOKUP($R326,Capa!$A:$AJ,AY$5,0),0),IF(ISERROR(1/VLOOKUP($R326,Capa!$A:$AJ,AY$5,0)),0,1/VLOOKUP($R326,Capa!$A:$AJ,AY$5,0))))</f>
        <v/>
      </c>
      <c r="AZ326" s="174" t="str">
        <f>IF(AZ$6="","",IF(AZ$3="Maior",iferror(VLOOKUP($R326,Capa!$A:$AJ,AZ$5,0),0),IF(ISERROR(1/VLOOKUP($R326,Capa!$A:$AJ,AZ$5,0)),0,1/VLOOKUP($R326,Capa!$A:$AJ,AZ$5,0))))</f>
        <v/>
      </c>
      <c r="BA326" s="174" t="str">
        <f>IF(BA$6="","",IF(BA$3="Maior",iferror(VLOOKUP($R326,Capa!$A:$AJ,BA$5,0),0),IF(ISERROR(1/VLOOKUP($R326,Capa!$A:$AJ,BA$5,0)),0,1/VLOOKUP($R326,Capa!$A:$AJ,BA$5,0))))</f>
        <v/>
      </c>
      <c r="BB326" s="174" t="str">
        <f>IF(BB$6="","",IF(BB$3="Maior",iferror(VLOOKUP($R326,Capa!$A:$AJ,BB$5,0),0),IF(ISERROR(1/VLOOKUP($R326,Capa!$A:$AJ,BB$5,0)),0,1/VLOOKUP($R326,Capa!$A:$AJ,BB$5,0))))</f>
        <v/>
      </c>
      <c r="BC326" s="174" t="str">
        <f>IF(BC$6="","",IF(BC$3="Maior",iferror(VLOOKUP($R326,Capa!$A:$AJ,BC$5,0),0),IF(ISERROR(1/VLOOKUP($R326,Capa!$A:$AJ,BC$5,0)),0,1/VLOOKUP($R326,Capa!$A:$AJ,BC$5,0))))</f>
        <v/>
      </c>
      <c r="BD326" s="174" t="str">
        <f>IF(BD$6="","",IF(BD$3="Maior",iferror(VLOOKUP($R326,Capa!$A:$AJ,BD$5,0),0),IF(ISERROR(1/VLOOKUP($R326,Capa!$A:$AJ,BD$5,0)),0,1/VLOOKUP($R326,Capa!$A:$AJ,BD$5,0))))</f>
        <v/>
      </c>
      <c r="BE326" s="174" t="str">
        <f>IF(BE$6="","",IF(BE$3="Maior",iferror(VLOOKUP($R326,Capa!$A:$AJ,BE$5,0),0),IF(ISERROR(1/VLOOKUP($R326,Capa!$A:$AJ,BE$5,0)),0,1/VLOOKUP($R326,Capa!$A:$AJ,BE$5,0))))</f>
        <v/>
      </c>
      <c r="BF326" s="174" t="str">
        <f>IF(BF$6="","",IF(BF$3="Maior",iferror(VLOOKUP($R326,Capa!$A:$AJ,BF$5,0),0),IF(ISERROR(1/VLOOKUP($R326,Capa!$A:$AJ,BF$5,0)),0,1/VLOOKUP($R326,Capa!$A:$AJ,BF$5,0))))</f>
        <v/>
      </c>
      <c r="BG326" s="174" t="str">
        <f>IF(BG$6="","",IF(BG$3="Maior",iferror(VLOOKUP($R326,Capa!$A:$AJ,BG$5,0),0),IF(ISERROR(1/VLOOKUP($R326,Capa!$A:$AJ,BG$5,0)),0,1/VLOOKUP($R326,Capa!$A:$AJ,BG$5,0))))</f>
        <v/>
      </c>
      <c r="BH326" s="174" t="str">
        <f>IF(BH$6="","",IF(BH$3="Maior",iferror(VLOOKUP($R326,Capa!$A:$AJ,BH$5,0),0),IF(ISERROR(1/VLOOKUP($R326,Capa!$A:$AJ,BH$5,0)),0,1/VLOOKUP($R326,Capa!$A:$AJ,BH$5,0))))</f>
        <v/>
      </c>
      <c r="BI326" s="174" t="str">
        <f>IF(BI$6="","",IF(BI$3="Maior",iferror(VLOOKUP($R326,Capa!$A:$AJ,BI$5,0),0),IF(ISERROR(1/VLOOKUP($R326,Capa!$A:$AJ,BI$5,0)),0,1/VLOOKUP($R326,Capa!$A:$AJ,BI$5,0))))</f>
        <v/>
      </c>
      <c r="BJ326" s="174" t="str">
        <f>IF(BJ$6="","",IF(BJ$3="Maior",iferror(VLOOKUP($R326,Capa!$A:$AJ,BJ$5,0),0),IF(ISERROR(1/VLOOKUP($R326,Capa!$A:$AJ,BJ$5,0)),0,1/VLOOKUP($R326,Capa!$A:$AJ,BJ$5,0))))</f>
        <v/>
      </c>
      <c r="BK326" s="174" t="str">
        <f>IF(BK$6="","",IF(BK$3="Maior",iferror(VLOOKUP($R326,Capa!$A:$AJ,BK$5,0),0),IF(ISERROR(1/VLOOKUP($R326,Capa!$A:$AJ,BK$5,0)),0,1/VLOOKUP($R326,Capa!$A:$AJ,BK$5,0))))</f>
        <v/>
      </c>
      <c r="BL326" s="174" t="str">
        <f>IF(BL$6="","",IF(BL$3="Maior",iferror(VLOOKUP($R326,Capa!$A:$AJ,BL$5,0),0),IF(ISERROR(1/VLOOKUP($R326,Capa!$A:$AJ,BL$5,0)),0,1/VLOOKUP($R326,Capa!$A:$AJ,BL$5,0))))</f>
        <v/>
      </c>
      <c r="BM326" s="174" t="str">
        <f>IF(BM$6="","",IF(BM$3="Maior",iferror(VLOOKUP($R326,Capa!$A:$AJ,BM$5,0),0),IF(ISERROR(1/VLOOKUP($R326,Capa!$A:$AJ,BM$5,0)),0,1/VLOOKUP($R326,Capa!$A:$AJ,BM$5,0))))</f>
        <v/>
      </c>
      <c r="BN326" s="174" t="str">
        <f>IF(BN$6="","",IF(BN$3="Maior",iferror(VLOOKUP($R326,Capa!$A:$AJ,BN$5,0),0),IF(ISERROR(1/VLOOKUP($R326,Capa!$A:$AJ,BN$5,0)),0,1/VLOOKUP($R326,Capa!$A:$AJ,BN$5,0))))</f>
        <v/>
      </c>
      <c r="BO326" s="174" t="str">
        <f>IF(BO$6="","",IF(BO$3="Maior",iferror(VLOOKUP($R326,Capa!$A:$AJ,BO$5,0),0),IF(ISERROR(1/VLOOKUP($R326,Capa!$A:$AJ,BO$5,0)),0,1/VLOOKUP($R326,Capa!$A:$AJ,BO$5,0))))</f>
        <v/>
      </c>
      <c r="BP326" s="174" t="str">
        <f>IF(BP$6="","",IF(BP$3="Maior",iferror(VLOOKUP($R326,Capa!$A:$AJ,BP$5,0),0),IF(ISERROR(1/VLOOKUP($R326,Capa!$A:$AJ,BP$5,0)),0,1/VLOOKUP($R326,Capa!$A:$AJ,BP$5,0))))</f>
        <v/>
      </c>
      <c r="BQ326" s="174" t="str">
        <f>IF(BQ$6="","",IF(BQ$3="Maior",iferror(VLOOKUP($R326,Capa!$A:$AJ,BQ$5,0),0),IF(ISERROR(1/VLOOKUP($R326,Capa!$A:$AJ,BQ$5,0)),0,1/VLOOKUP($R326,Capa!$A:$AJ,BQ$5,0))))</f>
        <v/>
      </c>
      <c r="BR326" s="175"/>
      <c r="BS326" s="147"/>
    </row>
    <row r="327">
      <c r="G327" s="11"/>
      <c r="H327" s="8">
        <v>321.0</v>
      </c>
      <c r="I327" s="165" t="str">
        <f t="shared" si="6"/>
        <v>AALR3</v>
      </c>
      <c r="J327" s="167" t="str">
        <f>(VLOOKUP($I327,Capa!$A:$B,2,0))</f>
        <v>#N/A</v>
      </c>
      <c r="K327" s="167" t="str">
        <f>VLOOKUP(left(I327,4),Setor!A:D,3,0)&amp;" | "&amp;VLOOKUP(left(I327,4),Setor!A:D,4,0)</f>
        <v>Saúde | Análises e Diagnósticos</v>
      </c>
      <c r="L327" s="10" t="str">
        <f>(VLOOKUP($I327,Capa!$A:$F,6,0))</f>
        <v>#N/A</v>
      </c>
      <c r="M327" s="168">
        <f t="shared" si="7"/>
        <v>233843</v>
      </c>
      <c r="N327" s="11" t="str">
        <f>(VLOOKUP($I327,Capa!$A:$H,7,0))</f>
        <v>#N/A</v>
      </c>
      <c r="O327" s="11" t="str">
        <f>(VLOOKUP($I327,Capa!$A:$H,8,0))</f>
        <v>#N/A</v>
      </c>
      <c r="P327" s="11" t="str">
        <f>(VLOOKUP($I327,Capa!$A:$J,10,0))</f>
        <v>#N/A</v>
      </c>
      <c r="Q327" s="11" t="str">
        <f>(VLOOKUP($I327,Capa!$A:$K,11,0))</f>
        <v>#N/A</v>
      </c>
      <c r="R327" s="45" t="str">
        <f>'Dados StatusInvest'!A322</f>
        <v>IGBR3</v>
      </c>
      <c r="S327" s="170">
        <f t="shared" si="234"/>
        <v>1596.0596</v>
      </c>
      <c r="T327" s="171">
        <f>VLOOKUP(R327,'Dados StatusInvest'!A:Z,26,0)</f>
        <v>0</v>
      </c>
      <c r="U327" s="172">
        <f t="shared" ref="U327:AS327" si="330">IF(AT327="","", RANK(AT327,AT$7:AT$626,0)+RANK(AT327,AT$7:AT$626,0)/10000)</f>
        <v>329.0329</v>
      </c>
      <c r="V327" s="172">
        <f t="shared" si="330"/>
        <v>267.0267</v>
      </c>
      <c r="W327" s="172" t="str">
        <f t="shared" si="330"/>
        <v/>
      </c>
      <c r="X327" s="172" t="str">
        <f t="shared" si="330"/>
        <v/>
      </c>
      <c r="Y327" s="172" t="str">
        <f t="shared" si="330"/>
        <v/>
      </c>
      <c r="Z327" s="172" t="str">
        <f t="shared" si="330"/>
        <v/>
      </c>
      <c r="AA327" s="172" t="str">
        <f t="shared" si="330"/>
        <v/>
      </c>
      <c r="AB327" s="172" t="str">
        <f t="shared" si="330"/>
        <v/>
      </c>
      <c r="AC327" s="172" t="str">
        <f t="shared" si="330"/>
        <v/>
      </c>
      <c r="AD327" s="172" t="str">
        <f t="shared" si="330"/>
        <v/>
      </c>
      <c r="AE327" s="172" t="str">
        <f t="shared" si="330"/>
        <v/>
      </c>
      <c r="AF327" s="172" t="str">
        <f t="shared" si="330"/>
        <v/>
      </c>
      <c r="AG327" s="172" t="str">
        <f t="shared" si="330"/>
        <v/>
      </c>
      <c r="AH327" s="172" t="str">
        <f t="shared" si="330"/>
        <v/>
      </c>
      <c r="AI327" s="172" t="str">
        <f t="shared" si="330"/>
        <v/>
      </c>
      <c r="AJ327" s="172" t="str">
        <f t="shared" si="330"/>
        <v/>
      </c>
      <c r="AK327" s="172" t="str">
        <f t="shared" si="330"/>
        <v/>
      </c>
      <c r="AL327" s="172" t="str">
        <f t="shared" si="330"/>
        <v/>
      </c>
      <c r="AM327" s="172" t="str">
        <f t="shared" si="330"/>
        <v/>
      </c>
      <c r="AN327" s="172" t="str">
        <f t="shared" si="330"/>
        <v/>
      </c>
      <c r="AO327" s="172" t="str">
        <f t="shared" si="330"/>
        <v/>
      </c>
      <c r="AP327" s="172" t="str">
        <f t="shared" si="330"/>
        <v/>
      </c>
      <c r="AQ327" s="172" t="str">
        <f t="shared" si="330"/>
        <v/>
      </c>
      <c r="AR327" s="172" t="str">
        <f t="shared" si="330"/>
        <v/>
      </c>
      <c r="AS327" s="172" t="str">
        <f t="shared" si="330"/>
        <v/>
      </c>
      <c r="AT327" s="173">
        <f>IF(AT$6="","",IF(AT$3="Maior",iferror(VLOOKUP($R327,Capa!$A:$AJ,AT$5,0),0),IF(ISERROR(1/VLOOKUP($R327,Capa!$A:$AJ,AT$5,0)),0,1/VLOOKUP($R327,Capa!$A:$AJ,AT$5,0))))</f>
        <v>-0.8620689655</v>
      </c>
      <c r="AU327" s="174">
        <f>IF(AU$6="","",IF(AU$3="Maior",iferror(VLOOKUP($R327,Capa!$A:$AJ,AU$5,0),0),IF(ISERROR(1/VLOOKUP($R327,Capa!$A:$AJ,AU$5,0)),0,1/VLOOKUP($R327,Capa!$A:$AJ,AU$5,0))))</f>
        <v>0</v>
      </c>
      <c r="AV327" s="174" t="str">
        <f>IF(AV$6="","",IF(AV$3="Maior",iferror(VLOOKUP($R327,Capa!$A:$AJ,AV$5,0),0),IF(ISERROR(1/VLOOKUP($R327,Capa!$A:$AJ,AV$5,0)),0,1/VLOOKUP($R327,Capa!$A:$AJ,AV$5,0))))</f>
        <v/>
      </c>
      <c r="AW327" s="174" t="str">
        <f>IF(AW$6="","",IF(AW$3="Maior",iferror(VLOOKUP($R327,Capa!$A:$AJ,AW$5,0),0),IF(ISERROR(1/VLOOKUP($R327,Capa!$A:$AJ,AW$5,0)),0,1/VLOOKUP($R327,Capa!$A:$AJ,AW$5,0))))</f>
        <v/>
      </c>
      <c r="AX327" s="174" t="str">
        <f>IF(AX$6="","",IF(AX$3="Maior",iferror(VLOOKUP($R327,Capa!$A:$AJ,AX$5,0),0),IF(ISERROR(1/VLOOKUP($R327,Capa!$A:$AJ,AX$5,0)),0,1/VLOOKUP($R327,Capa!$A:$AJ,AX$5,0))))</f>
        <v/>
      </c>
      <c r="AY327" s="174" t="str">
        <f>IF(AY$6="","",IF(AY$3="Maior",iferror(VLOOKUP($R327,Capa!$A:$AJ,AY$5,0),0),IF(ISERROR(1/VLOOKUP($R327,Capa!$A:$AJ,AY$5,0)),0,1/VLOOKUP($R327,Capa!$A:$AJ,AY$5,0))))</f>
        <v/>
      </c>
      <c r="AZ327" s="174" t="str">
        <f>IF(AZ$6="","",IF(AZ$3="Maior",iferror(VLOOKUP($R327,Capa!$A:$AJ,AZ$5,0),0),IF(ISERROR(1/VLOOKUP($R327,Capa!$A:$AJ,AZ$5,0)),0,1/VLOOKUP($R327,Capa!$A:$AJ,AZ$5,0))))</f>
        <v/>
      </c>
      <c r="BA327" s="174" t="str">
        <f>IF(BA$6="","",IF(BA$3="Maior",iferror(VLOOKUP($R327,Capa!$A:$AJ,BA$5,0),0),IF(ISERROR(1/VLOOKUP($R327,Capa!$A:$AJ,BA$5,0)),0,1/VLOOKUP($R327,Capa!$A:$AJ,BA$5,0))))</f>
        <v/>
      </c>
      <c r="BB327" s="174" t="str">
        <f>IF(BB$6="","",IF(BB$3="Maior",iferror(VLOOKUP($R327,Capa!$A:$AJ,BB$5,0),0),IF(ISERROR(1/VLOOKUP($R327,Capa!$A:$AJ,BB$5,0)),0,1/VLOOKUP($R327,Capa!$A:$AJ,BB$5,0))))</f>
        <v/>
      </c>
      <c r="BC327" s="174" t="str">
        <f>IF(BC$6="","",IF(BC$3="Maior",iferror(VLOOKUP($R327,Capa!$A:$AJ,BC$5,0),0),IF(ISERROR(1/VLOOKUP($R327,Capa!$A:$AJ,BC$5,0)),0,1/VLOOKUP($R327,Capa!$A:$AJ,BC$5,0))))</f>
        <v/>
      </c>
      <c r="BD327" s="174" t="str">
        <f>IF(BD$6="","",IF(BD$3="Maior",iferror(VLOOKUP($R327,Capa!$A:$AJ,BD$5,0),0),IF(ISERROR(1/VLOOKUP($R327,Capa!$A:$AJ,BD$5,0)),0,1/VLOOKUP($R327,Capa!$A:$AJ,BD$5,0))))</f>
        <v/>
      </c>
      <c r="BE327" s="174" t="str">
        <f>IF(BE$6="","",IF(BE$3="Maior",iferror(VLOOKUP($R327,Capa!$A:$AJ,BE$5,0),0),IF(ISERROR(1/VLOOKUP($R327,Capa!$A:$AJ,BE$5,0)),0,1/VLOOKUP($R327,Capa!$A:$AJ,BE$5,0))))</f>
        <v/>
      </c>
      <c r="BF327" s="174" t="str">
        <f>IF(BF$6="","",IF(BF$3="Maior",iferror(VLOOKUP($R327,Capa!$A:$AJ,BF$5,0),0),IF(ISERROR(1/VLOOKUP($R327,Capa!$A:$AJ,BF$5,0)),0,1/VLOOKUP($R327,Capa!$A:$AJ,BF$5,0))))</f>
        <v/>
      </c>
      <c r="BG327" s="174" t="str">
        <f>IF(BG$6="","",IF(BG$3="Maior",iferror(VLOOKUP($R327,Capa!$A:$AJ,BG$5,0),0),IF(ISERROR(1/VLOOKUP($R327,Capa!$A:$AJ,BG$5,0)),0,1/VLOOKUP($R327,Capa!$A:$AJ,BG$5,0))))</f>
        <v/>
      </c>
      <c r="BH327" s="174" t="str">
        <f>IF(BH$6="","",IF(BH$3="Maior",iferror(VLOOKUP($R327,Capa!$A:$AJ,BH$5,0),0),IF(ISERROR(1/VLOOKUP($R327,Capa!$A:$AJ,BH$5,0)),0,1/VLOOKUP($R327,Capa!$A:$AJ,BH$5,0))))</f>
        <v/>
      </c>
      <c r="BI327" s="174" t="str">
        <f>IF(BI$6="","",IF(BI$3="Maior",iferror(VLOOKUP($R327,Capa!$A:$AJ,BI$5,0),0),IF(ISERROR(1/VLOOKUP($R327,Capa!$A:$AJ,BI$5,0)),0,1/VLOOKUP($R327,Capa!$A:$AJ,BI$5,0))))</f>
        <v/>
      </c>
      <c r="BJ327" s="174" t="str">
        <f>IF(BJ$6="","",IF(BJ$3="Maior",iferror(VLOOKUP($R327,Capa!$A:$AJ,BJ$5,0),0),IF(ISERROR(1/VLOOKUP($R327,Capa!$A:$AJ,BJ$5,0)),0,1/VLOOKUP($R327,Capa!$A:$AJ,BJ$5,0))))</f>
        <v/>
      </c>
      <c r="BK327" s="174" t="str">
        <f>IF(BK$6="","",IF(BK$3="Maior",iferror(VLOOKUP($R327,Capa!$A:$AJ,BK$5,0),0),IF(ISERROR(1/VLOOKUP($R327,Capa!$A:$AJ,BK$5,0)),0,1/VLOOKUP($R327,Capa!$A:$AJ,BK$5,0))))</f>
        <v/>
      </c>
      <c r="BL327" s="174" t="str">
        <f>IF(BL$6="","",IF(BL$3="Maior",iferror(VLOOKUP($R327,Capa!$A:$AJ,BL$5,0),0),IF(ISERROR(1/VLOOKUP($R327,Capa!$A:$AJ,BL$5,0)),0,1/VLOOKUP($R327,Capa!$A:$AJ,BL$5,0))))</f>
        <v/>
      </c>
      <c r="BM327" s="174" t="str">
        <f>IF(BM$6="","",IF(BM$3="Maior",iferror(VLOOKUP($R327,Capa!$A:$AJ,BM$5,0),0),IF(ISERROR(1/VLOOKUP($R327,Capa!$A:$AJ,BM$5,0)),0,1/VLOOKUP($R327,Capa!$A:$AJ,BM$5,0))))</f>
        <v/>
      </c>
      <c r="BN327" s="174" t="str">
        <f>IF(BN$6="","",IF(BN$3="Maior",iferror(VLOOKUP($R327,Capa!$A:$AJ,BN$5,0),0),IF(ISERROR(1/VLOOKUP($R327,Capa!$A:$AJ,BN$5,0)),0,1/VLOOKUP($R327,Capa!$A:$AJ,BN$5,0))))</f>
        <v/>
      </c>
      <c r="BO327" s="174" t="str">
        <f>IF(BO$6="","",IF(BO$3="Maior",iferror(VLOOKUP($R327,Capa!$A:$AJ,BO$5,0),0),IF(ISERROR(1/VLOOKUP($R327,Capa!$A:$AJ,BO$5,0)),0,1/VLOOKUP($R327,Capa!$A:$AJ,BO$5,0))))</f>
        <v/>
      </c>
      <c r="BP327" s="174" t="str">
        <f>IF(BP$6="","",IF(BP$3="Maior",iferror(VLOOKUP($R327,Capa!$A:$AJ,BP$5,0),0),IF(ISERROR(1/VLOOKUP($R327,Capa!$A:$AJ,BP$5,0)),0,1/VLOOKUP($R327,Capa!$A:$AJ,BP$5,0))))</f>
        <v/>
      </c>
      <c r="BQ327" s="174" t="str">
        <f>IF(BQ$6="","",IF(BQ$3="Maior",iferror(VLOOKUP($R327,Capa!$A:$AJ,BQ$5,0),0),IF(ISERROR(1/VLOOKUP($R327,Capa!$A:$AJ,BQ$5,0)),0,1/VLOOKUP($R327,Capa!$A:$AJ,BQ$5,0))))</f>
        <v/>
      </c>
      <c r="BR327" s="175"/>
      <c r="BS327" s="147"/>
    </row>
    <row r="328">
      <c r="G328" s="11"/>
      <c r="H328" s="8">
        <v>322.0</v>
      </c>
      <c r="I328" s="165" t="str">
        <f t="shared" si="6"/>
        <v>AALR3</v>
      </c>
      <c r="J328" s="167" t="str">
        <f>(VLOOKUP($I328,Capa!$A:$B,2,0))</f>
        <v>#N/A</v>
      </c>
      <c r="K328" s="167" t="str">
        <f>VLOOKUP(left(I328,4),Setor!A:D,3,0)&amp;" | "&amp;VLOOKUP(left(I328,4),Setor!A:D,4,0)</f>
        <v>Saúde | Análises e Diagnósticos</v>
      </c>
      <c r="L328" s="10" t="str">
        <f>(VLOOKUP($I328,Capa!$A:$F,6,0))</f>
        <v>#N/A</v>
      </c>
      <c r="M328" s="168">
        <f t="shared" si="7"/>
        <v>233843</v>
      </c>
      <c r="N328" s="11" t="str">
        <f>(VLOOKUP($I328,Capa!$A:$H,7,0))</f>
        <v>#N/A</v>
      </c>
      <c r="O328" s="11" t="str">
        <f>(VLOOKUP($I328,Capa!$A:$H,8,0))</f>
        <v>#N/A</v>
      </c>
      <c r="P328" s="11" t="str">
        <f>(VLOOKUP($I328,Capa!$A:$J,10,0))</f>
        <v>#N/A</v>
      </c>
      <c r="Q328" s="11" t="str">
        <f>(VLOOKUP($I328,Capa!$A:$K,11,0))</f>
        <v>#N/A</v>
      </c>
      <c r="R328" s="45" t="str">
        <f>'Dados StatusInvest'!A323</f>
        <v>IGSN3</v>
      </c>
      <c r="S328" s="170">
        <f t="shared" si="234"/>
        <v>1318.0318</v>
      </c>
      <c r="T328" s="171">
        <f>VLOOKUP(R328,'Dados StatusInvest'!A:Z,26,0)</f>
        <v>0</v>
      </c>
      <c r="U328" s="172">
        <f t="shared" ref="U328:AS328" si="331">IF(AT328="","", RANK(AT328,AT$7:AT$626,0)+RANK(AT328,AT$7:AT$626,0)/10000)</f>
        <v>51.0051</v>
      </c>
      <c r="V328" s="172">
        <f t="shared" si="331"/>
        <v>267.0267</v>
      </c>
      <c r="W328" s="172" t="str">
        <f t="shared" si="331"/>
        <v/>
      </c>
      <c r="X328" s="172" t="str">
        <f t="shared" si="331"/>
        <v/>
      </c>
      <c r="Y328" s="172" t="str">
        <f t="shared" si="331"/>
        <v/>
      </c>
      <c r="Z328" s="172" t="str">
        <f t="shared" si="331"/>
        <v/>
      </c>
      <c r="AA328" s="172" t="str">
        <f t="shared" si="331"/>
        <v/>
      </c>
      <c r="AB328" s="172" t="str">
        <f t="shared" si="331"/>
        <v/>
      </c>
      <c r="AC328" s="172" t="str">
        <f t="shared" si="331"/>
        <v/>
      </c>
      <c r="AD328" s="172" t="str">
        <f t="shared" si="331"/>
        <v/>
      </c>
      <c r="AE328" s="172" t="str">
        <f t="shared" si="331"/>
        <v/>
      </c>
      <c r="AF328" s="172" t="str">
        <f t="shared" si="331"/>
        <v/>
      </c>
      <c r="AG328" s="172" t="str">
        <f t="shared" si="331"/>
        <v/>
      </c>
      <c r="AH328" s="172" t="str">
        <f t="shared" si="331"/>
        <v/>
      </c>
      <c r="AI328" s="172" t="str">
        <f t="shared" si="331"/>
        <v/>
      </c>
      <c r="AJ328" s="172" t="str">
        <f t="shared" si="331"/>
        <v/>
      </c>
      <c r="AK328" s="172" t="str">
        <f t="shared" si="331"/>
        <v/>
      </c>
      <c r="AL328" s="172" t="str">
        <f t="shared" si="331"/>
        <v/>
      </c>
      <c r="AM328" s="172" t="str">
        <f t="shared" si="331"/>
        <v/>
      </c>
      <c r="AN328" s="172" t="str">
        <f t="shared" si="331"/>
        <v/>
      </c>
      <c r="AO328" s="172" t="str">
        <f t="shared" si="331"/>
        <v/>
      </c>
      <c r="AP328" s="172" t="str">
        <f t="shared" si="331"/>
        <v/>
      </c>
      <c r="AQ328" s="172" t="str">
        <f t="shared" si="331"/>
        <v/>
      </c>
      <c r="AR328" s="172" t="str">
        <f t="shared" si="331"/>
        <v/>
      </c>
      <c r="AS328" s="172" t="str">
        <f t="shared" si="331"/>
        <v/>
      </c>
      <c r="AT328" s="173">
        <f>IF(AT$6="","",IF(AT$3="Maior",iferror(VLOOKUP($R328,Capa!$A:$AJ,AT$5,0),0),IF(ISERROR(1/VLOOKUP($R328,Capa!$A:$AJ,AT$5,0)),0,1/VLOOKUP($R328,Capa!$A:$AJ,AT$5,0))))</f>
        <v>0</v>
      </c>
      <c r="AU328" s="174">
        <f>IF(AU$6="","",IF(AU$3="Maior",iferror(VLOOKUP($R328,Capa!$A:$AJ,AU$5,0),0),IF(ISERROR(1/VLOOKUP($R328,Capa!$A:$AJ,AU$5,0)),0,1/VLOOKUP($R328,Capa!$A:$AJ,AU$5,0))))</f>
        <v>0</v>
      </c>
      <c r="AV328" s="174" t="str">
        <f>IF(AV$6="","",IF(AV$3="Maior",iferror(VLOOKUP($R328,Capa!$A:$AJ,AV$5,0),0),IF(ISERROR(1/VLOOKUP($R328,Capa!$A:$AJ,AV$5,0)),0,1/VLOOKUP($R328,Capa!$A:$AJ,AV$5,0))))</f>
        <v/>
      </c>
      <c r="AW328" s="174" t="str">
        <f>IF(AW$6="","",IF(AW$3="Maior",iferror(VLOOKUP($R328,Capa!$A:$AJ,AW$5,0),0),IF(ISERROR(1/VLOOKUP($R328,Capa!$A:$AJ,AW$5,0)),0,1/VLOOKUP($R328,Capa!$A:$AJ,AW$5,0))))</f>
        <v/>
      </c>
      <c r="AX328" s="174" t="str">
        <f>IF(AX$6="","",IF(AX$3="Maior",iferror(VLOOKUP($R328,Capa!$A:$AJ,AX$5,0),0),IF(ISERROR(1/VLOOKUP($R328,Capa!$A:$AJ,AX$5,0)),0,1/VLOOKUP($R328,Capa!$A:$AJ,AX$5,0))))</f>
        <v/>
      </c>
      <c r="AY328" s="174" t="str">
        <f>IF(AY$6="","",IF(AY$3="Maior",iferror(VLOOKUP($R328,Capa!$A:$AJ,AY$5,0),0),IF(ISERROR(1/VLOOKUP($R328,Capa!$A:$AJ,AY$5,0)),0,1/VLOOKUP($R328,Capa!$A:$AJ,AY$5,0))))</f>
        <v/>
      </c>
      <c r="AZ328" s="174" t="str">
        <f>IF(AZ$6="","",IF(AZ$3="Maior",iferror(VLOOKUP($R328,Capa!$A:$AJ,AZ$5,0),0),IF(ISERROR(1/VLOOKUP($R328,Capa!$A:$AJ,AZ$5,0)),0,1/VLOOKUP($R328,Capa!$A:$AJ,AZ$5,0))))</f>
        <v/>
      </c>
      <c r="BA328" s="174" t="str">
        <f>IF(BA$6="","",IF(BA$3="Maior",iferror(VLOOKUP($R328,Capa!$A:$AJ,BA$5,0),0),IF(ISERROR(1/VLOOKUP($R328,Capa!$A:$AJ,BA$5,0)),0,1/VLOOKUP($R328,Capa!$A:$AJ,BA$5,0))))</f>
        <v/>
      </c>
      <c r="BB328" s="174" t="str">
        <f>IF(BB$6="","",IF(BB$3="Maior",iferror(VLOOKUP($R328,Capa!$A:$AJ,BB$5,0),0),IF(ISERROR(1/VLOOKUP($R328,Capa!$A:$AJ,BB$5,0)),0,1/VLOOKUP($R328,Capa!$A:$AJ,BB$5,0))))</f>
        <v/>
      </c>
      <c r="BC328" s="174" t="str">
        <f>IF(BC$6="","",IF(BC$3="Maior",iferror(VLOOKUP($R328,Capa!$A:$AJ,BC$5,0),0),IF(ISERROR(1/VLOOKUP($R328,Capa!$A:$AJ,BC$5,0)),0,1/VLOOKUP($R328,Capa!$A:$AJ,BC$5,0))))</f>
        <v/>
      </c>
      <c r="BD328" s="174" t="str">
        <f>IF(BD$6="","",IF(BD$3="Maior",iferror(VLOOKUP($R328,Capa!$A:$AJ,BD$5,0),0),IF(ISERROR(1/VLOOKUP($R328,Capa!$A:$AJ,BD$5,0)),0,1/VLOOKUP($R328,Capa!$A:$AJ,BD$5,0))))</f>
        <v/>
      </c>
      <c r="BE328" s="174" t="str">
        <f>IF(BE$6="","",IF(BE$3="Maior",iferror(VLOOKUP($R328,Capa!$A:$AJ,BE$5,0),0),IF(ISERROR(1/VLOOKUP($R328,Capa!$A:$AJ,BE$5,0)),0,1/VLOOKUP($R328,Capa!$A:$AJ,BE$5,0))))</f>
        <v/>
      </c>
      <c r="BF328" s="174" t="str">
        <f>IF(BF$6="","",IF(BF$3="Maior",iferror(VLOOKUP($R328,Capa!$A:$AJ,BF$5,0),0),IF(ISERROR(1/VLOOKUP($R328,Capa!$A:$AJ,BF$5,0)),0,1/VLOOKUP($R328,Capa!$A:$AJ,BF$5,0))))</f>
        <v/>
      </c>
      <c r="BG328" s="174" t="str">
        <f>IF(BG$6="","",IF(BG$3="Maior",iferror(VLOOKUP($R328,Capa!$A:$AJ,BG$5,0),0),IF(ISERROR(1/VLOOKUP($R328,Capa!$A:$AJ,BG$5,0)),0,1/VLOOKUP($R328,Capa!$A:$AJ,BG$5,0))))</f>
        <v/>
      </c>
      <c r="BH328" s="174" t="str">
        <f>IF(BH$6="","",IF(BH$3="Maior",iferror(VLOOKUP($R328,Capa!$A:$AJ,BH$5,0),0),IF(ISERROR(1/VLOOKUP($R328,Capa!$A:$AJ,BH$5,0)),0,1/VLOOKUP($R328,Capa!$A:$AJ,BH$5,0))))</f>
        <v/>
      </c>
      <c r="BI328" s="174" t="str">
        <f>IF(BI$6="","",IF(BI$3="Maior",iferror(VLOOKUP($R328,Capa!$A:$AJ,BI$5,0),0),IF(ISERROR(1/VLOOKUP($R328,Capa!$A:$AJ,BI$5,0)),0,1/VLOOKUP($R328,Capa!$A:$AJ,BI$5,0))))</f>
        <v/>
      </c>
      <c r="BJ328" s="174" t="str">
        <f>IF(BJ$6="","",IF(BJ$3="Maior",iferror(VLOOKUP($R328,Capa!$A:$AJ,BJ$5,0),0),IF(ISERROR(1/VLOOKUP($R328,Capa!$A:$AJ,BJ$5,0)),0,1/VLOOKUP($R328,Capa!$A:$AJ,BJ$5,0))))</f>
        <v/>
      </c>
      <c r="BK328" s="174" t="str">
        <f>IF(BK$6="","",IF(BK$3="Maior",iferror(VLOOKUP($R328,Capa!$A:$AJ,BK$5,0),0),IF(ISERROR(1/VLOOKUP($R328,Capa!$A:$AJ,BK$5,0)),0,1/VLOOKUP($R328,Capa!$A:$AJ,BK$5,0))))</f>
        <v/>
      </c>
      <c r="BL328" s="174" t="str">
        <f>IF(BL$6="","",IF(BL$3="Maior",iferror(VLOOKUP($R328,Capa!$A:$AJ,BL$5,0),0),IF(ISERROR(1/VLOOKUP($R328,Capa!$A:$AJ,BL$5,0)),0,1/VLOOKUP($R328,Capa!$A:$AJ,BL$5,0))))</f>
        <v/>
      </c>
      <c r="BM328" s="174" t="str">
        <f>IF(BM$6="","",IF(BM$3="Maior",iferror(VLOOKUP($R328,Capa!$A:$AJ,BM$5,0),0),IF(ISERROR(1/VLOOKUP($R328,Capa!$A:$AJ,BM$5,0)),0,1/VLOOKUP($R328,Capa!$A:$AJ,BM$5,0))))</f>
        <v/>
      </c>
      <c r="BN328" s="174" t="str">
        <f>IF(BN$6="","",IF(BN$3="Maior",iferror(VLOOKUP($R328,Capa!$A:$AJ,BN$5,0),0),IF(ISERROR(1/VLOOKUP($R328,Capa!$A:$AJ,BN$5,0)),0,1/VLOOKUP($R328,Capa!$A:$AJ,BN$5,0))))</f>
        <v/>
      </c>
      <c r="BO328" s="174" t="str">
        <f>IF(BO$6="","",IF(BO$3="Maior",iferror(VLOOKUP($R328,Capa!$A:$AJ,BO$5,0),0),IF(ISERROR(1/VLOOKUP($R328,Capa!$A:$AJ,BO$5,0)),0,1/VLOOKUP($R328,Capa!$A:$AJ,BO$5,0))))</f>
        <v/>
      </c>
      <c r="BP328" s="174" t="str">
        <f>IF(BP$6="","",IF(BP$3="Maior",iferror(VLOOKUP($R328,Capa!$A:$AJ,BP$5,0),0),IF(ISERROR(1/VLOOKUP($R328,Capa!$A:$AJ,BP$5,0)),0,1/VLOOKUP($R328,Capa!$A:$AJ,BP$5,0))))</f>
        <v/>
      </c>
      <c r="BQ328" s="174" t="str">
        <f>IF(BQ$6="","",IF(BQ$3="Maior",iferror(VLOOKUP($R328,Capa!$A:$AJ,BQ$5,0),0),IF(ISERROR(1/VLOOKUP($R328,Capa!$A:$AJ,BQ$5,0)),0,1/VLOOKUP($R328,Capa!$A:$AJ,BQ$5,0))))</f>
        <v/>
      </c>
      <c r="BR328" s="175"/>
      <c r="BS328" s="147"/>
    </row>
    <row r="329">
      <c r="G329" s="11"/>
      <c r="H329" s="8">
        <v>323.0</v>
      </c>
      <c r="I329" s="165" t="str">
        <f t="shared" si="6"/>
        <v>AALR3</v>
      </c>
      <c r="J329" s="167" t="str">
        <f>(VLOOKUP($I329,Capa!$A:$B,2,0))</f>
        <v>#N/A</v>
      </c>
      <c r="K329" s="167" t="str">
        <f>VLOOKUP(left(I329,4),Setor!A:D,3,0)&amp;" | "&amp;VLOOKUP(left(I329,4),Setor!A:D,4,0)</f>
        <v>Saúde | Análises e Diagnósticos</v>
      </c>
      <c r="L329" s="10" t="str">
        <f>(VLOOKUP($I329,Capa!$A:$F,6,0))</f>
        <v>#N/A</v>
      </c>
      <c r="M329" s="168">
        <f t="shared" si="7"/>
        <v>233843</v>
      </c>
      <c r="N329" s="11" t="str">
        <f>(VLOOKUP($I329,Capa!$A:$H,7,0))</f>
        <v>#N/A</v>
      </c>
      <c r="O329" s="11" t="str">
        <f>(VLOOKUP($I329,Capa!$A:$H,8,0))</f>
        <v>#N/A</v>
      </c>
      <c r="P329" s="11" t="str">
        <f>(VLOOKUP($I329,Capa!$A:$J,10,0))</f>
        <v>#N/A</v>
      </c>
      <c r="Q329" s="11" t="str">
        <f>(VLOOKUP($I329,Capa!$A:$K,11,0))</f>
        <v>#N/A</v>
      </c>
      <c r="R329" s="45" t="str">
        <f>'Dados StatusInvest'!A324</f>
        <v>IGTA3</v>
      </c>
      <c r="S329" s="170">
        <f t="shared" si="234"/>
        <v>1362.0362</v>
      </c>
      <c r="T329" s="171">
        <f>VLOOKUP(R329,'Dados StatusInvest'!A:Z,26,0)</f>
        <v>0</v>
      </c>
      <c r="U329" s="172">
        <f t="shared" ref="U329:AS329" si="332">IF(AT329="","", RANK(AT329,AT$7:AT$626,0)+RANK(AT329,AT$7:AT$626,0)/10000)</f>
        <v>173.0173</v>
      </c>
      <c r="V329" s="172">
        <f t="shared" si="332"/>
        <v>189.0189</v>
      </c>
      <c r="W329" s="172" t="str">
        <f t="shared" si="332"/>
        <v/>
      </c>
      <c r="X329" s="172" t="str">
        <f t="shared" si="332"/>
        <v/>
      </c>
      <c r="Y329" s="172" t="str">
        <f t="shared" si="332"/>
        <v/>
      </c>
      <c r="Z329" s="172" t="str">
        <f t="shared" si="332"/>
        <v/>
      </c>
      <c r="AA329" s="172" t="str">
        <f t="shared" si="332"/>
        <v/>
      </c>
      <c r="AB329" s="172" t="str">
        <f t="shared" si="332"/>
        <v/>
      </c>
      <c r="AC329" s="172" t="str">
        <f t="shared" si="332"/>
        <v/>
      </c>
      <c r="AD329" s="172" t="str">
        <f t="shared" si="332"/>
        <v/>
      </c>
      <c r="AE329" s="172" t="str">
        <f t="shared" si="332"/>
        <v/>
      </c>
      <c r="AF329" s="172" t="str">
        <f t="shared" si="332"/>
        <v/>
      </c>
      <c r="AG329" s="172" t="str">
        <f t="shared" si="332"/>
        <v/>
      </c>
      <c r="AH329" s="172" t="str">
        <f t="shared" si="332"/>
        <v/>
      </c>
      <c r="AI329" s="172" t="str">
        <f t="shared" si="332"/>
        <v/>
      </c>
      <c r="AJ329" s="172" t="str">
        <f t="shared" si="332"/>
        <v/>
      </c>
      <c r="AK329" s="172" t="str">
        <f t="shared" si="332"/>
        <v/>
      </c>
      <c r="AL329" s="172" t="str">
        <f t="shared" si="332"/>
        <v/>
      </c>
      <c r="AM329" s="172" t="str">
        <f t="shared" si="332"/>
        <v/>
      </c>
      <c r="AN329" s="172" t="str">
        <f t="shared" si="332"/>
        <v/>
      </c>
      <c r="AO329" s="172" t="str">
        <f t="shared" si="332"/>
        <v/>
      </c>
      <c r="AP329" s="172" t="str">
        <f t="shared" si="332"/>
        <v/>
      </c>
      <c r="AQ329" s="172" t="str">
        <f t="shared" si="332"/>
        <v/>
      </c>
      <c r="AR329" s="172" t="str">
        <f t="shared" si="332"/>
        <v/>
      </c>
      <c r="AS329" s="172" t="str">
        <f t="shared" si="332"/>
        <v/>
      </c>
      <c r="AT329" s="173">
        <f>IF(AT$6="","",IF(AT$3="Maior",iferror(VLOOKUP($R329,Capa!$A:$AJ,AT$5,0),0),IF(ISERROR(1/VLOOKUP($R329,Capa!$A:$AJ,AT$5,0)),0,1/VLOOKUP($R329,Capa!$A:$AJ,AT$5,0))))</f>
        <v>-0.2016129032</v>
      </c>
      <c r="AU329" s="174">
        <f>IF(AU$6="","",IF(AU$3="Maior",iferror(VLOOKUP($R329,Capa!$A:$AJ,AU$5,0),0),IF(ISERROR(1/VLOOKUP($R329,Capa!$A:$AJ,AU$5,0)),0,1/VLOOKUP($R329,Capa!$A:$AJ,AU$5,0))))</f>
        <v>12.51</v>
      </c>
      <c r="AV329" s="174" t="str">
        <f>IF(AV$6="","",IF(AV$3="Maior",iferror(VLOOKUP($R329,Capa!$A:$AJ,AV$5,0),0),IF(ISERROR(1/VLOOKUP($R329,Capa!$A:$AJ,AV$5,0)),0,1/VLOOKUP($R329,Capa!$A:$AJ,AV$5,0))))</f>
        <v/>
      </c>
      <c r="AW329" s="174" t="str">
        <f>IF(AW$6="","",IF(AW$3="Maior",iferror(VLOOKUP($R329,Capa!$A:$AJ,AW$5,0),0),IF(ISERROR(1/VLOOKUP($R329,Capa!$A:$AJ,AW$5,0)),0,1/VLOOKUP($R329,Capa!$A:$AJ,AW$5,0))))</f>
        <v/>
      </c>
      <c r="AX329" s="174" t="str">
        <f>IF(AX$6="","",IF(AX$3="Maior",iferror(VLOOKUP($R329,Capa!$A:$AJ,AX$5,0),0),IF(ISERROR(1/VLOOKUP($R329,Capa!$A:$AJ,AX$5,0)),0,1/VLOOKUP($R329,Capa!$A:$AJ,AX$5,0))))</f>
        <v/>
      </c>
      <c r="AY329" s="174" t="str">
        <f>IF(AY$6="","",IF(AY$3="Maior",iferror(VLOOKUP($R329,Capa!$A:$AJ,AY$5,0),0),IF(ISERROR(1/VLOOKUP($R329,Capa!$A:$AJ,AY$5,0)),0,1/VLOOKUP($R329,Capa!$A:$AJ,AY$5,0))))</f>
        <v/>
      </c>
      <c r="AZ329" s="174" t="str">
        <f>IF(AZ$6="","",IF(AZ$3="Maior",iferror(VLOOKUP($R329,Capa!$A:$AJ,AZ$5,0),0),IF(ISERROR(1/VLOOKUP($R329,Capa!$A:$AJ,AZ$5,0)),0,1/VLOOKUP($R329,Capa!$A:$AJ,AZ$5,0))))</f>
        <v/>
      </c>
      <c r="BA329" s="174" t="str">
        <f>IF(BA$6="","",IF(BA$3="Maior",iferror(VLOOKUP($R329,Capa!$A:$AJ,BA$5,0),0),IF(ISERROR(1/VLOOKUP($R329,Capa!$A:$AJ,BA$5,0)),0,1/VLOOKUP($R329,Capa!$A:$AJ,BA$5,0))))</f>
        <v/>
      </c>
      <c r="BB329" s="174" t="str">
        <f>IF(BB$6="","",IF(BB$3="Maior",iferror(VLOOKUP($R329,Capa!$A:$AJ,BB$5,0),0),IF(ISERROR(1/VLOOKUP($R329,Capa!$A:$AJ,BB$5,0)),0,1/VLOOKUP($R329,Capa!$A:$AJ,BB$5,0))))</f>
        <v/>
      </c>
      <c r="BC329" s="174" t="str">
        <f>IF(BC$6="","",IF(BC$3="Maior",iferror(VLOOKUP($R329,Capa!$A:$AJ,BC$5,0),0),IF(ISERROR(1/VLOOKUP($R329,Capa!$A:$AJ,BC$5,0)),0,1/VLOOKUP($R329,Capa!$A:$AJ,BC$5,0))))</f>
        <v/>
      </c>
      <c r="BD329" s="174" t="str">
        <f>IF(BD$6="","",IF(BD$3="Maior",iferror(VLOOKUP($R329,Capa!$A:$AJ,BD$5,0),0),IF(ISERROR(1/VLOOKUP($R329,Capa!$A:$AJ,BD$5,0)),0,1/VLOOKUP($R329,Capa!$A:$AJ,BD$5,0))))</f>
        <v/>
      </c>
      <c r="BE329" s="174" t="str">
        <f>IF(BE$6="","",IF(BE$3="Maior",iferror(VLOOKUP($R329,Capa!$A:$AJ,BE$5,0),0),IF(ISERROR(1/VLOOKUP($R329,Capa!$A:$AJ,BE$5,0)),0,1/VLOOKUP($R329,Capa!$A:$AJ,BE$5,0))))</f>
        <v/>
      </c>
      <c r="BF329" s="174" t="str">
        <f>IF(BF$6="","",IF(BF$3="Maior",iferror(VLOOKUP($R329,Capa!$A:$AJ,BF$5,0),0),IF(ISERROR(1/VLOOKUP($R329,Capa!$A:$AJ,BF$5,0)),0,1/VLOOKUP($R329,Capa!$A:$AJ,BF$5,0))))</f>
        <v/>
      </c>
      <c r="BG329" s="174" t="str">
        <f>IF(BG$6="","",IF(BG$3="Maior",iferror(VLOOKUP($R329,Capa!$A:$AJ,BG$5,0),0),IF(ISERROR(1/VLOOKUP($R329,Capa!$A:$AJ,BG$5,0)),0,1/VLOOKUP($R329,Capa!$A:$AJ,BG$5,0))))</f>
        <v/>
      </c>
      <c r="BH329" s="174" t="str">
        <f>IF(BH$6="","",IF(BH$3="Maior",iferror(VLOOKUP($R329,Capa!$A:$AJ,BH$5,0),0),IF(ISERROR(1/VLOOKUP($R329,Capa!$A:$AJ,BH$5,0)),0,1/VLOOKUP($R329,Capa!$A:$AJ,BH$5,0))))</f>
        <v/>
      </c>
      <c r="BI329" s="174" t="str">
        <f>IF(BI$6="","",IF(BI$3="Maior",iferror(VLOOKUP($R329,Capa!$A:$AJ,BI$5,0),0),IF(ISERROR(1/VLOOKUP($R329,Capa!$A:$AJ,BI$5,0)),0,1/VLOOKUP($R329,Capa!$A:$AJ,BI$5,0))))</f>
        <v/>
      </c>
      <c r="BJ329" s="174" t="str">
        <f>IF(BJ$6="","",IF(BJ$3="Maior",iferror(VLOOKUP($R329,Capa!$A:$AJ,BJ$5,0),0),IF(ISERROR(1/VLOOKUP($R329,Capa!$A:$AJ,BJ$5,0)),0,1/VLOOKUP($R329,Capa!$A:$AJ,BJ$5,0))))</f>
        <v/>
      </c>
      <c r="BK329" s="174" t="str">
        <f>IF(BK$6="","",IF(BK$3="Maior",iferror(VLOOKUP($R329,Capa!$A:$AJ,BK$5,0),0),IF(ISERROR(1/VLOOKUP($R329,Capa!$A:$AJ,BK$5,0)),0,1/VLOOKUP($R329,Capa!$A:$AJ,BK$5,0))))</f>
        <v/>
      </c>
      <c r="BL329" s="174" t="str">
        <f>IF(BL$6="","",IF(BL$3="Maior",iferror(VLOOKUP($R329,Capa!$A:$AJ,BL$5,0),0),IF(ISERROR(1/VLOOKUP($R329,Capa!$A:$AJ,BL$5,0)),0,1/VLOOKUP($R329,Capa!$A:$AJ,BL$5,0))))</f>
        <v/>
      </c>
      <c r="BM329" s="174" t="str">
        <f>IF(BM$6="","",IF(BM$3="Maior",iferror(VLOOKUP($R329,Capa!$A:$AJ,BM$5,0),0),IF(ISERROR(1/VLOOKUP($R329,Capa!$A:$AJ,BM$5,0)),0,1/VLOOKUP($R329,Capa!$A:$AJ,BM$5,0))))</f>
        <v/>
      </c>
      <c r="BN329" s="174" t="str">
        <f>IF(BN$6="","",IF(BN$3="Maior",iferror(VLOOKUP($R329,Capa!$A:$AJ,BN$5,0),0),IF(ISERROR(1/VLOOKUP($R329,Capa!$A:$AJ,BN$5,0)),0,1/VLOOKUP($R329,Capa!$A:$AJ,BN$5,0))))</f>
        <v/>
      </c>
      <c r="BO329" s="174" t="str">
        <f>IF(BO$6="","",IF(BO$3="Maior",iferror(VLOOKUP($R329,Capa!$A:$AJ,BO$5,0),0),IF(ISERROR(1/VLOOKUP($R329,Capa!$A:$AJ,BO$5,0)),0,1/VLOOKUP($R329,Capa!$A:$AJ,BO$5,0))))</f>
        <v/>
      </c>
      <c r="BP329" s="174" t="str">
        <f>IF(BP$6="","",IF(BP$3="Maior",iferror(VLOOKUP($R329,Capa!$A:$AJ,BP$5,0),0),IF(ISERROR(1/VLOOKUP($R329,Capa!$A:$AJ,BP$5,0)),0,1/VLOOKUP($R329,Capa!$A:$AJ,BP$5,0))))</f>
        <v/>
      </c>
      <c r="BQ329" s="174" t="str">
        <f>IF(BQ$6="","",IF(BQ$3="Maior",iferror(VLOOKUP($R329,Capa!$A:$AJ,BQ$5,0),0),IF(ISERROR(1/VLOOKUP($R329,Capa!$A:$AJ,BQ$5,0)),0,1/VLOOKUP($R329,Capa!$A:$AJ,BQ$5,0))))</f>
        <v/>
      </c>
      <c r="BR329" s="175"/>
      <c r="BS329" s="147"/>
    </row>
    <row r="330">
      <c r="G330" s="11"/>
      <c r="H330" s="8">
        <v>324.0</v>
      </c>
      <c r="I330" s="165" t="str">
        <f t="shared" si="6"/>
        <v>AALR3</v>
      </c>
      <c r="J330" s="167" t="str">
        <f>(VLOOKUP($I330,Capa!$A:$B,2,0))</f>
        <v>#N/A</v>
      </c>
      <c r="K330" s="167" t="str">
        <f>VLOOKUP(left(I330,4),Setor!A:D,3,0)&amp;" | "&amp;VLOOKUP(left(I330,4),Setor!A:D,4,0)</f>
        <v>Saúde | Análises e Diagnósticos</v>
      </c>
      <c r="L330" s="10" t="str">
        <f>(VLOOKUP($I330,Capa!$A:$F,6,0))</f>
        <v>#N/A</v>
      </c>
      <c r="M330" s="168">
        <f t="shared" si="7"/>
        <v>233843</v>
      </c>
      <c r="N330" s="11" t="str">
        <f>(VLOOKUP($I330,Capa!$A:$H,7,0))</f>
        <v>#N/A</v>
      </c>
      <c r="O330" s="11" t="str">
        <f>(VLOOKUP($I330,Capa!$A:$H,8,0))</f>
        <v>#N/A</v>
      </c>
      <c r="P330" s="11" t="str">
        <f>(VLOOKUP($I330,Capa!$A:$J,10,0))</f>
        <v>#N/A</v>
      </c>
      <c r="Q330" s="11" t="str">
        <f>(VLOOKUP($I330,Capa!$A:$K,11,0))</f>
        <v>#N/A</v>
      </c>
      <c r="R330" s="45" t="str">
        <f>'Dados StatusInvest'!A325</f>
        <v>IGTI11</v>
      </c>
      <c r="S330" s="170">
        <f t="shared" si="234"/>
        <v>334.0334</v>
      </c>
      <c r="T330" s="171">
        <f>VLOOKUP(R330,'Dados StatusInvest'!A:Z,26,0)</f>
        <v>73477396</v>
      </c>
      <c r="U330" s="172">
        <f t="shared" ref="U330:AS330" si="333">IF(AT330="","", RANK(AT330,AT$7:AT$626,0)+RANK(AT330,AT$7:AT$626,0)/10000)</f>
        <v>274.0274</v>
      </c>
      <c r="V330" s="172">
        <f t="shared" si="333"/>
        <v>60.006</v>
      </c>
      <c r="W330" s="172" t="str">
        <f t="shared" si="333"/>
        <v/>
      </c>
      <c r="X330" s="172" t="str">
        <f t="shared" si="333"/>
        <v/>
      </c>
      <c r="Y330" s="172" t="str">
        <f t="shared" si="333"/>
        <v/>
      </c>
      <c r="Z330" s="172" t="str">
        <f t="shared" si="333"/>
        <v/>
      </c>
      <c r="AA330" s="172" t="str">
        <f t="shared" si="333"/>
        <v/>
      </c>
      <c r="AB330" s="172" t="str">
        <f t="shared" si="333"/>
        <v/>
      </c>
      <c r="AC330" s="172" t="str">
        <f t="shared" si="333"/>
        <v/>
      </c>
      <c r="AD330" s="172" t="str">
        <f t="shared" si="333"/>
        <v/>
      </c>
      <c r="AE330" s="172" t="str">
        <f t="shared" si="333"/>
        <v/>
      </c>
      <c r="AF330" s="172" t="str">
        <f t="shared" si="333"/>
        <v/>
      </c>
      <c r="AG330" s="172" t="str">
        <f t="shared" si="333"/>
        <v/>
      </c>
      <c r="AH330" s="172" t="str">
        <f t="shared" si="333"/>
        <v/>
      </c>
      <c r="AI330" s="172" t="str">
        <f t="shared" si="333"/>
        <v/>
      </c>
      <c r="AJ330" s="172" t="str">
        <f t="shared" si="333"/>
        <v/>
      </c>
      <c r="AK330" s="172" t="str">
        <f t="shared" si="333"/>
        <v/>
      </c>
      <c r="AL330" s="172" t="str">
        <f t="shared" si="333"/>
        <v/>
      </c>
      <c r="AM330" s="172" t="str">
        <f t="shared" si="333"/>
        <v/>
      </c>
      <c r="AN330" s="172" t="str">
        <f t="shared" si="333"/>
        <v/>
      </c>
      <c r="AO330" s="172" t="str">
        <f t="shared" si="333"/>
        <v/>
      </c>
      <c r="AP330" s="172" t="str">
        <f t="shared" si="333"/>
        <v/>
      </c>
      <c r="AQ330" s="172" t="str">
        <f t="shared" si="333"/>
        <v/>
      </c>
      <c r="AR330" s="172" t="str">
        <f t="shared" si="333"/>
        <v/>
      </c>
      <c r="AS330" s="172" t="str">
        <f t="shared" si="333"/>
        <v/>
      </c>
      <c r="AT330" s="173">
        <f>IF(AT$6="","",IF(AT$3="Maior",iferror(VLOOKUP($R330,Capa!$A:$AJ,AT$5,0),0),IF(ISERROR(1/VLOOKUP($R330,Capa!$A:$AJ,AT$5,0)),0,1/VLOOKUP($R330,Capa!$A:$AJ,AT$5,0))))</f>
        <v>-0.5736243274</v>
      </c>
      <c r="AU330" s="174">
        <f>IF(AU$6="","",IF(AU$3="Maior",iferror(VLOOKUP($R330,Capa!$A:$AJ,AU$5,0),0),IF(ISERROR(1/VLOOKUP($R330,Capa!$A:$AJ,AU$5,0)),0,1/VLOOKUP($R330,Capa!$A:$AJ,AU$5,0))))</f>
        <v>35.08</v>
      </c>
      <c r="AV330" s="174" t="str">
        <f>IF(AV$6="","",IF(AV$3="Maior",iferror(VLOOKUP($R330,Capa!$A:$AJ,AV$5,0),0),IF(ISERROR(1/VLOOKUP($R330,Capa!$A:$AJ,AV$5,0)),0,1/VLOOKUP($R330,Capa!$A:$AJ,AV$5,0))))</f>
        <v/>
      </c>
      <c r="AW330" s="174" t="str">
        <f>IF(AW$6="","",IF(AW$3="Maior",iferror(VLOOKUP($R330,Capa!$A:$AJ,AW$5,0),0),IF(ISERROR(1/VLOOKUP($R330,Capa!$A:$AJ,AW$5,0)),0,1/VLOOKUP($R330,Capa!$A:$AJ,AW$5,0))))</f>
        <v/>
      </c>
      <c r="AX330" s="174" t="str">
        <f>IF(AX$6="","",IF(AX$3="Maior",iferror(VLOOKUP($R330,Capa!$A:$AJ,AX$5,0),0),IF(ISERROR(1/VLOOKUP($R330,Capa!$A:$AJ,AX$5,0)),0,1/VLOOKUP($R330,Capa!$A:$AJ,AX$5,0))))</f>
        <v/>
      </c>
      <c r="AY330" s="174" t="str">
        <f>IF(AY$6="","",IF(AY$3="Maior",iferror(VLOOKUP($R330,Capa!$A:$AJ,AY$5,0),0),IF(ISERROR(1/VLOOKUP($R330,Capa!$A:$AJ,AY$5,0)),0,1/VLOOKUP($R330,Capa!$A:$AJ,AY$5,0))))</f>
        <v/>
      </c>
      <c r="AZ330" s="174" t="str">
        <f>IF(AZ$6="","",IF(AZ$3="Maior",iferror(VLOOKUP($R330,Capa!$A:$AJ,AZ$5,0),0),IF(ISERROR(1/VLOOKUP($R330,Capa!$A:$AJ,AZ$5,0)),0,1/VLOOKUP($R330,Capa!$A:$AJ,AZ$5,0))))</f>
        <v/>
      </c>
      <c r="BA330" s="174" t="str">
        <f>IF(BA$6="","",IF(BA$3="Maior",iferror(VLOOKUP($R330,Capa!$A:$AJ,BA$5,0),0),IF(ISERROR(1/VLOOKUP($R330,Capa!$A:$AJ,BA$5,0)),0,1/VLOOKUP($R330,Capa!$A:$AJ,BA$5,0))))</f>
        <v/>
      </c>
      <c r="BB330" s="174" t="str">
        <f>IF(BB$6="","",IF(BB$3="Maior",iferror(VLOOKUP($R330,Capa!$A:$AJ,BB$5,0),0),IF(ISERROR(1/VLOOKUP($R330,Capa!$A:$AJ,BB$5,0)),0,1/VLOOKUP($R330,Capa!$A:$AJ,BB$5,0))))</f>
        <v/>
      </c>
      <c r="BC330" s="174" t="str">
        <f>IF(BC$6="","",IF(BC$3="Maior",iferror(VLOOKUP($R330,Capa!$A:$AJ,BC$5,0),0),IF(ISERROR(1/VLOOKUP($R330,Capa!$A:$AJ,BC$5,0)),0,1/VLOOKUP($R330,Capa!$A:$AJ,BC$5,0))))</f>
        <v/>
      </c>
      <c r="BD330" s="174" t="str">
        <f>IF(BD$6="","",IF(BD$3="Maior",iferror(VLOOKUP($R330,Capa!$A:$AJ,BD$5,0),0),IF(ISERROR(1/VLOOKUP($R330,Capa!$A:$AJ,BD$5,0)),0,1/VLOOKUP($R330,Capa!$A:$AJ,BD$5,0))))</f>
        <v/>
      </c>
      <c r="BE330" s="174" t="str">
        <f>IF(BE$6="","",IF(BE$3="Maior",iferror(VLOOKUP($R330,Capa!$A:$AJ,BE$5,0),0),IF(ISERROR(1/VLOOKUP($R330,Capa!$A:$AJ,BE$5,0)),0,1/VLOOKUP($R330,Capa!$A:$AJ,BE$5,0))))</f>
        <v/>
      </c>
      <c r="BF330" s="174" t="str">
        <f>IF(BF$6="","",IF(BF$3="Maior",iferror(VLOOKUP($R330,Capa!$A:$AJ,BF$5,0),0),IF(ISERROR(1/VLOOKUP($R330,Capa!$A:$AJ,BF$5,0)),0,1/VLOOKUP($R330,Capa!$A:$AJ,BF$5,0))))</f>
        <v/>
      </c>
      <c r="BG330" s="174" t="str">
        <f>IF(BG$6="","",IF(BG$3="Maior",iferror(VLOOKUP($R330,Capa!$A:$AJ,BG$5,0),0),IF(ISERROR(1/VLOOKUP($R330,Capa!$A:$AJ,BG$5,0)),0,1/VLOOKUP($R330,Capa!$A:$AJ,BG$5,0))))</f>
        <v/>
      </c>
      <c r="BH330" s="174" t="str">
        <f>IF(BH$6="","",IF(BH$3="Maior",iferror(VLOOKUP($R330,Capa!$A:$AJ,BH$5,0),0),IF(ISERROR(1/VLOOKUP($R330,Capa!$A:$AJ,BH$5,0)),0,1/VLOOKUP($R330,Capa!$A:$AJ,BH$5,0))))</f>
        <v/>
      </c>
      <c r="BI330" s="174" t="str">
        <f>IF(BI$6="","",IF(BI$3="Maior",iferror(VLOOKUP($R330,Capa!$A:$AJ,BI$5,0),0),IF(ISERROR(1/VLOOKUP($R330,Capa!$A:$AJ,BI$5,0)),0,1/VLOOKUP($R330,Capa!$A:$AJ,BI$5,0))))</f>
        <v/>
      </c>
      <c r="BJ330" s="174" t="str">
        <f>IF(BJ$6="","",IF(BJ$3="Maior",iferror(VLOOKUP($R330,Capa!$A:$AJ,BJ$5,0),0),IF(ISERROR(1/VLOOKUP($R330,Capa!$A:$AJ,BJ$5,0)),0,1/VLOOKUP($R330,Capa!$A:$AJ,BJ$5,0))))</f>
        <v/>
      </c>
      <c r="BK330" s="174" t="str">
        <f>IF(BK$6="","",IF(BK$3="Maior",iferror(VLOOKUP($R330,Capa!$A:$AJ,BK$5,0),0),IF(ISERROR(1/VLOOKUP($R330,Capa!$A:$AJ,BK$5,0)),0,1/VLOOKUP($R330,Capa!$A:$AJ,BK$5,0))))</f>
        <v/>
      </c>
      <c r="BL330" s="174" t="str">
        <f>IF(BL$6="","",IF(BL$3="Maior",iferror(VLOOKUP($R330,Capa!$A:$AJ,BL$5,0),0),IF(ISERROR(1/VLOOKUP($R330,Capa!$A:$AJ,BL$5,0)),0,1/VLOOKUP($R330,Capa!$A:$AJ,BL$5,0))))</f>
        <v/>
      </c>
      <c r="BM330" s="174" t="str">
        <f>IF(BM$6="","",IF(BM$3="Maior",iferror(VLOOKUP($R330,Capa!$A:$AJ,BM$5,0),0),IF(ISERROR(1/VLOOKUP($R330,Capa!$A:$AJ,BM$5,0)),0,1/VLOOKUP($R330,Capa!$A:$AJ,BM$5,0))))</f>
        <v/>
      </c>
      <c r="BN330" s="174" t="str">
        <f>IF(BN$6="","",IF(BN$3="Maior",iferror(VLOOKUP($R330,Capa!$A:$AJ,BN$5,0),0),IF(ISERROR(1/VLOOKUP($R330,Capa!$A:$AJ,BN$5,0)),0,1/VLOOKUP($R330,Capa!$A:$AJ,BN$5,0))))</f>
        <v/>
      </c>
      <c r="BO330" s="174" t="str">
        <f>IF(BO$6="","",IF(BO$3="Maior",iferror(VLOOKUP($R330,Capa!$A:$AJ,BO$5,0),0),IF(ISERROR(1/VLOOKUP($R330,Capa!$A:$AJ,BO$5,0)),0,1/VLOOKUP($R330,Capa!$A:$AJ,BO$5,0))))</f>
        <v/>
      </c>
      <c r="BP330" s="174" t="str">
        <f>IF(BP$6="","",IF(BP$3="Maior",iferror(VLOOKUP($R330,Capa!$A:$AJ,BP$5,0),0),IF(ISERROR(1/VLOOKUP($R330,Capa!$A:$AJ,BP$5,0)),0,1/VLOOKUP($R330,Capa!$A:$AJ,BP$5,0))))</f>
        <v/>
      </c>
      <c r="BQ330" s="174" t="str">
        <f>IF(BQ$6="","",IF(BQ$3="Maior",iferror(VLOOKUP($R330,Capa!$A:$AJ,BQ$5,0),0),IF(ISERROR(1/VLOOKUP($R330,Capa!$A:$AJ,BQ$5,0)),0,1/VLOOKUP($R330,Capa!$A:$AJ,BQ$5,0))))</f>
        <v/>
      </c>
      <c r="BR330" s="175"/>
      <c r="BS330" s="147"/>
    </row>
    <row r="331">
      <c r="G331" s="11"/>
      <c r="H331" s="8">
        <v>325.0</v>
      </c>
      <c r="I331" s="165" t="str">
        <f t="shared" si="6"/>
        <v>AALR3</v>
      </c>
      <c r="J331" s="167" t="str">
        <f>(VLOOKUP($I331,Capa!$A:$B,2,0))</f>
        <v>#N/A</v>
      </c>
      <c r="K331" s="167" t="str">
        <f>VLOOKUP(left(I331,4),Setor!A:D,3,0)&amp;" | "&amp;VLOOKUP(left(I331,4),Setor!A:D,4,0)</f>
        <v>Saúde | Análises e Diagnósticos</v>
      </c>
      <c r="L331" s="10" t="str">
        <f>(VLOOKUP($I331,Capa!$A:$F,6,0))</f>
        <v>#N/A</v>
      </c>
      <c r="M331" s="168">
        <f t="shared" si="7"/>
        <v>233843</v>
      </c>
      <c r="N331" s="11" t="str">
        <f>(VLOOKUP($I331,Capa!$A:$H,7,0))</f>
        <v>#N/A</v>
      </c>
      <c r="O331" s="11" t="str">
        <f>(VLOOKUP($I331,Capa!$A:$H,8,0))</f>
        <v>#N/A</v>
      </c>
      <c r="P331" s="11" t="str">
        <f>(VLOOKUP($I331,Capa!$A:$J,10,0))</f>
        <v>#N/A</v>
      </c>
      <c r="Q331" s="11" t="str">
        <f>(VLOOKUP($I331,Capa!$A:$K,11,0))</f>
        <v>#N/A</v>
      </c>
      <c r="R331" s="45" t="str">
        <f>'Dados StatusInvest'!A326</f>
        <v>IGTI3</v>
      </c>
      <c r="S331" s="170">
        <f t="shared" si="234"/>
        <v>1494.0494</v>
      </c>
      <c r="T331" s="171">
        <f>VLOOKUP(R331,'Dados StatusInvest'!A:Z,26,0)</f>
        <v>142736.5</v>
      </c>
      <c r="U331" s="172">
        <f t="shared" ref="U331:AS331" si="334">IF(AT331="","", RANK(AT331,AT$7:AT$626,0)+RANK(AT331,AT$7:AT$626,0)/10000)</f>
        <v>434.0434</v>
      </c>
      <c r="V331" s="172">
        <f t="shared" si="334"/>
        <v>60.006</v>
      </c>
      <c r="W331" s="172" t="str">
        <f t="shared" si="334"/>
        <v/>
      </c>
      <c r="X331" s="172" t="str">
        <f t="shared" si="334"/>
        <v/>
      </c>
      <c r="Y331" s="172" t="str">
        <f t="shared" si="334"/>
        <v/>
      </c>
      <c r="Z331" s="172" t="str">
        <f t="shared" si="334"/>
        <v/>
      </c>
      <c r="AA331" s="172" t="str">
        <f t="shared" si="334"/>
        <v/>
      </c>
      <c r="AB331" s="172" t="str">
        <f t="shared" si="334"/>
        <v/>
      </c>
      <c r="AC331" s="172" t="str">
        <f t="shared" si="334"/>
        <v/>
      </c>
      <c r="AD331" s="172" t="str">
        <f t="shared" si="334"/>
        <v/>
      </c>
      <c r="AE331" s="172" t="str">
        <f t="shared" si="334"/>
        <v/>
      </c>
      <c r="AF331" s="172" t="str">
        <f t="shared" si="334"/>
        <v/>
      </c>
      <c r="AG331" s="172" t="str">
        <f t="shared" si="334"/>
        <v/>
      </c>
      <c r="AH331" s="172" t="str">
        <f t="shared" si="334"/>
        <v/>
      </c>
      <c r="AI331" s="172" t="str">
        <f t="shared" si="334"/>
        <v/>
      </c>
      <c r="AJ331" s="172" t="str">
        <f t="shared" si="334"/>
        <v/>
      </c>
      <c r="AK331" s="172" t="str">
        <f t="shared" si="334"/>
        <v/>
      </c>
      <c r="AL331" s="172" t="str">
        <f t="shared" si="334"/>
        <v/>
      </c>
      <c r="AM331" s="172" t="str">
        <f t="shared" si="334"/>
        <v/>
      </c>
      <c r="AN331" s="172" t="str">
        <f t="shared" si="334"/>
        <v/>
      </c>
      <c r="AO331" s="172" t="str">
        <f t="shared" si="334"/>
        <v/>
      </c>
      <c r="AP331" s="172" t="str">
        <f t="shared" si="334"/>
        <v/>
      </c>
      <c r="AQ331" s="172" t="str">
        <f t="shared" si="334"/>
        <v/>
      </c>
      <c r="AR331" s="172" t="str">
        <f t="shared" si="334"/>
        <v/>
      </c>
      <c r="AS331" s="172" t="str">
        <f t="shared" si="334"/>
        <v/>
      </c>
      <c r="AT331" s="173">
        <f>IF(AT$6="","",IF(AT$3="Maior",iferror(VLOOKUP($R331,Capa!$A:$AJ,AT$5,0),0),IF(ISERROR(1/VLOOKUP($R331,Capa!$A:$AJ,AT$5,0)),0,1/VLOOKUP($R331,Capa!$A:$AJ,AT$5,0))))</f>
        <v>-1.681473674</v>
      </c>
      <c r="AU331" s="174">
        <f>IF(AU$6="","",IF(AU$3="Maior",iferror(VLOOKUP($R331,Capa!$A:$AJ,AU$5,0),0),IF(ISERROR(1/VLOOKUP($R331,Capa!$A:$AJ,AU$5,0)),0,1/VLOOKUP($R331,Capa!$A:$AJ,AU$5,0))))</f>
        <v>35.08</v>
      </c>
      <c r="AV331" s="174" t="str">
        <f>IF(AV$6="","",IF(AV$3="Maior",iferror(VLOOKUP($R331,Capa!$A:$AJ,AV$5,0),0),IF(ISERROR(1/VLOOKUP($R331,Capa!$A:$AJ,AV$5,0)),0,1/VLOOKUP($R331,Capa!$A:$AJ,AV$5,0))))</f>
        <v/>
      </c>
      <c r="AW331" s="174" t="str">
        <f>IF(AW$6="","",IF(AW$3="Maior",iferror(VLOOKUP($R331,Capa!$A:$AJ,AW$5,0),0),IF(ISERROR(1/VLOOKUP($R331,Capa!$A:$AJ,AW$5,0)),0,1/VLOOKUP($R331,Capa!$A:$AJ,AW$5,0))))</f>
        <v/>
      </c>
      <c r="AX331" s="174" t="str">
        <f>IF(AX$6="","",IF(AX$3="Maior",iferror(VLOOKUP($R331,Capa!$A:$AJ,AX$5,0),0),IF(ISERROR(1/VLOOKUP($R331,Capa!$A:$AJ,AX$5,0)),0,1/VLOOKUP($R331,Capa!$A:$AJ,AX$5,0))))</f>
        <v/>
      </c>
      <c r="AY331" s="174" t="str">
        <f>IF(AY$6="","",IF(AY$3="Maior",iferror(VLOOKUP($R331,Capa!$A:$AJ,AY$5,0),0),IF(ISERROR(1/VLOOKUP($R331,Capa!$A:$AJ,AY$5,0)),0,1/VLOOKUP($R331,Capa!$A:$AJ,AY$5,0))))</f>
        <v/>
      </c>
      <c r="AZ331" s="174" t="str">
        <f>IF(AZ$6="","",IF(AZ$3="Maior",iferror(VLOOKUP($R331,Capa!$A:$AJ,AZ$5,0),0),IF(ISERROR(1/VLOOKUP($R331,Capa!$A:$AJ,AZ$5,0)),0,1/VLOOKUP($R331,Capa!$A:$AJ,AZ$5,0))))</f>
        <v/>
      </c>
      <c r="BA331" s="174" t="str">
        <f>IF(BA$6="","",IF(BA$3="Maior",iferror(VLOOKUP($R331,Capa!$A:$AJ,BA$5,0),0),IF(ISERROR(1/VLOOKUP($R331,Capa!$A:$AJ,BA$5,0)),0,1/VLOOKUP($R331,Capa!$A:$AJ,BA$5,0))))</f>
        <v/>
      </c>
      <c r="BB331" s="174" t="str">
        <f>IF(BB$6="","",IF(BB$3="Maior",iferror(VLOOKUP($R331,Capa!$A:$AJ,BB$5,0),0),IF(ISERROR(1/VLOOKUP($R331,Capa!$A:$AJ,BB$5,0)),0,1/VLOOKUP($R331,Capa!$A:$AJ,BB$5,0))))</f>
        <v/>
      </c>
      <c r="BC331" s="174" t="str">
        <f>IF(BC$6="","",IF(BC$3="Maior",iferror(VLOOKUP($R331,Capa!$A:$AJ,BC$5,0),0),IF(ISERROR(1/VLOOKUP($R331,Capa!$A:$AJ,BC$5,0)),0,1/VLOOKUP($R331,Capa!$A:$AJ,BC$5,0))))</f>
        <v/>
      </c>
      <c r="BD331" s="174" t="str">
        <f>IF(BD$6="","",IF(BD$3="Maior",iferror(VLOOKUP($R331,Capa!$A:$AJ,BD$5,0),0),IF(ISERROR(1/VLOOKUP($R331,Capa!$A:$AJ,BD$5,0)),0,1/VLOOKUP($R331,Capa!$A:$AJ,BD$5,0))))</f>
        <v/>
      </c>
      <c r="BE331" s="174" t="str">
        <f>IF(BE$6="","",IF(BE$3="Maior",iferror(VLOOKUP($R331,Capa!$A:$AJ,BE$5,0),0),IF(ISERROR(1/VLOOKUP($R331,Capa!$A:$AJ,BE$5,0)),0,1/VLOOKUP($R331,Capa!$A:$AJ,BE$5,0))))</f>
        <v/>
      </c>
      <c r="BF331" s="174" t="str">
        <f>IF(BF$6="","",IF(BF$3="Maior",iferror(VLOOKUP($R331,Capa!$A:$AJ,BF$5,0),0),IF(ISERROR(1/VLOOKUP($R331,Capa!$A:$AJ,BF$5,0)),0,1/VLOOKUP($R331,Capa!$A:$AJ,BF$5,0))))</f>
        <v/>
      </c>
      <c r="BG331" s="174" t="str">
        <f>IF(BG$6="","",IF(BG$3="Maior",iferror(VLOOKUP($R331,Capa!$A:$AJ,BG$5,0),0),IF(ISERROR(1/VLOOKUP($R331,Capa!$A:$AJ,BG$5,0)),0,1/VLOOKUP($R331,Capa!$A:$AJ,BG$5,0))))</f>
        <v/>
      </c>
      <c r="BH331" s="174" t="str">
        <f>IF(BH$6="","",IF(BH$3="Maior",iferror(VLOOKUP($R331,Capa!$A:$AJ,BH$5,0),0),IF(ISERROR(1/VLOOKUP($R331,Capa!$A:$AJ,BH$5,0)),0,1/VLOOKUP($R331,Capa!$A:$AJ,BH$5,0))))</f>
        <v/>
      </c>
      <c r="BI331" s="174" t="str">
        <f>IF(BI$6="","",IF(BI$3="Maior",iferror(VLOOKUP($R331,Capa!$A:$AJ,BI$5,0),0),IF(ISERROR(1/VLOOKUP($R331,Capa!$A:$AJ,BI$5,0)),0,1/VLOOKUP($R331,Capa!$A:$AJ,BI$5,0))))</f>
        <v/>
      </c>
      <c r="BJ331" s="174" t="str">
        <f>IF(BJ$6="","",IF(BJ$3="Maior",iferror(VLOOKUP($R331,Capa!$A:$AJ,BJ$5,0),0),IF(ISERROR(1/VLOOKUP($R331,Capa!$A:$AJ,BJ$5,0)),0,1/VLOOKUP($R331,Capa!$A:$AJ,BJ$5,0))))</f>
        <v/>
      </c>
      <c r="BK331" s="174" t="str">
        <f>IF(BK$6="","",IF(BK$3="Maior",iferror(VLOOKUP($R331,Capa!$A:$AJ,BK$5,0),0),IF(ISERROR(1/VLOOKUP($R331,Capa!$A:$AJ,BK$5,0)),0,1/VLOOKUP($R331,Capa!$A:$AJ,BK$5,0))))</f>
        <v/>
      </c>
      <c r="BL331" s="174" t="str">
        <f>IF(BL$6="","",IF(BL$3="Maior",iferror(VLOOKUP($R331,Capa!$A:$AJ,BL$5,0),0),IF(ISERROR(1/VLOOKUP($R331,Capa!$A:$AJ,BL$5,0)),0,1/VLOOKUP($R331,Capa!$A:$AJ,BL$5,0))))</f>
        <v/>
      </c>
      <c r="BM331" s="174" t="str">
        <f>IF(BM$6="","",IF(BM$3="Maior",iferror(VLOOKUP($R331,Capa!$A:$AJ,BM$5,0),0),IF(ISERROR(1/VLOOKUP($R331,Capa!$A:$AJ,BM$5,0)),0,1/VLOOKUP($R331,Capa!$A:$AJ,BM$5,0))))</f>
        <v/>
      </c>
      <c r="BN331" s="174" t="str">
        <f>IF(BN$6="","",IF(BN$3="Maior",iferror(VLOOKUP($R331,Capa!$A:$AJ,BN$5,0),0),IF(ISERROR(1/VLOOKUP($R331,Capa!$A:$AJ,BN$5,0)),0,1/VLOOKUP($R331,Capa!$A:$AJ,BN$5,0))))</f>
        <v/>
      </c>
      <c r="BO331" s="174" t="str">
        <f>IF(BO$6="","",IF(BO$3="Maior",iferror(VLOOKUP($R331,Capa!$A:$AJ,BO$5,0),0),IF(ISERROR(1/VLOOKUP($R331,Capa!$A:$AJ,BO$5,0)),0,1/VLOOKUP($R331,Capa!$A:$AJ,BO$5,0))))</f>
        <v/>
      </c>
      <c r="BP331" s="174" t="str">
        <f>IF(BP$6="","",IF(BP$3="Maior",iferror(VLOOKUP($R331,Capa!$A:$AJ,BP$5,0),0),IF(ISERROR(1/VLOOKUP($R331,Capa!$A:$AJ,BP$5,0)),0,1/VLOOKUP($R331,Capa!$A:$AJ,BP$5,0))))</f>
        <v/>
      </c>
      <c r="BQ331" s="174" t="str">
        <f>IF(BQ$6="","",IF(BQ$3="Maior",iferror(VLOOKUP($R331,Capa!$A:$AJ,BQ$5,0),0),IF(ISERROR(1/VLOOKUP($R331,Capa!$A:$AJ,BQ$5,0)),0,1/VLOOKUP($R331,Capa!$A:$AJ,BQ$5,0))))</f>
        <v/>
      </c>
      <c r="BR331" s="175"/>
      <c r="BS331" s="147"/>
    </row>
    <row r="332">
      <c r="G332" s="11"/>
      <c r="H332" s="8">
        <v>326.0</v>
      </c>
      <c r="I332" s="165" t="str">
        <f t="shared" si="6"/>
        <v>AALR3</v>
      </c>
      <c r="J332" s="167" t="str">
        <f>(VLOOKUP($I332,Capa!$A:$B,2,0))</f>
        <v>#N/A</v>
      </c>
      <c r="K332" s="167" t="str">
        <f>VLOOKUP(left(I332,4),Setor!A:D,3,0)&amp;" | "&amp;VLOOKUP(left(I332,4),Setor!A:D,4,0)</f>
        <v>Saúde | Análises e Diagnósticos</v>
      </c>
      <c r="L332" s="10" t="str">
        <f>(VLOOKUP($I332,Capa!$A:$F,6,0))</f>
        <v>#N/A</v>
      </c>
      <c r="M332" s="168">
        <f t="shared" si="7"/>
        <v>233843</v>
      </c>
      <c r="N332" s="11" t="str">
        <f>(VLOOKUP($I332,Capa!$A:$H,7,0))</f>
        <v>#N/A</v>
      </c>
      <c r="O332" s="11" t="str">
        <f>(VLOOKUP($I332,Capa!$A:$H,8,0))</f>
        <v>#N/A</v>
      </c>
      <c r="P332" s="11" t="str">
        <f>(VLOOKUP($I332,Capa!$A:$J,10,0))</f>
        <v>#N/A</v>
      </c>
      <c r="Q332" s="11" t="str">
        <f>(VLOOKUP($I332,Capa!$A:$K,11,0))</f>
        <v>#N/A</v>
      </c>
      <c r="R332" s="45" t="str">
        <f>'Dados StatusInvest'!A327</f>
        <v>IGTI4</v>
      </c>
      <c r="S332" s="170">
        <f t="shared" si="234"/>
        <v>1304.0304</v>
      </c>
      <c r="T332" s="171">
        <f>VLOOKUP(R332,'Dados StatusInvest'!A:Z,26,0)</f>
        <v>3489.29</v>
      </c>
      <c r="U332" s="172">
        <f t="shared" ref="U332:AS332" si="335">IF(AT332="","", RANK(AT332,AT$7:AT$626,0)+RANK(AT332,AT$7:AT$626,0)/10000)</f>
        <v>244.0244</v>
      </c>
      <c r="V332" s="172">
        <f t="shared" si="335"/>
        <v>60.006</v>
      </c>
      <c r="W332" s="172" t="str">
        <f t="shared" si="335"/>
        <v/>
      </c>
      <c r="X332" s="172" t="str">
        <f t="shared" si="335"/>
        <v/>
      </c>
      <c r="Y332" s="172" t="str">
        <f t="shared" si="335"/>
        <v/>
      </c>
      <c r="Z332" s="172" t="str">
        <f t="shared" si="335"/>
        <v/>
      </c>
      <c r="AA332" s="172" t="str">
        <f t="shared" si="335"/>
        <v/>
      </c>
      <c r="AB332" s="172" t="str">
        <f t="shared" si="335"/>
        <v/>
      </c>
      <c r="AC332" s="172" t="str">
        <f t="shared" si="335"/>
        <v/>
      </c>
      <c r="AD332" s="172" t="str">
        <f t="shared" si="335"/>
        <v/>
      </c>
      <c r="AE332" s="172" t="str">
        <f t="shared" si="335"/>
        <v/>
      </c>
      <c r="AF332" s="172" t="str">
        <f t="shared" si="335"/>
        <v/>
      </c>
      <c r="AG332" s="172" t="str">
        <f t="shared" si="335"/>
        <v/>
      </c>
      <c r="AH332" s="172" t="str">
        <f t="shared" si="335"/>
        <v/>
      </c>
      <c r="AI332" s="172" t="str">
        <f t="shared" si="335"/>
        <v/>
      </c>
      <c r="AJ332" s="172" t="str">
        <f t="shared" si="335"/>
        <v/>
      </c>
      <c r="AK332" s="172" t="str">
        <f t="shared" si="335"/>
        <v/>
      </c>
      <c r="AL332" s="172" t="str">
        <f t="shared" si="335"/>
        <v/>
      </c>
      <c r="AM332" s="172" t="str">
        <f t="shared" si="335"/>
        <v/>
      </c>
      <c r="AN332" s="172" t="str">
        <f t="shared" si="335"/>
        <v/>
      </c>
      <c r="AO332" s="172" t="str">
        <f t="shared" si="335"/>
        <v/>
      </c>
      <c r="AP332" s="172" t="str">
        <f t="shared" si="335"/>
        <v/>
      </c>
      <c r="AQ332" s="172" t="str">
        <f t="shared" si="335"/>
        <v/>
      </c>
      <c r="AR332" s="172" t="str">
        <f t="shared" si="335"/>
        <v/>
      </c>
      <c r="AS332" s="172" t="str">
        <f t="shared" si="335"/>
        <v/>
      </c>
      <c r="AT332" s="173">
        <f>IF(AT$6="","",IF(AT$3="Maior",iferror(VLOOKUP($R332,Capa!$A:$AJ,AT$5,0),0),IF(ISERROR(1/VLOOKUP($R332,Capa!$A:$AJ,AT$5,0)),0,1/VLOOKUP($R332,Capa!$A:$AJ,AT$5,0))))</f>
        <v>-0.4608294931</v>
      </c>
      <c r="AU332" s="174">
        <f>IF(AU$6="","",IF(AU$3="Maior",iferror(VLOOKUP($R332,Capa!$A:$AJ,AU$5,0),0),IF(ISERROR(1/VLOOKUP($R332,Capa!$A:$AJ,AU$5,0)),0,1/VLOOKUP($R332,Capa!$A:$AJ,AU$5,0))))</f>
        <v>35.08</v>
      </c>
      <c r="AV332" s="174" t="str">
        <f>IF(AV$6="","",IF(AV$3="Maior",iferror(VLOOKUP($R332,Capa!$A:$AJ,AV$5,0),0),IF(ISERROR(1/VLOOKUP($R332,Capa!$A:$AJ,AV$5,0)),0,1/VLOOKUP($R332,Capa!$A:$AJ,AV$5,0))))</f>
        <v/>
      </c>
      <c r="AW332" s="174" t="str">
        <f>IF(AW$6="","",IF(AW$3="Maior",iferror(VLOOKUP($R332,Capa!$A:$AJ,AW$5,0),0),IF(ISERROR(1/VLOOKUP($R332,Capa!$A:$AJ,AW$5,0)),0,1/VLOOKUP($R332,Capa!$A:$AJ,AW$5,0))))</f>
        <v/>
      </c>
      <c r="AX332" s="174" t="str">
        <f>IF(AX$6="","",IF(AX$3="Maior",iferror(VLOOKUP($R332,Capa!$A:$AJ,AX$5,0),0),IF(ISERROR(1/VLOOKUP($R332,Capa!$A:$AJ,AX$5,0)),0,1/VLOOKUP($R332,Capa!$A:$AJ,AX$5,0))))</f>
        <v/>
      </c>
      <c r="AY332" s="174" t="str">
        <f>IF(AY$6="","",IF(AY$3="Maior",iferror(VLOOKUP($R332,Capa!$A:$AJ,AY$5,0),0),IF(ISERROR(1/VLOOKUP($R332,Capa!$A:$AJ,AY$5,0)),0,1/VLOOKUP($R332,Capa!$A:$AJ,AY$5,0))))</f>
        <v/>
      </c>
      <c r="AZ332" s="174" t="str">
        <f>IF(AZ$6="","",IF(AZ$3="Maior",iferror(VLOOKUP($R332,Capa!$A:$AJ,AZ$5,0),0),IF(ISERROR(1/VLOOKUP($R332,Capa!$A:$AJ,AZ$5,0)),0,1/VLOOKUP($R332,Capa!$A:$AJ,AZ$5,0))))</f>
        <v/>
      </c>
      <c r="BA332" s="174" t="str">
        <f>IF(BA$6="","",IF(BA$3="Maior",iferror(VLOOKUP($R332,Capa!$A:$AJ,BA$5,0),0),IF(ISERROR(1/VLOOKUP($R332,Capa!$A:$AJ,BA$5,0)),0,1/VLOOKUP($R332,Capa!$A:$AJ,BA$5,0))))</f>
        <v/>
      </c>
      <c r="BB332" s="174" t="str">
        <f>IF(BB$6="","",IF(BB$3="Maior",iferror(VLOOKUP($R332,Capa!$A:$AJ,BB$5,0),0),IF(ISERROR(1/VLOOKUP($R332,Capa!$A:$AJ,BB$5,0)),0,1/VLOOKUP($R332,Capa!$A:$AJ,BB$5,0))))</f>
        <v/>
      </c>
      <c r="BC332" s="174" t="str">
        <f>IF(BC$6="","",IF(BC$3="Maior",iferror(VLOOKUP($R332,Capa!$A:$AJ,BC$5,0),0),IF(ISERROR(1/VLOOKUP($R332,Capa!$A:$AJ,BC$5,0)),0,1/VLOOKUP($R332,Capa!$A:$AJ,BC$5,0))))</f>
        <v/>
      </c>
      <c r="BD332" s="174" t="str">
        <f>IF(BD$6="","",IF(BD$3="Maior",iferror(VLOOKUP($R332,Capa!$A:$AJ,BD$5,0),0),IF(ISERROR(1/VLOOKUP($R332,Capa!$A:$AJ,BD$5,0)),0,1/VLOOKUP($R332,Capa!$A:$AJ,BD$5,0))))</f>
        <v/>
      </c>
      <c r="BE332" s="174" t="str">
        <f>IF(BE$6="","",IF(BE$3="Maior",iferror(VLOOKUP($R332,Capa!$A:$AJ,BE$5,0),0),IF(ISERROR(1/VLOOKUP($R332,Capa!$A:$AJ,BE$5,0)),0,1/VLOOKUP($R332,Capa!$A:$AJ,BE$5,0))))</f>
        <v/>
      </c>
      <c r="BF332" s="174" t="str">
        <f>IF(BF$6="","",IF(BF$3="Maior",iferror(VLOOKUP($R332,Capa!$A:$AJ,BF$5,0),0),IF(ISERROR(1/VLOOKUP($R332,Capa!$A:$AJ,BF$5,0)),0,1/VLOOKUP($R332,Capa!$A:$AJ,BF$5,0))))</f>
        <v/>
      </c>
      <c r="BG332" s="174" t="str">
        <f>IF(BG$6="","",IF(BG$3="Maior",iferror(VLOOKUP($R332,Capa!$A:$AJ,BG$5,0),0),IF(ISERROR(1/VLOOKUP($R332,Capa!$A:$AJ,BG$5,0)),0,1/VLOOKUP($R332,Capa!$A:$AJ,BG$5,0))))</f>
        <v/>
      </c>
      <c r="BH332" s="174" t="str">
        <f>IF(BH$6="","",IF(BH$3="Maior",iferror(VLOOKUP($R332,Capa!$A:$AJ,BH$5,0),0),IF(ISERROR(1/VLOOKUP($R332,Capa!$A:$AJ,BH$5,0)),0,1/VLOOKUP($R332,Capa!$A:$AJ,BH$5,0))))</f>
        <v/>
      </c>
      <c r="BI332" s="174" t="str">
        <f>IF(BI$6="","",IF(BI$3="Maior",iferror(VLOOKUP($R332,Capa!$A:$AJ,BI$5,0),0),IF(ISERROR(1/VLOOKUP($R332,Capa!$A:$AJ,BI$5,0)),0,1/VLOOKUP($R332,Capa!$A:$AJ,BI$5,0))))</f>
        <v/>
      </c>
      <c r="BJ332" s="174" t="str">
        <f>IF(BJ$6="","",IF(BJ$3="Maior",iferror(VLOOKUP($R332,Capa!$A:$AJ,BJ$5,0),0),IF(ISERROR(1/VLOOKUP($R332,Capa!$A:$AJ,BJ$5,0)),0,1/VLOOKUP($R332,Capa!$A:$AJ,BJ$5,0))))</f>
        <v/>
      </c>
      <c r="BK332" s="174" t="str">
        <f>IF(BK$6="","",IF(BK$3="Maior",iferror(VLOOKUP($R332,Capa!$A:$AJ,BK$5,0),0),IF(ISERROR(1/VLOOKUP($R332,Capa!$A:$AJ,BK$5,0)),0,1/VLOOKUP($R332,Capa!$A:$AJ,BK$5,0))))</f>
        <v/>
      </c>
      <c r="BL332" s="174" t="str">
        <f>IF(BL$6="","",IF(BL$3="Maior",iferror(VLOOKUP($R332,Capa!$A:$AJ,BL$5,0),0),IF(ISERROR(1/VLOOKUP($R332,Capa!$A:$AJ,BL$5,0)),0,1/VLOOKUP($R332,Capa!$A:$AJ,BL$5,0))))</f>
        <v/>
      </c>
      <c r="BM332" s="174" t="str">
        <f>IF(BM$6="","",IF(BM$3="Maior",iferror(VLOOKUP($R332,Capa!$A:$AJ,BM$5,0),0),IF(ISERROR(1/VLOOKUP($R332,Capa!$A:$AJ,BM$5,0)),0,1/VLOOKUP($R332,Capa!$A:$AJ,BM$5,0))))</f>
        <v/>
      </c>
      <c r="BN332" s="174" t="str">
        <f>IF(BN$6="","",IF(BN$3="Maior",iferror(VLOOKUP($R332,Capa!$A:$AJ,BN$5,0),0),IF(ISERROR(1/VLOOKUP($R332,Capa!$A:$AJ,BN$5,0)),0,1/VLOOKUP($R332,Capa!$A:$AJ,BN$5,0))))</f>
        <v/>
      </c>
      <c r="BO332" s="174" t="str">
        <f>IF(BO$6="","",IF(BO$3="Maior",iferror(VLOOKUP($R332,Capa!$A:$AJ,BO$5,0),0),IF(ISERROR(1/VLOOKUP($R332,Capa!$A:$AJ,BO$5,0)),0,1/VLOOKUP($R332,Capa!$A:$AJ,BO$5,0))))</f>
        <v/>
      </c>
      <c r="BP332" s="174" t="str">
        <f>IF(BP$6="","",IF(BP$3="Maior",iferror(VLOOKUP($R332,Capa!$A:$AJ,BP$5,0),0),IF(ISERROR(1/VLOOKUP($R332,Capa!$A:$AJ,BP$5,0)),0,1/VLOOKUP($R332,Capa!$A:$AJ,BP$5,0))))</f>
        <v/>
      </c>
      <c r="BQ332" s="174" t="str">
        <f>IF(BQ$6="","",IF(BQ$3="Maior",iferror(VLOOKUP($R332,Capa!$A:$AJ,BQ$5,0),0),IF(ISERROR(1/VLOOKUP($R332,Capa!$A:$AJ,BQ$5,0)),0,1/VLOOKUP($R332,Capa!$A:$AJ,BQ$5,0))))</f>
        <v/>
      </c>
      <c r="BR332" s="175"/>
      <c r="BS332" s="147"/>
    </row>
    <row r="333">
      <c r="G333" s="11"/>
      <c r="H333" s="8">
        <v>327.0</v>
      </c>
      <c r="I333" s="165" t="str">
        <f t="shared" si="6"/>
        <v>AALR3</v>
      </c>
      <c r="J333" s="167" t="str">
        <f>(VLOOKUP($I333,Capa!$A:$B,2,0))</f>
        <v>#N/A</v>
      </c>
      <c r="K333" s="167" t="str">
        <f>VLOOKUP(left(I333,4),Setor!A:D,3,0)&amp;" | "&amp;VLOOKUP(left(I333,4),Setor!A:D,4,0)</f>
        <v>Saúde | Análises e Diagnósticos</v>
      </c>
      <c r="L333" s="10" t="str">
        <f>(VLOOKUP($I333,Capa!$A:$F,6,0))</f>
        <v>#N/A</v>
      </c>
      <c r="M333" s="168">
        <f t="shared" si="7"/>
        <v>233843</v>
      </c>
      <c r="N333" s="11" t="str">
        <f>(VLOOKUP($I333,Capa!$A:$H,7,0))</f>
        <v>#N/A</v>
      </c>
      <c r="O333" s="11" t="str">
        <f>(VLOOKUP($I333,Capa!$A:$H,8,0))</f>
        <v>#N/A</v>
      </c>
      <c r="P333" s="11" t="str">
        <f>(VLOOKUP($I333,Capa!$A:$J,10,0))</f>
        <v>#N/A</v>
      </c>
      <c r="Q333" s="11" t="str">
        <f>(VLOOKUP($I333,Capa!$A:$K,11,0))</f>
        <v>#N/A</v>
      </c>
      <c r="R333" s="45" t="str">
        <f>'Dados StatusInvest'!A328</f>
        <v>INEP3</v>
      </c>
      <c r="S333" s="170">
        <f t="shared" si="234"/>
        <v>1799.0799</v>
      </c>
      <c r="T333" s="171">
        <f>VLOOKUP(R333,'Dados StatusInvest'!A:Z,26,0)</f>
        <v>180392.2</v>
      </c>
      <c r="U333" s="172">
        <f t="shared" ref="U333:AS333" si="336">IF(AT333="","", RANK(AT333,AT$7:AT$626,0)+RANK(AT333,AT$7:AT$626,0)/10000)</f>
        <v>532.0532</v>
      </c>
      <c r="V333" s="172">
        <f t="shared" si="336"/>
        <v>267.0267</v>
      </c>
      <c r="W333" s="172" t="str">
        <f t="shared" si="336"/>
        <v/>
      </c>
      <c r="X333" s="172" t="str">
        <f t="shared" si="336"/>
        <v/>
      </c>
      <c r="Y333" s="172" t="str">
        <f t="shared" si="336"/>
        <v/>
      </c>
      <c r="Z333" s="172" t="str">
        <f t="shared" si="336"/>
        <v/>
      </c>
      <c r="AA333" s="172" t="str">
        <f t="shared" si="336"/>
        <v/>
      </c>
      <c r="AB333" s="172" t="str">
        <f t="shared" si="336"/>
        <v/>
      </c>
      <c r="AC333" s="172" t="str">
        <f t="shared" si="336"/>
        <v/>
      </c>
      <c r="AD333" s="172" t="str">
        <f t="shared" si="336"/>
        <v/>
      </c>
      <c r="AE333" s="172" t="str">
        <f t="shared" si="336"/>
        <v/>
      </c>
      <c r="AF333" s="172" t="str">
        <f t="shared" si="336"/>
        <v/>
      </c>
      <c r="AG333" s="172" t="str">
        <f t="shared" si="336"/>
        <v/>
      </c>
      <c r="AH333" s="172" t="str">
        <f t="shared" si="336"/>
        <v/>
      </c>
      <c r="AI333" s="172" t="str">
        <f t="shared" si="336"/>
        <v/>
      </c>
      <c r="AJ333" s="172" t="str">
        <f t="shared" si="336"/>
        <v/>
      </c>
      <c r="AK333" s="172" t="str">
        <f t="shared" si="336"/>
        <v/>
      </c>
      <c r="AL333" s="172" t="str">
        <f t="shared" si="336"/>
        <v/>
      </c>
      <c r="AM333" s="172" t="str">
        <f t="shared" si="336"/>
        <v/>
      </c>
      <c r="AN333" s="172" t="str">
        <f t="shared" si="336"/>
        <v/>
      </c>
      <c r="AO333" s="172" t="str">
        <f t="shared" si="336"/>
        <v/>
      </c>
      <c r="AP333" s="172" t="str">
        <f t="shared" si="336"/>
        <v/>
      </c>
      <c r="AQ333" s="172" t="str">
        <f t="shared" si="336"/>
        <v/>
      </c>
      <c r="AR333" s="172" t="str">
        <f t="shared" si="336"/>
        <v/>
      </c>
      <c r="AS333" s="172" t="str">
        <f t="shared" si="336"/>
        <v/>
      </c>
      <c r="AT333" s="173">
        <f>IF(AT$6="","",IF(AT$3="Maior",iferror(VLOOKUP($R333,Capa!$A:$AJ,AT$5,0),0),IF(ISERROR(1/VLOOKUP($R333,Capa!$A:$AJ,AT$5,0)),0,1/VLOOKUP($R333,Capa!$A:$AJ,AT$5,0))))</f>
        <v>-4.330708661</v>
      </c>
      <c r="AU333" s="174">
        <f>IF(AU$6="","",IF(AU$3="Maior",iferror(VLOOKUP($R333,Capa!$A:$AJ,AU$5,0),0),IF(ISERROR(1/VLOOKUP($R333,Capa!$A:$AJ,AU$5,0)),0,1/VLOOKUP($R333,Capa!$A:$AJ,AU$5,0))))</f>
        <v>0</v>
      </c>
      <c r="AV333" s="174" t="str">
        <f>IF(AV$6="","",IF(AV$3="Maior",iferror(VLOOKUP($R333,Capa!$A:$AJ,AV$5,0),0),IF(ISERROR(1/VLOOKUP($R333,Capa!$A:$AJ,AV$5,0)),0,1/VLOOKUP($R333,Capa!$A:$AJ,AV$5,0))))</f>
        <v/>
      </c>
      <c r="AW333" s="174" t="str">
        <f>IF(AW$6="","",IF(AW$3="Maior",iferror(VLOOKUP($R333,Capa!$A:$AJ,AW$5,0),0),IF(ISERROR(1/VLOOKUP($R333,Capa!$A:$AJ,AW$5,0)),0,1/VLOOKUP($R333,Capa!$A:$AJ,AW$5,0))))</f>
        <v/>
      </c>
      <c r="AX333" s="174" t="str">
        <f>IF(AX$6="","",IF(AX$3="Maior",iferror(VLOOKUP($R333,Capa!$A:$AJ,AX$5,0),0),IF(ISERROR(1/VLOOKUP($R333,Capa!$A:$AJ,AX$5,0)),0,1/VLOOKUP($R333,Capa!$A:$AJ,AX$5,0))))</f>
        <v/>
      </c>
      <c r="AY333" s="174" t="str">
        <f>IF(AY$6="","",IF(AY$3="Maior",iferror(VLOOKUP($R333,Capa!$A:$AJ,AY$5,0),0),IF(ISERROR(1/VLOOKUP($R333,Capa!$A:$AJ,AY$5,0)),0,1/VLOOKUP($R333,Capa!$A:$AJ,AY$5,0))))</f>
        <v/>
      </c>
      <c r="AZ333" s="174" t="str">
        <f>IF(AZ$6="","",IF(AZ$3="Maior",iferror(VLOOKUP($R333,Capa!$A:$AJ,AZ$5,0),0),IF(ISERROR(1/VLOOKUP($R333,Capa!$A:$AJ,AZ$5,0)),0,1/VLOOKUP($R333,Capa!$A:$AJ,AZ$5,0))))</f>
        <v/>
      </c>
      <c r="BA333" s="174" t="str">
        <f>IF(BA$6="","",IF(BA$3="Maior",iferror(VLOOKUP($R333,Capa!$A:$AJ,BA$5,0),0),IF(ISERROR(1/VLOOKUP($R333,Capa!$A:$AJ,BA$5,0)),0,1/VLOOKUP($R333,Capa!$A:$AJ,BA$5,0))))</f>
        <v/>
      </c>
      <c r="BB333" s="174" t="str">
        <f>IF(BB$6="","",IF(BB$3="Maior",iferror(VLOOKUP($R333,Capa!$A:$AJ,BB$5,0),0),IF(ISERROR(1/VLOOKUP($R333,Capa!$A:$AJ,BB$5,0)),0,1/VLOOKUP($R333,Capa!$A:$AJ,BB$5,0))))</f>
        <v/>
      </c>
      <c r="BC333" s="174" t="str">
        <f>IF(BC$6="","",IF(BC$3="Maior",iferror(VLOOKUP($R333,Capa!$A:$AJ,BC$5,0),0),IF(ISERROR(1/VLOOKUP($R333,Capa!$A:$AJ,BC$5,0)),0,1/VLOOKUP($R333,Capa!$A:$AJ,BC$5,0))))</f>
        <v/>
      </c>
      <c r="BD333" s="174" t="str">
        <f>IF(BD$6="","",IF(BD$3="Maior",iferror(VLOOKUP($R333,Capa!$A:$AJ,BD$5,0),0),IF(ISERROR(1/VLOOKUP($R333,Capa!$A:$AJ,BD$5,0)),0,1/VLOOKUP($R333,Capa!$A:$AJ,BD$5,0))))</f>
        <v/>
      </c>
      <c r="BE333" s="174" t="str">
        <f>IF(BE$6="","",IF(BE$3="Maior",iferror(VLOOKUP($R333,Capa!$A:$AJ,BE$5,0),0),IF(ISERROR(1/VLOOKUP($R333,Capa!$A:$AJ,BE$5,0)),0,1/VLOOKUP($R333,Capa!$A:$AJ,BE$5,0))))</f>
        <v/>
      </c>
      <c r="BF333" s="174" t="str">
        <f>IF(BF$6="","",IF(BF$3="Maior",iferror(VLOOKUP($R333,Capa!$A:$AJ,BF$5,0),0),IF(ISERROR(1/VLOOKUP($R333,Capa!$A:$AJ,BF$5,0)),0,1/VLOOKUP($R333,Capa!$A:$AJ,BF$5,0))))</f>
        <v/>
      </c>
      <c r="BG333" s="174" t="str">
        <f>IF(BG$6="","",IF(BG$3="Maior",iferror(VLOOKUP($R333,Capa!$A:$AJ,BG$5,0),0),IF(ISERROR(1/VLOOKUP($R333,Capa!$A:$AJ,BG$5,0)),0,1/VLOOKUP($R333,Capa!$A:$AJ,BG$5,0))))</f>
        <v/>
      </c>
      <c r="BH333" s="174" t="str">
        <f>IF(BH$6="","",IF(BH$3="Maior",iferror(VLOOKUP($R333,Capa!$A:$AJ,BH$5,0),0),IF(ISERROR(1/VLOOKUP($R333,Capa!$A:$AJ,BH$5,0)),0,1/VLOOKUP($R333,Capa!$A:$AJ,BH$5,0))))</f>
        <v/>
      </c>
      <c r="BI333" s="174" t="str">
        <f>IF(BI$6="","",IF(BI$3="Maior",iferror(VLOOKUP($R333,Capa!$A:$AJ,BI$5,0),0),IF(ISERROR(1/VLOOKUP($R333,Capa!$A:$AJ,BI$5,0)),0,1/VLOOKUP($R333,Capa!$A:$AJ,BI$5,0))))</f>
        <v/>
      </c>
      <c r="BJ333" s="174" t="str">
        <f>IF(BJ$6="","",IF(BJ$3="Maior",iferror(VLOOKUP($R333,Capa!$A:$AJ,BJ$5,0),0),IF(ISERROR(1/VLOOKUP($R333,Capa!$A:$AJ,BJ$5,0)),0,1/VLOOKUP($R333,Capa!$A:$AJ,BJ$5,0))))</f>
        <v/>
      </c>
      <c r="BK333" s="174" t="str">
        <f>IF(BK$6="","",IF(BK$3="Maior",iferror(VLOOKUP($R333,Capa!$A:$AJ,BK$5,0),0),IF(ISERROR(1/VLOOKUP($R333,Capa!$A:$AJ,BK$5,0)),0,1/VLOOKUP($R333,Capa!$A:$AJ,BK$5,0))))</f>
        <v/>
      </c>
      <c r="BL333" s="174" t="str">
        <f>IF(BL$6="","",IF(BL$3="Maior",iferror(VLOOKUP($R333,Capa!$A:$AJ,BL$5,0),0),IF(ISERROR(1/VLOOKUP($R333,Capa!$A:$AJ,BL$5,0)),0,1/VLOOKUP($R333,Capa!$A:$AJ,BL$5,0))))</f>
        <v/>
      </c>
      <c r="BM333" s="174" t="str">
        <f>IF(BM$6="","",IF(BM$3="Maior",iferror(VLOOKUP($R333,Capa!$A:$AJ,BM$5,0),0),IF(ISERROR(1/VLOOKUP($R333,Capa!$A:$AJ,BM$5,0)),0,1/VLOOKUP($R333,Capa!$A:$AJ,BM$5,0))))</f>
        <v/>
      </c>
      <c r="BN333" s="174" t="str">
        <f>IF(BN$6="","",IF(BN$3="Maior",iferror(VLOOKUP($R333,Capa!$A:$AJ,BN$5,0),0),IF(ISERROR(1/VLOOKUP($R333,Capa!$A:$AJ,BN$5,0)),0,1/VLOOKUP($R333,Capa!$A:$AJ,BN$5,0))))</f>
        <v/>
      </c>
      <c r="BO333" s="174" t="str">
        <f>IF(BO$6="","",IF(BO$3="Maior",iferror(VLOOKUP($R333,Capa!$A:$AJ,BO$5,0),0),IF(ISERROR(1/VLOOKUP($R333,Capa!$A:$AJ,BO$5,0)),0,1/VLOOKUP($R333,Capa!$A:$AJ,BO$5,0))))</f>
        <v/>
      </c>
      <c r="BP333" s="174" t="str">
        <f>IF(BP$6="","",IF(BP$3="Maior",iferror(VLOOKUP($R333,Capa!$A:$AJ,BP$5,0),0),IF(ISERROR(1/VLOOKUP($R333,Capa!$A:$AJ,BP$5,0)),0,1/VLOOKUP($R333,Capa!$A:$AJ,BP$5,0))))</f>
        <v/>
      </c>
      <c r="BQ333" s="174" t="str">
        <f>IF(BQ$6="","",IF(BQ$3="Maior",iferror(VLOOKUP($R333,Capa!$A:$AJ,BQ$5,0),0),IF(ISERROR(1/VLOOKUP($R333,Capa!$A:$AJ,BQ$5,0)),0,1/VLOOKUP($R333,Capa!$A:$AJ,BQ$5,0))))</f>
        <v/>
      </c>
      <c r="BR333" s="175"/>
      <c r="BS333" s="147"/>
    </row>
    <row r="334">
      <c r="G334" s="11"/>
      <c r="H334" s="8">
        <v>328.0</v>
      </c>
      <c r="I334" s="165" t="str">
        <f t="shared" si="6"/>
        <v>AALR3</v>
      </c>
      <c r="J334" s="167" t="str">
        <f>(VLOOKUP($I334,Capa!$A:$B,2,0))</f>
        <v>#N/A</v>
      </c>
      <c r="K334" s="167" t="str">
        <f>VLOOKUP(left(I334,4),Setor!A:D,3,0)&amp;" | "&amp;VLOOKUP(left(I334,4),Setor!A:D,4,0)</f>
        <v>Saúde | Análises e Diagnósticos</v>
      </c>
      <c r="L334" s="10" t="str">
        <f>(VLOOKUP($I334,Capa!$A:$F,6,0))</f>
        <v>#N/A</v>
      </c>
      <c r="M334" s="168">
        <f t="shared" si="7"/>
        <v>233843</v>
      </c>
      <c r="N334" s="11" t="str">
        <f>(VLOOKUP($I334,Capa!$A:$H,7,0))</f>
        <v>#N/A</v>
      </c>
      <c r="O334" s="11" t="str">
        <f>(VLOOKUP($I334,Capa!$A:$H,8,0))</f>
        <v>#N/A</v>
      </c>
      <c r="P334" s="11" t="str">
        <f>(VLOOKUP($I334,Capa!$A:$J,10,0))</f>
        <v>#N/A</v>
      </c>
      <c r="Q334" s="11" t="str">
        <f>(VLOOKUP($I334,Capa!$A:$K,11,0))</f>
        <v>#N/A</v>
      </c>
      <c r="R334" s="45" t="str">
        <f>'Dados StatusInvest'!A329</f>
        <v>INEP4</v>
      </c>
      <c r="S334" s="170">
        <f t="shared" si="234"/>
        <v>1813.0813</v>
      </c>
      <c r="T334" s="171">
        <f>VLOOKUP(R334,'Dados StatusInvest'!A:Z,26,0)</f>
        <v>62412.29</v>
      </c>
      <c r="U334" s="172">
        <f t="shared" ref="U334:AS334" si="337">IF(AT334="","", RANK(AT334,AT$7:AT$626,0)+RANK(AT334,AT$7:AT$626,0)/10000)</f>
        <v>546.0546</v>
      </c>
      <c r="V334" s="172">
        <f t="shared" si="337"/>
        <v>267.0267</v>
      </c>
      <c r="W334" s="172" t="str">
        <f t="shared" si="337"/>
        <v/>
      </c>
      <c r="X334" s="172" t="str">
        <f t="shared" si="337"/>
        <v/>
      </c>
      <c r="Y334" s="172" t="str">
        <f t="shared" si="337"/>
        <v/>
      </c>
      <c r="Z334" s="172" t="str">
        <f t="shared" si="337"/>
        <v/>
      </c>
      <c r="AA334" s="172" t="str">
        <f t="shared" si="337"/>
        <v/>
      </c>
      <c r="AB334" s="172" t="str">
        <f t="shared" si="337"/>
        <v/>
      </c>
      <c r="AC334" s="172" t="str">
        <f t="shared" si="337"/>
        <v/>
      </c>
      <c r="AD334" s="172" t="str">
        <f t="shared" si="337"/>
        <v/>
      </c>
      <c r="AE334" s="172" t="str">
        <f t="shared" si="337"/>
        <v/>
      </c>
      <c r="AF334" s="172" t="str">
        <f t="shared" si="337"/>
        <v/>
      </c>
      <c r="AG334" s="172" t="str">
        <f t="shared" si="337"/>
        <v/>
      </c>
      <c r="AH334" s="172" t="str">
        <f t="shared" si="337"/>
        <v/>
      </c>
      <c r="AI334" s="172" t="str">
        <f t="shared" si="337"/>
        <v/>
      </c>
      <c r="AJ334" s="172" t="str">
        <f t="shared" si="337"/>
        <v/>
      </c>
      <c r="AK334" s="172" t="str">
        <f t="shared" si="337"/>
        <v/>
      </c>
      <c r="AL334" s="172" t="str">
        <f t="shared" si="337"/>
        <v/>
      </c>
      <c r="AM334" s="172" t="str">
        <f t="shared" si="337"/>
        <v/>
      </c>
      <c r="AN334" s="172" t="str">
        <f t="shared" si="337"/>
        <v/>
      </c>
      <c r="AO334" s="172" t="str">
        <f t="shared" si="337"/>
        <v/>
      </c>
      <c r="AP334" s="172" t="str">
        <f t="shared" si="337"/>
        <v/>
      </c>
      <c r="AQ334" s="172" t="str">
        <f t="shared" si="337"/>
        <v/>
      </c>
      <c r="AR334" s="172" t="str">
        <f t="shared" si="337"/>
        <v/>
      </c>
      <c r="AS334" s="172" t="str">
        <f t="shared" si="337"/>
        <v/>
      </c>
      <c r="AT334" s="173">
        <f>IF(AT$6="","",IF(AT$3="Maior",iferror(VLOOKUP($R334,Capa!$A:$AJ,AT$5,0),0),IF(ISERROR(1/VLOOKUP($R334,Capa!$A:$AJ,AT$5,0)),0,1/VLOOKUP($R334,Capa!$A:$AJ,AT$5,0))))</f>
        <v>-5</v>
      </c>
      <c r="AU334" s="174">
        <f>IF(AU$6="","",IF(AU$3="Maior",iferror(VLOOKUP($R334,Capa!$A:$AJ,AU$5,0),0),IF(ISERROR(1/VLOOKUP($R334,Capa!$A:$AJ,AU$5,0)),0,1/VLOOKUP($R334,Capa!$A:$AJ,AU$5,0))))</f>
        <v>0</v>
      </c>
      <c r="AV334" s="174" t="str">
        <f>IF(AV$6="","",IF(AV$3="Maior",iferror(VLOOKUP($R334,Capa!$A:$AJ,AV$5,0),0),IF(ISERROR(1/VLOOKUP($R334,Capa!$A:$AJ,AV$5,0)),0,1/VLOOKUP($R334,Capa!$A:$AJ,AV$5,0))))</f>
        <v/>
      </c>
      <c r="AW334" s="174" t="str">
        <f>IF(AW$6="","",IF(AW$3="Maior",iferror(VLOOKUP($R334,Capa!$A:$AJ,AW$5,0),0),IF(ISERROR(1/VLOOKUP($R334,Capa!$A:$AJ,AW$5,0)),0,1/VLOOKUP($R334,Capa!$A:$AJ,AW$5,0))))</f>
        <v/>
      </c>
      <c r="AX334" s="174" t="str">
        <f>IF(AX$6="","",IF(AX$3="Maior",iferror(VLOOKUP($R334,Capa!$A:$AJ,AX$5,0),0),IF(ISERROR(1/VLOOKUP($R334,Capa!$A:$AJ,AX$5,0)),0,1/VLOOKUP($R334,Capa!$A:$AJ,AX$5,0))))</f>
        <v/>
      </c>
      <c r="AY334" s="174" t="str">
        <f>IF(AY$6="","",IF(AY$3="Maior",iferror(VLOOKUP($R334,Capa!$A:$AJ,AY$5,0),0),IF(ISERROR(1/VLOOKUP($R334,Capa!$A:$AJ,AY$5,0)),0,1/VLOOKUP($R334,Capa!$A:$AJ,AY$5,0))))</f>
        <v/>
      </c>
      <c r="AZ334" s="174" t="str">
        <f>IF(AZ$6="","",IF(AZ$3="Maior",iferror(VLOOKUP($R334,Capa!$A:$AJ,AZ$5,0),0),IF(ISERROR(1/VLOOKUP($R334,Capa!$A:$AJ,AZ$5,0)),0,1/VLOOKUP($R334,Capa!$A:$AJ,AZ$5,0))))</f>
        <v/>
      </c>
      <c r="BA334" s="174" t="str">
        <f>IF(BA$6="","",IF(BA$3="Maior",iferror(VLOOKUP($R334,Capa!$A:$AJ,BA$5,0),0),IF(ISERROR(1/VLOOKUP($R334,Capa!$A:$AJ,BA$5,0)),0,1/VLOOKUP($R334,Capa!$A:$AJ,BA$5,0))))</f>
        <v/>
      </c>
      <c r="BB334" s="174" t="str">
        <f>IF(BB$6="","",IF(BB$3="Maior",iferror(VLOOKUP($R334,Capa!$A:$AJ,BB$5,0),0),IF(ISERROR(1/VLOOKUP($R334,Capa!$A:$AJ,BB$5,0)),0,1/VLOOKUP($R334,Capa!$A:$AJ,BB$5,0))))</f>
        <v/>
      </c>
      <c r="BC334" s="174" t="str">
        <f>IF(BC$6="","",IF(BC$3="Maior",iferror(VLOOKUP($R334,Capa!$A:$AJ,BC$5,0),0),IF(ISERROR(1/VLOOKUP($R334,Capa!$A:$AJ,BC$5,0)),0,1/VLOOKUP($R334,Capa!$A:$AJ,BC$5,0))))</f>
        <v/>
      </c>
      <c r="BD334" s="174" t="str">
        <f>IF(BD$6="","",IF(BD$3="Maior",iferror(VLOOKUP($R334,Capa!$A:$AJ,BD$5,0),0),IF(ISERROR(1/VLOOKUP($R334,Capa!$A:$AJ,BD$5,0)),0,1/VLOOKUP($R334,Capa!$A:$AJ,BD$5,0))))</f>
        <v/>
      </c>
      <c r="BE334" s="174" t="str">
        <f>IF(BE$6="","",IF(BE$3="Maior",iferror(VLOOKUP($R334,Capa!$A:$AJ,BE$5,0),0),IF(ISERROR(1/VLOOKUP($R334,Capa!$A:$AJ,BE$5,0)),0,1/VLOOKUP($R334,Capa!$A:$AJ,BE$5,0))))</f>
        <v/>
      </c>
      <c r="BF334" s="174" t="str">
        <f>IF(BF$6="","",IF(BF$3="Maior",iferror(VLOOKUP($R334,Capa!$A:$AJ,BF$5,0),0),IF(ISERROR(1/VLOOKUP($R334,Capa!$A:$AJ,BF$5,0)),0,1/VLOOKUP($R334,Capa!$A:$AJ,BF$5,0))))</f>
        <v/>
      </c>
      <c r="BG334" s="174" t="str">
        <f>IF(BG$6="","",IF(BG$3="Maior",iferror(VLOOKUP($R334,Capa!$A:$AJ,BG$5,0),0),IF(ISERROR(1/VLOOKUP($R334,Capa!$A:$AJ,BG$5,0)),0,1/VLOOKUP($R334,Capa!$A:$AJ,BG$5,0))))</f>
        <v/>
      </c>
      <c r="BH334" s="174" t="str">
        <f>IF(BH$6="","",IF(BH$3="Maior",iferror(VLOOKUP($R334,Capa!$A:$AJ,BH$5,0),0),IF(ISERROR(1/VLOOKUP($R334,Capa!$A:$AJ,BH$5,0)),0,1/VLOOKUP($R334,Capa!$A:$AJ,BH$5,0))))</f>
        <v/>
      </c>
      <c r="BI334" s="174" t="str">
        <f>IF(BI$6="","",IF(BI$3="Maior",iferror(VLOOKUP($R334,Capa!$A:$AJ,BI$5,0),0),IF(ISERROR(1/VLOOKUP($R334,Capa!$A:$AJ,BI$5,0)),0,1/VLOOKUP($R334,Capa!$A:$AJ,BI$5,0))))</f>
        <v/>
      </c>
      <c r="BJ334" s="174" t="str">
        <f>IF(BJ$6="","",IF(BJ$3="Maior",iferror(VLOOKUP($R334,Capa!$A:$AJ,BJ$5,0),0),IF(ISERROR(1/VLOOKUP($R334,Capa!$A:$AJ,BJ$5,0)),0,1/VLOOKUP($R334,Capa!$A:$AJ,BJ$5,0))))</f>
        <v/>
      </c>
      <c r="BK334" s="174" t="str">
        <f>IF(BK$6="","",IF(BK$3="Maior",iferror(VLOOKUP($R334,Capa!$A:$AJ,BK$5,0),0),IF(ISERROR(1/VLOOKUP($R334,Capa!$A:$AJ,BK$5,0)),0,1/VLOOKUP($R334,Capa!$A:$AJ,BK$5,0))))</f>
        <v/>
      </c>
      <c r="BL334" s="174" t="str">
        <f>IF(BL$6="","",IF(BL$3="Maior",iferror(VLOOKUP($R334,Capa!$A:$AJ,BL$5,0),0),IF(ISERROR(1/VLOOKUP($R334,Capa!$A:$AJ,BL$5,0)),0,1/VLOOKUP($R334,Capa!$A:$AJ,BL$5,0))))</f>
        <v/>
      </c>
      <c r="BM334" s="174" t="str">
        <f>IF(BM$6="","",IF(BM$3="Maior",iferror(VLOOKUP($R334,Capa!$A:$AJ,BM$5,0),0),IF(ISERROR(1/VLOOKUP($R334,Capa!$A:$AJ,BM$5,0)),0,1/VLOOKUP($R334,Capa!$A:$AJ,BM$5,0))))</f>
        <v/>
      </c>
      <c r="BN334" s="174" t="str">
        <f>IF(BN$6="","",IF(BN$3="Maior",iferror(VLOOKUP($R334,Capa!$A:$AJ,BN$5,0),0),IF(ISERROR(1/VLOOKUP($R334,Capa!$A:$AJ,BN$5,0)),0,1/VLOOKUP($R334,Capa!$A:$AJ,BN$5,0))))</f>
        <v/>
      </c>
      <c r="BO334" s="174" t="str">
        <f>IF(BO$6="","",IF(BO$3="Maior",iferror(VLOOKUP($R334,Capa!$A:$AJ,BO$5,0),0),IF(ISERROR(1/VLOOKUP($R334,Capa!$A:$AJ,BO$5,0)),0,1/VLOOKUP($R334,Capa!$A:$AJ,BO$5,0))))</f>
        <v/>
      </c>
      <c r="BP334" s="174" t="str">
        <f>IF(BP$6="","",IF(BP$3="Maior",iferror(VLOOKUP($R334,Capa!$A:$AJ,BP$5,0),0),IF(ISERROR(1/VLOOKUP($R334,Capa!$A:$AJ,BP$5,0)),0,1/VLOOKUP($R334,Capa!$A:$AJ,BP$5,0))))</f>
        <v/>
      </c>
      <c r="BQ334" s="174" t="str">
        <f>IF(BQ$6="","",IF(BQ$3="Maior",iferror(VLOOKUP($R334,Capa!$A:$AJ,BQ$5,0),0),IF(ISERROR(1/VLOOKUP($R334,Capa!$A:$AJ,BQ$5,0)),0,1/VLOOKUP($R334,Capa!$A:$AJ,BQ$5,0))))</f>
        <v/>
      </c>
      <c r="BR334" s="175"/>
      <c r="BS334" s="147"/>
    </row>
    <row r="335">
      <c r="G335" s="11"/>
      <c r="H335" s="8">
        <v>329.0</v>
      </c>
      <c r="I335" s="165" t="str">
        <f t="shared" si="6"/>
        <v>AALR3</v>
      </c>
      <c r="J335" s="167" t="str">
        <f>(VLOOKUP($I335,Capa!$A:$B,2,0))</f>
        <v>#N/A</v>
      </c>
      <c r="K335" s="167" t="str">
        <f>VLOOKUP(left(I335,4),Setor!A:D,3,0)&amp;" | "&amp;VLOOKUP(left(I335,4),Setor!A:D,4,0)</f>
        <v>Saúde | Análises e Diagnósticos</v>
      </c>
      <c r="L335" s="10" t="str">
        <f>(VLOOKUP($I335,Capa!$A:$F,6,0))</f>
        <v>#N/A</v>
      </c>
      <c r="M335" s="168">
        <f t="shared" si="7"/>
        <v>233843</v>
      </c>
      <c r="N335" s="11" t="str">
        <f>(VLOOKUP($I335,Capa!$A:$H,7,0))</f>
        <v>#N/A</v>
      </c>
      <c r="O335" s="11" t="str">
        <f>(VLOOKUP($I335,Capa!$A:$H,8,0))</f>
        <v>#N/A</v>
      </c>
      <c r="P335" s="11" t="str">
        <f>(VLOOKUP($I335,Capa!$A:$J,10,0))</f>
        <v>#N/A</v>
      </c>
      <c r="Q335" s="11" t="str">
        <f>(VLOOKUP($I335,Capa!$A:$K,11,0))</f>
        <v>#N/A</v>
      </c>
      <c r="R335" s="45" t="str">
        <f>'Dados StatusInvest'!A330</f>
        <v>INNT3</v>
      </c>
      <c r="S335" s="170">
        <f t="shared" si="234"/>
        <v>1318.0318</v>
      </c>
      <c r="T335" s="171">
        <f>VLOOKUP(R335,'Dados StatusInvest'!A:Z,26,0)</f>
        <v>0</v>
      </c>
      <c r="U335" s="172">
        <f t="shared" ref="U335:AS335" si="338">IF(AT335="","", RANK(AT335,AT$7:AT$626,0)+RANK(AT335,AT$7:AT$626,0)/10000)</f>
        <v>51.0051</v>
      </c>
      <c r="V335" s="172">
        <f t="shared" si="338"/>
        <v>267.0267</v>
      </c>
      <c r="W335" s="172" t="str">
        <f t="shared" si="338"/>
        <v/>
      </c>
      <c r="X335" s="172" t="str">
        <f t="shared" si="338"/>
        <v/>
      </c>
      <c r="Y335" s="172" t="str">
        <f t="shared" si="338"/>
        <v/>
      </c>
      <c r="Z335" s="172" t="str">
        <f t="shared" si="338"/>
        <v/>
      </c>
      <c r="AA335" s="172" t="str">
        <f t="shared" si="338"/>
        <v/>
      </c>
      <c r="AB335" s="172" t="str">
        <f t="shared" si="338"/>
        <v/>
      </c>
      <c r="AC335" s="172" t="str">
        <f t="shared" si="338"/>
        <v/>
      </c>
      <c r="AD335" s="172" t="str">
        <f t="shared" si="338"/>
        <v/>
      </c>
      <c r="AE335" s="172" t="str">
        <f t="shared" si="338"/>
        <v/>
      </c>
      <c r="AF335" s="172" t="str">
        <f t="shared" si="338"/>
        <v/>
      </c>
      <c r="AG335" s="172" t="str">
        <f t="shared" si="338"/>
        <v/>
      </c>
      <c r="AH335" s="172" t="str">
        <f t="shared" si="338"/>
        <v/>
      </c>
      <c r="AI335" s="172" t="str">
        <f t="shared" si="338"/>
        <v/>
      </c>
      <c r="AJ335" s="172" t="str">
        <f t="shared" si="338"/>
        <v/>
      </c>
      <c r="AK335" s="172" t="str">
        <f t="shared" si="338"/>
        <v/>
      </c>
      <c r="AL335" s="172" t="str">
        <f t="shared" si="338"/>
        <v/>
      </c>
      <c r="AM335" s="172" t="str">
        <f t="shared" si="338"/>
        <v/>
      </c>
      <c r="AN335" s="172" t="str">
        <f t="shared" si="338"/>
        <v/>
      </c>
      <c r="AO335" s="172" t="str">
        <f t="shared" si="338"/>
        <v/>
      </c>
      <c r="AP335" s="172" t="str">
        <f t="shared" si="338"/>
        <v/>
      </c>
      <c r="AQ335" s="172" t="str">
        <f t="shared" si="338"/>
        <v/>
      </c>
      <c r="AR335" s="172" t="str">
        <f t="shared" si="338"/>
        <v/>
      </c>
      <c r="AS335" s="172" t="str">
        <f t="shared" si="338"/>
        <v/>
      </c>
      <c r="AT335" s="173">
        <f>IF(AT$6="","",IF(AT$3="Maior",iferror(VLOOKUP($R335,Capa!$A:$AJ,AT$5,0),0),IF(ISERROR(1/VLOOKUP($R335,Capa!$A:$AJ,AT$5,0)),0,1/VLOOKUP($R335,Capa!$A:$AJ,AT$5,0))))</f>
        <v>0</v>
      </c>
      <c r="AU335" s="174">
        <f>IF(AU$6="","",IF(AU$3="Maior",iferror(VLOOKUP($R335,Capa!$A:$AJ,AU$5,0),0),IF(ISERROR(1/VLOOKUP($R335,Capa!$A:$AJ,AU$5,0)),0,1/VLOOKUP($R335,Capa!$A:$AJ,AU$5,0))))</f>
        <v>0</v>
      </c>
      <c r="AV335" s="174" t="str">
        <f>IF(AV$6="","",IF(AV$3="Maior",iferror(VLOOKUP($R335,Capa!$A:$AJ,AV$5,0),0),IF(ISERROR(1/VLOOKUP($R335,Capa!$A:$AJ,AV$5,0)),0,1/VLOOKUP($R335,Capa!$A:$AJ,AV$5,0))))</f>
        <v/>
      </c>
      <c r="AW335" s="174" t="str">
        <f>IF(AW$6="","",IF(AW$3="Maior",iferror(VLOOKUP($R335,Capa!$A:$AJ,AW$5,0),0),IF(ISERROR(1/VLOOKUP($R335,Capa!$A:$AJ,AW$5,0)),0,1/VLOOKUP($R335,Capa!$A:$AJ,AW$5,0))))</f>
        <v/>
      </c>
      <c r="AX335" s="174" t="str">
        <f>IF(AX$6="","",IF(AX$3="Maior",iferror(VLOOKUP($R335,Capa!$A:$AJ,AX$5,0),0),IF(ISERROR(1/VLOOKUP($R335,Capa!$A:$AJ,AX$5,0)),0,1/VLOOKUP($R335,Capa!$A:$AJ,AX$5,0))))</f>
        <v/>
      </c>
      <c r="AY335" s="174" t="str">
        <f>IF(AY$6="","",IF(AY$3="Maior",iferror(VLOOKUP($R335,Capa!$A:$AJ,AY$5,0),0),IF(ISERROR(1/VLOOKUP($R335,Capa!$A:$AJ,AY$5,0)),0,1/VLOOKUP($R335,Capa!$A:$AJ,AY$5,0))))</f>
        <v/>
      </c>
      <c r="AZ335" s="174" t="str">
        <f>IF(AZ$6="","",IF(AZ$3="Maior",iferror(VLOOKUP($R335,Capa!$A:$AJ,AZ$5,0),0),IF(ISERROR(1/VLOOKUP($R335,Capa!$A:$AJ,AZ$5,0)),0,1/VLOOKUP($R335,Capa!$A:$AJ,AZ$5,0))))</f>
        <v/>
      </c>
      <c r="BA335" s="174" t="str">
        <f>IF(BA$6="","",IF(BA$3="Maior",iferror(VLOOKUP($R335,Capa!$A:$AJ,BA$5,0),0),IF(ISERROR(1/VLOOKUP($R335,Capa!$A:$AJ,BA$5,0)),0,1/VLOOKUP($R335,Capa!$A:$AJ,BA$5,0))))</f>
        <v/>
      </c>
      <c r="BB335" s="174" t="str">
        <f>IF(BB$6="","",IF(BB$3="Maior",iferror(VLOOKUP($R335,Capa!$A:$AJ,BB$5,0),0),IF(ISERROR(1/VLOOKUP($R335,Capa!$A:$AJ,BB$5,0)),0,1/VLOOKUP($R335,Capa!$A:$AJ,BB$5,0))))</f>
        <v/>
      </c>
      <c r="BC335" s="174" t="str">
        <f>IF(BC$6="","",IF(BC$3="Maior",iferror(VLOOKUP($R335,Capa!$A:$AJ,BC$5,0),0),IF(ISERROR(1/VLOOKUP($R335,Capa!$A:$AJ,BC$5,0)),0,1/VLOOKUP($R335,Capa!$A:$AJ,BC$5,0))))</f>
        <v/>
      </c>
      <c r="BD335" s="174" t="str">
        <f>IF(BD$6="","",IF(BD$3="Maior",iferror(VLOOKUP($R335,Capa!$A:$AJ,BD$5,0),0),IF(ISERROR(1/VLOOKUP($R335,Capa!$A:$AJ,BD$5,0)),0,1/VLOOKUP($R335,Capa!$A:$AJ,BD$5,0))))</f>
        <v/>
      </c>
      <c r="BE335" s="174" t="str">
        <f>IF(BE$6="","",IF(BE$3="Maior",iferror(VLOOKUP($R335,Capa!$A:$AJ,BE$5,0),0),IF(ISERROR(1/VLOOKUP($R335,Capa!$A:$AJ,BE$5,0)),0,1/VLOOKUP($R335,Capa!$A:$AJ,BE$5,0))))</f>
        <v/>
      </c>
      <c r="BF335" s="174" t="str">
        <f>IF(BF$6="","",IF(BF$3="Maior",iferror(VLOOKUP($R335,Capa!$A:$AJ,BF$5,0),0),IF(ISERROR(1/VLOOKUP($R335,Capa!$A:$AJ,BF$5,0)),0,1/VLOOKUP($R335,Capa!$A:$AJ,BF$5,0))))</f>
        <v/>
      </c>
      <c r="BG335" s="174" t="str">
        <f>IF(BG$6="","",IF(BG$3="Maior",iferror(VLOOKUP($R335,Capa!$A:$AJ,BG$5,0),0),IF(ISERROR(1/VLOOKUP($R335,Capa!$A:$AJ,BG$5,0)),0,1/VLOOKUP($R335,Capa!$A:$AJ,BG$5,0))))</f>
        <v/>
      </c>
      <c r="BH335" s="174" t="str">
        <f>IF(BH$6="","",IF(BH$3="Maior",iferror(VLOOKUP($R335,Capa!$A:$AJ,BH$5,0),0),IF(ISERROR(1/VLOOKUP($R335,Capa!$A:$AJ,BH$5,0)),0,1/VLOOKUP($R335,Capa!$A:$AJ,BH$5,0))))</f>
        <v/>
      </c>
      <c r="BI335" s="174" t="str">
        <f>IF(BI$6="","",IF(BI$3="Maior",iferror(VLOOKUP($R335,Capa!$A:$AJ,BI$5,0),0),IF(ISERROR(1/VLOOKUP($R335,Capa!$A:$AJ,BI$5,0)),0,1/VLOOKUP($R335,Capa!$A:$AJ,BI$5,0))))</f>
        <v/>
      </c>
      <c r="BJ335" s="174" t="str">
        <f>IF(BJ$6="","",IF(BJ$3="Maior",iferror(VLOOKUP($R335,Capa!$A:$AJ,BJ$5,0),0),IF(ISERROR(1/VLOOKUP($R335,Capa!$A:$AJ,BJ$5,0)),0,1/VLOOKUP($R335,Capa!$A:$AJ,BJ$5,0))))</f>
        <v/>
      </c>
      <c r="BK335" s="174" t="str">
        <f>IF(BK$6="","",IF(BK$3="Maior",iferror(VLOOKUP($R335,Capa!$A:$AJ,BK$5,0),0),IF(ISERROR(1/VLOOKUP($R335,Capa!$A:$AJ,BK$5,0)),0,1/VLOOKUP($R335,Capa!$A:$AJ,BK$5,0))))</f>
        <v/>
      </c>
      <c r="BL335" s="174" t="str">
        <f>IF(BL$6="","",IF(BL$3="Maior",iferror(VLOOKUP($R335,Capa!$A:$AJ,BL$5,0),0),IF(ISERROR(1/VLOOKUP($R335,Capa!$A:$AJ,BL$5,0)),0,1/VLOOKUP($R335,Capa!$A:$AJ,BL$5,0))))</f>
        <v/>
      </c>
      <c r="BM335" s="174" t="str">
        <f>IF(BM$6="","",IF(BM$3="Maior",iferror(VLOOKUP($R335,Capa!$A:$AJ,BM$5,0),0),IF(ISERROR(1/VLOOKUP($R335,Capa!$A:$AJ,BM$5,0)),0,1/VLOOKUP($R335,Capa!$A:$AJ,BM$5,0))))</f>
        <v/>
      </c>
      <c r="BN335" s="174" t="str">
        <f>IF(BN$6="","",IF(BN$3="Maior",iferror(VLOOKUP($R335,Capa!$A:$AJ,BN$5,0),0),IF(ISERROR(1/VLOOKUP($R335,Capa!$A:$AJ,BN$5,0)),0,1/VLOOKUP($R335,Capa!$A:$AJ,BN$5,0))))</f>
        <v/>
      </c>
      <c r="BO335" s="174" t="str">
        <f>IF(BO$6="","",IF(BO$3="Maior",iferror(VLOOKUP($R335,Capa!$A:$AJ,BO$5,0),0),IF(ISERROR(1/VLOOKUP($R335,Capa!$A:$AJ,BO$5,0)),0,1/VLOOKUP($R335,Capa!$A:$AJ,BO$5,0))))</f>
        <v/>
      </c>
      <c r="BP335" s="174" t="str">
        <f>IF(BP$6="","",IF(BP$3="Maior",iferror(VLOOKUP($R335,Capa!$A:$AJ,BP$5,0),0),IF(ISERROR(1/VLOOKUP($R335,Capa!$A:$AJ,BP$5,0)),0,1/VLOOKUP($R335,Capa!$A:$AJ,BP$5,0))))</f>
        <v/>
      </c>
      <c r="BQ335" s="174" t="str">
        <f>IF(BQ$6="","",IF(BQ$3="Maior",iferror(VLOOKUP($R335,Capa!$A:$AJ,BQ$5,0),0),IF(ISERROR(1/VLOOKUP($R335,Capa!$A:$AJ,BQ$5,0)),0,1/VLOOKUP($R335,Capa!$A:$AJ,BQ$5,0))))</f>
        <v/>
      </c>
      <c r="BR335" s="175"/>
      <c r="BS335" s="147"/>
    </row>
    <row r="336">
      <c r="G336" s="11"/>
      <c r="H336" s="8">
        <v>330.0</v>
      </c>
      <c r="I336" s="165" t="str">
        <f t="shared" si="6"/>
        <v>AALR3</v>
      </c>
      <c r="J336" s="167" t="str">
        <f>(VLOOKUP($I336,Capa!$A:$B,2,0))</f>
        <v>#N/A</v>
      </c>
      <c r="K336" s="167" t="str">
        <f>VLOOKUP(left(I336,4),Setor!A:D,3,0)&amp;" | "&amp;VLOOKUP(left(I336,4),Setor!A:D,4,0)</f>
        <v>Saúde | Análises e Diagnósticos</v>
      </c>
      <c r="L336" s="10" t="str">
        <f>(VLOOKUP($I336,Capa!$A:$F,6,0))</f>
        <v>#N/A</v>
      </c>
      <c r="M336" s="168">
        <f t="shared" si="7"/>
        <v>233843</v>
      </c>
      <c r="N336" s="11" t="str">
        <f>(VLOOKUP($I336,Capa!$A:$H,7,0))</f>
        <v>#N/A</v>
      </c>
      <c r="O336" s="11" t="str">
        <f>(VLOOKUP($I336,Capa!$A:$H,8,0))</f>
        <v>#N/A</v>
      </c>
      <c r="P336" s="11" t="str">
        <f>(VLOOKUP($I336,Capa!$A:$J,10,0))</f>
        <v>#N/A</v>
      </c>
      <c r="Q336" s="11" t="str">
        <f>(VLOOKUP($I336,Capa!$A:$K,11,0))</f>
        <v>#N/A</v>
      </c>
      <c r="R336" s="45" t="str">
        <f>'Dados StatusInvest'!A331</f>
        <v>INTB3</v>
      </c>
      <c r="S336" s="170">
        <f t="shared" si="234"/>
        <v>355.0355</v>
      </c>
      <c r="T336" s="171">
        <f>VLOOKUP(R336,'Dados StatusInvest'!A:Z,26,0)</f>
        <v>21330843</v>
      </c>
      <c r="U336" s="172">
        <f t="shared" ref="U336:AS336" si="339">IF(AT336="","", RANK(AT336,AT$7:AT$626,0)+RANK(AT336,AT$7:AT$626,0)/10000)</f>
        <v>224.0224</v>
      </c>
      <c r="V336" s="172">
        <f t="shared" si="339"/>
        <v>131.0131</v>
      </c>
      <c r="W336" s="172" t="str">
        <f t="shared" si="339"/>
        <v/>
      </c>
      <c r="X336" s="172" t="str">
        <f t="shared" si="339"/>
        <v/>
      </c>
      <c r="Y336" s="172" t="str">
        <f t="shared" si="339"/>
        <v/>
      </c>
      <c r="Z336" s="172" t="str">
        <f t="shared" si="339"/>
        <v/>
      </c>
      <c r="AA336" s="172" t="str">
        <f t="shared" si="339"/>
        <v/>
      </c>
      <c r="AB336" s="172" t="str">
        <f t="shared" si="339"/>
        <v/>
      </c>
      <c r="AC336" s="172" t="str">
        <f t="shared" si="339"/>
        <v/>
      </c>
      <c r="AD336" s="172" t="str">
        <f t="shared" si="339"/>
        <v/>
      </c>
      <c r="AE336" s="172" t="str">
        <f t="shared" si="339"/>
        <v/>
      </c>
      <c r="AF336" s="172" t="str">
        <f t="shared" si="339"/>
        <v/>
      </c>
      <c r="AG336" s="172" t="str">
        <f t="shared" si="339"/>
        <v/>
      </c>
      <c r="AH336" s="172" t="str">
        <f t="shared" si="339"/>
        <v/>
      </c>
      <c r="AI336" s="172" t="str">
        <f t="shared" si="339"/>
        <v/>
      </c>
      <c r="AJ336" s="172" t="str">
        <f t="shared" si="339"/>
        <v/>
      </c>
      <c r="AK336" s="172" t="str">
        <f t="shared" si="339"/>
        <v/>
      </c>
      <c r="AL336" s="172" t="str">
        <f t="shared" si="339"/>
        <v/>
      </c>
      <c r="AM336" s="172" t="str">
        <f t="shared" si="339"/>
        <v/>
      </c>
      <c r="AN336" s="172" t="str">
        <f t="shared" si="339"/>
        <v/>
      </c>
      <c r="AO336" s="172" t="str">
        <f t="shared" si="339"/>
        <v/>
      </c>
      <c r="AP336" s="172" t="str">
        <f t="shared" si="339"/>
        <v/>
      </c>
      <c r="AQ336" s="172" t="str">
        <f t="shared" si="339"/>
        <v/>
      </c>
      <c r="AR336" s="172" t="str">
        <f t="shared" si="339"/>
        <v/>
      </c>
      <c r="AS336" s="172" t="str">
        <f t="shared" si="339"/>
        <v/>
      </c>
      <c r="AT336" s="173">
        <f>IF(AT$6="","",IF(AT$3="Maior",iferror(VLOOKUP($R336,Capa!$A:$AJ,AT$5,0),0),IF(ISERROR(1/VLOOKUP($R336,Capa!$A:$AJ,AT$5,0)),0,1/VLOOKUP($R336,Capa!$A:$AJ,AT$5,0))))</f>
        <v>-0.3541127709</v>
      </c>
      <c r="AU336" s="174">
        <f>IF(AU$6="","",IF(AU$3="Maior",iferror(VLOOKUP($R336,Capa!$A:$AJ,AU$5,0),0),IF(ISERROR(1/VLOOKUP($R336,Capa!$A:$AJ,AU$5,0)),0,1/VLOOKUP($R336,Capa!$A:$AJ,AU$5,0))))</f>
        <v>20.07</v>
      </c>
      <c r="AV336" s="174" t="str">
        <f>IF(AV$6="","",IF(AV$3="Maior",iferror(VLOOKUP($R336,Capa!$A:$AJ,AV$5,0),0),IF(ISERROR(1/VLOOKUP($R336,Capa!$A:$AJ,AV$5,0)),0,1/VLOOKUP($R336,Capa!$A:$AJ,AV$5,0))))</f>
        <v/>
      </c>
      <c r="AW336" s="174" t="str">
        <f>IF(AW$6="","",IF(AW$3="Maior",iferror(VLOOKUP($R336,Capa!$A:$AJ,AW$5,0),0),IF(ISERROR(1/VLOOKUP($R336,Capa!$A:$AJ,AW$5,0)),0,1/VLOOKUP($R336,Capa!$A:$AJ,AW$5,0))))</f>
        <v/>
      </c>
      <c r="AX336" s="174" t="str">
        <f>IF(AX$6="","",IF(AX$3="Maior",iferror(VLOOKUP($R336,Capa!$A:$AJ,AX$5,0),0),IF(ISERROR(1/VLOOKUP($R336,Capa!$A:$AJ,AX$5,0)),0,1/VLOOKUP($R336,Capa!$A:$AJ,AX$5,0))))</f>
        <v/>
      </c>
      <c r="AY336" s="174" t="str">
        <f>IF(AY$6="","",IF(AY$3="Maior",iferror(VLOOKUP($R336,Capa!$A:$AJ,AY$5,0),0),IF(ISERROR(1/VLOOKUP($R336,Capa!$A:$AJ,AY$5,0)),0,1/VLOOKUP($R336,Capa!$A:$AJ,AY$5,0))))</f>
        <v/>
      </c>
      <c r="AZ336" s="174" t="str">
        <f>IF(AZ$6="","",IF(AZ$3="Maior",iferror(VLOOKUP($R336,Capa!$A:$AJ,AZ$5,0),0),IF(ISERROR(1/VLOOKUP($R336,Capa!$A:$AJ,AZ$5,0)),0,1/VLOOKUP($R336,Capa!$A:$AJ,AZ$5,0))))</f>
        <v/>
      </c>
      <c r="BA336" s="174" t="str">
        <f>IF(BA$6="","",IF(BA$3="Maior",iferror(VLOOKUP($R336,Capa!$A:$AJ,BA$5,0),0),IF(ISERROR(1/VLOOKUP($R336,Capa!$A:$AJ,BA$5,0)),0,1/VLOOKUP($R336,Capa!$A:$AJ,BA$5,0))))</f>
        <v/>
      </c>
      <c r="BB336" s="174" t="str">
        <f>IF(BB$6="","",IF(BB$3="Maior",iferror(VLOOKUP($R336,Capa!$A:$AJ,BB$5,0),0),IF(ISERROR(1/VLOOKUP($R336,Capa!$A:$AJ,BB$5,0)),0,1/VLOOKUP($R336,Capa!$A:$AJ,BB$5,0))))</f>
        <v/>
      </c>
      <c r="BC336" s="174" t="str">
        <f>IF(BC$6="","",IF(BC$3="Maior",iferror(VLOOKUP($R336,Capa!$A:$AJ,BC$5,0),0),IF(ISERROR(1/VLOOKUP($R336,Capa!$A:$AJ,BC$5,0)),0,1/VLOOKUP($R336,Capa!$A:$AJ,BC$5,0))))</f>
        <v/>
      </c>
      <c r="BD336" s="174" t="str">
        <f>IF(BD$6="","",IF(BD$3="Maior",iferror(VLOOKUP($R336,Capa!$A:$AJ,BD$5,0),0),IF(ISERROR(1/VLOOKUP($R336,Capa!$A:$AJ,BD$5,0)),0,1/VLOOKUP($R336,Capa!$A:$AJ,BD$5,0))))</f>
        <v/>
      </c>
      <c r="BE336" s="174" t="str">
        <f>IF(BE$6="","",IF(BE$3="Maior",iferror(VLOOKUP($R336,Capa!$A:$AJ,BE$5,0),0),IF(ISERROR(1/VLOOKUP($R336,Capa!$A:$AJ,BE$5,0)),0,1/VLOOKUP($R336,Capa!$A:$AJ,BE$5,0))))</f>
        <v/>
      </c>
      <c r="BF336" s="174" t="str">
        <f>IF(BF$6="","",IF(BF$3="Maior",iferror(VLOOKUP($R336,Capa!$A:$AJ,BF$5,0),0),IF(ISERROR(1/VLOOKUP($R336,Capa!$A:$AJ,BF$5,0)),0,1/VLOOKUP($R336,Capa!$A:$AJ,BF$5,0))))</f>
        <v/>
      </c>
      <c r="BG336" s="174" t="str">
        <f>IF(BG$6="","",IF(BG$3="Maior",iferror(VLOOKUP($R336,Capa!$A:$AJ,BG$5,0),0),IF(ISERROR(1/VLOOKUP($R336,Capa!$A:$AJ,BG$5,0)),0,1/VLOOKUP($R336,Capa!$A:$AJ,BG$5,0))))</f>
        <v/>
      </c>
      <c r="BH336" s="174" t="str">
        <f>IF(BH$6="","",IF(BH$3="Maior",iferror(VLOOKUP($R336,Capa!$A:$AJ,BH$5,0),0),IF(ISERROR(1/VLOOKUP($R336,Capa!$A:$AJ,BH$5,0)),0,1/VLOOKUP($R336,Capa!$A:$AJ,BH$5,0))))</f>
        <v/>
      </c>
      <c r="BI336" s="174" t="str">
        <f>IF(BI$6="","",IF(BI$3="Maior",iferror(VLOOKUP($R336,Capa!$A:$AJ,BI$5,0),0),IF(ISERROR(1/VLOOKUP($R336,Capa!$A:$AJ,BI$5,0)),0,1/VLOOKUP($R336,Capa!$A:$AJ,BI$5,0))))</f>
        <v/>
      </c>
      <c r="BJ336" s="174" t="str">
        <f>IF(BJ$6="","",IF(BJ$3="Maior",iferror(VLOOKUP($R336,Capa!$A:$AJ,BJ$5,0),0),IF(ISERROR(1/VLOOKUP($R336,Capa!$A:$AJ,BJ$5,0)),0,1/VLOOKUP($R336,Capa!$A:$AJ,BJ$5,0))))</f>
        <v/>
      </c>
      <c r="BK336" s="174" t="str">
        <f>IF(BK$6="","",IF(BK$3="Maior",iferror(VLOOKUP($R336,Capa!$A:$AJ,BK$5,0),0),IF(ISERROR(1/VLOOKUP($R336,Capa!$A:$AJ,BK$5,0)),0,1/VLOOKUP($R336,Capa!$A:$AJ,BK$5,0))))</f>
        <v/>
      </c>
      <c r="BL336" s="174" t="str">
        <f>IF(BL$6="","",IF(BL$3="Maior",iferror(VLOOKUP($R336,Capa!$A:$AJ,BL$5,0),0),IF(ISERROR(1/VLOOKUP($R336,Capa!$A:$AJ,BL$5,0)),0,1/VLOOKUP($R336,Capa!$A:$AJ,BL$5,0))))</f>
        <v/>
      </c>
      <c r="BM336" s="174" t="str">
        <f>IF(BM$6="","",IF(BM$3="Maior",iferror(VLOOKUP($R336,Capa!$A:$AJ,BM$5,0),0),IF(ISERROR(1/VLOOKUP($R336,Capa!$A:$AJ,BM$5,0)),0,1/VLOOKUP($R336,Capa!$A:$AJ,BM$5,0))))</f>
        <v/>
      </c>
      <c r="BN336" s="174" t="str">
        <f>IF(BN$6="","",IF(BN$3="Maior",iferror(VLOOKUP($R336,Capa!$A:$AJ,BN$5,0),0),IF(ISERROR(1/VLOOKUP($R336,Capa!$A:$AJ,BN$5,0)),0,1/VLOOKUP($R336,Capa!$A:$AJ,BN$5,0))))</f>
        <v/>
      </c>
      <c r="BO336" s="174" t="str">
        <f>IF(BO$6="","",IF(BO$3="Maior",iferror(VLOOKUP($R336,Capa!$A:$AJ,BO$5,0),0),IF(ISERROR(1/VLOOKUP($R336,Capa!$A:$AJ,BO$5,0)),0,1/VLOOKUP($R336,Capa!$A:$AJ,BO$5,0))))</f>
        <v/>
      </c>
      <c r="BP336" s="174" t="str">
        <f>IF(BP$6="","",IF(BP$3="Maior",iferror(VLOOKUP($R336,Capa!$A:$AJ,BP$5,0),0),IF(ISERROR(1/VLOOKUP($R336,Capa!$A:$AJ,BP$5,0)),0,1/VLOOKUP($R336,Capa!$A:$AJ,BP$5,0))))</f>
        <v/>
      </c>
      <c r="BQ336" s="174" t="str">
        <f>IF(BQ$6="","",IF(BQ$3="Maior",iferror(VLOOKUP($R336,Capa!$A:$AJ,BQ$5,0),0),IF(ISERROR(1/VLOOKUP($R336,Capa!$A:$AJ,BQ$5,0)),0,1/VLOOKUP($R336,Capa!$A:$AJ,BQ$5,0))))</f>
        <v/>
      </c>
      <c r="BR336" s="175"/>
      <c r="BS336" s="147"/>
    </row>
    <row r="337">
      <c r="G337" s="11"/>
      <c r="H337" s="8">
        <v>331.0</v>
      </c>
      <c r="I337" s="165" t="str">
        <f t="shared" si="6"/>
        <v>AALR3</v>
      </c>
      <c r="J337" s="167" t="str">
        <f>(VLOOKUP($I337,Capa!$A:$B,2,0))</f>
        <v>#N/A</v>
      </c>
      <c r="K337" s="167" t="str">
        <f>VLOOKUP(left(I337,4),Setor!A:D,3,0)&amp;" | "&amp;VLOOKUP(left(I337,4),Setor!A:D,4,0)</f>
        <v>Saúde | Análises e Diagnósticos</v>
      </c>
      <c r="L337" s="10" t="str">
        <f>(VLOOKUP($I337,Capa!$A:$F,6,0))</f>
        <v>#N/A</v>
      </c>
      <c r="M337" s="168">
        <f t="shared" si="7"/>
        <v>233843</v>
      </c>
      <c r="N337" s="11" t="str">
        <f>(VLOOKUP($I337,Capa!$A:$H,7,0))</f>
        <v>#N/A</v>
      </c>
      <c r="O337" s="11" t="str">
        <f>(VLOOKUP($I337,Capa!$A:$H,8,0))</f>
        <v>#N/A</v>
      </c>
      <c r="P337" s="11" t="str">
        <f>(VLOOKUP($I337,Capa!$A:$J,10,0))</f>
        <v>#N/A</v>
      </c>
      <c r="Q337" s="11" t="str">
        <f>(VLOOKUP($I337,Capa!$A:$K,11,0))</f>
        <v>#N/A</v>
      </c>
      <c r="R337" s="45" t="str">
        <f>'Dados StatusInvest'!A332</f>
        <v>IRBR3</v>
      </c>
      <c r="S337" s="170">
        <f t="shared" si="234"/>
        <v>1027.1027</v>
      </c>
      <c r="T337" s="171">
        <f>VLOOKUP(R337,'Dados StatusInvest'!A:Z,26,0)</f>
        <v>51395002</v>
      </c>
      <c r="U337" s="172">
        <f t="shared" ref="U337:AS337" si="340">IF(AT337="","", RANK(AT337,AT$7:AT$626,0)+RANK(AT337,AT$7:AT$626,0)/10000)</f>
        <v>444.0444</v>
      </c>
      <c r="V337" s="172">
        <f t="shared" si="340"/>
        <v>583.0583</v>
      </c>
      <c r="W337" s="172" t="str">
        <f t="shared" si="340"/>
        <v/>
      </c>
      <c r="X337" s="172" t="str">
        <f t="shared" si="340"/>
        <v/>
      </c>
      <c r="Y337" s="172" t="str">
        <f t="shared" si="340"/>
        <v/>
      </c>
      <c r="Z337" s="172" t="str">
        <f t="shared" si="340"/>
        <v/>
      </c>
      <c r="AA337" s="172" t="str">
        <f t="shared" si="340"/>
        <v/>
      </c>
      <c r="AB337" s="172" t="str">
        <f t="shared" si="340"/>
        <v/>
      </c>
      <c r="AC337" s="172" t="str">
        <f t="shared" si="340"/>
        <v/>
      </c>
      <c r="AD337" s="172" t="str">
        <f t="shared" si="340"/>
        <v/>
      </c>
      <c r="AE337" s="172" t="str">
        <f t="shared" si="340"/>
        <v/>
      </c>
      <c r="AF337" s="172" t="str">
        <f t="shared" si="340"/>
        <v/>
      </c>
      <c r="AG337" s="172" t="str">
        <f t="shared" si="340"/>
        <v/>
      </c>
      <c r="AH337" s="172" t="str">
        <f t="shared" si="340"/>
        <v/>
      </c>
      <c r="AI337" s="172" t="str">
        <f t="shared" si="340"/>
        <v/>
      </c>
      <c r="AJ337" s="172" t="str">
        <f t="shared" si="340"/>
        <v/>
      </c>
      <c r="AK337" s="172" t="str">
        <f t="shared" si="340"/>
        <v/>
      </c>
      <c r="AL337" s="172" t="str">
        <f t="shared" si="340"/>
        <v/>
      </c>
      <c r="AM337" s="172" t="str">
        <f t="shared" si="340"/>
        <v/>
      </c>
      <c r="AN337" s="172" t="str">
        <f t="shared" si="340"/>
        <v/>
      </c>
      <c r="AO337" s="172" t="str">
        <f t="shared" si="340"/>
        <v/>
      </c>
      <c r="AP337" s="172" t="str">
        <f t="shared" si="340"/>
        <v/>
      </c>
      <c r="AQ337" s="172" t="str">
        <f t="shared" si="340"/>
        <v/>
      </c>
      <c r="AR337" s="172" t="str">
        <f t="shared" si="340"/>
        <v/>
      </c>
      <c r="AS337" s="172" t="str">
        <f t="shared" si="340"/>
        <v/>
      </c>
      <c r="AT337" s="173">
        <f>IF(AT$6="","",IF(AT$3="Maior",iferror(VLOOKUP($R337,Capa!$A:$AJ,AT$5,0),0),IF(ISERROR(1/VLOOKUP($R337,Capa!$A:$AJ,AT$5,0)),0,1/VLOOKUP($R337,Capa!$A:$AJ,AT$5,0))))</f>
        <v>-1.860239812</v>
      </c>
      <c r="AU337" s="174">
        <f>IF(AU$6="","",IF(AU$3="Maior",iferror(VLOOKUP($R337,Capa!$A:$AJ,AU$5,0),0),IF(ISERROR(1/VLOOKUP($R337,Capa!$A:$AJ,AU$5,0)),0,1/VLOOKUP($R337,Capa!$A:$AJ,AU$5,0))))</f>
        <v>-15.05</v>
      </c>
      <c r="AV337" s="174" t="str">
        <f>IF(AV$6="","",IF(AV$3="Maior",iferror(VLOOKUP($R337,Capa!$A:$AJ,AV$5,0),0),IF(ISERROR(1/VLOOKUP($R337,Capa!$A:$AJ,AV$5,0)),0,1/VLOOKUP($R337,Capa!$A:$AJ,AV$5,0))))</f>
        <v/>
      </c>
      <c r="AW337" s="174" t="str">
        <f>IF(AW$6="","",IF(AW$3="Maior",iferror(VLOOKUP($R337,Capa!$A:$AJ,AW$5,0),0),IF(ISERROR(1/VLOOKUP($R337,Capa!$A:$AJ,AW$5,0)),0,1/VLOOKUP($R337,Capa!$A:$AJ,AW$5,0))))</f>
        <v/>
      </c>
      <c r="AX337" s="174" t="str">
        <f>IF(AX$6="","",IF(AX$3="Maior",iferror(VLOOKUP($R337,Capa!$A:$AJ,AX$5,0),0),IF(ISERROR(1/VLOOKUP($R337,Capa!$A:$AJ,AX$5,0)),0,1/VLOOKUP($R337,Capa!$A:$AJ,AX$5,0))))</f>
        <v/>
      </c>
      <c r="AY337" s="174" t="str">
        <f>IF(AY$6="","",IF(AY$3="Maior",iferror(VLOOKUP($R337,Capa!$A:$AJ,AY$5,0),0),IF(ISERROR(1/VLOOKUP($R337,Capa!$A:$AJ,AY$5,0)),0,1/VLOOKUP($R337,Capa!$A:$AJ,AY$5,0))))</f>
        <v/>
      </c>
      <c r="AZ337" s="174" t="str">
        <f>IF(AZ$6="","",IF(AZ$3="Maior",iferror(VLOOKUP($R337,Capa!$A:$AJ,AZ$5,0),0),IF(ISERROR(1/VLOOKUP($R337,Capa!$A:$AJ,AZ$5,0)),0,1/VLOOKUP($R337,Capa!$A:$AJ,AZ$5,0))))</f>
        <v/>
      </c>
      <c r="BA337" s="174" t="str">
        <f>IF(BA$6="","",IF(BA$3="Maior",iferror(VLOOKUP($R337,Capa!$A:$AJ,BA$5,0),0),IF(ISERROR(1/VLOOKUP($R337,Capa!$A:$AJ,BA$5,0)),0,1/VLOOKUP($R337,Capa!$A:$AJ,BA$5,0))))</f>
        <v/>
      </c>
      <c r="BB337" s="174" t="str">
        <f>IF(BB$6="","",IF(BB$3="Maior",iferror(VLOOKUP($R337,Capa!$A:$AJ,BB$5,0),0),IF(ISERROR(1/VLOOKUP($R337,Capa!$A:$AJ,BB$5,0)),0,1/VLOOKUP($R337,Capa!$A:$AJ,BB$5,0))))</f>
        <v/>
      </c>
      <c r="BC337" s="174" t="str">
        <f>IF(BC$6="","",IF(BC$3="Maior",iferror(VLOOKUP($R337,Capa!$A:$AJ,BC$5,0),0),IF(ISERROR(1/VLOOKUP($R337,Capa!$A:$AJ,BC$5,0)),0,1/VLOOKUP($R337,Capa!$A:$AJ,BC$5,0))))</f>
        <v/>
      </c>
      <c r="BD337" s="174" t="str">
        <f>IF(BD$6="","",IF(BD$3="Maior",iferror(VLOOKUP($R337,Capa!$A:$AJ,BD$5,0),0),IF(ISERROR(1/VLOOKUP($R337,Capa!$A:$AJ,BD$5,0)),0,1/VLOOKUP($R337,Capa!$A:$AJ,BD$5,0))))</f>
        <v/>
      </c>
      <c r="BE337" s="174" t="str">
        <f>IF(BE$6="","",IF(BE$3="Maior",iferror(VLOOKUP($R337,Capa!$A:$AJ,BE$5,0),0),IF(ISERROR(1/VLOOKUP($R337,Capa!$A:$AJ,BE$5,0)),0,1/VLOOKUP($R337,Capa!$A:$AJ,BE$5,0))))</f>
        <v/>
      </c>
      <c r="BF337" s="174" t="str">
        <f>IF(BF$6="","",IF(BF$3="Maior",iferror(VLOOKUP($R337,Capa!$A:$AJ,BF$5,0),0),IF(ISERROR(1/VLOOKUP($R337,Capa!$A:$AJ,BF$5,0)),0,1/VLOOKUP($R337,Capa!$A:$AJ,BF$5,0))))</f>
        <v/>
      </c>
      <c r="BG337" s="174" t="str">
        <f>IF(BG$6="","",IF(BG$3="Maior",iferror(VLOOKUP($R337,Capa!$A:$AJ,BG$5,0),0),IF(ISERROR(1/VLOOKUP($R337,Capa!$A:$AJ,BG$5,0)),0,1/VLOOKUP($R337,Capa!$A:$AJ,BG$5,0))))</f>
        <v/>
      </c>
      <c r="BH337" s="174" t="str">
        <f>IF(BH$6="","",IF(BH$3="Maior",iferror(VLOOKUP($R337,Capa!$A:$AJ,BH$5,0),0),IF(ISERROR(1/VLOOKUP($R337,Capa!$A:$AJ,BH$5,0)),0,1/VLOOKUP($R337,Capa!$A:$AJ,BH$5,0))))</f>
        <v/>
      </c>
      <c r="BI337" s="174" t="str">
        <f>IF(BI$6="","",IF(BI$3="Maior",iferror(VLOOKUP($R337,Capa!$A:$AJ,BI$5,0),0),IF(ISERROR(1/VLOOKUP($R337,Capa!$A:$AJ,BI$5,0)),0,1/VLOOKUP($R337,Capa!$A:$AJ,BI$5,0))))</f>
        <v/>
      </c>
      <c r="BJ337" s="174" t="str">
        <f>IF(BJ$6="","",IF(BJ$3="Maior",iferror(VLOOKUP($R337,Capa!$A:$AJ,BJ$5,0),0),IF(ISERROR(1/VLOOKUP($R337,Capa!$A:$AJ,BJ$5,0)),0,1/VLOOKUP($R337,Capa!$A:$AJ,BJ$5,0))))</f>
        <v/>
      </c>
      <c r="BK337" s="174" t="str">
        <f>IF(BK$6="","",IF(BK$3="Maior",iferror(VLOOKUP($R337,Capa!$A:$AJ,BK$5,0),0),IF(ISERROR(1/VLOOKUP($R337,Capa!$A:$AJ,BK$5,0)),0,1/VLOOKUP($R337,Capa!$A:$AJ,BK$5,0))))</f>
        <v/>
      </c>
      <c r="BL337" s="174" t="str">
        <f>IF(BL$6="","",IF(BL$3="Maior",iferror(VLOOKUP($R337,Capa!$A:$AJ,BL$5,0),0),IF(ISERROR(1/VLOOKUP($R337,Capa!$A:$AJ,BL$5,0)),0,1/VLOOKUP($R337,Capa!$A:$AJ,BL$5,0))))</f>
        <v/>
      </c>
      <c r="BM337" s="174" t="str">
        <f>IF(BM$6="","",IF(BM$3="Maior",iferror(VLOOKUP($R337,Capa!$A:$AJ,BM$5,0),0),IF(ISERROR(1/VLOOKUP($R337,Capa!$A:$AJ,BM$5,0)),0,1/VLOOKUP($R337,Capa!$A:$AJ,BM$5,0))))</f>
        <v/>
      </c>
      <c r="BN337" s="174" t="str">
        <f>IF(BN$6="","",IF(BN$3="Maior",iferror(VLOOKUP($R337,Capa!$A:$AJ,BN$5,0),0),IF(ISERROR(1/VLOOKUP($R337,Capa!$A:$AJ,BN$5,0)),0,1/VLOOKUP($R337,Capa!$A:$AJ,BN$5,0))))</f>
        <v/>
      </c>
      <c r="BO337" s="174" t="str">
        <f>IF(BO$6="","",IF(BO$3="Maior",iferror(VLOOKUP($R337,Capa!$A:$AJ,BO$5,0),0),IF(ISERROR(1/VLOOKUP($R337,Capa!$A:$AJ,BO$5,0)),0,1/VLOOKUP($R337,Capa!$A:$AJ,BO$5,0))))</f>
        <v/>
      </c>
      <c r="BP337" s="174" t="str">
        <f>IF(BP$6="","",IF(BP$3="Maior",iferror(VLOOKUP($R337,Capa!$A:$AJ,BP$5,0),0),IF(ISERROR(1/VLOOKUP($R337,Capa!$A:$AJ,BP$5,0)),0,1/VLOOKUP($R337,Capa!$A:$AJ,BP$5,0))))</f>
        <v/>
      </c>
      <c r="BQ337" s="174" t="str">
        <f>IF(BQ$6="","",IF(BQ$3="Maior",iferror(VLOOKUP($R337,Capa!$A:$AJ,BQ$5,0),0),IF(ISERROR(1/VLOOKUP($R337,Capa!$A:$AJ,BQ$5,0)),0,1/VLOOKUP($R337,Capa!$A:$AJ,BQ$5,0))))</f>
        <v/>
      </c>
      <c r="BR337" s="175"/>
      <c r="BS337" s="147"/>
    </row>
    <row r="338">
      <c r="G338" s="11"/>
      <c r="H338" s="8">
        <v>332.0</v>
      </c>
      <c r="I338" s="165" t="str">
        <f t="shared" si="6"/>
        <v>AALR3</v>
      </c>
      <c r="J338" s="167" t="str">
        <f>(VLOOKUP($I338,Capa!$A:$B,2,0))</f>
        <v>#N/A</v>
      </c>
      <c r="K338" s="167" t="str">
        <f>VLOOKUP(left(I338,4),Setor!A:D,3,0)&amp;" | "&amp;VLOOKUP(left(I338,4),Setor!A:D,4,0)</f>
        <v>Saúde | Análises e Diagnósticos</v>
      </c>
      <c r="L338" s="10" t="str">
        <f>(VLOOKUP($I338,Capa!$A:$F,6,0))</f>
        <v>#N/A</v>
      </c>
      <c r="M338" s="168">
        <f t="shared" si="7"/>
        <v>233843</v>
      </c>
      <c r="N338" s="11" t="str">
        <f>(VLOOKUP($I338,Capa!$A:$H,7,0))</f>
        <v>#N/A</v>
      </c>
      <c r="O338" s="11" t="str">
        <f>(VLOOKUP($I338,Capa!$A:$H,8,0))</f>
        <v>#N/A</v>
      </c>
      <c r="P338" s="11" t="str">
        <f>(VLOOKUP($I338,Capa!$A:$J,10,0))</f>
        <v>#N/A</v>
      </c>
      <c r="Q338" s="11" t="str">
        <f>(VLOOKUP($I338,Capa!$A:$K,11,0))</f>
        <v>#N/A</v>
      </c>
      <c r="R338" s="45" t="str">
        <f>'Dados StatusInvest'!A333</f>
        <v>ISAE3</v>
      </c>
      <c r="S338" s="170">
        <f t="shared" si="234"/>
        <v>1637.0637</v>
      </c>
      <c r="T338" s="171">
        <f>VLOOKUP(R338,'Dados StatusInvest'!A:Z,26,0)</f>
        <v>148320.7</v>
      </c>
      <c r="U338" s="172">
        <f t="shared" ref="U338:AS338" si="341">IF(AT338="","", RANK(AT338,AT$7:AT$626,0)+RANK(AT338,AT$7:AT$626,0)/10000)</f>
        <v>436.0436</v>
      </c>
      <c r="V338" s="172">
        <f t="shared" si="341"/>
        <v>201.0201</v>
      </c>
      <c r="W338" s="172" t="str">
        <f t="shared" si="341"/>
        <v/>
      </c>
      <c r="X338" s="172" t="str">
        <f t="shared" si="341"/>
        <v/>
      </c>
      <c r="Y338" s="172" t="str">
        <f t="shared" si="341"/>
        <v/>
      </c>
      <c r="Z338" s="172" t="str">
        <f t="shared" si="341"/>
        <v/>
      </c>
      <c r="AA338" s="172" t="str">
        <f t="shared" si="341"/>
        <v/>
      </c>
      <c r="AB338" s="172" t="str">
        <f t="shared" si="341"/>
        <v/>
      </c>
      <c r="AC338" s="172" t="str">
        <f t="shared" si="341"/>
        <v/>
      </c>
      <c r="AD338" s="172" t="str">
        <f t="shared" si="341"/>
        <v/>
      </c>
      <c r="AE338" s="172" t="str">
        <f t="shared" si="341"/>
        <v/>
      </c>
      <c r="AF338" s="172" t="str">
        <f t="shared" si="341"/>
        <v/>
      </c>
      <c r="AG338" s="172" t="str">
        <f t="shared" si="341"/>
        <v/>
      </c>
      <c r="AH338" s="172" t="str">
        <f t="shared" si="341"/>
        <v/>
      </c>
      <c r="AI338" s="172" t="str">
        <f t="shared" si="341"/>
        <v/>
      </c>
      <c r="AJ338" s="172" t="str">
        <f t="shared" si="341"/>
        <v/>
      </c>
      <c r="AK338" s="172" t="str">
        <f t="shared" si="341"/>
        <v/>
      </c>
      <c r="AL338" s="172" t="str">
        <f t="shared" si="341"/>
        <v/>
      </c>
      <c r="AM338" s="172" t="str">
        <f t="shared" si="341"/>
        <v/>
      </c>
      <c r="AN338" s="172" t="str">
        <f t="shared" si="341"/>
        <v/>
      </c>
      <c r="AO338" s="172" t="str">
        <f t="shared" si="341"/>
        <v/>
      </c>
      <c r="AP338" s="172" t="str">
        <f t="shared" si="341"/>
        <v/>
      </c>
      <c r="AQ338" s="172" t="str">
        <f t="shared" si="341"/>
        <v/>
      </c>
      <c r="AR338" s="172" t="str">
        <f t="shared" si="341"/>
        <v/>
      </c>
      <c r="AS338" s="172" t="str">
        <f t="shared" si="341"/>
        <v/>
      </c>
      <c r="AT338" s="173">
        <f>IF(AT$6="","",IF(AT$3="Maior",iferror(VLOOKUP($R338,Capa!$A:$AJ,AT$5,0),0),IF(ISERROR(1/VLOOKUP($R338,Capa!$A:$AJ,AT$5,0)),0,1/VLOOKUP($R338,Capa!$A:$AJ,AT$5,0))))</f>
        <v>-1.690365397</v>
      </c>
      <c r="AU338" s="174">
        <f>IF(AU$6="","",IF(AU$3="Maior",iferror(VLOOKUP($R338,Capa!$A:$AJ,AU$5,0),0),IF(ISERROR(1/VLOOKUP($R338,Capa!$A:$AJ,AU$5,0)),0,1/VLOOKUP($R338,Capa!$A:$AJ,AU$5,0))))</f>
        <v>10.66</v>
      </c>
      <c r="AV338" s="174" t="str">
        <f>IF(AV$6="","",IF(AV$3="Maior",iferror(VLOOKUP($R338,Capa!$A:$AJ,AV$5,0),0),IF(ISERROR(1/VLOOKUP($R338,Capa!$A:$AJ,AV$5,0)),0,1/VLOOKUP($R338,Capa!$A:$AJ,AV$5,0))))</f>
        <v/>
      </c>
      <c r="AW338" s="174" t="str">
        <f>IF(AW$6="","",IF(AW$3="Maior",iferror(VLOOKUP($R338,Capa!$A:$AJ,AW$5,0),0),IF(ISERROR(1/VLOOKUP($R338,Capa!$A:$AJ,AW$5,0)),0,1/VLOOKUP($R338,Capa!$A:$AJ,AW$5,0))))</f>
        <v/>
      </c>
      <c r="AX338" s="174" t="str">
        <f>IF(AX$6="","",IF(AX$3="Maior",iferror(VLOOKUP($R338,Capa!$A:$AJ,AX$5,0),0),IF(ISERROR(1/VLOOKUP($R338,Capa!$A:$AJ,AX$5,0)),0,1/VLOOKUP($R338,Capa!$A:$AJ,AX$5,0))))</f>
        <v/>
      </c>
      <c r="AY338" s="174" t="str">
        <f>IF(AY$6="","",IF(AY$3="Maior",iferror(VLOOKUP($R338,Capa!$A:$AJ,AY$5,0),0),IF(ISERROR(1/VLOOKUP($R338,Capa!$A:$AJ,AY$5,0)),0,1/VLOOKUP($R338,Capa!$A:$AJ,AY$5,0))))</f>
        <v/>
      </c>
      <c r="AZ338" s="174" t="str">
        <f>IF(AZ$6="","",IF(AZ$3="Maior",iferror(VLOOKUP($R338,Capa!$A:$AJ,AZ$5,0),0),IF(ISERROR(1/VLOOKUP($R338,Capa!$A:$AJ,AZ$5,0)),0,1/VLOOKUP($R338,Capa!$A:$AJ,AZ$5,0))))</f>
        <v/>
      </c>
      <c r="BA338" s="174" t="str">
        <f>IF(BA$6="","",IF(BA$3="Maior",iferror(VLOOKUP($R338,Capa!$A:$AJ,BA$5,0),0),IF(ISERROR(1/VLOOKUP($R338,Capa!$A:$AJ,BA$5,0)),0,1/VLOOKUP($R338,Capa!$A:$AJ,BA$5,0))))</f>
        <v/>
      </c>
      <c r="BB338" s="174" t="str">
        <f>IF(BB$6="","",IF(BB$3="Maior",iferror(VLOOKUP($R338,Capa!$A:$AJ,BB$5,0),0),IF(ISERROR(1/VLOOKUP($R338,Capa!$A:$AJ,BB$5,0)),0,1/VLOOKUP($R338,Capa!$A:$AJ,BB$5,0))))</f>
        <v/>
      </c>
      <c r="BC338" s="174" t="str">
        <f>IF(BC$6="","",IF(BC$3="Maior",iferror(VLOOKUP($R338,Capa!$A:$AJ,BC$5,0),0),IF(ISERROR(1/VLOOKUP($R338,Capa!$A:$AJ,BC$5,0)),0,1/VLOOKUP($R338,Capa!$A:$AJ,BC$5,0))))</f>
        <v/>
      </c>
      <c r="BD338" s="174" t="str">
        <f>IF(BD$6="","",IF(BD$3="Maior",iferror(VLOOKUP($R338,Capa!$A:$AJ,BD$5,0),0),IF(ISERROR(1/VLOOKUP($R338,Capa!$A:$AJ,BD$5,0)),0,1/VLOOKUP($R338,Capa!$A:$AJ,BD$5,0))))</f>
        <v/>
      </c>
      <c r="BE338" s="174" t="str">
        <f>IF(BE$6="","",IF(BE$3="Maior",iferror(VLOOKUP($R338,Capa!$A:$AJ,BE$5,0),0),IF(ISERROR(1/VLOOKUP($R338,Capa!$A:$AJ,BE$5,0)),0,1/VLOOKUP($R338,Capa!$A:$AJ,BE$5,0))))</f>
        <v/>
      </c>
      <c r="BF338" s="174" t="str">
        <f>IF(BF$6="","",IF(BF$3="Maior",iferror(VLOOKUP($R338,Capa!$A:$AJ,BF$5,0),0),IF(ISERROR(1/VLOOKUP($R338,Capa!$A:$AJ,BF$5,0)),0,1/VLOOKUP($R338,Capa!$A:$AJ,BF$5,0))))</f>
        <v/>
      </c>
      <c r="BG338" s="174" t="str">
        <f>IF(BG$6="","",IF(BG$3="Maior",iferror(VLOOKUP($R338,Capa!$A:$AJ,BG$5,0),0),IF(ISERROR(1/VLOOKUP($R338,Capa!$A:$AJ,BG$5,0)),0,1/VLOOKUP($R338,Capa!$A:$AJ,BG$5,0))))</f>
        <v/>
      </c>
      <c r="BH338" s="174" t="str">
        <f>IF(BH$6="","",IF(BH$3="Maior",iferror(VLOOKUP($R338,Capa!$A:$AJ,BH$5,0),0),IF(ISERROR(1/VLOOKUP($R338,Capa!$A:$AJ,BH$5,0)),0,1/VLOOKUP($R338,Capa!$A:$AJ,BH$5,0))))</f>
        <v/>
      </c>
      <c r="BI338" s="174" t="str">
        <f>IF(BI$6="","",IF(BI$3="Maior",iferror(VLOOKUP($R338,Capa!$A:$AJ,BI$5,0),0),IF(ISERROR(1/VLOOKUP($R338,Capa!$A:$AJ,BI$5,0)),0,1/VLOOKUP($R338,Capa!$A:$AJ,BI$5,0))))</f>
        <v/>
      </c>
      <c r="BJ338" s="174" t="str">
        <f>IF(BJ$6="","",IF(BJ$3="Maior",iferror(VLOOKUP($R338,Capa!$A:$AJ,BJ$5,0),0),IF(ISERROR(1/VLOOKUP($R338,Capa!$A:$AJ,BJ$5,0)),0,1/VLOOKUP($R338,Capa!$A:$AJ,BJ$5,0))))</f>
        <v/>
      </c>
      <c r="BK338" s="174" t="str">
        <f>IF(BK$6="","",IF(BK$3="Maior",iferror(VLOOKUP($R338,Capa!$A:$AJ,BK$5,0),0),IF(ISERROR(1/VLOOKUP($R338,Capa!$A:$AJ,BK$5,0)),0,1/VLOOKUP($R338,Capa!$A:$AJ,BK$5,0))))</f>
        <v/>
      </c>
      <c r="BL338" s="174" t="str">
        <f>IF(BL$6="","",IF(BL$3="Maior",iferror(VLOOKUP($R338,Capa!$A:$AJ,BL$5,0),0),IF(ISERROR(1/VLOOKUP($R338,Capa!$A:$AJ,BL$5,0)),0,1/VLOOKUP($R338,Capa!$A:$AJ,BL$5,0))))</f>
        <v/>
      </c>
      <c r="BM338" s="174" t="str">
        <f>IF(BM$6="","",IF(BM$3="Maior",iferror(VLOOKUP($R338,Capa!$A:$AJ,BM$5,0),0),IF(ISERROR(1/VLOOKUP($R338,Capa!$A:$AJ,BM$5,0)),0,1/VLOOKUP($R338,Capa!$A:$AJ,BM$5,0))))</f>
        <v/>
      </c>
      <c r="BN338" s="174" t="str">
        <f>IF(BN$6="","",IF(BN$3="Maior",iferror(VLOOKUP($R338,Capa!$A:$AJ,BN$5,0),0),IF(ISERROR(1/VLOOKUP($R338,Capa!$A:$AJ,BN$5,0)),0,1/VLOOKUP($R338,Capa!$A:$AJ,BN$5,0))))</f>
        <v/>
      </c>
      <c r="BO338" s="174" t="str">
        <f>IF(BO$6="","",IF(BO$3="Maior",iferror(VLOOKUP($R338,Capa!$A:$AJ,BO$5,0),0),IF(ISERROR(1/VLOOKUP($R338,Capa!$A:$AJ,BO$5,0)),0,1/VLOOKUP($R338,Capa!$A:$AJ,BO$5,0))))</f>
        <v/>
      </c>
      <c r="BP338" s="174" t="str">
        <f>IF(BP$6="","",IF(BP$3="Maior",iferror(VLOOKUP($R338,Capa!$A:$AJ,BP$5,0),0),IF(ISERROR(1/VLOOKUP($R338,Capa!$A:$AJ,BP$5,0)),0,1/VLOOKUP($R338,Capa!$A:$AJ,BP$5,0))))</f>
        <v/>
      </c>
      <c r="BQ338" s="174" t="str">
        <f>IF(BQ$6="","",IF(BQ$3="Maior",iferror(VLOOKUP($R338,Capa!$A:$AJ,BQ$5,0),0),IF(ISERROR(1/VLOOKUP($R338,Capa!$A:$AJ,BQ$5,0)),0,1/VLOOKUP($R338,Capa!$A:$AJ,BQ$5,0))))</f>
        <v/>
      </c>
      <c r="BR338" s="175"/>
      <c r="BS338" s="147"/>
    </row>
    <row r="339">
      <c r="G339" s="11"/>
      <c r="H339" s="8">
        <v>333.0</v>
      </c>
      <c r="I339" s="165" t="str">
        <f t="shared" si="6"/>
        <v>AALR3</v>
      </c>
      <c r="J339" s="167" t="str">
        <f>(VLOOKUP($I339,Capa!$A:$B,2,0))</f>
        <v>#N/A</v>
      </c>
      <c r="K339" s="167" t="str">
        <f>VLOOKUP(left(I339,4),Setor!A:D,3,0)&amp;" | "&amp;VLOOKUP(left(I339,4),Setor!A:D,4,0)</f>
        <v>Saúde | Análises e Diagnósticos</v>
      </c>
      <c r="L339" s="10" t="str">
        <f>(VLOOKUP($I339,Capa!$A:$F,6,0))</f>
        <v>#N/A</v>
      </c>
      <c r="M339" s="168">
        <f t="shared" si="7"/>
        <v>233843</v>
      </c>
      <c r="N339" s="11" t="str">
        <f>(VLOOKUP($I339,Capa!$A:$H,7,0))</f>
        <v>#N/A</v>
      </c>
      <c r="O339" s="11" t="str">
        <f>(VLOOKUP($I339,Capa!$A:$H,8,0))</f>
        <v>#N/A</v>
      </c>
      <c r="P339" s="11" t="str">
        <f>(VLOOKUP($I339,Capa!$A:$J,10,0))</f>
        <v>#N/A</v>
      </c>
      <c r="Q339" s="11" t="str">
        <f>(VLOOKUP($I339,Capa!$A:$K,11,0))</f>
        <v>#N/A</v>
      </c>
      <c r="R339" s="45" t="str">
        <f>'Dados StatusInvest'!A334</f>
        <v>ISAE4</v>
      </c>
      <c r="S339" s="170">
        <f t="shared" si="234"/>
        <v>646.0646</v>
      </c>
      <c r="T339" s="171">
        <f>VLOOKUP(R339,'Dados StatusInvest'!A:Z,26,0)</f>
        <v>60660955</v>
      </c>
      <c r="U339" s="172">
        <f t="shared" ref="U339:AS339" si="342">IF(AT339="","", RANK(AT339,AT$7:AT$626,0)+RANK(AT339,AT$7:AT$626,0)/10000)</f>
        <v>445.0445</v>
      </c>
      <c r="V339" s="172">
        <f t="shared" si="342"/>
        <v>201.0201</v>
      </c>
      <c r="W339" s="172" t="str">
        <f t="shared" si="342"/>
        <v/>
      </c>
      <c r="X339" s="172" t="str">
        <f t="shared" si="342"/>
        <v/>
      </c>
      <c r="Y339" s="172" t="str">
        <f t="shared" si="342"/>
        <v/>
      </c>
      <c r="Z339" s="172" t="str">
        <f t="shared" si="342"/>
        <v/>
      </c>
      <c r="AA339" s="172" t="str">
        <f t="shared" si="342"/>
        <v/>
      </c>
      <c r="AB339" s="172" t="str">
        <f t="shared" si="342"/>
        <v/>
      </c>
      <c r="AC339" s="172" t="str">
        <f t="shared" si="342"/>
        <v/>
      </c>
      <c r="AD339" s="172" t="str">
        <f t="shared" si="342"/>
        <v/>
      </c>
      <c r="AE339" s="172" t="str">
        <f t="shared" si="342"/>
        <v/>
      </c>
      <c r="AF339" s="172" t="str">
        <f t="shared" si="342"/>
        <v/>
      </c>
      <c r="AG339" s="172" t="str">
        <f t="shared" si="342"/>
        <v/>
      </c>
      <c r="AH339" s="172" t="str">
        <f t="shared" si="342"/>
        <v/>
      </c>
      <c r="AI339" s="172" t="str">
        <f t="shared" si="342"/>
        <v/>
      </c>
      <c r="AJ339" s="172" t="str">
        <f t="shared" si="342"/>
        <v/>
      </c>
      <c r="AK339" s="172" t="str">
        <f t="shared" si="342"/>
        <v/>
      </c>
      <c r="AL339" s="172" t="str">
        <f t="shared" si="342"/>
        <v/>
      </c>
      <c r="AM339" s="172" t="str">
        <f t="shared" si="342"/>
        <v/>
      </c>
      <c r="AN339" s="172" t="str">
        <f t="shared" si="342"/>
        <v/>
      </c>
      <c r="AO339" s="172" t="str">
        <f t="shared" si="342"/>
        <v/>
      </c>
      <c r="AP339" s="172" t="str">
        <f t="shared" si="342"/>
        <v/>
      </c>
      <c r="AQ339" s="172" t="str">
        <f t="shared" si="342"/>
        <v/>
      </c>
      <c r="AR339" s="172" t="str">
        <f t="shared" si="342"/>
        <v/>
      </c>
      <c r="AS339" s="172" t="str">
        <f t="shared" si="342"/>
        <v/>
      </c>
      <c r="AT339" s="173">
        <f>IF(AT$6="","",IF(AT$3="Maior",iferror(VLOOKUP($R339,Capa!$A:$AJ,AT$5,0),0),IF(ISERROR(1/VLOOKUP($R339,Capa!$A:$AJ,AT$5,0)),0,1/VLOOKUP($R339,Capa!$A:$AJ,AT$5,0))))</f>
        <v>-1.885271908</v>
      </c>
      <c r="AU339" s="174">
        <f>IF(AU$6="","",IF(AU$3="Maior",iferror(VLOOKUP($R339,Capa!$A:$AJ,AU$5,0),0),IF(ISERROR(1/VLOOKUP($R339,Capa!$A:$AJ,AU$5,0)),0,1/VLOOKUP($R339,Capa!$A:$AJ,AU$5,0))))</f>
        <v>10.66</v>
      </c>
      <c r="AV339" s="174" t="str">
        <f>IF(AV$6="","",IF(AV$3="Maior",iferror(VLOOKUP($R339,Capa!$A:$AJ,AV$5,0),0),IF(ISERROR(1/VLOOKUP($R339,Capa!$A:$AJ,AV$5,0)),0,1/VLOOKUP($R339,Capa!$A:$AJ,AV$5,0))))</f>
        <v/>
      </c>
      <c r="AW339" s="174" t="str">
        <f>IF(AW$6="","",IF(AW$3="Maior",iferror(VLOOKUP($R339,Capa!$A:$AJ,AW$5,0),0),IF(ISERROR(1/VLOOKUP($R339,Capa!$A:$AJ,AW$5,0)),0,1/VLOOKUP($R339,Capa!$A:$AJ,AW$5,0))))</f>
        <v/>
      </c>
      <c r="AX339" s="174" t="str">
        <f>IF(AX$6="","",IF(AX$3="Maior",iferror(VLOOKUP($R339,Capa!$A:$AJ,AX$5,0),0),IF(ISERROR(1/VLOOKUP($R339,Capa!$A:$AJ,AX$5,0)),0,1/VLOOKUP($R339,Capa!$A:$AJ,AX$5,0))))</f>
        <v/>
      </c>
      <c r="AY339" s="174" t="str">
        <f>IF(AY$6="","",IF(AY$3="Maior",iferror(VLOOKUP($R339,Capa!$A:$AJ,AY$5,0),0),IF(ISERROR(1/VLOOKUP($R339,Capa!$A:$AJ,AY$5,0)),0,1/VLOOKUP($R339,Capa!$A:$AJ,AY$5,0))))</f>
        <v/>
      </c>
      <c r="AZ339" s="174" t="str">
        <f>IF(AZ$6="","",IF(AZ$3="Maior",iferror(VLOOKUP($R339,Capa!$A:$AJ,AZ$5,0),0),IF(ISERROR(1/VLOOKUP($R339,Capa!$A:$AJ,AZ$5,0)),0,1/VLOOKUP($R339,Capa!$A:$AJ,AZ$5,0))))</f>
        <v/>
      </c>
      <c r="BA339" s="174" t="str">
        <f>IF(BA$6="","",IF(BA$3="Maior",iferror(VLOOKUP($R339,Capa!$A:$AJ,BA$5,0),0),IF(ISERROR(1/VLOOKUP($R339,Capa!$A:$AJ,BA$5,0)),0,1/VLOOKUP($R339,Capa!$A:$AJ,BA$5,0))))</f>
        <v/>
      </c>
      <c r="BB339" s="174" t="str">
        <f>IF(BB$6="","",IF(BB$3="Maior",iferror(VLOOKUP($R339,Capa!$A:$AJ,BB$5,0),0),IF(ISERROR(1/VLOOKUP($R339,Capa!$A:$AJ,BB$5,0)),0,1/VLOOKUP($R339,Capa!$A:$AJ,BB$5,0))))</f>
        <v/>
      </c>
      <c r="BC339" s="174" t="str">
        <f>IF(BC$6="","",IF(BC$3="Maior",iferror(VLOOKUP($R339,Capa!$A:$AJ,BC$5,0),0),IF(ISERROR(1/VLOOKUP($R339,Capa!$A:$AJ,BC$5,0)),0,1/VLOOKUP($R339,Capa!$A:$AJ,BC$5,0))))</f>
        <v/>
      </c>
      <c r="BD339" s="174" t="str">
        <f>IF(BD$6="","",IF(BD$3="Maior",iferror(VLOOKUP($R339,Capa!$A:$AJ,BD$5,0),0),IF(ISERROR(1/VLOOKUP($R339,Capa!$A:$AJ,BD$5,0)),0,1/VLOOKUP($R339,Capa!$A:$AJ,BD$5,0))))</f>
        <v/>
      </c>
      <c r="BE339" s="174" t="str">
        <f>IF(BE$6="","",IF(BE$3="Maior",iferror(VLOOKUP($R339,Capa!$A:$AJ,BE$5,0),0),IF(ISERROR(1/VLOOKUP($R339,Capa!$A:$AJ,BE$5,0)),0,1/VLOOKUP($R339,Capa!$A:$AJ,BE$5,0))))</f>
        <v/>
      </c>
      <c r="BF339" s="174" t="str">
        <f>IF(BF$6="","",IF(BF$3="Maior",iferror(VLOOKUP($R339,Capa!$A:$AJ,BF$5,0),0),IF(ISERROR(1/VLOOKUP($R339,Capa!$A:$AJ,BF$5,0)),0,1/VLOOKUP($R339,Capa!$A:$AJ,BF$5,0))))</f>
        <v/>
      </c>
      <c r="BG339" s="174" t="str">
        <f>IF(BG$6="","",IF(BG$3="Maior",iferror(VLOOKUP($R339,Capa!$A:$AJ,BG$5,0),0),IF(ISERROR(1/VLOOKUP($R339,Capa!$A:$AJ,BG$5,0)),0,1/VLOOKUP($R339,Capa!$A:$AJ,BG$5,0))))</f>
        <v/>
      </c>
      <c r="BH339" s="174" t="str">
        <f>IF(BH$6="","",IF(BH$3="Maior",iferror(VLOOKUP($R339,Capa!$A:$AJ,BH$5,0),0),IF(ISERROR(1/VLOOKUP($R339,Capa!$A:$AJ,BH$5,0)),0,1/VLOOKUP($R339,Capa!$A:$AJ,BH$5,0))))</f>
        <v/>
      </c>
      <c r="BI339" s="174" t="str">
        <f>IF(BI$6="","",IF(BI$3="Maior",iferror(VLOOKUP($R339,Capa!$A:$AJ,BI$5,0),0),IF(ISERROR(1/VLOOKUP($R339,Capa!$A:$AJ,BI$5,0)),0,1/VLOOKUP($R339,Capa!$A:$AJ,BI$5,0))))</f>
        <v/>
      </c>
      <c r="BJ339" s="174" t="str">
        <f>IF(BJ$6="","",IF(BJ$3="Maior",iferror(VLOOKUP($R339,Capa!$A:$AJ,BJ$5,0),0),IF(ISERROR(1/VLOOKUP($R339,Capa!$A:$AJ,BJ$5,0)),0,1/VLOOKUP($R339,Capa!$A:$AJ,BJ$5,0))))</f>
        <v/>
      </c>
      <c r="BK339" s="174" t="str">
        <f>IF(BK$6="","",IF(BK$3="Maior",iferror(VLOOKUP($R339,Capa!$A:$AJ,BK$5,0),0),IF(ISERROR(1/VLOOKUP($R339,Capa!$A:$AJ,BK$5,0)),0,1/VLOOKUP($R339,Capa!$A:$AJ,BK$5,0))))</f>
        <v/>
      </c>
      <c r="BL339" s="174" t="str">
        <f>IF(BL$6="","",IF(BL$3="Maior",iferror(VLOOKUP($R339,Capa!$A:$AJ,BL$5,0),0),IF(ISERROR(1/VLOOKUP($R339,Capa!$A:$AJ,BL$5,0)),0,1/VLOOKUP($R339,Capa!$A:$AJ,BL$5,0))))</f>
        <v/>
      </c>
      <c r="BM339" s="174" t="str">
        <f>IF(BM$6="","",IF(BM$3="Maior",iferror(VLOOKUP($R339,Capa!$A:$AJ,BM$5,0),0),IF(ISERROR(1/VLOOKUP($R339,Capa!$A:$AJ,BM$5,0)),0,1/VLOOKUP($R339,Capa!$A:$AJ,BM$5,0))))</f>
        <v/>
      </c>
      <c r="BN339" s="174" t="str">
        <f>IF(BN$6="","",IF(BN$3="Maior",iferror(VLOOKUP($R339,Capa!$A:$AJ,BN$5,0),0),IF(ISERROR(1/VLOOKUP($R339,Capa!$A:$AJ,BN$5,0)),0,1/VLOOKUP($R339,Capa!$A:$AJ,BN$5,0))))</f>
        <v/>
      </c>
      <c r="BO339" s="174" t="str">
        <f>IF(BO$6="","",IF(BO$3="Maior",iferror(VLOOKUP($R339,Capa!$A:$AJ,BO$5,0),0),IF(ISERROR(1/VLOOKUP($R339,Capa!$A:$AJ,BO$5,0)),0,1/VLOOKUP($R339,Capa!$A:$AJ,BO$5,0))))</f>
        <v/>
      </c>
      <c r="BP339" s="174" t="str">
        <f>IF(BP$6="","",IF(BP$3="Maior",iferror(VLOOKUP($R339,Capa!$A:$AJ,BP$5,0),0),IF(ISERROR(1/VLOOKUP($R339,Capa!$A:$AJ,BP$5,0)),0,1/VLOOKUP($R339,Capa!$A:$AJ,BP$5,0))))</f>
        <v/>
      </c>
      <c r="BQ339" s="174" t="str">
        <f>IF(BQ$6="","",IF(BQ$3="Maior",iferror(VLOOKUP($R339,Capa!$A:$AJ,BQ$5,0),0),IF(ISERROR(1/VLOOKUP($R339,Capa!$A:$AJ,BQ$5,0)),0,1/VLOOKUP($R339,Capa!$A:$AJ,BQ$5,0))))</f>
        <v/>
      </c>
      <c r="BR339" s="175"/>
      <c r="BS339" s="147"/>
    </row>
    <row r="340">
      <c r="G340" s="11"/>
      <c r="H340" s="8">
        <v>334.0</v>
      </c>
      <c r="I340" s="165" t="str">
        <f t="shared" si="6"/>
        <v>AALR3</v>
      </c>
      <c r="J340" s="167" t="str">
        <f>(VLOOKUP($I340,Capa!$A:$B,2,0))</f>
        <v>#N/A</v>
      </c>
      <c r="K340" s="167" t="str">
        <f>VLOOKUP(left(I340,4),Setor!A:D,3,0)&amp;" | "&amp;VLOOKUP(left(I340,4),Setor!A:D,4,0)</f>
        <v>Saúde | Análises e Diagnósticos</v>
      </c>
      <c r="L340" s="10" t="str">
        <f>(VLOOKUP($I340,Capa!$A:$F,6,0))</f>
        <v>#N/A</v>
      </c>
      <c r="M340" s="168">
        <f t="shared" si="7"/>
        <v>233843</v>
      </c>
      <c r="N340" s="11" t="str">
        <f>(VLOOKUP($I340,Capa!$A:$H,7,0))</f>
        <v>#N/A</v>
      </c>
      <c r="O340" s="11" t="str">
        <f>(VLOOKUP($I340,Capa!$A:$H,8,0))</f>
        <v>#N/A</v>
      </c>
      <c r="P340" s="11" t="str">
        <f>(VLOOKUP($I340,Capa!$A:$J,10,0))</f>
        <v>#N/A</v>
      </c>
      <c r="Q340" s="11" t="str">
        <f>(VLOOKUP($I340,Capa!$A:$K,11,0))</f>
        <v>#N/A</v>
      </c>
      <c r="R340" s="45" t="str">
        <f>'Dados StatusInvest'!A335</f>
        <v>ITEC3</v>
      </c>
      <c r="S340" s="170">
        <f t="shared" si="234"/>
        <v>1394.0394</v>
      </c>
      <c r="T340" s="171">
        <f>VLOOKUP(R340,'Dados StatusInvest'!A:Z,26,0)</f>
        <v>0</v>
      </c>
      <c r="U340" s="172">
        <f t="shared" ref="U340:AS340" si="343">IF(AT340="","", RANK(AT340,AT$7:AT$626,0)+RANK(AT340,AT$7:AT$626,0)/10000)</f>
        <v>127.0127</v>
      </c>
      <c r="V340" s="172">
        <f t="shared" si="343"/>
        <v>267.0267</v>
      </c>
      <c r="W340" s="172" t="str">
        <f t="shared" si="343"/>
        <v/>
      </c>
      <c r="X340" s="172" t="str">
        <f t="shared" si="343"/>
        <v/>
      </c>
      <c r="Y340" s="172" t="str">
        <f t="shared" si="343"/>
        <v/>
      </c>
      <c r="Z340" s="172" t="str">
        <f t="shared" si="343"/>
        <v/>
      </c>
      <c r="AA340" s="172" t="str">
        <f t="shared" si="343"/>
        <v/>
      </c>
      <c r="AB340" s="172" t="str">
        <f t="shared" si="343"/>
        <v/>
      </c>
      <c r="AC340" s="172" t="str">
        <f t="shared" si="343"/>
        <v/>
      </c>
      <c r="AD340" s="172" t="str">
        <f t="shared" si="343"/>
        <v/>
      </c>
      <c r="AE340" s="172" t="str">
        <f t="shared" si="343"/>
        <v/>
      </c>
      <c r="AF340" s="172" t="str">
        <f t="shared" si="343"/>
        <v/>
      </c>
      <c r="AG340" s="172" t="str">
        <f t="shared" si="343"/>
        <v/>
      </c>
      <c r="AH340" s="172" t="str">
        <f t="shared" si="343"/>
        <v/>
      </c>
      <c r="AI340" s="172" t="str">
        <f t="shared" si="343"/>
        <v/>
      </c>
      <c r="AJ340" s="172" t="str">
        <f t="shared" si="343"/>
        <v/>
      </c>
      <c r="AK340" s="172" t="str">
        <f t="shared" si="343"/>
        <v/>
      </c>
      <c r="AL340" s="172" t="str">
        <f t="shared" si="343"/>
        <v/>
      </c>
      <c r="AM340" s="172" t="str">
        <f t="shared" si="343"/>
        <v/>
      </c>
      <c r="AN340" s="172" t="str">
        <f t="shared" si="343"/>
        <v/>
      </c>
      <c r="AO340" s="172" t="str">
        <f t="shared" si="343"/>
        <v/>
      </c>
      <c r="AP340" s="172" t="str">
        <f t="shared" si="343"/>
        <v/>
      </c>
      <c r="AQ340" s="172" t="str">
        <f t="shared" si="343"/>
        <v/>
      </c>
      <c r="AR340" s="172" t="str">
        <f t="shared" si="343"/>
        <v/>
      </c>
      <c r="AS340" s="172" t="str">
        <f t="shared" si="343"/>
        <v/>
      </c>
      <c r="AT340" s="173">
        <f>IF(AT$6="","",IF(AT$3="Maior",iferror(VLOOKUP($R340,Capa!$A:$AJ,AT$5,0),0),IF(ISERROR(1/VLOOKUP($R340,Capa!$A:$AJ,AT$5,0)),0,1/VLOOKUP($R340,Capa!$A:$AJ,AT$5,0))))</f>
        <v>-0.02374169041</v>
      </c>
      <c r="AU340" s="174">
        <f>IF(AU$6="","",IF(AU$3="Maior",iferror(VLOOKUP($R340,Capa!$A:$AJ,AU$5,0),0),IF(ISERROR(1/VLOOKUP($R340,Capa!$A:$AJ,AU$5,0)),0,1/VLOOKUP($R340,Capa!$A:$AJ,AU$5,0))))</f>
        <v>0</v>
      </c>
      <c r="AV340" s="174" t="str">
        <f>IF(AV$6="","",IF(AV$3="Maior",iferror(VLOOKUP($R340,Capa!$A:$AJ,AV$5,0),0),IF(ISERROR(1/VLOOKUP($R340,Capa!$A:$AJ,AV$5,0)),0,1/VLOOKUP($R340,Capa!$A:$AJ,AV$5,0))))</f>
        <v/>
      </c>
      <c r="AW340" s="174" t="str">
        <f>IF(AW$6="","",IF(AW$3="Maior",iferror(VLOOKUP($R340,Capa!$A:$AJ,AW$5,0),0),IF(ISERROR(1/VLOOKUP($R340,Capa!$A:$AJ,AW$5,0)),0,1/VLOOKUP($R340,Capa!$A:$AJ,AW$5,0))))</f>
        <v/>
      </c>
      <c r="AX340" s="174" t="str">
        <f>IF(AX$6="","",IF(AX$3="Maior",iferror(VLOOKUP($R340,Capa!$A:$AJ,AX$5,0),0),IF(ISERROR(1/VLOOKUP($R340,Capa!$A:$AJ,AX$5,0)),0,1/VLOOKUP($R340,Capa!$A:$AJ,AX$5,0))))</f>
        <v/>
      </c>
      <c r="AY340" s="174" t="str">
        <f>IF(AY$6="","",IF(AY$3="Maior",iferror(VLOOKUP($R340,Capa!$A:$AJ,AY$5,0),0),IF(ISERROR(1/VLOOKUP($R340,Capa!$A:$AJ,AY$5,0)),0,1/VLOOKUP($R340,Capa!$A:$AJ,AY$5,0))))</f>
        <v/>
      </c>
      <c r="AZ340" s="174" t="str">
        <f>IF(AZ$6="","",IF(AZ$3="Maior",iferror(VLOOKUP($R340,Capa!$A:$AJ,AZ$5,0),0),IF(ISERROR(1/VLOOKUP($R340,Capa!$A:$AJ,AZ$5,0)),0,1/VLOOKUP($R340,Capa!$A:$AJ,AZ$5,0))))</f>
        <v/>
      </c>
      <c r="BA340" s="174" t="str">
        <f>IF(BA$6="","",IF(BA$3="Maior",iferror(VLOOKUP($R340,Capa!$A:$AJ,BA$5,0),0),IF(ISERROR(1/VLOOKUP($R340,Capa!$A:$AJ,BA$5,0)),0,1/VLOOKUP($R340,Capa!$A:$AJ,BA$5,0))))</f>
        <v/>
      </c>
      <c r="BB340" s="174" t="str">
        <f>IF(BB$6="","",IF(BB$3="Maior",iferror(VLOOKUP($R340,Capa!$A:$AJ,BB$5,0),0),IF(ISERROR(1/VLOOKUP($R340,Capa!$A:$AJ,BB$5,0)),0,1/VLOOKUP($R340,Capa!$A:$AJ,BB$5,0))))</f>
        <v/>
      </c>
      <c r="BC340" s="174" t="str">
        <f>IF(BC$6="","",IF(BC$3="Maior",iferror(VLOOKUP($R340,Capa!$A:$AJ,BC$5,0),0),IF(ISERROR(1/VLOOKUP($R340,Capa!$A:$AJ,BC$5,0)),0,1/VLOOKUP($R340,Capa!$A:$AJ,BC$5,0))))</f>
        <v/>
      </c>
      <c r="BD340" s="174" t="str">
        <f>IF(BD$6="","",IF(BD$3="Maior",iferror(VLOOKUP($R340,Capa!$A:$AJ,BD$5,0),0),IF(ISERROR(1/VLOOKUP($R340,Capa!$A:$AJ,BD$5,0)),0,1/VLOOKUP($R340,Capa!$A:$AJ,BD$5,0))))</f>
        <v/>
      </c>
      <c r="BE340" s="174" t="str">
        <f>IF(BE$6="","",IF(BE$3="Maior",iferror(VLOOKUP($R340,Capa!$A:$AJ,BE$5,0),0),IF(ISERROR(1/VLOOKUP($R340,Capa!$A:$AJ,BE$5,0)),0,1/VLOOKUP($R340,Capa!$A:$AJ,BE$5,0))))</f>
        <v/>
      </c>
      <c r="BF340" s="174" t="str">
        <f>IF(BF$6="","",IF(BF$3="Maior",iferror(VLOOKUP($R340,Capa!$A:$AJ,BF$5,0),0),IF(ISERROR(1/VLOOKUP($R340,Capa!$A:$AJ,BF$5,0)),0,1/VLOOKUP($R340,Capa!$A:$AJ,BF$5,0))))</f>
        <v/>
      </c>
      <c r="BG340" s="174" t="str">
        <f>IF(BG$6="","",IF(BG$3="Maior",iferror(VLOOKUP($R340,Capa!$A:$AJ,BG$5,0),0),IF(ISERROR(1/VLOOKUP($R340,Capa!$A:$AJ,BG$5,0)),0,1/VLOOKUP($R340,Capa!$A:$AJ,BG$5,0))))</f>
        <v/>
      </c>
      <c r="BH340" s="174" t="str">
        <f>IF(BH$6="","",IF(BH$3="Maior",iferror(VLOOKUP($R340,Capa!$A:$AJ,BH$5,0),0),IF(ISERROR(1/VLOOKUP($R340,Capa!$A:$AJ,BH$5,0)),0,1/VLOOKUP($R340,Capa!$A:$AJ,BH$5,0))))</f>
        <v/>
      </c>
      <c r="BI340" s="174" t="str">
        <f>IF(BI$6="","",IF(BI$3="Maior",iferror(VLOOKUP($R340,Capa!$A:$AJ,BI$5,0),0),IF(ISERROR(1/VLOOKUP($R340,Capa!$A:$AJ,BI$5,0)),0,1/VLOOKUP($R340,Capa!$A:$AJ,BI$5,0))))</f>
        <v/>
      </c>
      <c r="BJ340" s="174" t="str">
        <f>IF(BJ$6="","",IF(BJ$3="Maior",iferror(VLOOKUP($R340,Capa!$A:$AJ,BJ$5,0),0),IF(ISERROR(1/VLOOKUP($R340,Capa!$A:$AJ,BJ$5,0)),0,1/VLOOKUP($R340,Capa!$A:$AJ,BJ$5,0))))</f>
        <v/>
      </c>
      <c r="BK340" s="174" t="str">
        <f>IF(BK$6="","",IF(BK$3="Maior",iferror(VLOOKUP($R340,Capa!$A:$AJ,BK$5,0),0),IF(ISERROR(1/VLOOKUP($R340,Capa!$A:$AJ,BK$5,0)),0,1/VLOOKUP($R340,Capa!$A:$AJ,BK$5,0))))</f>
        <v/>
      </c>
      <c r="BL340" s="174" t="str">
        <f>IF(BL$6="","",IF(BL$3="Maior",iferror(VLOOKUP($R340,Capa!$A:$AJ,BL$5,0),0),IF(ISERROR(1/VLOOKUP($R340,Capa!$A:$AJ,BL$5,0)),0,1/VLOOKUP($R340,Capa!$A:$AJ,BL$5,0))))</f>
        <v/>
      </c>
      <c r="BM340" s="174" t="str">
        <f>IF(BM$6="","",IF(BM$3="Maior",iferror(VLOOKUP($R340,Capa!$A:$AJ,BM$5,0),0),IF(ISERROR(1/VLOOKUP($R340,Capa!$A:$AJ,BM$5,0)),0,1/VLOOKUP($R340,Capa!$A:$AJ,BM$5,0))))</f>
        <v/>
      </c>
      <c r="BN340" s="174" t="str">
        <f>IF(BN$6="","",IF(BN$3="Maior",iferror(VLOOKUP($R340,Capa!$A:$AJ,BN$5,0),0),IF(ISERROR(1/VLOOKUP($R340,Capa!$A:$AJ,BN$5,0)),0,1/VLOOKUP($R340,Capa!$A:$AJ,BN$5,0))))</f>
        <v/>
      </c>
      <c r="BO340" s="174" t="str">
        <f>IF(BO$6="","",IF(BO$3="Maior",iferror(VLOOKUP($R340,Capa!$A:$AJ,BO$5,0),0),IF(ISERROR(1/VLOOKUP($R340,Capa!$A:$AJ,BO$5,0)),0,1/VLOOKUP($R340,Capa!$A:$AJ,BO$5,0))))</f>
        <v/>
      </c>
      <c r="BP340" s="174" t="str">
        <f>IF(BP$6="","",IF(BP$3="Maior",iferror(VLOOKUP($R340,Capa!$A:$AJ,BP$5,0),0),IF(ISERROR(1/VLOOKUP($R340,Capa!$A:$AJ,BP$5,0)),0,1/VLOOKUP($R340,Capa!$A:$AJ,BP$5,0))))</f>
        <v/>
      </c>
      <c r="BQ340" s="174" t="str">
        <f>IF(BQ$6="","",IF(BQ$3="Maior",iferror(VLOOKUP($R340,Capa!$A:$AJ,BQ$5,0),0),IF(ISERROR(1/VLOOKUP($R340,Capa!$A:$AJ,BQ$5,0)),0,1/VLOOKUP($R340,Capa!$A:$AJ,BQ$5,0))))</f>
        <v/>
      </c>
      <c r="BR340" s="175"/>
      <c r="BS340" s="147"/>
    </row>
    <row r="341">
      <c r="G341" s="11"/>
      <c r="H341" s="8">
        <v>335.0</v>
      </c>
      <c r="I341" s="165" t="str">
        <f t="shared" si="6"/>
        <v>AALR3</v>
      </c>
      <c r="J341" s="167" t="str">
        <f>(VLOOKUP($I341,Capa!$A:$B,2,0))</f>
        <v>#N/A</v>
      </c>
      <c r="K341" s="167" t="str">
        <f>VLOOKUP(left(I341,4),Setor!A:D,3,0)&amp;" | "&amp;VLOOKUP(left(I341,4),Setor!A:D,4,0)</f>
        <v>Saúde | Análises e Diagnósticos</v>
      </c>
      <c r="L341" s="10" t="str">
        <f>(VLOOKUP($I341,Capa!$A:$F,6,0))</f>
        <v>#N/A</v>
      </c>
      <c r="M341" s="168">
        <f t="shared" si="7"/>
        <v>233843</v>
      </c>
      <c r="N341" s="11" t="str">
        <f>(VLOOKUP($I341,Capa!$A:$H,7,0))</f>
        <v>#N/A</v>
      </c>
      <c r="O341" s="11" t="str">
        <f>(VLOOKUP($I341,Capa!$A:$H,8,0))</f>
        <v>#N/A</v>
      </c>
      <c r="P341" s="11" t="str">
        <f>(VLOOKUP($I341,Capa!$A:$J,10,0))</f>
        <v>#N/A</v>
      </c>
      <c r="Q341" s="11" t="str">
        <f>(VLOOKUP($I341,Capa!$A:$K,11,0))</f>
        <v>#N/A</v>
      </c>
      <c r="R341" s="45" t="str">
        <f>'Dados StatusInvest'!A336</f>
        <v>ITSA3</v>
      </c>
      <c r="S341" s="170">
        <f t="shared" si="234"/>
        <v>505.0505</v>
      </c>
      <c r="T341" s="171">
        <f>VLOOKUP(R341,'Dados StatusInvest'!A:Z,26,0)</f>
        <v>2495359</v>
      </c>
      <c r="U341" s="172">
        <f t="shared" ref="U341:AS341" si="344">IF(AT341="","", RANK(AT341,AT$7:AT$626,0)+RANK(AT341,AT$7:AT$626,0)/10000)</f>
        <v>290.029</v>
      </c>
      <c r="V341" s="172">
        <f t="shared" si="344"/>
        <v>215.0215</v>
      </c>
      <c r="W341" s="172" t="str">
        <f t="shared" si="344"/>
        <v/>
      </c>
      <c r="X341" s="172" t="str">
        <f t="shared" si="344"/>
        <v/>
      </c>
      <c r="Y341" s="172" t="str">
        <f t="shared" si="344"/>
        <v/>
      </c>
      <c r="Z341" s="172" t="str">
        <f t="shared" si="344"/>
        <v/>
      </c>
      <c r="AA341" s="172" t="str">
        <f t="shared" si="344"/>
        <v/>
      </c>
      <c r="AB341" s="172" t="str">
        <f t="shared" si="344"/>
        <v/>
      </c>
      <c r="AC341" s="172" t="str">
        <f t="shared" si="344"/>
        <v/>
      </c>
      <c r="AD341" s="172" t="str">
        <f t="shared" si="344"/>
        <v/>
      </c>
      <c r="AE341" s="172" t="str">
        <f t="shared" si="344"/>
        <v/>
      </c>
      <c r="AF341" s="172" t="str">
        <f t="shared" si="344"/>
        <v/>
      </c>
      <c r="AG341" s="172" t="str">
        <f t="shared" si="344"/>
        <v/>
      </c>
      <c r="AH341" s="172" t="str">
        <f t="shared" si="344"/>
        <v/>
      </c>
      <c r="AI341" s="172" t="str">
        <f t="shared" si="344"/>
        <v/>
      </c>
      <c r="AJ341" s="172" t="str">
        <f t="shared" si="344"/>
        <v/>
      </c>
      <c r="AK341" s="172" t="str">
        <f t="shared" si="344"/>
        <v/>
      </c>
      <c r="AL341" s="172" t="str">
        <f t="shared" si="344"/>
        <v/>
      </c>
      <c r="AM341" s="172" t="str">
        <f t="shared" si="344"/>
        <v/>
      </c>
      <c r="AN341" s="172" t="str">
        <f t="shared" si="344"/>
        <v/>
      </c>
      <c r="AO341" s="172" t="str">
        <f t="shared" si="344"/>
        <v/>
      </c>
      <c r="AP341" s="172" t="str">
        <f t="shared" si="344"/>
        <v/>
      </c>
      <c r="AQ341" s="172" t="str">
        <f t="shared" si="344"/>
        <v/>
      </c>
      <c r="AR341" s="172" t="str">
        <f t="shared" si="344"/>
        <v/>
      </c>
      <c r="AS341" s="172" t="str">
        <f t="shared" si="344"/>
        <v/>
      </c>
      <c r="AT341" s="173">
        <f>IF(AT$6="","",IF(AT$3="Maior",iferror(VLOOKUP($R341,Capa!$A:$AJ,AT$5,0),0),IF(ISERROR(1/VLOOKUP($R341,Capa!$A:$AJ,AT$5,0)),0,1/VLOOKUP($R341,Capa!$A:$AJ,AT$5,0))))</f>
        <v>-0.6244940442</v>
      </c>
      <c r="AU341" s="174">
        <f>IF(AU$6="","",IF(AU$3="Maior",iferror(VLOOKUP($R341,Capa!$A:$AJ,AU$5,0),0),IF(ISERROR(1/VLOOKUP($R341,Capa!$A:$AJ,AU$5,0)),0,1/VLOOKUP($R341,Capa!$A:$AJ,AU$5,0))))</f>
        <v>9.06</v>
      </c>
      <c r="AV341" s="174" t="str">
        <f>IF(AV$6="","",IF(AV$3="Maior",iferror(VLOOKUP($R341,Capa!$A:$AJ,AV$5,0),0),IF(ISERROR(1/VLOOKUP($R341,Capa!$A:$AJ,AV$5,0)),0,1/VLOOKUP($R341,Capa!$A:$AJ,AV$5,0))))</f>
        <v/>
      </c>
      <c r="AW341" s="174" t="str">
        <f>IF(AW$6="","",IF(AW$3="Maior",iferror(VLOOKUP($R341,Capa!$A:$AJ,AW$5,0),0),IF(ISERROR(1/VLOOKUP($R341,Capa!$A:$AJ,AW$5,0)),0,1/VLOOKUP($R341,Capa!$A:$AJ,AW$5,0))))</f>
        <v/>
      </c>
      <c r="AX341" s="174" t="str">
        <f>IF(AX$6="","",IF(AX$3="Maior",iferror(VLOOKUP($R341,Capa!$A:$AJ,AX$5,0),0),IF(ISERROR(1/VLOOKUP($R341,Capa!$A:$AJ,AX$5,0)),0,1/VLOOKUP($R341,Capa!$A:$AJ,AX$5,0))))</f>
        <v/>
      </c>
      <c r="AY341" s="174" t="str">
        <f>IF(AY$6="","",IF(AY$3="Maior",iferror(VLOOKUP($R341,Capa!$A:$AJ,AY$5,0),0),IF(ISERROR(1/VLOOKUP($R341,Capa!$A:$AJ,AY$5,0)),0,1/VLOOKUP($R341,Capa!$A:$AJ,AY$5,0))))</f>
        <v/>
      </c>
      <c r="AZ341" s="174" t="str">
        <f>IF(AZ$6="","",IF(AZ$3="Maior",iferror(VLOOKUP($R341,Capa!$A:$AJ,AZ$5,0),0),IF(ISERROR(1/VLOOKUP($R341,Capa!$A:$AJ,AZ$5,0)),0,1/VLOOKUP($R341,Capa!$A:$AJ,AZ$5,0))))</f>
        <v/>
      </c>
      <c r="BA341" s="174" t="str">
        <f>IF(BA$6="","",IF(BA$3="Maior",iferror(VLOOKUP($R341,Capa!$A:$AJ,BA$5,0),0),IF(ISERROR(1/VLOOKUP($R341,Capa!$A:$AJ,BA$5,0)),0,1/VLOOKUP($R341,Capa!$A:$AJ,BA$5,0))))</f>
        <v/>
      </c>
      <c r="BB341" s="174" t="str">
        <f>IF(BB$6="","",IF(BB$3="Maior",iferror(VLOOKUP($R341,Capa!$A:$AJ,BB$5,0),0),IF(ISERROR(1/VLOOKUP($R341,Capa!$A:$AJ,BB$5,0)),0,1/VLOOKUP($R341,Capa!$A:$AJ,BB$5,0))))</f>
        <v/>
      </c>
      <c r="BC341" s="174" t="str">
        <f>IF(BC$6="","",IF(BC$3="Maior",iferror(VLOOKUP($R341,Capa!$A:$AJ,BC$5,0),0),IF(ISERROR(1/VLOOKUP($R341,Capa!$A:$AJ,BC$5,0)),0,1/VLOOKUP($R341,Capa!$A:$AJ,BC$5,0))))</f>
        <v/>
      </c>
      <c r="BD341" s="174" t="str">
        <f>IF(BD$6="","",IF(BD$3="Maior",iferror(VLOOKUP($R341,Capa!$A:$AJ,BD$5,0),0),IF(ISERROR(1/VLOOKUP($R341,Capa!$A:$AJ,BD$5,0)),0,1/VLOOKUP($R341,Capa!$A:$AJ,BD$5,0))))</f>
        <v/>
      </c>
      <c r="BE341" s="174" t="str">
        <f>IF(BE$6="","",IF(BE$3="Maior",iferror(VLOOKUP($R341,Capa!$A:$AJ,BE$5,0),0),IF(ISERROR(1/VLOOKUP($R341,Capa!$A:$AJ,BE$5,0)),0,1/VLOOKUP($R341,Capa!$A:$AJ,BE$5,0))))</f>
        <v/>
      </c>
      <c r="BF341" s="174" t="str">
        <f>IF(BF$6="","",IF(BF$3="Maior",iferror(VLOOKUP($R341,Capa!$A:$AJ,BF$5,0),0),IF(ISERROR(1/VLOOKUP($R341,Capa!$A:$AJ,BF$5,0)),0,1/VLOOKUP($R341,Capa!$A:$AJ,BF$5,0))))</f>
        <v/>
      </c>
      <c r="BG341" s="174" t="str">
        <f>IF(BG$6="","",IF(BG$3="Maior",iferror(VLOOKUP($R341,Capa!$A:$AJ,BG$5,0),0),IF(ISERROR(1/VLOOKUP($R341,Capa!$A:$AJ,BG$5,0)),0,1/VLOOKUP($R341,Capa!$A:$AJ,BG$5,0))))</f>
        <v/>
      </c>
      <c r="BH341" s="174" t="str">
        <f>IF(BH$6="","",IF(BH$3="Maior",iferror(VLOOKUP($R341,Capa!$A:$AJ,BH$5,0),0),IF(ISERROR(1/VLOOKUP($R341,Capa!$A:$AJ,BH$5,0)),0,1/VLOOKUP($R341,Capa!$A:$AJ,BH$5,0))))</f>
        <v/>
      </c>
      <c r="BI341" s="174" t="str">
        <f>IF(BI$6="","",IF(BI$3="Maior",iferror(VLOOKUP($R341,Capa!$A:$AJ,BI$5,0),0),IF(ISERROR(1/VLOOKUP($R341,Capa!$A:$AJ,BI$5,0)),0,1/VLOOKUP($R341,Capa!$A:$AJ,BI$5,0))))</f>
        <v/>
      </c>
      <c r="BJ341" s="174" t="str">
        <f>IF(BJ$6="","",IF(BJ$3="Maior",iferror(VLOOKUP($R341,Capa!$A:$AJ,BJ$5,0),0),IF(ISERROR(1/VLOOKUP($R341,Capa!$A:$AJ,BJ$5,0)),0,1/VLOOKUP($R341,Capa!$A:$AJ,BJ$5,0))))</f>
        <v/>
      </c>
      <c r="BK341" s="174" t="str">
        <f>IF(BK$6="","",IF(BK$3="Maior",iferror(VLOOKUP($R341,Capa!$A:$AJ,BK$5,0),0),IF(ISERROR(1/VLOOKUP($R341,Capa!$A:$AJ,BK$5,0)),0,1/VLOOKUP($R341,Capa!$A:$AJ,BK$5,0))))</f>
        <v/>
      </c>
      <c r="BL341" s="174" t="str">
        <f>IF(BL$6="","",IF(BL$3="Maior",iferror(VLOOKUP($R341,Capa!$A:$AJ,BL$5,0),0),IF(ISERROR(1/VLOOKUP($R341,Capa!$A:$AJ,BL$5,0)),0,1/VLOOKUP($R341,Capa!$A:$AJ,BL$5,0))))</f>
        <v/>
      </c>
      <c r="BM341" s="174" t="str">
        <f>IF(BM$6="","",IF(BM$3="Maior",iferror(VLOOKUP($R341,Capa!$A:$AJ,BM$5,0),0),IF(ISERROR(1/VLOOKUP($R341,Capa!$A:$AJ,BM$5,0)),0,1/VLOOKUP($R341,Capa!$A:$AJ,BM$5,0))))</f>
        <v/>
      </c>
      <c r="BN341" s="174" t="str">
        <f>IF(BN$6="","",IF(BN$3="Maior",iferror(VLOOKUP($R341,Capa!$A:$AJ,BN$5,0),0),IF(ISERROR(1/VLOOKUP($R341,Capa!$A:$AJ,BN$5,0)),0,1/VLOOKUP($R341,Capa!$A:$AJ,BN$5,0))))</f>
        <v/>
      </c>
      <c r="BO341" s="174" t="str">
        <f>IF(BO$6="","",IF(BO$3="Maior",iferror(VLOOKUP($R341,Capa!$A:$AJ,BO$5,0),0),IF(ISERROR(1/VLOOKUP($R341,Capa!$A:$AJ,BO$5,0)),0,1/VLOOKUP($R341,Capa!$A:$AJ,BO$5,0))))</f>
        <v/>
      </c>
      <c r="BP341" s="174" t="str">
        <f>IF(BP$6="","",IF(BP$3="Maior",iferror(VLOOKUP($R341,Capa!$A:$AJ,BP$5,0),0),IF(ISERROR(1/VLOOKUP($R341,Capa!$A:$AJ,BP$5,0)),0,1/VLOOKUP($R341,Capa!$A:$AJ,BP$5,0))))</f>
        <v/>
      </c>
      <c r="BQ341" s="174" t="str">
        <f>IF(BQ$6="","",IF(BQ$3="Maior",iferror(VLOOKUP($R341,Capa!$A:$AJ,BQ$5,0),0),IF(ISERROR(1/VLOOKUP($R341,Capa!$A:$AJ,BQ$5,0)),0,1/VLOOKUP($R341,Capa!$A:$AJ,BQ$5,0))))</f>
        <v/>
      </c>
      <c r="BR341" s="175"/>
      <c r="BS341" s="147"/>
    </row>
    <row r="342">
      <c r="G342" s="11"/>
      <c r="H342" s="8">
        <v>336.0</v>
      </c>
      <c r="I342" s="165" t="str">
        <f t="shared" si="6"/>
        <v>AALR3</v>
      </c>
      <c r="J342" s="167" t="str">
        <f>(VLOOKUP($I342,Capa!$A:$B,2,0))</f>
        <v>#N/A</v>
      </c>
      <c r="K342" s="167" t="str">
        <f>VLOOKUP(left(I342,4),Setor!A:D,3,0)&amp;" | "&amp;VLOOKUP(left(I342,4),Setor!A:D,4,0)</f>
        <v>Saúde | Análises e Diagnósticos</v>
      </c>
      <c r="L342" s="10" t="str">
        <f>(VLOOKUP($I342,Capa!$A:$F,6,0))</f>
        <v>#N/A</v>
      </c>
      <c r="M342" s="168">
        <f t="shared" si="7"/>
        <v>233843</v>
      </c>
      <c r="N342" s="11" t="str">
        <f>(VLOOKUP($I342,Capa!$A:$H,7,0))</f>
        <v>#N/A</v>
      </c>
      <c r="O342" s="11" t="str">
        <f>(VLOOKUP($I342,Capa!$A:$H,8,0))</f>
        <v>#N/A</v>
      </c>
      <c r="P342" s="11" t="str">
        <f>(VLOOKUP($I342,Capa!$A:$J,10,0))</f>
        <v>#N/A</v>
      </c>
      <c r="Q342" s="11" t="str">
        <f>(VLOOKUP($I342,Capa!$A:$K,11,0))</f>
        <v>#N/A</v>
      </c>
      <c r="R342" s="45" t="str">
        <f>'Dados StatusInvest'!A337</f>
        <v>ITSA4</v>
      </c>
      <c r="S342" s="170">
        <f t="shared" si="234"/>
        <v>484.0484</v>
      </c>
      <c r="T342" s="171">
        <f>VLOOKUP(R342,'Dados StatusInvest'!A:Z,26,0)</f>
        <v>515000000</v>
      </c>
      <c r="U342" s="172">
        <f t="shared" ref="U342:AS342" si="345">IF(AT342="","", RANK(AT342,AT$7:AT$626,0)+RANK(AT342,AT$7:AT$626,0)/10000)</f>
        <v>269.0269</v>
      </c>
      <c r="V342" s="172">
        <f t="shared" si="345"/>
        <v>215.0215</v>
      </c>
      <c r="W342" s="172" t="str">
        <f t="shared" si="345"/>
        <v/>
      </c>
      <c r="X342" s="172" t="str">
        <f t="shared" si="345"/>
        <v/>
      </c>
      <c r="Y342" s="172" t="str">
        <f t="shared" si="345"/>
        <v/>
      </c>
      <c r="Z342" s="172" t="str">
        <f t="shared" si="345"/>
        <v/>
      </c>
      <c r="AA342" s="172" t="str">
        <f t="shared" si="345"/>
        <v/>
      </c>
      <c r="AB342" s="172" t="str">
        <f t="shared" si="345"/>
        <v/>
      </c>
      <c r="AC342" s="172" t="str">
        <f t="shared" si="345"/>
        <v/>
      </c>
      <c r="AD342" s="172" t="str">
        <f t="shared" si="345"/>
        <v/>
      </c>
      <c r="AE342" s="172" t="str">
        <f t="shared" si="345"/>
        <v/>
      </c>
      <c r="AF342" s="172" t="str">
        <f t="shared" si="345"/>
        <v/>
      </c>
      <c r="AG342" s="172" t="str">
        <f t="shared" si="345"/>
        <v/>
      </c>
      <c r="AH342" s="172" t="str">
        <f t="shared" si="345"/>
        <v/>
      </c>
      <c r="AI342" s="172" t="str">
        <f t="shared" si="345"/>
        <v/>
      </c>
      <c r="AJ342" s="172" t="str">
        <f t="shared" si="345"/>
        <v/>
      </c>
      <c r="AK342" s="172" t="str">
        <f t="shared" si="345"/>
        <v/>
      </c>
      <c r="AL342" s="172" t="str">
        <f t="shared" si="345"/>
        <v/>
      </c>
      <c r="AM342" s="172" t="str">
        <f t="shared" si="345"/>
        <v/>
      </c>
      <c r="AN342" s="172" t="str">
        <f t="shared" si="345"/>
        <v/>
      </c>
      <c r="AO342" s="172" t="str">
        <f t="shared" si="345"/>
        <v/>
      </c>
      <c r="AP342" s="172" t="str">
        <f t="shared" si="345"/>
        <v/>
      </c>
      <c r="AQ342" s="172" t="str">
        <f t="shared" si="345"/>
        <v/>
      </c>
      <c r="AR342" s="172" t="str">
        <f t="shared" si="345"/>
        <v/>
      </c>
      <c r="AS342" s="172" t="str">
        <f t="shared" si="345"/>
        <v/>
      </c>
      <c r="AT342" s="173">
        <f>IF(AT$6="","",IF(AT$3="Maior",iferror(VLOOKUP($R342,Capa!$A:$AJ,AT$5,0),0),IF(ISERROR(1/VLOOKUP($R342,Capa!$A:$AJ,AT$5,0)),0,1/VLOOKUP($R342,Capa!$A:$AJ,AT$5,0))))</f>
        <v>-0.5648510015</v>
      </c>
      <c r="AU342" s="174">
        <f>IF(AU$6="","",IF(AU$3="Maior",iferror(VLOOKUP($R342,Capa!$A:$AJ,AU$5,0),0),IF(ISERROR(1/VLOOKUP($R342,Capa!$A:$AJ,AU$5,0)),0,1/VLOOKUP($R342,Capa!$A:$AJ,AU$5,0))))</f>
        <v>9.06</v>
      </c>
      <c r="AV342" s="174" t="str">
        <f>IF(AV$6="","",IF(AV$3="Maior",iferror(VLOOKUP($R342,Capa!$A:$AJ,AV$5,0),0),IF(ISERROR(1/VLOOKUP($R342,Capa!$A:$AJ,AV$5,0)),0,1/VLOOKUP($R342,Capa!$A:$AJ,AV$5,0))))</f>
        <v/>
      </c>
      <c r="AW342" s="174" t="str">
        <f>IF(AW$6="","",IF(AW$3="Maior",iferror(VLOOKUP($R342,Capa!$A:$AJ,AW$5,0),0),IF(ISERROR(1/VLOOKUP($R342,Capa!$A:$AJ,AW$5,0)),0,1/VLOOKUP($R342,Capa!$A:$AJ,AW$5,0))))</f>
        <v/>
      </c>
      <c r="AX342" s="174" t="str">
        <f>IF(AX$6="","",IF(AX$3="Maior",iferror(VLOOKUP($R342,Capa!$A:$AJ,AX$5,0),0),IF(ISERROR(1/VLOOKUP($R342,Capa!$A:$AJ,AX$5,0)),0,1/VLOOKUP($R342,Capa!$A:$AJ,AX$5,0))))</f>
        <v/>
      </c>
      <c r="AY342" s="174" t="str">
        <f>IF(AY$6="","",IF(AY$3="Maior",iferror(VLOOKUP($R342,Capa!$A:$AJ,AY$5,0),0),IF(ISERROR(1/VLOOKUP($R342,Capa!$A:$AJ,AY$5,0)),0,1/VLOOKUP($R342,Capa!$A:$AJ,AY$5,0))))</f>
        <v/>
      </c>
      <c r="AZ342" s="174" t="str">
        <f>IF(AZ$6="","",IF(AZ$3="Maior",iferror(VLOOKUP($R342,Capa!$A:$AJ,AZ$5,0),0),IF(ISERROR(1/VLOOKUP($R342,Capa!$A:$AJ,AZ$5,0)),0,1/VLOOKUP($R342,Capa!$A:$AJ,AZ$5,0))))</f>
        <v/>
      </c>
      <c r="BA342" s="174" t="str">
        <f>IF(BA$6="","",IF(BA$3="Maior",iferror(VLOOKUP($R342,Capa!$A:$AJ,BA$5,0),0),IF(ISERROR(1/VLOOKUP($R342,Capa!$A:$AJ,BA$5,0)),0,1/VLOOKUP($R342,Capa!$A:$AJ,BA$5,0))))</f>
        <v/>
      </c>
      <c r="BB342" s="174" t="str">
        <f>IF(BB$6="","",IF(BB$3="Maior",iferror(VLOOKUP($R342,Capa!$A:$AJ,BB$5,0),0),IF(ISERROR(1/VLOOKUP($R342,Capa!$A:$AJ,BB$5,0)),0,1/VLOOKUP($R342,Capa!$A:$AJ,BB$5,0))))</f>
        <v/>
      </c>
      <c r="BC342" s="174" t="str">
        <f>IF(BC$6="","",IF(BC$3="Maior",iferror(VLOOKUP($R342,Capa!$A:$AJ,BC$5,0),0),IF(ISERROR(1/VLOOKUP($R342,Capa!$A:$AJ,BC$5,0)),0,1/VLOOKUP($R342,Capa!$A:$AJ,BC$5,0))))</f>
        <v/>
      </c>
      <c r="BD342" s="174" t="str">
        <f>IF(BD$6="","",IF(BD$3="Maior",iferror(VLOOKUP($R342,Capa!$A:$AJ,BD$5,0),0),IF(ISERROR(1/VLOOKUP($R342,Capa!$A:$AJ,BD$5,0)),0,1/VLOOKUP($R342,Capa!$A:$AJ,BD$5,0))))</f>
        <v/>
      </c>
      <c r="BE342" s="174" t="str">
        <f>IF(BE$6="","",IF(BE$3="Maior",iferror(VLOOKUP($R342,Capa!$A:$AJ,BE$5,0),0),IF(ISERROR(1/VLOOKUP($R342,Capa!$A:$AJ,BE$5,0)),0,1/VLOOKUP($R342,Capa!$A:$AJ,BE$5,0))))</f>
        <v/>
      </c>
      <c r="BF342" s="174" t="str">
        <f>IF(BF$6="","",IF(BF$3="Maior",iferror(VLOOKUP($R342,Capa!$A:$AJ,BF$5,0),0),IF(ISERROR(1/VLOOKUP($R342,Capa!$A:$AJ,BF$5,0)),0,1/VLOOKUP($R342,Capa!$A:$AJ,BF$5,0))))</f>
        <v/>
      </c>
      <c r="BG342" s="174" t="str">
        <f>IF(BG$6="","",IF(BG$3="Maior",iferror(VLOOKUP($R342,Capa!$A:$AJ,BG$5,0),0),IF(ISERROR(1/VLOOKUP($R342,Capa!$A:$AJ,BG$5,0)),0,1/VLOOKUP($R342,Capa!$A:$AJ,BG$5,0))))</f>
        <v/>
      </c>
      <c r="BH342" s="174" t="str">
        <f>IF(BH$6="","",IF(BH$3="Maior",iferror(VLOOKUP($R342,Capa!$A:$AJ,BH$5,0),0),IF(ISERROR(1/VLOOKUP($R342,Capa!$A:$AJ,BH$5,0)),0,1/VLOOKUP($R342,Capa!$A:$AJ,BH$5,0))))</f>
        <v/>
      </c>
      <c r="BI342" s="174" t="str">
        <f>IF(BI$6="","",IF(BI$3="Maior",iferror(VLOOKUP($R342,Capa!$A:$AJ,BI$5,0),0),IF(ISERROR(1/VLOOKUP($R342,Capa!$A:$AJ,BI$5,0)),0,1/VLOOKUP($R342,Capa!$A:$AJ,BI$5,0))))</f>
        <v/>
      </c>
      <c r="BJ342" s="174" t="str">
        <f>IF(BJ$6="","",IF(BJ$3="Maior",iferror(VLOOKUP($R342,Capa!$A:$AJ,BJ$5,0),0),IF(ISERROR(1/VLOOKUP($R342,Capa!$A:$AJ,BJ$5,0)),0,1/VLOOKUP($R342,Capa!$A:$AJ,BJ$5,0))))</f>
        <v/>
      </c>
      <c r="BK342" s="174" t="str">
        <f>IF(BK$6="","",IF(BK$3="Maior",iferror(VLOOKUP($R342,Capa!$A:$AJ,BK$5,0),0),IF(ISERROR(1/VLOOKUP($R342,Capa!$A:$AJ,BK$5,0)),0,1/VLOOKUP($R342,Capa!$A:$AJ,BK$5,0))))</f>
        <v/>
      </c>
      <c r="BL342" s="174" t="str">
        <f>IF(BL$6="","",IF(BL$3="Maior",iferror(VLOOKUP($R342,Capa!$A:$AJ,BL$5,0),0),IF(ISERROR(1/VLOOKUP($R342,Capa!$A:$AJ,BL$5,0)),0,1/VLOOKUP($R342,Capa!$A:$AJ,BL$5,0))))</f>
        <v/>
      </c>
      <c r="BM342" s="174" t="str">
        <f>IF(BM$6="","",IF(BM$3="Maior",iferror(VLOOKUP($R342,Capa!$A:$AJ,BM$5,0),0),IF(ISERROR(1/VLOOKUP($R342,Capa!$A:$AJ,BM$5,0)),0,1/VLOOKUP($R342,Capa!$A:$AJ,BM$5,0))))</f>
        <v/>
      </c>
      <c r="BN342" s="174" t="str">
        <f>IF(BN$6="","",IF(BN$3="Maior",iferror(VLOOKUP($R342,Capa!$A:$AJ,BN$5,0),0),IF(ISERROR(1/VLOOKUP($R342,Capa!$A:$AJ,BN$5,0)),0,1/VLOOKUP($R342,Capa!$A:$AJ,BN$5,0))))</f>
        <v/>
      </c>
      <c r="BO342" s="174" t="str">
        <f>IF(BO$6="","",IF(BO$3="Maior",iferror(VLOOKUP($R342,Capa!$A:$AJ,BO$5,0),0),IF(ISERROR(1/VLOOKUP($R342,Capa!$A:$AJ,BO$5,0)),0,1/VLOOKUP($R342,Capa!$A:$AJ,BO$5,0))))</f>
        <v/>
      </c>
      <c r="BP342" s="174" t="str">
        <f>IF(BP$6="","",IF(BP$3="Maior",iferror(VLOOKUP($R342,Capa!$A:$AJ,BP$5,0),0),IF(ISERROR(1/VLOOKUP($R342,Capa!$A:$AJ,BP$5,0)),0,1/VLOOKUP($R342,Capa!$A:$AJ,BP$5,0))))</f>
        <v/>
      </c>
      <c r="BQ342" s="174" t="str">
        <f>IF(BQ$6="","",IF(BQ$3="Maior",iferror(VLOOKUP($R342,Capa!$A:$AJ,BQ$5,0),0),IF(ISERROR(1/VLOOKUP($R342,Capa!$A:$AJ,BQ$5,0)),0,1/VLOOKUP($R342,Capa!$A:$AJ,BQ$5,0))))</f>
        <v/>
      </c>
      <c r="BR342" s="175"/>
      <c r="BS342" s="147"/>
    </row>
    <row r="343">
      <c r="G343" s="11"/>
      <c r="H343" s="8">
        <v>337.0</v>
      </c>
      <c r="I343" s="165" t="str">
        <f t="shared" si="6"/>
        <v>AALR3</v>
      </c>
      <c r="J343" s="167" t="str">
        <f>(VLOOKUP($I343,Capa!$A:$B,2,0))</f>
        <v>#N/A</v>
      </c>
      <c r="K343" s="167" t="str">
        <f>VLOOKUP(left(I343,4),Setor!A:D,3,0)&amp;" | "&amp;VLOOKUP(left(I343,4),Setor!A:D,4,0)</f>
        <v>Saúde | Análises e Diagnósticos</v>
      </c>
      <c r="L343" s="10" t="str">
        <f>(VLOOKUP($I343,Capa!$A:$F,6,0))</f>
        <v>#N/A</v>
      </c>
      <c r="M343" s="168">
        <f t="shared" si="7"/>
        <v>233843</v>
      </c>
      <c r="N343" s="11" t="str">
        <f>(VLOOKUP($I343,Capa!$A:$H,7,0))</f>
        <v>#N/A</v>
      </c>
      <c r="O343" s="11" t="str">
        <f>(VLOOKUP($I343,Capa!$A:$H,8,0))</f>
        <v>#N/A</v>
      </c>
      <c r="P343" s="11" t="str">
        <f>(VLOOKUP($I343,Capa!$A:$J,10,0))</f>
        <v>#N/A</v>
      </c>
      <c r="Q343" s="11" t="str">
        <f>(VLOOKUP($I343,Capa!$A:$K,11,0))</f>
        <v>#N/A</v>
      </c>
      <c r="R343" s="45" t="str">
        <f>'Dados StatusInvest'!A338</f>
        <v>ITUB3</v>
      </c>
      <c r="S343" s="170">
        <f t="shared" si="234"/>
        <v>255.0255</v>
      </c>
      <c r="T343" s="171">
        <f>VLOOKUP(R343,'Dados StatusInvest'!A:Z,26,0)</f>
        <v>48665897</v>
      </c>
      <c r="U343" s="172">
        <f t="shared" ref="U343:AS343" si="346">IF(AT343="","", RANK(AT343,AT$7:AT$626,0)+RANK(AT343,AT$7:AT$626,0)/10000)</f>
        <v>112.0112</v>
      </c>
      <c r="V343" s="172">
        <f t="shared" si="346"/>
        <v>143.0143</v>
      </c>
      <c r="W343" s="172" t="str">
        <f t="shared" si="346"/>
        <v/>
      </c>
      <c r="X343" s="172" t="str">
        <f t="shared" si="346"/>
        <v/>
      </c>
      <c r="Y343" s="172" t="str">
        <f t="shared" si="346"/>
        <v/>
      </c>
      <c r="Z343" s="172" t="str">
        <f t="shared" si="346"/>
        <v/>
      </c>
      <c r="AA343" s="172" t="str">
        <f t="shared" si="346"/>
        <v/>
      </c>
      <c r="AB343" s="172" t="str">
        <f t="shared" si="346"/>
        <v/>
      </c>
      <c r="AC343" s="172" t="str">
        <f t="shared" si="346"/>
        <v/>
      </c>
      <c r="AD343" s="172" t="str">
        <f t="shared" si="346"/>
        <v/>
      </c>
      <c r="AE343" s="172" t="str">
        <f t="shared" si="346"/>
        <v/>
      </c>
      <c r="AF343" s="172" t="str">
        <f t="shared" si="346"/>
        <v/>
      </c>
      <c r="AG343" s="172" t="str">
        <f t="shared" si="346"/>
        <v/>
      </c>
      <c r="AH343" s="172" t="str">
        <f t="shared" si="346"/>
        <v/>
      </c>
      <c r="AI343" s="172" t="str">
        <f t="shared" si="346"/>
        <v/>
      </c>
      <c r="AJ343" s="172" t="str">
        <f t="shared" si="346"/>
        <v/>
      </c>
      <c r="AK343" s="172" t="str">
        <f t="shared" si="346"/>
        <v/>
      </c>
      <c r="AL343" s="172" t="str">
        <f t="shared" si="346"/>
        <v/>
      </c>
      <c r="AM343" s="172" t="str">
        <f t="shared" si="346"/>
        <v/>
      </c>
      <c r="AN343" s="172" t="str">
        <f t="shared" si="346"/>
        <v/>
      </c>
      <c r="AO343" s="172" t="str">
        <f t="shared" si="346"/>
        <v/>
      </c>
      <c r="AP343" s="172" t="str">
        <f t="shared" si="346"/>
        <v/>
      </c>
      <c r="AQ343" s="172" t="str">
        <f t="shared" si="346"/>
        <v/>
      </c>
      <c r="AR343" s="172" t="str">
        <f t="shared" si="346"/>
        <v/>
      </c>
      <c r="AS343" s="172" t="str">
        <f t="shared" si="346"/>
        <v/>
      </c>
      <c r="AT343" s="173">
        <f>IF(AT$6="","",IF(AT$3="Maior",iferror(VLOOKUP($R343,Capa!$A:$AJ,AT$5,0),0),IF(ISERROR(1/VLOOKUP($R343,Capa!$A:$AJ,AT$5,0)),0,1/VLOOKUP($R343,Capa!$A:$AJ,AT$5,0))))</f>
        <v>-0.001723332282</v>
      </c>
      <c r="AU343" s="174">
        <f>IF(AU$6="","",IF(AU$3="Maior",iferror(VLOOKUP($R343,Capa!$A:$AJ,AU$5,0),0),IF(ISERROR(1/VLOOKUP($R343,Capa!$A:$AJ,AU$5,0)),0,1/VLOOKUP($R343,Capa!$A:$AJ,AU$5,0))))</f>
        <v>18.88</v>
      </c>
      <c r="AV343" s="174" t="str">
        <f>IF(AV$6="","",IF(AV$3="Maior",iferror(VLOOKUP($R343,Capa!$A:$AJ,AV$5,0),0),IF(ISERROR(1/VLOOKUP($R343,Capa!$A:$AJ,AV$5,0)),0,1/VLOOKUP($R343,Capa!$A:$AJ,AV$5,0))))</f>
        <v/>
      </c>
      <c r="AW343" s="174" t="str">
        <f>IF(AW$6="","",IF(AW$3="Maior",iferror(VLOOKUP($R343,Capa!$A:$AJ,AW$5,0),0),IF(ISERROR(1/VLOOKUP($R343,Capa!$A:$AJ,AW$5,0)),0,1/VLOOKUP($R343,Capa!$A:$AJ,AW$5,0))))</f>
        <v/>
      </c>
      <c r="AX343" s="174" t="str">
        <f>IF(AX$6="","",IF(AX$3="Maior",iferror(VLOOKUP($R343,Capa!$A:$AJ,AX$5,0),0),IF(ISERROR(1/VLOOKUP($R343,Capa!$A:$AJ,AX$5,0)),0,1/VLOOKUP($R343,Capa!$A:$AJ,AX$5,0))))</f>
        <v/>
      </c>
      <c r="AY343" s="174" t="str">
        <f>IF(AY$6="","",IF(AY$3="Maior",iferror(VLOOKUP($R343,Capa!$A:$AJ,AY$5,0),0),IF(ISERROR(1/VLOOKUP($R343,Capa!$A:$AJ,AY$5,0)),0,1/VLOOKUP($R343,Capa!$A:$AJ,AY$5,0))))</f>
        <v/>
      </c>
      <c r="AZ343" s="174" t="str">
        <f>IF(AZ$6="","",IF(AZ$3="Maior",iferror(VLOOKUP($R343,Capa!$A:$AJ,AZ$5,0),0),IF(ISERROR(1/VLOOKUP($R343,Capa!$A:$AJ,AZ$5,0)),0,1/VLOOKUP($R343,Capa!$A:$AJ,AZ$5,0))))</f>
        <v/>
      </c>
      <c r="BA343" s="174" t="str">
        <f>IF(BA$6="","",IF(BA$3="Maior",iferror(VLOOKUP($R343,Capa!$A:$AJ,BA$5,0),0),IF(ISERROR(1/VLOOKUP($R343,Capa!$A:$AJ,BA$5,0)),0,1/VLOOKUP($R343,Capa!$A:$AJ,BA$5,0))))</f>
        <v/>
      </c>
      <c r="BB343" s="174" t="str">
        <f>IF(BB$6="","",IF(BB$3="Maior",iferror(VLOOKUP($R343,Capa!$A:$AJ,BB$5,0),0),IF(ISERROR(1/VLOOKUP($R343,Capa!$A:$AJ,BB$5,0)),0,1/VLOOKUP($R343,Capa!$A:$AJ,BB$5,0))))</f>
        <v/>
      </c>
      <c r="BC343" s="174" t="str">
        <f>IF(BC$6="","",IF(BC$3="Maior",iferror(VLOOKUP($R343,Capa!$A:$AJ,BC$5,0),0),IF(ISERROR(1/VLOOKUP($R343,Capa!$A:$AJ,BC$5,0)),0,1/VLOOKUP($R343,Capa!$A:$AJ,BC$5,0))))</f>
        <v/>
      </c>
      <c r="BD343" s="174" t="str">
        <f>IF(BD$6="","",IF(BD$3="Maior",iferror(VLOOKUP($R343,Capa!$A:$AJ,BD$5,0),0),IF(ISERROR(1/VLOOKUP($R343,Capa!$A:$AJ,BD$5,0)),0,1/VLOOKUP($R343,Capa!$A:$AJ,BD$5,0))))</f>
        <v/>
      </c>
      <c r="BE343" s="174" t="str">
        <f>IF(BE$6="","",IF(BE$3="Maior",iferror(VLOOKUP($R343,Capa!$A:$AJ,BE$5,0),0),IF(ISERROR(1/VLOOKUP($R343,Capa!$A:$AJ,BE$5,0)),0,1/VLOOKUP($R343,Capa!$A:$AJ,BE$5,0))))</f>
        <v/>
      </c>
      <c r="BF343" s="174" t="str">
        <f>IF(BF$6="","",IF(BF$3="Maior",iferror(VLOOKUP($R343,Capa!$A:$AJ,BF$5,0),0),IF(ISERROR(1/VLOOKUP($R343,Capa!$A:$AJ,BF$5,0)),0,1/VLOOKUP($R343,Capa!$A:$AJ,BF$5,0))))</f>
        <v/>
      </c>
      <c r="BG343" s="174" t="str">
        <f>IF(BG$6="","",IF(BG$3="Maior",iferror(VLOOKUP($R343,Capa!$A:$AJ,BG$5,0),0),IF(ISERROR(1/VLOOKUP($R343,Capa!$A:$AJ,BG$5,0)),0,1/VLOOKUP($R343,Capa!$A:$AJ,BG$5,0))))</f>
        <v/>
      </c>
      <c r="BH343" s="174" t="str">
        <f>IF(BH$6="","",IF(BH$3="Maior",iferror(VLOOKUP($R343,Capa!$A:$AJ,BH$5,0),0),IF(ISERROR(1/VLOOKUP($R343,Capa!$A:$AJ,BH$5,0)),0,1/VLOOKUP($R343,Capa!$A:$AJ,BH$5,0))))</f>
        <v/>
      </c>
      <c r="BI343" s="174" t="str">
        <f>IF(BI$6="","",IF(BI$3="Maior",iferror(VLOOKUP($R343,Capa!$A:$AJ,BI$5,0),0),IF(ISERROR(1/VLOOKUP($R343,Capa!$A:$AJ,BI$5,0)),0,1/VLOOKUP($R343,Capa!$A:$AJ,BI$5,0))))</f>
        <v/>
      </c>
      <c r="BJ343" s="174" t="str">
        <f>IF(BJ$6="","",IF(BJ$3="Maior",iferror(VLOOKUP($R343,Capa!$A:$AJ,BJ$5,0),0),IF(ISERROR(1/VLOOKUP($R343,Capa!$A:$AJ,BJ$5,0)),0,1/VLOOKUP($R343,Capa!$A:$AJ,BJ$5,0))))</f>
        <v/>
      </c>
      <c r="BK343" s="174" t="str">
        <f>IF(BK$6="","",IF(BK$3="Maior",iferror(VLOOKUP($R343,Capa!$A:$AJ,BK$5,0),0),IF(ISERROR(1/VLOOKUP($R343,Capa!$A:$AJ,BK$5,0)),0,1/VLOOKUP($R343,Capa!$A:$AJ,BK$5,0))))</f>
        <v/>
      </c>
      <c r="BL343" s="174" t="str">
        <f>IF(BL$6="","",IF(BL$3="Maior",iferror(VLOOKUP($R343,Capa!$A:$AJ,BL$5,0),0),IF(ISERROR(1/VLOOKUP($R343,Capa!$A:$AJ,BL$5,0)),0,1/VLOOKUP($R343,Capa!$A:$AJ,BL$5,0))))</f>
        <v/>
      </c>
      <c r="BM343" s="174" t="str">
        <f>IF(BM$6="","",IF(BM$3="Maior",iferror(VLOOKUP($R343,Capa!$A:$AJ,BM$5,0),0),IF(ISERROR(1/VLOOKUP($R343,Capa!$A:$AJ,BM$5,0)),0,1/VLOOKUP($R343,Capa!$A:$AJ,BM$5,0))))</f>
        <v/>
      </c>
      <c r="BN343" s="174" t="str">
        <f>IF(BN$6="","",IF(BN$3="Maior",iferror(VLOOKUP($R343,Capa!$A:$AJ,BN$5,0),0),IF(ISERROR(1/VLOOKUP($R343,Capa!$A:$AJ,BN$5,0)),0,1/VLOOKUP($R343,Capa!$A:$AJ,BN$5,0))))</f>
        <v/>
      </c>
      <c r="BO343" s="174" t="str">
        <f>IF(BO$6="","",IF(BO$3="Maior",iferror(VLOOKUP($R343,Capa!$A:$AJ,BO$5,0),0),IF(ISERROR(1/VLOOKUP($R343,Capa!$A:$AJ,BO$5,0)),0,1/VLOOKUP($R343,Capa!$A:$AJ,BO$5,0))))</f>
        <v/>
      </c>
      <c r="BP343" s="174" t="str">
        <f>IF(BP$6="","",IF(BP$3="Maior",iferror(VLOOKUP($R343,Capa!$A:$AJ,BP$5,0),0),IF(ISERROR(1/VLOOKUP($R343,Capa!$A:$AJ,BP$5,0)),0,1/VLOOKUP($R343,Capa!$A:$AJ,BP$5,0))))</f>
        <v/>
      </c>
      <c r="BQ343" s="174" t="str">
        <f>IF(BQ$6="","",IF(BQ$3="Maior",iferror(VLOOKUP($R343,Capa!$A:$AJ,BQ$5,0),0),IF(ISERROR(1/VLOOKUP($R343,Capa!$A:$AJ,BQ$5,0)),0,1/VLOOKUP($R343,Capa!$A:$AJ,BQ$5,0))))</f>
        <v/>
      </c>
      <c r="BR343" s="175"/>
      <c r="BS343" s="147"/>
    </row>
    <row r="344">
      <c r="G344" s="11"/>
      <c r="H344" s="8">
        <v>338.0</v>
      </c>
      <c r="I344" s="165" t="str">
        <f t="shared" si="6"/>
        <v>AALR3</v>
      </c>
      <c r="J344" s="167" t="str">
        <f>(VLOOKUP($I344,Capa!$A:$B,2,0))</f>
        <v>#N/A</v>
      </c>
      <c r="K344" s="167" t="str">
        <f>VLOOKUP(left(I344,4),Setor!A:D,3,0)&amp;" | "&amp;VLOOKUP(left(I344,4),Setor!A:D,4,0)</f>
        <v>Saúde | Análises e Diagnósticos</v>
      </c>
      <c r="L344" s="10" t="str">
        <f>(VLOOKUP($I344,Capa!$A:$F,6,0))</f>
        <v>#N/A</v>
      </c>
      <c r="M344" s="168">
        <f t="shared" si="7"/>
        <v>233843</v>
      </c>
      <c r="N344" s="11" t="str">
        <f>(VLOOKUP($I344,Capa!$A:$H,7,0))</f>
        <v>#N/A</v>
      </c>
      <c r="O344" s="11" t="str">
        <f>(VLOOKUP($I344,Capa!$A:$H,8,0))</f>
        <v>#N/A</v>
      </c>
      <c r="P344" s="11" t="str">
        <f>(VLOOKUP($I344,Capa!$A:$J,10,0))</f>
        <v>#N/A</v>
      </c>
      <c r="Q344" s="11" t="str">
        <f>(VLOOKUP($I344,Capa!$A:$K,11,0))</f>
        <v>#N/A</v>
      </c>
      <c r="R344" s="45" t="str">
        <f>'Dados StatusInvest'!A339</f>
        <v>ITUB4</v>
      </c>
      <c r="S344" s="170">
        <f t="shared" si="234"/>
        <v>699.0699</v>
      </c>
      <c r="T344" s="171">
        <f>VLOOKUP(R344,'Dados StatusInvest'!A:Z,26,0)</f>
        <v>1650000000</v>
      </c>
      <c r="U344" s="172">
        <f t="shared" ref="U344:AS344" si="347">IF(AT344="","", RANK(AT344,AT$7:AT$626,0)+RANK(AT344,AT$7:AT$626,0)/10000)</f>
        <v>556.0556</v>
      </c>
      <c r="V344" s="172">
        <f t="shared" si="347"/>
        <v>143.0143</v>
      </c>
      <c r="W344" s="172" t="str">
        <f t="shared" si="347"/>
        <v/>
      </c>
      <c r="X344" s="172" t="str">
        <f t="shared" si="347"/>
        <v/>
      </c>
      <c r="Y344" s="172" t="str">
        <f t="shared" si="347"/>
        <v/>
      </c>
      <c r="Z344" s="172" t="str">
        <f t="shared" si="347"/>
        <v/>
      </c>
      <c r="AA344" s="172" t="str">
        <f t="shared" si="347"/>
        <v/>
      </c>
      <c r="AB344" s="172" t="str">
        <f t="shared" si="347"/>
        <v/>
      </c>
      <c r="AC344" s="172" t="str">
        <f t="shared" si="347"/>
        <v/>
      </c>
      <c r="AD344" s="172" t="str">
        <f t="shared" si="347"/>
        <v/>
      </c>
      <c r="AE344" s="172" t="str">
        <f t="shared" si="347"/>
        <v/>
      </c>
      <c r="AF344" s="172" t="str">
        <f t="shared" si="347"/>
        <v/>
      </c>
      <c r="AG344" s="172" t="str">
        <f t="shared" si="347"/>
        <v/>
      </c>
      <c r="AH344" s="172" t="str">
        <f t="shared" si="347"/>
        <v/>
      </c>
      <c r="AI344" s="172" t="str">
        <f t="shared" si="347"/>
        <v/>
      </c>
      <c r="AJ344" s="172" t="str">
        <f t="shared" si="347"/>
        <v/>
      </c>
      <c r="AK344" s="172" t="str">
        <f t="shared" si="347"/>
        <v/>
      </c>
      <c r="AL344" s="172" t="str">
        <f t="shared" si="347"/>
        <v/>
      </c>
      <c r="AM344" s="172" t="str">
        <f t="shared" si="347"/>
        <v/>
      </c>
      <c r="AN344" s="172" t="str">
        <f t="shared" si="347"/>
        <v/>
      </c>
      <c r="AO344" s="172" t="str">
        <f t="shared" si="347"/>
        <v/>
      </c>
      <c r="AP344" s="172" t="str">
        <f t="shared" si="347"/>
        <v/>
      </c>
      <c r="AQ344" s="172" t="str">
        <f t="shared" si="347"/>
        <v/>
      </c>
      <c r="AR344" s="172" t="str">
        <f t="shared" si="347"/>
        <v/>
      </c>
      <c r="AS344" s="172" t="str">
        <f t="shared" si="347"/>
        <v/>
      </c>
      <c r="AT344" s="173">
        <f>IF(AT$6="","",IF(AT$3="Maior",iferror(VLOOKUP($R344,Capa!$A:$AJ,AT$5,0),0),IF(ISERROR(1/VLOOKUP($R344,Capa!$A:$AJ,AT$5,0)),0,1/VLOOKUP($R344,Capa!$A:$AJ,AT$5,0))))</f>
        <v>-6.07140624</v>
      </c>
      <c r="AU344" s="174">
        <f>IF(AU$6="","",IF(AU$3="Maior",iferror(VLOOKUP($R344,Capa!$A:$AJ,AU$5,0),0),IF(ISERROR(1/VLOOKUP($R344,Capa!$A:$AJ,AU$5,0)),0,1/VLOOKUP($R344,Capa!$A:$AJ,AU$5,0))))</f>
        <v>18.88</v>
      </c>
      <c r="AV344" s="174" t="str">
        <f>IF(AV$6="","",IF(AV$3="Maior",iferror(VLOOKUP($R344,Capa!$A:$AJ,AV$5,0),0),IF(ISERROR(1/VLOOKUP($R344,Capa!$A:$AJ,AV$5,0)),0,1/VLOOKUP($R344,Capa!$A:$AJ,AV$5,0))))</f>
        <v/>
      </c>
      <c r="AW344" s="174" t="str">
        <f>IF(AW$6="","",IF(AW$3="Maior",iferror(VLOOKUP($R344,Capa!$A:$AJ,AW$5,0),0),IF(ISERROR(1/VLOOKUP($R344,Capa!$A:$AJ,AW$5,0)),0,1/VLOOKUP($R344,Capa!$A:$AJ,AW$5,0))))</f>
        <v/>
      </c>
      <c r="AX344" s="174" t="str">
        <f>IF(AX$6="","",IF(AX$3="Maior",iferror(VLOOKUP($R344,Capa!$A:$AJ,AX$5,0),0),IF(ISERROR(1/VLOOKUP($R344,Capa!$A:$AJ,AX$5,0)),0,1/VLOOKUP($R344,Capa!$A:$AJ,AX$5,0))))</f>
        <v/>
      </c>
      <c r="AY344" s="174" t="str">
        <f>IF(AY$6="","",IF(AY$3="Maior",iferror(VLOOKUP($R344,Capa!$A:$AJ,AY$5,0),0),IF(ISERROR(1/VLOOKUP($R344,Capa!$A:$AJ,AY$5,0)),0,1/VLOOKUP($R344,Capa!$A:$AJ,AY$5,0))))</f>
        <v/>
      </c>
      <c r="AZ344" s="174" t="str">
        <f>IF(AZ$6="","",IF(AZ$3="Maior",iferror(VLOOKUP($R344,Capa!$A:$AJ,AZ$5,0),0),IF(ISERROR(1/VLOOKUP($R344,Capa!$A:$AJ,AZ$5,0)),0,1/VLOOKUP($R344,Capa!$A:$AJ,AZ$5,0))))</f>
        <v/>
      </c>
      <c r="BA344" s="174" t="str">
        <f>IF(BA$6="","",IF(BA$3="Maior",iferror(VLOOKUP($R344,Capa!$A:$AJ,BA$5,0),0),IF(ISERROR(1/VLOOKUP($R344,Capa!$A:$AJ,BA$5,0)),0,1/VLOOKUP($R344,Capa!$A:$AJ,BA$5,0))))</f>
        <v/>
      </c>
      <c r="BB344" s="174" t="str">
        <f>IF(BB$6="","",IF(BB$3="Maior",iferror(VLOOKUP($R344,Capa!$A:$AJ,BB$5,0),0),IF(ISERROR(1/VLOOKUP($R344,Capa!$A:$AJ,BB$5,0)),0,1/VLOOKUP($R344,Capa!$A:$AJ,BB$5,0))))</f>
        <v/>
      </c>
      <c r="BC344" s="174" t="str">
        <f>IF(BC$6="","",IF(BC$3="Maior",iferror(VLOOKUP($R344,Capa!$A:$AJ,BC$5,0),0),IF(ISERROR(1/VLOOKUP($R344,Capa!$A:$AJ,BC$5,0)),0,1/VLOOKUP($R344,Capa!$A:$AJ,BC$5,0))))</f>
        <v/>
      </c>
      <c r="BD344" s="174" t="str">
        <f>IF(BD$6="","",IF(BD$3="Maior",iferror(VLOOKUP($R344,Capa!$A:$AJ,BD$5,0),0),IF(ISERROR(1/VLOOKUP($R344,Capa!$A:$AJ,BD$5,0)),0,1/VLOOKUP($R344,Capa!$A:$AJ,BD$5,0))))</f>
        <v/>
      </c>
      <c r="BE344" s="174" t="str">
        <f>IF(BE$6="","",IF(BE$3="Maior",iferror(VLOOKUP($R344,Capa!$A:$AJ,BE$5,0),0),IF(ISERROR(1/VLOOKUP($R344,Capa!$A:$AJ,BE$5,0)),0,1/VLOOKUP($R344,Capa!$A:$AJ,BE$5,0))))</f>
        <v/>
      </c>
      <c r="BF344" s="174" t="str">
        <f>IF(BF$6="","",IF(BF$3="Maior",iferror(VLOOKUP($R344,Capa!$A:$AJ,BF$5,0),0),IF(ISERROR(1/VLOOKUP($R344,Capa!$A:$AJ,BF$5,0)),0,1/VLOOKUP($R344,Capa!$A:$AJ,BF$5,0))))</f>
        <v/>
      </c>
      <c r="BG344" s="174" t="str">
        <f>IF(BG$6="","",IF(BG$3="Maior",iferror(VLOOKUP($R344,Capa!$A:$AJ,BG$5,0),0),IF(ISERROR(1/VLOOKUP($R344,Capa!$A:$AJ,BG$5,0)),0,1/VLOOKUP($R344,Capa!$A:$AJ,BG$5,0))))</f>
        <v/>
      </c>
      <c r="BH344" s="174" t="str">
        <f>IF(BH$6="","",IF(BH$3="Maior",iferror(VLOOKUP($R344,Capa!$A:$AJ,BH$5,0),0),IF(ISERROR(1/VLOOKUP($R344,Capa!$A:$AJ,BH$5,0)),0,1/VLOOKUP($R344,Capa!$A:$AJ,BH$5,0))))</f>
        <v/>
      </c>
      <c r="BI344" s="174" t="str">
        <f>IF(BI$6="","",IF(BI$3="Maior",iferror(VLOOKUP($R344,Capa!$A:$AJ,BI$5,0),0),IF(ISERROR(1/VLOOKUP($R344,Capa!$A:$AJ,BI$5,0)),0,1/VLOOKUP($R344,Capa!$A:$AJ,BI$5,0))))</f>
        <v/>
      </c>
      <c r="BJ344" s="174" t="str">
        <f>IF(BJ$6="","",IF(BJ$3="Maior",iferror(VLOOKUP($R344,Capa!$A:$AJ,BJ$5,0),0),IF(ISERROR(1/VLOOKUP($R344,Capa!$A:$AJ,BJ$5,0)),0,1/VLOOKUP($R344,Capa!$A:$AJ,BJ$5,0))))</f>
        <v/>
      </c>
      <c r="BK344" s="174" t="str">
        <f>IF(BK$6="","",IF(BK$3="Maior",iferror(VLOOKUP($R344,Capa!$A:$AJ,BK$5,0),0),IF(ISERROR(1/VLOOKUP($R344,Capa!$A:$AJ,BK$5,0)),0,1/VLOOKUP($R344,Capa!$A:$AJ,BK$5,0))))</f>
        <v/>
      </c>
      <c r="BL344" s="174" t="str">
        <f>IF(BL$6="","",IF(BL$3="Maior",iferror(VLOOKUP($R344,Capa!$A:$AJ,BL$5,0),0),IF(ISERROR(1/VLOOKUP($R344,Capa!$A:$AJ,BL$5,0)),0,1/VLOOKUP($R344,Capa!$A:$AJ,BL$5,0))))</f>
        <v/>
      </c>
      <c r="BM344" s="174" t="str">
        <f>IF(BM$6="","",IF(BM$3="Maior",iferror(VLOOKUP($R344,Capa!$A:$AJ,BM$5,0),0),IF(ISERROR(1/VLOOKUP($R344,Capa!$A:$AJ,BM$5,0)),0,1/VLOOKUP($R344,Capa!$A:$AJ,BM$5,0))))</f>
        <v/>
      </c>
      <c r="BN344" s="174" t="str">
        <f>IF(BN$6="","",IF(BN$3="Maior",iferror(VLOOKUP($R344,Capa!$A:$AJ,BN$5,0),0),IF(ISERROR(1/VLOOKUP($R344,Capa!$A:$AJ,BN$5,0)),0,1/VLOOKUP($R344,Capa!$A:$AJ,BN$5,0))))</f>
        <v/>
      </c>
      <c r="BO344" s="174" t="str">
        <f>IF(BO$6="","",IF(BO$3="Maior",iferror(VLOOKUP($R344,Capa!$A:$AJ,BO$5,0),0),IF(ISERROR(1/VLOOKUP($R344,Capa!$A:$AJ,BO$5,0)),0,1/VLOOKUP($R344,Capa!$A:$AJ,BO$5,0))))</f>
        <v/>
      </c>
      <c r="BP344" s="174" t="str">
        <f>IF(BP$6="","",IF(BP$3="Maior",iferror(VLOOKUP($R344,Capa!$A:$AJ,BP$5,0),0),IF(ISERROR(1/VLOOKUP($R344,Capa!$A:$AJ,BP$5,0)),0,1/VLOOKUP($R344,Capa!$A:$AJ,BP$5,0))))</f>
        <v/>
      </c>
      <c r="BQ344" s="174" t="str">
        <f>IF(BQ$6="","",IF(BQ$3="Maior",iferror(VLOOKUP($R344,Capa!$A:$AJ,BQ$5,0),0),IF(ISERROR(1/VLOOKUP($R344,Capa!$A:$AJ,BQ$5,0)),0,1/VLOOKUP($R344,Capa!$A:$AJ,BQ$5,0))))</f>
        <v/>
      </c>
      <c r="BR344" s="175"/>
      <c r="BS344" s="147"/>
    </row>
    <row r="345">
      <c r="G345" s="11"/>
      <c r="H345" s="8">
        <v>339.0</v>
      </c>
      <c r="I345" s="165" t="str">
        <f t="shared" si="6"/>
        <v>AALR3</v>
      </c>
      <c r="J345" s="167" t="str">
        <f>(VLOOKUP($I345,Capa!$A:$B,2,0))</f>
        <v>#N/A</v>
      </c>
      <c r="K345" s="167" t="str">
        <f>VLOOKUP(left(I345,4),Setor!A:D,3,0)&amp;" | "&amp;VLOOKUP(left(I345,4),Setor!A:D,4,0)</f>
        <v>Saúde | Análises e Diagnósticos</v>
      </c>
      <c r="L345" s="10" t="str">
        <f>(VLOOKUP($I345,Capa!$A:$F,6,0))</f>
        <v>#N/A</v>
      </c>
      <c r="M345" s="168">
        <f t="shared" si="7"/>
        <v>233843</v>
      </c>
      <c r="N345" s="11" t="str">
        <f>(VLOOKUP($I345,Capa!$A:$H,7,0))</f>
        <v>#N/A</v>
      </c>
      <c r="O345" s="11" t="str">
        <f>(VLOOKUP($I345,Capa!$A:$H,8,0))</f>
        <v>#N/A</v>
      </c>
      <c r="P345" s="11" t="str">
        <f>(VLOOKUP($I345,Capa!$A:$J,10,0))</f>
        <v>#N/A</v>
      </c>
      <c r="Q345" s="11" t="str">
        <f>(VLOOKUP($I345,Capa!$A:$K,11,0))</f>
        <v>#N/A</v>
      </c>
      <c r="R345" s="45" t="str">
        <f>'Dados StatusInvest'!A340</f>
        <v>JALL3</v>
      </c>
      <c r="S345" s="170">
        <f t="shared" si="234"/>
        <v>809.0809</v>
      </c>
      <c r="T345" s="171">
        <f>VLOOKUP(R345,'Dados StatusInvest'!A:Z,26,0)</f>
        <v>4181944</v>
      </c>
      <c r="U345" s="172">
        <f t="shared" ref="U345:AS345" si="348">IF(AT345="","", RANK(AT345,AT$7:AT$626,0)+RANK(AT345,AT$7:AT$626,0)/10000)</f>
        <v>542.0542</v>
      </c>
      <c r="V345" s="172">
        <f t="shared" si="348"/>
        <v>267.0267</v>
      </c>
      <c r="W345" s="172" t="str">
        <f t="shared" si="348"/>
        <v/>
      </c>
      <c r="X345" s="172" t="str">
        <f t="shared" si="348"/>
        <v/>
      </c>
      <c r="Y345" s="172" t="str">
        <f t="shared" si="348"/>
        <v/>
      </c>
      <c r="Z345" s="172" t="str">
        <f t="shared" si="348"/>
        <v/>
      </c>
      <c r="AA345" s="172" t="str">
        <f t="shared" si="348"/>
        <v/>
      </c>
      <c r="AB345" s="172" t="str">
        <f t="shared" si="348"/>
        <v/>
      </c>
      <c r="AC345" s="172" t="str">
        <f t="shared" si="348"/>
        <v/>
      </c>
      <c r="AD345" s="172" t="str">
        <f t="shared" si="348"/>
        <v/>
      </c>
      <c r="AE345" s="172" t="str">
        <f t="shared" si="348"/>
        <v/>
      </c>
      <c r="AF345" s="172" t="str">
        <f t="shared" si="348"/>
        <v/>
      </c>
      <c r="AG345" s="172" t="str">
        <f t="shared" si="348"/>
        <v/>
      </c>
      <c r="AH345" s="172" t="str">
        <f t="shared" si="348"/>
        <v/>
      </c>
      <c r="AI345" s="172" t="str">
        <f t="shared" si="348"/>
        <v/>
      </c>
      <c r="AJ345" s="172" t="str">
        <f t="shared" si="348"/>
        <v/>
      </c>
      <c r="AK345" s="172" t="str">
        <f t="shared" si="348"/>
        <v/>
      </c>
      <c r="AL345" s="172" t="str">
        <f t="shared" si="348"/>
        <v/>
      </c>
      <c r="AM345" s="172" t="str">
        <f t="shared" si="348"/>
        <v/>
      </c>
      <c r="AN345" s="172" t="str">
        <f t="shared" si="348"/>
        <v/>
      </c>
      <c r="AO345" s="172" t="str">
        <f t="shared" si="348"/>
        <v/>
      </c>
      <c r="AP345" s="172" t="str">
        <f t="shared" si="348"/>
        <v/>
      </c>
      <c r="AQ345" s="172" t="str">
        <f t="shared" si="348"/>
        <v/>
      </c>
      <c r="AR345" s="172" t="str">
        <f t="shared" si="348"/>
        <v/>
      </c>
      <c r="AS345" s="172" t="str">
        <f t="shared" si="348"/>
        <v/>
      </c>
      <c r="AT345" s="173">
        <f>IF(AT$6="","",IF(AT$3="Maior",iferror(VLOOKUP($R345,Capa!$A:$AJ,AT$5,0),0),IF(ISERROR(1/VLOOKUP($R345,Capa!$A:$AJ,AT$5,0)),0,1/VLOOKUP($R345,Capa!$A:$AJ,AT$5,0))))</f>
        <v>-4.828562441</v>
      </c>
      <c r="AU345" s="174">
        <f>IF(AU$6="","",IF(AU$3="Maior",iferror(VLOOKUP($R345,Capa!$A:$AJ,AU$5,0),0),IF(ISERROR(1/VLOOKUP($R345,Capa!$A:$AJ,AU$5,0)),0,1/VLOOKUP($R345,Capa!$A:$AJ,AU$5,0))))</f>
        <v>0</v>
      </c>
      <c r="AV345" s="174" t="str">
        <f>IF(AV$6="","",IF(AV$3="Maior",iferror(VLOOKUP($R345,Capa!$A:$AJ,AV$5,0),0),IF(ISERROR(1/VLOOKUP($R345,Capa!$A:$AJ,AV$5,0)),0,1/VLOOKUP($R345,Capa!$A:$AJ,AV$5,0))))</f>
        <v/>
      </c>
      <c r="AW345" s="174" t="str">
        <f>IF(AW$6="","",IF(AW$3="Maior",iferror(VLOOKUP($R345,Capa!$A:$AJ,AW$5,0),0),IF(ISERROR(1/VLOOKUP($R345,Capa!$A:$AJ,AW$5,0)),0,1/VLOOKUP($R345,Capa!$A:$AJ,AW$5,0))))</f>
        <v/>
      </c>
      <c r="AX345" s="174" t="str">
        <f>IF(AX$6="","",IF(AX$3="Maior",iferror(VLOOKUP($R345,Capa!$A:$AJ,AX$5,0),0),IF(ISERROR(1/VLOOKUP($R345,Capa!$A:$AJ,AX$5,0)),0,1/VLOOKUP($R345,Capa!$A:$AJ,AX$5,0))))</f>
        <v/>
      </c>
      <c r="AY345" s="174" t="str">
        <f>IF(AY$6="","",IF(AY$3="Maior",iferror(VLOOKUP($R345,Capa!$A:$AJ,AY$5,0),0),IF(ISERROR(1/VLOOKUP($R345,Capa!$A:$AJ,AY$5,0)),0,1/VLOOKUP($R345,Capa!$A:$AJ,AY$5,0))))</f>
        <v/>
      </c>
      <c r="AZ345" s="174" t="str">
        <f>IF(AZ$6="","",IF(AZ$3="Maior",iferror(VLOOKUP($R345,Capa!$A:$AJ,AZ$5,0),0),IF(ISERROR(1/VLOOKUP($R345,Capa!$A:$AJ,AZ$5,0)),0,1/VLOOKUP($R345,Capa!$A:$AJ,AZ$5,0))))</f>
        <v/>
      </c>
      <c r="BA345" s="174" t="str">
        <f>IF(BA$6="","",IF(BA$3="Maior",iferror(VLOOKUP($R345,Capa!$A:$AJ,BA$5,0),0),IF(ISERROR(1/VLOOKUP($R345,Capa!$A:$AJ,BA$5,0)),0,1/VLOOKUP($R345,Capa!$A:$AJ,BA$5,0))))</f>
        <v/>
      </c>
      <c r="BB345" s="174" t="str">
        <f>IF(BB$6="","",IF(BB$3="Maior",iferror(VLOOKUP($R345,Capa!$A:$AJ,BB$5,0),0),IF(ISERROR(1/VLOOKUP($R345,Capa!$A:$AJ,BB$5,0)),0,1/VLOOKUP($R345,Capa!$A:$AJ,BB$5,0))))</f>
        <v/>
      </c>
      <c r="BC345" s="174" t="str">
        <f>IF(BC$6="","",IF(BC$3="Maior",iferror(VLOOKUP($R345,Capa!$A:$AJ,BC$5,0),0),IF(ISERROR(1/VLOOKUP($R345,Capa!$A:$AJ,BC$5,0)),0,1/VLOOKUP($R345,Capa!$A:$AJ,BC$5,0))))</f>
        <v/>
      </c>
      <c r="BD345" s="174" t="str">
        <f>IF(BD$6="","",IF(BD$3="Maior",iferror(VLOOKUP($R345,Capa!$A:$AJ,BD$5,0),0),IF(ISERROR(1/VLOOKUP($R345,Capa!$A:$AJ,BD$5,0)),0,1/VLOOKUP($R345,Capa!$A:$AJ,BD$5,0))))</f>
        <v/>
      </c>
      <c r="BE345" s="174" t="str">
        <f>IF(BE$6="","",IF(BE$3="Maior",iferror(VLOOKUP($R345,Capa!$A:$AJ,BE$5,0),0),IF(ISERROR(1/VLOOKUP($R345,Capa!$A:$AJ,BE$5,0)),0,1/VLOOKUP($R345,Capa!$A:$AJ,BE$5,0))))</f>
        <v/>
      </c>
      <c r="BF345" s="174" t="str">
        <f>IF(BF$6="","",IF(BF$3="Maior",iferror(VLOOKUP($R345,Capa!$A:$AJ,BF$5,0),0),IF(ISERROR(1/VLOOKUP($R345,Capa!$A:$AJ,BF$5,0)),0,1/VLOOKUP($R345,Capa!$A:$AJ,BF$5,0))))</f>
        <v/>
      </c>
      <c r="BG345" s="174" t="str">
        <f>IF(BG$6="","",IF(BG$3="Maior",iferror(VLOOKUP($R345,Capa!$A:$AJ,BG$5,0),0),IF(ISERROR(1/VLOOKUP($R345,Capa!$A:$AJ,BG$5,0)),0,1/VLOOKUP($R345,Capa!$A:$AJ,BG$5,0))))</f>
        <v/>
      </c>
      <c r="BH345" s="174" t="str">
        <f>IF(BH$6="","",IF(BH$3="Maior",iferror(VLOOKUP($R345,Capa!$A:$AJ,BH$5,0),0),IF(ISERROR(1/VLOOKUP($R345,Capa!$A:$AJ,BH$5,0)),0,1/VLOOKUP($R345,Capa!$A:$AJ,BH$5,0))))</f>
        <v/>
      </c>
      <c r="BI345" s="174" t="str">
        <f>IF(BI$6="","",IF(BI$3="Maior",iferror(VLOOKUP($R345,Capa!$A:$AJ,BI$5,0),0),IF(ISERROR(1/VLOOKUP($R345,Capa!$A:$AJ,BI$5,0)),0,1/VLOOKUP($R345,Capa!$A:$AJ,BI$5,0))))</f>
        <v/>
      </c>
      <c r="BJ345" s="174" t="str">
        <f>IF(BJ$6="","",IF(BJ$3="Maior",iferror(VLOOKUP($R345,Capa!$A:$AJ,BJ$5,0),0),IF(ISERROR(1/VLOOKUP($R345,Capa!$A:$AJ,BJ$5,0)),0,1/VLOOKUP($R345,Capa!$A:$AJ,BJ$5,0))))</f>
        <v/>
      </c>
      <c r="BK345" s="174" t="str">
        <f>IF(BK$6="","",IF(BK$3="Maior",iferror(VLOOKUP($R345,Capa!$A:$AJ,BK$5,0),0),IF(ISERROR(1/VLOOKUP($R345,Capa!$A:$AJ,BK$5,0)),0,1/VLOOKUP($R345,Capa!$A:$AJ,BK$5,0))))</f>
        <v/>
      </c>
      <c r="BL345" s="174" t="str">
        <f>IF(BL$6="","",IF(BL$3="Maior",iferror(VLOOKUP($R345,Capa!$A:$AJ,BL$5,0),0),IF(ISERROR(1/VLOOKUP($R345,Capa!$A:$AJ,BL$5,0)),0,1/VLOOKUP($R345,Capa!$A:$AJ,BL$5,0))))</f>
        <v/>
      </c>
      <c r="BM345" s="174" t="str">
        <f>IF(BM$6="","",IF(BM$3="Maior",iferror(VLOOKUP($R345,Capa!$A:$AJ,BM$5,0),0),IF(ISERROR(1/VLOOKUP($R345,Capa!$A:$AJ,BM$5,0)),0,1/VLOOKUP($R345,Capa!$A:$AJ,BM$5,0))))</f>
        <v/>
      </c>
      <c r="BN345" s="174" t="str">
        <f>IF(BN$6="","",IF(BN$3="Maior",iferror(VLOOKUP($R345,Capa!$A:$AJ,BN$5,0),0),IF(ISERROR(1/VLOOKUP($R345,Capa!$A:$AJ,BN$5,0)),0,1/VLOOKUP($R345,Capa!$A:$AJ,BN$5,0))))</f>
        <v/>
      </c>
      <c r="BO345" s="174" t="str">
        <f>IF(BO$6="","",IF(BO$3="Maior",iferror(VLOOKUP($R345,Capa!$A:$AJ,BO$5,0),0),IF(ISERROR(1/VLOOKUP($R345,Capa!$A:$AJ,BO$5,0)),0,1/VLOOKUP($R345,Capa!$A:$AJ,BO$5,0))))</f>
        <v/>
      </c>
      <c r="BP345" s="174" t="str">
        <f>IF(BP$6="","",IF(BP$3="Maior",iferror(VLOOKUP($R345,Capa!$A:$AJ,BP$5,0),0),IF(ISERROR(1/VLOOKUP($R345,Capa!$A:$AJ,BP$5,0)),0,1/VLOOKUP($R345,Capa!$A:$AJ,BP$5,0))))</f>
        <v/>
      </c>
      <c r="BQ345" s="174" t="str">
        <f>IF(BQ$6="","",IF(BQ$3="Maior",iferror(VLOOKUP($R345,Capa!$A:$AJ,BQ$5,0),0),IF(ISERROR(1/VLOOKUP($R345,Capa!$A:$AJ,BQ$5,0)),0,1/VLOOKUP($R345,Capa!$A:$AJ,BQ$5,0))))</f>
        <v/>
      </c>
      <c r="BR345" s="175"/>
      <c r="BS345" s="147"/>
    </row>
    <row r="346">
      <c r="G346" s="11"/>
      <c r="H346" s="8">
        <v>340.0</v>
      </c>
      <c r="I346" s="165" t="str">
        <f t="shared" si="6"/>
        <v>AALR3</v>
      </c>
      <c r="J346" s="167" t="str">
        <f>(VLOOKUP($I346,Capa!$A:$B,2,0))</f>
        <v>#N/A</v>
      </c>
      <c r="K346" s="167" t="str">
        <f>VLOOKUP(left(I346,4),Setor!A:D,3,0)&amp;" | "&amp;VLOOKUP(left(I346,4),Setor!A:D,4,0)</f>
        <v>Saúde | Análises e Diagnósticos</v>
      </c>
      <c r="L346" s="10" t="str">
        <f>(VLOOKUP($I346,Capa!$A:$F,6,0))</f>
        <v>#N/A</v>
      </c>
      <c r="M346" s="168">
        <f t="shared" si="7"/>
        <v>233843</v>
      </c>
      <c r="N346" s="11" t="str">
        <f>(VLOOKUP($I346,Capa!$A:$H,7,0))</f>
        <v>#N/A</v>
      </c>
      <c r="O346" s="11" t="str">
        <f>(VLOOKUP($I346,Capa!$A:$H,8,0))</f>
        <v>#N/A</v>
      </c>
      <c r="P346" s="11" t="str">
        <f>(VLOOKUP($I346,Capa!$A:$J,10,0))</f>
        <v>#N/A</v>
      </c>
      <c r="Q346" s="11" t="str">
        <f>(VLOOKUP($I346,Capa!$A:$K,11,0))</f>
        <v>#N/A</v>
      </c>
      <c r="R346" s="45" t="str">
        <f>'Dados StatusInvest'!A341</f>
        <v>JBSS3</v>
      </c>
      <c r="S346" s="170">
        <f t="shared" si="234"/>
        <v>425.0425</v>
      </c>
      <c r="T346" s="171">
        <f>VLOOKUP(R346,'Dados StatusInvest'!A:Z,26,0)</f>
        <v>80878878</v>
      </c>
      <c r="U346" s="172">
        <f t="shared" ref="U346:AS346" si="349">IF(AT346="","", RANK(AT346,AT$7:AT$626,0)+RANK(AT346,AT$7:AT$626,0)/10000)</f>
        <v>239.0239</v>
      </c>
      <c r="V346" s="172">
        <f t="shared" si="349"/>
        <v>186.0186</v>
      </c>
      <c r="W346" s="172" t="str">
        <f t="shared" si="349"/>
        <v/>
      </c>
      <c r="X346" s="172" t="str">
        <f t="shared" si="349"/>
        <v/>
      </c>
      <c r="Y346" s="172" t="str">
        <f t="shared" si="349"/>
        <v/>
      </c>
      <c r="Z346" s="172" t="str">
        <f t="shared" si="349"/>
        <v/>
      </c>
      <c r="AA346" s="172" t="str">
        <f t="shared" si="349"/>
        <v/>
      </c>
      <c r="AB346" s="172" t="str">
        <f t="shared" si="349"/>
        <v/>
      </c>
      <c r="AC346" s="172" t="str">
        <f t="shared" si="349"/>
        <v/>
      </c>
      <c r="AD346" s="172" t="str">
        <f t="shared" si="349"/>
        <v/>
      </c>
      <c r="AE346" s="172" t="str">
        <f t="shared" si="349"/>
        <v/>
      </c>
      <c r="AF346" s="172" t="str">
        <f t="shared" si="349"/>
        <v/>
      </c>
      <c r="AG346" s="172" t="str">
        <f t="shared" si="349"/>
        <v/>
      </c>
      <c r="AH346" s="172" t="str">
        <f t="shared" si="349"/>
        <v/>
      </c>
      <c r="AI346" s="172" t="str">
        <f t="shared" si="349"/>
        <v/>
      </c>
      <c r="AJ346" s="172" t="str">
        <f t="shared" si="349"/>
        <v/>
      </c>
      <c r="AK346" s="172" t="str">
        <f t="shared" si="349"/>
        <v/>
      </c>
      <c r="AL346" s="172" t="str">
        <f t="shared" si="349"/>
        <v/>
      </c>
      <c r="AM346" s="172" t="str">
        <f t="shared" si="349"/>
        <v/>
      </c>
      <c r="AN346" s="172" t="str">
        <f t="shared" si="349"/>
        <v/>
      </c>
      <c r="AO346" s="172" t="str">
        <f t="shared" si="349"/>
        <v/>
      </c>
      <c r="AP346" s="172" t="str">
        <f t="shared" si="349"/>
        <v/>
      </c>
      <c r="AQ346" s="172" t="str">
        <f t="shared" si="349"/>
        <v/>
      </c>
      <c r="AR346" s="172" t="str">
        <f t="shared" si="349"/>
        <v/>
      </c>
      <c r="AS346" s="172" t="str">
        <f t="shared" si="349"/>
        <v/>
      </c>
      <c r="AT346" s="173">
        <f>IF(AT$6="","",IF(AT$3="Maior",iferror(VLOOKUP($R346,Capa!$A:$AJ,AT$5,0),0),IF(ISERROR(1/VLOOKUP($R346,Capa!$A:$AJ,AT$5,0)),0,1/VLOOKUP($R346,Capa!$A:$AJ,AT$5,0))))</f>
        <v>-0.4504504505</v>
      </c>
      <c r="AU346" s="174">
        <f>IF(AU$6="","",IF(AU$3="Maior",iferror(VLOOKUP($R346,Capa!$A:$AJ,AU$5,0),0),IF(ISERROR(1/VLOOKUP($R346,Capa!$A:$AJ,AU$5,0)),0,1/VLOOKUP($R346,Capa!$A:$AJ,AU$5,0))))</f>
        <v>13.7</v>
      </c>
      <c r="AV346" s="174" t="str">
        <f>IF(AV$6="","",IF(AV$3="Maior",iferror(VLOOKUP($R346,Capa!$A:$AJ,AV$5,0),0),IF(ISERROR(1/VLOOKUP($R346,Capa!$A:$AJ,AV$5,0)),0,1/VLOOKUP($R346,Capa!$A:$AJ,AV$5,0))))</f>
        <v/>
      </c>
      <c r="AW346" s="174" t="str">
        <f>IF(AW$6="","",IF(AW$3="Maior",iferror(VLOOKUP($R346,Capa!$A:$AJ,AW$5,0),0),IF(ISERROR(1/VLOOKUP($R346,Capa!$A:$AJ,AW$5,0)),0,1/VLOOKUP($R346,Capa!$A:$AJ,AW$5,0))))</f>
        <v/>
      </c>
      <c r="AX346" s="174" t="str">
        <f>IF(AX$6="","",IF(AX$3="Maior",iferror(VLOOKUP($R346,Capa!$A:$AJ,AX$5,0),0),IF(ISERROR(1/VLOOKUP($R346,Capa!$A:$AJ,AX$5,0)),0,1/VLOOKUP($R346,Capa!$A:$AJ,AX$5,0))))</f>
        <v/>
      </c>
      <c r="AY346" s="174" t="str">
        <f>IF(AY$6="","",IF(AY$3="Maior",iferror(VLOOKUP($R346,Capa!$A:$AJ,AY$5,0),0),IF(ISERROR(1/VLOOKUP($R346,Capa!$A:$AJ,AY$5,0)),0,1/VLOOKUP($R346,Capa!$A:$AJ,AY$5,0))))</f>
        <v/>
      </c>
      <c r="AZ346" s="174" t="str">
        <f>IF(AZ$6="","",IF(AZ$3="Maior",iferror(VLOOKUP($R346,Capa!$A:$AJ,AZ$5,0),0),IF(ISERROR(1/VLOOKUP($R346,Capa!$A:$AJ,AZ$5,0)),0,1/VLOOKUP($R346,Capa!$A:$AJ,AZ$5,0))))</f>
        <v/>
      </c>
      <c r="BA346" s="174" t="str">
        <f>IF(BA$6="","",IF(BA$3="Maior",iferror(VLOOKUP($R346,Capa!$A:$AJ,BA$5,0),0),IF(ISERROR(1/VLOOKUP($R346,Capa!$A:$AJ,BA$5,0)),0,1/VLOOKUP($R346,Capa!$A:$AJ,BA$5,0))))</f>
        <v/>
      </c>
      <c r="BB346" s="174" t="str">
        <f>IF(BB$6="","",IF(BB$3="Maior",iferror(VLOOKUP($R346,Capa!$A:$AJ,BB$5,0),0),IF(ISERROR(1/VLOOKUP($R346,Capa!$A:$AJ,BB$5,0)),0,1/VLOOKUP($R346,Capa!$A:$AJ,BB$5,0))))</f>
        <v/>
      </c>
      <c r="BC346" s="174" t="str">
        <f>IF(BC$6="","",IF(BC$3="Maior",iferror(VLOOKUP($R346,Capa!$A:$AJ,BC$5,0),0),IF(ISERROR(1/VLOOKUP($R346,Capa!$A:$AJ,BC$5,0)),0,1/VLOOKUP($R346,Capa!$A:$AJ,BC$5,0))))</f>
        <v/>
      </c>
      <c r="BD346" s="174" t="str">
        <f>IF(BD$6="","",IF(BD$3="Maior",iferror(VLOOKUP($R346,Capa!$A:$AJ,BD$5,0),0),IF(ISERROR(1/VLOOKUP($R346,Capa!$A:$AJ,BD$5,0)),0,1/VLOOKUP($R346,Capa!$A:$AJ,BD$5,0))))</f>
        <v/>
      </c>
      <c r="BE346" s="174" t="str">
        <f>IF(BE$6="","",IF(BE$3="Maior",iferror(VLOOKUP($R346,Capa!$A:$AJ,BE$5,0),0),IF(ISERROR(1/VLOOKUP($R346,Capa!$A:$AJ,BE$5,0)),0,1/VLOOKUP($R346,Capa!$A:$AJ,BE$5,0))))</f>
        <v/>
      </c>
      <c r="BF346" s="174" t="str">
        <f>IF(BF$6="","",IF(BF$3="Maior",iferror(VLOOKUP($R346,Capa!$A:$AJ,BF$5,0),0),IF(ISERROR(1/VLOOKUP($R346,Capa!$A:$AJ,BF$5,0)),0,1/VLOOKUP($R346,Capa!$A:$AJ,BF$5,0))))</f>
        <v/>
      </c>
      <c r="BG346" s="174" t="str">
        <f>IF(BG$6="","",IF(BG$3="Maior",iferror(VLOOKUP($R346,Capa!$A:$AJ,BG$5,0),0),IF(ISERROR(1/VLOOKUP($R346,Capa!$A:$AJ,BG$5,0)),0,1/VLOOKUP($R346,Capa!$A:$AJ,BG$5,0))))</f>
        <v/>
      </c>
      <c r="BH346" s="174" t="str">
        <f>IF(BH$6="","",IF(BH$3="Maior",iferror(VLOOKUP($R346,Capa!$A:$AJ,BH$5,0),0),IF(ISERROR(1/VLOOKUP($R346,Capa!$A:$AJ,BH$5,0)),0,1/VLOOKUP($R346,Capa!$A:$AJ,BH$5,0))))</f>
        <v/>
      </c>
      <c r="BI346" s="174" t="str">
        <f>IF(BI$6="","",IF(BI$3="Maior",iferror(VLOOKUP($R346,Capa!$A:$AJ,BI$5,0),0),IF(ISERROR(1/VLOOKUP($R346,Capa!$A:$AJ,BI$5,0)),0,1/VLOOKUP($R346,Capa!$A:$AJ,BI$5,0))))</f>
        <v/>
      </c>
      <c r="BJ346" s="174" t="str">
        <f>IF(BJ$6="","",IF(BJ$3="Maior",iferror(VLOOKUP($R346,Capa!$A:$AJ,BJ$5,0),0),IF(ISERROR(1/VLOOKUP($R346,Capa!$A:$AJ,BJ$5,0)),0,1/VLOOKUP($R346,Capa!$A:$AJ,BJ$5,0))))</f>
        <v/>
      </c>
      <c r="BK346" s="174" t="str">
        <f>IF(BK$6="","",IF(BK$3="Maior",iferror(VLOOKUP($R346,Capa!$A:$AJ,BK$5,0),0),IF(ISERROR(1/VLOOKUP($R346,Capa!$A:$AJ,BK$5,0)),0,1/VLOOKUP($R346,Capa!$A:$AJ,BK$5,0))))</f>
        <v/>
      </c>
      <c r="BL346" s="174" t="str">
        <f>IF(BL$6="","",IF(BL$3="Maior",iferror(VLOOKUP($R346,Capa!$A:$AJ,BL$5,0),0),IF(ISERROR(1/VLOOKUP($R346,Capa!$A:$AJ,BL$5,0)),0,1/VLOOKUP($R346,Capa!$A:$AJ,BL$5,0))))</f>
        <v/>
      </c>
      <c r="BM346" s="174" t="str">
        <f>IF(BM$6="","",IF(BM$3="Maior",iferror(VLOOKUP($R346,Capa!$A:$AJ,BM$5,0),0),IF(ISERROR(1/VLOOKUP($R346,Capa!$A:$AJ,BM$5,0)),0,1/VLOOKUP($R346,Capa!$A:$AJ,BM$5,0))))</f>
        <v/>
      </c>
      <c r="BN346" s="174" t="str">
        <f>IF(BN$6="","",IF(BN$3="Maior",iferror(VLOOKUP($R346,Capa!$A:$AJ,BN$5,0),0),IF(ISERROR(1/VLOOKUP($R346,Capa!$A:$AJ,BN$5,0)),0,1/VLOOKUP($R346,Capa!$A:$AJ,BN$5,0))))</f>
        <v/>
      </c>
      <c r="BO346" s="174" t="str">
        <f>IF(BO$6="","",IF(BO$3="Maior",iferror(VLOOKUP($R346,Capa!$A:$AJ,BO$5,0),0),IF(ISERROR(1/VLOOKUP($R346,Capa!$A:$AJ,BO$5,0)),0,1/VLOOKUP($R346,Capa!$A:$AJ,BO$5,0))))</f>
        <v/>
      </c>
      <c r="BP346" s="174" t="str">
        <f>IF(BP$6="","",IF(BP$3="Maior",iferror(VLOOKUP($R346,Capa!$A:$AJ,BP$5,0),0),IF(ISERROR(1/VLOOKUP($R346,Capa!$A:$AJ,BP$5,0)),0,1/VLOOKUP($R346,Capa!$A:$AJ,BP$5,0))))</f>
        <v/>
      </c>
      <c r="BQ346" s="174" t="str">
        <f>IF(BQ$6="","",IF(BQ$3="Maior",iferror(VLOOKUP($R346,Capa!$A:$AJ,BQ$5,0),0),IF(ISERROR(1/VLOOKUP($R346,Capa!$A:$AJ,BQ$5,0)),0,1/VLOOKUP($R346,Capa!$A:$AJ,BQ$5,0))))</f>
        <v/>
      </c>
      <c r="BR346" s="175"/>
      <c r="BS346" s="147"/>
    </row>
    <row r="347">
      <c r="G347" s="11"/>
      <c r="H347" s="8">
        <v>341.0</v>
      </c>
      <c r="I347" s="165" t="str">
        <f t="shared" si="6"/>
        <v>AALR3</v>
      </c>
      <c r="J347" s="167" t="str">
        <f>(VLOOKUP($I347,Capa!$A:$B,2,0))</f>
        <v>#N/A</v>
      </c>
      <c r="K347" s="167" t="str">
        <f>VLOOKUP(left(I347,4),Setor!A:D,3,0)&amp;" | "&amp;VLOOKUP(left(I347,4),Setor!A:D,4,0)</f>
        <v>Saúde | Análises e Diagnósticos</v>
      </c>
      <c r="L347" s="10" t="str">
        <f>(VLOOKUP($I347,Capa!$A:$F,6,0))</f>
        <v>#N/A</v>
      </c>
      <c r="M347" s="168">
        <f t="shared" si="7"/>
        <v>233843</v>
      </c>
      <c r="N347" s="11" t="str">
        <f>(VLOOKUP($I347,Capa!$A:$H,7,0))</f>
        <v>#N/A</v>
      </c>
      <c r="O347" s="11" t="str">
        <f>(VLOOKUP($I347,Capa!$A:$H,8,0))</f>
        <v>#N/A</v>
      </c>
      <c r="P347" s="11" t="str">
        <f>(VLOOKUP($I347,Capa!$A:$J,10,0))</f>
        <v>#N/A</v>
      </c>
      <c r="Q347" s="11" t="str">
        <f>(VLOOKUP($I347,Capa!$A:$K,11,0))</f>
        <v>#N/A</v>
      </c>
      <c r="R347" s="45" t="str">
        <f>'Dados StatusInvest'!A342</f>
        <v>JFEN3</v>
      </c>
      <c r="S347" s="170">
        <f t="shared" si="234"/>
        <v>1818.0818</v>
      </c>
      <c r="T347" s="171">
        <f>VLOOKUP(R347,'Dados StatusInvest'!A:Z,26,0)</f>
        <v>54805.43</v>
      </c>
      <c r="U347" s="172">
        <f t="shared" ref="U347:AS347" si="350">IF(AT347="","", RANK(AT347,AT$7:AT$626,0)+RANK(AT347,AT$7:AT$626,0)/10000)</f>
        <v>551.0551</v>
      </c>
      <c r="V347" s="172">
        <f t="shared" si="350"/>
        <v>267.0267</v>
      </c>
      <c r="W347" s="172" t="str">
        <f t="shared" si="350"/>
        <v/>
      </c>
      <c r="X347" s="172" t="str">
        <f t="shared" si="350"/>
        <v/>
      </c>
      <c r="Y347" s="172" t="str">
        <f t="shared" si="350"/>
        <v/>
      </c>
      <c r="Z347" s="172" t="str">
        <f t="shared" si="350"/>
        <v/>
      </c>
      <c r="AA347" s="172" t="str">
        <f t="shared" si="350"/>
        <v/>
      </c>
      <c r="AB347" s="172" t="str">
        <f t="shared" si="350"/>
        <v/>
      </c>
      <c r="AC347" s="172" t="str">
        <f t="shared" si="350"/>
        <v/>
      </c>
      <c r="AD347" s="172" t="str">
        <f t="shared" si="350"/>
        <v/>
      </c>
      <c r="AE347" s="172" t="str">
        <f t="shared" si="350"/>
        <v/>
      </c>
      <c r="AF347" s="172" t="str">
        <f t="shared" si="350"/>
        <v/>
      </c>
      <c r="AG347" s="172" t="str">
        <f t="shared" si="350"/>
        <v/>
      </c>
      <c r="AH347" s="172" t="str">
        <f t="shared" si="350"/>
        <v/>
      </c>
      <c r="AI347" s="172" t="str">
        <f t="shared" si="350"/>
        <v/>
      </c>
      <c r="AJ347" s="172" t="str">
        <f t="shared" si="350"/>
        <v/>
      </c>
      <c r="AK347" s="172" t="str">
        <f t="shared" si="350"/>
        <v/>
      </c>
      <c r="AL347" s="172" t="str">
        <f t="shared" si="350"/>
        <v/>
      </c>
      <c r="AM347" s="172" t="str">
        <f t="shared" si="350"/>
        <v/>
      </c>
      <c r="AN347" s="172" t="str">
        <f t="shared" si="350"/>
        <v/>
      </c>
      <c r="AO347" s="172" t="str">
        <f t="shared" si="350"/>
        <v/>
      </c>
      <c r="AP347" s="172" t="str">
        <f t="shared" si="350"/>
        <v/>
      </c>
      <c r="AQ347" s="172" t="str">
        <f t="shared" si="350"/>
        <v/>
      </c>
      <c r="AR347" s="172" t="str">
        <f t="shared" si="350"/>
        <v/>
      </c>
      <c r="AS347" s="172" t="str">
        <f t="shared" si="350"/>
        <v/>
      </c>
      <c r="AT347" s="173">
        <f>IF(AT$6="","",IF(AT$3="Maior",iferror(VLOOKUP($R347,Capa!$A:$AJ,AT$5,0),0),IF(ISERROR(1/VLOOKUP($R347,Capa!$A:$AJ,AT$5,0)),0,1/VLOOKUP($R347,Capa!$A:$AJ,AT$5,0))))</f>
        <v>-5.831408776</v>
      </c>
      <c r="AU347" s="174">
        <f>IF(AU$6="","",IF(AU$3="Maior",iferror(VLOOKUP($R347,Capa!$A:$AJ,AU$5,0),0),IF(ISERROR(1/VLOOKUP($R347,Capa!$A:$AJ,AU$5,0)),0,1/VLOOKUP($R347,Capa!$A:$AJ,AU$5,0))))</f>
        <v>0</v>
      </c>
      <c r="AV347" s="174" t="str">
        <f>IF(AV$6="","",IF(AV$3="Maior",iferror(VLOOKUP($R347,Capa!$A:$AJ,AV$5,0),0),IF(ISERROR(1/VLOOKUP($R347,Capa!$A:$AJ,AV$5,0)),0,1/VLOOKUP($R347,Capa!$A:$AJ,AV$5,0))))</f>
        <v/>
      </c>
      <c r="AW347" s="174" t="str">
        <f>IF(AW$6="","",IF(AW$3="Maior",iferror(VLOOKUP($R347,Capa!$A:$AJ,AW$5,0),0),IF(ISERROR(1/VLOOKUP($R347,Capa!$A:$AJ,AW$5,0)),0,1/VLOOKUP($R347,Capa!$A:$AJ,AW$5,0))))</f>
        <v/>
      </c>
      <c r="AX347" s="174" t="str">
        <f>IF(AX$6="","",IF(AX$3="Maior",iferror(VLOOKUP($R347,Capa!$A:$AJ,AX$5,0),0),IF(ISERROR(1/VLOOKUP($R347,Capa!$A:$AJ,AX$5,0)),0,1/VLOOKUP($R347,Capa!$A:$AJ,AX$5,0))))</f>
        <v/>
      </c>
      <c r="AY347" s="174" t="str">
        <f>IF(AY$6="","",IF(AY$3="Maior",iferror(VLOOKUP($R347,Capa!$A:$AJ,AY$5,0),0),IF(ISERROR(1/VLOOKUP($R347,Capa!$A:$AJ,AY$5,0)),0,1/VLOOKUP($R347,Capa!$A:$AJ,AY$5,0))))</f>
        <v/>
      </c>
      <c r="AZ347" s="174" t="str">
        <f>IF(AZ$6="","",IF(AZ$3="Maior",iferror(VLOOKUP($R347,Capa!$A:$AJ,AZ$5,0),0),IF(ISERROR(1/VLOOKUP($R347,Capa!$A:$AJ,AZ$5,0)),0,1/VLOOKUP($R347,Capa!$A:$AJ,AZ$5,0))))</f>
        <v/>
      </c>
      <c r="BA347" s="174" t="str">
        <f>IF(BA$6="","",IF(BA$3="Maior",iferror(VLOOKUP($R347,Capa!$A:$AJ,BA$5,0),0),IF(ISERROR(1/VLOOKUP($R347,Capa!$A:$AJ,BA$5,0)),0,1/VLOOKUP($R347,Capa!$A:$AJ,BA$5,0))))</f>
        <v/>
      </c>
      <c r="BB347" s="174" t="str">
        <f>IF(BB$6="","",IF(BB$3="Maior",iferror(VLOOKUP($R347,Capa!$A:$AJ,BB$5,0),0),IF(ISERROR(1/VLOOKUP($R347,Capa!$A:$AJ,BB$5,0)),0,1/VLOOKUP($R347,Capa!$A:$AJ,BB$5,0))))</f>
        <v/>
      </c>
      <c r="BC347" s="174" t="str">
        <f>IF(BC$6="","",IF(BC$3="Maior",iferror(VLOOKUP($R347,Capa!$A:$AJ,BC$5,0),0),IF(ISERROR(1/VLOOKUP($R347,Capa!$A:$AJ,BC$5,0)),0,1/VLOOKUP($R347,Capa!$A:$AJ,BC$5,0))))</f>
        <v/>
      </c>
      <c r="BD347" s="174" t="str">
        <f>IF(BD$6="","",IF(BD$3="Maior",iferror(VLOOKUP($R347,Capa!$A:$AJ,BD$5,0),0),IF(ISERROR(1/VLOOKUP($R347,Capa!$A:$AJ,BD$5,0)),0,1/VLOOKUP($R347,Capa!$A:$AJ,BD$5,0))))</f>
        <v/>
      </c>
      <c r="BE347" s="174" t="str">
        <f>IF(BE$6="","",IF(BE$3="Maior",iferror(VLOOKUP($R347,Capa!$A:$AJ,BE$5,0),0),IF(ISERROR(1/VLOOKUP($R347,Capa!$A:$AJ,BE$5,0)),0,1/VLOOKUP($R347,Capa!$A:$AJ,BE$5,0))))</f>
        <v/>
      </c>
      <c r="BF347" s="174" t="str">
        <f>IF(BF$6="","",IF(BF$3="Maior",iferror(VLOOKUP($R347,Capa!$A:$AJ,BF$5,0),0),IF(ISERROR(1/VLOOKUP($R347,Capa!$A:$AJ,BF$5,0)),0,1/VLOOKUP($R347,Capa!$A:$AJ,BF$5,0))))</f>
        <v/>
      </c>
      <c r="BG347" s="174" t="str">
        <f>IF(BG$6="","",IF(BG$3="Maior",iferror(VLOOKUP($R347,Capa!$A:$AJ,BG$5,0),0),IF(ISERROR(1/VLOOKUP($R347,Capa!$A:$AJ,BG$5,0)),0,1/VLOOKUP($R347,Capa!$A:$AJ,BG$5,0))))</f>
        <v/>
      </c>
      <c r="BH347" s="174" t="str">
        <f>IF(BH$6="","",IF(BH$3="Maior",iferror(VLOOKUP($R347,Capa!$A:$AJ,BH$5,0),0),IF(ISERROR(1/VLOOKUP($R347,Capa!$A:$AJ,BH$5,0)),0,1/VLOOKUP($R347,Capa!$A:$AJ,BH$5,0))))</f>
        <v/>
      </c>
      <c r="BI347" s="174" t="str">
        <f>IF(BI$6="","",IF(BI$3="Maior",iferror(VLOOKUP($R347,Capa!$A:$AJ,BI$5,0),0),IF(ISERROR(1/VLOOKUP($R347,Capa!$A:$AJ,BI$5,0)),0,1/VLOOKUP($R347,Capa!$A:$AJ,BI$5,0))))</f>
        <v/>
      </c>
      <c r="BJ347" s="174" t="str">
        <f>IF(BJ$6="","",IF(BJ$3="Maior",iferror(VLOOKUP($R347,Capa!$A:$AJ,BJ$5,0),0),IF(ISERROR(1/VLOOKUP($R347,Capa!$A:$AJ,BJ$5,0)),0,1/VLOOKUP($R347,Capa!$A:$AJ,BJ$5,0))))</f>
        <v/>
      </c>
      <c r="BK347" s="174" t="str">
        <f>IF(BK$6="","",IF(BK$3="Maior",iferror(VLOOKUP($R347,Capa!$A:$AJ,BK$5,0),0),IF(ISERROR(1/VLOOKUP($R347,Capa!$A:$AJ,BK$5,0)),0,1/VLOOKUP($R347,Capa!$A:$AJ,BK$5,0))))</f>
        <v/>
      </c>
      <c r="BL347" s="174" t="str">
        <f>IF(BL$6="","",IF(BL$3="Maior",iferror(VLOOKUP($R347,Capa!$A:$AJ,BL$5,0),0),IF(ISERROR(1/VLOOKUP($R347,Capa!$A:$AJ,BL$5,0)),0,1/VLOOKUP($R347,Capa!$A:$AJ,BL$5,0))))</f>
        <v/>
      </c>
      <c r="BM347" s="174" t="str">
        <f>IF(BM$6="","",IF(BM$3="Maior",iferror(VLOOKUP($R347,Capa!$A:$AJ,BM$5,0),0),IF(ISERROR(1/VLOOKUP($R347,Capa!$A:$AJ,BM$5,0)),0,1/VLOOKUP($R347,Capa!$A:$AJ,BM$5,0))))</f>
        <v/>
      </c>
      <c r="BN347" s="174" t="str">
        <f>IF(BN$6="","",IF(BN$3="Maior",iferror(VLOOKUP($R347,Capa!$A:$AJ,BN$5,0),0),IF(ISERROR(1/VLOOKUP($R347,Capa!$A:$AJ,BN$5,0)),0,1/VLOOKUP($R347,Capa!$A:$AJ,BN$5,0))))</f>
        <v/>
      </c>
      <c r="BO347" s="174" t="str">
        <f>IF(BO$6="","",IF(BO$3="Maior",iferror(VLOOKUP($R347,Capa!$A:$AJ,BO$5,0),0),IF(ISERROR(1/VLOOKUP($R347,Capa!$A:$AJ,BO$5,0)),0,1/VLOOKUP($R347,Capa!$A:$AJ,BO$5,0))))</f>
        <v/>
      </c>
      <c r="BP347" s="174" t="str">
        <f>IF(BP$6="","",IF(BP$3="Maior",iferror(VLOOKUP($R347,Capa!$A:$AJ,BP$5,0),0),IF(ISERROR(1/VLOOKUP($R347,Capa!$A:$AJ,BP$5,0)),0,1/VLOOKUP($R347,Capa!$A:$AJ,BP$5,0))))</f>
        <v/>
      </c>
      <c r="BQ347" s="174" t="str">
        <f>IF(BQ$6="","",IF(BQ$3="Maior",iferror(VLOOKUP($R347,Capa!$A:$AJ,BQ$5,0),0),IF(ISERROR(1/VLOOKUP($R347,Capa!$A:$AJ,BQ$5,0)),0,1/VLOOKUP($R347,Capa!$A:$AJ,BQ$5,0))))</f>
        <v/>
      </c>
      <c r="BR347" s="175"/>
      <c r="BS347" s="147"/>
    </row>
    <row r="348">
      <c r="G348" s="11"/>
      <c r="H348" s="8">
        <v>342.0</v>
      </c>
      <c r="I348" s="165" t="str">
        <f t="shared" si="6"/>
        <v>RSUL4</v>
      </c>
      <c r="J348" s="166" t="str">
        <f>(VLOOKUP($I348,Capa!$A:$B,2,0))</f>
        <v>Metalurgica Riosulense SA Preference Shares</v>
      </c>
      <c r="K348" s="167" t="str">
        <f>VLOOKUP(left(I348,4),Setor!A:D,3,0)&amp;" | "&amp;VLOOKUP(left(I348,4),Setor!A:D,4,0)</f>
        <v>Bens Industriais | Material de Transporte</v>
      </c>
      <c r="L348" s="168">
        <f>(VLOOKUP($I348,Capa!$A:$F,6,0))</f>
        <v>70.26</v>
      </c>
      <c r="M348" s="168">
        <f t="shared" si="7"/>
        <v>205151.1</v>
      </c>
      <c r="N348" s="11" t="str">
        <f>IFERROR(__xludf.DUMMYFUNCTION("(VLOOKUP($I348,Capa!$A:$H,7,0))"),"")</f>
        <v/>
      </c>
      <c r="O348" s="169">
        <f>(VLOOKUP($I348,Capa!$A:$H,8,0))</f>
        <v>0.07316328089</v>
      </c>
      <c r="P348" s="11" t="str">
        <f>IFERROR(__xludf.DUMMYFUNCTION("(VLOOKUP($I348,Capa!$A:$J,10,0))"),"")</f>
        <v/>
      </c>
      <c r="Q348" s="169">
        <f>(VLOOKUP($I348,Capa!$A:$K,11,0))</f>
        <v>0.1166560712</v>
      </c>
      <c r="R348" s="45" t="str">
        <f>'Dados StatusInvest'!A343</f>
        <v>JHSF3</v>
      </c>
      <c r="S348" s="170">
        <f t="shared" si="234"/>
        <v>486.0486</v>
      </c>
      <c r="T348" s="171">
        <f>VLOOKUP(R348,'Dados StatusInvest'!A:Z,26,0)</f>
        <v>42543084</v>
      </c>
      <c r="U348" s="172">
        <f t="shared" ref="U348:AS348" si="351">IF(AT348="","", RANK(AT348,AT$7:AT$626,0)+RANK(AT348,AT$7:AT$626,0)/10000)</f>
        <v>414.0414</v>
      </c>
      <c r="V348" s="172">
        <f t="shared" si="351"/>
        <v>72.0072</v>
      </c>
      <c r="W348" s="172" t="str">
        <f t="shared" si="351"/>
        <v/>
      </c>
      <c r="X348" s="172" t="str">
        <f t="shared" si="351"/>
        <v/>
      </c>
      <c r="Y348" s="172" t="str">
        <f t="shared" si="351"/>
        <v/>
      </c>
      <c r="Z348" s="172" t="str">
        <f t="shared" si="351"/>
        <v/>
      </c>
      <c r="AA348" s="172" t="str">
        <f t="shared" si="351"/>
        <v/>
      </c>
      <c r="AB348" s="172" t="str">
        <f t="shared" si="351"/>
        <v/>
      </c>
      <c r="AC348" s="172" t="str">
        <f t="shared" si="351"/>
        <v/>
      </c>
      <c r="AD348" s="172" t="str">
        <f t="shared" si="351"/>
        <v/>
      </c>
      <c r="AE348" s="172" t="str">
        <f t="shared" si="351"/>
        <v/>
      </c>
      <c r="AF348" s="172" t="str">
        <f t="shared" si="351"/>
        <v/>
      </c>
      <c r="AG348" s="172" t="str">
        <f t="shared" si="351"/>
        <v/>
      </c>
      <c r="AH348" s="172" t="str">
        <f t="shared" si="351"/>
        <v/>
      </c>
      <c r="AI348" s="172" t="str">
        <f t="shared" si="351"/>
        <v/>
      </c>
      <c r="AJ348" s="172" t="str">
        <f t="shared" si="351"/>
        <v/>
      </c>
      <c r="AK348" s="172" t="str">
        <f t="shared" si="351"/>
        <v/>
      </c>
      <c r="AL348" s="172" t="str">
        <f t="shared" si="351"/>
        <v/>
      </c>
      <c r="AM348" s="172" t="str">
        <f t="shared" si="351"/>
        <v/>
      </c>
      <c r="AN348" s="172" t="str">
        <f t="shared" si="351"/>
        <v/>
      </c>
      <c r="AO348" s="172" t="str">
        <f t="shared" si="351"/>
        <v/>
      </c>
      <c r="AP348" s="172" t="str">
        <f t="shared" si="351"/>
        <v/>
      </c>
      <c r="AQ348" s="172" t="str">
        <f t="shared" si="351"/>
        <v/>
      </c>
      <c r="AR348" s="172" t="str">
        <f t="shared" si="351"/>
        <v/>
      </c>
      <c r="AS348" s="172" t="str">
        <f t="shared" si="351"/>
        <v/>
      </c>
      <c r="AT348" s="173">
        <f>IF(AT$6="","",IF(AT$3="Maior",iferror(VLOOKUP($R348,Capa!$A:$AJ,AT$5,0),0),IF(ISERROR(1/VLOOKUP($R348,Capa!$A:$AJ,AT$5,0)),0,1/VLOOKUP($R348,Capa!$A:$AJ,AT$5,0))))</f>
        <v>-1.466228077</v>
      </c>
      <c r="AU348" s="174">
        <f>IF(AU$6="","",IF(AU$3="Maior",iferror(VLOOKUP($R348,Capa!$A:$AJ,AU$5,0),0),IF(ISERROR(1/VLOOKUP($R348,Capa!$A:$AJ,AU$5,0)),0,1/VLOOKUP($R348,Capa!$A:$AJ,AU$5,0))))</f>
        <v>32.04</v>
      </c>
      <c r="AV348" s="174" t="str">
        <f>IF(AV$6="","",IF(AV$3="Maior",iferror(VLOOKUP($R348,Capa!$A:$AJ,AV$5,0),0),IF(ISERROR(1/VLOOKUP($R348,Capa!$A:$AJ,AV$5,0)),0,1/VLOOKUP($R348,Capa!$A:$AJ,AV$5,0))))</f>
        <v/>
      </c>
      <c r="AW348" s="174" t="str">
        <f>IF(AW$6="","",IF(AW$3="Maior",iferror(VLOOKUP($R348,Capa!$A:$AJ,AW$5,0),0),IF(ISERROR(1/VLOOKUP($R348,Capa!$A:$AJ,AW$5,0)),0,1/VLOOKUP($R348,Capa!$A:$AJ,AW$5,0))))</f>
        <v/>
      </c>
      <c r="AX348" s="174" t="str">
        <f>IF(AX$6="","",IF(AX$3="Maior",iferror(VLOOKUP($R348,Capa!$A:$AJ,AX$5,0),0),IF(ISERROR(1/VLOOKUP($R348,Capa!$A:$AJ,AX$5,0)),0,1/VLOOKUP($R348,Capa!$A:$AJ,AX$5,0))))</f>
        <v/>
      </c>
      <c r="AY348" s="174" t="str">
        <f>IF(AY$6="","",IF(AY$3="Maior",iferror(VLOOKUP($R348,Capa!$A:$AJ,AY$5,0),0),IF(ISERROR(1/VLOOKUP($R348,Capa!$A:$AJ,AY$5,0)),0,1/VLOOKUP($R348,Capa!$A:$AJ,AY$5,0))))</f>
        <v/>
      </c>
      <c r="AZ348" s="174" t="str">
        <f>IF(AZ$6="","",IF(AZ$3="Maior",iferror(VLOOKUP($R348,Capa!$A:$AJ,AZ$5,0),0),IF(ISERROR(1/VLOOKUP($R348,Capa!$A:$AJ,AZ$5,0)),0,1/VLOOKUP($R348,Capa!$A:$AJ,AZ$5,0))))</f>
        <v/>
      </c>
      <c r="BA348" s="174" t="str">
        <f>IF(BA$6="","",IF(BA$3="Maior",iferror(VLOOKUP($R348,Capa!$A:$AJ,BA$5,0),0),IF(ISERROR(1/VLOOKUP($R348,Capa!$A:$AJ,BA$5,0)),0,1/VLOOKUP($R348,Capa!$A:$AJ,BA$5,0))))</f>
        <v/>
      </c>
      <c r="BB348" s="174" t="str">
        <f>IF(BB$6="","",IF(BB$3="Maior",iferror(VLOOKUP($R348,Capa!$A:$AJ,BB$5,0),0),IF(ISERROR(1/VLOOKUP($R348,Capa!$A:$AJ,BB$5,0)),0,1/VLOOKUP($R348,Capa!$A:$AJ,BB$5,0))))</f>
        <v/>
      </c>
      <c r="BC348" s="174" t="str">
        <f>IF(BC$6="","",IF(BC$3="Maior",iferror(VLOOKUP($R348,Capa!$A:$AJ,BC$5,0),0),IF(ISERROR(1/VLOOKUP($R348,Capa!$A:$AJ,BC$5,0)),0,1/VLOOKUP($R348,Capa!$A:$AJ,BC$5,0))))</f>
        <v/>
      </c>
      <c r="BD348" s="174" t="str">
        <f>IF(BD$6="","",IF(BD$3="Maior",iferror(VLOOKUP($R348,Capa!$A:$AJ,BD$5,0),0),IF(ISERROR(1/VLOOKUP($R348,Capa!$A:$AJ,BD$5,0)),0,1/VLOOKUP($R348,Capa!$A:$AJ,BD$5,0))))</f>
        <v/>
      </c>
      <c r="BE348" s="174" t="str">
        <f>IF(BE$6="","",IF(BE$3="Maior",iferror(VLOOKUP($R348,Capa!$A:$AJ,BE$5,0),0),IF(ISERROR(1/VLOOKUP($R348,Capa!$A:$AJ,BE$5,0)),0,1/VLOOKUP($R348,Capa!$A:$AJ,BE$5,0))))</f>
        <v/>
      </c>
      <c r="BF348" s="174" t="str">
        <f>IF(BF$6="","",IF(BF$3="Maior",iferror(VLOOKUP($R348,Capa!$A:$AJ,BF$5,0),0),IF(ISERROR(1/VLOOKUP($R348,Capa!$A:$AJ,BF$5,0)),0,1/VLOOKUP($R348,Capa!$A:$AJ,BF$5,0))))</f>
        <v/>
      </c>
      <c r="BG348" s="174" t="str">
        <f>IF(BG$6="","",IF(BG$3="Maior",iferror(VLOOKUP($R348,Capa!$A:$AJ,BG$5,0),0),IF(ISERROR(1/VLOOKUP($R348,Capa!$A:$AJ,BG$5,0)),0,1/VLOOKUP($R348,Capa!$A:$AJ,BG$5,0))))</f>
        <v/>
      </c>
      <c r="BH348" s="174" t="str">
        <f>IF(BH$6="","",IF(BH$3="Maior",iferror(VLOOKUP($R348,Capa!$A:$AJ,BH$5,0),0),IF(ISERROR(1/VLOOKUP($R348,Capa!$A:$AJ,BH$5,0)),0,1/VLOOKUP($R348,Capa!$A:$AJ,BH$5,0))))</f>
        <v/>
      </c>
      <c r="BI348" s="174" t="str">
        <f>IF(BI$6="","",IF(BI$3="Maior",iferror(VLOOKUP($R348,Capa!$A:$AJ,BI$5,0),0),IF(ISERROR(1/VLOOKUP($R348,Capa!$A:$AJ,BI$5,0)),0,1/VLOOKUP($R348,Capa!$A:$AJ,BI$5,0))))</f>
        <v/>
      </c>
      <c r="BJ348" s="174" t="str">
        <f>IF(BJ$6="","",IF(BJ$3="Maior",iferror(VLOOKUP($R348,Capa!$A:$AJ,BJ$5,0),0),IF(ISERROR(1/VLOOKUP($R348,Capa!$A:$AJ,BJ$5,0)),0,1/VLOOKUP($R348,Capa!$A:$AJ,BJ$5,0))))</f>
        <v/>
      </c>
      <c r="BK348" s="174" t="str">
        <f>IF(BK$6="","",IF(BK$3="Maior",iferror(VLOOKUP($R348,Capa!$A:$AJ,BK$5,0),0),IF(ISERROR(1/VLOOKUP($R348,Capa!$A:$AJ,BK$5,0)),0,1/VLOOKUP($R348,Capa!$A:$AJ,BK$5,0))))</f>
        <v/>
      </c>
      <c r="BL348" s="174" t="str">
        <f>IF(BL$6="","",IF(BL$3="Maior",iferror(VLOOKUP($R348,Capa!$A:$AJ,BL$5,0),0),IF(ISERROR(1/VLOOKUP($R348,Capa!$A:$AJ,BL$5,0)),0,1/VLOOKUP($R348,Capa!$A:$AJ,BL$5,0))))</f>
        <v/>
      </c>
      <c r="BM348" s="174" t="str">
        <f>IF(BM$6="","",IF(BM$3="Maior",iferror(VLOOKUP($R348,Capa!$A:$AJ,BM$5,0),0),IF(ISERROR(1/VLOOKUP($R348,Capa!$A:$AJ,BM$5,0)),0,1/VLOOKUP($R348,Capa!$A:$AJ,BM$5,0))))</f>
        <v/>
      </c>
      <c r="BN348" s="174" t="str">
        <f>IF(BN$6="","",IF(BN$3="Maior",iferror(VLOOKUP($R348,Capa!$A:$AJ,BN$5,0),0),IF(ISERROR(1/VLOOKUP($R348,Capa!$A:$AJ,BN$5,0)),0,1/VLOOKUP($R348,Capa!$A:$AJ,BN$5,0))))</f>
        <v/>
      </c>
      <c r="BO348" s="174" t="str">
        <f>IF(BO$6="","",IF(BO$3="Maior",iferror(VLOOKUP($R348,Capa!$A:$AJ,BO$5,0),0),IF(ISERROR(1/VLOOKUP($R348,Capa!$A:$AJ,BO$5,0)),0,1/VLOOKUP($R348,Capa!$A:$AJ,BO$5,0))))</f>
        <v/>
      </c>
      <c r="BP348" s="174" t="str">
        <f>IF(BP$6="","",IF(BP$3="Maior",iferror(VLOOKUP($R348,Capa!$A:$AJ,BP$5,0),0),IF(ISERROR(1/VLOOKUP($R348,Capa!$A:$AJ,BP$5,0)),0,1/VLOOKUP($R348,Capa!$A:$AJ,BP$5,0))))</f>
        <v/>
      </c>
      <c r="BQ348" s="174" t="str">
        <f>IF(BQ$6="","",IF(BQ$3="Maior",iferror(VLOOKUP($R348,Capa!$A:$AJ,BQ$5,0),0),IF(ISERROR(1/VLOOKUP($R348,Capa!$A:$AJ,BQ$5,0)),0,1/VLOOKUP($R348,Capa!$A:$AJ,BQ$5,0))))</f>
        <v/>
      </c>
      <c r="BR348" s="175"/>
      <c r="BS348" s="147"/>
    </row>
    <row r="349">
      <c r="G349" s="11"/>
      <c r="H349" s="8">
        <v>343.0</v>
      </c>
      <c r="I349" s="165" t="str">
        <f t="shared" si="6"/>
        <v>NAFG4</v>
      </c>
      <c r="J349" s="166" t="str">
        <f>(VLOOKUP($I349,Capa!$A:$B,2,0))</f>
        <v/>
      </c>
      <c r="K349" s="167" t="str">
        <f>VLOOKUP(left(I349,4),Setor!A:D,3,0)&amp;" | "&amp;VLOOKUP(left(I349,4),Setor!A:D,4,0)</f>
        <v>Consumo Cíclico | Utilidades Domésticas</v>
      </c>
      <c r="L349" s="168" t="str">
        <f>(VLOOKUP($I349,Capa!$A:$F,6,0))</f>
        <v/>
      </c>
      <c r="M349" s="168">
        <f t="shared" si="7"/>
        <v>0</v>
      </c>
      <c r="N349" s="11" t="str">
        <f>(VLOOKUP($I349,Capa!$A:$H,7,0))</f>
        <v/>
      </c>
      <c r="O349" s="169" t="str">
        <f>(VLOOKUP($I349,Capa!$A:$H,8,0))</f>
        <v/>
      </c>
      <c r="P349" s="11" t="str">
        <f>(VLOOKUP($I349,Capa!$A:$J,10,0))</f>
        <v/>
      </c>
      <c r="Q349" s="169" t="str">
        <f>(VLOOKUP($I349,Capa!$A:$K,11,0))</f>
        <v/>
      </c>
      <c r="R349" s="45" t="str">
        <f>'Dados StatusInvest'!A344</f>
        <v>JOPA3</v>
      </c>
      <c r="S349" s="170">
        <f t="shared" si="234"/>
        <v>2032.1032</v>
      </c>
      <c r="T349" s="171">
        <f>VLOOKUP(R349,'Dados StatusInvest'!A:Z,26,0)</f>
        <v>1662.4</v>
      </c>
      <c r="U349" s="172">
        <f t="shared" ref="U349:AS349" si="352">IF(AT349="","", RANK(AT349,AT$7:AT$626,0)+RANK(AT349,AT$7:AT$626,0)/10000)</f>
        <v>482.0482</v>
      </c>
      <c r="V349" s="172">
        <f t="shared" si="352"/>
        <v>550.055</v>
      </c>
      <c r="W349" s="172" t="str">
        <f t="shared" si="352"/>
        <v/>
      </c>
      <c r="X349" s="172" t="str">
        <f t="shared" si="352"/>
        <v/>
      </c>
      <c r="Y349" s="172" t="str">
        <f t="shared" si="352"/>
        <v/>
      </c>
      <c r="Z349" s="172" t="str">
        <f t="shared" si="352"/>
        <v/>
      </c>
      <c r="AA349" s="172" t="str">
        <f t="shared" si="352"/>
        <v/>
      </c>
      <c r="AB349" s="172" t="str">
        <f t="shared" si="352"/>
        <v/>
      </c>
      <c r="AC349" s="172" t="str">
        <f t="shared" si="352"/>
        <v/>
      </c>
      <c r="AD349" s="172" t="str">
        <f t="shared" si="352"/>
        <v/>
      </c>
      <c r="AE349" s="172" t="str">
        <f t="shared" si="352"/>
        <v/>
      </c>
      <c r="AF349" s="172" t="str">
        <f t="shared" si="352"/>
        <v/>
      </c>
      <c r="AG349" s="172" t="str">
        <f t="shared" si="352"/>
        <v/>
      </c>
      <c r="AH349" s="172" t="str">
        <f t="shared" si="352"/>
        <v/>
      </c>
      <c r="AI349" s="172" t="str">
        <f t="shared" si="352"/>
        <v/>
      </c>
      <c r="AJ349" s="172" t="str">
        <f t="shared" si="352"/>
        <v/>
      </c>
      <c r="AK349" s="172" t="str">
        <f t="shared" si="352"/>
        <v/>
      </c>
      <c r="AL349" s="172" t="str">
        <f t="shared" si="352"/>
        <v/>
      </c>
      <c r="AM349" s="172" t="str">
        <f t="shared" si="352"/>
        <v/>
      </c>
      <c r="AN349" s="172" t="str">
        <f t="shared" si="352"/>
        <v/>
      </c>
      <c r="AO349" s="172" t="str">
        <f t="shared" si="352"/>
        <v/>
      </c>
      <c r="AP349" s="172" t="str">
        <f t="shared" si="352"/>
        <v/>
      </c>
      <c r="AQ349" s="172" t="str">
        <f t="shared" si="352"/>
        <v/>
      </c>
      <c r="AR349" s="172" t="str">
        <f t="shared" si="352"/>
        <v/>
      </c>
      <c r="AS349" s="172" t="str">
        <f t="shared" si="352"/>
        <v/>
      </c>
      <c r="AT349" s="173">
        <f>IF(AT$6="","",IF(AT$3="Maior",iferror(VLOOKUP($R349,Capa!$A:$AJ,AT$5,0),0),IF(ISERROR(1/VLOOKUP($R349,Capa!$A:$AJ,AT$5,0)),0,1/VLOOKUP($R349,Capa!$A:$AJ,AT$5,0))))</f>
        <v>-2.702702703</v>
      </c>
      <c r="AU349" s="174">
        <f>IF(AU$6="","",IF(AU$3="Maior",iferror(VLOOKUP($R349,Capa!$A:$AJ,AU$5,0),0),IF(ISERROR(1/VLOOKUP($R349,Capa!$A:$AJ,AU$5,0)),0,1/VLOOKUP($R349,Capa!$A:$AJ,AU$5,0))))</f>
        <v>-4.49</v>
      </c>
      <c r="AV349" s="174" t="str">
        <f>IF(AV$6="","",IF(AV$3="Maior",iferror(VLOOKUP($R349,Capa!$A:$AJ,AV$5,0),0),IF(ISERROR(1/VLOOKUP($R349,Capa!$A:$AJ,AV$5,0)),0,1/VLOOKUP($R349,Capa!$A:$AJ,AV$5,0))))</f>
        <v/>
      </c>
      <c r="AW349" s="174" t="str">
        <f>IF(AW$6="","",IF(AW$3="Maior",iferror(VLOOKUP($R349,Capa!$A:$AJ,AW$5,0),0),IF(ISERROR(1/VLOOKUP($R349,Capa!$A:$AJ,AW$5,0)),0,1/VLOOKUP($R349,Capa!$A:$AJ,AW$5,0))))</f>
        <v/>
      </c>
      <c r="AX349" s="174" t="str">
        <f>IF(AX$6="","",IF(AX$3="Maior",iferror(VLOOKUP($R349,Capa!$A:$AJ,AX$5,0),0),IF(ISERROR(1/VLOOKUP($R349,Capa!$A:$AJ,AX$5,0)),0,1/VLOOKUP($R349,Capa!$A:$AJ,AX$5,0))))</f>
        <v/>
      </c>
      <c r="AY349" s="174" t="str">
        <f>IF(AY$6="","",IF(AY$3="Maior",iferror(VLOOKUP($R349,Capa!$A:$AJ,AY$5,0),0),IF(ISERROR(1/VLOOKUP($R349,Capa!$A:$AJ,AY$5,0)),0,1/VLOOKUP($R349,Capa!$A:$AJ,AY$5,0))))</f>
        <v/>
      </c>
      <c r="AZ349" s="174" t="str">
        <f>IF(AZ$6="","",IF(AZ$3="Maior",iferror(VLOOKUP($R349,Capa!$A:$AJ,AZ$5,0),0),IF(ISERROR(1/VLOOKUP($R349,Capa!$A:$AJ,AZ$5,0)),0,1/VLOOKUP($R349,Capa!$A:$AJ,AZ$5,0))))</f>
        <v/>
      </c>
      <c r="BA349" s="174" t="str">
        <f>IF(BA$6="","",IF(BA$3="Maior",iferror(VLOOKUP($R349,Capa!$A:$AJ,BA$5,0),0),IF(ISERROR(1/VLOOKUP($R349,Capa!$A:$AJ,BA$5,0)),0,1/VLOOKUP($R349,Capa!$A:$AJ,BA$5,0))))</f>
        <v/>
      </c>
      <c r="BB349" s="174" t="str">
        <f>IF(BB$6="","",IF(BB$3="Maior",iferror(VLOOKUP($R349,Capa!$A:$AJ,BB$5,0),0),IF(ISERROR(1/VLOOKUP($R349,Capa!$A:$AJ,BB$5,0)),0,1/VLOOKUP($R349,Capa!$A:$AJ,BB$5,0))))</f>
        <v/>
      </c>
      <c r="BC349" s="174" t="str">
        <f>IF(BC$6="","",IF(BC$3="Maior",iferror(VLOOKUP($R349,Capa!$A:$AJ,BC$5,0),0),IF(ISERROR(1/VLOOKUP($R349,Capa!$A:$AJ,BC$5,0)),0,1/VLOOKUP($R349,Capa!$A:$AJ,BC$5,0))))</f>
        <v/>
      </c>
      <c r="BD349" s="174" t="str">
        <f>IF(BD$6="","",IF(BD$3="Maior",iferror(VLOOKUP($R349,Capa!$A:$AJ,BD$5,0),0),IF(ISERROR(1/VLOOKUP($R349,Capa!$A:$AJ,BD$5,0)),0,1/VLOOKUP($R349,Capa!$A:$AJ,BD$5,0))))</f>
        <v/>
      </c>
      <c r="BE349" s="174" t="str">
        <f>IF(BE$6="","",IF(BE$3="Maior",iferror(VLOOKUP($R349,Capa!$A:$AJ,BE$5,0),0),IF(ISERROR(1/VLOOKUP($R349,Capa!$A:$AJ,BE$5,0)),0,1/VLOOKUP($R349,Capa!$A:$AJ,BE$5,0))))</f>
        <v/>
      </c>
      <c r="BF349" s="174" t="str">
        <f>IF(BF$6="","",IF(BF$3="Maior",iferror(VLOOKUP($R349,Capa!$A:$AJ,BF$5,0),0),IF(ISERROR(1/VLOOKUP($R349,Capa!$A:$AJ,BF$5,0)),0,1/VLOOKUP($R349,Capa!$A:$AJ,BF$5,0))))</f>
        <v/>
      </c>
      <c r="BG349" s="174" t="str">
        <f>IF(BG$6="","",IF(BG$3="Maior",iferror(VLOOKUP($R349,Capa!$A:$AJ,BG$5,0),0),IF(ISERROR(1/VLOOKUP($R349,Capa!$A:$AJ,BG$5,0)),0,1/VLOOKUP($R349,Capa!$A:$AJ,BG$5,0))))</f>
        <v/>
      </c>
      <c r="BH349" s="174" t="str">
        <f>IF(BH$6="","",IF(BH$3="Maior",iferror(VLOOKUP($R349,Capa!$A:$AJ,BH$5,0),0),IF(ISERROR(1/VLOOKUP($R349,Capa!$A:$AJ,BH$5,0)),0,1/VLOOKUP($R349,Capa!$A:$AJ,BH$5,0))))</f>
        <v/>
      </c>
      <c r="BI349" s="174" t="str">
        <f>IF(BI$6="","",IF(BI$3="Maior",iferror(VLOOKUP($R349,Capa!$A:$AJ,BI$5,0),0),IF(ISERROR(1/VLOOKUP($R349,Capa!$A:$AJ,BI$5,0)),0,1/VLOOKUP($R349,Capa!$A:$AJ,BI$5,0))))</f>
        <v/>
      </c>
      <c r="BJ349" s="174" t="str">
        <f>IF(BJ$6="","",IF(BJ$3="Maior",iferror(VLOOKUP($R349,Capa!$A:$AJ,BJ$5,0),0),IF(ISERROR(1/VLOOKUP($R349,Capa!$A:$AJ,BJ$5,0)),0,1/VLOOKUP($R349,Capa!$A:$AJ,BJ$5,0))))</f>
        <v/>
      </c>
      <c r="BK349" s="174" t="str">
        <f>IF(BK$6="","",IF(BK$3="Maior",iferror(VLOOKUP($R349,Capa!$A:$AJ,BK$5,0),0),IF(ISERROR(1/VLOOKUP($R349,Capa!$A:$AJ,BK$5,0)),0,1/VLOOKUP($R349,Capa!$A:$AJ,BK$5,0))))</f>
        <v/>
      </c>
      <c r="BL349" s="174" t="str">
        <f>IF(BL$6="","",IF(BL$3="Maior",iferror(VLOOKUP($R349,Capa!$A:$AJ,BL$5,0),0),IF(ISERROR(1/VLOOKUP($R349,Capa!$A:$AJ,BL$5,0)),0,1/VLOOKUP($R349,Capa!$A:$AJ,BL$5,0))))</f>
        <v/>
      </c>
      <c r="BM349" s="174" t="str">
        <f>IF(BM$6="","",IF(BM$3="Maior",iferror(VLOOKUP($R349,Capa!$A:$AJ,BM$5,0),0),IF(ISERROR(1/VLOOKUP($R349,Capa!$A:$AJ,BM$5,0)),0,1/VLOOKUP($R349,Capa!$A:$AJ,BM$5,0))))</f>
        <v/>
      </c>
      <c r="BN349" s="174" t="str">
        <f>IF(BN$6="","",IF(BN$3="Maior",iferror(VLOOKUP($R349,Capa!$A:$AJ,BN$5,0),0),IF(ISERROR(1/VLOOKUP($R349,Capa!$A:$AJ,BN$5,0)),0,1/VLOOKUP($R349,Capa!$A:$AJ,BN$5,0))))</f>
        <v/>
      </c>
      <c r="BO349" s="174" t="str">
        <f>IF(BO$6="","",IF(BO$3="Maior",iferror(VLOOKUP($R349,Capa!$A:$AJ,BO$5,0),0),IF(ISERROR(1/VLOOKUP($R349,Capa!$A:$AJ,BO$5,0)),0,1/VLOOKUP($R349,Capa!$A:$AJ,BO$5,0))))</f>
        <v/>
      </c>
      <c r="BP349" s="174" t="str">
        <f>IF(BP$6="","",IF(BP$3="Maior",iferror(VLOOKUP($R349,Capa!$A:$AJ,BP$5,0),0),IF(ISERROR(1/VLOOKUP($R349,Capa!$A:$AJ,BP$5,0)),0,1/VLOOKUP($R349,Capa!$A:$AJ,BP$5,0))))</f>
        <v/>
      </c>
      <c r="BQ349" s="174" t="str">
        <f>IF(BQ$6="","",IF(BQ$3="Maior",iferror(VLOOKUP($R349,Capa!$A:$AJ,BQ$5,0),0),IF(ISERROR(1/VLOOKUP($R349,Capa!$A:$AJ,BQ$5,0)),0,1/VLOOKUP($R349,Capa!$A:$AJ,BQ$5,0))))</f>
        <v/>
      </c>
      <c r="BR349" s="175"/>
      <c r="BS349" s="147"/>
    </row>
    <row r="350">
      <c r="G350" s="11"/>
      <c r="H350" s="8">
        <v>344.0</v>
      </c>
      <c r="I350" s="165" t="str">
        <f t="shared" si="6"/>
        <v>MTSA3</v>
      </c>
      <c r="J350" s="166" t="str">
        <f>(VLOOKUP($I350,Capa!$A:$B,2,0))</f>
        <v>Metisa Metalurgica Timboense SA</v>
      </c>
      <c r="K350" s="167" t="str">
        <f>VLOOKUP(left(I350,4),Setor!A:D,3,0)&amp;" | "&amp;VLOOKUP(left(I350,4),Setor!A:D,4,0)</f>
        <v>Bens Industriais | Máquinas e Equipamentos</v>
      </c>
      <c r="L350" s="168">
        <f>(VLOOKUP($I350,Capa!$A:$F,6,0))</f>
        <v>76</v>
      </c>
      <c r="M350" s="168">
        <f t="shared" si="7"/>
        <v>7600</v>
      </c>
      <c r="N350" s="11" t="str">
        <f>IFERROR(__xludf.DUMMYFUNCTION("(VLOOKUP($I350,Capa!$A:$H,7,0))"),"")</f>
        <v/>
      </c>
      <c r="O350" s="169">
        <f>(VLOOKUP($I350,Capa!$A:$H,8,0))</f>
        <v>0</v>
      </c>
      <c r="P350" s="11" t="str">
        <f>IFERROR(__xludf.DUMMYFUNCTION("(VLOOKUP($I350,Capa!$A:$J,10,0))"),"")</f>
        <v/>
      </c>
      <c r="Q350" s="169" t="str">
        <f>(VLOOKUP($I350,Capa!$A:$K,11,0))</f>
        <v/>
      </c>
      <c r="R350" s="45" t="str">
        <f>'Dados StatusInvest'!A345</f>
        <v>JOPA4</v>
      </c>
      <c r="S350" s="170">
        <f t="shared" si="234"/>
        <v>2024.1024</v>
      </c>
      <c r="T350" s="171">
        <f>VLOOKUP(R350,'Dados StatusInvest'!A:Z,26,0)</f>
        <v>0</v>
      </c>
      <c r="U350" s="172">
        <f t="shared" ref="U350:AS350" si="353">IF(AT350="","", RANK(AT350,AT$7:AT$626,0)+RANK(AT350,AT$7:AT$626,0)/10000)</f>
        <v>474.0474</v>
      </c>
      <c r="V350" s="172">
        <f t="shared" si="353"/>
        <v>550.055</v>
      </c>
      <c r="W350" s="172" t="str">
        <f t="shared" si="353"/>
        <v/>
      </c>
      <c r="X350" s="172" t="str">
        <f t="shared" si="353"/>
        <v/>
      </c>
      <c r="Y350" s="172" t="str">
        <f t="shared" si="353"/>
        <v/>
      </c>
      <c r="Z350" s="172" t="str">
        <f t="shared" si="353"/>
        <v/>
      </c>
      <c r="AA350" s="172" t="str">
        <f t="shared" si="353"/>
        <v/>
      </c>
      <c r="AB350" s="172" t="str">
        <f t="shared" si="353"/>
        <v/>
      </c>
      <c r="AC350" s="172" t="str">
        <f t="shared" si="353"/>
        <v/>
      </c>
      <c r="AD350" s="172" t="str">
        <f t="shared" si="353"/>
        <v/>
      </c>
      <c r="AE350" s="172" t="str">
        <f t="shared" si="353"/>
        <v/>
      </c>
      <c r="AF350" s="172" t="str">
        <f t="shared" si="353"/>
        <v/>
      </c>
      <c r="AG350" s="172" t="str">
        <f t="shared" si="353"/>
        <v/>
      </c>
      <c r="AH350" s="172" t="str">
        <f t="shared" si="353"/>
        <v/>
      </c>
      <c r="AI350" s="172" t="str">
        <f t="shared" si="353"/>
        <v/>
      </c>
      <c r="AJ350" s="172" t="str">
        <f t="shared" si="353"/>
        <v/>
      </c>
      <c r="AK350" s="172" t="str">
        <f t="shared" si="353"/>
        <v/>
      </c>
      <c r="AL350" s="172" t="str">
        <f t="shared" si="353"/>
        <v/>
      </c>
      <c r="AM350" s="172" t="str">
        <f t="shared" si="353"/>
        <v/>
      </c>
      <c r="AN350" s="172" t="str">
        <f t="shared" si="353"/>
        <v/>
      </c>
      <c r="AO350" s="172" t="str">
        <f t="shared" si="353"/>
        <v/>
      </c>
      <c r="AP350" s="172" t="str">
        <f t="shared" si="353"/>
        <v/>
      </c>
      <c r="AQ350" s="172" t="str">
        <f t="shared" si="353"/>
        <v/>
      </c>
      <c r="AR350" s="172" t="str">
        <f t="shared" si="353"/>
        <v/>
      </c>
      <c r="AS350" s="172" t="str">
        <f t="shared" si="353"/>
        <v/>
      </c>
      <c r="AT350" s="173">
        <f>IF(AT$6="","",IF(AT$3="Maior",iferror(VLOOKUP($R350,Capa!$A:$AJ,AT$5,0),0),IF(ISERROR(1/VLOOKUP($R350,Capa!$A:$AJ,AT$5,0)),0,1/VLOOKUP($R350,Capa!$A:$AJ,AT$5,0))))</f>
        <v>-2.43902439</v>
      </c>
      <c r="AU350" s="174">
        <f>IF(AU$6="","",IF(AU$3="Maior",iferror(VLOOKUP($R350,Capa!$A:$AJ,AU$5,0),0),IF(ISERROR(1/VLOOKUP($R350,Capa!$A:$AJ,AU$5,0)),0,1/VLOOKUP($R350,Capa!$A:$AJ,AU$5,0))))</f>
        <v>-4.49</v>
      </c>
      <c r="AV350" s="174" t="str">
        <f>IF(AV$6="","",IF(AV$3="Maior",iferror(VLOOKUP($R350,Capa!$A:$AJ,AV$5,0),0),IF(ISERROR(1/VLOOKUP($R350,Capa!$A:$AJ,AV$5,0)),0,1/VLOOKUP($R350,Capa!$A:$AJ,AV$5,0))))</f>
        <v/>
      </c>
      <c r="AW350" s="174" t="str">
        <f>IF(AW$6="","",IF(AW$3="Maior",iferror(VLOOKUP($R350,Capa!$A:$AJ,AW$5,0),0),IF(ISERROR(1/VLOOKUP($R350,Capa!$A:$AJ,AW$5,0)),0,1/VLOOKUP($R350,Capa!$A:$AJ,AW$5,0))))</f>
        <v/>
      </c>
      <c r="AX350" s="174" t="str">
        <f>IF(AX$6="","",IF(AX$3="Maior",iferror(VLOOKUP($R350,Capa!$A:$AJ,AX$5,0),0),IF(ISERROR(1/VLOOKUP($R350,Capa!$A:$AJ,AX$5,0)),0,1/VLOOKUP($R350,Capa!$A:$AJ,AX$5,0))))</f>
        <v/>
      </c>
      <c r="AY350" s="174" t="str">
        <f>IF(AY$6="","",IF(AY$3="Maior",iferror(VLOOKUP($R350,Capa!$A:$AJ,AY$5,0),0),IF(ISERROR(1/VLOOKUP($R350,Capa!$A:$AJ,AY$5,0)),0,1/VLOOKUP($R350,Capa!$A:$AJ,AY$5,0))))</f>
        <v/>
      </c>
      <c r="AZ350" s="174" t="str">
        <f>IF(AZ$6="","",IF(AZ$3="Maior",iferror(VLOOKUP($R350,Capa!$A:$AJ,AZ$5,0),0),IF(ISERROR(1/VLOOKUP($R350,Capa!$A:$AJ,AZ$5,0)),0,1/VLOOKUP($R350,Capa!$A:$AJ,AZ$5,0))))</f>
        <v/>
      </c>
      <c r="BA350" s="174" t="str">
        <f>IF(BA$6="","",IF(BA$3="Maior",iferror(VLOOKUP($R350,Capa!$A:$AJ,BA$5,0),0),IF(ISERROR(1/VLOOKUP($R350,Capa!$A:$AJ,BA$5,0)),0,1/VLOOKUP($R350,Capa!$A:$AJ,BA$5,0))))</f>
        <v/>
      </c>
      <c r="BB350" s="174" t="str">
        <f>IF(BB$6="","",IF(BB$3="Maior",iferror(VLOOKUP($R350,Capa!$A:$AJ,BB$5,0),0),IF(ISERROR(1/VLOOKUP($R350,Capa!$A:$AJ,BB$5,0)),0,1/VLOOKUP($R350,Capa!$A:$AJ,BB$5,0))))</f>
        <v/>
      </c>
      <c r="BC350" s="174" t="str">
        <f>IF(BC$6="","",IF(BC$3="Maior",iferror(VLOOKUP($R350,Capa!$A:$AJ,BC$5,0),0),IF(ISERROR(1/VLOOKUP($R350,Capa!$A:$AJ,BC$5,0)),0,1/VLOOKUP($R350,Capa!$A:$AJ,BC$5,0))))</f>
        <v/>
      </c>
      <c r="BD350" s="174" t="str">
        <f>IF(BD$6="","",IF(BD$3="Maior",iferror(VLOOKUP($R350,Capa!$A:$AJ,BD$5,0),0),IF(ISERROR(1/VLOOKUP($R350,Capa!$A:$AJ,BD$5,0)),0,1/VLOOKUP($R350,Capa!$A:$AJ,BD$5,0))))</f>
        <v/>
      </c>
      <c r="BE350" s="174" t="str">
        <f>IF(BE$6="","",IF(BE$3="Maior",iferror(VLOOKUP($R350,Capa!$A:$AJ,BE$5,0),0),IF(ISERROR(1/VLOOKUP($R350,Capa!$A:$AJ,BE$5,0)),0,1/VLOOKUP($R350,Capa!$A:$AJ,BE$5,0))))</f>
        <v/>
      </c>
      <c r="BF350" s="174" t="str">
        <f>IF(BF$6="","",IF(BF$3="Maior",iferror(VLOOKUP($R350,Capa!$A:$AJ,BF$5,0),0),IF(ISERROR(1/VLOOKUP($R350,Capa!$A:$AJ,BF$5,0)),0,1/VLOOKUP($R350,Capa!$A:$AJ,BF$5,0))))</f>
        <v/>
      </c>
      <c r="BG350" s="174" t="str">
        <f>IF(BG$6="","",IF(BG$3="Maior",iferror(VLOOKUP($R350,Capa!$A:$AJ,BG$5,0),0),IF(ISERROR(1/VLOOKUP($R350,Capa!$A:$AJ,BG$5,0)),0,1/VLOOKUP($R350,Capa!$A:$AJ,BG$5,0))))</f>
        <v/>
      </c>
      <c r="BH350" s="174" t="str">
        <f>IF(BH$6="","",IF(BH$3="Maior",iferror(VLOOKUP($R350,Capa!$A:$AJ,BH$5,0),0),IF(ISERROR(1/VLOOKUP($R350,Capa!$A:$AJ,BH$5,0)),0,1/VLOOKUP($R350,Capa!$A:$AJ,BH$5,0))))</f>
        <v/>
      </c>
      <c r="BI350" s="174" t="str">
        <f>IF(BI$6="","",IF(BI$3="Maior",iferror(VLOOKUP($R350,Capa!$A:$AJ,BI$5,0),0),IF(ISERROR(1/VLOOKUP($R350,Capa!$A:$AJ,BI$5,0)),0,1/VLOOKUP($R350,Capa!$A:$AJ,BI$5,0))))</f>
        <v/>
      </c>
      <c r="BJ350" s="174" t="str">
        <f>IF(BJ$6="","",IF(BJ$3="Maior",iferror(VLOOKUP($R350,Capa!$A:$AJ,BJ$5,0),0),IF(ISERROR(1/VLOOKUP($R350,Capa!$A:$AJ,BJ$5,0)),0,1/VLOOKUP($R350,Capa!$A:$AJ,BJ$5,0))))</f>
        <v/>
      </c>
      <c r="BK350" s="174" t="str">
        <f>IF(BK$6="","",IF(BK$3="Maior",iferror(VLOOKUP($R350,Capa!$A:$AJ,BK$5,0),0),IF(ISERROR(1/VLOOKUP($R350,Capa!$A:$AJ,BK$5,0)),0,1/VLOOKUP($R350,Capa!$A:$AJ,BK$5,0))))</f>
        <v/>
      </c>
      <c r="BL350" s="174" t="str">
        <f>IF(BL$6="","",IF(BL$3="Maior",iferror(VLOOKUP($R350,Capa!$A:$AJ,BL$5,0),0),IF(ISERROR(1/VLOOKUP($R350,Capa!$A:$AJ,BL$5,0)),0,1/VLOOKUP($R350,Capa!$A:$AJ,BL$5,0))))</f>
        <v/>
      </c>
      <c r="BM350" s="174" t="str">
        <f>IF(BM$6="","",IF(BM$3="Maior",iferror(VLOOKUP($R350,Capa!$A:$AJ,BM$5,0),0),IF(ISERROR(1/VLOOKUP($R350,Capa!$A:$AJ,BM$5,0)),0,1/VLOOKUP($R350,Capa!$A:$AJ,BM$5,0))))</f>
        <v/>
      </c>
      <c r="BN350" s="174" t="str">
        <f>IF(BN$6="","",IF(BN$3="Maior",iferror(VLOOKUP($R350,Capa!$A:$AJ,BN$5,0),0),IF(ISERROR(1/VLOOKUP($R350,Capa!$A:$AJ,BN$5,0)),0,1/VLOOKUP($R350,Capa!$A:$AJ,BN$5,0))))</f>
        <v/>
      </c>
      <c r="BO350" s="174" t="str">
        <f>IF(BO$6="","",IF(BO$3="Maior",iferror(VLOOKUP($R350,Capa!$A:$AJ,BO$5,0),0),IF(ISERROR(1/VLOOKUP($R350,Capa!$A:$AJ,BO$5,0)),0,1/VLOOKUP($R350,Capa!$A:$AJ,BO$5,0))))</f>
        <v/>
      </c>
      <c r="BP350" s="174" t="str">
        <f>IF(BP$6="","",IF(BP$3="Maior",iferror(VLOOKUP($R350,Capa!$A:$AJ,BP$5,0),0),IF(ISERROR(1/VLOOKUP($R350,Capa!$A:$AJ,BP$5,0)),0,1/VLOOKUP($R350,Capa!$A:$AJ,BP$5,0))))</f>
        <v/>
      </c>
      <c r="BQ350" s="174" t="str">
        <f>IF(BQ$6="","",IF(BQ$3="Maior",iferror(VLOOKUP($R350,Capa!$A:$AJ,BQ$5,0),0),IF(ISERROR(1/VLOOKUP($R350,Capa!$A:$AJ,BQ$5,0)),0,1/VLOOKUP($R350,Capa!$A:$AJ,BQ$5,0))))</f>
        <v/>
      </c>
      <c r="BR350" s="175"/>
      <c r="BS350" s="147"/>
    </row>
    <row r="351">
      <c r="G351" s="11"/>
      <c r="H351" s="8">
        <v>345.0</v>
      </c>
      <c r="I351" s="165" t="str">
        <f t="shared" si="6"/>
        <v>MTSA3</v>
      </c>
      <c r="J351" s="166" t="str">
        <f>(VLOOKUP($I351,Capa!$A:$B,2,0))</f>
        <v>Metisa Metalurgica Timboense SA</v>
      </c>
      <c r="K351" s="167" t="str">
        <f>VLOOKUP(left(I351,4),Setor!A:D,3,0)&amp;" | "&amp;VLOOKUP(left(I351,4),Setor!A:D,4,0)</f>
        <v>Bens Industriais | Máquinas e Equipamentos</v>
      </c>
      <c r="L351" s="168">
        <f>(VLOOKUP($I351,Capa!$A:$F,6,0))</f>
        <v>76</v>
      </c>
      <c r="M351" s="168">
        <f t="shared" si="7"/>
        <v>7600</v>
      </c>
      <c r="N351" s="11" t="str">
        <f>IFERROR(__xludf.DUMMYFUNCTION("(VLOOKUP($I351,Capa!$A:$H,7,0))"),"")</f>
        <v/>
      </c>
      <c r="O351" s="169">
        <f>(VLOOKUP($I351,Capa!$A:$H,8,0))</f>
        <v>0</v>
      </c>
      <c r="P351" s="11" t="str">
        <f>IFERROR(__xludf.DUMMYFUNCTION("(VLOOKUP($I351,Capa!$A:$J,10,0))"),"")</f>
        <v/>
      </c>
      <c r="Q351" s="169" t="str">
        <f>(VLOOKUP($I351,Capa!$A:$K,11,0))</f>
        <v/>
      </c>
      <c r="R351" s="45" t="str">
        <f>'Dados StatusInvest'!A346</f>
        <v>JSLG3</v>
      </c>
      <c r="S351" s="170">
        <f t="shared" si="234"/>
        <v>1084.1084</v>
      </c>
      <c r="T351" s="171">
        <f>VLOOKUP(R351,'Dados StatusInvest'!A:Z,26,0)</f>
        <v>10378939</v>
      </c>
      <c r="U351" s="172">
        <f t="shared" ref="U351:AS351" si="354">IF(AT351="","", RANK(AT351,AT$7:AT$626,0)+RANK(AT351,AT$7:AT$626,0)/10000)</f>
        <v>499.0499</v>
      </c>
      <c r="V351" s="172">
        <f t="shared" si="354"/>
        <v>585.0585</v>
      </c>
      <c r="W351" s="172" t="str">
        <f t="shared" si="354"/>
        <v/>
      </c>
      <c r="X351" s="172" t="str">
        <f t="shared" si="354"/>
        <v/>
      </c>
      <c r="Y351" s="172" t="str">
        <f t="shared" si="354"/>
        <v/>
      </c>
      <c r="Z351" s="172" t="str">
        <f t="shared" si="354"/>
        <v/>
      </c>
      <c r="AA351" s="172" t="str">
        <f t="shared" si="354"/>
        <v/>
      </c>
      <c r="AB351" s="172" t="str">
        <f t="shared" si="354"/>
        <v/>
      </c>
      <c r="AC351" s="172" t="str">
        <f t="shared" si="354"/>
        <v/>
      </c>
      <c r="AD351" s="172" t="str">
        <f t="shared" si="354"/>
        <v/>
      </c>
      <c r="AE351" s="172" t="str">
        <f t="shared" si="354"/>
        <v/>
      </c>
      <c r="AF351" s="172" t="str">
        <f t="shared" si="354"/>
        <v/>
      </c>
      <c r="AG351" s="172" t="str">
        <f t="shared" si="354"/>
        <v/>
      </c>
      <c r="AH351" s="172" t="str">
        <f t="shared" si="354"/>
        <v/>
      </c>
      <c r="AI351" s="172" t="str">
        <f t="shared" si="354"/>
        <v/>
      </c>
      <c r="AJ351" s="172" t="str">
        <f t="shared" si="354"/>
        <v/>
      </c>
      <c r="AK351" s="172" t="str">
        <f t="shared" si="354"/>
        <v/>
      </c>
      <c r="AL351" s="172" t="str">
        <f t="shared" si="354"/>
        <v/>
      </c>
      <c r="AM351" s="172" t="str">
        <f t="shared" si="354"/>
        <v/>
      </c>
      <c r="AN351" s="172" t="str">
        <f t="shared" si="354"/>
        <v/>
      </c>
      <c r="AO351" s="172" t="str">
        <f t="shared" si="354"/>
        <v/>
      </c>
      <c r="AP351" s="172" t="str">
        <f t="shared" si="354"/>
        <v/>
      </c>
      <c r="AQ351" s="172" t="str">
        <f t="shared" si="354"/>
        <v/>
      </c>
      <c r="AR351" s="172" t="str">
        <f t="shared" si="354"/>
        <v/>
      </c>
      <c r="AS351" s="172" t="str">
        <f t="shared" si="354"/>
        <v/>
      </c>
      <c r="AT351" s="173">
        <f>IF(AT$6="","",IF(AT$3="Maior",iferror(VLOOKUP($R351,Capa!$A:$AJ,AT$5,0),0),IF(ISERROR(1/VLOOKUP($R351,Capa!$A:$AJ,AT$5,0)),0,1/VLOOKUP($R351,Capa!$A:$AJ,AT$5,0))))</f>
        <v>-3.193146417</v>
      </c>
      <c r="AU351" s="174">
        <f>IF(AU$6="","",IF(AU$3="Maior",iferror(VLOOKUP($R351,Capa!$A:$AJ,AU$5,0),0),IF(ISERROR(1/VLOOKUP($R351,Capa!$A:$AJ,AU$5,0)),0,1/VLOOKUP($R351,Capa!$A:$AJ,AU$5,0))))</f>
        <v>-16.07</v>
      </c>
      <c r="AV351" s="174" t="str">
        <f>IF(AV$6="","",IF(AV$3="Maior",iferror(VLOOKUP($R351,Capa!$A:$AJ,AV$5,0),0),IF(ISERROR(1/VLOOKUP($R351,Capa!$A:$AJ,AV$5,0)),0,1/VLOOKUP($R351,Capa!$A:$AJ,AV$5,0))))</f>
        <v/>
      </c>
      <c r="AW351" s="174" t="str">
        <f>IF(AW$6="","",IF(AW$3="Maior",iferror(VLOOKUP($R351,Capa!$A:$AJ,AW$5,0),0),IF(ISERROR(1/VLOOKUP($R351,Capa!$A:$AJ,AW$5,0)),0,1/VLOOKUP($R351,Capa!$A:$AJ,AW$5,0))))</f>
        <v/>
      </c>
      <c r="AX351" s="174" t="str">
        <f>IF(AX$6="","",IF(AX$3="Maior",iferror(VLOOKUP($R351,Capa!$A:$AJ,AX$5,0),0),IF(ISERROR(1/VLOOKUP($R351,Capa!$A:$AJ,AX$5,0)),0,1/VLOOKUP($R351,Capa!$A:$AJ,AX$5,0))))</f>
        <v/>
      </c>
      <c r="AY351" s="174" t="str">
        <f>IF(AY$6="","",IF(AY$3="Maior",iferror(VLOOKUP($R351,Capa!$A:$AJ,AY$5,0),0),IF(ISERROR(1/VLOOKUP($R351,Capa!$A:$AJ,AY$5,0)),0,1/VLOOKUP($R351,Capa!$A:$AJ,AY$5,0))))</f>
        <v/>
      </c>
      <c r="AZ351" s="174" t="str">
        <f>IF(AZ$6="","",IF(AZ$3="Maior",iferror(VLOOKUP($R351,Capa!$A:$AJ,AZ$5,0),0),IF(ISERROR(1/VLOOKUP($R351,Capa!$A:$AJ,AZ$5,0)),0,1/VLOOKUP($R351,Capa!$A:$AJ,AZ$5,0))))</f>
        <v/>
      </c>
      <c r="BA351" s="174" t="str">
        <f>IF(BA$6="","",IF(BA$3="Maior",iferror(VLOOKUP($R351,Capa!$A:$AJ,BA$5,0),0),IF(ISERROR(1/VLOOKUP($R351,Capa!$A:$AJ,BA$5,0)),0,1/VLOOKUP($R351,Capa!$A:$AJ,BA$5,0))))</f>
        <v/>
      </c>
      <c r="BB351" s="174" t="str">
        <f>IF(BB$6="","",IF(BB$3="Maior",iferror(VLOOKUP($R351,Capa!$A:$AJ,BB$5,0),0),IF(ISERROR(1/VLOOKUP($R351,Capa!$A:$AJ,BB$5,0)),0,1/VLOOKUP($R351,Capa!$A:$AJ,BB$5,0))))</f>
        <v/>
      </c>
      <c r="BC351" s="174" t="str">
        <f>IF(BC$6="","",IF(BC$3="Maior",iferror(VLOOKUP($R351,Capa!$A:$AJ,BC$5,0),0),IF(ISERROR(1/VLOOKUP($R351,Capa!$A:$AJ,BC$5,0)),0,1/VLOOKUP($R351,Capa!$A:$AJ,BC$5,0))))</f>
        <v/>
      </c>
      <c r="BD351" s="174" t="str">
        <f>IF(BD$6="","",IF(BD$3="Maior",iferror(VLOOKUP($R351,Capa!$A:$AJ,BD$5,0),0),IF(ISERROR(1/VLOOKUP($R351,Capa!$A:$AJ,BD$5,0)),0,1/VLOOKUP($R351,Capa!$A:$AJ,BD$5,0))))</f>
        <v/>
      </c>
      <c r="BE351" s="174" t="str">
        <f>IF(BE$6="","",IF(BE$3="Maior",iferror(VLOOKUP($R351,Capa!$A:$AJ,BE$5,0),0),IF(ISERROR(1/VLOOKUP($R351,Capa!$A:$AJ,BE$5,0)),0,1/VLOOKUP($R351,Capa!$A:$AJ,BE$5,0))))</f>
        <v/>
      </c>
      <c r="BF351" s="174" t="str">
        <f>IF(BF$6="","",IF(BF$3="Maior",iferror(VLOOKUP($R351,Capa!$A:$AJ,BF$5,0),0),IF(ISERROR(1/VLOOKUP($R351,Capa!$A:$AJ,BF$5,0)),0,1/VLOOKUP($R351,Capa!$A:$AJ,BF$5,0))))</f>
        <v/>
      </c>
      <c r="BG351" s="174" t="str">
        <f>IF(BG$6="","",IF(BG$3="Maior",iferror(VLOOKUP($R351,Capa!$A:$AJ,BG$5,0),0),IF(ISERROR(1/VLOOKUP($R351,Capa!$A:$AJ,BG$5,0)),0,1/VLOOKUP($R351,Capa!$A:$AJ,BG$5,0))))</f>
        <v/>
      </c>
      <c r="BH351" s="174" t="str">
        <f>IF(BH$6="","",IF(BH$3="Maior",iferror(VLOOKUP($R351,Capa!$A:$AJ,BH$5,0),0),IF(ISERROR(1/VLOOKUP($R351,Capa!$A:$AJ,BH$5,0)),0,1/VLOOKUP($R351,Capa!$A:$AJ,BH$5,0))))</f>
        <v/>
      </c>
      <c r="BI351" s="174" t="str">
        <f>IF(BI$6="","",IF(BI$3="Maior",iferror(VLOOKUP($R351,Capa!$A:$AJ,BI$5,0),0),IF(ISERROR(1/VLOOKUP($R351,Capa!$A:$AJ,BI$5,0)),0,1/VLOOKUP($R351,Capa!$A:$AJ,BI$5,0))))</f>
        <v/>
      </c>
      <c r="BJ351" s="174" t="str">
        <f>IF(BJ$6="","",IF(BJ$3="Maior",iferror(VLOOKUP($R351,Capa!$A:$AJ,BJ$5,0),0),IF(ISERROR(1/VLOOKUP($R351,Capa!$A:$AJ,BJ$5,0)),0,1/VLOOKUP($R351,Capa!$A:$AJ,BJ$5,0))))</f>
        <v/>
      </c>
      <c r="BK351" s="174" t="str">
        <f>IF(BK$6="","",IF(BK$3="Maior",iferror(VLOOKUP($R351,Capa!$A:$AJ,BK$5,0),0),IF(ISERROR(1/VLOOKUP($R351,Capa!$A:$AJ,BK$5,0)),0,1/VLOOKUP($R351,Capa!$A:$AJ,BK$5,0))))</f>
        <v/>
      </c>
      <c r="BL351" s="174" t="str">
        <f>IF(BL$6="","",IF(BL$3="Maior",iferror(VLOOKUP($R351,Capa!$A:$AJ,BL$5,0),0),IF(ISERROR(1/VLOOKUP($R351,Capa!$A:$AJ,BL$5,0)),0,1/VLOOKUP($R351,Capa!$A:$AJ,BL$5,0))))</f>
        <v/>
      </c>
      <c r="BM351" s="174" t="str">
        <f>IF(BM$6="","",IF(BM$3="Maior",iferror(VLOOKUP($R351,Capa!$A:$AJ,BM$5,0),0),IF(ISERROR(1/VLOOKUP($R351,Capa!$A:$AJ,BM$5,0)),0,1/VLOOKUP($R351,Capa!$A:$AJ,BM$5,0))))</f>
        <v/>
      </c>
      <c r="BN351" s="174" t="str">
        <f>IF(BN$6="","",IF(BN$3="Maior",iferror(VLOOKUP($R351,Capa!$A:$AJ,BN$5,0),0),IF(ISERROR(1/VLOOKUP($R351,Capa!$A:$AJ,BN$5,0)),0,1/VLOOKUP($R351,Capa!$A:$AJ,BN$5,0))))</f>
        <v/>
      </c>
      <c r="BO351" s="174" t="str">
        <f>IF(BO$6="","",IF(BO$3="Maior",iferror(VLOOKUP($R351,Capa!$A:$AJ,BO$5,0),0),IF(ISERROR(1/VLOOKUP($R351,Capa!$A:$AJ,BO$5,0)),0,1/VLOOKUP($R351,Capa!$A:$AJ,BO$5,0))))</f>
        <v/>
      </c>
      <c r="BP351" s="174" t="str">
        <f>IF(BP$6="","",IF(BP$3="Maior",iferror(VLOOKUP($R351,Capa!$A:$AJ,BP$5,0),0),IF(ISERROR(1/VLOOKUP($R351,Capa!$A:$AJ,BP$5,0)),0,1/VLOOKUP($R351,Capa!$A:$AJ,BP$5,0))))</f>
        <v/>
      </c>
      <c r="BQ351" s="174" t="str">
        <f>IF(BQ$6="","",IF(BQ$3="Maior",iferror(VLOOKUP($R351,Capa!$A:$AJ,BQ$5,0),0),IF(ISERROR(1/VLOOKUP($R351,Capa!$A:$AJ,BQ$5,0)),0,1/VLOOKUP($R351,Capa!$A:$AJ,BQ$5,0))))</f>
        <v/>
      </c>
      <c r="BR351" s="175"/>
      <c r="BS351" s="147"/>
    </row>
    <row r="352">
      <c r="G352" s="11"/>
      <c r="H352" s="8">
        <v>346.0</v>
      </c>
      <c r="I352" s="165" t="str">
        <f t="shared" si="6"/>
        <v>OFSA3</v>
      </c>
      <c r="J352" s="166" t="str">
        <f>(VLOOKUP($I352,Capa!$A:$B,2,0))</f>
        <v>Ourofino SA</v>
      </c>
      <c r="K352" s="167" t="str">
        <f>VLOOKUP(left(I352,4),Setor!A:D,3,0)&amp;" | "&amp;VLOOKUP(left(I352,4),Setor!A:D,4,0)</f>
        <v>Saúde | Medicamentos e Outros Produtos</v>
      </c>
      <c r="L352" s="168">
        <f>(VLOOKUP($I352,Capa!$A:$F,6,0))</f>
        <v>23.36</v>
      </c>
      <c r="M352" s="168">
        <f t="shared" si="7"/>
        <v>159459.9</v>
      </c>
      <c r="N352" s="11" t="str">
        <f>IFERROR(__xludf.DUMMYFUNCTION("(VLOOKUP($I352,Capa!$A:$H,7,0))"),"")</f>
        <v/>
      </c>
      <c r="O352" s="169">
        <f>(VLOOKUP($I352,Capa!$A:$H,8,0))</f>
        <v>-0.01100762066</v>
      </c>
      <c r="P352" s="11" t="str">
        <f>IFERROR(__xludf.DUMMYFUNCTION("(VLOOKUP($I352,Capa!$A:$J,10,0))"),"")</f>
        <v/>
      </c>
      <c r="Q352" s="169">
        <f>(VLOOKUP($I352,Capa!$A:$K,11,0))</f>
        <v>0.2173006774</v>
      </c>
      <c r="R352" s="45" t="str">
        <f>'Dados StatusInvest'!A347</f>
        <v>KEPL3</v>
      </c>
      <c r="S352" s="170">
        <f t="shared" si="234"/>
        <v>299.0299</v>
      </c>
      <c r="T352" s="171">
        <f>VLOOKUP(R352,'Dados StatusInvest'!A:Z,26,0)</f>
        <v>30740276</v>
      </c>
      <c r="U352" s="172">
        <f t="shared" ref="U352:AS352" si="355">IF(AT352="","", RANK(AT352,AT$7:AT$626,0)+RANK(AT352,AT$7:AT$626,0)/10000)</f>
        <v>212.0212</v>
      </c>
      <c r="V352" s="172">
        <f t="shared" si="355"/>
        <v>87.0087</v>
      </c>
      <c r="W352" s="172" t="str">
        <f t="shared" si="355"/>
        <v/>
      </c>
      <c r="X352" s="172" t="str">
        <f t="shared" si="355"/>
        <v/>
      </c>
      <c r="Y352" s="172" t="str">
        <f t="shared" si="355"/>
        <v/>
      </c>
      <c r="Z352" s="172" t="str">
        <f t="shared" si="355"/>
        <v/>
      </c>
      <c r="AA352" s="172" t="str">
        <f t="shared" si="355"/>
        <v/>
      </c>
      <c r="AB352" s="172" t="str">
        <f t="shared" si="355"/>
        <v/>
      </c>
      <c r="AC352" s="172" t="str">
        <f t="shared" si="355"/>
        <v/>
      </c>
      <c r="AD352" s="172" t="str">
        <f t="shared" si="355"/>
        <v/>
      </c>
      <c r="AE352" s="172" t="str">
        <f t="shared" si="355"/>
        <v/>
      </c>
      <c r="AF352" s="172" t="str">
        <f t="shared" si="355"/>
        <v/>
      </c>
      <c r="AG352" s="172" t="str">
        <f t="shared" si="355"/>
        <v/>
      </c>
      <c r="AH352" s="172" t="str">
        <f t="shared" si="355"/>
        <v/>
      </c>
      <c r="AI352" s="172" t="str">
        <f t="shared" si="355"/>
        <v/>
      </c>
      <c r="AJ352" s="172" t="str">
        <f t="shared" si="355"/>
        <v/>
      </c>
      <c r="AK352" s="172" t="str">
        <f t="shared" si="355"/>
        <v/>
      </c>
      <c r="AL352" s="172" t="str">
        <f t="shared" si="355"/>
        <v/>
      </c>
      <c r="AM352" s="172" t="str">
        <f t="shared" si="355"/>
        <v/>
      </c>
      <c r="AN352" s="172" t="str">
        <f t="shared" si="355"/>
        <v/>
      </c>
      <c r="AO352" s="172" t="str">
        <f t="shared" si="355"/>
        <v/>
      </c>
      <c r="AP352" s="172" t="str">
        <f t="shared" si="355"/>
        <v/>
      </c>
      <c r="AQ352" s="172" t="str">
        <f t="shared" si="355"/>
        <v/>
      </c>
      <c r="AR352" s="172" t="str">
        <f t="shared" si="355"/>
        <v/>
      </c>
      <c r="AS352" s="172" t="str">
        <f t="shared" si="355"/>
        <v/>
      </c>
      <c r="AT352" s="173">
        <f>IF(AT$6="","",IF(AT$3="Maior",iferror(VLOOKUP($R352,Capa!$A:$AJ,AT$5,0),0),IF(ISERROR(1/VLOOKUP($R352,Capa!$A:$AJ,AT$5,0)),0,1/VLOOKUP($R352,Capa!$A:$AJ,AT$5,0))))</f>
        <v>-0.3028557626</v>
      </c>
      <c r="AU352" s="174">
        <f>IF(AU$6="","",IF(AU$3="Maior",iferror(VLOOKUP($R352,Capa!$A:$AJ,AU$5,0),0),IF(ISERROR(1/VLOOKUP($R352,Capa!$A:$AJ,AU$5,0)),0,1/VLOOKUP($R352,Capa!$A:$AJ,AU$5,0))))</f>
        <v>30.44</v>
      </c>
      <c r="AV352" s="174" t="str">
        <f>IF(AV$6="","",IF(AV$3="Maior",iferror(VLOOKUP($R352,Capa!$A:$AJ,AV$5,0),0),IF(ISERROR(1/VLOOKUP($R352,Capa!$A:$AJ,AV$5,0)),0,1/VLOOKUP($R352,Capa!$A:$AJ,AV$5,0))))</f>
        <v/>
      </c>
      <c r="AW352" s="174" t="str">
        <f>IF(AW$6="","",IF(AW$3="Maior",iferror(VLOOKUP($R352,Capa!$A:$AJ,AW$5,0),0),IF(ISERROR(1/VLOOKUP($R352,Capa!$A:$AJ,AW$5,0)),0,1/VLOOKUP($R352,Capa!$A:$AJ,AW$5,0))))</f>
        <v/>
      </c>
      <c r="AX352" s="174" t="str">
        <f>IF(AX$6="","",IF(AX$3="Maior",iferror(VLOOKUP($R352,Capa!$A:$AJ,AX$5,0),0),IF(ISERROR(1/VLOOKUP($R352,Capa!$A:$AJ,AX$5,0)),0,1/VLOOKUP($R352,Capa!$A:$AJ,AX$5,0))))</f>
        <v/>
      </c>
      <c r="AY352" s="174" t="str">
        <f>IF(AY$6="","",IF(AY$3="Maior",iferror(VLOOKUP($R352,Capa!$A:$AJ,AY$5,0),0),IF(ISERROR(1/VLOOKUP($R352,Capa!$A:$AJ,AY$5,0)),0,1/VLOOKUP($R352,Capa!$A:$AJ,AY$5,0))))</f>
        <v/>
      </c>
      <c r="AZ352" s="174" t="str">
        <f>IF(AZ$6="","",IF(AZ$3="Maior",iferror(VLOOKUP($R352,Capa!$A:$AJ,AZ$5,0),0),IF(ISERROR(1/VLOOKUP($R352,Capa!$A:$AJ,AZ$5,0)),0,1/VLOOKUP($R352,Capa!$A:$AJ,AZ$5,0))))</f>
        <v/>
      </c>
      <c r="BA352" s="174" t="str">
        <f>IF(BA$6="","",IF(BA$3="Maior",iferror(VLOOKUP($R352,Capa!$A:$AJ,BA$5,0),0),IF(ISERROR(1/VLOOKUP($R352,Capa!$A:$AJ,BA$5,0)),0,1/VLOOKUP($R352,Capa!$A:$AJ,BA$5,0))))</f>
        <v/>
      </c>
      <c r="BB352" s="174" t="str">
        <f>IF(BB$6="","",IF(BB$3="Maior",iferror(VLOOKUP($R352,Capa!$A:$AJ,BB$5,0),0),IF(ISERROR(1/VLOOKUP($R352,Capa!$A:$AJ,BB$5,0)),0,1/VLOOKUP($R352,Capa!$A:$AJ,BB$5,0))))</f>
        <v/>
      </c>
      <c r="BC352" s="174" t="str">
        <f>IF(BC$6="","",IF(BC$3="Maior",iferror(VLOOKUP($R352,Capa!$A:$AJ,BC$5,0),0),IF(ISERROR(1/VLOOKUP($R352,Capa!$A:$AJ,BC$5,0)),0,1/VLOOKUP($R352,Capa!$A:$AJ,BC$5,0))))</f>
        <v/>
      </c>
      <c r="BD352" s="174" t="str">
        <f>IF(BD$6="","",IF(BD$3="Maior",iferror(VLOOKUP($R352,Capa!$A:$AJ,BD$5,0),0),IF(ISERROR(1/VLOOKUP($R352,Capa!$A:$AJ,BD$5,0)),0,1/VLOOKUP($R352,Capa!$A:$AJ,BD$5,0))))</f>
        <v/>
      </c>
      <c r="BE352" s="174" t="str">
        <f>IF(BE$6="","",IF(BE$3="Maior",iferror(VLOOKUP($R352,Capa!$A:$AJ,BE$5,0),0),IF(ISERROR(1/VLOOKUP($R352,Capa!$A:$AJ,BE$5,0)),0,1/VLOOKUP($R352,Capa!$A:$AJ,BE$5,0))))</f>
        <v/>
      </c>
      <c r="BF352" s="174" t="str">
        <f>IF(BF$6="","",IF(BF$3="Maior",iferror(VLOOKUP($R352,Capa!$A:$AJ,BF$5,0),0),IF(ISERROR(1/VLOOKUP($R352,Capa!$A:$AJ,BF$5,0)),0,1/VLOOKUP($R352,Capa!$A:$AJ,BF$5,0))))</f>
        <v/>
      </c>
      <c r="BG352" s="174" t="str">
        <f>IF(BG$6="","",IF(BG$3="Maior",iferror(VLOOKUP($R352,Capa!$A:$AJ,BG$5,0),0),IF(ISERROR(1/VLOOKUP($R352,Capa!$A:$AJ,BG$5,0)),0,1/VLOOKUP($R352,Capa!$A:$AJ,BG$5,0))))</f>
        <v/>
      </c>
      <c r="BH352" s="174" t="str">
        <f>IF(BH$6="","",IF(BH$3="Maior",iferror(VLOOKUP($R352,Capa!$A:$AJ,BH$5,0),0),IF(ISERROR(1/VLOOKUP($R352,Capa!$A:$AJ,BH$5,0)),0,1/VLOOKUP($R352,Capa!$A:$AJ,BH$5,0))))</f>
        <v/>
      </c>
      <c r="BI352" s="174" t="str">
        <f>IF(BI$6="","",IF(BI$3="Maior",iferror(VLOOKUP($R352,Capa!$A:$AJ,BI$5,0),0),IF(ISERROR(1/VLOOKUP($R352,Capa!$A:$AJ,BI$5,0)),0,1/VLOOKUP($R352,Capa!$A:$AJ,BI$5,0))))</f>
        <v/>
      </c>
      <c r="BJ352" s="174" t="str">
        <f>IF(BJ$6="","",IF(BJ$3="Maior",iferror(VLOOKUP($R352,Capa!$A:$AJ,BJ$5,0),0),IF(ISERROR(1/VLOOKUP($R352,Capa!$A:$AJ,BJ$5,0)),0,1/VLOOKUP($R352,Capa!$A:$AJ,BJ$5,0))))</f>
        <v/>
      </c>
      <c r="BK352" s="174" t="str">
        <f>IF(BK$6="","",IF(BK$3="Maior",iferror(VLOOKUP($R352,Capa!$A:$AJ,BK$5,0),0),IF(ISERROR(1/VLOOKUP($R352,Capa!$A:$AJ,BK$5,0)),0,1/VLOOKUP($R352,Capa!$A:$AJ,BK$5,0))))</f>
        <v/>
      </c>
      <c r="BL352" s="174" t="str">
        <f>IF(BL$6="","",IF(BL$3="Maior",iferror(VLOOKUP($R352,Capa!$A:$AJ,BL$5,0),0),IF(ISERROR(1/VLOOKUP($R352,Capa!$A:$AJ,BL$5,0)),0,1/VLOOKUP($R352,Capa!$A:$AJ,BL$5,0))))</f>
        <v/>
      </c>
      <c r="BM352" s="174" t="str">
        <f>IF(BM$6="","",IF(BM$3="Maior",iferror(VLOOKUP($R352,Capa!$A:$AJ,BM$5,0),0),IF(ISERROR(1/VLOOKUP($R352,Capa!$A:$AJ,BM$5,0)),0,1/VLOOKUP($R352,Capa!$A:$AJ,BM$5,0))))</f>
        <v/>
      </c>
      <c r="BN352" s="174" t="str">
        <f>IF(BN$6="","",IF(BN$3="Maior",iferror(VLOOKUP($R352,Capa!$A:$AJ,BN$5,0),0),IF(ISERROR(1/VLOOKUP($R352,Capa!$A:$AJ,BN$5,0)),0,1/VLOOKUP($R352,Capa!$A:$AJ,BN$5,0))))</f>
        <v/>
      </c>
      <c r="BO352" s="174" t="str">
        <f>IF(BO$6="","",IF(BO$3="Maior",iferror(VLOOKUP($R352,Capa!$A:$AJ,BO$5,0),0),IF(ISERROR(1/VLOOKUP($R352,Capa!$A:$AJ,BO$5,0)),0,1/VLOOKUP($R352,Capa!$A:$AJ,BO$5,0))))</f>
        <v/>
      </c>
      <c r="BP352" s="174" t="str">
        <f>IF(BP$6="","",IF(BP$3="Maior",iferror(VLOOKUP($R352,Capa!$A:$AJ,BP$5,0),0),IF(ISERROR(1/VLOOKUP($R352,Capa!$A:$AJ,BP$5,0)),0,1/VLOOKUP($R352,Capa!$A:$AJ,BP$5,0))))</f>
        <v/>
      </c>
      <c r="BQ352" s="174" t="str">
        <f>IF(BQ$6="","",IF(BQ$3="Maior",iferror(VLOOKUP($R352,Capa!$A:$AJ,BQ$5,0),0),IF(ISERROR(1/VLOOKUP($R352,Capa!$A:$AJ,BQ$5,0)),0,1/VLOOKUP($R352,Capa!$A:$AJ,BQ$5,0))))</f>
        <v/>
      </c>
      <c r="BR352" s="175"/>
      <c r="BS352" s="147"/>
    </row>
    <row r="353">
      <c r="G353" s="11"/>
      <c r="H353" s="8">
        <v>347.0</v>
      </c>
      <c r="I353" s="165" t="str">
        <f t="shared" si="6"/>
        <v>ENBR3</v>
      </c>
      <c r="J353" s="166" t="str">
        <f>(VLOOKUP($I353,Capa!$A:$B,2,0))</f>
        <v/>
      </c>
      <c r="K353" s="167" t="str">
        <f>VLOOKUP(left(I353,4),Setor!A:D,3,0)&amp;" | "&amp;VLOOKUP(left(I353,4),Setor!A:D,4,0)</f>
        <v>Utilidade Pública | Energia Elétrica</v>
      </c>
      <c r="L353" s="168" t="str">
        <f>(VLOOKUP($I353,Capa!$A:$F,6,0))</f>
        <v/>
      </c>
      <c r="M353" s="168">
        <f t="shared" si="7"/>
        <v>0</v>
      </c>
      <c r="N353" s="11" t="str">
        <f>(VLOOKUP($I353,Capa!$A:$H,7,0))</f>
        <v/>
      </c>
      <c r="O353" s="169" t="str">
        <f>(VLOOKUP($I353,Capa!$A:$H,8,0))</f>
        <v/>
      </c>
      <c r="P353" s="11" t="str">
        <f>(VLOOKUP($I353,Capa!$A:$J,10,0))</f>
        <v/>
      </c>
      <c r="Q353" s="169" t="str">
        <f>(VLOOKUP($I353,Capa!$A:$K,11,0))</f>
        <v/>
      </c>
      <c r="R353" s="45" t="str">
        <f>'Dados StatusInvest'!A348</f>
        <v>KLBN11</v>
      </c>
      <c r="S353" s="170">
        <f t="shared" si="234"/>
        <v>556.0556</v>
      </c>
      <c r="T353" s="171">
        <f>VLOOKUP(R353,'Dados StatusInvest'!A:Z,26,0)</f>
        <v>139000000</v>
      </c>
      <c r="U353" s="172">
        <f t="shared" ref="U353:AS353" si="356">IF(AT353="","", RANK(AT353,AT$7:AT$626,0)+RANK(AT353,AT$7:AT$626,0)/10000)</f>
        <v>433.0433</v>
      </c>
      <c r="V353" s="172">
        <f t="shared" si="356"/>
        <v>123.0123</v>
      </c>
      <c r="W353" s="172" t="str">
        <f t="shared" si="356"/>
        <v/>
      </c>
      <c r="X353" s="172" t="str">
        <f t="shared" si="356"/>
        <v/>
      </c>
      <c r="Y353" s="172" t="str">
        <f t="shared" si="356"/>
        <v/>
      </c>
      <c r="Z353" s="172" t="str">
        <f t="shared" si="356"/>
        <v/>
      </c>
      <c r="AA353" s="172" t="str">
        <f t="shared" si="356"/>
        <v/>
      </c>
      <c r="AB353" s="172" t="str">
        <f t="shared" si="356"/>
        <v/>
      </c>
      <c r="AC353" s="172" t="str">
        <f t="shared" si="356"/>
        <v/>
      </c>
      <c r="AD353" s="172" t="str">
        <f t="shared" si="356"/>
        <v/>
      </c>
      <c r="AE353" s="172" t="str">
        <f t="shared" si="356"/>
        <v/>
      </c>
      <c r="AF353" s="172" t="str">
        <f t="shared" si="356"/>
        <v/>
      </c>
      <c r="AG353" s="172" t="str">
        <f t="shared" si="356"/>
        <v/>
      </c>
      <c r="AH353" s="172" t="str">
        <f t="shared" si="356"/>
        <v/>
      </c>
      <c r="AI353" s="172" t="str">
        <f t="shared" si="356"/>
        <v/>
      </c>
      <c r="AJ353" s="172" t="str">
        <f t="shared" si="356"/>
        <v/>
      </c>
      <c r="AK353" s="172" t="str">
        <f t="shared" si="356"/>
        <v/>
      </c>
      <c r="AL353" s="172" t="str">
        <f t="shared" si="356"/>
        <v/>
      </c>
      <c r="AM353" s="172" t="str">
        <f t="shared" si="356"/>
        <v/>
      </c>
      <c r="AN353" s="172" t="str">
        <f t="shared" si="356"/>
        <v/>
      </c>
      <c r="AO353" s="172" t="str">
        <f t="shared" si="356"/>
        <v/>
      </c>
      <c r="AP353" s="172" t="str">
        <f t="shared" si="356"/>
        <v/>
      </c>
      <c r="AQ353" s="172" t="str">
        <f t="shared" si="356"/>
        <v/>
      </c>
      <c r="AR353" s="172" t="str">
        <f t="shared" si="356"/>
        <v/>
      </c>
      <c r="AS353" s="172" t="str">
        <f t="shared" si="356"/>
        <v/>
      </c>
      <c r="AT353" s="173">
        <f>IF(AT$6="","",IF(AT$3="Maior",iferror(VLOOKUP($R353,Capa!$A:$AJ,AT$5,0),0),IF(ISERROR(1/VLOOKUP($R353,Capa!$A:$AJ,AT$5,0)),0,1/VLOOKUP($R353,Capa!$A:$AJ,AT$5,0))))</f>
        <v>-1.666735529</v>
      </c>
      <c r="AU353" s="174">
        <f>IF(AU$6="","",IF(AU$3="Maior",iferror(VLOOKUP($R353,Capa!$A:$AJ,AU$5,0),0),IF(ISERROR(1/VLOOKUP($R353,Capa!$A:$AJ,AU$5,0)),0,1/VLOOKUP($R353,Capa!$A:$AJ,AU$5,0))))</f>
        <v>22.3</v>
      </c>
      <c r="AV353" s="174" t="str">
        <f>IF(AV$6="","",IF(AV$3="Maior",iferror(VLOOKUP($R353,Capa!$A:$AJ,AV$5,0),0),IF(ISERROR(1/VLOOKUP($R353,Capa!$A:$AJ,AV$5,0)),0,1/VLOOKUP($R353,Capa!$A:$AJ,AV$5,0))))</f>
        <v/>
      </c>
      <c r="AW353" s="174" t="str">
        <f>IF(AW$6="","",IF(AW$3="Maior",iferror(VLOOKUP($R353,Capa!$A:$AJ,AW$5,0),0),IF(ISERROR(1/VLOOKUP($R353,Capa!$A:$AJ,AW$5,0)),0,1/VLOOKUP($R353,Capa!$A:$AJ,AW$5,0))))</f>
        <v/>
      </c>
      <c r="AX353" s="174" t="str">
        <f>IF(AX$6="","",IF(AX$3="Maior",iferror(VLOOKUP($R353,Capa!$A:$AJ,AX$5,0),0),IF(ISERROR(1/VLOOKUP($R353,Capa!$A:$AJ,AX$5,0)),0,1/VLOOKUP($R353,Capa!$A:$AJ,AX$5,0))))</f>
        <v/>
      </c>
      <c r="AY353" s="174" t="str">
        <f>IF(AY$6="","",IF(AY$3="Maior",iferror(VLOOKUP($R353,Capa!$A:$AJ,AY$5,0),0),IF(ISERROR(1/VLOOKUP($R353,Capa!$A:$AJ,AY$5,0)),0,1/VLOOKUP($R353,Capa!$A:$AJ,AY$5,0))))</f>
        <v/>
      </c>
      <c r="AZ353" s="174" t="str">
        <f>IF(AZ$6="","",IF(AZ$3="Maior",iferror(VLOOKUP($R353,Capa!$A:$AJ,AZ$5,0),0),IF(ISERROR(1/VLOOKUP($R353,Capa!$A:$AJ,AZ$5,0)),0,1/VLOOKUP($R353,Capa!$A:$AJ,AZ$5,0))))</f>
        <v/>
      </c>
      <c r="BA353" s="174" t="str">
        <f>IF(BA$6="","",IF(BA$3="Maior",iferror(VLOOKUP($R353,Capa!$A:$AJ,BA$5,0),0),IF(ISERROR(1/VLOOKUP($R353,Capa!$A:$AJ,BA$5,0)),0,1/VLOOKUP($R353,Capa!$A:$AJ,BA$5,0))))</f>
        <v/>
      </c>
      <c r="BB353" s="174" t="str">
        <f>IF(BB$6="","",IF(BB$3="Maior",iferror(VLOOKUP($R353,Capa!$A:$AJ,BB$5,0),0),IF(ISERROR(1/VLOOKUP($R353,Capa!$A:$AJ,BB$5,0)),0,1/VLOOKUP($R353,Capa!$A:$AJ,BB$5,0))))</f>
        <v/>
      </c>
      <c r="BC353" s="174" t="str">
        <f>IF(BC$6="","",IF(BC$3="Maior",iferror(VLOOKUP($R353,Capa!$A:$AJ,BC$5,0),0),IF(ISERROR(1/VLOOKUP($R353,Capa!$A:$AJ,BC$5,0)),0,1/VLOOKUP($R353,Capa!$A:$AJ,BC$5,0))))</f>
        <v/>
      </c>
      <c r="BD353" s="174" t="str">
        <f>IF(BD$6="","",IF(BD$3="Maior",iferror(VLOOKUP($R353,Capa!$A:$AJ,BD$5,0),0),IF(ISERROR(1/VLOOKUP($R353,Capa!$A:$AJ,BD$5,0)),0,1/VLOOKUP($R353,Capa!$A:$AJ,BD$5,0))))</f>
        <v/>
      </c>
      <c r="BE353" s="174" t="str">
        <f>IF(BE$6="","",IF(BE$3="Maior",iferror(VLOOKUP($R353,Capa!$A:$AJ,BE$5,0),0),IF(ISERROR(1/VLOOKUP($R353,Capa!$A:$AJ,BE$5,0)),0,1/VLOOKUP($R353,Capa!$A:$AJ,BE$5,0))))</f>
        <v/>
      </c>
      <c r="BF353" s="174" t="str">
        <f>IF(BF$6="","",IF(BF$3="Maior",iferror(VLOOKUP($R353,Capa!$A:$AJ,BF$5,0),0),IF(ISERROR(1/VLOOKUP($R353,Capa!$A:$AJ,BF$5,0)),0,1/VLOOKUP($R353,Capa!$A:$AJ,BF$5,0))))</f>
        <v/>
      </c>
      <c r="BG353" s="174" t="str">
        <f>IF(BG$6="","",IF(BG$3="Maior",iferror(VLOOKUP($R353,Capa!$A:$AJ,BG$5,0),0),IF(ISERROR(1/VLOOKUP($R353,Capa!$A:$AJ,BG$5,0)),0,1/VLOOKUP($R353,Capa!$A:$AJ,BG$5,0))))</f>
        <v/>
      </c>
      <c r="BH353" s="174" t="str">
        <f>IF(BH$6="","",IF(BH$3="Maior",iferror(VLOOKUP($R353,Capa!$A:$AJ,BH$5,0),0),IF(ISERROR(1/VLOOKUP($R353,Capa!$A:$AJ,BH$5,0)),0,1/VLOOKUP($R353,Capa!$A:$AJ,BH$5,0))))</f>
        <v/>
      </c>
      <c r="BI353" s="174" t="str">
        <f>IF(BI$6="","",IF(BI$3="Maior",iferror(VLOOKUP($R353,Capa!$A:$AJ,BI$5,0),0),IF(ISERROR(1/VLOOKUP($R353,Capa!$A:$AJ,BI$5,0)),0,1/VLOOKUP($R353,Capa!$A:$AJ,BI$5,0))))</f>
        <v/>
      </c>
      <c r="BJ353" s="174" t="str">
        <f>IF(BJ$6="","",IF(BJ$3="Maior",iferror(VLOOKUP($R353,Capa!$A:$AJ,BJ$5,0),0),IF(ISERROR(1/VLOOKUP($R353,Capa!$A:$AJ,BJ$5,0)),0,1/VLOOKUP($R353,Capa!$A:$AJ,BJ$5,0))))</f>
        <v/>
      </c>
      <c r="BK353" s="174" t="str">
        <f>IF(BK$6="","",IF(BK$3="Maior",iferror(VLOOKUP($R353,Capa!$A:$AJ,BK$5,0),0),IF(ISERROR(1/VLOOKUP($R353,Capa!$A:$AJ,BK$5,0)),0,1/VLOOKUP($R353,Capa!$A:$AJ,BK$5,0))))</f>
        <v/>
      </c>
      <c r="BL353" s="174" t="str">
        <f>IF(BL$6="","",IF(BL$3="Maior",iferror(VLOOKUP($R353,Capa!$A:$AJ,BL$5,0),0),IF(ISERROR(1/VLOOKUP($R353,Capa!$A:$AJ,BL$5,0)),0,1/VLOOKUP($R353,Capa!$A:$AJ,BL$5,0))))</f>
        <v/>
      </c>
      <c r="BM353" s="174" t="str">
        <f>IF(BM$6="","",IF(BM$3="Maior",iferror(VLOOKUP($R353,Capa!$A:$AJ,BM$5,0),0),IF(ISERROR(1/VLOOKUP($R353,Capa!$A:$AJ,BM$5,0)),0,1/VLOOKUP($R353,Capa!$A:$AJ,BM$5,0))))</f>
        <v/>
      </c>
      <c r="BN353" s="174" t="str">
        <f>IF(BN$6="","",IF(BN$3="Maior",iferror(VLOOKUP($R353,Capa!$A:$AJ,BN$5,0),0),IF(ISERROR(1/VLOOKUP($R353,Capa!$A:$AJ,BN$5,0)),0,1/VLOOKUP($R353,Capa!$A:$AJ,BN$5,0))))</f>
        <v/>
      </c>
      <c r="BO353" s="174" t="str">
        <f>IF(BO$6="","",IF(BO$3="Maior",iferror(VLOOKUP($R353,Capa!$A:$AJ,BO$5,0),0),IF(ISERROR(1/VLOOKUP($R353,Capa!$A:$AJ,BO$5,0)),0,1/VLOOKUP($R353,Capa!$A:$AJ,BO$5,0))))</f>
        <v/>
      </c>
      <c r="BP353" s="174" t="str">
        <f>IF(BP$6="","",IF(BP$3="Maior",iferror(VLOOKUP($R353,Capa!$A:$AJ,BP$5,0),0),IF(ISERROR(1/VLOOKUP($R353,Capa!$A:$AJ,BP$5,0)),0,1/VLOOKUP($R353,Capa!$A:$AJ,BP$5,0))))</f>
        <v/>
      </c>
      <c r="BQ353" s="174" t="str">
        <f>IF(BQ$6="","",IF(BQ$3="Maior",iferror(VLOOKUP($R353,Capa!$A:$AJ,BQ$5,0),0),IF(ISERROR(1/VLOOKUP($R353,Capa!$A:$AJ,BQ$5,0)),0,1/VLOOKUP($R353,Capa!$A:$AJ,BQ$5,0))))</f>
        <v/>
      </c>
      <c r="BR353" s="175"/>
      <c r="BS353" s="147"/>
    </row>
    <row r="354">
      <c r="G354" s="11"/>
      <c r="H354" s="8">
        <v>348.0</v>
      </c>
      <c r="I354" s="165" t="str">
        <f t="shared" si="6"/>
        <v>MTSA4</v>
      </c>
      <c r="J354" s="166" t="str">
        <f>(VLOOKUP($I354,Capa!$A:$B,2,0))</f>
        <v>Metisa Metalurgica Timboense SA Preference Shares</v>
      </c>
      <c r="K354" s="167" t="str">
        <f>VLOOKUP(left(I354,4),Setor!A:D,3,0)&amp;" | "&amp;VLOOKUP(left(I354,4),Setor!A:D,4,0)</f>
        <v>Bens Industriais | Máquinas e Equipamentos</v>
      </c>
      <c r="L354" s="168">
        <f>(VLOOKUP($I354,Capa!$A:$F,6,0))</f>
        <v>57.49</v>
      </c>
      <c r="M354" s="168">
        <f t="shared" si="7"/>
        <v>69164.81</v>
      </c>
      <c r="N354" s="11" t="str">
        <f>IFERROR(__xludf.DUMMYFUNCTION("(VLOOKUP($I354,Capa!$A:$H,7,0))"),"")</f>
        <v/>
      </c>
      <c r="O354" s="169">
        <f>(VLOOKUP($I354,Capa!$A:$H,8,0))</f>
        <v>0.1942251766</v>
      </c>
      <c r="P354" s="11" t="str">
        <f>IFERROR(__xludf.DUMMYFUNCTION("(VLOOKUP($I354,Capa!$A:$J,10,0))"),"")</f>
        <v/>
      </c>
      <c r="Q354" s="169">
        <f>(VLOOKUP($I354,Capa!$A:$K,11,0))</f>
        <v>0.3853012048</v>
      </c>
      <c r="R354" s="45" t="str">
        <f>'Dados StatusInvest'!A349</f>
        <v>KLBN3</v>
      </c>
      <c r="S354" s="170">
        <f t="shared" si="234"/>
        <v>563.0563</v>
      </c>
      <c r="T354" s="171">
        <f>VLOOKUP(R354,'Dados StatusInvest'!A:Z,26,0)</f>
        <v>3168023</v>
      </c>
      <c r="U354" s="172">
        <f t="shared" ref="U354:AS354" si="357">IF(AT354="","", RANK(AT354,AT$7:AT$626,0)+RANK(AT354,AT$7:AT$626,0)/10000)</f>
        <v>440.044</v>
      </c>
      <c r="V354" s="172">
        <f t="shared" si="357"/>
        <v>123.0123</v>
      </c>
      <c r="W354" s="172" t="str">
        <f t="shared" si="357"/>
        <v/>
      </c>
      <c r="X354" s="172" t="str">
        <f t="shared" si="357"/>
        <v/>
      </c>
      <c r="Y354" s="172" t="str">
        <f t="shared" si="357"/>
        <v/>
      </c>
      <c r="Z354" s="172" t="str">
        <f t="shared" si="357"/>
        <v/>
      </c>
      <c r="AA354" s="172" t="str">
        <f t="shared" si="357"/>
        <v/>
      </c>
      <c r="AB354" s="172" t="str">
        <f t="shared" si="357"/>
        <v/>
      </c>
      <c r="AC354" s="172" t="str">
        <f t="shared" si="357"/>
        <v/>
      </c>
      <c r="AD354" s="172" t="str">
        <f t="shared" si="357"/>
        <v/>
      </c>
      <c r="AE354" s="172" t="str">
        <f t="shared" si="357"/>
        <v/>
      </c>
      <c r="AF354" s="172" t="str">
        <f t="shared" si="357"/>
        <v/>
      </c>
      <c r="AG354" s="172" t="str">
        <f t="shared" si="357"/>
        <v/>
      </c>
      <c r="AH354" s="172" t="str">
        <f t="shared" si="357"/>
        <v/>
      </c>
      <c r="AI354" s="172" t="str">
        <f t="shared" si="357"/>
        <v/>
      </c>
      <c r="AJ354" s="172" t="str">
        <f t="shared" si="357"/>
        <v/>
      </c>
      <c r="AK354" s="172" t="str">
        <f t="shared" si="357"/>
        <v/>
      </c>
      <c r="AL354" s="172" t="str">
        <f t="shared" si="357"/>
        <v/>
      </c>
      <c r="AM354" s="172" t="str">
        <f t="shared" si="357"/>
        <v/>
      </c>
      <c r="AN354" s="172" t="str">
        <f t="shared" si="357"/>
        <v/>
      </c>
      <c r="AO354" s="172" t="str">
        <f t="shared" si="357"/>
        <v/>
      </c>
      <c r="AP354" s="172" t="str">
        <f t="shared" si="357"/>
        <v/>
      </c>
      <c r="AQ354" s="172" t="str">
        <f t="shared" si="357"/>
        <v/>
      </c>
      <c r="AR354" s="172" t="str">
        <f t="shared" si="357"/>
        <v/>
      </c>
      <c r="AS354" s="172" t="str">
        <f t="shared" si="357"/>
        <v/>
      </c>
      <c r="AT354" s="173">
        <f>IF(AT$6="","",IF(AT$3="Maior",iferror(VLOOKUP($R354,Capa!$A:$AJ,AT$5,0),0),IF(ISERROR(1/VLOOKUP($R354,Capa!$A:$AJ,AT$5,0)),0,1/VLOOKUP($R354,Capa!$A:$AJ,AT$5,0))))</f>
        <v>-1.728649251</v>
      </c>
      <c r="AU354" s="174">
        <f>IF(AU$6="","",IF(AU$3="Maior",iferror(VLOOKUP($R354,Capa!$A:$AJ,AU$5,0),0),IF(ISERROR(1/VLOOKUP($R354,Capa!$A:$AJ,AU$5,0)),0,1/VLOOKUP($R354,Capa!$A:$AJ,AU$5,0))))</f>
        <v>22.3</v>
      </c>
      <c r="AV354" s="174" t="str">
        <f>IF(AV$6="","",IF(AV$3="Maior",iferror(VLOOKUP($R354,Capa!$A:$AJ,AV$5,0),0),IF(ISERROR(1/VLOOKUP($R354,Capa!$A:$AJ,AV$5,0)),0,1/VLOOKUP($R354,Capa!$A:$AJ,AV$5,0))))</f>
        <v/>
      </c>
      <c r="AW354" s="174" t="str">
        <f>IF(AW$6="","",IF(AW$3="Maior",iferror(VLOOKUP($R354,Capa!$A:$AJ,AW$5,0),0),IF(ISERROR(1/VLOOKUP($R354,Capa!$A:$AJ,AW$5,0)),0,1/VLOOKUP($R354,Capa!$A:$AJ,AW$5,0))))</f>
        <v/>
      </c>
      <c r="AX354" s="174" t="str">
        <f>IF(AX$6="","",IF(AX$3="Maior",iferror(VLOOKUP($R354,Capa!$A:$AJ,AX$5,0),0),IF(ISERROR(1/VLOOKUP($R354,Capa!$A:$AJ,AX$5,0)),0,1/VLOOKUP($R354,Capa!$A:$AJ,AX$5,0))))</f>
        <v/>
      </c>
      <c r="AY354" s="174" t="str">
        <f>IF(AY$6="","",IF(AY$3="Maior",iferror(VLOOKUP($R354,Capa!$A:$AJ,AY$5,0),0),IF(ISERROR(1/VLOOKUP($R354,Capa!$A:$AJ,AY$5,0)),0,1/VLOOKUP($R354,Capa!$A:$AJ,AY$5,0))))</f>
        <v/>
      </c>
      <c r="AZ354" s="174" t="str">
        <f>IF(AZ$6="","",IF(AZ$3="Maior",iferror(VLOOKUP($R354,Capa!$A:$AJ,AZ$5,0),0),IF(ISERROR(1/VLOOKUP($R354,Capa!$A:$AJ,AZ$5,0)),0,1/VLOOKUP($R354,Capa!$A:$AJ,AZ$5,0))))</f>
        <v/>
      </c>
      <c r="BA354" s="174" t="str">
        <f>IF(BA$6="","",IF(BA$3="Maior",iferror(VLOOKUP($R354,Capa!$A:$AJ,BA$5,0),0),IF(ISERROR(1/VLOOKUP($R354,Capa!$A:$AJ,BA$5,0)),0,1/VLOOKUP($R354,Capa!$A:$AJ,BA$5,0))))</f>
        <v/>
      </c>
      <c r="BB354" s="174" t="str">
        <f>IF(BB$6="","",IF(BB$3="Maior",iferror(VLOOKUP($R354,Capa!$A:$AJ,BB$5,0),0),IF(ISERROR(1/VLOOKUP($R354,Capa!$A:$AJ,BB$5,0)),0,1/VLOOKUP($R354,Capa!$A:$AJ,BB$5,0))))</f>
        <v/>
      </c>
      <c r="BC354" s="174" t="str">
        <f>IF(BC$6="","",IF(BC$3="Maior",iferror(VLOOKUP($R354,Capa!$A:$AJ,BC$5,0),0),IF(ISERROR(1/VLOOKUP($R354,Capa!$A:$AJ,BC$5,0)),0,1/VLOOKUP($R354,Capa!$A:$AJ,BC$5,0))))</f>
        <v/>
      </c>
      <c r="BD354" s="174" t="str">
        <f>IF(BD$6="","",IF(BD$3="Maior",iferror(VLOOKUP($R354,Capa!$A:$AJ,BD$5,0),0),IF(ISERROR(1/VLOOKUP($R354,Capa!$A:$AJ,BD$5,0)),0,1/VLOOKUP($R354,Capa!$A:$AJ,BD$5,0))))</f>
        <v/>
      </c>
      <c r="BE354" s="174" t="str">
        <f>IF(BE$6="","",IF(BE$3="Maior",iferror(VLOOKUP($R354,Capa!$A:$AJ,BE$5,0),0),IF(ISERROR(1/VLOOKUP($R354,Capa!$A:$AJ,BE$5,0)),0,1/VLOOKUP($R354,Capa!$A:$AJ,BE$5,0))))</f>
        <v/>
      </c>
      <c r="BF354" s="174" t="str">
        <f>IF(BF$6="","",IF(BF$3="Maior",iferror(VLOOKUP($R354,Capa!$A:$AJ,BF$5,0),0),IF(ISERROR(1/VLOOKUP($R354,Capa!$A:$AJ,BF$5,0)),0,1/VLOOKUP($R354,Capa!$A:$AJ,BF$5,0))))</f>
        <v/>
      </c>
      <c r="BG354" s="174" t="str">
        <f>IF(BG$6="","",IF(BG$3="Maior",iferror(VLOOKUP($R354,Capa!$A:$AJ,BG$5,0),0),IF(ISERROR(1/VLOOKUP($R354,Capa!$A:$AJ,BG$5,0)),0,1/VLOOKUP($R354,Capa!$A:$AJ,BG$5,0))))</f>
        <v/>
      </c>
      <c r="BH354" s="174" t="str">
        <f>IF(BH$6="","",IF(BH$3="Maior",iferror(VLOOKUP($R354,Capa!$A:$AJ,BH$5,0),0),IF(ISERROR(1/VLOOKUP($R354,Capa!$A:$AJ,BH$5,0)),0,1/VLOOKUP($R354,Capa!$A:$AJ,BH$5,0))))</f>
        <v/>
      </c>
      <c r="BI354" s="174" t="str">
        <f>IF(BI$6="","",IF(BI$3="Maior",iferror(VLOOKUP($R354,Capa!$A:$AJ,BI$5,0),0),IF(ISERROR(1/VLOOKUP($R354,Capa!$A:$AJ,BI$5,0)),0,1/VLOOKUP($R354,Capa!$A:$AJ,BI$5,0))))</f>
        <v/>
      </c>
      <c r="BJ354" s="174" t="str">
        <f>IF(BJ$6="","",IF(BJ$3="Maior",iferror(VLOOKUP($R354,Capa!$A:$AJ,BJ$5,0),0),IF(ISERROR(1/VLOOKUP($R354,Capa!$A:$AJ,BJ$5,0)),0,1/VLOOKUP($R354,Capa!$A:$AJ,BJ$5,0))))</f>
        <v/>
      </c>
      <c r="BK354" s="174" t="str">
        <f>IF(BK$6="","",IF(BK$3="Maior",iferror(VLOOKUP($R354,Capa!$A:$AJ,BK$5,0),0),IF(ISERROR(1/VLOOKUP($R354,Capa!$A:$AJ,BK$5,0)),0,1/VLOOKUP($R354,Capa!$A:$AJ,BK$5,0))))</f>
        <v/>
      </c>
      <c r="BL354" s="174" t="str">
        <f>IF(BL$6="","",IF(BL$3="Maior",iferror(VLOOKUP($R354,Capa!$A:$AJ,BL$5,0),0),IF(ISERROR(1/VLOOKUP($R354,Capa!$A:$AJ,BL$5,0)),0,1/VLOOKUP($R354,Capa!$A:$AJ,BL$5,0))))</f>
        <v/>
      </c>
      <c r="BM354" s="174" t="str">
        <f>IF(BM$6="","",IF(BM$3="Maior",iferror(VLOOKUP($R354,Capa!$A:$AJ,BM$5,0),0),IF(ISERROR(1/VLOOKUP($R354,Capa!$A:$AJ,BM$5,0)),0,1/VLOOKUP($R354,Capa!$A:$AJ,BM$5,0))))</f>
        <v/>
      </c>
      <c r="BN354" s="174" t="str">
        <f>IF(BN$6="","",IF(BN$3="Maior",iferror(VLOOKUP($R354,Capa!$A:$AJ,BN$5,0),0),IF(ISERROR(1/VLOOKUP($R354,Capa!$A:$AJ,BN$5,0)),0,1/VLOOKUP($R354,Capa!$A:$AJ,BN$5,0))))</f>
        <v/>
      </c>
      <c r="BO354" s="174" t="str">
        <f>IF(BO$6="","",IF(BO$3="Maior",iferror(VLOOKUP($R354,Capa!$A:$AJ,BO$5,0),0),IF(ISERROR(1/VLOOKUP($R354,Capa!$A:$AJ,BO$5,0)),0,1/VLOOKUP($R354,Capa!$A:$AJ,BO$5,0))))</f>
        <v/>
      </c>
      <c r="BP354" s="174" t="str">
        <f>IF(BP$6="","",IF(BP$3="Maior",iferror(VLOOKUP($R354,Capa!$A:$AJ,BP$5,0),0),IF(ISERROR(1/VLOOKUP($R354,Capa!$A:$AJ,BP$5,0)),0,1/VLOOKUP($R354,Capa!$A:$AJ,BP$5,0))))</f>
        <v/>
      </c>
      <c r="BQ354" s="174" t="str">
        <f>IF(BQ$6="","",IF(BQ$3="Maior",iferror(VLOOKUP($R354,Capa!$A:$AJ,BQ$5,0),0),IF(ISERROR(1/VLOOKUP($R354,Capa!$A:$AJ,BQ$5,0)),0,1/VLOOKUP($R354,Capa!$A:$AJ,BQ$5,0))))</f>
        <v/>
      </c>
      <c r="BR354" s="175"/>
      <c r="BS354" s="147"/>
    </row>
    <row r="355">
      <c r="G355" s="11"/>
      <c r="H355" s="8">
        <v>349.0</v>
      </c>
      <c r="I355" s="165" t="str">
        <f t="shared" si="6"/>
        <v>CAMB3</v>
      </c>
      <c r="J355" s="166" t="str">
        <f>(VLOOKUP($I355,Capa!$A:$B,2,0))</f>
        <v>Cambuci SA</v>
      </c>
      <c r="K355" s="167" t="str">
        <f>VLOOKUP(left(I355,4),Setor!A:D,3,0)&amp;" | "&amp;VLOOKUP(left(I355,4),Setor!A:D,4,0)</f>
        <v>Consumo Cíclico | Tecidos, Vestuário e Calçados</v>
      </c>
      <c r="L355" s="168">
        <f>(VLOOKUP($I355,Capa!$A:$F,6,0))</f>
        <v>9.57</v>
      </c>
      <c r="M355" s="168">
        <f t="shared" si="7"/>
        <v>331092.6</v>
      </c>
      <c r="N355" s="11" t="str">
        <f>IFERROR(__xludf.DUMMYFUNCTION("(VLOOKUP($I355,Capa!$A:$H,7,0))"),"")</f>
        <v/>
      </c>
      <c r="O355" s="169">
        <f>(VLOOKUP($I355,Capa!$A:$H,8,0))</f>
        <v>0.02462526767</v>
      </c>
      <c r="P355" s="11" t="str">
        <f>IFERROR(__xludf.DUMMYFUNCTION("(VLOOKUP($I355,Capa!$A:$J,10,0))"),"")</f>
        <v/>
      </c>
      <c r="Q355" s="169">
        <f>(VLOOKUP($I355,Capa!$A:$K,11,0))</f>
        <v>-0.09971777987</v>
      </c>
      <c r="R355" s="45" t="str">
        <f>'Dados StatusInvest'!A350</f>
        <v>KLBN4</v>
      </c>
      <c r="S355" s="170">
        <f t="shared" si="234"/>
        <v>558.0558</v>
      </c>
      <c r="T355" s="171">
        <f>VLOOKUP(R355,'Dados StatusInvest'!A:Z,26,0)</f>
        <v>13400157</v>
      </c>
      <c r="U355" s="172">
        <f t="shared" ref="U355:AS355" si="358">IF(AT355="","", RANK(AT355,AT$7:AT$626,0)+RANK(AT355,AT$7:AT$626,0)/10000)</f>
        <v>435.0435</v>
      </c>
      <c r="V355" s="172">
        <f t="shared" si="358"/>
        <v>123.0123</v>
      </c>
      <c r="W355" s="172" t="str">
        <f t="shared" si="358"/>
        <v/>
      </c>
      <c r="X355" s="172" t="str">
        <f t="shared" si="358"/>
        <v/>
      </c>
      <c r="Y355" s="172" t="str">
        <f t="shared" si="358"/>
        <v/>
      </c>
      <c r="Z355" s="172" t="str">
        <f t="shared" si="358"/>
        <v/>
      </c>
      <c r="AA355" s="172" t="str">
        <f t="shared" si="358"/>
        <v/>
      </c>
      <c r="AB355" s="172" t="str">
        <f t="shared" si="358"/>
        <v/>
      </c>
      <c r="AC355" s="172" t="str">
        <f t="shared" si="358"/>
        <v/>
      </c>
      <c r="AD355" s="172" t="str">
        <f t="shared" si="358"/>
        <v/>
      </c>
      <c r="AE355" s="172" t="str">
        <f t="shared" si="358"/>
        <v/>
      </c>
      <c r="AF355" s="172" t="str">
        <f t="shared" si="358"/>
        <v/>
      </c>
      <c r="AG355" s="172" t="str">
        <f t="shared" si="358"/>
        <v/>
      </c>
      <c r="AH355" s="172" t="str">
        <f t="shared" si="358"/>
        <v/>
      </c>
      <c r="AI355" s="172" t="str">
        <f t="shared" si="358"/>
        <v/>
      </c>
      <c r="AJ355" s="172" t="str">
        <f t="shared" si="358"/>
        <v/>
      </c>
      <c r="AK355" s="172" t="str">
        <f t="shared" si="358"/>
        <v/>
      </c>
      <c r="AL355" s="172" t="str">
        <f t="shared" si="358"/>
        <v/>
      </c>
      <c r="AM355" s="172" t="str">
        <f t="shared" si="358"/>
        <v/>
      </c>
      <c r="AN355" s="172" t="str">
        <f t="shared" si="358"/>
        <v/>
      </c>
      <c r="AO355" s="172" t="str">
        <f t="shared" si="358"/>
        <v/>
      </c>
      <c r="AP355" s="172" t="str">
        <f t="shared" si="358"/>
        <v/>
      </c>
      <c r="AQ355" s="172" t="str">
        <f t="shared" si="358"/>
        <v/>
      </c>
      <c r="AR355" s="172" t="str">
        <f t="shared" si="358"/>
        <v/>
      </c>
      <c r="AS355" s="172" t="str">
        <f t="shared" si="358"/>
        <v/>
      </c>
      <c r="AT355" s="173">
        <f>IF(AT$6="","",IF(AT$3="Maior",iferror(VLOOKUP($R355,Capa!$A:$AJ,AT$5,0),0),IF(ISERROR(1/VLOOKUP($R355,Capa!$A:$AJ,AT$5,0)),0,1/VLOOKUP($R355,Capa!$A:$AJ,AT$5,0))))</f>
        <v>-1.687110144</v>
      </c>
      <c r="AU355" s="174">
        <f>IF(AU$6="","",IF(AU$3="Maior",iferror(VLOOKUP($R355,Capa!$A:$AJ,AU$5,0),0),IF(ISERROR(1/VLOOKUP($R355,Capa!$A:$AJ,AU$5,0)),0,1/VLOOKUP($R355,Capa!$A:$AJ,AU$5,0))))</f>
        <v>22.3</v>
      </c>
      <c r="AV355" s="174" t="str">
        <f>IF(AV$6="","",IF(AV$3="Maior",iferror(VLOOKUP($R355,Capa!$A:$AJ,AV$5,0),0),IF(ISERROR(1/VLOOKUP($R355,Capa!$A:$AJ,AV$5,0)),0,1/VLOOKUP($R355,Capa!$A:$AJ,AV$5,0))))</f>
        <v/>
      </c>
      <c r="AW355" s="174" t="str">
        <f>IF(AW$6="","",IF(AW$3="Maior",iferror(VLOOKUP($R355,Capa!$A:$AJ,AW$5,0),0),IF(ISERROR(1/VLOOKUP($R355,Capa!$A:$AJ,AW$5,0)),0,1/VLOOKUP($R355,Capa!$A:$AJ,AW$5,0))))</f>
        <v/>
      </c>
      <c r="AX355" s="174" t="str">
        <f>IF(AX$6="","",IF(AX$3="Maior",iferror(VLOOKUP($R355,Capa!$A:$AJ,AX$5,0),0),IF(ISERROR(1/VLOOKUP($R355,Capa!$A:$AJ,AX$5,0)),0,1/VLOOKUP($R355,Capa!$A:$AJ,AX$5,0))))</f>
        <v/>
      </c>
      <c r="AY355" s="174" t="str">
        <f>IF(AY$6="","",IF(AY$3="Maior",iferror(VLOOKUP($R355,Capa!$A:$AJ,AY$5,0),0),IF(ISERROR(1/VLOOKUP($R355,Capa!$A:$AJ,AY$5,0)),0,1/VLOOKUP($R355,Capa!$A:$AJ,AY$5,0))))</f>
        <v/>
      </c>
      <c r="AZ355" s="174" t="str">
        <f>IF(AZ$6="","",IF(AZ$3="Maior",iferror(VLOOKUP($R355,Capa!$A:$AJ,AZ$5,0),0),IF(ISERROR(1/VLOOKUP($R355,Capa!$A:$AJ,AZ$5,0)),0,1/VLOOKUP($R355,Capa!$A:$AJ,AZ$5,0))))</f>
        <v/>
      </c>
      <c r="BA355" s="174" t="str">
        <f>IF(BA$6="","",IF(BA$3="Maior",iferror(VLOOKUP($R355,Capa!$A:$AJ,BA$5,0),0),IF(ISERROR(1/VLOOKUP($R355,Capa!$A:$AJ,BA$5,0)),0,1/VLOOKUP($R355,Capa!$A:$AJ,BA$5,0))))</f>
        <v/>
      </c>
      <c r="BB355" s="174" t="str">
        <f>IF(BB$6="","",IF(BB$3="Maior",iferror(VLOOKUP($R355,Capa!$A:$AJ,BB$5,0),0),IF(ISERROR(1/VLOOKUP($R355,Capa!$A:$AJ,BB$5,0)),0,1/VLOOKUP($R355,Capa!$A:$AJ,BB$5,0))))</f>
        <v/>
      </c>
      <c r="BC355" s="174" t="str">
        <f>IF(BC$6="","",IF(BC$3="Maior",iferror(VLOOKUP($R355,Capa!$A:$AJ,BC$5,0),0),IF(ISERROR(1/VLOOKUP($R355,Capa!$A:$AJ,BC$5,0)),0,1/VLOOKUP($R355,Capa!$A:$AJ,BC$5,0))))</f>
        <v/>
      </c>
      <c r="BD355" s="174" t="str">
        <f>IF(BD$6="","",IF(BD$3="Maior",iferror(VLOOKUP($R355,Capa!$A:$AJ,BD$5,0),0),IF(ISERROR(1/VLOOKUP($R355,Capa!$A:$AJ,BD$5,0)),0,1/VLOOKUP($R355,Capa!$A:$AJ,BD$5,0))))</f>
        <v/>
      </c>
      <c r="BE355" s="174" t="str">
        <f>IF(BE$6="","",IF(BE$3="Maior",iferror(VLOOKUP($R355,Capa!$A:$AJ,BE$5,0),0),IF(ISERROR(1/VLOOKUP($R355,Capa!$A:$AJ,BE$5,0)),0,1/VLOOKUP($R355,Capa!$A:$AJ,BE$5,0))))</f>
        <v/>
      </c>
      <c r="BF355" s="174" t="str">
        <f>IF(BF$6="","",IF(BF$3="Maior",iferror(VLOOKUP($R355,Capa!$A:$AJ,BF$5,0),0),IF(ISERROR(1/VLOOKUP($R355,Capa!$A:$AJ,BF$5,0)),0,1/VLOOKUP($R355,Capa!$A:$AJ,BF$5,0))))</f>
        <v/>
      </c>
      <c r="BG355" s="174" t="str">
        <f>IF(BG$6="","",IF(BG$3="Maior",iferror(VLOOKUP($R355,Capa!$A:$AJ,BG$5,0),0),IF(ISERROR(1/VLOOKUP($R355,Capa!$A:$AJ,BG$5,0)),0,1/VLOOKUP($R355,Capa!$A:$AJ,BG$5,0))))</f>
        <v/>
      </c>
      <c r="BH355" s="174" t="str">
        <f>IF(BH$6="","",IF(BH$3="Maior",iferror(VLOOKUP($R355,Capa!$A:$AJ,BH$5,0),0),IF(ISERROR(1/VLOOKUP($R355,Capa!$A:$AJ,BH$5,0)),0,1/VLOOKUP($R355,Capa!$A:$AJ,BH$5,0))))</f>
        <v/>
      </c>
      <c r="BI355" s="174" t="str">
        <f>IF(BI$6="","",IF(BI$3="Maior",iferror(VLOOKUP($R355,Capa!$A:$AJ,BI$5,0),0),IF(ISERROR(1/VLOOKUP($R355,Capa!$A:$AJ,BI$5,0)),0,1/VLOOKUP($R355,Capa!$A:$AJ,BI$5,0))))</f>
        <v/>
      </c>
      <c r="BJ355" s="174" t="str">
        <f>IF(BJ$6="","",IF(BJ$3="Maior",iferror(VLOOKUP($R355,Capa!$A:$AJ,BJ$5,0),0),IF(ISERROR(1/VLOOKUP($R355,Capa!$A:$AJ,BJ$5,0)),0,1/VLOOKUP($R355,Capa!$A:$AJ,BJ$5,0))))</f>
        <v/>
      </c>
      <c r="BK355" s="174" t="str">
        <f>IF(BK$6="","",IF(BK$3="Maior",iferror(VLOOKUP($R355,Capa!$A:$AJ,BK$5,0),0),IF(ISERROR(1/VLOOKUP($R355,Capa!$A:$AJ,BK$5,0)),0,1/VLOOKUP($R355,Capa!$A:$AJ,BK$5,0))))</f>
        <v/>
      </c>
      <c r="BL355" s="174" t="str">
        <f>IF(BL$6="","",IF(BL$3="Maior",iferror(VLOOKUP($R355,Capa!$A:$AJ,BL$5,0),0),IF(ISERROR(1/VLOOKUP($R355,Capa!$A:$AJ,BL$5,0)),0,1/VLOOKUP($R355,Capa!$A:$AJ,BL$5,0))))</f>
        <v/>
      </c>
      <c r="BM355" s="174" t="str">
        <f>IF(BM$6="","",IF(BM$3="Maior",iferror(VLOOKUP($R355,Capa!$A:$AJ,BM$5,0),0),IF(ISERROR(1/VLOOKUP($R355,Capa!$A:$AJ,BM$5,0)),0,1/VLOOKUP($R355,Capa!$A:$AJ,BM$5,0))))</f>
        <v/>
      </c>
      <c r="BN355" s="174" t="str">
        <f>IF(BN$6="","",IF(BN$3="Maior",iferror(VLOOKUP($R355,Capa!$A:$AJ,BN$5,0),0),IF(ISERROR(1/VLOOKUP($R355,Capa!$A:$AJ,BN$5,0)),0,1/VLOOKUP($R355,Capa!$A:$AJ,BN$5,0))))</f>
        <v/>
      </c>
      <c r="BO355" s="174" t="str">
        <f>IF(BO$6="","",IF(BO$3="Maior",iferror(VLOOKUP($R355,Capa!$A:$AJ,BO$5,0),0),IF(ISERROR(1/VLOOKUP($R355,Capa!$A:$AJ,BO$5,0)),0,1/VLOOKUP($R355,Capa!$A:$AJ,BO$5,0))))</f>
        <v/>
      </c>
      <c r="BP355" s="174" t="str">
        <f>IF(BP$6="","",IF(BP$3="Maior",iferror(VLOOKUP($R355,Capa!$A:$AJ,BP$5,0),0),IF(ISERROR(1/VLOOKUP($R355,Capa!$A:$AJ,BP$5,0)),0,1/VLOOKUP($R355,Capa!$A:$AJ,BP$5,0))))</f>
        <v/>
      </c>
      <c r="BQ355" s="174" t="str">
        <f>IF(BQ$6="","",IF(BQ$3="Maior",iferror(VLOOKUP($R355,Capa!$A:$AJ,BQ$5,0),0),IF(ISERROR(1/VLOOKUP($R355,Capa!$A:$AJ,BQ$5,0)),0,1/VLOOKUP($R355,Capa!$A:$AJ,BQ$5,0))))</f>
        <v/>
      </c>
      <c r="BR355" s="175"/>
      <c r="BS355" s="147"/>
    </row>
    <row r="356">
      <c r="G356" s="11"/>
      <c r="H356" s="8">
        <v>350.0</v>
      </c>
      <c r="I356" s="165" t="str">
        <f t="shared" si="6"/>
        <v>CAMB3</v>
      </c>
      <c r="J356" s="166" t="str">
        <f>(VLOOKUP($I356,Capa!$A:$B,2,0))</f>
        <v>Cambuci SA</v>
      </c>
      <c r="K356" s="167" t="str">
        <f>VLOOKUP(left(I356,4),Setor!A:D,3,0)&amp;" | "&amp;VLOOKUP(left(I356,4),Setor!A:D,4,0)</f>
        <v>Consumo Cíclico | Tecidos, Vestuário e Calçados</v>
      </c>
      <c r="L356" s="168">
        <f>(VLOOKUP($I356,Capa!$A:$F,6,0))</f>
        <v>9.57</v>
      </c>
      <c r="M356" s="168">
        <f t="shared" si="7"/>
        <v>331092.6</v>
      </c>
      <c r="N356" s="11" t="str">
        <f>IFERROR(__xludf.DUMMYFUNCTION("(VLOOKUP($I356,Capa!$A:$H,7,0))"),"")</f>
        <v/>
      </c>
      <c r="O356" s="169">
        <f>(VLOOKUP($I356,Capa!$A:$H,8,0))</f>
        <v>0.02462526767</v>
      </c>
      <c r="P356" s="11" t="str">
        <f>IFERROR(__xludf.DUMMYFUNCTION("(VLOOKUP($I356,Capa!$A:$J,10,0))"),"")</f>
        <v/>
      </c>
      <c r="Q356" s="169">
        <f>(VLOOKUP($I356,Capa!$A:$K,11,0))</f>
        <v>-0.09971777987</v>
      </c>
      <c r="R356" s="45" t="str">
        <f>'Dados StatusInvest'!A351</f>
        <v>KRSA3</v>
      </c>
      <c r="S356" s="170">
        <f t="shared" si="234"/>
        <v>1567.0567</v>
      </c>
      <c r="T356" s="171">
        <f>VLOOKUP(R356,'Dados StatusInvest'!A:Z,26,0)</f>
        <v>0</v>
      </c>
      <c r="U356" s="172">
        <f t="shared" ref="U356:AS356" si="359">IF(AT356="","", RANK(AT356,AT$7:AT$626,0)+RANK(AT356,AT$7:AT$626,0)/10000)</f>
        <v>300.03</v>
      </c>
      <c r="V356" s="172">
        <f t="shared" si="359"/>
        <v>267.0267</v>
      </c>
      <c r="W356" s="172" t="str">
        <f t="shared" si="359"/>
        <v/>
      </c>
      <c r="X356" s="172" t="str">
        <f t="shared" si="359"/>
        <v/>
      </c>
      <c r="Y356" s="172" t="str">
        <f t="shared" si="359"/>
        <v/>
      </c>
      <c r="Z356" s="172" t="str">
        <f t="shared" si="359"/>
        <v/>
      </c>
      <c r="AA356" s="172" t="str">
        <f t="shared" si="359"/>
        <v/>
      </c>
      <c r="AB356" s="172" t="str">
        <f t="shared" si="359"/>
        <v/>
      </c>
      <c r="AC356" s="172" t="str">
        <f t="shared" si="359"/>
        <v/>
      </c>
      <c r="AD356" s="172" t="str">
        <f t="shared" si="359"/>
        <v/>
      </c>
      <c r="AE356" s="172" t="str">
        <f t="shared" si="359"/>
        <v/>
      </c>
      <c r="AF356" s="172" t="str">
        <f t="shared" si="359"/>
        <v/>
      </c>
      <c r="AG356" s="172" t="str">
        <f t="shared" si="359"/>
        <v/>
      </c>
      <c r="AH356" s="172" t="str">
        <f t="shared" si="359"/>
        <v/>
      </c>
      <c r="AI356" s="172" t="str">
        <f t="shared" si="359"/>
        <v/>
      </c>
      <c r="AJ356" s="172" t="str">
        <f t="shared" si="359"/>
        <v/>
      </c>
      <c r="AK356" s="172" t="str">
        <f t="shared" si="359"/>
        <v/>
      </c>
      <c r="AL356" s="172" t="str">
        <f t="shared" si="359"/>
        <v/>
      </c>
      <c r="AM356" s="172" t="str">
        <f t="shared" si="359"/>
        <v/>
      </c>
      <c r="AN356" s="172" t="str">
        <f t="shared" si="359"/>
        <v/>
      </c>
      <c r="AO356" s="172" t="str">
        <f t="shared" si="359"/>
        <v/>
      </c>
      <c r="AP356" s="172" t="str">
        <f t="shared" si="359"/>
        <v/>
      </c>
      <c r="AQ356" s="172" t="str">
        <f t="shared" si="359"/>
        <v/>
      </c>
      <c r="AR356" s="172" t="str">
        <f t="shared" si="359"/>
        <v/>
      </c>
      <c r="AS356" s="172" t="str">
        <f t="shared" si="359"/>
        <v/>
      </c>
      <c r="AT356" s="173">
        <f>IF(AT$6="","",IF(AT$3="Maior",iferror(VLOOKUP($R356,Capa!$A:$AJ,AT$5,0),0),IF(ISERROR(1/VLOOKUP($R356,Capa!$A:$AJ,AT$5,0)),0,1/VLOOKUP($R356,Capa!$A:$AJ,AT$5,0))))</f>
        <v>-0.6535947712</v>
      </c>
      <c r="AU356" s="174">
        <f>IF(AU$6="","",IF(AU$3="Maior",iferror(VLOOKUP($R356,Capa!$A:$AJ,AU$5,0),0),IF(ISERROR(1/VLOOKUP($R356,Capa!$A:$AJ,AU$5,0)),0,1/VLOOKUP($R356,Capa!$A:$AJ,AU$5,0))))</f>
        <v>0</v>
      </c>
      <c r="AV356" s="174" t="str">
        <f>IF(AV$6="","",IF(AV$3="Maior",iferror(VLOOKUP($R356,Capa!$A:$AJ,AV$5,0),0),IF(ISERROR(1/VLOOKUP($R356,Capa!$A:$AJ,AV$5,0)),0,1/VLOOKUP($R356,Capa!$A:$AJ,AV$5,0))))</f>
        <v/>
      </c>
      <c r="AW356" s="174" t="str">
        <f>IF(AW$6="","",IF(AW$3="Maior",iferror(VLOOKUP($R356,Capa!$A:$AJ,AW$5,0),0),IF(ISERROR(1/VLOOKUP($R356,Capa!$A:$AJ,AW$5,0)),0,1/VLOOKUP($R356,Capa!$A:$AJ,AW$5,0))))</f>
        <v/>
      </c>
      <c r="AX356" s="174" t="str">
        <f>IF(AX$6="","",IF(AX$3="Maior",iferror(VLOOKUP($R356,Capa!$A:$AJ,AX$5,0),0),IF(ISERROR(1/VLOOKUP($R356,Capa!$A:$AJ,AX$5,0)),0,1/VLOOKUP($R356,Capa!$A:$AJ,AX$5,0))))</f>
        <v/>
      </c>
      <c r="AY356" s="174" t="str">
        <f>IF(AY$6="","",IF(AY$3="Maior",iferror(VLOOKUP($R356,Capa!$A:$AJ,AY$5,0),0),IF(ISERROR(1/VLOOKUP($R356,Capa!$A:$AJ,AY$5,0)),0,1/VLOOKUP($R356,Capa!$A:$AJ,AY$5,0))))</f>
        <v/>
      </c>
      <c r="AZ356" s="174" t="str">
        <f>IF(AZ$6="","",IF(AZ$3="Maior",iferror(VLOOKUP($R356,Capa!$A:$AJ,AZ$5,0),0),IF(ISERROR(1/VLOOKUP($R356,Capa!$A:$AJ,AZ$5,0)),0,1/VLOOKUP($R356,Capa!$A:$AJ,AZ$5,0))))</f>
        <v/>
      </c>
      <c r="BA356" s="174" t="str">
        <f>IF(BA$6="","",IF(BA$3="Maior",iferror(VLOOKUP($R356,Capa!$A:$AJ,BA$5,0),0),IF(ISERROR(1/VLOOKUP($R356,Capa!$A:$AJ,BA$5,0)),0,1/VLOOKUP($R356,Capa!$A:$AJ,BA$5,0))))</f>
        <v/>
      </c>
      <c r="BB356" s="174" t="str">
        <f>IF(BB$6="","",IF(BB$3="Maior",iferror(VLOOKUP($R356,Capa!$A:$AJ,BB$5,0),0),IF(ISERROR(1/VLOOKUP($R356,Capa!$A:$AJ,BB$5,0)),0,1/VLOOKUP($R356,Capa!$A:$AJ,BB$5,0))))</f>
        <v/>
      </c>
      <c r="BC356" s="174" t="str">
        <f>IF(BC$6="","",IF(BC$3="Maior",iferror(VLOOKUP($R356,Capa!$A:$AJ,BC$5,0),0),IF(ISERROR(1/VLOOKUP($R356,Capa!$A:$AJ,BC$5,0)),0,1/VLOOKUP($R356,Capa!$A:$AJ,BC$5,0))))</f>
        <v/>
      </c>
      <c r="BD356" s="174" t="str">
        <f>IF(BD$6="","",IF(BD$3="Maior",iferror(VLOOKUP($R356,Capa!$A:$AJ,BD$5,0),0),IF(ISERROR(1/VLOOKUP($R356,Capa!$A:$AJ,BD$5,0)),0,1/VLOOKUP($R356,Capa!$A:$AJ,BD$5,0))))</f>
        <v/>
      </c>
      <c r="BE356" s="174" t="str">
        <f>IF(BE$6="","",IF(BE$3="Maior",iferror(VLOOKUP($R356,Capa!$A:$AJ,BE$5,0),0),IF(ISERROR(1/VLOOKUP($R356,Capa!$A:$AJ,BE$5,0)),0,1/VLOOKUP($R356,Capa!$A:$AJ,BE$5,0))))</f>
        <v/>
      </c>
      <c r="BF356" s="174" t="str">
        <f>IF(BF$6="","",IF(BF$3="Maior",iferror(VLOOKUP($R356,Capa!$A:$AJ,BF$5,0),0),IF(ISERROR(1/VLOOKUP($R356,Capa!$A:$AJ,BF$5,0)),0,1/VLOOKUP($R356,Capa!$A:$AJ,BF$5,0))))</f>
        <v/>
      </c>
      <c r="BG356" s="174" t="str">
        <f>IF(BG$6="","",IF(BG$3="Maior",iferror(VLOOKUP($R356,Capa!$A:$AJ,BG$5,0),0),IF(ISERROR(1/VLOOKUP($R356,Capa!$A:$AJ,BG$5,0)),0,1/VLOOKUP($R356,Capa!$A:$AJ,BG$5,0))))</f>
        <v/>
      </c>
      <c r="BH356" s="174" t="str">
        <f>IF(BH$6="","",IF(BH$3="Maior",iferror(VLOOKUP($R356,Capa!$A:$AJ,BH$5,0),0),IF(ISERROR(1/VLOOKUP($R356,Capa!$A:$AJ,BH$5,0)),0,1/VLOOKUP($R356,Capa!$A:$AJ,BH$5,0))))</f>
        <v/>
      </c>
      <c r="BI356" s="174" t="str">
        <f>IF(BI$6="","",IF(BI$3="Maior",iferror(VLOOKUP($R356,Capa!$A:$AJ,BI$5,0),0),IF(ISERROR(1/VLOOKUP($R356,Capa!$A:$AJ,BI$5,0)),0,1/VLOOKUP($R356,Capa!$A:$AJ,BI$5,0))))</f>
        <v/>
      </c>
      <c r="BJ356" s="174" t="str">
        <f>IF(BJ$6="","",IF(BJ$3="Maior",iferror(VLOOKUP($R356,Capa!$A:$AJ,BJ$5,0),0),IF(ISERROR(1/VLOOKUP($R356,Capa!$A:$AJ,BJ$5,0)),0,1/VLOOKUP($R356,Capa!$A:$AJ,BJ$5,0))))</f>
        <v/>
      </c>
      <c r="BK356" s="174" t="str">
        <f>IF(BK$6="","",IF(BK$3="Maior",iferror(VLOOKUP($R356,Capa!$A:$AJ,BK$5,0),0),IF(ISERROR(1/VLOOKUP($R356,Capa!$A:$AJ,BK$5,0)),0,1/VLOOKUP($R356,Capa!$A:$AJ,BK$5,0))))</f>
        <v/>
      </c>
      <c r="BL356" s="174" t="str">
        <f>IF(BL$6="","",IF(BL$3="Maior",iferror(VLOOKUP($R356,Capa!$A:$AJ,BL$5,0),0),IF(ISERROR(1/VLOOKUP($R356,Capa!$A:$AJ,BL$5,0)),0,1/VLOOKUP($R356,Capa!$A:$AJ,BL$5,0))))</f>
        <v/>
      </c>
      <c r="BM356" s="174" t="str">
        <f>IF(BM$6="","",IF(BM$3="Maior",iferror(VLOOKUP($R356,Capa!$A:$AJ,BM$5,0),0),IF(ISERROR(1/VLOOKUP($R356,Capa!$A:$AJ,BM$5,0)),0,1/VLOOKUP($R356,Capa!$A:$AJ,BM$5,0))))</f>
        <v/>
      </c>
      <c r="BN356" s="174" t="str">
        <f>IF(BN$6="","",IF(BN$3="Maior",iferror(VLOOKUP($R356,Capa!$A:$AJ,BN$5,0),0),IF(ISERROR(1/VLOOKUP($R356,Capa!$A:$AJ,BN$5,0)),0,1/VLOOKUP($R356,Capa!$A:$AJ,BN$5,0))))</f>
        <v/>
      </c>
      <c r="BO356" s="174" t="str">
        <f>IF(BO$6="","",IF(BO$3="Maior",iferror(VLOOKUP($R356,Capa!$A:$AJ,BO$5,0),0),IF(ISERROR(1/VLOOKUP($R356,Capa!$A:$AJ,BO$5,0)),0,1/VLOOKUP($R356,Capa!$A:$AJ,BO$5,0))))</f>
        <v/>
      </c>
      <c r="BP356" s="174" t="str">
        <f>IF(BP$6="","",IF(BP$3="Maior",iferror(VLOOKUP($R356,Capa!$A:$AJ,BP$5,0),0),IF(ISERROR(1/VLOOKUP($R356,Capa!$A:$AJ,BP$5,0)),0,1/VLOOKUP($R356,Capa!$A:$AJ,BP$5,0))))</f>
        <v/>
      </c>
      <c r="BQ356" s="174" t="str">
        <f>IF(BQ$6="","",IF(BQ$3="Maior",iferror(VLOOKUP($R356,Capa!$A:$AJ,BQ$5,0),0),IF(ISERROR(1/VLOOKUP($R356,Capa!$A:$AJ,BQ$5,0)),0,1/VLOOKUP($R356,Capa!$A:$AJ,BQ$5,0))))</f>
        <v/>
      </c>
      <c r="BR356" s="175"/>
      <c r="BS356" s="147"/>
    </row>
    <row r="357">
      <c r="G357" s="11"/>
      <c r="H357" s="8">
        <v>351.0</v>
      </c>
      <c r="I357" s="165" t="str">
        <f t="shared" si="6"/>
        <v>VIVT4</v>
      </c>
      <c r="J357" s="166" t="str">
        <f>(VLOOKUP($I357,Capa!$A:$B,2,0))</f>
        <v/>
      </c>
      <c r="K357" s="167" t="str">
        <f>VLOOKUP(left(I357,4),Setor!A:D,3,0)&amp;" | "&amp;VLOOKUP(left(I357,4),Setor!A:D,4,0)</f>
        <v>Comunicações | Telecomunicações</v>
      </c>
      <c r="L357" s="168" t="str">
        <f>(VLOOKUP($I357,Capa!$A:$F,6,0))</f>
        <v/>
      </c>
      <c r="M357" s="168">
        <f t="shared" si="7"/>
        <v>0</v>
      </c>
      <c r="N357" s="177" t="str">
        <f>(VLOOKUP($I357,Capa!$A:$H,7,0))</f>
        <v/>
      </c>
      <c r="O357" s="169" t="str">
        <f>(VLOOKUP($I357,Capa!$A:$H,8,0))</f>
        <v/>
      </c>
      <c r="P357" s="169" t="str">
        <f>(VLOOKUP($I357,Capa!$A:$J,10,0))</f>
        <v/>
      </c>
      <c r="Q357" s="169" t="str">
        <f>(VLOOKUP($I357,Capa!$A:$K,11,0))</f>
        <v/>
      </c>
      <c r="R357" s="45" t="str">
        <f>'Dados StatusInvest'!A352</f>
        <v>LAME3</v>
      </c>
      <c r="S357" s="170">
        <f t="shared" si="234"/>
        <v>1411.0411</v>
      </c>
      <c r="T357" s="171">
        <f>VLOOKUP(R357,'Dados StatusInvest'!A:Z,26,0)</f>
        <v>0</v>
      </c>
      <c r="U357" s="172">
        <f t="shared" ref="U357:AS357" si="360">IF(AT357="","", RANK(AT357,AT$7:AT$626,0)+RANK(AT357,AT$7:AT$626,0)/10000)</f>
        <v>260.026</v>
      </c>
      <c r="V357" s="172">
        <f t="shared" si="360"/>
        <v>151.0151</v>
      </c>
      <c r="W357" s="172" t="str">
        <f t="shared" si="360"/>
        <v/>
      </c>
      <c r="X357" s="172" t="str">
        <f t="shared" si="360"/>
        <v/>
      </c>
      <c r="Y357" s="172" t="str">
        <f t="shared" si="360"/>
        <v/>
      </c>
      <c r="Z357" s="172" t="str">
        <f t="shared" si="360"/>
        <v/>
      </c>
      <c r="AA357" s="172" t="str">
        <f t="shared" si="360"/>
        <v/>
      </c>
      <c r="AB357" s="172" t="str">
        <f t="shared" si="360"/>
        <v/>
      </c>
      <c r="AC357" s="172" t="str">
        <f t="shared" si="360"/>
        <v/>
      </c>
      <c r="AD357" s="172" t="str">
        <f t="shared" si="360"/>
        <v/>
      </c>
      <c r="AE357" s="172" t="str">
        <f t="shared" si="360"/>
        <v/>
      </c>
      <c r="AF357" s="172" t="str">
        <f t="shared" si="360"/>
        <v/>
      </c>
      <c r="AG357" s="172" t="str">
        <f t="shared" si="360"/>
        <v/>
      </c>
      <c r="AH357" s="172" t="str">
        <f t="shared" si="360"/>
        <v/>
      </c>
      <c r="AI357" s="172" t="str">
        <f t="shared" si="360"/>
        <v/>
      </c>
      <c r="AJ357" s="172" t="str">
        <f t="shared" si="360"/>
        <v/>
      </c>
      <c r="AK357" s="172" t="str">
        <f t="shared" si="360"/>
        <v/>
      </c>
      <c r="AL357" s="172" t="str">
        <f t="shared" si="360"/>
        <v/>
      </c>
      <c r="AM357" s="172" t="str">
        <f t="shared" si="360"/>
        <v/>
      </c>
      <c r="AN357" s="172" t="str">
        <f t="shared" si="360"/>
        <v/>
      </c>
      <c r="AO357" s="172" t="str">
        <f t="shared" si="360"/>
        <v/>
      </c>
      <c r="AP357" s="172" t="str">
        <f t="shared" si="360"/>
        <v/>
      </c>
      <c r="AQ357" s="172" t="str">
        <f t="shared" si="360"/>
        <v/>
      </c>
      <c r="AR357" s="172" t="str">
        <f t="shared" si="360"/>
        <v/>
      </c>
      <c r="AS357" s="172" t="str">
        <f t="shared" si="360"/>
        <v/>
      </c>
      <c r="AT357" s="173">
        <f>IF(AT$6="","",IF(AT$3="Maior",iferror(VLOOKUP($R357,Capa!$A:$AJ,AT$5,0),0),IF(ISERROR(1/VLOOKUP($R357,Capa!$A:$AJ,AT$5,0)),0,1/VLOOKUP($R357,Capa!$A:$AJ,AT$5,0))))</f>
        <v>-0.5376344086</v>
      </c>
      <c r="AU357" s="174">
        <f>IF(AU$6="","",IF(AU$3="Maior",iferror(VLOOKUP($R357,Capa!$A:$AJ,AU$5,0),0),IF(ISERROR(1/VLOOKUP($R357,Capa!$A:$AJ,AU$5,0)),0,1/VLOOKUP($R357,Capa!$A:$AJ,AU$5,0))))</f>
        <v>18.61</v>
      </c>
      <c r="AV357" s="174" t="str">
        <f>IF(AV$6="","",IF(AV$3="Maior",iferror(VLOOKUP($R357,Capa!$A:$AJ,AV$5,0),0),IF(ISERROR(1/VLOOKUP($R357,Capa!$A:$AJ,AV$5,0)),0,1/VLOOKUP($R357,Capa!$A:$AJ,AV$5,0))))</f>
        <v/>
      </c>
      <c r="AW357" s="174" t="str">
        <f>IF(AW$6="","",IF(AW$3="Maior",iferror(VLOOKUP($R357,Capa!$A:$AJ,AW$5,0),0),IF(ISERROR(1/VLOOKUP($R357,Capa!$A:$AJ,AW$5,0)),0,1/VLOOKUP($R357,Capa!$A:$AJ,AW$5,0))))</f>
        <v/>
      </c>
      <c r="AX357" s="174" t="str">
        <f>IF(AX$6="","",IF(AX$3="Maior",iferror(VLOOKUP($R357,Capa!$A:$AJ,AX$5,0),0),IF(ISERROR(1/VLOOKUP($R357,Capa!$A:$AJ,AX$5,0)),0,1/VLOOKUP($R357,Capa!$A:$AJ,AX$5,0))))</f>
        <v/>
      </c>
      <c r="AY357" s="174" t="str">
        <f>IF(AY$6="","",IF(AY$3="Maior",iferror(VLOOKUP($R357,Capa!$A:$AJ,AY$5,0),0),IF(ISERROR(1/VLOOKUP($R357,Capa!$A:$AJ,AY$5,0)),0,1/VLOOKUP($R357,Capa!$A:$AJ,AY$5,0))))</f>
        <v/>
      </c>
      <c r="AZ357" s="174" t="str">
        <f>IF(AZ$6="","",IF(AZ$3="Maior",iferror(VLOOKUP($R357,Capa!$A:$AJ,AZ$5,0),0),IF(ISERROR(1/VLOOKUP($R357,Capa!$A:$AJ,AZ$5,0)),0,1/VLOOKUP($R357,Capa!$A:$AJ,AZ$5,0))))</f>
        <v/>
      </c>
      <c r="BA357" s="174" t="str">
        <f>IF(BA$6="","",IF(BA$3="Maior",iferror(VLOOKUP($R357,Capa!$A:$AJ,BA$5,0),0),IF(ISERROR(1/VLOOKUP($R357,Capa!$A:$AJ,BA$5,0)),0,1/VLOOKUP($R357,Capa!$A:$AJ,BA$5,0))))</f>
        <v/>
      </c>
      <c r="BB357" s="174" t="str">
        <f>IF(BB$6="","",IF(BB$3="Maior",iferror(VLOOKUP($R357,Capa!$A:$AJ,BB$5,0),0),IF(ISERROR(1/VLOOKUP($R357,Capa!$A:$AJ,BB$5,0)),0,1/VLOOKUP($R357,Capa!$A:$AJ,BB$5,0))))</f>
        <v/>
      </c>
      <c r="BC357" s="174" t="str">
        <f>IF(BC$6="","",IF(BC$3="Maior",iferror(VLOOKUP($R357,Capa!$A:$AJ,BC$5,0),0),IF(ISERROR(1/VLOOKUP($R357,Capa!$A:$AJ,BC$5,0)),0,1/VLOOKUP($R357,Capa!$A:$AJ,BC$5,0))))</f>
        <v/>
      </c>
      <c r="BD357" s="174" t="str">
        <f>IF(BD$6="","",IF(BD$3="Maior",iferror(VLOOKUP($R357,Capa!$A:$AJ,BD$5,0),0),IF(ISERROR(1/VLOOKUP($R357,Capa!$A:$AJ,BD$5,0)),0,1/VLOOKUP($R357,Capa!$A:$AJ,BD$5,0))))</f>
        <v/>
      </c>
      <c r="BE357" s="174" t="str">
        <f>IF(BE$6="","",IF(BE$3="Maior",iferror(VLOOKUP($R357,Capa!$A:$AJ,BE$5,0),0),IF(ISERROR(1/VLOOKUP($R357,Capa!$A:$AJ,BE$5,0)),0,1/VLOOKUP($R357,Capa!$A:$AJ,BE$5,0))))</f>
        <v/>
      </c>
      <c r="BF357" s="174" t="str">
        <f>IF(BF$6="","",IF(BF$3="Maior",iferror(VLOOKUP($R357,Capa!$A:$AJ,BF$5,0),0),IF(ISERROR(1/VLOOKUP($R357,Capa!$A:$AJ,BF$5,0)),0,1/VLOOKUP($R357,Capa!$A:$AJ,BF$5,0))))</f>
        <v/>
      </c>
      <c r="BG357" s="174" t="str">
        <f>IF(BG$6="","",IF(BG$3="Maior",iferror(VLOOKUP($R357,Capa!$A:$AJ,BG$5,0),0),IF(ISERROR(1/VLOOKUP($R357,Capa!$A:$AJ,BG$5,0)),0,1/VLOOKUP($R357,Capa!$A:$AJ,BG$5,0))))</f>
        <v/>
      </c>
      <c r="BH357" s="174" t="str">
        <f>IF(BH$6="","",IF(BH$3="Maior",iferror(VLOOKUP($R357,Capa!$A:$AJ,BH$5,0),0),IF(ISERROR(1/VLOOKUP($R357,Capa!$A:$AJ,BH$5,0)),0,1/VLOOKUP($R357,Capa!$A:$AJ,BH$5,0))))</f>
        <v/>
      </c>
      <c r="BI357" s="174" t="str">
        <f>IF(BI$6="","",IF(BI$3="Maior",iferror(VLOOKUP($R357,Capa!$A:$AJ,BI$5,0),0),IF(ISERROR(1/VLOOKUP($R357,Capa!$A:$AJ,BI$5,0)),0,1/VLOOKUP($R357,Capa!$A:$AJ,BI$5,0))))</f>
        <v/>
      </c>
      <c r="BJ357" s="174" t="str">
        <f>IF(BJ$6="","",IF(BJ$3="Maior",iferror(VLOOKUP($R357,Capa!$A:$AJ,BJ$5,0),0),IF(ISERROR(1/VLOOKUP($R357,Capa!$A:$AJ,BJ$5,0)),0,1/VLOOKUP($R357,Capa!$A:$AJ,BJ$5,0))))</f>
        <v/>
      </c>
      <c r="BK357" s="174" t="str">
        <f>IF(BK$6="","",IF(BK$3="Maior",iferror(VLOOKUP($R357,Capa!$A:$AJ,BK$5,0),0),IF(ISERROR(1/VLOOKUP($R357,Capa!$A:$AJ,BK$5,0)),0,1/VLOOKUP($R357,Capa!$A:$AJ,BK$5,0))))</f>
        <v/>
      </c>
      <c r="BL357" s="174" t="str">
        <f>IF(BL$6="","",IF(BL$3="Maior",iferror(VLOOKUP($R357,Capa!$A:$AJ,BL$5,0),0),IF(ISERROR(1/VLOOKUP($R357,Capa!$A:$AJ,BL$5,0)),0,1/VLOOKUP($R357,Capa!$A:$AJ,BL$5,0))))</f>
        <v/>
      </c>
      <c r="BM357" s="174" t="str">
        <f>IF(BM$6="","",IF(BM$3="Maior",iferror(VLOOKUP($R357,Capa!$A:$AJ,BM$5,0),0),IF(ISERROR(1/VLOOKUP($R357,Capa!$A:$AJ,BM$5,0)),0,1/VLOOKUP($R357,Capa!$A:$AJ,BM$5,0))))</f>
        <v/>
      </c>
      <c r="BN357" s="174" t="str">
        <f>IF(BN$6="","",IF(BN$3="Maior",iferror(VLOOKUP($R357,Capa!$A:$AJ,BN$5,0),0),IF(ISERROR(1/VLOOKUP($R357,Capa!$A:$AJ,BN$5,0)),0,1/VLOOKUP($R357,Capa!$A:$AJ,BN$5,0))))</f>
        <v/>
      </c>
      <c r="BO357" s="174" t="str">
        <f>IF(BO$6="","",IF(BO$3="Maior",iferror(VLOOKUP($R357,Capa!$A:$AJ,BO$5,0),0),IF(ISERROR(1/VLOOKUP($R357,Capa!$A:$AJ,BO$5,0)),0,1/VLOOKUP($R357,Capa!$A:$AJ,BO$5,0))))</f>
        <v/>
      </c>
      <c r="BP357" s="174" t="str">
        <f>IF(BP$6="","",IF(BP$3="Maior",iferror(VLOOKUP($R357,Capa!$A:$AJ,BP$5,0),0),IF(ISERROR(1/VLOOKUP($R357,Capa!$A:$AJ,BP$5,0)),0,1/VLOOKUP($R357,Capa!$A:$AJ,BP$5,0))))</f>
        <v/>
      </c>
      <c r="BQ357" s="174" t="str">
        <f>IF(BQ$6="","",IF(BQ$3="Maior",iferror(VLOOKUP($R357,Capa!$A:$AJ,BQ$5,0),0),IF(ISERROR(1/VLOOKUP($R357,Capa!$A:$AJ,BQ$5,0)),0,1/VLOOKUP($R357,Capa!$A:$AJ,BQ$5,0))))</f>
        <v/>
      </c>
      <c r="BR357" s="175"/>
      <c r="BS357" s="147"/>
    </row>
    <row r="358">
      <c r="G358" s="11"/>
      <c r="H358" s="8">
        <v>352.0</v>
      </c>
      <c r="I358" s="165" t="str">
        <f t="shared" si="6"/>
        <v>IGTA3</v>
      </c>
      <c r="J358" s="166" t="str">
        <f>(VLOOKUP($I358,Capa!$A:$B,2,0))</f>
        <v/>
      </c>
      <c r="K358" s="167" t="str">
        <f>VLOOKUP(left(I358,4),Setor!A:D,3,0)&amp;" | "&amp;VLOOKUP(left(I358,4),Setor!A:D,4,0)</f>
        <v>Financeiro | Exploração de Imóveis</v>
      </c>
      <c r="L358" s="168" t="str">
        <f>(VLOOKUP($I358,Capa!$A:$F,6,0))</f>
        <v/>
      </c>
      <c r="M358" s="168">
        <f t="shared" si="7"/>
        <v>0</v>
      </c>
      <c r="N358" s="11" t="str">
        <f>(VLOOKUP($I358,Capa!$A:$H,7,0))</f>
        <v/>
      </c>
      <c r="O358" s="169" t="str">
        <f>(VLOOKUP($I358,Capa!$A:$H,8,0))</f>
        <v/>
      </c>
      <c r="P358" s="11" t="str">
        <f>(VLOOKUP($I358,Capa!$A:$J,10,0))</f>
        <v/>
      </c>
      <c r="Q358" s="169" t="str">
        <f>(VLOOKUP($I358,Capa!$A:$K,11,0))</f>
        <v/>
      </c>
      <c r="R358" s="45" t="str">
        <f>'Dados StatusInvest'!A353</f>
        <v>LAME4</v>
      </c>
      <c r="S358" s="170">
        <f t="shared" si="234"/>
        <v>1413.0413</v>
      </c>
      <c r="T358" s="171">
        <f>VLOOKUP(R358,'Dados StatusInvest'!A:Z,26,0)</f>
        <v>0</v>
      </c>
      <c r="U358" s="172">
        <f t="shared" ref="U358:AS358" si="361">IF(AT358="","", RANK(AT358,AT$7:AT$626,0)+RANK(AT358,AT$7:AT$626,0)/10000)</f>
        <v>262.0262</v>
      </c>
      <c r="V358" s="172">
        <f t="shared" si="361"/>
        <v>151.0151</v>
      </c>
      <c r="W358" s="172" t="str">
        <f t="shared" si="361"/>
        <v/>
      </c>
      <c r="X358" s="172" t="str">
        <f t="shared" si="361"/>
        <v/>
      </c>
      <c r="Y358" s="172" t="str">
        <f t="shared" si="361"/>
        <v/>
      </c>
      <c r="Z358" s="172" t="str">
        <f t="shared" si="361"/>
        <v/>
      </c>
      <c r="AA358" s="172" t="str">
        <f t="shared" si="361"/>
        <v/>
      </c>
      <c r="AB358" s="172" t="str">
        <f t="shared" si="361"/>
        <v/>
      </c>
      <c r="AC358" s="172" t="str">
        <f t="shared" si="361"/>
        <v/>
      </c>
      <c r="AD358" s="172" t="str">
        <f t="shared" si="361"/>
        <v/>
      </c>
      <c r="AE358" s="172" t="str">
        <f t="shared" si="361"/>
        <v/>
      </c>
      <c r="AF358" s="172" t="str">
        <f t="shared" si="361"/>
        <v/>
      </c>
      <c r="AG358" s="172" t="str">
        <f t="shared" si="361"/>
        <v/>
      </c>
      <c r="AH358" s="172" t="str">
        <f t="shared" si="361"/>
        <v/>
      </c>
      <c r="AI358" s="172" t="str">
        <f t="shared" si="361"/>
        <v/>
      </c>
      <c r="AJ358" s="172" t="str">
        <f t="shared" si="361"/>
        <v/>
      </c>
      <c r="AK358" s="172" t="str">
        <f t="shared" si="361"/>
        <v/>
      </c>
      <c r="AL358" s="172" t="str">
        <f t="shared" si="361"/>
        <v/>
      </c>
      <c r="AM358" s="172" t="str">
        <f t="shared" si="361"/>
        <v/>
      </c>
      <c r="AN358" s="172" t="str">
        <f t="shared" si="361"/>
        <v/>
      </c>
      <c r="AO358" s="172" t="str">
        <f t="shared" si="361"/>
        <v/>
      </c>
      <c r="AP358" s="172" t="str">
        <f t="shared" si="361"/>
        <v/>
      </c>
      <c r="AQ358" s="172" t="str">
        <f t="shared" si="361"/>
        <v/>
      </c>
      <c r="AR358" s="172" t="str">
        <f t="shared" si="361"/>
        <v/>
      </c>
      <c r="AS358" s="172" t="str">
        <f t="shared" si="361"/>
        <v/>
      </c>
      <c r="AT358" s="173">
        <f>IF(AT$6="","",IF(AT$3="Maior",iferror(VLOOKUP($R358,Capa!$A:$AJ,AT$5,0),0),IF(ISERROR(1/VLOOKUP($R358,Capa!$A:$AJ,AT$5,0)),0,1/VLOOKUP($R358,Capa!$A:$AJ,AT$5,0))))</f>
        <v>-0.5434782609</v>
      </c>
      <c r="AU358" s="174">
        <f>IF(AU$6="","",IF(AU$3="Maior",iferror(VLOOKUP($R358,Capa!$A:$AJ,AU$5,0),0),IF(ISERROR(1/VLOOKUP($R358,Capa!$A:$AJ,AU$5,0)),0,1/VLOOKUP($R358,Capa!$A:$AJ,AU$5,0))))</f>
        <v>18.61</v>
      </c>
      <c r="AV358" s="174" t="str">
        <f>IF(AV$6="","",IF(AV$3="Maior",iferror(VLOOKUP($R358,Capa!$A:$AJ,AV$5,0),0),IF(ISERROR(1/VLOOKUP($R358,Capa!$A:$AJ,AV$5,0)),0,1/VLOOKUP($R358,Capa!$A:$AJ,AV$5,0))))</f>
        <v/>
      </c>
      <c r="AW358" s="174" t="str">
        <f>IF(AW$6="","",IF(AW$3="Maior",iferror(VLOOKUP($R358,Capa!$A:$AJ,AW$5,0),0),IF(ISERROR(1/VLOOKUP($R358,Capa!$A:$AJ,AW$5,0)),0,1/VLOOKUP($R358,Capa!$A:$AJ,AW$5,0))))</f>
        <v/>
      </c>
      <c r="AX358" s="174" t="str">
        <f>IF(AX$6="","",IF(AX$3="Maior",iferror(VLOOKUP($R358,Capa!$A:$AJ,AX$5,0),0),IF(ISERROR(1/VLOOKUP($R358,Capa!$A:$AJ,AX$5,0)),0,1/VLOOKUP($R358,Capa!$A:$AJ,AX$5,0))))</f>
        <v/>
      </c>
      <c r="AY358" s="174" t="str">
        <f>IF(AY$6="","",IF(AY$3="Maior",iferror(VLOOKUP($R358,Capa!$A:$AJ,AY$5,0),0),IF(ISERROR(1/VLOOKUP($R358,Capa!$A:$AJ,AY$5,0)),0,1/VLOOKUP($R358,Capa!$A:$AJ,AY$5,0))))</f>
        <v/>
      </c>
      <c r="AZ358" s="174" t="str">
        <f>IF(AZ$6="","",IF(AZ$3="Maior",iferror(VLOOKUP($R358,Capa!$A:$AJ,AZ$5,0),0),IF(ISERROR(1/VLOOKUP($R358,Capa!$A:$AJ,AZ$5,0)),0,1/VLOOKUP($R358,Capa!$A:$AJ,AZ$5,0))))</f>
        <v/>
      </c>
      <c r="BA358" s="174" t="str">
        <f>IF(BA$6="","",IF(BA$3="Maior",iferror(VLOOKUP($R358,Capa!$A:$AJ,BA$5,0),0),IF(ISERROR(1/VLOOKUP($R358,Capa!$A:$AJ,BA$5,0)),0,1/VLOOKUP($R358,Capa!$A:$AJ,BA$5,0))))</f>
        <v/>
      </c>
      <c r="BB358" s="174" t="str">
        <f>IF(BB$6="","",IF(BB$3="Maior",iferror(VLOOKUP($R358,Capa!$A:$AJ,BB$5,0),0),IF(ISERROR(1/VLOOKUP($R358,Capa!$A:$AJ,BB$5,0)),0,1/VLOOKUP($R358,Capa!$A:$AJ,BB$5,0))))</f>
        <v/>
      </c>
      <c r="BC358" s="174" t="str">
        <f>IF(BC$6="","",IF(BC$3="Maior",iferror(VLOOKUP($R358,Capa!$A:$AJ,BC$5,0),0),IF(ISERROR(1/VLOOKUP($R358,Capa!$A:$AJ,BC$5,0)),0,1/VLOOKUP($R358,Capa!$A:$AJ,BC$5,0))))</f>
        <v/>
      </c>
      <c r="BD358" s="174" t="str">
        <f>IF(BD$6="","",IF(BD$3="Maior",iferror(VLOOKUP($R358,Capa!$A:$AJ,BD$5,0),0),IF(ISERROR(1/VLOOKUP($R358,Capa!$A:$AJ,BD$5,0)),0,1/VLOOKUP($R358,Capa!$A:$AJ,BD$5,0))))</f>
        <v/>
      </c>
      <c r="BE358" s="174" t="str">
        <f>IF(BE$6="","",IF(BE$3="Maior",iferror(VLOOKUP($R358,Capa!$A:$AJ,BE$5,0),0),IF(ISERROR(1/VLOOKUP($R358,Capa!$A:$AJ,BE$5,0)),0,1/VLOOKUP($R358,Capa!$A:$AJ,BE$5,0))))</f>
        <v/>
      </c>
      <c r="BF358" s="174" t="str">
        <f>IF(BF$6="","",IF(BF$3="Maior",iferror(VLOOKUP($R358,Capa!$A:$AJ,BF$5,0),0),IF(ISERROR(1/VLOOKUP($R358,Capa!$A:$AJ,BF$5,0)),0,1/VLOOKUP($R358,Capa!$A:$AJ,BF$5,0))))</f>
        <v/>
      </c>
      <c r="BG358" s="174" t="str">
        <f>IF(BG$6="","",IF(BG$3="Maior",iferror(VLOOKUP($R358,Capa!$A:$AJ,BG$5,0),0),IF(ISERROR(1/VLOOKUP($R358,Capa!$A:$AJ,BG$5,0)),0,1/VLOOKUP($R358,Capa!$A:$AJ,BG$5,0))))</f>
        <v/>
      </c>
      <c r="BH358" s="174" t="str">
        <f>IF(BH$6="","",IF(BH$3="Maior",iferror(VLOOKUP($R358,Capa!$A:$AJ,BH$5,0),0),IF(ISERROR(1/VLOOKUP($R358,Capa!$A:$AJ,BH$5,0)),0,1/VLOOKUP($R358,Capa!$A:$AJ,BH$5,0))))</f>
        <v/>
      </c>
      <c r="BI358" s="174" t="str">
        <f>IF(BI$6="","",IF(BI$3="Maior",iferror(VLOOKUP($R358,Capa!$A:$AJ,BI$5,0),0),IF(ISERROR(1/VLOOKUP($R358,Capa!$A:$AJ,BI$5,0)),0,1/VLOOKUP($R358,Capa!$A:$AJ,BI$5,0))))</f>
        <v/>
      </c>
      <c r="BJ358" s="174" t="str">
        <f>IF(BJ$6="","",IF(BJ$3="Maior",iferror(VLOOKUP($R358,Capa!$A:$AJ,BJ$5,0),0),IF(ISERROR(1/VLOOKUP($R358,Capa!$A:$AJ,BJ$5,0)),0,1/VLOOKUP($R358,Capa!$A:$AJ,BJ$5,0))))</f>
        <v/>
      </c>
      <c r="BK358" s="174" t="str">
        <f>IF(BK$6="","",IF(BK$3="Maior",iferror(VLOOKUP($R358,Capa!$A:$AJ,BK$5,0),0),IF(ISERROR(1/VLOOKUP($R358,Capa!$A:$AJ,BK$5,0)),0,1/VLOOKUP($R358,Capa!$A:$AJ,BK$5,0))))</f>
        <v/>
      </c>
      <c r="BL358" s="174" t="str">
        <f>IF(BL$6="","",IF(BL$3="Maior",iferror(VLOOKUP($R358,Capa!$A:$AJ,BL$5,0),0),IF(ISERROR(1/VLOOKUP($R358,Capa!$A:$AJ,BL$5,0)),0,1/VLOOKUP($R358,Capa!$A:$AJ,BL$5,0))))</f>
        <v/>
      </c>
      <c r="BM358" s="174" t="str">
        <f>IF(BM$6="","",IF(BM$3="Maior",iferror(VLOOKUP($R358,Capa!$A:$AJ,BM$5,0),0),IF(ISERROR(1/VLOOKUP($R358,Capa!$A:$AJ,BM$5,0)),0,1/VLOOKUP($R358,Capa!$A:$AJ,BM$5,0))))</f>
        <v/>
      </c>
      <c r="BN358" s="174" t="str">
        <f>IF(BN$6="","",IF(BN$3="Maior",iferror(VLOOKUP($R358,Capa!$A:$AJ,BN$5,0),0),IF(ISERROR(1/VLOOKUP($R358,Capa!$A:$AJ,BN$5,0)),0,1/VLOOKUP($R358,Capa!$A:$AJ,BN$5,0))))</f>
        <v/>
      </c>
      <c r="BO358" s="174" t="str">
        <f>IF(BO$6="","",IF(BO$3="Maior",iferror(VLOOKUP($R358,Capa!$A:$AJ,BO$5,0),0),IF(ISERROR(1/VLOOKUP($R358,Capa!$A:$AJ,BO$5,0)),0,1/VLOOKUP($R358,Capa!$A:$AJ,BO$5,0))))</f>
        <v/>
      </c>
      <c r="BP358" s="174" t="str">
        <f>IF(BP$6="","",IF(BP$3="Maior",iferror(VLOOKUP($R358,Capa!$A:$AJ,BP$5,0),0),IF(ISERROR(1/VLOOKUP($R358,Capa!$A:$AJ,BP$5,0)),0,1/VLOOKUP($R358,Capa!$A:$AJ,BP$5,0))))</f>
        <v/>
      </c>
      <c r="BQ358" s="174" t="str">
        <f>IF(BQ$6="","",IF(BQ$3="Maior",iferror(VLOOKUP($R358,Capa!$A:$AJ,BQ$5,0),0),IF(ISERROR(1/VLOOKUP($R358,Capa!$A:$AJ,BQ$5,0)),0,1/VLOOKUP($R358,Capa!$A:$AJ,BQ$5,0))))</f>
        <v/>
      </c>
      <c r="BR358" s="175"/>
      <c r="BS358" s="147"/>
    </row>
    <row r="359">
      <c r="G359" s="11"/>
      <c r="H359" s="8">
        <v>353.0</v>
      </c>
      <c r="I359" s="165" t="str">
        <f t="shared" si="6"/>
        <v>EEEL4</v>
      </c>
      <c r="J359" s="166" t="str">
        <f>(VLOOKUP($I359,Capa!$A:$B,2,0))</f>
        <v/>
      </c>
      <c r="K359" s="167" t="str">
        <f>VLOOKUP(left(I359,4),Setor!A:D,3,0)&amp;" | "&amp;VLOOKUP(left(I359,4),Setor!A:D,4,0)</f>
        <v>Utilidade Pública | Energia Elétrica</v>
      </c>
      <c r="L359" s="168" t="str">
        <f>(VLOOKUP($I359,Capa!$A:$F,6,0))</f>
        <v/>
      </c>
      <c r="M359" s="168">
        <f t="shared" si="7"/>
        <v>0</v>
      </c>
      <c r="N359" s="11" t="str">
        <f>(VLOOKUP($I359,Capa!$A:$H,7,0))</f>
        <v/>
      </c>
      <c r="O359" s="169" t="str">
        <f>(VLOOKUP($I359,Capa!$A:$H,8,0))</f>
        <v/>
      </c>
      <c r="P359" s="11" t="str">
        <f>(VLOOKUP($I359,Capa!$A:$J,10,0))</f>
        <v/>
      </c>
      <c r="Q359" s="169" t="str">
        <f>(VLOOKUP($I359,Capa!$A:$K,11,0))</f>
        <v/>
      </c>
      <c r="R359" s="45" t="str">
        <f>'Dados StatusInvest'!A354</f>
        <v>LAND3</v>
      </c>
      <c r="S359" s="170">
        <f t="shared" si="234"/>
        <v>1616.0616</v>
      </c>
      <c r="T359" s="171">
        <f>VLOOKUP(R359,'Dados StatusInvest'!A:Z,26,0)</f>
        <v>394016.4</v>
      </c>
      <c r="U359" s="172">
        <f t="shared" ref="U359:AS359" si="362">IF(AT359="","", RANK(AT359,AT$7:AT$626,0)+RANK(AT359,AT$7:AT$626,0)/10000)</f>
        <v>349.0349</v>
      </c>
      <c r="V359" s="172">
        <f t="shared" si="362"/>
        <v>267.0267</v>
      </c>
      <c r="W359" s="172" t="str">
        <f t="shared" si="362"/>
        <v/>
      </c>
      <c r="X359" s="172" t="str">
        <f t="shared" si="362"/>
        <v/>
      </c>
      <c r="Y359" s="172" t="str">
        <f t="shared" si="362"/>
        <v/>
      </c>
      <c r="Z359" s="172" t="str">
        <f t="shared" si="362"/>
        <v/>
      </c>
      <c r="AA359" s="172" t="str">
        <f t="shared" si="362"/>
        <v/>
      </c>
      <c r="AB359" s="172" t="str">
        <f t="shared" si="362"/>
        <v/>
      </c>
      <c r="AC359" s="172" t="str">
        <f t="shared" si="362"/>
        <v/>
      </c>
      <c r="AD359" s="172" t="str">
        <f t="shared" si="362"/>
        <v/>
      </c>
      <c r="AE359" s="172" t="str">
        <f t="shared" si="362"/>
        <v/>
      </c>
      <c r="AF359" s="172" t="str">
        <f t="shared" si="362"/>
        <v/>
      </c>
      <c r="AG359" s="172" t="str">
        <f t="shared" si="362"/>
        <v/>
      </c>
      <c r="AH359" s="172" t="str">
        <f t="shared" si="362"/>
        <v/>
      </c>
      <c r="AI359" s="172" t="str">
        <f t="shared" si="362"/>
        <v/>
      </c>
      <c r="AJ359" s="172" t="str">
        <f t="shared" si="362"/>
        <v/>
      </c>
      <c r="AK359" s="172" t="str">
        <f t="shared" si="362"/>
        <v/>
      </c>
      <c r="AL359" s="172" t="str">
        <f t="shared" si="362"/>
        <v/>
      </c>
      <c r="AM359" s="172" t="str">
        <f t="shared" si="362"/>
        <v/>
      </c>
      <c r="AN359" s="172" t="str">
        <f t="shared" si="362"/>
        <v/>
      </c>
      <c r="AO359" s="172" t="str">
        <f t="shared" si="362"/>
        <v/>
      </c>
      <c r="AP359" s="172" t="str">
        <f t="shared" si="362"/>
        <v/>
      </c>
      <c r="AQ359" s="172" t="str">
        <f t="shared" si="362"/>
        <v/>
      </c>
      <c r="AR359" s="172" t="str">
        <f t="shared" si="362"/>
        <v/>
      </c>
      <c r="AS359" s="172" t="str">
        <f t="shared" si="362"/>
        <v/>
      </c>
      <c r="AT359" s="173">
        <f>IF(AT$6="","",IF(AT$3="Maior",iferror(VLOOKUP($R359,Capa!$A:$AJ,AT$5,0),0),IF(ISERROR(1/VLOOKUP($R359,Capa!$A:$AJ,AT$5,0)),0,1/VLOOKUP($R359,Capa!$A:$AJ,AT$5,0))))</f>
        <v>-0.9900990099</v>
      </c>
      <c r="AU359" s="174">
        <f>IF(AU$6="","",IF(AU$3="Maior",iferror(VLOOKUP($R359,Capa!$A:$AJ,AU$5,0),0),IF(ISERROR(1/VLOOKUP($R359,Capa!$A:$AJ,AU$5,0)),0,1/VLOOKUP($R359,Capa!$A:$AJ,AU$5,0))))</f>
        <v>0</v>
      </c>
      <c r="AV359" s="174" t="str">
        <f>IF(AV$6="","",IF(AV$3="Maior",iferror(VLOOKUP($R359,Capa!$A:$AJ,AV$5,0),0),IF(ISERROR(1/VLOOKUP($R359,Capa!$A:$AJ,AV$5,0)),0,1/VLOOKUP($R359,Capa!$A:$AJ,AV$5,0))))</f>
        <v/>
      </c>
      <c r="AW359" s="174" t="str">
        <f>IF(AW$6="","",IF(AW$3="Maior",iferror(VLOOKUP($R359,Capa!$A:$AJ,AW$5,0),0),IF(ISERROR(1/VLOOKUP($R359,Capa!$A:$AJ,AW$5,0)),0,1/VLOOKUP($R359,Capa!$A:$AJ,AW$5,0))))</f>
        <v/>
      </c>
      <c r="AX359" s="174" t="str">
        <f>IF(AX$6="","",IF(AX$3="Maior",iferror(VLOOKUP($R359,Capa!$A:$AJ,AX$5,0),0),IF(ISERROR(1/VLOOKUP($R359,Capa!$A:$AJ,AX$5,0)),0,1/VLOOKUP($R359,Capa!$A:$AJ,AX$5,0))))</f>
        <v/>
      </c>
      <c r="AY359" s="174" t="str">
        <f>IF(AY$6="","",IF(AY$3="Maior",iferror(VLOOKUP($R359,Capa!$A:$AJ,AY$5,0),0),IF(ISERROR(1/VLOOKUP($R359,Capa!$A:$AJ,AY$5,0)),0,1/VLOOKUP($R359,Capa!$A:$AJ,AY$5,0))))</f>
        <v/>
      </c>
      <c r="AZ359" s="174" t="str">
        <f>IF(AZ$6="","",IF(AZ$3="Maior",iferror(VLOOKUP($R359,Capa!$A:$AJ,AZ$5,0),0),IF(ISERROR(1/VLOOKUP($R359,Capa!$A:$AJ,AZ$5,0)),0,1/VLOOKUP($R359,Capa!$A:$AJ,AZ$5,0))))</f>
        <v/>
      </c>
      <c r="BA359" s="174" t="str">
        <f>IF(BA$6="","",IF(BA$3="Maior",iferror(VLOOKUP($R359,Capa!$A:$AJ,BA$5,0),0),IF(ISERROR(1/VLOOKUP($R359,Capa!$A:$AJ,BA$5,0)),0,1/VLOOKUP($R359,Capa!$A:$AJ,BA$5,0))))</f>
        <v/>
      </c>
      <c r="BB359" s="174" t="str">
        <f>IF(BB$6="","",IF(BB$3="Maior",iferror(VLOOKUP($R359,Capa!$A:$AJ,BB$5,0),0),IF(ISERROR(1/VLOOKUP($R359,Capa!$A:$AJ,BB$5,0)),0,1/VLOOKUP($R359,Capa!$A:$AJ,BB$5,0))))</f>
        <v/>
      </c>
      <c r="BC359" s="174" t="str">
        <f>IF(BC$6="","",IF(BC$3="Maior",iferror(VLOOKUP($R359,Capa!$A:$AJ,BC$5,0),0),IF(ISERROR(1/VLOOKUP($R359,Capa!$A:$AJ,BC$5,0)),0,1/VLOOKUP($R359,Capa!$A:$AJ,BC$5,0))))</f>
        <v/>
      </c>
      <c r="BD359" s="174" t="str">
        <f>IF(BD$6="","",IF(BD$3="Maior",iferror(VLOOKUP($R359,Capa!$A:$AJ,BD$5,0),0),IF(ISERROR(1/VLOOKUP($R359,Capa!$A:$AJ,BD$5,0)),0,1/VLOOKUP($R359,Capa!$A:$AJ,BD$5,0))))</f>
        <v/>
      </c>
      <c r="BE359" s="174" t="str">
        <f>IF(BE$6="","",IF(BE$3="Maior",iferror(VLOOKUP($R359,Capa!$A:$AJ,BE$5,0),0),IF(ISERROR(1/VLOOKUP($R359,Capa!$A:$AJ,BE$5,0)),0,1/VLOOKUP($R359,Capa!$A:$AJ,BE$5,0))))</f>
        <v/>
      </c>
      <c r="BF359" s="174" t="str">
        <f>IF(BF$6="","",IF(BF$3="Maior",iferror(VLOOKUP($R359,Capa!$A:$AJ,BF$5,0),0),IF(ISERROR(1/VLOOKUP($R359,Capa!$A:$AJ,BF$5,0)),0,1/VLOOKUP($R359,Capa!$A:$AJ,BF$5,0))))</f>
        <v/>
      </c>
      <c r="BG359" s="174" t="str">
        <f>IF(BG$6="","",IF(BG$3="Maior",iferror(VLOOKUP($R359,Capa!$A:$AJ,BG$5,0),0),IF(ISERROR(1/VLOOKUP($R359,Capa!$A:$AJ,BG$5,0)),0,1/VLOOKUP($R359,Capa!$A:$AJ,BG$5,0))))</f>
        <v/>
      </c>
      <c r="BH359" s="174" t="str">
        <f>IF(BH$6="","",IF(BH$3="Maior",iferror(VLOOKUP($R359,Capa!$A:$AJ,BH$5,0),0),IF(ISERROR(1/VLOOKUP($R359,Capa!$A:$AJ,BH$5,0)),0,1/VLOOKUP($R359,Capa!$A:$AJ,BH$5,0))))</f>
        <v/>
      </c>
      <c r="BI359" s="174" t="str">
        <f>IF(BI$6="","",IF(BI$3="Maior",iferror(VLOOKUP($R359,Capa!$A:$AJ,BI$5,0),0),IF(ISERROR(1/VLOOKUP($R359,Capa!$A:$AJ,BI$5,0)),0,1/VLOOKUP($R359,Capa!$A:$AJ,BI$5,0))))</f>
        <v/>
      </c>
      <c r="BJ359" s="174" t="str">
        <f>IF(BJ$6="","",IF(BJ$3="Maior",iferror(VLOOKUP($R359,Capa!$A:$AJ,BJ$5,0),0),IF(ISERROR(1/VLOOKUP($R359,Capa!$A:$AJ,BJ$5,0)),0,1/VLOOKUP($R359,Capa!$A:$AJ,BJ$5,0))))</f>
        <v/>
      </c>
      <c r="BK359" s="174" t="str">
        <f>IF(BK$6="","",IF(BK$3="Maior",iferror(VLOOKUP($R359,Capa!$A:$AJ,BK$5,0),0),IF(ISERROR(1/VLOOKUP($R359,Capa!$A:$AJ,BK$5,0)),0,1/VLOOKUP($R359,Capa!$A:$AJ,BK$5,0))))</f>
        <v/>
      </c>
      <c r="BL359" s="174" t="str">
        <f>IF(BL$6="","",IF(BL$3="Maior",iferror(VLOOKUP($R359,Capa!$A:$AJ,BL$5,0),0),IF(ISERROR(1/VLOOKUP($R359,Capa!$A:$AJ,BL$5,0)),0,1/VLOOKUP($R359,Capa!$A:$AJ,BL$5,0))))</f>
        <v/>
      </c>
      <c r="BM359" s="174" t="str">
        <f>IF(BM$6="","",IF(BM$3="Maior",iferror(VLOOKUP($R359,Capa!$A:$AJ,BM$5,0),0),IF(ISERROR(1/VLOOKUP($R359,Capa!$A:$AJ,BM$5,0)),0,1/VLOOKUP($R359,Capa!$A:$AJ,BM$5,0))))</f>
        <v/>
      </c>
      <c r="BN359" s="174" t="str">
        <f>IF(BN$6="","",IF(BN$3="Maior",iferror(VLOOKUP($R359,Capa!$A:$AJ,BN$5,0),0),IF(ISERROR(1/VLOOKUP($R359,Capa!$A:$AJ,BN$5,0)),0,1/VLOOKUP($R359,Capa!$A:$AJ,BN$5,0))))</f>
        <v/>
      </c>
      <c r="BO359" s="174" t="str">
        <f>IF(BO$6="","",IF(BO$3="Maior",iferror(VLOOKUP($R359,Capa!$A:$AJ,BO$5,0),0),IF(ISERROR(1/VLOOKUP($R359,Capa!$A:$AJ,BO$5,0)),0,1/VLOOKUP($R359,Capa!$A:$AJ,BO$5,0))))</f>
        <v/>
      </c>
      <c r="BP359" s="174" t="str">
        <f>IF(BP$6="","",IF(BP$3="Maior",iferror(VLOOKUP($R359,Capa!$A:$AJ,BP$5,0),0),IF(ISERROR(1/VLOOKUP($R359,Capa!$A:$AJ,BP$5,0)),0,1/VLOOKUP($R359,Capa!$A:$AJ,BP$5,0))))</f>
        <v/>
      </c>
      <c r="BQ359" s="174" t="str">
        <f>IF(BQ$6="","",IF(BQ$3="Maior",iferror(VLOOKUP($R359,Capa!$A:$AJ,BQ$5,0),0),IF(ISERROR(1/VLOOKUP($R359,Capa!$A:$AJ,BQ$5,0)),0,1/VLOOKUP($R359,Capa!$A:$AJ,BQ$5,0))))</f>
        <v/>
      </c>
      <c r="BR359" s="175"/>
      <c r="BS359" s="147"/>
    </row>
    <row r="360">
      <c r="G360" s="11"/>
      <c r="H360" s="8">
        <v>354.0</v>
      </c>
      <c r="I360" s="165" t="str">
        <f t="shared" si="6"/>
        <v>EEEL3</v>
      </c>
      <c r="J360" s="166" t="str">
        <f>(VLOOKUP($I360,Capa!$A:$B,2,0))</f>
        <v/>
      </c>
      <c r="K360" s="167" t="str">
        <f>VLOOKUP(left(I360,4),Setor!A:D,3,0)&amp;" | "&amp;VLOOKUP(left(I360,4),Setor!A:D,4,0)</f>
        <v>Utilidade Pública | Energia Elétrica</v>
      </c>
      <c r="L360" s="168" t="str">
        <f>(VLOOKUP($I360,Capa!$A:$F,6,0))</f>
        <v/>
      </c>
      <c r="M360" s="168">
        <f t="shared" si="7"/>
        <v>0</v>
      </c>
      <c r="N360" s="11" t="str">
        <f>(VLOOKUP($I360,Capa!$A:$H,7,0))</f>
        <v/>
      </c>
      <c r="O360" s="169" t="str">
        <f>(VLOOKUP($I360,Capa!$A:$H,8,0))</f>
        <v/>
      </c>
      <c r="P360" s="11" t="str">
        <f>(VLOOKUP($I360,Capa!$A:$J,10,0))</f>
        <v/>
      </c>
      <c r="Q360" s="169" t="str">
        <f>(VLOOKUP($I360,Capa!$A:$K,11,0))</f>
        <v/>
      </c>
      <c r="R360" s="45" t="str">
        <f>'Dados StatusInvest'!A355</f>
        <v>LAVV3</v>
      </c>
      <c r="S360" s="170">
        <f t="shared" si="234"/>
        <v>207.0207</v>
      </c>
      <c r="T360" s="171">
        <f>VLOOKUP(R360,'Dados StatusInvest'!A:Z,26,0)</f>
        <v>11827239</v>
      </c>
      <c r="U360" s="172">
        <f t="shared" ref="U360:AS360" si="363">IF(AT360="","", RANK(AT360,AT$7:AT$626,0)+RANK(AT360,AT$7:AT$626,0)/10000)</f>
        <v>188.0188</v>
      </c>
      <c r="V360" s="172">
        <f t="shared" si="363"/>
        <v>19.0019</v>
      </c>
      <c r="W360" s="172" t="str">
        <f t="shared" si="363"/>
        <v/>
      </c>
      <c r="X360" s="172" t="str">
        <f t="shared" si="363"/>
        <v/>
      </c>
      <c r="Y360" s="172" t="str">
        <f t="shared" si="363"/>
        <v/>
      </c>
      <c r="Z360" s="172" t="str">
        <f t="shared" si="363"/>
        <v/>
      </c>
      <c r="AA360" s="172" t="str">
        <f t="shared" si="363"/>
        <v/>
      </c>
      <c r="AB360" s="172" t="str">
        <f t="shared" si="363"/>
        <v/>
      </c>
      <c r="AC360" s="172" t="str">
        <f t="shared" si="363"/>
        <v/>
      </c>
      <c r="AD360" s="172" t="str">
        <f t="shared" si="363"/>
        <v/>
      </c>
      <c r="AE360" s="172" t="str">
        <f t="shared" si="363"/>
        <v/>
      </c>
      <c r="AF360" s="172" t="str">
        <f t="shared" si="363"/>
        <v/>
      </c>
      <c r="AG360" s="172" t="str">
        <f t="shared" si="363"/>
        <v/>
      </c>
      <c r="AH360" s="172" t="str">
        <f t="shared" si="363"/>
        <v/>
      </c>
      <c r="AI360" s="172" t="str">
        <f t="shared" si="363"/>
        <v/>
      </c>
      <c r="AJ360" s="172" t="str">
        <f t="shared" si="363"/>
        <v/>
      </c>
      <c r="AK360" s="172" t="str">
        <f t="shared" si="363"/>
        <v/>
      </c>
      <c r="AL360" s="172" t="str">
        <f t="shared" si="363"/>
        <v/>
      </c>
      <c r="AM360" s="172" t="str">
        <f t="shared" si="363"/>
        <v/>
      </c>
      <c r="AN360" s="172" t="str">
        <f t="shared" si="363"/>
        <v/>
      </c>
      <c r="AO360" s="172" t="str">
        <f t="shared" si="363"/>
        <v/>
      </c>
      <c r="AP360" s="172" t="str">
        <f t="shared" si="363"/>
        <v/>
      </c>
      <c r="AQ360" s="172" t="str">
        <f t="shared" si="363"/>
        <v/>
      </c>
      <c r="AR360" s="172" t="str">
        <f t="shared" si="363"/>
        <v/>
      </c>
      <c r="AS360" s="172" t="str">
        <f t="shared" si="363"/>
        <v/>
      </c>
      <c r="AT360" s="173">
        <f>IF(AT$6="","",IF(AT$3="Maior",iferror(VLOOKUP($R360,Capa!$A:$AJ,AT$5,0),0),IF(ISERROR(1/VLOOKUP($R360,Capa!$A:$AJ,AT$5,0)),0,1/VLOOKUP($R360,Capa!$A:$AJ,AT$5,0))))</f>
        <v>-0.2438464029</v>
      </c>
      <c r="AU360" s="174">
        <f>IF(AU$6="","",IF(AU$3="Maior",iferror(VLOOKUP($R360,Capa!$A:$AJ,AU$5,0),0),IF(ISERROR(1/VLOOKUP($R360,Capa!$A:$AJ,AU$5,0)),0,1/VLOOKUP($R360,Capa!$A:$AJ,AU$5,0))))</f>
        <v>57.55</v>
      </c>
      <c r="AV360" s="174" t="str">
        <f>IF(AV$6="","",IF(AV$3="Maior",iferror(VLOOKUP($R360,Capa!$A:$AJ,AV$5,0),0),IF(ISERROR(1/VLOOKUP($R360,Capa!$A:$AJ,AV$5,0)),0,1/VLOOKUP($R360,Capa!$A:$AJ,AV$5,0))))</f>
        <v/>
      </c>
      <c r="AW360" s="174" t="str">
        <f>IF(AW$6="","",IF(AW$3="Maior",iferror(VLOOKUP($R360,Capa!$A:$AJ,AW$5,0),0),IF(ISERROR(1/VLOOKUP($R360,Capa!$A:$AJ,AW$5,0)),0,1/VLOOKUP($R360,Capa!$A:$AJ,AW$5,0))))</f>
        <v/>
      </c>
      <c r="AX360" s="174" t="str">
        <f>IF(AX$6="","",IF(AX$3="Maior",iferror(VLOOKUP($R360,Capa!$A:$AJ,AX$5,0),0),IF(ISERROR(1/VLOOKUP($R360,Capa!$A:$AJ,AX$5,0)),0,1/VLOOKUP($R360,Capa!$A:$AJ,AX$5,0))))</f>
        <v/>
      </c>
      <c r="AY360" s="174" t="str">
        <f>IF(AY$6="","",IF(AY$3="Maior",iferror(VLOOKUP($R360,Capa!$A:$AJ,AY$5,0),0),IF(ISERROR(1/VLOOKUP($R360,Capa!$A:$AJ,AY$5,0)),0,1/VLOOKUP($R360,Capa!$A:$AJ,AY$5,0))))</f>
        <v/>
      </c>
      <c r="AZ360" s="174" t="str">
        <f>IF(AZ$6="","",IF(AZ$3="Maior",iferror(VLOOKUP($R360,Capa!$A:$AJ,AZ$5,0),0),IF(ISERROR(1/VLOOKUP($R360,Capa!$A:$AJ,AZ$5,0)),0,1/VLOOKUP($R360,Capa!$A:$AJ,AZ$5,0))))</f>
        <v/>
      </c>
      <c r="BA360" s="174" t="str">
        <f>IF(BA$6="","",IF(BA$3="Maior",iferror(VLOOKUP($R360,Capa!$A:$AJ,BA$5,0),0),IF(ISERROR(1/VLOOKUP($R360,Capa!$A:$AJ,BA$5,0)),0,1/VLOOKUP($R360,Capa!$A:$AJ,BA$5,0))))</f>
        <v/>
      </c>
      <c r="BB360" s="174" t="str">
        <f>IF(BB$6="","",IF(BB$3="Maior",iferror(VLOOKUP($R360,Capa!$A:$AJ,BB$5,0),0),IF(ISERROR(1/VLOOKUP($R360,Capa!$A:$AJ,BB$5,0)),0,1/VLOOKUP($R360,Capa!$A:$AJ,BB$5,0))))</f>
        <v/>
      </c>
      <c r="BC360" s="174" t="str">
        <f>IF(BC$6="","",IF(BC$3="Maior",iferror(VLOOKUP($R360,Capa!$A:$AJ,BC$5,0),0),IF(ISERROR(1/VLOOKUP($R360,Capa!$A:$AJ,BC$5,0)),0,1/VLOOKUP($R360,Capa!$A:$AJ,BC$5,0))))</f>
        <v/>
      </c>
      <c r="BD360" s="174" t="str">
        <f>IF(BD$6="","",IF(BD$3="Maior",iferror(VLOOKUP($R360,Capa!$A:$AJ,BD$5,0),0),IF(ISERROR(1/VLOOKUP($R360,Capa!$A:$AJ,BD$5,0)),0,1/VLOOKUP($R360,Capa!$A:$AJ,BD$5,0))))</f>
        <v/>
      </c>
      <c r="BE360" s="174" t="str">
        <f>IF(BE$6="","",IF(BE$3="Maior",iferror(VLOOKUP($R360,Capa!$A:$AJ,BE$5,0),0),IF(ISERROR(1/VLOOKUP($R360,Capa!$A:$AJ,BE$5,0)),0,1/VLOOKUP($R360,Capa!$A:$AJ,BE$5,0))))</f>
        <v/>
      </c>
      <c r="BF360" s="174" t="str">
        <f>IF(BF$6="","",IF(BF$3="Maior",iferror(VLOOKUP($R360,Capa!$A:$AJ,BF$5,0),0),IF(ISERROR(1/VLOOKUP($R360,Capa!$A:$AJ,BF$5,0)),0,1/VLOOKUP($R360,Capa!$A:$AJ,BF$5,0))))</f>
        <v/>
      </c>
      <c r="BG360" s="174" t="str">
        <f>IF(BG$6="","",IF(BG$3="Maior",iferror(VLOOKUP($R360,Capa!$A:$AJ,BG$5,0),0),IF(ISERROR(1/VLOOKUP($R360,Capa!$A:$AJ,BG$5,0)),0,1/VLOOKUP($R360,Capa!$A:$AJ,BG$5,0))))</f>
        <v/>
      </c>
      <c r="BH360" s="174" t="str">
        <f>IF(BH$6="","",IF(BH$3="Maior",iferror(VLOOKUP($R360,Capa!$A:$AJ,BH$5,0),0),IF(ISERROR(1/VLOOKUP($R360,Capa!$A:$AJ,BH$5,0)),0,1/VLOOKUP($R360,Capa!$A:$AJ,BH$5,0))))</f>
        <v/>
      </c>
      <c r="BI360" s="174" t="str">
        <f>IF(BI$6="","",IF(BI$3="Maior",iferror(VLOOKUP($R360,Capa!$A:$AJ,BI$5,0),0),IF(ISERROR(1/VLOOKUP($R360,Capa!$A:$AJ,BI$5,0)),0,1/VLOOKUP($R360,Capa!$A:$AJ,BI$5,0))))</f>
        <v/>
      </c>
      <c r="BJ360" s="174" t="str">
        <f>IF(BJ$6="","",IF(BJ$3="Maior",iferror(VLOOKUP($R360,Capa!$A:$AJ,BJ$5,0),0),IF(ISERROR(1/VLOOKUP($R360,Capa!$A:$AJ,BJ$5,0)),0,1/VLOOKUP($R360,Capa!$A:$AJ,BJ$5,0))))</f>
        <v/>
      </c>
      <c r="BK360" s="174" t="str">
        <f>IF(BK$6="","",IF(BK$3="Maior",iferror(VLOOKUP($R360,Capa!$A:$AJ,BK$5,0),0),IF(ISERROR(1/VLOOKUP($R360,Capa!$A:$AJ,BK$5,0)),0,1/VLOOKUP($R360,Capa!$A:$AJ,BK$5,0))))</f>
        <v/>
      </c>
      <c r="BL360" s="174" t="str">
        <f>IF(BL$6="","",IF(BL$3="Maior",iferror(VLOOKUP($R360,Capa!$A:$AJ,BL$5,0),0),IF(ISERROR(1/VLOOKUP($R360,Capa!$A:$AJ,BL$5,0)),0,1/VLOOKUP($R360,Capa!$A:$AJ,BL$5,0))))</f>
        <v/>
      </c>
      <c r="BM360" s="174" t="str">
        <f>IF(BM$6="","",IF(BM$3="Maior",iferror(VLOOKUP($R360,Capa!$A:$AJ,BM$5,0),0),IF(ISERROR(1/VLOOKUP($R360,Capa!$A:$AJ,BM$5,0)),0,1/VLOOKUP($R360,Capa!$A:$AJ,BM$5,0))))</f>
        <v/>
      </c>
      <c r="BN360" s="174" t="str">
        <f>IF(BN$6="","",IF(BN$3="Maior",iferror(VLOOKUP($R360,Capa!$A:$AJ,BN$5,0),0),IF(ISERROR(1/VLOOKUP($R360,Capa!$A:$AJ,BN$5,0)),0,1/VLOOKUP($R360,Capa!$A:$AJ,BN$5,0))))</f>
        <v/>
      </c>
      <c r="BO360" s="174" t="str">
        <f>IF(BO$6="","",IF(BO$3="Maior",iferror(VLOOKUP($R360,Capa!$A:$AJ,BO$5,0),0),IF(ISERROR(1/VLOOKUP($R360,Capa!$A:$AJ,BO$5,0)),0,1/VLOOKUP($R360,Capa!$A:$AJ,BO$5,0))))</f>
        <v/>
      </c>
      <c r="BP360" s="174" t="str">
        <f>IF(BP$6="","",IF(BP$3="Maior",iferror(VLOOKUP($R360,Capa!$A:$AJ,BP$5,0),0),IF(ISERROR(1/VLOOKUP($R360,Capa!$A:$AJ,BP$5,0)),0,1/VLOOKUP($R360,Capa!$A:$AJ,BP$5,0))))</f>
        <v/>
      </c>
      <c r="BQ360" s="174" t="str">
        <f>IF(BQ$6="","",IF(BQ$3="Maior",iferror(VLOOKUP($R360,Capa!$A:$AJ,BQ$5,0),0),IF(ISERROR(1/VLOOKUP($R360,Capa!$A:$AJ,BQ$5,0)),0,1/VLOOKUP($R360,Capa!$A:$AJ,BQ$5,0))))</f>
        <v/>
      </c>
      <c r="BR360" s="175"/>
      <c r="BS360" s="147"/>
    </row>
    <row r="361">
      <c r="G361" s="11"/>
      <c r="H361" s="8">
        <v>355.0</v>
      </c>
      <c r="I361" s="165" t="str">
        <f t="shared" si="6"/>
        <v>EEEL3</v>
      </c>
      <c r="J361" s="166" t="str">
        <f>(VLOOKUP($I361,Capa!$A:$B,2,0))</f>
        <v/>
      </c>
      <c r="K361" s="167" t="str">
        <f>VLOOKUP(left(I361,4),Setor!A:D,3,0)&amp;" | "&amp;VLOOKUP(left(I361,4),Setor!A:D,4,0)</f>
        <v>Utilidade Pública | Energia Elétrica</v>
      </c>
      <c r="L361" s="168" t="str">
        <f>(VLOOKUP($I361,Capa!$A:$F,6,0))</f>
        <v/>
      </c>
      <c r="M361" s="168">
        <f t="shared" si="7"/>
        <v>0</v>
      </c>
      <c r="N361" s="11" t="str">
        <f>(VLOOKUP($I361,Capa!$A:$H,7,0))</f>
        <v/>
      </c>
      <c r="O361" s="169" t="str">
        <f>(VLOOKUP($I361,Capa!$A:$H,8,0))</f>
        <v/>
      </c>
      <c r="P361" s="11" t="str">
        <f>(VLOOKUP($I361,Capa!$A:$J,10,0))</f>
        <v/>
      </c>
      <c r="Q361" s="169" t="str">
        <f>(VLOOKUP($I361,Capa!$A:$K,11,0))</f>
        <v/>
      </c>
      <c r="R361" s="45" t="str">
        <f>'Dados StatusInvest'!A356</f>
        <v>LCAM3</v>
      </c>
      <c r="S361" s="170">
        <f t="shared" si="234"/>
        <v>1255.0255</v>
      </c>
      <c r="T361" s="171">
        <f>VLOOKUP(R361,'Dados StatusInvest'!A:Z,26,0)</f>
        <v>0</v>
      </c>
      <c r="U361" s="172">
        <f t="shared" ref="U361:AS361" si="364">IF(AT361="","", RANK(AT361,AT$7:AT$626,0)+RANK(AT361,AT$7:AT$626,0)/10000)</f>
        <v>187.0187</v>
      </c>
      <c r="V361" s="172">
        <f t="shared" si="364"/>
        <v>68.0068</v>
      </c>
      <c r="W361" s="172" t="str">
        <f t="shared" si="364"/>
        <v/>
      </c>
      <c r="X361" s="172" t="str">
        <f t="shared" si="364"/>
        <v/>
      </c>
      <c r="Y361" s="172" t="str">
        <f t="shared" si="364"/>
        <v/>
      </c>
      <c r="Z361" s="172" t="str">
        <f t="shared" si="364"/>
        <v/>
      </c>
      <c r="AA361" s="172" t="str">
        <f t="shared" si="364"/>
        <v/>
      </c>
      <c r="AB361" s="172" t="str">
        <f t="shared" si="364"/>
        <v/>
      </c>
      <c r="AC361" s="172" t="str">
        <f t="shared" si="364"/>
        <v/>
      </c>
      <c r="AD361" s="172" t="str">
        <f t="shared" si="364"/>
        <v/>
      </c>
      <c r="AE361" s="172" t="str">
        <f t="shared" si="364"/>
        <v/>
      </c>
      <c r="AF361" s="172" t="str">
        <f t="shared" si="364"/>
        <v/>
      </c>
      <c r="AG361" s="172" t="str">
        <f t="shared" si="364"/>
        <v/>
      </c>
      <c r="AH361" s="172" t="str">
        <f t="shared" si="364"/>
        <v/>
      </c>
      <c r="AI361" s="172" t="str">
        <f t="shared" si="364"/>
        <v/>
      </c>
      <c r="AJ361" s="172" t="str">
        <f t="shared" si="364"/>
        <v/>
      </c>
      <c r="AK361" s="172" t="str">
        <f t="shared" si="364"/>
        <v/>
      </c>
      <c r="AL361" s="172" t="str">
        <f t="shared" si="364"/>
        <v/>
      </c>
      <c r="AM361" s="172" t="str">
        <f t="shared" si="364"/>
        <v/>
      </c>
      <c r="AN361" s="172" t="str">
        <f t="shared" si="364"/>
        <v/>
      </c>
      <c r="AO361" s="172" t="str">
        <f t="shared" si="364"/>
        <v/>
      </c>
      <c r="AP361" s="172" t="str">
        <f t="shared" si="364"/>
        <v/>
      </c>
      <c r="AQ361" s="172" t="str">
        <f t="shared" si="364"/>
        <v/>
      </c>
      <c r="AR361" s="172" t="str">
        <f t="shared" si="364"/>
        <v/>
      </c>
      <c r="AS361" s="172" t="str">
        <f t="shared" si="364"/>
        <v/>
      </c>
      <c r="AT361" s="173">
        <f>IF(AT$6="","",IF(AT$3="Maior",iferror(VLOOKUP($R361,Capa!$A:$AJ,AT$5,0),0),IF(ISERROR(1/VLOOKUP($R361,Capa!$A:$AJ,AT$5,0)),0,1/VLOOKUP($R361,Capa!$A:$AJ,AT$5,0))))</f>
        <v>-0.2427184466</v>
      </c>
      <c r="AU361" s="174">
        <f>IF(AU$6="","",IF(AU$3="Maior",iferror(VLOOKUP($R361,Capa!$A:$AJ,AU$5,0),0),IF(ISERROR(1/VLOOKUP($R361,Capa!$A:$AJ,AU$5,0)),0,1/VLOOKUP($R361,Capa!$A:$AJ,AU$5,0))))</f>
        <v>34.05</v>
      </c>
      <c r="AV361" s="174" t="str">
        <f>IF(AV$6="","",IF(AV$3="Maior",iferror(VLOOKUP($R361,Capa!$A:$AJ,AV$5,0),0),IF(ISERROR(1/VLOOKUP($R361,Capa!$A:$AJ,AV$5,0)),0,1/VLOOKUP($R361,Capa!$A:$AJ,AV$5,0))))</f>
        <v/>
      </c>
      <c r="AW361" s="174" t="str">
        <f>IF(AW$6="","",IF(AW$3="Maior",iferror(VLOOKUP($R361,Capa!$A:$AJ,AW$5,0),0),IF(ISERROR(1/VLOOKUP($R361,Capa!$A:$AJ,AW$5,0)),0,1/VLOOKUP($R361,Capa!$A:$AJ,AW$5,0))))</f>
        <v/>
      </c>
      <c r="AX361" s="174" t="str">
        <f>IF(AX$6="","",IF(AX$3="Maior",iferror(VLOOKUP($R361,Capa!$A:$AJ,AX$5,0),0),IF(ISERROR(1/VLOOKUP($R361,Capa!$A:$AJ,AX$5,0)),0,1/VLOOKUP($R361,Capa!$A:$AJ,AX$5,0))))</f>
        <v/>
      </c>
      <c r="AY361" s="174" t="str">
        <f>IF(AY$6="","",IF(AY$3="Maior",iferror(VLOOKUP($R361,Capa!$A:$AJ,AY$5,0),0),IF(ISERROR(1/VLOOKUP($R361,Capa!$A:$AJ,AY$5,0)),0,1/VLOOKUP($R361,Capa!$A:$AJ,AY$5,0))))</f>
        <v/>
      </c>
      <c r="AZ361" s="174" t="str">
        <f>IF(AZ$6="","",IF(AZ$3="Maior",iferror(VLOOKUP($R361,Capa!$A:$AJ,AZ$5,0),0),IF(ISERROR(1/VLOOKUP($R361,Capa!$A:$AJ,AZ$5,0)),0,1/VLOOKUP($R361,Capa!$A:$AJ,AZ$5,0))))</f>
        <v/>
      </c>
      <c r="BA361" s="174" t="str">
        <f>IF(BA$6="","",IF(BA$3="Maior",iferror(VLOOKUP($R361,Capa!$A:$AJ,BA$5,0),0),IF(ISERROR(1/VLOOKUP($R361,Capa!$A:$AJ,BA$5,0)),0,1/VLOOKUP($R361,Capa!$A:$AJ,BA$5,0))))</f>
        <v/>
      </c>
      <c r="BB361" s="174" t="str">
        <f>IF(BB$6="","",IF(BB$3="Maior",iferror(VLOOKUP($R361,Capa!$A:$AJ,BB$5,0),0),IF(ISERROR(1/VLOOKUP($R361,Capa!$A:$AJ,BB$5,0)),0,1/VLOOKUP($R361,Capa!$A:$AJ,BB$5,0))))</f>
        <v/>
      </c>
      <c r="BC361" s="174" t="str">
        <f>IF(BC$6="","",IF(BC$3="Maior",iferror(VLOOKUP($R361,Capa!$A:$AJ,BC$5,0),0),IF(ISERROR(1/VLOOKUP($R361,Capa!$A:$AJ,BC$5,0)),0,1/VLOOKUP($R361,Capa!$A:$AJ,BC$5,0))))</f>
        <v/>
      </c>
      <c r="BD361" s="174" t="str">
        <f>IF(BD$6="","",IF(BD$3="Maior",iferror(VLOOKUP($R361,Capa!$A:$AJ,BD$5,0),0),IF(ISERROR(1/VLOOKUP($R361,Capa!$A:$AJ,BD$5,0)),0,1/VLOOKUP($R361,Capa!$A:$AJ,BD$5,0))))</f>
        <v/>
      </c>
      <c r="BE361" s="174" t="str">
        <f>IF(BE$6="","",IF(BE$3="Maior",iferror(VLOOKUP($R361,Capa!$A:$AJ,BE$5,0),0),IF(ISERROR(1/VLOOKUP($R361,Capa!$A:$AJ,BE$5,0)),0,1/VLOOKUP($R361,Capa!$A:$AJ,BE$5,0))))</f>
        <v/>
      </c>
      <c r="BF361" s="174" t="str">
        <f>IF(BF$6="","",IF(BF$3="Maior",iferror(VLOOKUP($R361,Capa!$A:$AJ,BF$5,0),0),IF(ISERROR(1/VLOOKUP($R361,Capa!$A:$AJ,BF$5,0)),0,1/VLOOKUP($R361,Capa!$A:$AJ,BF$5,0))))</f>
        <v/>
      </c>
      <c r="BG361" s="174" t="str">
        <f>IF(BG$6="","",IF(BG$3="Maior",iferror(VLOOKUP($R361,Capa!$A:$AJ,BG$5,0),0),IF(ISERROR(1/VLOOKUP($R361,Capa!$A:$AJ,BG$5,0)),0,1/VLOOKUP($R361,Capa!$A:$AJ,BG$5,0))))</f>
        <v/>
      </c>
      <c r="BH361" s="174" t="str">
        <f>IF(BH$6="","",IF(BH$3="Maior",iferror(VLOOKUP($R361,Capa!$A:$AJ,BH$5,0),0),IF(ISERROR(1/VLOOKUP($R361,Capa!$A:$AJ,BH$5,0)),0,1/VLOOKUP($R361,Capa!$A:$AJ,BH$5,0))))</f>
        <v/>
      </c>
      <c r="BI361" s="174" t="str">
        <f>IF(BI$6="","",IF(BI$3="Maior",iferror(VLOOKUP($R361,Capa!$A:$AJ,BI$5,0),0),IF(ISERROR(1/VLOOKUP($R361,Capa!$A:$AJ,BI$5,0)),0,1/VLOOKUP($R361,Capa!$A:$AJ,BI$5,0))))</f>
        <v/>
      </c>
      <c r="BJ361" s="174" t="str">
        <f>IF(BJ$6="","",IF(BJ$3="Maior",iferror(VLOOKUP($R361,Capa!$A:$AJ,BJ$5,0),0),IF(ISERROR(1/VLOOKUP($R361,Capa!$A:$AJ,BJ$5,0)),0,1/VLOOKUP($R361,Capa!$A:$AJ,BJ$5,0))))</f>
        <v/>
      </c>
      <c r="BK361" s="174" t="str">
        <f>IF(BK$6="","",IF(BK$3="Maior",iferror(VLOOKUP($R361,Capa!$A:$AJ,BK$5,0),0),IF(ISERROR(1/VLOOKUP($R361,Capa!$A:$AJ,BK$5,0)),0,1/VLOOKUP($R361,Capa!$A:$AJ,BK$5,0))))</f>
        <v/>
      </c>
      <c r="BL361" s="174" t="str">
        <f>IF(BL$6="","",IF(BL$3="Maior",iferror(VLOOKUP($R361,Capa!$A:$AJ,BL$5,0),0),IF(ISERROR(1/VLOOKUP($R361,Capa!$A:$AJ,BL$5,0)),0,1/VLOOKUP($R361,Capa!$A:$AJ,BL$5,0))))</f>
        <v/>
      </c>
      <c r="BM361" s="174" t="str">
        <f>IF(BM$6="","",IF(BM$3="Maior",iferror(VLOOKUP($R361,Capa!$A:$AJ,BM$5,0),0),IF(ISERROR(1/VLOOKUP($R361,Capa!$A:$AJ,BM$5,0)),0,1/VLOOKUP($R361,Capa!$A:$AJ,BM$5,0))))</f>
        <v/>
      </c>
      <c r="BN361" s="174" t="str">
        <f>IF(BN$6="","",IF(BN$3="Maior",iferror(VLOOKUP($R361,Capa!$A:$AJ,BN$5,0),0),IF(ISERROR(1/VLOOKUP($R361,Capa!$A:$AJ,BN$5,0)),0,1/VLOOKUP($R361,Capa!$A:$AJ,BN$5,0))))</f>
        <v/>
      </c>
      <c r="BO361" s="174" t="str">
        <f>IF(BO$6="","",IF(BO$3="Maior",iferror(VLOOKUP($R361,Capa!$A:$AJ,BO$5,0),0),IF(ISERROR(1/VLOOKUP($R361,Capa!$A:$AJ,BO$5,0)),0,1/VLOOKUP($R361,Capa!$A:$AJ,BO$5,0))))</f>
        <v/>
      </c>
      <c r="BP361" s="174" t="str">
        <f>IF(BP$6="","",IF(BP$3="Maior",iferror(VLOOKUP($R361,Capa!$A:$AJ,BP$5,0),0),IF(ISERROR(1/VLOOKUP($R361,Capa!$A:$AJ,BP$5,0)),0,1/VLOOKUP($R361,Capa!$A:$AJ,BP$5,0))))</f>
        <v/>
      </c>
      <c r="BQ361" s="174" t="str">
        <f>IF(BQ$6="","",IF(BQ$3="Maior",iferror(VLOOKUP($R361,Capa!$A:$AJ,BQ$5,0),0),IF(ISERROR(1/VLOOKUP($R361,Capa!$A:$AJ,BQ$5,0)),0,1/VLOOKUP($R361,Capa!$A:$AJ,BQ$5,0))))</f>
        <v/>
      </c>
      <c r="BR361" s="175"/>
      <c r="BS361" s="147"/>
    </row>
    <row r="362">
      <c r="G362" s="11"/>
      <c r="H362" s="8">
        <v>356.0</v>
      </c>
      <c r="I362" s="165" t="str">
        <f t="shared" si="6"/>
        <v>EEEL3</v>
      </c>
      <c r="J362" s="166" t="str">
        <f>(VLOOKUP($I362,Capa!$A:$B,2,0))</f>
        <v/>
      </c>
      <c r="K362" s="167" t="str">
        <f>VLOOKUP(left(I362,4),Setor!A:D,3,0)&amp;" | "&amp;VLOOKUP(left(I362,4),Setor!A:D,4,0)</f>
        <v>Utilidade Pública | Energia Elétrica</v>
      </c>
      <c r="L362" s="168" t="str">
        <f>(VLOOKUP($I362,Capa!$A:$F,6,0))</f>
        <v/>
      </c>
      <c r="M362" s="168">
        <f t="shared" si="7"/>
        <v>0</v>
      </c>
      <c r="N362" s="11" t="str">
        <f>(VLOOKUP($I362,Capa!$A:$H,7,0))</f>
        <v/>
      </c>
      <c r="O362" s="169" t="str">
        <f>(VLOOKUP($I362,Capa!$A:$H,8,0))</f>
        <v/>
      </c>
      <c r="P362" s="11" t="str">
        <f>(VLOOKUP($I362,Capa!$A:$J,10,0))</f>
        <v/>
      </c>
      <c r="Q362" s="169" t="str">
        <f>(VLOOKUP($I362,Capa!$A:$K,11,0))</f>
        <v/>
      </c>
      <c r="R362" s="45" t="str">
        <f>'Dados StatusInvest'!A357</f>
        <v>LEVE3</v>
      </c>
      <c r="S362" s="170">
        <f t="shared" si="234"/>
        <v>360.036</v>
      </c>
      <c r="T362" s="171">
        <f>VLOOKUP(R362,'Dados StatusInvest'!A:Z,26,0)</f>
        <v>11818236</v>
      </c>
      <c r="U362" s="172">
        <f t="shared" ref="U362:AS362" si="365">IF(AT362="","", RANK(AT362,AT$7:AT$626,0)+RANK(AT362,AT$7:AT$626,0)/10000)</f>
        <v>205.0205</v>
      </c>
      <c r="V362" s="172">
        <f t="shared" si="365"/>
        <v>155.0155</v>
      </c>
      <c r="W362" s="172" t="str">
        <f t="shared" si="365"/>
        <v/>
      </c>
      <c r="X362" s="172" t="str">
        <f t="shared" si="365"/>
        <v/>
      </c>
      <c r="Y362" s="172" t="str">
        <f t="shared" si="365"/>
        <v/>
      </c>
      <c r="Z362" s="172" t="str">
        <f t="shared" si="365"/>
        <v/>
      </c>
      <c r="AA362" s="172" t="str">
        <f t="shared" si="365"/>
        <v/>
      </c>
      <c r="AB362" s="172" t="str">
        <f t="shared" si="365"/>
        <v/>
      </c>
      <c r="AC362" s="172" t="str">
        <f t="shared" si="365"/>
        <v/>
      </c>
      <c r="AD362" s="172" t="str">
        <f t="shared" si="365"/>
        <v/>
      </c>
      <c r="AE362" s="172" t="str">
        <f t="shared" si="365"/>
        <v/>
      </c>
      <c r="AF362" s="172" t="str">
        <f t="shared" si="365"/>
        <v/>
      </c>
      <c r="AG362" s="172" t="str">
        <f t="shared" si="365"/>
        <v/>
      </c>
      <c r="AH362" s="172" t="str">
        <f t="shared" si="365"/>
        <v/>
      </c>
      <c r="AI362" s="172" t="str">
        <f t="shared" si="365"/>
        <v/>
      </c>
      <c r="AJ362" s="172" t="str">
        <f t="shared" si="365"/>
        <v/>
      </c>
      <c r="AK362" s="172" t="str">
        <f t="shared" si="365"/>
        <v/>
      </c>
      <c r="AL362" s="172" t="str">
        <f t="shared" si="365"/>
        <v/>
      </c>
      <c r="AM362" s="172" t="str">
        <f t="shared" si="365"/>
        <v/>
      </c>
      <c r="AN362" s="172" t="str">
        <f t="shared" si="365"/>
        <v/>
      </c>
      <c r="AO362" s="172" t="str">
        <f t="shared" si="365"/>
        <v/>
      </c>
      <c r="AP362" s="172" t="str">
        <f t="shared" si="365"/>
        <v/>
      </c>
      <c r="AQ362" s="172" t="str">
        <f t="shared" si="365"/>
        <v/>
      </c>
      <c r="AR362" s="172" t="str">
        <f t="shared" si="365"/>
        <v/>
      </c>
      <c r="AS362" s="172" t="str">
        <f t="shared" si="365"/>
        <v/>
      </c>
      <c r="AT362" s="173">
        <f>IF(AT$6="","",IF(AT$3="Maior",iferror(VLOOKUP($R362,Capa!$A:$AJ,AT$5,0),0),IF(ISERROR(1/VLOOKUP($R362,Capa!$A:$AJ,AT$5,0)),0,1/VLOOKUP($R362,Capa!$A:$AJ,AT$5,0))))</f>
        <v>-0.2829599207</v>
      </c>
      <c r="AU362" s="174">
        <f>IF(AU$6="","",IF(AU$3="Maior",iferror(VLOOKUP($R362,Capa!$A:$AJ,AU$5,0),0),IF(ISERROR(1/VLOOKUP($R362,Capa!$A:$AJ,AU$5,0)),0,1/VLOOKUP($R362,Capa!$A:$AJ,AU$5,0))))</f>
        <v>17.63</v>
      </c>
      <c r="AV362" s="174" t="str">
        <f>IF(AV$6="","",IF(AV$3="Maior",iferror(VLOOKUP($R362,Capa!$A:$AJ,AV$5,0),0),IF(ISERROR(1/VLOOKUP($R362,Capa!$A:$AJ,AV$5,0)),0,1/VLOOKUP($R362,Capa!$A:$AJ,AV$5,0))))</f>
        <v/>
      </c>
      <c r="AW362" s="174" t="str">
        <f>IF(AW$6="","",IF(AW$3="Maior",iferror(VLOOKUP($R362,Capa!$A:$AJ,AW$5,0),0),IF(ISERROR(1/VLOOKUP($R362,Capa!$A:$AJ,AW$5,0)),0,1/VLOOKUP($R362,Capa!$A:$AJ,AW$5,0))))</f>
        <v/>
      </c>
      <c r="AX362" s="174" t="str">
        <f>IF(AX$6="","",IF(AX$3="Maior",iferror(VLOOKUP($R362,Capa!$A:$AJ,AX$5,0),0),IF(ISERROR(1/VLOOKUP($R362,Capa!$A:$AJ,AX$5,0)),0,1/VLOOKUP($R362,Capa!$A:$AJ,AX$5,0))))</f>
        <v/>
      </c>
      <c r="AY362" s="174" t="str">
        <f>IF(AY$6="","",IF(AY$3="Maior",iferror(VLOOKUP($R362,Capa!$A:$AJ,AY$5,0),0),IF(ISERROR(1/VLOOKUP($R362,Capa!$A:$AJ,AY$5,0)),0,1/VLOOKUP($R362,Capa!$A:$AJ,AY$5,0))))</f>
        <v/>
      </c>
      <c r="AZ362" s="174" t="str">
        <f>IF(AZ$6="","",IF(AZ$3="Maior",iferror(VLOOKUP($R362,Capa!$A:$AJ,AZ$5,0),0),IF(ISERROR(1/VLOOKUP($R362,Capa!$A:$AJ,AZ$5,0)),0,1/VLOOKUP($R362,Capa!$A:$AJ,AZ$5,0))))</f>
        <v/>
      </c>
      <c r="BA362" s="174" t="str">
        <f>IF(BA$6="","",IF(BA$3="Maior",iferror(VLOOKUP($R362,Capa!$A:$AJ,BA$5,0),0),IF(ISERROR(1/VLOOKUP($R362,Capa!$A:$AJ,BA$5,0)),0,1/VLOOKUP($R362,Capa!$A:$AJ,BA$5,0))))</f>
        <v/>
      </c>
      <c r="BB362" s="174" t="str">
        <f>IF(BB$6="","",IF(BB$3="Maior",iferror(VLOOKUP($R362,Capa!$A:$AJ,BB$5,0),0),IF(ISERROR(1/VLOOKUP($R362,Capa!$A:$AJ,BB$5,0)),0,1/VLOOKUP($R362,Capa!$A:$AJ,BB$5,0))))</f>
        <v/>
      </c>
      <c r="BC362" s="174" t="str">
        <f>IF(BC$6="","",IF(BC$3="Maior",iferror(VLOOKUP($R362,Capa!$A:$AJ,BC$5,0),0),IF(ISERROR(1/VLOOKUP($R362,Capa!$A:$AJ,BC$5,0)),0,1/VLOOKUP($R362,Capa!$A:$AJ,BC$5,0))))</f>
        <v/>
      </c>
      <c r="BD362" s="174" t="str">
        <f>IF(BD$6="","",IF(BD$3="Maior",iferror(VLOOKUP($R362,Capa!$A:$AJ,BD$5,0),0),IF(ISERROR(1/VLOOKUP($R362,Capa!$A:$AJ,BD$5,0)),0,1/VLOOKUP($R362,Capa!$A:$AJ,BD$5,0))))</f>
        <v/>
      </c>
      <c r="BE362" s="174" t="str">
        <f>IF(BE$6="","",IF(BE$3="Maior",iferror(VLOOKUP($R362,Capa!$A:$AJ,BE$5,0),0),IF(ISERROR(1/VLOOKUP($R362,Capa!$A:$AJ,BE$5,0)),0,1/VLOOKUP($R362,Capa!$A:$AJ,BE$5,0))))</f>
        <v/>
      </c>
      <c r="BF362" s="174" t="str">
        <f>IF(BF$6="","",IF(BF$3="Maior",iferror(VLOOKUP($R362,Capa!$A:$AJ,BF$5,0),0),IF(ISERROR(1/VLOOKUP($R362,Capa!$A:$AJ,BF$5,0)),0,1/VLOOKUP($R362,Capa!$A:$AJ,BF$5,0))))</f>
        <v/>
      </c>
      <c r="BG362" s="174" t="str">
        <f>IF(BG$6="","",IF(BG$3="Maior",iferror(VLOOKUP($R362,Capa!$A:$AJ,BG$5,0),0),IF(ISERROR(1/VLOOKUP($R362,Capa!$A:$AJ,BG$5,0)),0,1/VLOOKUP($R362,Capa!$A:$AJ,BG$5,0))))</f>
        <v/>
      </c>
      <c r="BH362" s="174" t="str">
        <f>IF(BH$6="","",IF(BH$3="Maior",iferror(VLOOKUP($R362,Capa!$A:$AJ,BH$5,0),0),IF(ISERROR(1/VLOOKUP($R362,Capa!$A:$AJ,BH$5,0)),0,1/VLOOKUP($R362,Capa!$A:$AJ,BH$5,0))))</f>
        <v/>
      </c>
      <c r="BI362" s="174" t="str">
        <f>IF(BI$6="","",IF(BI$3="Maior",iferror(VLOOKUP($R362,Capa!$A:$AJ,BI$5,0),0),IF(ISERROR(1/VLOOKUP($R362,Capa!$A:$AJ,BI$5,0)),0,1/VLOOKUP($R362,Capa!$A:$AJ,BI$5,0))))</f>
        <v/>
      </c>
      <c r="BJ362" s="174" t="str">
        <f>IF(BJ$6="","",IF(BJ$3="Maior",iferror(VLOOKUP($R362,Capa!$A:$AJ,BJ$5,0),0),IF(ISERROR(1/VLOOKUP($R362,Capa!$A:$AJ,BJ$5,0)),0,1/VLOOKUP($R362,Capa!$A:$AJ,BJ$5,0))))</f>
        <v/>
      </c>
      <c r="BK362" s="174" t="str">
        <f>IF(BK$6="","",IF(BK$3="Maior",iferror(VLOOKUP($R362,Capa!$A:$AJ,BK$5,0),0),IF(ISERROR(1/VLOOKUP($R362,Capa!$A:$AJ,BK$5,0)),0,1/VLOOKUP($R362,Capa!$A:$AJ,BK$5,0))))</f>
        <v/>
      </c>
      <c r="BL362" s="174" t="str">
        <f>IF(BL$6="","",IF(BL$3="Maior",iferror(VLOOKUP($R362,Capa!$A:$AJ,BL$5,0),0),IF(ISERROR(1/VLOOKUP($R362,Capa!$A:$AJ,BL$5,0)),0,1/VLOOKUP($R362,Capa!$A:$AJ,BL$5,0))))</f>
        <v/>
      </c>
      <c r="BM362" s="174" t="str">
        <f>IF(BM$6="","",IF(BM$3="Maior",iferror(VLOOKUP($R362,Capa!$A:$AJ,BM$5,0),0),IF(ISERROR(1/VLOOKUP($R362,Capa!$A:$AJ,BM$5,0)),0,1/VLOOKUP($R362,Capa!$A:$AJ,BM$5,0))))</f>
        <v/>
      </c>
      <c r="BN362" s="174" t="str">
        <f>IF(BN$6="","",IF(BN$3="Maior",iferror(VLOOKUP($R362,Capa!$A:$AJ,BN$5,0),0),IF(ISERROR(1/VLOOKUP($R362,Capa!$A:$AJ,BN$5,0)),0,1/VLOOKUP($R362,Capa!$A:$AJ,BN$5,0))))</f>
        <v/>
      </c>
      <c r="BO362" s="174" t="str">
        <f>IF(BO$6="","",IF(BO$3="Maior",iferror(VLOOKUP($R362,Capa!$A:$AJ,BO$5,0),0),IF(ISERROR(1/VLOOKUP($R362,Capa!$A:$AJ,BO$5,0)),0,1/VLOOKUP($R362,Capa!$A:$AJ,BO$5,0))))</f>
        <v/>
      </c>
      <c r="BP362" s="174" t="str">
        <f>IF(BP$6="","",IF(BP$3="Maior",iferror(VLOOKUP($R362,Capa!$A:$AJ,BP$5,0),0),IF(ISERROR(1/VLOOKUP($R362,Capa!$A:$AJ,BP$5,0)),0,1/VLOOKUP($R362,Capa!$A:$AJ,BP$5,0))))</f>
        <v/>
      </c>
      <c r="BQ362" s="174" t="str">
        <f>IF(BQ$6="","",IF(BQ$3="Maior",iferror(VLOOKUP($R362,Capa!$A:$AJ,BQ$5,0),0),IF(ISERROR(1/VLOOKUP($R362,Capa!$A:$AJ,BQ$5,0)),0,1/VLOOKUP($R362,Capa!$A:$AJ,BQ$5,0))))</f>
        <v/>
      </c>
      <c r="BR362" s="175"/>
      <c r="BS362" s="147"/>
    </row>
    <row r="363">
      <c r="G363" s="11"/>
      <c r="H363" s="8">
        <v>357.0</v>
      </c>
      <c r="I363" s="165" t="str">
        <f t="shared" si="6"/>
        <v>QVQP3B</v>
      </c>
      <c r="J363" s="166" t="str">
        <f>(VLOOKUP($I363,Capa!$A:$B,2,0))</f>
        <v/>
      </c>
      <c r="K363" s="167" t="str">
        <f>VLOOKUP(left(I363,4),Setor!A:D,3,0)&amp;" | "&amp;VLOOKUP(left(I363,4),Setor!A:D,4,0)</f>
        <v>Outros | Outros</v>
      </c>
      <c r="L363" s="168" t="str">
        <f>(VLOOKUP($I363,Capa!$A:$F,6,0))</f>
        <v/>
      </c>
      <c r="M363" s="168">
        <f t="shared" si="7"/>
        <v>0</v>
      </c>
      <c r="N363" s="11" t="str">
        <f>(VLOOKUP($I363,Capa!$A:$H,7,0))</f>
        <v/>
      </c>
      <c r="O363" s="169" t="str">
        <f>(VLOOKUP($I363,Capa!$A:$H,8,0))</f>
        <v/>
      </c>
      <c r="P363" s="11" t="str">
        <f>(VLOOKUP($I363,Capa!$A:$J,10,0))</f>
        <v/>
      </c>
      <c r="Q363" s="169" t="str">
        <f>(VLOOKUP($I363,Capa!$A:$K,11,0))</f>
        <v/>
      </c>
      <c r="R363" s="45" t="str">
        <f>'Dados StatusInvest'!A358</f>
        <v>LHER3</v>
      </c>
      <c r="S363" s="170">
        <f t="shared" si="234"/>
        <v>1669.0669</v>
      </c>
      <c r="T363" s="171">
        <f>VLOOKUP(R363,'Dados StatusInvest'!A:Z,26,0)</f>
        <v>0</v>
      </c>
      <c r="U363" s="172">
        <f t="shared" ref="U363:AS363" si="366">IF(AT363="","", RANK(AT363,AT$7:AT$626,0)+RANK(AT363,AT$7:AT$626,0)/10000)</f>
        <v>51.0051</v>
      </c>
      <c r="V363" s="172">
        <f t="shared" si="366"/>
        <v>618.0618</v>
      </c>
      <c r="W363" s="172" t="str">
        <f t="shared" si="366"/>
        <v/>
      </c>
      <c r="X363" s="172" t="str">
        <f t="shared" si="366"/>
        <v/>
      </c>
      <c r="Y363" s="172" t="str">
        <f t="shared" si="366"/>
        <v/>
      </c>
      <c r="Z363" s="172" t="str">
        <f t="shared" si="366"/>
        <v/>
      </c>
      <c r="AA363" s="172" t="str">
        <f t="shared" si="366"/>
        <v/>
      </c>
      <c r="AB363" s="172" t="str">
        <f t="shared" si="366"/>
        <v/>
      </c>
      <c r="AC363" s="172" t="str">
        <f t="shared" si="366"/>
        <v/>
      </c>
      <c r="AD363" s="172" t="str">
        <f t="shared" si="366"/>
        <v/>
      </c>
      <c r="AE363" s="172" t="str">
        <f t="shared" si="366"/>
        <v/>
      </c>
      <c r="AF363" s="172" t="str">
        <f t="shared" si="366"/>
        <v/>
      </c>
      <c r="AG363" s="172" t="str">
        <f t="shared" si="366"/>
        <v/>
      </c>
      <c r="AH363" s="172" t="str">
        <f t="shared" si="366"/>
        <v/>
      </c>
      <c r="AI363" s="172" t="str">
        <f t="shared" si="366"/>
        <v/>
      </c>
      <c r="AJ363" s="172" t="str">
        <f t="shared" si="366"/>
        <v/>
      </c>
      <c r="AK363" s="172" t="str">
        <f t="shared" si="366"/>
        <v/>
      </c>
      <c r="AL363" s="172" t="str">
        <f t="shared" si="366"/>
        <v/>
      </c>
      <c r="AM363" s="172" t="str">
        <f t="shared" si="366"/>
        <v/>
      </c>
      <c r="AN363" s="172" t="str">
        <f t="shared" si="366"/>
        <v/>
      </c>
      <c r="AO363" s="172" t="str">
        <f t="shared" si="366"/>
        <v/>
      </c>
      <c r="AP363" s="172" t="str">
        <f t="shared" si="366"/>
        <v/>
      </c>
      <c r="AQ363" s="172" t="str">
        <f t="shared" si="366"/>
        <v/>
      </c>
      <c r="AR363" s="172" t="str">
        <f t="shared" si="366"/>
        <v/>
      </c>
      <c r="AS363" s="172" t="str">
        <f t="shared" si="366"/>
        <v/>
      </c>
      <c r="AT363" s="173">
        <f>IF(AT$6="","",IF(AT$3="Maior",iferror(VLOOKUP($R363,Capa!$A:$AJ,AT$5,0),0),IF(ISERROR(1/VLOOKUP($R363,Capa!$A:$AJ,AT$5,0)),0,1/VLOOKUP($R363,Capa!$A:$AJ,AT$5,0))))</f>
        <v>0</v>
      </c>
      <c r="AU363" s="174">
        <f>IF(AU$6="","",IF(AU$3="Maior",iferror(VLOOKUP($R363,Capa!$A:$AJ,AU$5,0),0),IF(ISERROR(1/VLOOKUP($R363,Capa!$A:$AJ,AU$5,0)),0,1/VLOOKUP($R363,Capa!$A:$AJ,AU$5,0))))</f>
        <v>-51.59</v>
      </c>
      <c r="AV363" s="174" t="str">
        <f>IF(AV$6="","",IF(AV$3="Maior",iferror(VLOOKUP($R363,Capa!$A:$AJ,AV$5,0),0),IF(ISERROR(1/VLOOKUP($R363,Capa!$A:$AJ,AV$5,0)),0,1/VLOOKUP($R363,Capa!$A:$AJ,AV$5,0))))</f>
        <v/>
      </c>
      <c r="AW363" s="174" t="str">
        <f>IF(AW$6="","",IF(AW$3="Maior",iferror(VLOOKUP($R363,Capa!$A:$AJ,AW$5,0),0),IF(ISERROR(1/VLOOKUP($R363,Capa!$A:$AJ,AW$5,0)),0,1/VLOOKUP($R363,Capa!$A:$AJ,AW$5,0))))</f>
        <v/>
      </c>
      <c r="AX363" s="174" t="str">
        <f>IF(AX$6="","",IF(AX$3="Maior",iferror(VLOOKUP($R363,Capa!$A:$AJ,AX$5,0),0),IF(ISERROR(1/VLOOKUP($R363,Capa!$A:$AJ,AX$5,0)),0,1/VLOOKUP($R363,Capa!$A:$AJ,AX$5,0))))</f>
        <v/>
      </c>
      <c r="AY363" s="174" t="str">
        <f>IF(AY$6="","",IF(AY$3="Maior",iferror(VLOOKUP($R363,Capa!$A:$AJ,AY$5,0),0),IF(ISERROR(1/VLOOKUP($R363,Capa!$A:$AJ,AY$5,0)),0,1/VLOOKUP($R363,Capa!$A:$AJ,AY$5,0))))</f>
        <v/>
      </c>
      <c r="AZ363" s="174" t="str">
        <f>IF(AZ$6="","",IF(AZ$3="Maior",iferror(VLOOKUP($R363,Capa!$A:$AJ,AZ$5,0),0),IF(ISERROR(1/VLOOKUP($R363,Capa!$A:$AJ,AZ$5,0)),0,1/VLOOKUP($R363,Capa!$A:$AJ,AZ$5,0))))</f>
        <v/>
      </c>
      <c r="BA363" s="174" t="str">
        <f>IF(BA$6="","",IF(BA$3="Maior",iferror(VLOOKUP($R363,Capa!$A:$AJ,BA$5,0),0),IF(ISERROR(1/VLOOKUP($R363,Capa!$A:$AJ,BA$5,0)),0,1/VLOOKUP($R363,Capa!$A:$AJ,BA$5,0))))</f>
        <v/>
      </c>
      <c r="BB363" s="174" t="str">
        <f>IF(BB$6="","",IF(BB$3="Maior",iferror(VLOOKUP($R363,Capa!$A:$AJ,BB$5,0),0),IF(ISERROR(1/VLOOKUP($R363,Capa!$A:$AJ,BB$5,0)),0,1/VLOOKUP($R363,Capa!$A:$AJ,BB$5,0))))</f>
        <v/>
      </c>
      <c r="BC363" s="174" t="str">
        <f>IF(BC$6="","",IF(BC$3="Maior",iferror(VLOOKUP($R363,Capa!$A:$AJ,BC$5,0),0),IF(ISERROR(1/VLOOKUP($R363,Capa!$A:$AJ,BC$5,0)),0,1/VLOOKUP($R363,Capa!$A:$AJ,BC$5,0))))</f>
        <v/>
      </c>
      <c r="BD363" s="174" t="str">
        <f>IF(BD$6="","",IF(BD$3="Maior",iferror(VLOOKUP($R363,Capa!$A:$AJ,BD$5,0),0),IF(ISERROR(1/VLOOKUP($R363,Capa!$A:$AJ,BD$5,0)),0,1/VLOOKUP($R363,Capa!$A:$AJ,BD$5,0))))</f>
        <v/>
      </c>
      <c r="BE363" s="174" t="str">
        <f>IF(BE$6="","",IF(BE$3="Maior",iferror(VLOOKUP($R363,Capa!$A:$AJ,BE$5,0),0),IF(ISERROR(1/VLOOKUP($R363,Capa!$A:$AJ,BE$5,0)),0,1/VLOOKUP($R363,Capa!$A:$AJ,BE$5,0))))</f>
        <v/>
      </c>
      <c r="BF363" s="174" t="str">
        <f>IF(BF$6="","",IF(BF$3="Maior",iferror(VLOOKUP($R363,Capa!$A:$AJ,BF$5,0),0),IF(ISERROR(1/VLOOKUP($R363,Capa!$A:$AJ,BF$5,0)),0,1/VLOOKUP($R363,Capa!$A:$AJ,BF$5,0))))</f>
        <v/>
      </c>
      <c r="BG363" s="174" t="str">
        <f>IF(BG$6="","",IF(BG$3="Maior",iferror(VLOOKUP($R363,Capa!$A:$AJ,BG$5,0),0),IF(ISERROR(1/VLOOKUP($R363,Capa!$A:$AJ,BG$5,0)),0,1/VLOOKUP($R363,Capa!$A:$AJ,BG$5,0))))</f>
        <v/>
      </c>
      <c r="BH363" s="174" t="str">
        <f>IF(BH$6="","",IF(BH$3="Maior",iferror(VLOOKUP($R363,Capa!$A:$AJ,BH$5,0),0),IF(ISERROR(1/VLOOKUP($R363,Capa!$A:$AJ,BH$5,0)),0,1/VLOOKUP($R363,Capa!$A:$AJ,BH$5,0))))</f>
        <v/>
      </c>
      <c r="BI363" s="174" t="str">
        <f>IF(BI$6="","",IF(BI$3="Maior",iferror(VLOOKUP($R363,Capa!$A:$AJ,BI$5,0),0),IF(ISERROR(1/VLOOKUP($R363,Capa!$A:$AJ,BI$5,0)),0,1/VLOOKUP($R363,Capa!$A:$AJ,BI$5,0))))</f>
        <v/>
      </c>
      <c r="BJ363" s="174" t="str">
        <f>IF(BJ$6="","",IF(BJ$3="Maior",iferror(VLOOKUP($R363,Capa!$A:$AJ,BJ$5,0),0),IF(ISERROR(1/VLOOKUP($R363,Capa!$A:$AJ,BJ$5,0)),0,1/VLOOKUP($R363,Capa!$A:$AJ,BJ$5,0))))</f>
        <v/>
      </c>
      <c r="BK363" s="174" t="str">
        <f>IF(BK$6="","",IF(BK$3="Maior",iferror(VLOOKUP($R363,Capa!$A:$AJ,BK$5,0),0),IF(ISERROR(1/VLOOKUP($R363,Capa!$A:$AJ,BK$5,0)),0,1/VLOOKUP($R363,Capa!$A:$AJ,BK$5,0))))</f>
        <v/>
      </c>
      <c r="BL363" s="174" t="str">
        <f>IF(BL$6="","",IF(BL$3="Maior",iferror(VLOOKUP($R363,Capa!$A:$AJ,BL$5,0),0),IF(ISERROR(1/VLOOKUP($R363,Capa!$A:$AJ,BL$5,0)),0,1/VLOOKUP($R363,Capa!$A:$AJ,BL$5,0))))</f>
        <v/>
      </c>
      <c r="BM363" s="174" t="str">
        <f>IF(BM$6="","",IF(BM$3="Maior",iferror(VLOOKUP($R363,Capa!$A:$AJ,BM$5,0),0),IF(ISERROR(1/VLOOKUP($R363,Capa!$A:$AJ,BM$5,0)),0,1/VLOOKUP($R363,Capa!$A:$AJ,BM$5,0))))</f>
        <v/>
      </c>
      <c r="BN363" s="174" t="str">
        <f>IF(BN$6="","",IF(BN$3="Maior",iferror(VLOOKUP($R363,Capa!$A:$AJ,BN$5,0),0),IF(ISERROR(1/VLOOKUP($R363,Capa!$A:$AJ,BN$5,0)),0,1/VLOOKUP($R363,Capa!$A:$AJ,BN$5,0))))</f>
        <v/>
      </c>
      <c r="BO363" s="174" t="str">
        <f>IF(BO$6="","",IF(BO$3="Maior",iferror(VLOOKUP($R363,Capa!$A:$AJ,BO$5,0),0),IF(ISERROR(1/VLOOKUP($R363,Capa!$A:$AJ,BO$5,0)),0,1/VLOOKUP($R363,Capa!$A:$AJ,BO$5,0))))</f>
        <v/>
      </c>
      <c r="BP363" s="174" t="str">
        <f>IF(BP$6="","",IF(BP$3="Maior",iferror(VLOOKUP($R363,Capa!$A:$AJ,BP$5,0),0),IF(ISERROR(1/VLOOKUP($R363,Capa!$A:$AJ,BP$5,0)),0,1/VLOOKUP($R363,Capa!$A:$AJ,BP$5,0))))</f>
        <v/>
      </c>
      <c r="BQ363" s="174" t="str">
        <f>IF(BQ$6="","",IF(BQ$3="Maior",iferror(VLOOKUP($R363,Capa!$A:$AJ,BQ$5,0),0),IF(ISERROR(1/VLOOKUP($R363,Capa!$A:$AJ,BQ$5,0)),0,1/VLOOKUP($R363,Capa!$A:$AJ,BQ$5,0))))</f>
        <v/>
      </c>
      <c r="BR363" s="175"/>
      <c r="BS363" s="147"/>
    </row>
    <row r="364">
      <c r="G364" s="11"/>
      <c r="H364" s="8">
        <v>358.0</v>
      </c>
      <c r="I364" s="165" t="str">
        <f t="shared" si="6"/>
        <v>SPRT3B</v>
      </c>
      <c r="J364" s="166" t="str">
        <f>(VLOOKUP($I364,Capa!$A:$B,2,0))</f>
        <v/>
      </c>
      <c r="K364" s="167" t="str">
        <f>VLOOKUP(left(I364,4),Setor!A:D,3,0)&amp;" | "&amp;VLOOKUP(left(I364,4),Setor!A:D,4,0)</f>
        <v>Outros | Outros</v>
      </c>
      <c r="L364" s="168" t="str">
        <f>(VLOOKUP($I364,Capa!$A:$F,6,0))</f>
        <v/>
      </c>
      <c r="M364" s="168">
        <f t="shared" si="7"/>
        <v>0</v>
      </c>
      <c r="N364" s="177" t="str">
        <f>(VLOOKUP($I364,Capa!$A:$H,7,0))</f>
        <v/>
      </c>
      <c r="O364" s="169" t="str">
        <f>(VLOOKUP($I364,Capa!$A:$H,8,0))</f>
        <v/>
      </c>
      <c r="P364" s="169" t="str">
        <f>(VLOOKUP($I364,Capa!$A:$J,10,0))</f>
        <v/>
      </c>
      <c r="Q364" s="169" t="str">
        <f>(VLOOKUP($I364,Capa!$A:$K,11,0))</f>
        <v/>
      </c>
      <c r="R364" s="45" t="str">
        <f>'Dados StatusInvest'!A359</f>
        <v>LHER4</v>
      </c>
      <c r="S364" s="170">
        <f t="shared" si="234"/>
        <v>1669.0669</v>
      </c>
      <c r="T364" s="171">
        <f>VLOOKUP(R364,'Dados StatusInvest'!A:Z,26,0)</f>
        <v>0</v>
      </c>
      <c r="U364" s="172">
        <f t="shared" ref="U364:AS364" si="367">IF(AT364="","", RANK(AT364,AT$7:AT$626,0)+RANK(AT364,AT$7:AT$626,0)/10000)</f>
        <v>51.0051</v>
      </c>
      <c r="V364" s="172">
        <f t="shared" si="367"/>
        <v>618.0618</v>
      </c>
      <c r="W364" s="172" t="str">
        <f t="shared" si="367"/>
        <v/>
      </c>
      <c r="X364" s="172" t="str">
        <f t="shared" si="367"/>
        <v/>
      </c>
      <c r="Y364" s="172" t="str">
        <f t="shared" si="367"/>
        <v/>
      </c>
      <c r="Z364" s="172" t="str">
        <f t="shared" si="367"/>
        <v/>
      </c>
      <c r="AA364" s="172" t="str">
        <f t="shared" si="367"/>
        <v/>
      </c>
      <c r="AB364" s="172" t="str">
        <f t="shared" si="367"/>
        <v/>
      </c>
      <c r="AC364" s="172" t="str">
        <f t="shared" si="367"/>
        <v/>
      </c>
      <c r="AD364" s="172" t="str">
        <f t="shared" si="367"/>
        <v/>
      </c>
      <c r="AE364" s="172" t="str">
        <f t="shared" si="367"/>
        <v/>
      </c>
      <c r="AF364" s="172" t="str">
        <f t="shared" si="367"/>
        <v/>
      </c>
      <c r="AG364" s="172" t="str">
        <f t="shared" si="367"/>
        <v/>
      </c>
      <c r="AH364" s="172" t="str">
        <f t="shared" si="367"/>
        <v/>
      </c>
      <c r="AI364" s="172" t="str">
        <f t="shared" si="367"/>
        <v/>
      </c>
      <c r="AJ364" s="172" t="str">
        <f t="shared" si="367"/>
        <v/>
      </c>
      <c r="AK364" s="172" t="str">
        <f t="shared" si="367"/>
        <v/>
      </c>
      <c r="AL364" s="172" t="str">
        <f t="shared" si="367"/>
        <v/>
      </c>
      <c r="AM364" s="172" t="str">
        <f t="shared" si="367"/>
        <v/>
      </c>
      <c r="AN364" s="172" t="str">
        <f t="shared" si="367"/>
        <v/>
      </c>
      <c r="AO364" s="172" t="str">
        <f t="shared" si="367"/>
        <v/>
      </c>
      <c r="AP364" s="172" t="str">
        <f t="shared" si="367"/>
        <v/>
      </c>
      <c r="AQ364" s="172" t="str">
        <f t="shared" si="367"/>
        <v/>
      </c>
      <c r="AR364" s="172" t="str">
        <f t="shared" si="367"/>
        <v/>
      </c>
      <c r="AS364" s="172" t="str">
        <f t="shared" si="367"/>
        <v/>
      </c>
      <c r="AT364" s="173">
        <f>IF(AT$6="","",IF(AT$3="Maior",iferror(VLOOKUP($R364,Capa!$A:$AJ,AT$5,0),0),IF(ISERROR(1/VLOOKUP($R364,Capa!$A:$AJ,AT$5,0)),0,1/VLOOKUP($R364,Capa!$A:$AJ,AT$5,0))))</f>
        <v>0</v>
      </c>
      <c r="AU364" s="174">
        <f>IF(AU$6="","",IF(AU$3="Maior",iferror(VLOOKUP($R364,Capa!$A:$AJ,AU$5,0),0),IF(ISERROR(1/VLOOKUP($R364,Capa!$A:$AJ,AU$5,0)),0,1/VLOOKUP($R364,Capa!$A:$AJ,AU$5,0))))</f>
        <v>-51.59</v>
      </c>
      <c r="AV364" s="174" t="str">
        <f>IF(AV$6="","",IF(AV$3="Maior",iferror(VLOOKUP($R364,Capa!$A:$AJ,AV$5,0),0),IF(ISERROR(1/VLOOKUP($R364,Capa!$A:$AJ,AV$5,0)),0,1/VLOOKUP($R364,Capa!$A:$AJ,AV$5,0))))</f>
        <v/>
      </c>
      <c r="AW364" s="174" t="str">
        <f>IF(AW$6="","",IF(AW$3="Maior",iferror(VLOOKUP($R364,Capa!$A:$AJ,AW$5,0),0),IF(ISERROR(1/VLOOKUP($R364,Capa!$A:$AJ,AW$5,0)),0,1/VLOOKUP($R364,Capa!$A:$AJ,AW$5,0))))</f>
        <v/>
      </c>
      <c r="AX364" s="174" t="str">
        <f>IF(AX$6="","",IF(AX$3="Maior",iferror(VLOOKUP($R364,Capa!$A:$AJ,AX$5,0),0),IF(ISERROR(1/VLOOKUP($R364,Capa!$A:$AJ,AX$5,0)),0,1/VLOOKUP($R364,Capa!$A:$AJ,AX$5,0))))</f>
        <v/>
      </c>
      <c r="AY364" s="174" t="str">
        <f>IF(AY$6="","",IF(AY$3="Maior",iferror(VLOOKUP($R364,Capa!$A:$AJ,AY$5,0),0),IF(ISERROR(1/VLOOKUP($R364,Capa!$A:$AJ,AY$5,0)),0,1/VLOOKUP($R364,Capa!$A:$AJ,AY$5,0))))</f>
        <v/>
      </c>
      <c r="AZ364" s="174" t="str">
        <f>IF(AZ$6="","",IF(AZ$3="Maior",iferror(VLOOKUP($R364,Capa!$A:$AJ,AZ$5,0),0),IF(ISERROR(1/VLOOKUP($R364,Capa!$A:$AJ,AZ$5,0)),0,1/VLOOKUP($R364,Capa!$A:$AJ,AZ$5,0))))</f>
        <v/>
      </c>
      <c r="BA364" s="174" t="str">
        <f>IF(BA$6="","",IF(BA$3="Maior",iferror(VLOOKUP($R364,Capa!$A:$AJ,BA$5,0),0),IF(ISERROR(1/VLOOKUP($R364,Capa!$A:$AJ,BA$5,0)),0,1/VLOOKUP($R364,Capa!$A:$AJ,BA$5,0))))</f>
        <v/>
      </c>
      <c r="BB364" s="174" t="str">
        <f>IF(BB$6="","",IF(BB$3="Maior",iferror(VLOOKUP($R364,Capa!$A:$AJ,BB$5,0),0),IF(ISERROR(1/VLOOKUP($R364,Capa!$A:$AJ,BB$5,0)),0,1/VLOOKUP($R364,Capa!$A:$AJ,BB$5,0))))</f>
        <v/>
      </c>
      <c r="BC364" s="174" t="str">
        <f>IF(BC$6="","",IF(BC$3="Maior",iferror(VLOOKUP($R364,Capa!$A:$AJ,BC$5,0),0),IF(ISERROR(1/VLOOKUP($R364,Capa!$A:$AJ,BC$5,0)),0,1/VLOOKUP($R364,Capa!$A:$AJ,BC$5,0))))</f>
        <v/>
      </c>
      <c r="BD364" s="174" t="str">
        <f>IF(BD$6="","",IF(BD$3="Maior",iferror(VLOOKUP($R364,Capa!$A:$AJ,BD$5,0),0),IF(ISERROR(1/VLOOKUP($R364,Capa!$A:$AJ,BD$5,0)),0,1/VLOOKUP($R364,Capa!$A:$AJ,BD$5,0))))</f>
        <v/>
      </c>
      <c r="BE364" s="174" t="str">
        <f>IF(BE$6="","",IF(BE$3="Maior",iferror(VLOOKUP($R364,Capa!$A:$AJ,BE$5,0),0),IF(ISERROR(1/VLOOKUP($R364,Capa!$A:$AJ,BE$5,0)),0,1/VLOOKUP($R364,Capa!$A:$AJ,BE$5,0))))</f>
        <v/>
      </c>
      <c r="BF364" s="174" t="str">
        <f>IF(BF$6="","",IF(BF$3="Maior",iferror(VLOOKUP($R364,Capa!$A:$AJ,BF$5,0),0),IF(ISERROR(1/VLOOKUP($R364,Capa!$A:$AJ,BF$5,0)),0,1/VLOOKUP($R364,Capa!$A:$AJ,BF$5,0))))</f>
        <v/>
      </c>
      <c r="BG364" s="174" t="str">
        <f>IF(BG$6="","",IF(BG$3="Maior",iferror(VLOOKUP($R364,Capa!$A:$AJ,BG$5,0),0),IF(ISERROR(1/VLOOKUP($R364,Capa!$A:$AJ,BG$5,0)),0,1/VLOOKUP($R364,Capa!$A:$AJ,BG$5,0))))</f>
        <v/>
      </c>
      <c r="BH364" s="174" t="str">
        <f>IF(BH$6="","",IF(BH$3="Maior",iferror(VLOOKUP($R364,Capa!$A:$AJ,BH$5,0),0),IF(ISERROR(1/VLOOKUP($R364,Capa!$A:$AJ,BH$5,0)),0,1/VLOOKUP($R364,Capa!$A:$AJ,BH$5,0))))</f>
        <v/>
      </c>
      <c r="BI364" s="174" t="str">
        <f>IF(BI$6="","",IF(BI$3="Maior",iferror(VLOOKUP($R364,Capa!$A:$AJ,BI$5,0),0),IF(ISERROR(1/VLOOKUP($R364,Capa!$A:$AJ,BI$5,0)),0,1/VLOOKUP($R364,Capa!$A:$AJ,BI$5,0))))</f>
        <v/>
      </c>
      <c r="BJ364" s="174" t="str">
        <f>IF(BJ$6="","",IF(BJ$3="Maior",iferror(VLOOKUP($R364,Capa!$A:$AJ,BJ$5,0),0),IF(ISERROR(1/VLOOKUP($R364,Capa!$A:$AJ,BJ$5,0)),0,1/VLOOKUP($R364,Capa!$A:$AJ,BJ$5,0))))</f>
        <v/>
      </c>
      <c r="BK364" s="174" t="str">
        <f>IF(BK$6="","",IF(BK$3="Maior",iferror(VLOOKUP($R364,Capa!$A:$AJ,BK$5,0),0),IF(ISERROR(1/VLOOKUP($R364,Capa!$A:$AJ,BK$5,0)),0,1/VLOOKUP($R364,Capa!$A:$AJ,BK$5,0))))</f>
        <v/>
      </c>
      <c r="BL364" s="174" t="str">
        <f>IF(BL$6="","",IF(BL$3="Maior",iferror(VLOOKUP($R364,Capa!$A:$AJ,BL$5,0),0),IF(ISERROR(1/VLOOKUP($R364,Capa!$A:$AJ,BL$5,0)),0,1/VLOOKUP($R364,Capa!$A:$AJ,BL$5,0))))</f>
        <v/>
      </c>
      <c r="BM364" s="174" t="str">
        <f>IF(BM$6="","",IF(BM$3="Maior",iferror(VLOOKUP($R364,Capa!$A:$AJ,BM$5,0),0),IF(ISERROR(1/VLOOKUP($R364,Capa!$A:$AJ,BM$5,0)),0,1/VLOOKUP($R364,Capa!$A:$AJ,BM$5,0))))</f>
        <v/>
      </c>
      <c r="BN364" s="174" t="str">
        <f>IF(BN$6="","",IF(BN$3="Maior",iferror(VLOOKUP($R364,Capa!$A:$AJ,BN$5,0),0),IF(ISERROR(1/VLOOKUP($R364,Capa!$A:$AJ,BN$5,0)),0,1/VLOOKUP($R364,Capa!$A:$AJ,BN$5,0))))</f>
        <v/>
      </c>
      <c r="BO364" s="174" t="str">
        <f>IF(BO$6="","",IF(BO$3="Maior",iferror(VLOOKUP($R364,Capa!$A:$AJ,BO$5,0),0),IF(ISERROR(1/VLOOKUP($R364,Capa!$A:$AJ,BO$5,0)),0,1/VLOOKUP($R364,Capa!$A:$AJ,BO$5,0))))</f>
        <v/>
      </c>
      <c r="BP364" s="174" t="str">
        <f>IF(BP$6="","",IF(BP$3="Maior",iferror(VLOOKUP($R364,Capa!$A:$AJ,BP$5,0),0),IF(ISERROR(1/VLOOKUP($R364,Capa!$A:$AJ,BP$5,0)),0,1/VLOOKUP($R364,Capa!$A:$AJ,BP$5,0))))</f>
        <v/>
      </c>
      <c r="BQ364" s="174" t="str">
        <f>IF(BQ$6="","",IF(BQ$3="Maior",iferror(VLOOKUP($R364,Capa!$A:$AJ,BQ$5,0),0),IF(ISERROR(1/VLOOKUP($R364,Capa!$A:$AJ,BQ$5,0)),0,1/VLOOKUP($R364,Capa!$A:$AJ,BQ$5,0))))</f>
        <v/>
      </c>
      <c r="BR364" s="175"/>
      <c r="BS364" s="147"/>
    </row>
    <row r="365">
      <c r="G365" s="11"/>
      <c r="H365" s="8">
        <v>359.0</v>
      </c>
      <c r="I365" s="165" t="str">
        <f t="shared" si="6"/>
        <v>DTCY4</v>
      </c>
      <c r="J365" s="166" t="str">
        <f>(VLOOKUP($I365,Capa!$A:$B,2,0))</f>
        <v>Dtcom Direct to Company S/A Preference Shares</v>
      </c>
      <c r="K365" s="167" t="str">
        <f>VLOOKUP(left(I365,4),Setor!A:D,3,0)&amp;" | "&amp;VLOOKUP(left(I365,4),Setor!A:D,4,0)</f>
        <v>Bens Industriais | Serviços Diversos</v>
      </c>
      <c r="L365" s="168">
        <f>(VLOOKUP($I365,Capa!$A:$F,6,0))</f>
        <v>0</v>
      </c>
      <c r="M365" s="168">
        <f t="shared" si="7"/>
        <v>0</v>
      </c>
      <c r="N365" s="11" t="str">
        <f>(VLOOKUP($I365,Capa!$A:$H,7,0))</f>
        <v/>
      </c>
      <c r="O365" s="169" t="str">
        <f>(VLOOKUP($I365,Capa!$A:$H,8,0))</f>
        <v/>
      </c>
      <c r="P365" s="11" t="str">
        <f>(VLOOKUP($I365,Capa!$A:$J,10,0))</f>
        <v/>
      </c>
      <c r="Q365" s="169" t="str">
        <f>(VLOOKUP($I365,Capa!$A:$K,11,0))</f>
        <v/>
      </c>
      <c r="R365" s="45" t="str">
        <f>'Dados StatusInvest'!A360</f>
        <v>LIGT3</v>
      </c>
      <c r="S365" s="170">
        <f t="shared" si="234"/>
        <v>200.02</v>
      </c>
      <c r="T365" s="171">
        <f>VLOOKUP(R365,'Dados StatusInvest'!A:Z,26,0)</f>
        <v>8170431</v>
      </c>
      <c r="U365" s="172">
        <f t="shared" ref="U365:AS365" si="368">IF(AT365="","", RANK(AT365,AT$7:AT$626,0)+RANK(AT365,AT$7:AT$626,0)/10000)</f>
        <v>5.0005</v>
      </c>
      <c r="V365" s="172">
        <f t="shared" si="368"/>
        <v>195.0195</v>
      </c>
      <c r="W365" s="172" t="str">
        <f t="shared" si="368"/>
        <v/>
      </c>
      <c r="X365" s="172" t="str">
        <f t="shared" si="368"/>
        <v/>
      </c>
      <c r="Y365" s="172" t="str">
        <f t="shared" si="368"/>
        <v/>
      </c>
      <c r="Z365" s="172" t="str">
        <f t="shared" si="368"/>
        <v/>
      </c>
      <c r="AA365" s="172" t="str">
        <f t="shared" si="368"/>
        <v/>
      </c>
      <c r="AB365" s="172" t="str">
        <f t="shared" si="368"/>
        <v/>
      </c>
      <c r="AC365" s="172" t="str">
        <f t="shared" si="368"/>
        <v/>
      </c>
      <c r="AD365" s="172" t="str">
        <f t="shared" si="368"/>
        <v/>
      </c>
      <c r="AE365" s="172" t="str">
        <f t="shared" si="368"/>
        <v/>
      </c>
      <c r="AF365" s="172" t="str">
        <f t="shared" si="368"/>
        <v/>
      </c>
      <c r="AG365" s="172" t="str">
        <f t="shared" si="368"/>
        <v/>
      </c>
      <c r="AH365" s="172" t="str">
        <f t="shared" si="368"/>
        <v/>
      </c>
      <c r="AI365" s="172" t="str">
        <f t="shared" si="368"/>
        <v/>
      </c>
      <c r="AJ365" s="172" t="str">
        <f t="shared" si="368"/>
        <v/>
      </c>
      <c r="AK365" s="172" t="str">
        <f t="shared" si="368"/>
        <v/>
      </c>
      <c r="AL365" s="172" t="str">
        <f t="shared" si="368"/>
        <v/>
      </c>
      <c r="AM365" s="172" t="str">
        <f t="shared" si="368"/>
        <v/>
      </c>
      <c r="AN365" s="172" t="str">
        <f t="shared" si="368"/>
        <v/>
      </c>
      <c r="AO365" s="172" t="str">
        <f t="shared" si="368"/>
        <v/>
      </c>
      <c r="AP365" s="172" t="str">
        <f t="shared" si="368"/>
        <v/>
      </c>
      <c r="AQ365" s="172" t="str">
        <f t="shared" si="368"/>
        <v/>
      </c>
      <c r="AR365" s="172" t="str">
        <f t="shared" si="368"/>
        <v/>
      </c>
      <c r="AS365" s="172" t="str">
        <f t="shared" si="368"/>
        <v/>
      </c>
      <c r="AT365" s="173">
        <f>IF(AT$6="","",IF(AT$3="Maior",iferror(VLOOKUP($R365,Capa!$A:$AJ,AT$5,0),0),IF(ISERROR(1/VLOOKUP($R365,Capa!$A:$AJ,AT$5,0)),0,1/VLOOKUP($R365,Capa!$A:$AJ,AT$5,0))))</f>
        <v>4.307500223</v>
      </c>
      <c r="AU365" s="174">
        <f>IF(AU$6="","",IF(AU$3="Maior",iferror(VLOOKUP($R365,Capa!$A:$AJ,AU$5,0),0),IF(ISERROR(1/VLOOKUP($R365,Capa!$A:$AJ,AU$5,0)),0,1/VLOOKUP($R365,Capa!$A:$AJ,AU$5,0))))</f>
        <v>11.57</v>
      </c>
      <c r="AV365" s="174" t="str">
        <f>IF(AV$6="","",IF(AV$3="Maior",iferror(VLOOKUP($R365,Capa!$A:$AJ,AV$5,0),0),IF(ISERROR(1/VLOOKUP($R365,Capa!$A:$AJ,AV$5,0)),0,1/VLOOKUP($R365,Capa!$A:$AJ,AV$5,0))))</f>
        <v/>
      </c>
      <c r="AW365" s="174" t="str">
        <f>IF(AW$6="","",IF(AW$3="Maior",iferror(VLOOKUP($R365,Capa!$A:$AJ,AW$5,0),0),IF(ISERROR(1/VLOOKUP($R365,Capa!$A:$AJ,AW$5,0)),0,1/VLOOKUP($R365,Capa!$A:$AJ,AW$5,0))))</f>
        <v/>
      </c>
      <c r="AX365" s="174" t="str">
        <f>IF(AX$6="","",IF(AX$3="Maior",iferror(VLOOKUP($R365,Capa!$A:$AJ,AX$5,0),0),IF(ISERROR(1/VLOOKUP($R365,Capa!$A:$AJ,AX$5,0)),0,1/VLOOKUP($R365,Capa!$A:$AJ,AX$5,0))))</f>
        <v/>
      </c>
      <c r="AY365" s="174" t="str">
        <f>IF(AY$6="","",IF(AY$3="Maior",iferror(VLOOKUP($R365,Capa!$A:$AJ,AY$5,0),0),IF(ISERROR(1/VLOOKUP($R365,Capa!$A:$AJ,AY$5,0)),0,1/VLOOKUP($R365,Capa!$A:$AJ,AY$5,0))))</f>
        <v/>
      </c>
      <c r="AZ365" s="174" t="str">
        <f>IF(AZ$6="","",IF(AZ$3="Maior",iferror(VLOOKUP($R365,Capa!$A:$AJ,AZ$5,0),0),IF(ISERROR(1/VLOOKUP($R365,Capa!$A:$AJ,AZ$5,0)),0,1/VLOOKUP($R365,Capa!$A:$AJ,AZ$5,0))))</f>
        <v/>
      </c>
      <c r="BA365" s="174" t="str">
        <f>IF(BA$6="","",IF(BA$3="Maior",iferror(VLOOKUP($R365,Capa!$A:$AJ,BA$5,0),0),IF(ISERROR(1/VLOOKUP($R365,Capa!$A:$AJ,BA$5,0)),0,1/VLOOKUP($R365,Capa!$A:$AJ,BA$5,0))))</f>
        <v/>
      </c>
      <c r="BB365" s="174" t="str">
        <f>IF(BB$6="","",IF(BB$3="Maior",iferror(VLOOKUP($R365,Capa!$A:$AJ,BB$5,0),0),IF(ISERROR(1/VLOOKUP($R365,Capa!$A:$AJ,BB$5,0)),0,1/VLOOKUP($R365,Capa!$A:$AJ,BB$5,0))))</f>
        <v/>
      </c>
      <c r="BC365" s="174" t="str">
        <f>IF(BC$6="","",IF(BC$3="Maior",iferror(VLOOKUP($R365,Capa!$A:$AJ,BC$5,0),0),IF(ISERROR(1/VLOOKUP($R365,Capa!$A:$AJ,BC$5,0)),0,1/VLOOKUP($R365,Capa!$A:$AJ,BC$5,0))))</f>
        <v/>
      </c>
      <c r="BD365" s="174" t="str">
        <f>IF(BD$6="","",IF(BD$3="Maior",iferror(VLOOKUP($R365,Capa!$A:$AJ,BD$5,0),0),IF(ISERROR(1/VLOOKUP($R365,Capa!$A:$AJ,BD$5,0)),0,1/VLOOKUP($R365,Capa!$A:$AJ,BD$5,0))))</f>
        <v/>
      </c>
      <c r="BE365" s="174" t="str">
        <f>IF(BE$6="","",IF(BE$3="Maior",iferror(VLOOKUP($R365,Capa!$A:$AJ,BE$5,0),0),IF(ISERROR(1/VLOOKUP($R365,Capa!$A:$AJ,BE$5,0)),0,1/VLOOKUP($R365,Capa!$A:$AJ,BE$5,0))))</f>
        <v/>
      </c>
      <c r="BF365" s="174" t="str">
        <f>IF(BF$6="","",IF(BF$3="Maior",iferror(VLOOKUP($R365,Capa!$A:$AJ,BF$5,0),0),IF(ISERROR(1/VLOOKUP($R365,Capa!$A:$AJ,BF$5,0)),0,1/VLOOKUP($R365,Capa!$A:$AJ,BF$5,0))))</f>
        <v/>
      </c>
      <c r="BG365" s="174" t="str">
        <f>IF(BG$6="","",IF(BG$3="Maior",iferror(VLOOKUP($R365,Capa!$A:$AJ,BG$5,0),0),IF(ISERROR(1/VLOOKUP($R365,Capa!$A:$AJ,BG$5,0)),0,1/VLOOKUP($R365,Capa!$A:$AJ,BG$5,0))))</f>
        <v/>
      </c>
      <c r="BH365" s="174" t="str">
        <f>IF(BH$6="","",IF(BH$3="Maior",iferror(VLOOKUP($R365,Capa!$A:$AJ,BH$5,0),0),IF(ISERROR(1/VLOOKUP($R365,Capa!$A:$AJ,BH$5,0)),0,1/VLOOKUP($R365,Capa!$A:$AJ,BH$5,0))))</f>
        <v/>
      </c>
      <c r="BI365" s="174" t="str">
        <f>IF(BI$6="","",IF(BI$3="Maior",iferror(VLOOKUP($R365,Capa!$A:$AJ,BI$5,0),0),IF(ISERROR(1/VLOOKUP($R365,Capa!$A:$AJ,BI$5,0)),0,1/VLOOKUP($R365,Capa!$A:$AJ,BI$5,0))))</f>
        <v/>
      </c>
      <c r="BJ365" s="174" t="str">
        <f>IF(BJ$6="","",IF(BJ$3="Maior",iferror(VLOOKUP($R365,Capa!$A:$AJ,BJ$5,0),0),IF(ISERROR(1/VLOOKUP($R365,Capa!$A:$AJ,BJ$5,0)),0,1/VLOOKUP($R365,Capa!$A:$AJ,BJ$5,0))))</f>
        <v/>
      </c>
      <c r="BK365" s="174" t="str">
        <f>IF(BK$6="","",IF(BK$3="Maior",iferror(VLOOKUP($R365,Capa!$A:$AJ,BK$5,0),0),IF(ISERROR(1/VLOOKUP($R365,Capa!$A:$AJ,BK$5,0)),0,1/VLOOKUP($R365,Capa!$A:$AJ,BK$5,0))))</f>
        <v/>
      </c>
      <c r="BL365" s="174" t="str">
        <f>IF(BL$6="","",IF(BL$3="Maior",iferror(VLOOKUP($R365,Capa!$A:$AJ,BL$5,0),0),IF(ISERROR(1/VLOOKUP($R365,Capa!$A:$AJ,BL$5,0)),0,1/VLOOKUP($R365,Capa!$A:$AJ,BL$5,0))))</f>
        <v/>
      </c>
      <c r="BM365" s="174" t="str">
        <f>IF(BM$6="","",IF(BM$3="Maior",iferror(VLOOKUP($R365,Capa!$A:$AJ,BM$5,0),0),IF(ISERROR(1/VLOOKUP($R365,Capa!$A:$AJ,BM$5,0)),0,1/VLOOKUP($R365,Capa!$A:$AJ,BM$5,0))))</f>
        <v/>
      </c>
      <c r="BN365" s="174" t="str">
        <f>IF(BN$6="","",IF(BN$3="Maior",iferror(VLOOKUP($R365,Capa!$A:$AJ,BN$5,0),0),IF(ISERROR(1/VLOOKUP($R365,Capa!$A:$AJ,BN$5,0)),0,1/VLOOKUP($R365,Capa!$A:$AJ,BN$5,0))))</f>
        <v/>
      </c>
      <c r="BO365" s="174" t="str">
        <f>IF(BO$6="","",IF(BO$3="Maior",iferror(VLOOKUP($R365,Capa!$A:$AJ,BO$5,0),0),IF(ISERROR(1/VLOOKUP($R365,Capa!$A:$AJ,BO$5,0)),0,1/VLOOKUP($R365,Capa!$A:$AJ,BO$5,0))))</f>
        <v/>
      </c>
      <c r="BP365" s="174" t="str">
        <f>IF(BP$6="","",IF(BP$3="Maior",iferror(VLOOKUP($R365,Capa!$A:$AJ,BP$5,0),0),IF(ISERROR(1/VLOOKUP($R365,Capa!$A:$AJ,BP$5,0)),0,1/VLOOKUP($R365,Capa!$A:$AJ,BP$5,0))))</f>
        <v/>
      </c>
      <c r="BQ365" s="174" t="str">
        <f>IF(BQ$6="","",IF(BQ$3="Maior",iferror(VLOOKUP($R365,Capa!$A:$AJ,BQ$5,0),0),IF(ISERROR(1/VLOOKUP($R365,Capa!$A:$AJ,BQ$5,0)),0,1/VLOOKUP($R365,Capa!$A:$AJ,BQ$5,0))))</f>
        <v/>
      </c>
      <c r="BR365" s="175"/>
      <c r="BS365" s="147"/>
    </row>
    <row r="366">
      <c r="G366" s="11"/>
      <c r="H366" s="8">
        <v>360.0</v>
      </c>
      <c r="I366" s="165" t="str">
        <f t="shared" si="6"/>
        <v>ECPR4</v>
      </c>
      <c r="J366" s="166" t="str">
        <f>(VLOOKUP($I366,Capa!$A:$B,2,0))</f>
        <v/>
      </c>
      <c r="K366" s="167" t="str">
        <f>VLOOKUP(left(I366,4),Setor!A:D,3,0)&amp;" | "&amp;VLOOKUP(left(I366,4),Setor!A:D,4,0)</f>
        <v>Consumo Cíclico | Tecidos, Vestuário e Calçados</v>
      </c>
      <c r="L366" s="168" t="str">
        <f>(VLOOKUP($I366,Capa!$A:$F,6,0))</f>
        <v/>
      </c>
      <c r="M366" s="168">
        <f t="shared" si="7"/>
        <v>0</v>
      </c>
      <c r="N366" s="11" t="str">
        <f>(VLOOKUP($I366,Capa!$A:$H,7,0))</f>
        <v/>
      </c>
      <c r="O366" s="169" t="str">
        <f>(VLOOKUP($I366,Capa!$A:$H,8,0))</f>
        <v/>
      </c>
      <c r="P366" s="11" t="str">
        <f>(VLOOKUP($I366,Capa!$A:$J,10,0))</f>
        <v/>
      </c>
      <c r="Q366" s="169" t="str">
        <f>(VLOOKUP($I366,Capa!$A:$K,11,0))</f>
        <v/>
      </c>
      <c r="R366" s="45" t="str">
        <f>'Dados StatusInvest'!A361</f>
        <v>LINX3</v>
      </c>
      <c r="S366" s="170">
        <f t="shared" si="234"/>
        <v>1403.0403</v>
      </c>
      <c r="T366" s="171">
        <f>VLOOKUP(R366,'Dados StatusInvest'!A:Z,26,0)</f>
        <v>0</v>
      </c>
      <c r="U366" s="172">
        <f t="shared" ref="U366:AS366" si="369">IF(AT366="","", RANK(AT366,AT$7:AT$626,0)+RANK(AT366,AT$7:AT$626,0)/10000)</f>
        <v>136.0136</v>
      </c>
      <c r="V366" s="172">
        <f t="shared" si="369"/>
        <v>267.0267</v>
      </c>
      <c r="W366" s="172" t="str">
        <f t="shared" si="369"/>
        <v/>
      </c>
      <c r="X366" s="172" t="str">
        <f t="shared" si="369"/>
        <v/>
      </c>
      <c r="Y366" s="172" t="str">
        <f t="shared" si="369"/>
        <v/>
      </c>
      <c r="Z366" s="172" t="str">
        <f t="shared" si="369"/>
        <v/>
      </c>
      <c r="AA366" s="172" t="str">
        <f t="shared" si="369"/>
        <v/>
      </c>
      <c r="AB366" s="172" t="str">
        <f t="shared" si="369"/>
        <v/>
      </c>
      <c r="AC366" s="172" t="str">
        <f t="shared" si="369"/>
        <v/>
      </c>
      <c r="AD366" s="172" t="str">
        <f t="shared" si="369"/>
        <v/>
      </c>
      <c r="AE366" s="172" t="str">
        <f t="shared" si="369"/>
        <v/>
      </c>
      <c r="AF366" s="172" t="str">
        <f t="shared" si="369"/>
        <v/>
      </c>
      <c r="AG366" s="172" t="str">
        <f t="shared" si="369"/>
        <v/>
      </c>
      <c r="AH366" s="172" t="str">
        <f t="shared" si="369"/>
        <v/>
      </c>
      <c r="AI366" s="172" t="str">
        <f t="shared" si="369"/>
        <v/>
      </c>
      <c r="AJ366" s="172" t="str">
        <f t="shared" si="369"/>
        <v/>
      </c>
      <c r="AK366" s="172" t="str">
        <f t="shared" si="369"/>
        <v/>
      </c>
      <c r="AL366" s="172" t="str">
        <f t="shared" si="369"/>
        <v/>
      </c>
      <c r="AM366" s="172" t="str">
        <f t="shared" si="369"/>
        <v/>
      </c>
      <c r="AN366" s="172" t="str">
        <f t="shared" si="369"/>
        <v/>
      </c>
      <c r="AO366" s="172" t="str">
        <f t="shared" si="369"/>
        <v/>
      </c>
      <c r="AP366" s="172" t="str">
        <f t="shared" si="369"/>
        <v/>
      </c>
      <c r="AQ366" s="172" t="str">
        <f t="shared" si="369"/>
        <v/>
      </c>
      <c r="AR366" s="172" t="str">
        <f t="shared" si="369"/>
        <v/>
      </c>
      <c r="AS366" s="172" t="str">
        <f t="shared" si="369"/>
        <v/>
      </c>
      <c r="AT366" s="173">
        <f>IF(AT$6="","",IF(AT$3="Maior",iferror(VLOOKUP($R366,Capa!$A:$AJ,AT$5,0),0),IF(ISERROR(1/VLOOKUP($R366,Capa!$A:$AJ,AT$5,0)),0,1/VLOOKUP($R366,Capa!$A:$AJ,AT$5,0))))</f>
        <v>-0.05959475566</v>
      </c>
      <c r="AU366" s="174">
        <f>IF(AU$6="","",IF(AU$3="Maior",iferror(VLOOKUP($R366,Capa!$A:$AJ,AU$5,0),0),IF(ISERROR(1/VLOOKUP($R366,Capa!$A:$AJ,AU$5,0)),0,1/VLOOKUP($R366,Capa!$A:$AJ,AU$5,0))))</f>
        <v>0</v>
      </c>
      <c r="AV366" s="174" t="str">
        <f>IF(AV$6="","",IF(AV$3="Maior",iferror(VLOOKUP($R366,Capa!$A:$AJ,AV$5,0),0),IF(ISERROR(1/VLOOKUP($R366,Capa!$A:$AJ,AV$5,0)),0,1/VLOOKUP($R366,Capa!$A:$AJ,AV$5,0))))</f>
        <v/>
      </c>
      <c r="AW366" s="174" t="str">
        <f>IF(AW$6="","",IF(AW$3="Maior",iferror(VLOOKUP($R366,Capa!$A:$AJ,AW$5,0),0),IF(ISERROR(1/VLOOKUP($R366,Capa!$A:$AJ,AW$5,0)),0,1/VLOOKUP($R366,Capa!$A:$AJ,AW$5,0))))</f>
        <v/>
      </c>
      <c r="AX366" s="174" t="str">
        <f>IF(AX$6="","",IF(AX$3="Maior",iferror(VLOOKUP($R366,Capa!$A:$AJ,AX$5,0),0),IF(ISERROR(1/VLOOKUP($R366,Capa!$A:$AJ,AX$5,0)),0,1/VLOOKUP($R366,Capa!$A:$AJ,AX$5,0))))</f>
        <v/>
      </c>
      <c r="AY366" s="174" t="str">
        <f>IF(AY$6="","",IF(AY$3="Maior",iferror(VLOOKUP($R366,Capa!$A:$AJ,AY$5,0),0),IF(ISERROR(1/VLOOKUP($R366,Capa!$A:$AJ,AY$5,0)),0,1/VLOOKUP($R366,Capa!$A:$AJ,AY$5,0))))</f>
        <v/>
      </c>
      <c r="AZ366" s="174" t="str">
        <f>IF(AZ$6="","",IF(AZ$3="Maior",iferror(VLOOKUP($R366,Capa!$A:$AJ,AZ$5,0),0),IF(ISERROR(1/VLOOKUP($R366,Capa!$A:$AJ,AZ$5,0)),0,1/VLOOKUP($R366,Capa!$A:$AJ,AZ$5,0))))</f>
        <v/>
      </c>
      <c r="BA366" s="174" t="str">
        <f>IF(BA$6="","",IF(BA$3="Maior",iferror(VLOOKUP($R366,Capa!$A:$AJ,BA$5,0),0),IF(ISERROR(1/VLOOKUP($R366,Capa!$A:$AJ,BA$5,0)),0,1/VLOOKUP($R366,Capa!$A:$AJ,BA$5,0))))</f>
        <v/>
      </c>
      <c r="BB366" s="174" t="str">
        <f>IF(BB$6="","",IF(BB$3="Maior",iferror(VLOOKUP($R366,Capa!$A:$AJ,BB$5,0),0),IF(ISERROR(1/VLOOKUP($R366,Capa!$A:$AJ,BB$5,0)),0,1/VLOOKUP($R366,Capa!$A:$AJ,BB$5,0))))</f>
        <v/>
      </c>
      <c r="BC366" s="174" t="str">
        <f>IF(BC$6="","",IF(BC$3="Maior",iferror(VLOOKUP($R366,Capa!$A:$AJ,BC$5,0),0),IF(ISERROR(1/VLOOKUP($R366,Capa!$A:$AJ,BC$5,0)),0,1/VLOOKUP($R366,Capa!$A:$AJ,BC$5,0))))</f>
        <v/>
      </c>
      <c r="BD366" s="174" t="str">
        <f>IF(BD$6="","",IF(BD$3="Maior",iferror(VLOOKUP($R366,Capa!$A:$AJ,BD$5,0),0),IF(ISERROR(1/VLOOKUP($R366,Capa!$A:$AJ,BD$5,0)),0,1/VLOOKUP($R366,Capa!$A:$AJ,BD$5,0))))</f>
        <v/>
      </c>
      <c r="BE366" s="174" t="str">
        <f>IF(BE$6="","",IF(BE$3="Maior",iferror(VLOOKUP($R366,Capa!$A:$AJ,BE$5,0),0),IF(ISERROR(1/VLOOKUP($R366,Capa!$A:$AJ,BE$5,0)),0,1/VLOOKUP($R366,Capa!$A:$AJ,BE$5,0))))</f>
        <v/>
      </c>
      <c r="BF366" s="174" t="str">
        <f>IF(BF$6="","",IF(BF$3="Maior",iferror(VLOOKUP($R366,Capa!$A:$AJ,BF$5,0),0),IF(ISERROR(1/VLOOKUP($R366,Capa!$A:$AJ,BF$5,0)),0,1/VLOOKUP($R366,Capa!$A:$AJ,BF$5,0))))</f>
        <v/>
      </c>
      <c r="BG366" s="174" t="str">
        <f>IF(BG$6="","",IF(BG$3="Maior",iferror(VLOOKUP($R366,Capa!$A:$AJ,BG$5,0),0),IF(ISERROR(1/VLOOKUP($R366,Capa!$A:$AJ,BG$5,0)),0,1/VLOOKUP($R366,Capa!$A:$AJ,BG$5,0))))</f>
        <v/>
      </c>
      <c r="BH366" s="174" t="str">
        <f>IF(BH$6="","",IF(BH$3="Maior",iferror(VLOOKUP($R366,Capa!$A:$AJ,BH$5,0),0),IF(ISERROR(1/VLOOKUP($R366,Capa!$A:$AJ,BH$5,0)),0,1/VLOOKUP($R366,Capa!$A:$AJ,BH$5,0))))</f>
        <v/>
      </c>
      <c r="BI366" s="174" t="str">
        <f>IF(BI$6="","",IF(BI$3="Maior",iferror(VLOOKUP($R366,Capa!$A:$AJ,BI$5,0),0),IF(ISERROR(1/VLOOKUP($R366,Capa!$A:$AJ,BI$5,0)),0,1/VLOOKUP($R366,Capa!$A:$AJ,BI$5,0))))</f>
        <v/>
      </c>
      <c r="BJ366" s="174" t="str">
        <f>IF(BJ$6="","",IF(BJ$3="Maior",iferror(VLOOKUP($R366,Capa!$A:$AJ,BJ$5,0),0),IF(ISERROR(1/VLOOKUP($R366,Capa!$A:$AJ,BJ$5,0)),0,1/VLOOKUP($R366,Capa!$A:$AJ,BJ$5,0))))</f>
        <v/>
      </c>
      <c r="BK366" s="174" t="str">
        <f>IF(BK$6="","",IF(BK$3="Maior",iferror(VLOOKUP($R366,Capa!$A:$AJ,BK$5,0),0),IF(ISERROR(1/VLOOKUP($R366,Capa!$A:$AJ,BK$5,0)),0,1/VLOOKUP($R366,Capa!$A:$AJ,BK$5,0))))</f>
        <v/>
      </c>
      <c r="BL366" s="174" t="str">
        <f>IF(BL$6="","",IF(BL$3="Maior",iferror(VLOOKUP($R366,Capa!$A:$AJ,BL$5,0),0),IF(ISERROR(1/VLOOKUP($R366,Capa!$A:$AJ,BL$5,0)),0,1/VLOOKUP($R366,Capa!$A:$AJ,BL$5,0))))</f>
        <v/>
      </c>
      <c r="BM366" s="174" t="str">
        <f>IF(BM$6="","",IF(BM$3="Maior",iferror(VLOOKUP($R366,Capa!$A:$AJ,BM$5,0),0),IF(ISERROR(1/VLOOKUP($R366,Capa!$A:$AJ,BM$5,0)),0,1/VLOOKUP($R366,Capa!$A:$AJ,BM$5,0))))</f>
        <v/>
      </c>
      <c r="BN366" s="174" t="str">
        <f>IF(BN$6="","",IF(BN$3="Maior",iferror(VLOOKUP($R366,Capa!$A:$AJ,BN$5,0),0),IF(ISERROR(1/VLOOKUP($R366,Capa!$A:$AJ,BN$5,0)),0,1/VLOOKUP($R366,Capa!$A:$AJ,BN$5,0))))</f>
        <v/>
      </c>
      <c r="BO366" s="174" t="str">
        <f>IF(BO$6="","",IF(BO$3="Maior",iferror(VLOOKUP($R366,Capa!$A:$AJ,BO$5,0),0),IF(ISERROR(1/VLOOKUP($R366,Capa!$A:$AJ,BO$5,0)),0,1/VLOOKUP($R366,Capa!$A:$AJ,BO$5,0))))</f>
        <v/>
      </c>
      <c r="BP366" s="174" t="str">
        <f>IF(BP$6="","",IF(BP$3="Maior",iferror(VLOOKUP($R366,Capa!$A:$AJ,BP$5,0),0),IF(ISERROR(1/VLOOKUP($R366,Capa!$A:$AJ,BP$5,0)),0,1/VLOOKUP($R366,Capa!$A:$AJ,BP$5,0))))</f>
        <v/>
      </c>
      <c r="BQ366" s="174" t="str">
        <f>IF(BQ$6="","",IF(BQ$3="Maior",iferror(VLOOKUP($R366,Capa!$A:$AJ,BQ$5,0),0),IF(ISERROR(1/VLOOKUP($R366,Capa!$A:$AJ,BQ$5,0)),0,1/VLOOKUP($R366,Capa!$A:$AJ,BQ$5,0))))</f>
        <v/>
      </c>
      <c r="BR366" s="175"/>
      <c r="BS366" s="147"/>
    </row>
    <row r="367">
      <c r="G367" s="11"/>
      <c r="H367" s="8">
        <v>361.0</v>
      </c>
      <c r="I367" s="165" t="str">
        <f t="shared" si="6"/>
        <v>ECPR3</v>
      </c>
      <c r="J367" s="166" t="str">
        <f>(VLOOKUP($I367,Capa!$A:$B,2,0))</f>
        <v/>
      </c>
      <c r="K367" s="167" t="str">
        <f>VLOOKUP(left(I367,4),Setor!A:D,3,0)&amp;" | "&amp;VLOOKUP(left(I367,4),Setor!A:D,4,0)</f>
        <v>Consumo Cíclico | Tecidos, Vestuário e Calçados</v>
      </c>
      <c r="L367" s="168" t="str">
        <f>(VLOOKUP($I367,Capa!$A:$F,6,0))</f>
        <v/>
      </c>
      <c r="M367" s="168">
        <f t="shared" si="7"/>
        <v>0</v>
      </c>
      <c r="N367" s="11" t="str">
        <f>(VLOOKUP($I367,Capa!$A:$H,7,0))</f>
        <v/>
      </c>
      <c r="O367" s="169" t="str">
        <f>(VLOOKUP($I367,Capa!$A:$H,8,0))</f>
        <v/>
      </c>
      <c r="P367" s="11" t="str">
        <f>(VLOOKUP($I367,Capa!$A:$J,10,0))</f>
        <v/>
      </c>
      <c r="Q367" s="169" t="str">
        <f>(VLOOKUP($I367,Capa!$A:$K,11,0))</f>
        <v/>
      </c>
      <c r="R367" s="45" t="str">
        <f>'Dados StatusInvest'!A362</f>
        <v>LIPR3</v>
      </c>
      <c r="S367" s="170">
        <f t="shared" si="234"/>
        <v>1421.0421</v>
      </c>
      <c r="T367" s="171">
        <f>VLOOKUP(R367,'Dados StatusInvest'!A:Z,26,0)</f>
        <v>3601</v>
      </c>
      <c r="U367" s="172">
        <f t="shared" ref="U367:AS367" si="370">IF(AT367="","", RANK(AT367,AT$7:AT$626,0)+RANK(AT367,AT$7:AT$626,0)/10000)</f>
        <v>154.0154</v>
      </c>
      <c r="V367" s="172">
        <f t="shared" si="370"/>
        <v>267.0267</v>
      </c>
      <c r="W367" s="172" t="str">
        <f t="shared" si="370"/>
        <v/>
      </c>
      <c r="X367" s="172" t="str">
        <f t="shared" si="370"/>
        <v/>
      </c>
      <c r="Y367" s="172" t="str">
        <f t="shared" si="370"/>
        <v/>
      </c>
      <c r="Z367" s="172" t="str">
        <f t="shared" si="370"/>
        <v/>
      </c>
      <c r="AA367" s="172" t="str">
        <f t="shared" si="370"/>
        <v/>
      </c>
      <c r="AB367" s="172" t="str">
        <f t="shared" si="370"/>
        <v/>
      </c>
      <c r="AC367" s="172" t="str">
        <f t="shared" si="370"/>
        <v/>
      </c>
      <c r="AD367" s="172" t="str">
        <f t="shared" si="370"/>
        <v/>
      </c>
      <c r="AE367" s="172" t="str">
        <f t="shared" si="370"/>
        <v/>
      </c>
      <c r="AF367" s="172" t="str">
        <f t="shared" si="370"/>
        <v/>
      </c>
      <c r="AG367" s="172" t="str">
        <f t="shared" si="370"/>
        <v/>
      </c>
      <c r="AH367" s="172" t="str">
        <f t="shared" si="370"/>
        <v/>
      </c>
      <c r="AI367" s="172" t="str">
        <f t="shared" si="370"/>
        <v/>
      </c>
      <c r="AJ367" s="172" t="str">
        <f t="shared" si="370"/>
        <v/>
      </c>
      <c r="AK367" s="172" t="str">
        <f t="shared" si="370"/>
        <v/>
      </c>
      <c r="AL367" s="172" t="str">
        <f t="shared" si="370"/>
        <v/>
      </c>
      <c r="AM367" s="172" t="str">
        <f t="shared" si="370"/>
        <v/>
      </c>
      <c r="AN367" s="172" t="str">
        <f t="shared" si="370"/>
        <v/>
      </c>
      <c r="AO367" s="172" t="str">
        <f t="shared" si="370"/>
        <v/>
      </c>
      <c r="AP367" s="172" t="str">
        <f t="shared" si="370"/>
        <v/>
      </c>
      <c r="AQ367" s="172" t="str">
        <f t="shared" si="370"/>
        <v/>
      </c>
      <c r="AR367" s="172" t="str">
        <f t="shared" si="370"/>
        <v/>
      </c>
      <c r="AS367" s="172" t="str">
        <f t="shared" si="370"/>
        <v/>
      </c>
      <c r="AT367" s="173">
        <f>IF(AT$6="","",IF(AT$3="Maior",iferror(VLOOKUP($R367,Capa!$A:$AJ,AT$5,0),0),IF(ISERROR(1/VLOOKUP($R367,Capa!$A:$AJ,AT$5,0)),0,1/VLOOKUP($R367,Capa!$A:$AJ,AT$5,0))))</f>
        <v>-0.1097694841</v>
      </c>
      <c r="AU367" s="174">
        <f>IF(AU$6="","",IF(AU$3="Maior",iferror(VLOOKUP($R367,Capa!$A:$AJ,AU$5,0),0),IF(ISERROR(1/VLOOKUP($R367,Capa!$A:$AJ,AU$5,0)),0,1/VLOOKUP($R367,Capa!$A:$AJ,AU$5,0))))</f>
        <v>0</v>
      </c>
      <c r="AV367" s="174" t="str">
        <f>IF(AV$6="","",IF(AV$3="Maior",iferror(VLOOKUP($R367,Capa!$A:$AJ,AV$5,0),0),IF(ISERROR(1/VLOOKUP($R367,Capa!$A:$AJ,AV$5,0)),0,1/VLOOKUP($R367,Capa!$A:$AJ,AV$5,0))))</f>
        <v/>
      </c>
      <c r="AW367" s="174" t="str">
        <f>IF(AW$6="","",IF(AW$3="Maior",iferror(VLOOKUP($R367,Capa!$A:$AJ,AW$5,0),0),IF(ISERROR(1/VLOOKUP($R367,Capa!$A:$AJ,AW$5,0)),0,1/VLOOKUP($R367,Capa!$A:$AJ,AW$5,0))))</f>
        <v/>
      </c>
      <c r="AX367" s="174" t="str">
        <f>IF(AX$6="","",IF(AX$3="Maior",iferror(VLOOKUP($R367,Capa!$A:$AJ,AX$5,0),0),IF(ISERROR(1/VLOOKUP($R367,Capa!$A:$AJ,AX$5,0)),0,1/VLOOKUP($R367,Capa!$A:$AJ,AX$5,0))))</f>
        <v/>
      </c>
      <c r="AY367" s="174" t="str">
        <f>IF(AY$6="","",IF(AY$3="Maior",iferror(VLOOKUP($R367,Capa!$A:$AJ,AY$5,0),0),IF(ISERROR(1/VLOOKUP($R367,Capa!$A:$AJ,AY$5,0)),0,1/VLOOKUP($R367,Capa!$A:$AJ,AY$5,0))))</f>
        <v/>
      </c>
      <c r="AZ367" s="174" t="str">
        <f>IF(AZ$6="","",IF(AZ$3="Maior",iferror(VLOOKUP($R367,Capa!$A:$AJ,AZ$5,0),0),IF(ISERROR(1/VLOOKUP($R367,Capa!$A:$AJ,AZ$5,0)),0,1/VLOOKUP($R367,Capa!$A:$AJ,AZ$5,0))))</f>
        <v/>
      </c>
      <c r="BA367" s="174" t="str">
        <f>IF(BA$6="","",IF(BA$3="Maior",iferror(VLOOKUP($R367,Capa!$A:$AJ,BA$5,0),0),IF(ISERROR(1/VLOOKUP($R367,Capa!$A:$AJ,BA$5,0)),0,1/VLOOKUP($R367,Capa!$A:$AJ,BA$5,0))))</f>
        <v/>
      </c>
      <c r="BB367" s="174" t="str">
        <f>IF(BB$6="","",IF(BB$3="Maior",iferror(VLOOKUP($R367,Capa!$A:$AJ,BB$5,0),0),IF(ISERROR(1/VLOOKUP($R367,Capa!$A:$AJ,BB$5,0)),0,1/VLOOKUP($R367,Capa!$A:$AJ,BB$5,0))))</f>
        <v/>
      </c>
      <c r="BC367" s="174" t="str">
        <f>IF(BC$6="","",IF(BC$3="Maior",iferror(VLOOKUP($R367,Capa!$A:$AJ,BC$5,0),0),IF(ISERROR(1/VLOOKUP($R367,Capa!$A:$AJ,BC$5,0)),0,1/VLOOKUP($R367,Capa!$A:$AJ,BC$5,0))))</f>
        <v/>
      </c>
      <c r="BD367" s="174" t="str">
        <f>IF(BD$6="","",IF(BD$3="Maior",iferror(VLOOKUP($R367,Capa!$A:$AJ,BD$5,0),0),IF(ISERROR(1/VLOOKUP($R367,Capa!$A:$AJ,BD$5,0)),0,1/VLOOKUP($R367,Capa!$A:$AJ,BD$5,0))))</f>
        <v/>
      </c>
      <c r="BE367" s="174" t="str">
        <f>IF(BE$6="","",IF(BE$3="Maior",iferror(VLOOKUP($R367,Capa!$A:$AJ,BE$5,0),0),IF(ISERROR(1/VLOOKUP($R367,Capa!$A:$AJ,BE$5,0)),0,1/VLOOKUP($R367,Capa!$A:$AJ,BE$5,0))))</f>
        <v/>
      </c>
      <c r="BF367" s="174" t="str">
        <f>IF(BF$6="","",IF(BF$3="Maior",iferror(VLOOKUP($R367,Capa!$A:$AJ,BF$5,0),0),IF(ISERROR(1/VLOOKUP($R367,Capa!$A:$AJ,BF$5,0)),0,1/VLOOKUP($R367,Capa!$A:$AJ,BF$5,0))))</f>
        <v/>
      </c>
      <c r="BG367" s="174" t="str">
        <f>IF(BG$6="","",IF(BG$3="Maior",iferror(VLOOKUP($R367,Capa!$A:$AJ,BG$5,0),0),IF(ISERROR(1/VLOOKUP($R367,Capa!$A:$AJ,BG$5,0)),0,1/VLOOKUP($R367,Capa!$A:$AJ,BG$5,0))))</f>
        <v/>
      </c>
      <c r="BH367" s="174" t="str">
        <f>IF(BH$6="","",IF(BH$3="Maior",iferror(VLOOKUP($R367,Capa!$A:$AJ,BH$5,0),0),IF(ISERROR(1/VLOOKUP($R367,Capa!$A:$AJ,BH$5,0)),0,1/VLOOKUP($R367,Capa!$A:$AJ,BH$5,0))))</f>
        <v/>
      </c>
      <c r="BI367" s="174" t="str">
        <f>IF(BI$6="","",IF(BI$3="Maior",iferror(VLOOKUP($R367,Capa!$A:$AJ,BI$5,0),0),IF(ISERROR(1/VLOOKUP($R367,Capa!$A:$AJ,BI$5,0)),0,1/VLOOKUP($R367,Capa!$A:$AJ,BI$5,0))))</f>
        <v/>
      </c>
      <c r="BJ367" s="174" t="str">
        <f>IF(BJ$6="","",IF(BJ$3="Maior",iferror(VLOOKUP($R367,Capa!$A:$AJ,BJ$5,0),0),IF(ISERROR(1/VLOOKUP($R367,Capa!$A:$AJ,BJ$5,0)),0,1/VLOOKUP($R367,Capa!$A:$AJ,BJ$5,0))))</f>
        <v/>
      </c>
      <c r="BK367" s="174" t="str">
        <f>IF(BK$6="","",IF(BK$3="Maior",iferror(VLOOKUP($R367,Capa!$A:$AJ,BK$5,0),0),IF(ISERROR(1/VLOOKUP($R367,Capa!$A:$AJ,BK$5,0)),0,1/VLOOKUP($R367,Capa!$A:$AJ,BK$5,0))))</f>
        <v/>
      </c>
      <c r="BL367" s="174" t="str">
        <f>IF(BL$6="","",IF(BL$3="Maior",iferror(VLOOKUP($R367,Capa!$A:$AJ,BL$5,0),0),IF(ISERROR(1/VLOOKUP($R367,Capa!$A:$AJ,BL$5,0)),0,1/VLOOKUP($R367,Capa!$A:$AJ,BL$5,0))))</f>
        <v/>
      </c>
      <c r="BM367" s="174" t="str">
        <f>IF(BM$6="","",IF(BM$3="Maior",iferror(VLOOKUP($R367,Capa!$A:$AJ,BM$5,0),0),IF(ISERROR(1/VLOOKUP($R367,Capa!$A:$AJ,BM$5,0)),0,1/VLOOKUP($R367,Capa!$A:$AJ,BM$5,0))))</f>
        <v/>
      </c>
      <c r="BN367" s="174" t="str">
        <f>IF(BN$6="","",IF(BN$3="Maior",iferror(VLOOKUP($R367,Capa!$A:$AJ,BN$5,0),0),IF(ISERROR(1/VLOOKUP($R367,Capa!$A:$AJ,BN$5,0)),0,1/VLOOKUP($R367,Capa!$A:$AJ,BN$5,0))))</f>
        <v/>
      </c>
      <c r="BO367" s="174" t="str">
        <f>IF(BO$6="","",IF(BO$3="Maior",iferror(VLOOKUP($R367,Capa!$A:$AJ,BO$5,0),0),IF(ISERROR(1/VLOOKUP($R367,Capa!$A:$AJ,BO$5,0)),0,1/VLOOKUP($R367,Capa!$A:$AJ,BO$5,0))))</f>
        <v/>
      </c>
      <c r="BP367" s="174" t="str">
        <f>IF(BP$6="","",IF(BP$3="Maior",iferror(VLOOKUP($R367,Capa!$A:$AJ,BP$5,0),0),IF(ISERROR(1/VLOOKUP($R367,Capa!$A:$AJ,BP$5,0)),0,1/VLOOKUP($R367,Capa!$A:$AJ,BP$5,0))))</f>
        <v/>
      </c>
      <c r="BQ367" s="174" t="str">
        <f>IF(BQ$6="","",IF(BQ$3="Maior",iferror(VLOOKUP($R367,Capa!$A:$AJ,BQ$5,0),0),IF(ISERROR(1/VLOOKUP($R367,Capa!$A:$AJ,BQ$5,0)),0,1/VLOOKUP($R367,Capa!$A:$AJ,BQ$5,0))))</f>
        <v/>
      </c>
      <c r="BR367" s="175"/>
      <c r="BS367" s="147"/>
    </row>
    <row r="368">
      <c r="G368" s="11"/>
      <c r="H368" s="8">
        <v>362.0</v>
      </c>
      <c r="I368" s="165" t="str">
        <f t="shared" si="6"/>
        <v>ECPR3</v>
      </c>
      <c r="J368" s="166" t="str">
        <f>(VLOOKUP($I368,Capa!$A:$B,2,0))</f>
        <v/>
      </c>
      <c r="K368" s="167" t="str">
        <f>VLOOKUP(left(I368,4),Setor!A:D,3,0)&amp;" | "&amp;VLOOKUP(left(I368,4),Setor!A:D,4,0)</f>
        <v>Consumo Cíclico | Tecidos, Vestuário e Calçados</v>
      </c>
      <c r="L368" s="168" t="str">
        <f>(VLOOKUP($I368,Capa!$A:$F,6,0))</f>
        <v/>
      </c>
      <c r="M368" s="168">
        <f t="shared" si="7"/>
        <v>0</v>
      </c>
      <c r="N368" s="11" t="str">
        <f>(VLOOKUP($I368,Capa!$A:$H,7,0))</f>
        <v/>
      </c>
      <c r="O368" s="169" t="str">
        <f>(VLOOKUP($I368,Capa!$A:$H,8,0))</f>
        <v/>
      </c>
      <c r="P368" s="11" t="str">
        <f>(VLOOKUP($I368,Capa!$A:$J,10,0))</f>
        <v/>
      </c>
      <c r="Q368" s="169" t="str">
        <f>(VLOOKUP($I368,Capa!$A:$K,11,0))</f>
        <v/>
      </c>
      <c r="R368" s="45" t="str">
        <f>'Dados StatusInvest'!A363</f>
        <v>LJQQ3</v>
      </c>
      <c r="S368" s="170">
        <f t="shared" si="234"/>
        <v>719.0719</v>
      </c>
      <c r="T368" s="171">
        <f>VLOOKUP(R368,'Dados StatusInvest'!A:Z,26,0)</f>
        <v>7529668</v>
      </c>
      <c r="U368" s="172">
        <f t="shared" ref="U368:AS368" si="371">IF(AT368="","", RANK(AT368,AT$7:AT$626,0)+RANK(AT368,AT$7:AT$626,0)/10000)</f>
        <v>452.0452</v>
      </c>
      <c r="V368" s="172">
        <f t="shared" si="371"/>
        <v>267.0267</v>
      </c>
      <c r="W368" s="172" t="str">
        <f t="shared" si="371"/>
        <v/>
      </c>
      <c r="X368" s="172" t="str">
        <f t="shared" si="371"/>
        <v/>
      </c>
      <c r="Y368" s="172" t="str">
        <f t="shared" si="371"/>
        <v/>
      </c>
      <c r="Z368" s="172" t="str">
        <f t="shared" si="371"/>
        <v/>
      </c>
      <c r="AA368" s="172" t="str">
        <f t="shared" si="371"/>
        <v/>
      </c>
      <c r="AB368" s="172" t="str">
        <f t="shared" si="371"/>
        <v/>
      </c>
      <c r="AC368" s="172" t="str">
        <f t="shared" si="371"/>
        <v/>
      </c>
      <c r="AD368" s="172" t="str">
        <f t="shared" si="371"/>
        <v/>
      </c>
      <c r="AE368" s="172" t="str">
        <f t="shared" si="371"/>
        <v/>
      </c>
      <c r="AF368" s="172" t="str">
        <f t="shared" si="371"/>
        <v/>
      </c>
      <c r="AG368" s="172" t="str">
        <f t="shared" si="371"/>
        <v/>
      </c>
      <c r="AH368" s="172" t="str">
        <f t="shared" si="371"/>
        <v/>
      </c>
      <c r="AI368" s="172" t="str">
        <f t="shared" si="371"/>
        <v/>
      </c>
      <c r="AJ368" s="172" t="str">
        <f t="shared" si="371"/>
        <v/>
      </c>
      <c r="AK368" s="172" t="str">
        <f t="shared" si="371"/>
        <v/>
      </c>
      <c r="AL368" s="172" t="str">
        <f t="shared" si="371"/>
        <v/>
      </c>
      <c r="AM368" s="172" t="str">
        <f t="shared" si="371"/>
        <v/>
      </c>
      <c r="AN368" s="172" t="str">
        <f t="shared" si="371"/>
        <v/>
      </c>
      <c r="AO368" s="172" t="str">
        <f t="shared" si="371"/>
        <v/>
      </c>
      <c r="AP368" s="172" t="str">
        <f t="shared" si="371"/>
        <v/>
      </c>
      <c r="AQ368" s="172" t="str">
        <f t="shared" si="371"/>
        <v/>
      </c>
      <c r="AR368" s="172" t="str">
        <f t="shared" si="371"/>
        <v/>
      </c>
      <c r="AS368" s="172" t="str">
        <f t="shared" si="371"/>
        <v/>
      </c>
      <c r="AT368" s="173">
        <f>IF(AT$6="","",IF(AT$3="Maior",iferror(VLOOKUP($R368,Capa!$A:$AJ,AT$5,0),0),IF(ISERROR(1/VLOOKUP($R368,Capa!$A:$AJ,AT$5,0)),0,1/VLOOKUP($R368,Capa!$A:$AJ,AT$5,0))))</f>
        <v>-2.092050209</v>
      </c>
      <c r="AU368" s="174">
        <f>IF(AU$6="","",IF(AU$3="Maior",iferror(VLOOKUP($R368,Capa!$A:$AJ,AU$5,0),0),IF(ISERROR(1/VLOOKUP($R368,Capa!$A:$AJ,AU$5,0)),0,1/VLOOKUP($R368,Capa!$A:$AJ,AU$5,0))))</f>
        <v>0</v>
      </c>
      <c r="AV368" s="174" t="str">
        <f>IF(AV$6="","",IF(AV$3="Maior",iferror(VLOOKUP($R368,Capa!$A:$AJ,AV$5,0),0),IF(ISERROR(1/VLOOKUP($R368,Capa!$A:$AJ,AV$5,0)),0,1/VLOOKUP($R368,Capa!$A:$AJ,AV$5,0))))</f>
        <v/>
      </c>
      <c r="AW368" s="174" t="str">
        <f>IF(AW$6="","",IF(AW$3="Maior",iferror(VLOOKUP($R368,Capa!$A:$AJ,AW$5,0),0),IF(ISERROR(1/VLOOKUP($R368,Capa!$A:$AJ,AW$5,0)),0,1/VLOOKUP($R368,Capa!$A:$AJ,AW$5,0))))</f>
        <v/>
      </c>
      <c r="AX368" s="174" t="str">
        <f>IF(AX$6="","",IF(AX$3="Maior",iferror(VLOOKUP($R368,Capa!$A:$AJ,AX$5,0),0),IF(ISERROR(1/VLOOKUP($R368,Capa!$A:$AJ,AX$5,0)),0,1/VLOOKUP($R368,Capa!$A:$AJ,AX$5,0))))</f>
        <v/>
      </c>
      <c r="AY368" s="174" t="str">
        <f>IF(AY$6="","",IF(AY$3="Maior",iferror(VLOOKUP($R368,Capa!$A:$AJ,AY$5,0),0),IF(ISERROR(1/VLOOKUP($R368,Capa!$A:$AJ,AY$5,0)),0,1/VLOOKUP($R368,Capa!$A:$AJ,AY$5,0))))</f>
        <v/>
      </c>
      <c r="AZ368" s="174" t="str">
        <f>IF(AZ$6="","",IF(AZ$3="Maior",iferror(VLOOKUP($R368,Capa!$A:$AJ,AZ$5,0),0),IF(ISERROR(1/VLOOKUP($R368,Capa!$A:$AJ,AZ$5,0)),0,1/VLOOKUP($R368,Capa!$A:$AJ,AZ$5,0))))</f>
        <v/>
      </c>
      <c r="BA368" s="174" t="str">
        <f>IF(BA$6="","",IF(BA$3="Maior",iferror(VLOOKUP($R368,Capa!$A:$AJ,BA$5,0),0),IF(ISERROR(1/VLOOKUP($R368,Capa!$A:$AJ,BA$5,0)),0,1/VLOOKUP($R368,Capa!$A:$AJ,BA$5,0))))</f>
        <v/>
      </c>
      <c r="BB368" s="174" t="str">
        <f>IF(BB$6="","",IF(BB$3="Maior",iferror(VLOOKUP($R368,Capa!$A:$AJ,BB$5,0),0),IF(ISERROR(1/VLOOKUP($R368,Capa!$A:$AJ,BB$5,0)),0,1/VLOOKUP($R368,Capa!$A:$AJ,BB$5,0))))</f>
        <v/>
      </c>
      <c r="BC368" s="174" t="str">
        <f>IF(BC$6="","",IF(BC$3="Maior",iferror(VLOOKUP($R368,Capa!$A:$AJ,BC$5,0),0),IF(ISERROR(1/VLOOKUP($R368,Capa!$A:$AJ,BC$5,0)),0,1/VLOOKUP($R368,Capa!$A:$AJ,BC$5,0))))</f>
        <v/>
      </c>
      <c r="BD368" s="174" t="str">
        <f>IF(BD$6="","",IF(BD$3="Maior",iferror(VLOOKUP($R368,Capa!$A:$AJ,BD$5,0),0),IF(ISERROR(1/VLOOKUP($R368,Capa!$A:$AJ,BD$5,0)),0,1/VLOOKUP($R368,Capa!$A:$AJ,BD$5,0))))</f>
        <v/>
      </c>
      <c r="BE368" s="174" t="str">
        <f>IF(BE$6="","",IF(BE$3="Maior",iferror(VLOOKUP($R368,Capa!$A:$AJ,BE$5,0),0),IF(ISERROR(1/VLOOKUP($R368,Capa!$A:$AJ,BE$5,0)),0,1/VLOOKUP($R368,Capa!$A:$AJ,BE$5,0))))</f>
        <v/>
      </c>
      <c r="BF368" s="174" t="str">
        <f>IF(BF$6="","",IF(BF$3="Maior",iferror(VLOOKUP($R368,Capa!$A:$AJ,BF$5,0),0),IF(ISERROR(1/VLOOKUP($R368,Capa!$A:$AJ,BF$5,0)),0,1/VLOOKUP($R368,Capa!$A:$AJ,BF$5,0))))</f>
        <v/>
      </c>
      <c r="BG368" s="174" t="str">
        <f>IF(BG$6="","",IF(BG$3="Maior",iferror(VLOOKUP($R368,Capa!$A:$AJ,BG$5,0),0),IF(ISERROR(1/VLOOKUP($R368,Capa!$A:$AJ,BG$5,0)),0,1/VLOOKUP($R368,Capa!$A:$AJ,BG$5,0))))</f>
        <v/>
      </c>
      <c r="BH368" s="174" t="str">
        <f>IF(BH$6="","",IF(BH$3="Maior",iferror(VLOOKUP($R368,Capa!$A:$AJ,BH$5,0),0),IF(ISERROR(1/VLOOKUP($R368,Capa!$A:$AJ,BH$5,0)),0,1/VLOOKUP($R368,Capa!$A:$AJ,BH$5,0))))</f>
        <v/>
      </c>
      <c r="BI368" s="174" t="str">
        <f>IF(BI$6="","",IF(BI$3="Maior",iferror(VLOOKUP($R368,Capa!$A:$AJ,BI$5,0),0),IF(ISERROR(1/VLOOKUP($R368,Capa!$A:$AJ,BI$5,0)),0,1/VLOOKUP($R368,Capa!$A:$AJ,BI$5,0))))</f>
        <v/>
      </c>
      <c r="BJ368" s="174" t="str">
        <f>IF(BJ$6="","",IF(BJ$3="Maior",iferror(VLOOKUP($R368,Capa!$A:$AJ,BJ$5,0),0),IF(ISERROR(1/VLOOKUP($R368,Capa!$A:$AJ,BJ$5,0)),0,1/VLOOKUP($R368,Capa!$A:$AJ,BJ$5,0))))</f>
        <v/>
      </c>
      <c r="BK368" s="174" t="str">
        <f>IF(BK$6="","",IF(BK$3="Maior",iferror(VLOOKUP($R368,Capa!$A:$AJ,BK$5,0),0),IF(ISERROR(1/VLOOKUP($R368,Capa!$A:$AJ,BK$5,0)),0,1/VLOOKUP($R368,Capa!$A:$AJ,BK$5,0))))</f>
        <v/>
      </c>
      <c r="BL368" s="174" t="str">
        <f>IF(BL$6="","",IF(BL$3="Maior",iferror(VLOOKUP($R368,Capa!$A:$AJ,BL$5,0),0),IF(ISERROR(1/VLOOKUP($R368,Capa!$A:$AJ,BL$5,0)),0,1/VLOOKUP($R368,Capa!$A:$AJ,BL$5,0))))</f>
        <v/>
      </c>
      <c r="BM368" s="174" t="str">
        <f>IF(BM$6="","",IF(BM$3="Maior",iferror(VLOOKUP($R368,Capa!$A:$AJ,BM$5,0),0),IF(ISERROR(1/VLOOKUP($R368,Capa!$A:$AJ,BM$5,0)),0,1/VLOOKUP($R368,Capa!$A:$AJ,BM$5,0))))</f>
        <v/>
      </c>
      <c r="BN368" s="174" t="str">
        <f>IF(BN$6="","",IF(BN$3="Maior",iferror(VLOOKUP($R368,Capa!$A:$AJ,BN$5,0),0),IF(ISERROR(1/VLOOKUP($R368,Capa!$A:$AJ,BN$5,0)),0,1/VLOOKUP($R368,Capa!$A:$AJ,BN$5,0))))</f>
        <v/>
      </c>
      <c r="BO368" s="174" t="str">
        <f>IF(BO$6="","",IF(BO$3="Maior",iferror(VLOOKUP($R368,Capa!$A:$AJ,BO$5,0),0),IF(ISERROR(1/VLOOKUP($R368,Capa!$A:$AJ,BO$5,0)),0,1/VLOOKUP($R368,Capa!$A:$AJ,BO$5,0))))</f>
        <v/>
      </c>
      <c r="BP368" s="174" t="str">
        <f>IF(BP$6="","",IF(BP$3="Maior",iferror(VLOOKUP($R368,Capa!$A:$AJ,BP$5,0),0),IF(ISERROR(1/VLOOKUP($R368,Capa!$A:$AJ,BP$5,0)),0,1/VLOOKUP($R368,Capa!$A:$AJ,BP$5,0))))</f>
        <v/>
      </c>
      <c r="BQ368" s="174" t="str">
        <f>IF(BQ$6="","",IF(BQ$3="Maior",iferror(VLOOKUP($R368,Capa!$A:$AJ,BQ$5,0),0),IF(ISERROR(1/VLOOKUP($R368,Capa!$A:$AJ,BQ$5,0)),0,1/VLOOKUP($R368,Capa!$A:$AJ,BQ$5,0))))</f>
        <v/>
      </c>
      <c r="BR368" s="175"/>
      <c r="BS368" s="147"/>
    </row>
    <row r="369">
      <c r="G369" s="11"/>
      <c r="H369" s="8">
        <v>363.0</v>
      </c>
      <c r="I369" s="165" t="str">
        <f t="shared" si="6"/>
        <v>PPLA11</v>
      </c>
      <c r="J369" s="166" t="str">
        <f>(VLOOKUP($I369,Capa!$A:$B,2,0))</f>
        <v>PPLA Participations Ltd Unit</v>
      </c>
      <c r="K369" s="167" t="str">
        <f>VLOOKUP(left(I369,4),Setor!A:D,3,0)&amp;" | "&amp;VLOOKUP(left(I369,4),Setor!A:D,4,0)</f>
        <v>Financeiro | Serviços Financeiros Diversos</v>
      </c>
      <c r="L369" s="168">
        <f>(VLOOKUP($I369,Capa!$A:$F,6,0))</f>
        <v>0.47</v>
      </c>
      <c r="M369" s="168">
        <f t="shared" si="7"/>
        <v>1872.24</v>
      </c>
      <c r="N369" s="11" t="str">
        <f>IFERROR(__xludf.DUMMYFUNCTION("(VLOOKUP($I369,Capa!$A:$H,7,0))"),"")</f>
        <v/>
      </c>
      <c r="O369" s="169">
        <f>(VLOOKUP($I369,Capa!$A:$H,8,0))</f>
        <v>-0.06</v>
      </c>
      <c r="P369" s="11" t="str">
        <f>IFERROR(__xludf.DUMMYFUNCTION("(VLOOKUP($I369,Capa!$A:$J,10,0))"),"")</f>
        <v/>
      </c>
      <c r="Q369" s="169">
        <f>(VLOOKUP($I369,Capa!$A:$K,11,0))</f>
        <v>-0.5982905983</v>
      </c>
      <c r="R369" s="45" t="str">
        <f>'Dados StatusInvest'!A364</f>
        <v>LOGG3</v>
      </c>
      <c r="S369" s="170">
        <f t="shared" si="234"/>
        <v>529.0529</v>
      </c>
      <c r="T369" s="171">
        <f>VLOOKUP(R369,'Dados StatusInvest'!A:Z,26,0)</f>
        <v>11479625</v>
      </c>
      <c r="U369" s="172">
        <f t="shared" ref="U369:AS369" si="372">IF(AT369="","", RANK(AT369,AT$7:AT$626,0)+RANK(AT369,AT$7:AT$626,0)/10000)</f>
        <v>460.046</v>
      </c>
      <c r="V369" s="172">
        <f t="shared" si="372"/>
        <v>69.0069</v>
      </c>
      <c r="W369" s="172" t="str">
        <f t="shared" si="372"/>
        <v/>
      </c>
      <c r="X369" s="172" t="str">
        <f t="shared" si="372"/>
        <v/>
      </c>
      <c r="Y369" s="172" t="str">
        <f t="shared" si="372"/>
        <v/>
      </c>
      <c r="Z369" s="172" t="str">
        <f t="shared" si="372"/>
        <v/>
      </c>
      <c r="AA369" s="172" t="str">
        <f t="shared" si="372"/>
        <v/>
      </c>
      <c r="AB369" s="172" t="str">
        <f t="shared" si="372"/>
        <v/>
      </c>
      <c r="AC369" s="172" t="str">
        <f t="shared" si="372"/>
        <v/>
      </c>
      <c r="AD369" s="172" t="str">
        <f t="shared" si="372"/>
        <v/>
      </c>
      <c r="AE369" s="172" t="str">
        <f t="shared" si="372"/>
        <v/>
      </c>
      <c r="AF369" s="172" t="str">
        <f t="shared" si="372"/>
        <v/>
      </c>
      <c r="AG369" s="172" t="str">
        <f t="shared" si="372"/>
        <v/>
      </c>
      <c r="AH369" s="172" t="str">
        <f t="shared" si="372"/>
        <v/>
      </c>
      <c r="AI369" s="172" t="str">
        <f t="shared" si="372"/>
        <v/>
      </c>
      <c r="AJ369" s="172" t="str">
        <f t="shared" si="372"/>
        <v/>
      </c>
      <c r="AK369" s="172" t="str">
        <f t="shared" si="372"/>
        <v/>
      </c>
      <c r="AL369" s="172" t="str">
        <f t="shared" si="372"/>
        <v/>
      </c>
      <c r="AM369" s="172" t="str">
        <f t="shared" si="372"/>
        <v/>
      </c>
      <c r="AN369" s="172" t="str">
        <f t="shared" si="372"/>
        <v/>
      </c>
      <c r="AO369" s="172" t="str">
        <f t="shared" si="372"/>
        <v/>
      </c>
      <c r="AP369" s="172" t="str">
        <f t="shared" si="372"/>
        <v/>
      </c>
      <c r="AQ369" s="172" t="str">
        <f t="shared" si="372"/>
        <v/>
      </c>
      <c r="AR369" s="172" t="str">
        <f t="shared" si="372"/>
        <v/>
      </c>
      <c r="AS369" s="172" t="str">
        <f t="shared" si="372"/>
        <v/>
      </c>
      <c r="AT369" s="173">
        <f>IF(AT$6="","",IF(AT$3="Maior",iferror(VLOOKUP($R369,Capa!$A:$AJ,AT$5,0),0),IF(ISERROR(1/VLOOKUP($R369,Capa!$A:$AJ,AT$5,0)),0,1/VLOOKUP($R369,Capa!$A:$AJ,AT$5,0))))</f>
        <v>-2.209316493</v>
      </c>
      <c r="AU369" s="174">
        <f>IF(AU$6="","",IF(AU$3="Maior",iferror(VLOOKUP($R369,Capa!$A:$AJ,AU$5,0),0),IF(ISERROR(1/VLOOKUP($R369,Capa!$A:$AJ,AU$5,0)),0,1/VLOOKUP($R369,Capa!$A:$AJ,AU$5,0))))</f>
        <v>33.6</v>
      </c>
      <c r="AV369" s="174" t="str">
        <f>IF(AV$6="","",IF(AV$3="Maior",iferror(VLOOKUP($R369,Capa!$A:$AJ,AV$5,0),0),IF(ISERROR(1/VLOOKUP($R369,Capa!$A:$AJ,AV$5,0)),0,1/VLOOKUP($R369,Capa!$A:$AJ,AV$5,0))))</f>
        <v/>
      </c>
      <c r="AW369" s="174" t="str">
        <f>IF(AW$6="","",IF(AW$3="Maior",iferror(VLOOKUP($R369,Capa!$A:$AJ,AW$5,0),0),IF(ISERROR(1/VLOOKUP($R369,Capa!$A:$AJ,AW$5,0)),0,1/VLOOKUP($R369,Capa!$A:$AJ,AW$5,0))))</f>
        <v/>
      </c>
      <c r="AX369" s="174" t="str">
        <f>IF(AX$6="","",IF(AX$3="Maior",iferror(VLOOKUP($R369,Capa!$A:$AJ,AX$5,0),0),IF(ISERROR(1/VLOOKUP($R369,Capa!$A:$AJ,AX$5,0)),0,1/VLOOKUP($R369,Capa!$A:$AJ,AX$5,0))))</f>
        <v/>
      </c>
      <c r="AY369" s="174" t="str">
        <f>IF(AY$6="","",IF(AY$3="Maior",iferror(VLOOKUP($R369,Capa!$A:$AJ,AY$5,0),0),IF(ISERROR(1/VLOOKUP($R369,Capa!$A:$AJ,AY$5,0)),0,1/VLOOKUP($R369,Capa!$A:$AJ,AY$5,0))))</f>
        <v/>
      </c>
      <c r="AZ369" s="174" t="str">
        <f>IF(AZ$6="","",IF(AZ$3="Maior",iferror(VLOOKUP($R369,Capa!$A:$AJ,AZ$5,0),0),IF(ISERROR(1/VLOOKUP($R369,Capa!$A:$AJ,AZ$5,0)),0,1/VLOOKUP($R369,Capa!$A:$AJ,AZ$5,0))))</f>
        <v/>
      </c>
      <c r="BA369" s="174" t="str">
        <f>IF(BA$6="","",IF(BA$3="Maior",iferror(VLOOKUP($R369,Capa!$A:$AJ,BA$5,0),0),IF(ISERROR(1/VLOOKUP($R369,Capa!$A:$AJ,BA$5,0)),0,1/VLOOKUP($R369,Capa!$A:$AJ,BA$5,0))))</f>
        <v/>
      </c>
      <c r="BB369" s="174" t="str">
        <f>IF(BB$6="","",IF(BB$3="Maior",iferror(VLOOKUP($R369,Capa!$A:$AJ,BB$5,0),0),IF(ISERROR(1/VLOOKUP($R369,Capa!$A:$AJ,BB$5,0)),0,1/VLOOKUP($R369,Capa!$A:$AJ,BB$5,0))))</f>
        <v/>
      </c>
      <c r="BC369" s="174" t="str">
        <f>IF(BC$6="","",IF(BC$3="Maior",iferror(VLOOKUP($R369,Capa!$A:$AJ,BC$5,0),0),IF(ISERROR(1/VLOOKUP($R369,Capa!$A:$AJ,BC$5,0)),0,1/VLOOKUP($R369,Capa!$A:$AJ,BC$5,0))))</f>
        <v/>
      </c>
      <c r="BD369" s="174" t="str">
        <f>IF(BD$6="","",IF(BD$3="Maior",iferror(VLOOKUP($R369,Capa!$A:$AJ,BD$5,0),0),IF(ISERROR(1/VLOOKUP($R369,Capa!$A:$AJ,BD$5,0)),0,1/VLOOKUP($R369,Capa!$A:$AJ,BD$5,0))))</f>
        <v/>
      </c>
      <c r="BE369" s="174" t="str">
        <f>IF(BE$6="","",IF(BE$3="Maior",iferror(VLOOKUP($R369,Capa!$A:$AJ,BE$5,0),0),IF(ISERROR(1/VLOOKUP($R369,Capa!$A:$AJ,BE$5,0)),0,1/VLOOKUP($R369,Capa!$A:$AJ,BE$5,0))))</f>
        <v/>
      </c>
      <c r="BF369" s="174" t="str">
        <f>IF(BF$6="","",IF(BF$3="Maior",iferror(VLOOKUP($R369,Capa!$A:$AJ,BF$5,0),0),IF(ISERROR(1/VLOOKUP($R369,Capa!$A:$AJ,BF$5,0)),0,1/VLOOKUP($R369,Capa!$A:$AJ,BF$5,0))))</f>
        <v/>
      </c>
      <c r="BG369" s="174" t="str">
        <f>IF(BG$6="","",IF(BG$3="Maior",iferror(VLOOKUP($R369,Capa!$A:$AJ,BG$5,0),0),IF(ISERROR(1/VLOOKUP($R369,Capa!$A:$AJ,BG$5,0)),0,1/VLOOKUP($R369,Capa!$A:$AJ,BG$5,0))))</f>
        <v/>
      </c>
      <c r="BH369" s="174" t="str">
        <f>IF(BH$6="","",IF(BH$3="Maior",iferror(VLOOKUP($R369,Capa!$A:$AJ,BH$5,0),0),IF(ISERROR(1/VLOOKUP($R369,Capa!$A:$AJ,BH$5,0)),0,1/VLOOKUP($R369,Capa!$A:$AJ,BH$5,0))))</f>
        <v/>
      </c>
      <c r="BI369" s="174" t="str">
        <f>IF(BI$6="","",IF(BI$3="Maior",iferror(VLOOKUP($R369,Capa!$A:$AJ,BI$5,0),0),IF(ISERROR(1/VLOOKUP($R369,Capa!$A:$AJ,BI$5,0)),0,1/VLOOKUP($R369,Capa!$A:$AJ,BI$5,0))))</f>
        <v/>
      </c>
      <c r="BJ369" s="174" t="str">
        <f>IF(BJ$6="","",IF(BJ$3="Maior",iferror(VLOOKUP($R369,Capa!$A:$AJ,BJ$5,0),0),IF(ISERROR(1/VLOOKUP($R369,Capa!$A:$AJ,BJ$5,0)),0,1/VLOOKUP($R369,Capa!$A:$AJ,BJ$5,0))))</f>
        <v/>
      </c>
      <c r="BK369" s="174" t="str">
        <f>IF(BK$6="","",IF(BK$3="Maior",iferror(VLOOKUP($R369,Capa!$A:$AJ,BK$5,0),0),IF(ISERROR(1/VLOOKUP($R369,Capa!$A:$AJ,BK$5,0)),0,1/VLOOKUP($R369,Capa!$A:$AJ,BK$5,0))))</f>
        <v/>
      </c>
      <c r="BL369" s="174" t="str">
        <f>IF(BL$6="","",IF(BL$3="Maior",iferror(VLOOKUP($R369,Capa!$A:$AJ,BL$5,0),0),IF(ISERROR(1/VLOOKUP($R369,Capa!$A:$AJ,BL$5,0)),0,1/VLOOKUP($R369,Capa!$A:$AJ,BL$5,0))))</f>
        <v/>
      </c>
      <c r="BM369" s="174" t="str">
        <f>IF(BM$6="","",IF(BM$3="Maior",iferror(VLOOKUP($R369,Capa!$A:$AJ,BM$5,0),0),IF(ISERROR(1/VLOOKUP($R369,Capa!$A:$AJ,BM$5,0)),0,1/VLOOKUP($R369,Capa!$A:$AJ,BM$5,0))))</f>
        <v/>
      </c>
      <c r="BN369" s="174" t="str">
        <f>IF(BN$6="","",IF(BN$3="Maior",iferror(VLOOKUP($R369,Capa!$A:$AJ,BN$5,0),0),IF(ISERROR(1/VLOOKUP($R369,Capa!$A:$AJ,BN$5,0)),0,1/VLOOKUP($R369,Capa!$A:$AJ,BN$5,0))))</f>
        <v/>
      </c>
      <c r="BO369" s="174" t="str">
        <f>IF(BO$6="","",IF(BO$3="Maior",iferror(VLOOKUP($R369,Capa!$A:$AJ,BO$5,0),0),IF(ISERROR(1/VLOOKUP($R369,Capa!$A:$AJ,BO$5,0)),0,1/VLOOKUP($R369,Capa!$A:$AJ,BO$5,0))))</f>
        <v/>
      </c>
      <c r="BP369" s="174" t="str">
        <f>IF(BP$6="","",IF(BP$3="Maior",iferror(VLOOKUP($R369,Capa!$A:$AJ,BP$5,0),0),IF(ISERROR(1/VLOOKUP($R369,Capa!$A:$AJ,BP$5,0)),0,1/VLOOKUP($R369,Capa!$A:$AJ,BP$5,0))))</f>
        <v/>
      </c>
      <c r="BQ369" s="174" t="str">
        <f>IF(BQ$6="","",IF(BQ$3="Maior",iferror(VLOOKUP($R369,Capa!$A:$AJ,BQ$5,0),0),IF(ISERROR(1/VLOOKUP($R369,Capa!$A:$AJ,BQ$5,0)),0,1/VLOOKUP($R369,Capa!$A:$AJ,BQ$5,0))))</f>
        <v/>
      </c>
      <c r="BR369" s="175"/>
      <c r="BS369" s="147"/>
    </row>
    <row r="370">
      <c r="G370" s="11"/>
      <c r="H370" s="8">
        <v>364.0</v>
      </c>
      <c r="I370" s="165" t="str">
        <f t="shared" si="6"/>
        <v>DTCY3</v>
      </c>
      <c r="J370" s="166" t="str">
        <f>(VLOOKUP($I370,Capa!$A:$B,2,0))</f>
        <v>Dtcom Direct to Company S/A</v>
      </c>
      <c r="K370" s="167" t="str">
        <f>VLOOKUP(left(I370,4),Setor!A:D,3,0)&amp;" | "&amp;VLOOKUP(left(I370,4),Setor!A:D,4,0)</f>
        <v>Bens Industriais | Serviços Diversos</v>
      </c>
      <c r="L370" s="168">
        <f>(VLOOKUP($I370,Capa!$A:$F,6,0))</f>
        <v>2.5</v>
      </c>
      <c r="M370" s="168">
        <f t="shared" si="7"/>
        <v>1955.13</v>
      </c>
      <c r="N370" s="11" t="str">
        <f>IFERROR(__xludf.DUMMYFUNCTION("(VLOOKUP($I370,Capa!$A:$H,7,0))"),"")</f>
        <v/>
      </c>
      <c r="O370" s="169" t="str">
        <f>(VLOOKUP($I370,Capa!$A:$H,8,0))</f>
        <v/>
      </c>
      <c r="P370" s="11" t="str">
        <f>IFERROR(__xludf.DUMMYFUNCTION("(VLOOKUP($I370,Capa!$A:$J,10,0))"),"")</f>
        <v/>
      </c>
      <c r="Q370" s="169">
        <f>(VLOOKUP($I370,Capa!$A:$K,11,0))</f>
        <v>-0.3975903614</v>
      </c>
      <c r="R370" s="45" t="str">
        <f>'Dados StatusInvest'!A365</f>
        <v>LOGN3</v>
      </c>
      <c r="S370" s="170">
        <f t="shared" si="234"/>
        <v>339.0339</v>
      </c>
      <c r="T370" s="171">
        <f>VLOOKUP(R370,'Dados StatusInvest'!A:Z,26,0)</f>
        <v>1222356</v>
      </c>
      <c r="U370" s="172">
        <f t="shared" ref="U370:AS370" si="373">IF(AT370="","", RANK(AT370,AT$7:AT$626,0)+RANK(AT370,AT$7:AT$626,0)/10000)</f>
        <v>324.0324</v>
      </c>
      <c r="V370" s="172">
        <f t="shared" si="373"/>
        <v>15.0015</v>
      </c>
      <c r="W370" s="172" t="str">
        <f t="shared" si="373"/>
        <v/>
      </c>
      <c r="X370" s="172" t="str">
        <f t="shared" si="373"/>
        <v/>
      </c>
      <c r="Y370" s="172" t="str">
        <f t="shared" si="373"/>
        <v/>
      </c>
      <c r="Z370" s="172" t="str">
        <f t="shared" si="373"/>
        <v/>
      </c>
      <c r="AA370" s="172" t="str">
        <f t="shared" si="373"/>
        <v/>
      </c>
      <c r="AB370" s="172" t="str">
        <f t="shared" si="373"/>
        <v/>
      </c>
      <c r="AC370" s="172" t="str">
        <f t="shared" si="373"/>
        <v/>
      </c>
      <c r="AD370" s="172" t="str">
        <f t="shared" si="373"/>
        <v/>
      </c>
      <c r="AE370" s="172" t="str">
        <f t="shared" si="373"/>
        <v/>
      </c>
      <c r="AF370" s="172" t="str">
        <f t="shared" si="373"/>
        <v/>
      </c>
      <c r="AG370" s="172" t="str">
        <f t="shared" si="373"/>
        <v/>
      </c>
      <c r="AH370" s="172" t="str">
        <f t="shared" si="373"/>
        <v/>
      </c>
      <c r="AI370" s="172" t="str">
        <f t="shared" si="373"/>
        <v/>
      </c>
      <c r="AJ370" s="172" t="str">
        <f t="shared" si="373"/>
        <v/>
      </c>
      <c r="AK370" s="172" t="str">
        <f t="shared" si="373"/>
        <v/>
      </c>
      <c r="AL370" s="172" t="str">
        <f t="shared" si="373"/>
        <v/>
      </c>
      <c r="AM370" s="172" t="str">
        <f t="shared" si="373"/>
        <v/>
      </c>
      <c r="AN370" s="172" t="str">
        <f t="shared" si="373"/>
        <v/>
      </c>
      <c r="AO370" s="172" t="str">
        <f t="shared" si="373"/>
        <v/>
      </c>
      <c r="AP370" s="172" t="str">
        <f t="shared" si="373"/>
        <v/>
      </c>
      <c r="AQ370" s="172" t="str">
        <f t="shared" si="373"/>
        <v/>
      </c>
      <c r="AR370" s="172" t="str">
        <f t="shared" si="373"/>
        <v/>
      </c>
      <c r="AS370" s="172" t="str">
        <f t="shared" si="373"/>
        <v/>
      </c>
      <c r="AT370" s="173">
        <f>IF(AT$6="","",IF(AT$3="Maior",iferror(VLOOKUP($R370,Capa!$A:$AJ,AT$5,0),0),IF(ISERROR(1/VLOOKUP($R370,Capa!$A:$AJ,AT$5,0)),0,1/VLOOKUP($R370,Capa!$A:$AJ,AT$5,0))))</f>
        <v>-0.8333333333</v>
      </c>
      <c r="AU370" s="174">
        <f>IF(AU$6="","",IF(AU$3="Maior",iferror(VLOOKUP($R370,Capa!$A:$AJ,AU$5,0),0),IF(ISERROR(1/VLOOKUP($R370,Capa!$A:$AJ,AU$5,0)),0,1/VLOOKUP($R370,Capa!$A:$AJ,AU$5,0))))</f>
        <v>61.36</v>
      </c>
      <c r="AV370" s="174" t="str">
        <f>IF(AV$6="","",IF(AV$3="Maior",iferror(VLOOKUP($R370,Capa!$A:$AJ,AV$5,0),0),IF(ISERROR(1/VLOOKUP($R370,Capa!$A:$AJ,AV$5,0)),0,1/VLOOKUP($R370,Capa!$A:$AJ,AV$5,0))))</f>
        <v/>
      </c>
      <c r="AW370" s="174" t="str">
        <f>IF(AW$6="","",IF(AW$3="Maior",iferror(VLOOKUP($R370,Capa!$A:$AJ,AW$5,0),0),IF(ISERROR(1/VLOOKUP($R370,Capa!$A:$AJ,AW$5,0)),0,1/VLOOKUP($R370,Capa!$A:$AJ,AW$5,0))))</f>
        <v/>
      </c>
      <c r="AX370" s="174" t="str">
        <f>IF(AX$6="","",IF(AX$3="Maior",iferror(VLOOKUP($R370,Capa!$A:$AJ,AX$5,0),0),IF(ISERROR(1/VLOOKUP($R370,Capa!$A:$AJ,AX$5,0)),0,1/VLOOKUP($R370,Capa!$A:$AJ,AX$5,0))))</f>
        <v/>
      </c>
      <c r="AY370" s="174" t="str">
        <f>IF(AY$6="","",IF(AY$3="Maior",iferror(VLOOKUP($R370,Capa!$A:$AJ,AY$5,0),0),IF(ISERROR(1/VLOOKUP($R370,Capa!$A:$AJ,AY$5,0)),0,1/VLOOKUP($R370,Capa!$A:$AJ,AY$5,0))))</f>
        <v/>
      </c>
      <c r="AZ370" s="174" t="str">
        <f>IF(AZ$6="","",IF(AZ$3="Maior",iferror(VLOOKUP($R370,Capa!$A:$AJ,AZ$5,0),0),IF(ISERROR(1/VLOOKUP($R370,Capa!$A:$AJ,AZ$5,0)),0,1/VLOOKUP($R370,Capa!$A:$AJ,AZ$5,0))))</f>
        <v/>
      </c>
      <c r="BA370" s="174" t="str">
        <f>IF(BA$6="","",IF(BA$3="Maior",iferror(VLOOKUP($R370,Capa!$A:$AJ,BA$5,0),0),IF(ISERROR(1/VLOOKUP($R370,Capa!$A:$AJ,BA$5,0)),0,1/VLOOKUP($R370,Capa!$A:$AJ,BA$5,0))))</f>
        <v/>
      </c>
      <c r="BB370" s="174" t="str">
        <f>IF(BB$6="","",IF(BB$3="Maior",iferror(VLOOKUP($R370,Capa!$A:$AJ,BB$5,0),0),IF(ISERROR(1/VLOOKUP($R370,Capa!$A:$AJ,BB$5,0)),0,1/VLOOKUP($R370,Capa!$A:$AJ,BB$5,0))))</f>
        <v/>
      </c>
      <c r="BC370" s="174" t="str">
        <f>IF(BC$6="","",IF(BC$3="Maior",iferror(VLOOKUP($R370,Capa!$A:$AJ,BC$5,0),0),IF(ISERROR(1/VLOOKUP($R370,Capa!$A:$AJ,BC$5,0)),0,1/VLOOKUP($R370,Capa!$A:$AJ,BC$5,0))))</f>
        <v/>
      </c>
      <c r="BD370" s="174" t="str">
        <f>IF(BD$6="","",IF(BD$3="Maior",iferror(VLOOKUP($R370,Capa!$A:$AJ,BD$5,0),0),IF(ISERROR(1/VLOOKUP($R370,Capa!$A:$AJ,BD$5,0)),0,1/VLOOKUP($R370,Capa!$A:$AJ,BD$5,0))))</f>
        <v/>
      </c>
      <c r="BE370" s="174" t="str">
        <f>IF(BE$6="","",IF(BE$3="Maior",iferror(VLOOKUP($R370,Capa!$A:$AJ,BE$5,0),0),IF(ISERROR(1/VLOOKUP($R370,Capa!$A:$AJ,BE$5,0)),0,1/VLOOKUP($R370,Capa!$A:$AJ,BE$5,0))))</f>
        <v/>
      </c>
      <c r="BF370" s="174" t="str">
        <f>IF(BF$6="","",IF(BF$3="Maior",iferror(VLOOKUP($R370,Capa!$A:$AJ,BF$5,0),0),IF(ISERROR(1/VLOOKUP($R370,Capa!$A:$AJ,BF$5,0)),0,1/VLOOKUP($R370,Capa!$A:$AJ,BF$5,0))))</f>
        <v/>
      </c>
      <c r="BG370" s="174" t="str">
        <f>IF(BG$6="","",IF(BG$3="Maior",iferror(VLOOKUP($R370,Capa!$A:$AJ,BG$5,0),0),IF(ISERROR(1/VLOOKUP($R370,Capa!$A:$AJ,BG$5,0)),0,1/VLOOKUP($R370,Capa!$A:$AJ,BG$5,0))))</f>
        <v/>
      </c>
      <c r="BH370" s="174" t="str">
        <f>IF(BH$6="","",IF(BH$3="Maior",iferror(VLOOKUP($R370,Capa!$A:$AJ,BH$5,0),0),IF(ISERROR(1/VLOOKUP($R370,Capa!$A:$AJ,BH$5,0)),0,1/VLOOKUP($R370,Capa!$A:$AJ,BH$5,0))))</f>
        <v/>
      </c>
      <c r="BI370" s="174" t="str">
        <f>IF(BI$6="","",IF(BI$3="Maior",iferror(VLOOKUP($R370,Capa!$A:$AJ,BI$5,0),0),IF(ISERROR(1/VLOOKUP($R370,Capa!$A:$AJ,BI$5,0)),0,1/VLOOKUP($R370,Capa!$A:$AJ,BI$5,0))))</f>
        <v/>
      </c>
      <c r="BJ370" s="174" t="str">
        <f>IF(BJ$6="","",IF(BJ$3="Maior",iferror(VLOOKUP($R370,Capa!$A:$AJ,BJ$5,0),0),IF(ISERROR(1/VLOOKUP($R370,Capa!$A:$AJ,BJ$5,0)),0,1/VLOOKUP($R370,Capa!$A:$AJ,BJ$5,0))))</f>
        <v/>
      </c>
      <c r="BK370" s="174" t="str">
        <f>IF(BK$6="","",IF(BK$3="Maior",iferror(VLOOKUP($R370,Capa!$A:$AJ,BK$5,0),0),IF(ISERROR(1/VLOOKUP($R370,Capa!$A:$AJ,BK$5,0)),0,1/VLOOKUP($R370,Capa!$A:$AJ,BK$5,0))))</f>
        <v/>
      </c>
      <c r="BL370" s="174" t="str">
        <f>IF(BL$6="","",IF(BL$3="Maior",iferror(VLOOKUP($R370,Capa!$A:$AJ,BL$5,0),0),IF(ISERROR(1/VLOOKUP($R370,Capa!$A:$AJ,BL$5,0)),0,1/VLOOKUP($R370,Capa!$A:$AJ,BL$5,0))))</f>
        <v/>
      </c>
      <c r="BM370" s="174" t="str">
        <f>IF(BM$6="","",IF(BM$3="Maior",iferror(VLOOKUP($R370,Capa!$A:$AJ,BM$5,0),0),IF(ISERROR(1/VLOOKUP($R370,Capa!$A:$AJ,BM$5,0)),0,1/VLOOKUP($R370,Capa!$A:$AJ,BM$5,0))))</f>
        <v/>
      </c>
      <c r="BN370" s="174" t="str">
        <f>IF(BN$6="","",IF(BN$3="Maior",iferror(VLOOKUP($R370,Capa!$A:$AJ,BN$5,0),0),IF(ISERROR(1/VLOOKUP($R370,Capa!$A:$AJ,BN$5,0)),0,1/VLOOKUP($R370,Capa!$A:$AJ,BN$5,0))))</f>
        <v/>
      </c>
      <c r="BO370" s="174" t="str">
        <f>IF(BO$6="","",IF(BO$3="Maior",iferror(VLOOKUP($R370,Capa!$A:$AJ,BO$5,0),0),IF(ISERROR(1/VLOOKUP($R370,Capa!$A:$AJ,BO$5,0)),0,1/VLOOKUP($R370,Capa!$A:$AJ,BO$5,0))))</f>
        <v/>
      </c>
      <c r="BP370" s="174" t="str">
        <f>IF(BP$6="","",IF(BP$3="Maior",iferror(VLOOKUP($R370,Capa!$A:$AJ,BP$5,0),0),IF(ISERROR(1/VLOOKUP($R370,Capa!$A:$AJ,BP$5,0)),0,1/VLOOKUP($R370,Capa!$A:$AJ,BP$5,0))))</f>
        <v/>
      </c>
      <c r="BQ370" s="174" t="str">
        <f>IF(BQ$6="","",IF(BQ$3="Maior",iferror(VLOOKUP($R370,Capa!$A:$AJ,BQ$5,0),0),IF(ISERROR(1/VLOOKUP($R370,Capa!$A:$AJ,BQ$5,0)),0,1/VLOOKUP($R370,Capa!$A:$AJ,BQ$5,0))))</f>
        <v/>
      </c>
      <c r="BR370" s="175"/>
      <c r="BS370" s="147"/>
    </row>
    <row r="371">
      <c r="G371" s="11"/>
      <c r="H371" s="8">
        <v>365.0</v>
      </c>
      <c r="I371" s="165" t="str">
        <f t="shared" si="6"/>
        <v>DTCY3</v>
      </c>
      <c r="J371" s="166" t="str">
        <f>(VLOOKUP($I371,Capa!$A:$B,2,0))</f>
        <v>Dtcom Direct to Company S/A</v>
      </c>
      <c r="K371" s="167" t="str">
        <f>VLOOKUP(left(I371,4),Setor!A:D,3,0)&amp;" | "&amp;VLOOKUP(left(I371,4),Setor!A:D,4,0)</f>
        <v>Bens Industriais | Serviços Diversos</v>
      </c>
      <c r="L371" s="168">
        <f>(VLOOKUP($I371,Capa!$A:$F,6,0))</f>
        <v>2.5</v>
      </c>
      <c r="M371" s="168">
        <f t="shared" si="7"/>
        <v>1955.13</v>
      </c>
      <c r="N371" s="11" t="str">
        <f>IFERROR(__xludf.DUMMYFUNCTION("(VLOOKUP($I371,Capa!$A:$H,7,0))"),"")</f>
        <v/>
      </c>
      <c r="O371" s="169" t="str">
        <f>(VLOOKUP($I371,Capa!$A:$H,8,0))</f>
        <v/>
      </c>
      <c r="P371" s="11" t="str">
        <f>IFERROR(__xludf.DUMMYFUNCTION("(VLOOKUP($I371,Capa!$A:$J,10,0))"),"")</f>
        <v/>
      </c>
      <c r="Q371" s="169">
        <f>(VLOOKUP($I371,Capa!$A:$K,11,0))</f>
        <v>-0.3975903614</v>
      </c>
      <c r="R371" s="45" t="str">
        <f>'Dados StatusInvest'!A366</f>
        <v>LPSB3</v>
      </c>
      <c r="S371" s="170">
        <f t="shared" si="234"/>
        <v>1613.0613</v>
      </c>
      <c r="T371" s="171">
        <f>VLOOKUP(R371,'Dados StatusInvest'!A:Z,26,0)</f>
        <v>430064.2</v>
      </c>
      <c r="U371" s="172">
        <f t="shared" ref="U371:AS371" si="374">IF(AT371="","", RANK(AT371,AT$7:AT$626,0)+RANK(AT371,AT$7:AT$626,0)/10000)</f>
        <v>346.0346</v>
      </c>
      <c r="V371" s="172">
        <f t="shared" si="374"/>
        <v>267.0267</v>
      </c>
      <c r="W371" s="172" t="str">
        <f t="shared" si="374"/>
        <v/>
      </c>
      <c r="X371" s="172" t="str">
        <f t="shared" si="374"/>
        <v/>
      </c>
      <c r="Y371" s="172" t="str">
        <f t="shared" si="374"/>
        <v/>
      </c>
      <c r="Z371" s="172" t="str">
        <f t="shared" si="374"/>
        <v/>
      </c>
      <c r="AA371" s="172" t="str">
        <f t="shared" si="374"/>
        <v/>
      </c>
      <c r="AB371" s="172" t="str">
        <f t="shared" si="374"/>
        <v/>
      </c>
      <c r="AC371" s="172" t="str">
        <f t="shared" si="374"/>
        <v/>
      </c>
      <c r="AD371" s="172" t="str">
        <f t="shared" si="374"/>
        <v/>
      </c>
      <c r="AE371" s="172" t="str">
        <f t="shared" si="374"/>
        <v/>
      </c>
      <c r="AF371" s="172" t="str">
        <f t="shared" si="374"/>
        <v/>
      </c>
      <c r="AG371" s="172" t="str">
        <f t="shared" si="374"/>
        <v/>
      </c>
      <c r="AH371" s="172" t="str">
        <f t="shared" si="374"/>
        <v/>
      </c>
      <c r="AI371" s="172" t="str">
        <f t="shared" si="374"/>
        <v/>
      </c>
      <c r="AJ371" s="172" t="str">
        <f t="shared" si="374"/>
        <v/>
      </c>
      <c r="AK371" s="172" t="str">
        <f t="shared" si="374"/>
        <v/>
      </c>
      <c r="AL371" s="172" t="str">
        <f t="shared" si="374"/>
        <v/>
      </c>
      <c r="AM371" s="172" t="str">
        <f t="shared" si="374"/>
        <v/>
      </c>
      <c r="AN371" s="172" t="str">
        <f t="shared" si="374"/>
        <v/>
      </c>
      <c r="AO371" s="172" t="str">
        <f t="shared" si="374"/>
        <v/>
      </c>
      <c r="AP371" s="172" t="str">
        <f t="shared" si="374"/>
        <v/>
      </c>
      <c r="AQ371" s="172" t="str">
        <f t="shared" si="374"/>
        <v/>
      </c>
      <c r="AR371" s="172" t="str">
        <f t="shared" si="374"/>
        <v/>
      </c>
      <c r="AS371" s="172" t="str">
        <f t="shared" si="374"/>
        <v/>
      </c>
      <c r="AT371" s="173">
        <f>IF(AT$6="","",IF(AT$3="Maior",iferror(VLOOKUP($R371,Capa!$A:$AJ,AT$5,0),0),IF(ISERROR(1/VLOOKUP($R371,Capa!$A:$AJ,AT$5,0)),0,1/VLOOKUP($R371,Capa!$A:$AJ,AT$5,0))))</f>
        <v>-0.9787413176</v>
      </c>
      <c r="AU371" s="174">
        <f>IF(AU$6="","",IF(AU$3="Maior",iferror(VLOOKUP($R371,Capa!$A:$AJ,AU$5,0),0),IF(ISERROR(1/VLOOKUP($R371,Capa!$A:$AJ,AU$5,0)),0,1/VLOOKUP($R371,Capa!$A:$AJ,AU$5,0))))</f>
        <v>0</v>
      </c>
      <c r="AV371" s="174" t="str">
        <f>IF(AV$6="","",IF(AV$3="Maior",iferror(VLOOKUP($R371,Capa!$A:$AJ,AV$5,0),0),IF(ISERROR(1/VLOOKUP($R371,Capa!$A:$AJ,AV$5,0)),0,1/VLOOKUP($R371,Capa!$A:$AJ,AV$5,0))))</f>
        <v/>
      </c>
      <c r="AW371" s="174" t="str">
        <f>IF(AW$6="","",IF(AW$3="Maior",iferror(VLOOKUP($R371,Capa!$A:$AJ,AW$5,0),0),IF(ISERROR(1/VLOOKUP($R371,Capa!$A:$AJ,AW$5,0)),0,1/VLOOKUP($R371,Capa!$A:$AJ,AW$5,0))))</f>
        <v/>
      </c>
      <c r="AX371" s="174" t="str">
        <f>IF(AX$6="","",IF(AX$3="Maior",iferror(VLOOKUP($R371,Capa!$A:$AJ,AX$5,0),0),IF(ISERROR(1/VLOOKUP($R371,Capa!$A:$AJ,AX$5,0)),0,1/VLOOKUP($R371,Capa!$A:$AJ,AX$5,0))))</f>
        <v/>
      </c>
      <c r="AY371" s="174" t="str">
        <f>IF(AY$6="","",IF(AY$3="Maior",iferror(VLOOKUP($R371,Capa!$A:$AJ,AY$5,0),0),IF(ISERROR(1/VLOOKUP($R371,Capa!$A:$AJ,AY$5,0)),0,1/VLOOKUP($R371,Capa!$A:$AJ,AY$5,0))))</f>
        <v/>
      </c>
      <c r="AZ371" s="174" t="str">
        <f>IF(AZ$6="","",IF(AZ$3="Maior",iferror(VLOOKUP($R371,Capa!$A:$AJ,AZ$5,0),0),IF(ISERROR(1/VLOOKUP($R371,Capa!$A:$AJ,AZ$5,0)),0,1/VLOOKUP($R371,Capa!$A:$AJ,AZ$5,0))))</f>
        <v/>
      </c>
      <c r="BA371" s="174" t="str">
        <f>IF(BA$6="","",IF(BA$3="Maior",iferror(VLOOKUP($R371,Capa!$A:$AJ,BA$5,0),0),IF(ISERROR(1/VLOOKUP($R371,Capa!$A:$AJ,BA$5,0)),0,1/VLOOKUP($R371,Capa!$A:$AJ,BA$5,0))))</f>
        <v/>
      </c>
      <c r="BB371" s="174" t="str">
        <f>IF(BB$6="","",IF(BB$3="Maior",iferror(VLOOKUP($R371,Capa!$A:$AJ,BB$5,0),0),IF(ISERROR(1/VLOOKUP($R371,Capa!$A:$AJ,BB$5,0)),0,1/VLOOKUP($R371,Capa!$A:$AJ,BB$5,0))))</f>
        <v/>
      </c>
      <c r="BC371" s="174" t="str">
        <f>IF(BC$6="","",IF(BC$3="Maior",iferror(VLOOKUP($R371,Capa!$A:$AJ,BC$5,0),0),IF(ISERROR(1/VLOOKUP($R371,Capa!$A:$AJ,BC$5,0)),0,1/VLOOKUP($R371,Capa!$A:$AJ,BC$5,0))))</f>
        <v/>
      </c>
      <c r="BD371" s="174" t="str">
        <f>IF(BD$6="","",IF(BD$3="Maior",iferror(VLOOKUP($R371,Capa!$A:$AJ,BD$5,0),0),IF(ISERROR(1/VLOOKUP($R371,Capa!$A:$AJ,BD$5,0)),0,1/VLOOKUP($R371,Capa!$A:$AJ,BD$5,0))))</f>
        <v/>
      </c>
      <c r="BE371" s="174" t="str">
        <f>IF(BE$6="","",IF(BE$3="Maior",iferror(VLOOKUP($R371,Capa!$A:$AJ,BE$5,0),0),IF(ISERROR(1/VLOOKUP($R371,Capa!$A:$AJ,BE$5,0)),0,1/VLOOKUP($R371,Capa!$A:$AJ,BE$5,0))))</f>
        <v/>
      </c>
      <c r="BF371" s="174" t="str">
        <f>IF(BF$6="","",IF(BF$3="Maior",iferror(VLOOKUP($R371,Capa!$A:$AJ,BF$5,0),0),IF(ISERROR(1/VLOOKUP($R371,Capa!$A:$AJ,BF$5,0)),0,1/VLOOKUP($R371,Capa!$A:$AJ,BF$5,0))))</f>
        <v/>
      </c>
      <c r="BG371" s="174" t="str">
        <f>IF(BG$6="","",IF(BG$3="Maior",iferror(VLOOKUP($R371,Capa!$A:$AJ,BG$5,0),0),IF(ISERROR(1/VLOOKUP($R371,Capa!$A:$AJ,BG$5,0)),0,1/VLOOKUP($R371,Capa!$A:$AJ,BG$5,0))))</f>
        <v/>
      </c>
      <c r="BH371" s="174" t="str">
        <f>IF(BH$6="","",IF(BH$3="Maior",iferror(VLOOKUP($R371,Capa!$A:$AJ,BH$5,0),0),IF(ISERROR(1/VLOOKUP($R371,Capa!$A:$AJ,BH$5,0)),0,1/VLOOKUP($R371,Capa!$A:$AJ,BH$5,0))))</f>
        <v/>
      </c>
      <c r="BI371" s="174" t="str">
        <f>IF(BI$6="","",IF(BI$3="Maior",iferror(VLOOKUP($R371,Capa!$A:$AJ,BI$5,0),0),IF(ISERROR(1/VLOOKUP($R371,Capa!$A:$AJ,BI$5,0)),0,1/VLOOKUP($R371,Capa!$A:$AJ,BI$5,0))))</f>
        <v/>
      </c>
      <c r="BJ371" s="174" t="str">
        <f>IF(BJ$6="","",IF(BJ$3="Maior",iferror(VLOOKUP($R371,Capa!$A:$AJ,BJ$5,0),0),IF(ISERROR(1/VLOOKUP($R371,Capa!$A:$AJ,BJ$5,0)),0,1/VLOOKUP($R371,Capa!$A:$AJ,BJ$5,0))))</f>
        <v/>
      </c>
      <c r="BK371" s="174" t="str">
        <f>IF(BK$6="","",IF(BK$3="Maior",iferror(VLOOKUP($R371,Capa!$A:$AJ,BK$5,0),0),IF(ISERROR(1/VLOOKUP($R371,Capa!$A:$AJ,BK$5,0)),0,1/VLOOKUP($R371,Capa!$A:$AJ,BK$5,0))))</f>
        <v/>
      </c>
      <c r="BL371" s="174" t="str">
        <f>IF(BL$6="","",IF(BL$3="Maior",iferror(VLOOKUP($R371,Capa!$A:$AJ,BL$5,0),0),IF(ISERROR(1/VLOOKUP($R371,Capa!$A:$AJ,BL$5,0)),0,1/VLOOKUP($R371,Capa!$A:$AJ,BL$5,0))))</f>
        <v/>
      </c>
      <c r="BM371" s="174" t="str">
        <f>IF(BM$6="","",IF(BM$3="Maior",iferror(VLOOKUP($R371,Capa!$A:$AJ,BM$5,0),0),IF(ISERROR(1/VLOOKUP($R371,Capa!$A:$AJ,BM$5,0)),0,1/VLOOKUP($R371,Capa!$A:$AJ,BM$5,0))))</f>
        <v/>
      </c>
      <c r="BN371" s="174" t="str">
        <f>IF(BN$6="","",IF(BN$3="Maior",iferror(VLOOKUP($R371,Capa!$A:$AJ,BN$5,0),0),IF(ISERROR(1/VLOOKUP($R371,Capa!$A:$AJ,BN$5,0)),0,1/VLOOKUP($R371,Capa!$A:$AJ,BN$5,0))))</f>
        <v/>
      </c>
      <c r="BO371" s="174" t="str">
        <f>IF(BO$6="","",IF(BO$3="Maior",iferror(VLOOKUP($R371,Capa!$A:$AJ,BO$5,0),0),IF(ISERROR(1/VLOOKUP($R371,Capa!$A:$AJ,BO$5,0)),0,1/VLOOKUP($R371,Capa!$A:$AJ,BO$5,0))))</f>
        <v/>
      </c>
      <c r="BP371" s="174" t="str">
        <f>IF(BP$6="","",IF(BP$3="Maior",iferror(VLOOKUP($R371,Capa!$A:$AJ,BP$5,0),0),IF(ISERROR(1/VLOOKUP($R371,Capa!$A:$AJ,BP$5,0)),0,1/VLOOKUP($R371,Capa!$A:$AJ,BP$5,0))))</f>
        <v/>
      </c>
      <c r="BQ371" s="174" t="str">
        <f>IF(BQ$6="","",IF(BQ$3="Maior",iferror(VLOOKUP($R371,Capa!$A:$AJ,BQ$5,0),0),IF(ISERROR(1/VLOOKUP($R371,Capa!$A:$AJ,BQ$5,0)),0,1/VLOOKUP($R371,Capa!$A:$AJ,BQ$5,0))))</f>
        <v/>
      </c>
      <c r="BR371" s="175"/>
      <c r="BS371" s="147"/>
    </row>
    <row r="372">
      <c r="G372" s="11"/>
      <c r="H372" s="8">
        <v>366.0</v>
      </c>
      <c r="I372" s="165" t="str">
        <f t="shared" si="6"/>
        <v>APER3</v>
      </c>
      <c r="J372" s="166" t="str">
        <f>(VLOOKUP($I372,Capa!$A:$B,2,0))</f>
        <v/>
      </c>
      <c r="K372" s="167" t="str">
        <f>VLOOKUP(left(I372,4),Setor!A:D,3,0)&amp;" | "&amp;VLOOKUP(left(I372,4),Setor!A:D,4,0)</f>
        <v>Financeiro | Previdência e Seguros</v>
      </c>
      <c r="L372" s="168" t="str">
        <f>(VLOOKUP($I372,Capa!$A:$F,6,0))</f>
        <v/>
      </c>
      <c r="M372" s="168">
        <f t="shared" si="7"/>
        <v>51166</v>
      </c>
      <c r="N372" s="11" t="str">
        <f>(VLOOKUP($I372,Capa!$A:$H,7,0))</f>
        <v/>
      </c>
      <c r="O372" s="169" t="str">
        <f>(VLOOKUP($I372,Capa!$A:$H,8,0))</f>
        <v/>
      </c>
      <c r="P372" s="11" t="str">
        <f>(VLOOKUP($I372,Capa!$A:$J,10,0))</f>
        <v/>
      </c>
      <c r="Q372" s="169" t="str">
        <f>(VLOOKUP($I372,Capa!$A:$K,11,0))</f>
        <v/>
      </c>
      <c r="R372" s="45" t="str">
        <f>'Dados StatusInvest'!A367</f>
        <v>LREN3</v>
      </c>
      <c r="S372" s="170">
        <f t="shared" si="234"/>
        <v>285.0285</v>
      </c>
      <c r="T372" s="171">
        <f>VLOOKUP(R372,'Dados StatusInvest'!A:Z,26,0)</f>
        <v>207000000</v>
      </c>
      <c r="U372" s="172">
        <f t="shared" ref="U372:AS372" si="375">IF(AT372="","", RANK(AT372,AT$7:AT$626,0)+RANK(AT372,AT$7:AT$626,0)/10000)</f>
        <v>43.0043</v>
      </c>
      <c r="V372" s="172">
        <f t="shared" si="375"/>
        <v>242.0242</v>
      </c>
      <c r="W372" s="172" t="str">
        <f t="shared" si="375"/>
        <v/>
      </c>
      <c r="X372" s="172" t="str">
        <f t="shared" si="375"/>
        <v/>
      </c>
      <c r="Y372" s="172" t="str">
        <f t="shared" si="375"/>
        <v/>
      </c>
      <c r="Z372" s="172" t="str">
        <f t="shared" si="375"/>
        <v/>
      </c>
      <c r="AA372" s="172" t="str">
        <f t="shared" si="375"/>
        <v/>
      </c>
      <c r="AB372" s="172" t="str">
        <f t="shared" si="375"/>
        <v/>
      </c>
      <c r="AC372" s="172" t="str">
        <f t="shared" si="375"/>
        <v/>
      </c>
      <c r="AD372" s="172" t="str">
        <f t="shared" si="375"/>
        <v/>
      </c>
      <c r="AE372" s="172" t="str">
        <f t="shared" si="375"/>
        <v/>
      </c>
      <c r="AF372" s="172" t="str">
        <f t="shared" si="375"/>
        <v/>
      </c>
      <c r="AG372" s="172" t="str">
        <f t="shared" si="375"/>
        <v/>
      </c>
      <c r="AH372" s="172" t="str">
        <f t="shared" si="375"/>
        <v/>
      </c>
      <c r="AI372" s="172" t="str">
        <f t="shared" si="375"/>
        <v/>
      </c>
      <c r="AJ372" s="172" t="str">
        <f t="shared" si="375"/>
        <v/>
      </c>
      <c r="AK372" s="172" t="str">
        <f t="shared" si="375"/>
        <v/>
      </c>
      <c r="AL372" s="172" t="str">
        <f t="shared" si="375"/>
        <v/>
      </c>
      <c r="AM372" s="172" t="str">
        <f t="shared" si="375"/>
        <v/>
      </c>
      <c r="AN372" s="172" t="str">
        <f t="shared" si="375"/>
        <v/>
      </c>
      <c r="AO372" s="172" t="str">
        <f t="shared" si="375"/>
        <v/>
      </c>
      <c r="AP372" s="172" t="str">
        <f t="shared" si="375"/>
        <v/>
      </c>
      <c r="AQ372" s="172" t="str">
        <f t="shared" si="375"/>
        <v/>
      </c>
      <c r="AR372" s="172" t="str">
        <f t="shared" si="375"/>
        <v/>
      </c>
      <c r="AS372" s="172" t="str">
        <f t="shared" si="375"/>
        <v/>
      </c>
      <c r="AT372" s="173">
        <f>IF(AT$6="","",IF(AT$3="Maior",iferror(VLOOKUP($R372,Capa!$A:$AJ,AT$5,0),0),IF(ISERROR(1/VLOOKUP($R372,Capa!$A:$AJ,AT$5,0)),0,1/VLOOKUP($R372,Capa!$A:$AJ,AT$5,0))))</f>
        <v>0.001051474102</v>
      </c>
      <c r="AU372" s="174">
        <f>IF(AU$6="","",IF(AU$3="Maior",iferror(VLOOKUP($R372,Capa!$A:$AJ,AU$5,0),0),IF(ISERROR(1/VLOOKUP($R372,Capa!$A:$AJ,AU$5,0)),0,1/VLOOKUP($R372,Capa!$A:$AJ,AU$5,0))))</f>
        <v>4.84</v>
      </c>
      <c r="AV372" s="174" t="str">
        <f>IF(AV$6="","",IF(AV$3="Maior",iferror(VLOOKUP($R372,Capa!$A:$AJ,AV$5,0),0),IF(ISERROR(1/VLOOKUP($R372,Capa!$A:$AJ,AV$5,0)),0,1/VLOOKUP($R372,Capa!$A:$AJ,AV$5,0))))</f>
        <v/>
      </c>
      <c r="AW372" s="174" t="str">
        <f>IF(AW$6="","",IF(AW$3="Maior",iferror(VLOOKUP($R372,Capa!$A:$AJ,AW$5,0),0),IF(ISERROR(1/VLOOKUP($R372,Capa!$A:$AJ,AW$5,0)),0,1/VLOOKUP($R372,Capa!$A:$AJ,AW$5,0))))</f>
        <v/>
      </c>
      <c r="AX372" s="174" t="str">
        <f>IF(AX$6="","",IF(AX$3="Maior",iferror(VLOOKUP($R372,Capa!$A:$AJ,AX$5,0),0),IF(ISERROR(1/VLOOKUP($R372,Capa!$A:$AJ,AX$5,0)),0,1/VLOOKUP($R372,Capa!$A:$AJ,AX$5,0))))</f>
        <v/>
      </c>
      <c r="AY372" s="174" t="str">
        <f>IF(AY$6="","",IF(AY$3="Maior",iferror(VLOOKUP($R372,Capa!$A:$AJ,AY$5,0),0),IF(ISERROR(1/VLOOKUP($R372,Capa!$A:$AJ,AY$5,0)),0,1/VLOOKUP($R372,Capa!$A:$AJ,AY$5,0))))</f>
        <v/>
      </c>
      <c r="AZ372" s="174" t="str">
        <f>IF(AZ$6="","",IF(AZ$3="Maior",iferror(VLOOKUP($R372,Capa!$A:$AJ,AZ$5,0),0),IF(ISERROR(1/VLOOKUP($R372,Capa!$A:$AJ,AZ$5,0)),0,1/VLOOKUP($R372,Capa!$A:$AJ,AZ$5,0))))</f>
        <v/>
      </c>
      <c r="BA372" s="174" t="str">
        <f>IF(BA$6="","",IF(BA$3="Maior",iferror(VLOOKUP($R372,Capa!$A:$AJ,BA$5,0),0),IF(ISERROR(1/VLOOKUP($R372,Capa!$A:$AJ,BA$5,0)),0,1/VLOOKUP($R372,Capa!$A:$AJ,BA$5,0))))</f>
        <v/>
      </c>
      <c r="BB372" s="174" t="str">
        <f>IF(BB$6="","",IF(BB$3="Maior",iferror(VLOOKUP($R372,Capa!$A:$AJ,BB$5,0),0),IF(ISERROR(1/VLOOKUP($R372,Capa!$A:$AJ,BB$5,0)),0,1/VLOOKUP($R372,Capa!$A:$AJ,BB$5,0))))</f>
        <v/>
      </c>
      <c r="BC372" s="174" t="str">
        <f>IF(BC$6="","",IF(BC$3="Maior",iferror(VLOOKUP($R372,Capa!$A:$AJ,BC$5,0),0),IF(ISERROR(1/VLOOKUP($R372,Capa!$A:$AJ,BC$5,0)),0,1/VLOOKUP($R372,Capa!$A:$AJ,BC$5,0))))</f>
        <v/>
      </c>
      <c r="BD372" s="174" t="str">
        <f>IF(BD$6="","",IF(BD$3="Maior",iferror(VLOOKUP($R372,Capa!$A:$AJ,BD$5,0),0),IF(ISERROR(1/VLOOKUP($R372,Capa!$A:$AJ,BD$5,0)),0,1/VLOOKUP($R372,Capa!$A:$AJ,BD$5,0))))</f>
        <v/>
      </c>
      <c r="BE372" s="174" t="str">
        <f>IF(BE$6="","",IF(BE$3="Maior",iferror(VLOOKUP($R372,Capa!$A:$AJ,BE$5,0),0),IF(ISERROR(1/VLOOKUP($R372,Capa!$A:$AJ,BE$5,0)),0,1/VLOOKUP($R372,Capa!$A:$AJ,BE$5,0))))</f>
        <v/>
      </c>
      <c r="BF372" s="174" t="str">
        <f>IF(BF$6="","",IF(BF$3="Maior",iferror(VLOOKUP($R372,Capa!$A:$AJ,BF$5,0),0),IF(ISERROR(1/VLOOKUP($R372,Capa!$A:$AJ,BF$5,0)),0,1/VLOOKUP($R372,Capa!$A:$AJ,BF$5,0))))</f>
        <v/>
      </c>
      <c r="BG372" s="174" t="str">
        <f>IF(BG$6="","",IF(BG$3="Maior",iferror(VLOOKUP($R372,Capa!$A:$AJ,BG$5,0),0),IF(ISERROR(1/VLOOKUP($R372,Capa!$A:$AJ,BG$5,0)),0,1/VLOOKUP($R372,Capa!$A:$AJ,BG$5,0))))</f>
        <v/>
      </c>
      <c r="BH372" s="174" t="str">
        <f>IF(BH$6="","",IF(BH$3="Maior",iferror(VLOOKUP($R372,Capa!$A:$AJ,BH$5,0),0),IF(ISERROR(1/VLOOKUP($R372,Capa!$A:$AJ,BH$5,0)),0,1/VLOOKUP($R372,Capa!$A:$AJ,BH$5,0))))</f>
        <v/>
      </c>
      <c r="BI372" s="174" t="str">
        <f>IF(BI$6="","",IF(BI$3="Maior",iferror(VLOOKUP($R372,Capa!$A:$AJ,BI$5,0),0),IF(ISERROR(1/VLOOKUP($R372,Capa!$A:$AJ,BI$5,0)),0,1/VLOOKUP($R372,Capa!$A:$AJ,BI$5,0))))</f>
        <v/>
      </c>
      <c r="BJ372" s="174" t="str">
        <f>IF(BJ$6="","",IF(BJ$3="Maior",iferror(VLOOKUP($R372,Capa!$A:$AJ,BJ$5,0),0),IF(ISERROR(1/VLOOKUP($R372,Capa!$A:$AJ,BJ$5,0)),0,1/VLOOKUP($R372,Capa!$A:$AJ,BJ$5,0))))</f>
        <v/>
      </c>
      <c r="BK372" s="174" t="str">
        <f>IF(BK$6="","",IF(BK$3="Maior",iferror(VLOOKUP($R372,Capa!$A:$AJ,BK$5,0),0),IF(ISERROR(1/VLOOKUP($R372,Capa!$A:$AJ,BK$5,0)),0,1/VLOOKUP($R372,Capa!$A:$AJ,BK$5,0))))</f>
        <v/>
      </c>
      <c r="BL372" s="174" t="str">
        <f>IF(BL$6="","",IF(BL$3="Maior",iferror(VLOOKUP($R372,Capa!$A:$AJ,BL$5,0),0),IF(ISERROR(1/VLOOKUP($R372,Capa!$A:$AJ,BL$5,0)),0,1/VLOOKUP($R372,Capa!$A:$AJ,BL$5,0))))</f>
        <v/>
      </c>
      <c r="BM372" s="174" t="str">
        <f>IF(BM$6="","",IF(BM$3="Maior",iferror(VLOOKUP($R372,Capa!$A:$AJ,BM$5,0),0),IF(ISERROR(1/VLOOKUP($R372,Capa!$A:$AJ,BM$5,0)),0,1/VLOOKUP($R372,Capa!$A:$AJ,BM$5,0))))</f>
        <v/>
      </c>
      <c r="BN372" s="174" t="str">
        <f>IF(BN$6="","",IF(BN$3="Maior",iferror(VLOOKUP($R372,Capa!$A:$AJ,BN$5,0),0),IF(ISERROR(1/VLOOKUP($R372,Capa!$A:$AJ,BN$5,0)),0,1/VLOOKUP($R372,Capa!$A:$AJ,BN$5,0))))</f>
        <v/>
      </c>
      <c r="BO372" s="174" t="str">
        <f>IF(BO$6="","",IF(BO$3="Maior",iferror(VLOOKUP($R372,Capa!$A:$AJ,BO$5,0),0),IF(ISERROR(1/VLOOKUP($R372,Capa!$A:$AJ,BO$5,0)),0,1/VLOOKUP($R372,Capa!$A:$AJ,BO$5,0))))</f>
        <v/>
      </c>
      <c r="BP372" s="174" t="str">
        <f>IF(BP$6="","",IF(BP$3="Maior",iferror(VLOOKUP($R372,Capa!$A:$AJ,BP$5,0),0),IF(ISERROR(1/VLOOKUP($R372,Capa!$A:$AJ,BP$5,0)),0,1/VLOOKUP($R372,Capa!$A:$AJ,BP$5,0))))</f>
        <v/>
      </c>
      <c r="BQ372" s="174" t="str">
        <f>IF(BQ$6="","",IF(BQ$3="Maior",iferror(VLOOKUP($R372,Capa!$A:$AJ,BQ$5,0),0),IF(ISERROR(1/VLOOKUP($R372,Capa!$A:$AJ,BQ$5,0)),0,1/VLOOKUP($R372,Capa!$A:$AJ,BQ$5,0))))</f>
        <v/>
      </c>
      <c r="BR372" s="175"/>
      <c r="BS372" s="147"/>
    </row>
    <row r="373">
      <c r="G373" s="11"/>
      <c r="H373" s="8">
        <v>367.0</v>
      </c>
      <c r="I373" s="165" t="str">
        <f t="shared" si="6"/>
        <v>GNDI3</v>
      </c>
      <c r="J373" s="166" t="str">
        <f>(VLOOKUP($I373,Capa!$A:$B,2,0))</f>
        <v/>
      </c>
      <c r="K373" s="167" t="str">
        <f>VLOOKUP(left(I373,4),Setor!A:D,3,0)&amp;" | "&amp;VLOOKUP(left(I373,4),Setor!A:D,4,0)</f>
        <v>Saúde | Análises e Diagnósticos</v>
      </c>
      <c r="L373" s="168" t="str">
        <f>(VLOOKUP($I373,Capa!$A:$F,6,0))</f>
        <v/>
      </c>
      <c r="M373" s="168">
        <f t="shared" si="7"/>
        <v>0</v>
      </c>
      <c r="N373" s="11" t="str">
        <f>(VLOOKUP($I373,Capa!$A:$H,7,0))</f>
        <v/>
      </c>
      <c r="O373" s="169" t="str">
        <f>(VLOOKUP($I373,Capa!$A:$H,8,0))</f>
        <v/>
      </c>
      <c r="P373" s="11" t="str">
        <f>(VLOOKUP($I373,Capa!$A:$J,10,0))</f>
        <v/>
      </c>
      <c r="Q373" s="169" t="str">
        <f>(VLOOKUP($I373,Capa!$A:$K,11,0))</f>
        <v/>
      </c>
      <c r="R373" s="45" t="str">
        <f>'Dados StatusInvest'!A368</f>
        <v>LTEL3B</v>
      </c>
      <c r="S373" s="170">
        <f t="shared" si="234"/>
        <v>1306.0306</v>
      </c>
      <c r="T373" s="171">
        <f>VLOOKUP(R373,'Dados StatusInvest'!A:Z,26,0)</f>
        <v>0</v>
      </c>
      <c r="U373" s="172">
        <f t="shared" ref="U373:AS373" si="376">IF(AT373="","", RANK(AT373,AT$7:AT$626,0)+RANK(AT373,AT$7:AT$626,0)/10000)</f>
        <v>113.0113</v>
      </c>
      <c r="V373" s="172">
        <f t="shared" si="376"/>
        <v>193.0193</v>
      </c>
      <c r="W373" s="172" t="str">
        <f t="shared" si="376"/>
        <v/>
      </c>
      <c r="X373" s="172" t="str">
        <f t="shared" si="376"/>
        <v/>
      </c>
      <c r="Y373" s="172" t="str">
        <f t="shared" si="376"/>
        <v/>
      </c>
      <c r="Z373" s="172" t="str">
        <f t="shared" si="376"/>
        <v/>
      </c>
      <c r="AA373" s="172" t="str">
        <f t="shared" si="376"/>
        <v/>
      </c>
      <c r="AB373" s="172" t="str">
        <f t="shared" si="376"/>
        <v/>
      </c>
      <c r="AC373" s="172" t="str">
        <f t="shared" si="376"/>
        <v/>
      </c>
      <c r="AD373" s="172" t="str">
        <f t="shared" si="376"/>
        <v/>
      </c>
      <c r="AE373" s="172" t="str">
        <f t="shared" si="376"/>
        <v/>
      </c>
      <c r="AF373" s="172" t="str">
        <f t="shared" si="376"/>
        <v/>
      </c>
      <c r="AG373" s="172" t="str">
        <f t="shared" si="376"/>
        <v/>
      </c>
      <c r="AH373" s="172" t="str">
        <f t="shared" si="376"/>
        <v/>
      </c>
      <c r="AI373" s="172" t="str">
        <f t="shared" si="376"/>
        <v/>
      </c>
      <c r="AJ373" s="172" t="str">
        <f t="shared" si="376"/>
        <v/>
      </c>
      <c r="AK373" s="172" t="str">
        <f t="shared" si="376"/>
        <v/>
      </c>
      <c r="AL373" s="172" t="str">
        <f t="shared" si="376"/>
        <v/>
      </c>
      <c r="AM373" s="172" t="str">
        <f t="shared" si="376"/>
        <v/>
      </c>
      <c r="AN373" s="172" t="str">
        <f t="shared" si="376"/>
        <v/>
      </c>
      <c r="AO373" s="172" t="str">
        <f t="shared" si="376"/>
        <v/>
      </c>
      <c r="AP373" s="172" t="str">
        <f t="shared" si="376"/>
        <v/>
      </c>
      <c r="AQ373" s="172" t="str">
        <f t="shared" si="376"/>
        <v/>
      </c>
      <c r="AR373" s="172" t="str">
        <f t="shared" si="376"/>
        <v/>
      </c>
      <c r="AS373" s="172" t="str">
        <f t="shared" si="376"/>
        <v/>
      </c>
      <c r="AT373" s="173">
        <f>IF(AT$6="","",IF(AT$3="Maior",iferror(VLOOKUP($R373,Capa!$A:$AJ,AT$5,0),0),IF(ISERROR(1/VLOOKUP($R373,Capa!$A:$AJ,AT$5,0)),0,1/VLOOKUP($R373,Capa!$A:$AJ,AT$5,0))))</f>
        <v>-0.00230165489</v>
      </c>
      <c r="AU373" s="174">
        <f>IF(AU$6="","",IF(AU$3="Maior",iferror(VLOOKUP($R373,Capa!$A:$AJ,AU$5,0),0),IF(ISERROR(1/VLOOKUP($R373,Capa!$A:$AJ,AU$5,0)),0,1/VLOOKUP($R373,Capa!$A:$AJ,AU$5,0))))</f>
        <v>11.79</v>
      </c>
      <c r="AV373" s="174" t="str">
        <f>IF(AV$6="","",IF(AV$3="Maior",iferror(VLOOKUP($R373,Capa!$A:$AJ,AV$5,0),0),IF(ISERROR(1/VLOOKUP($R373,Capa!$A:$AJ,AV$5,0)),0,1/VLOOKUP($R373,Capa!$A:$AJ,AV$5,0))))</f>
        <v/>
      </c>
      <c r="AW373" s="174" t="str">
        <f>IF(AW$6="","",IF(AW$3="Maior",iferror(VLOOKUP($R373,Capa!$A:$AJ,AW$5,0),0),IF(ISERROR(1/VLOOKUP($R373,Capa!$A:$AJ,AW$5,0)),0,1/VLOOKUP($R373,Capa!$A:$AJ,AW$5,0))))</f>
        <v/>
      </c>
      <c r="AX373" s="174" t="str">
        <f>IF(AX$6="","",IF(AX$3="Maior",iferror(VLOOKUP($R373,Capa!$A:$AJ,AX$5,0),0),IF(ISERROR(1/VLOOKUP($R373,Capa!$A:$AJ,AX$5,0)),0,1/VLOOKUP($R373,Capa!$A:$AJ,AX$5,0))))</f>
        <v/>
      </c>
      <c r="AY373" s="174" t="str">
        <f>IF(AY$6="","",IF(AY$3="Maior",iferror(VLOOKUP($R373,Capa!$A:$AJ,AY$5,0),0),IF(ISERROR(1/VLOOKUP($R373,Capa!$A:$AJ,AY$5,0)),0,1/VLOOKUP($R373,Capa!$A:$AJ,AY$5,0))))</f>
        <v/>
      </c>
      <c r="AZ373" s="174" t="str">
        <f>IF(AZ$6="","",IF(AZ$3="Maior",iferror(VLOOKUP($R373,Capa!$A:$AJ,AZ$5,0),0),IF(ISERROR(1/VLOOKUP($R373,Capa!$A:$AJ,AZ$5,0)),0,1/VLOOKUP($R373,Capa!$A:$AJ,AZ$5,0))))</f>
        <v/>
      </c>
      <c r="BA373" s="174" t="str">
        <f>IF(BA$6="","",IF(BA$3="Maior",iferror(VLOOKUP($R373,Capa!$A:$AJ,BA$5,0),0),IF(ISERROR(1/VLOOKUP($R373,Capa!$A:$AJ,BA$5,0)),0,1/VLOOKUP($R373,Capa!$A:$AJ,BA$5,0))))</f>
        <v/>
      </c>
      <c r="BB373" s="174" t="str">
        <f>IF(BB$6="","",IF(BB$3="Maior",iferror(VLOOKUP($R373,Capa!$A:$AJ,BB$5,0),0),IF(ISERROR(1/VLOOKUP($R373,Capa!$A:$AJ,BB$5,0)),0,1/VLOOKUP($R373,Capa!$A:$AJ,BB$5,0))))</f>
        <v/>
      </c>
      <c r="BC373" s="174" t="str">
        <f>IF(BC$6="","",IF(BC$3="Maior",iferror(VLOOKUP($R373,Capa!$A:$AJ,BC$5,0),0),IF(ISERROR(1/VLOOKUP($R373,Capa!$A:$AJ,BC$5,0)),0,1/VLOOKUP($R373,Capa!$A:$AJ,BC$5,0))))</f>
        <v/>
      </c>
      <c r="BD373" s="174" t="str">
        <f>IF(BD$6="","",IF(BD$3="Maior",iferror(VLOOKUP($R373,Capa!$A:$AJ,BD$5,0),0),IF(ISERROR(1/VLOOKUP($R373,Capa!$A:$AJ,BD$5,0)),0,1/VLOOKUP($R373,Capa!$A:$AJ,BD$5,0))))</f>
        <v/>
      </c>
      <c r="BE373" s="174" t="str">
        <f>IF(BE$6="","",IF(BE$3="Maior",iferror(VLOOKUP($R373,Capa!$A:$AJ,BE$5,0),0),IF(ISERROR(1/VLOOKUP($R373,Capa!$A:$AJ,BE$5,0)),0,1/VLOOKUP($R373,Capa!$A:$AJ,BE$5,0))))</f>
        <v/>
      </c>
      <c r="BF373" s="174" t="str">
        <f>IF(BF$6="","",IF(BF$3="Maior",iferror(VLOOKUP($R373,Capa!$A:$AJ,BF$5,0),0),IF(ISERROR(1/VLOOKUP($R373,Capa!$A:$AJ,BF$5,0)),0,1/VLOOKUP($R373,Capa!$A:$AJ,BF$5,0))))</f>
        <v/>
      </c>
      <c r="BG373" s="174" t="str">
        <f>IF(BG$6="","",IF(BG$3="Maior",iferror(VLOOKUP($R373,Capa!$A:$AJ,BG$5,0),0),IF(ISERROR(1/VLOOKUP($R373,Capa!$A:$AJ,BG$5,0)),0,1/VLOOKUP($R373,Capa!$A:$AJ,BG$5,0))))</f>
        <v/>
      </c>
      <c r="BH373" s="174" t="str">
        <f>IF(BH$6="","",IF(BH$3="Maior",iferror(VLOOKUP($R373,Capa!$A:$AJ,BH$5,0),0),IF(ISERROR(1/VLOOKUP($R373,Capa!$A:$AJ,BH$5,0)),0,1/VLOOKUP($R373,Capa!$A:$AJ,BH$5,0))))</f>
        <v/>
      </c>
      <c r="BI373" s="174" t="str">
        <f>IF(BI$6="","",IF(BI$3="Maior",iferror(VLOOKUP($R373,Capa!$A:$AJ,BI$5,0),0),IF(ISERROR(1/VLOOKUP($R373,Capa!$A:$AJ,BI$5,0)),0,1/VLOOKUP($R373,Capa!$A:$AJ,BI$5,0))))</f>
        <v/>
      </c>
      <c r="BJ373" s="174" t="str">
        <f>IF(BJ$6="","",IF(BJ$3="Maior",iferror(VLOOKUP($R373,Capa!$A:$AJ,BJ$5,0),0),IF(ISERROR(1/VLOOKUP($R373,Capa!$A:$AJ,BJ$5,0)),0,1/VLOOKUP($R373,Capa!$A:$AJ,BJ$5,0))))</f>
        <v/>
      </c>
      <c r="BK373" s="174" t="str">
        <f>IF(BK$6="","",IF(BK$3="Maior",iferror(VLOOKUP($R373,Capa!$A:$AJ,BK$5,0),0),IF(ISERROR(1/VLOOKUP($R373,Capa!$A:$AJ,BK$5,0)),0,1/VLOOKUP($R373,Capa!$A:$AJ,BK$5,0))))</f>
        <v/>
      </c>
      <c r="BL373" s="174" t="str">
        <f>IF(BL$6="","",IF(BL$3="Maior",iferror(VLOOKUP($R373,Capa!$A:$AJ,BL$5,0),0),IF(ISERROR(1/VLOOKUP($R373,Capa!$A:$AJ,BL$5,0)),0,1/VLOOKUP($R373,Capa!$A:$AJ,BL$5,0))))</f>
        <v/>
      </c>
      <c r="BM373" s="174" t="str">
        <f>IF(BM$6="","",IF(BM$3="Maior",iferror(VLOOKUP($R373,Capa!$A:$AJ,BM$5,0),0),IF(ISERROR(1/VLOOKUP($R373,Capa!$A:$AJ,BM$5,0)),0,1/VLOOKUP($R373,Capa!$A:$AJ,BM$5,0))))</f>
        <v/>
      </c>
      <c r="BN373" s="174" t="str">
        <f>IF(BN$6="","",IF(BN$3="Maior",iferror(VLOOKUP($R373,Capa!$A:$AJ,BN$5,0),0),IF(ISERROR(1/VLOOKUP($R373,Capa!$A:$AJ,BN$5,0)),0,1/VLOOKUP($R373,Capa!$A:$AJ,BN$5,0))))</f>
        <v/>
      </c>
      <c r="BO373" s="174" t="str">
        <f>IF(BO$6="","",IF(BO$3="Maior",iferror(VLOOKUP($R373,Capa!$A:$AJ,BO$5,0),0),IF(ISERROR(1/VLOOKUP($R373,Capa!$A:$AJ,BO$5,0)),0,1/VLOOKUP($R373,Capa!$A:$AJ,BO$5,0))))</f>
        <v/>
      </c>
      <c r="BP373" s="174" t="str">
        <f>IF(BP$6="","",IF(BP$3="Maior",iferror(VLOOKUP($R373,Capa!$A:$AJ,BP$5,0),0),IF(ISERROR(1/VLOOKUP($R373,Capa!$A:$AJ,BP$5,0)),0,1/VLOOKUP($R373,Capa!$A:$AJ,BP$5,0))))</f>
        <v/>
      </c>
      <c r="BQ373" s="174" t="str">
        <f>IF(BQ$6="","",IF(BQ$3="Maior",iferror(VLOOKUP($R373,Capa!$A:$AJ,BQ$5,0),0),IF(ISERROR(1/VLOOKUP($R373,Capa!$A:$AJ,BQ$5,0)),0,1/VLOOKUP($R373,Capa!$A:$AJ,BQ$5,0))))</f>
        <v/>
      </c>
      <c r="BR373" s="175"/>
      <c r="BS373" s="147"/>
    </row>
    <row r="374">
      <c r="G374" s="11"/>
      <c r="H374" s="8">
        <v>368.0</v>
      </c>
      <c r="I374" s="165" t="str">
        <f t="shared" si="6"/>
        <v>BBML3</v>
      </c>
      <c r="J374" s="166" t="str">
        <f>(VLOOKUP($I374,Capa!$A:$B,2,0))</f>
        <v>BBM Logistica SA</v>
      </c>
      <c r="K374" s="167" t="str">
        <f>VLOOKUP(left(I374,4),Setor!A:D,3,0)&amp;" | "&amp;VLOOKUP(left(I374,4),Setor!A:D,4,0)</f>
        <v>Bens Industriais | Serviços Diversos</v>
      </c>
      <c r="L374" s="168">
        <f>(VLOOKUP($I374,Capa!$A:$F,6,0))</f>
        <v>0</v>
      </c>
      <c r="M374" s="168">
        <f t="shared" si="7"/>
        <v>0</v>
      </c>
      <c r="N374" s="11" t="str">
        <f>(VLOOKUP($I374,Capa!$A:$H,7,0))</f>
        <v/>
      </c>
      <c r="O374" s="169" t="str">
        <f>(VLOOKUP($I374,Capa!$A:$H,8,0))</f>
        <v/>
      </c>
      <c r="P374" s="11" t="str">
        <f>(VLOOKUP($I374,Capa!$A:$J,10,0))</f>
        <v/>
      </c>
      <c r="Q374" s="169" t="str">
        <f>(VLOOKUP($I374,Capa!$A:$K,11,0))</f>
        <v/>
      </c>
      <c r="R374" s="45" t="str">
        <f>'Dados StatusInvest'!A369</f>
        <v>LUPA3</v>
      </c>
      <c r="S374" s="170">
        <f t="shared" si="234"/>
        <v>1827.0827</v>
      </c>
      <c r="T374" s="171">
        <f>VLOOKUP(R374,'Dados StatusInvest'!A:Z,26,0)</f>
        <v>261793.6</v>
      </c>
      <c r="U374" s="172">
        <f t="shared" ref="U374:AS374" si="377">IF(AT374="","", RANK(AT374,AT$7:AT$626,0)+RANK(AT374,AT$7:AT$626,0)/10000)</f>
        <v>560.056</v>
      </c>
      <c r="V374" s="172">
        <f t="shared" si="377"/>
        <v>267.0267</v>
      </c>
      <c r="W374" s="172" t="str">
        <f t="shared" si="377"/>
        <v/>
      </c>
      <c r="X374" s="172" t="str">
        <f t="shared" si="377"/>
        <v/>
      </c>
      <c r="Y374" s="172" t="str">
        <f t="shared" si="377"/>
        <v/>
      </c>
      <c r="Z374" s="172" t="str">
        <f t="shared" si="377"/>
        <v/>
      </c>
      <c r="AA374" s="172" t="str">
        <f t="shared" si="377"/>
        <v/>
      </c>
      <c r="AB374" s="172" t="str">
        <f t="shared" si="377"/>
        <v/>
      </c>
      <c r="AC374" s="172" t="str">
        <f t="shared" si="377"/>
        <v/>
      </c>
      <c r="AD374" s="172" t="str">
        <f t="shared" si="377"/>
        <v/>
      </c>
      <c r="AE374" s="172" t="str">
        <f t="shared" si="377"/>
        <v/>
      </c>
      <c r="AF374" s="172" t="str">
        <f t="shared" si="377"/>
        <v/>
      </c>
      <c r="AG374" s="172" t="str">
        <f t="shared" si="377"/>
        <v/>
      </c>
      <c r="AH374" s="172" t="str">
        <f t="shared" si="377"/>
        <v/>
      </c>
      <c r="AI374" s="172" t="str">
        <f t="shared" si="377"/>
        <v/>
      </c>
      <c r="AJ374" s="172" t="str">
        <f t="shared" si="377"/>
        <v/>
      </c>
      <c r="AK374" s="172" t="str">
        <f t="shared" si="377"/>
        <v/>
      </c>
      <c r="AL374" s="172" t="str">
        <f t="shared" si="377"/>
        <v/>
      </c>
      <c r="AM374" s="172" t="str">
        <f t="shared" si="377"/>
        <v/>
      </c>
      <c r="AN374" s="172" t="str">
        <f t="shared" si="377"/>
        <v/>
      </c>
      <c r="AO374" s="172" t="str">
        <f t="shared" si="377"/>
        <v/>
      </c>
      <c r="AP374" s="172" t="str">
        <f t="shared" si="377"/>
        <v/>
      </c>
      <c r="AQ374" s="172" t="str">
        <f t="shared" si="377"/>
        <v/>
      </c>
      <c r="AR374" s="172" t="str">
        <f t="shared" si="377"/>
        <v/>
      </c>
      <c r="AS374" s="172" t="str">
        <f t="shared" si="377"/>
        <v/>
      </c>
      <c r="AT374" s="173">
        <f>IF(AT$6="","",IF(AT$3="Maior",iferror(VLOOKUP($R374,Capa!$A:$AJ,AT$5,0),0),IF(ISERROR(1/VLOOKUP($R374,Capa!$A:$AJ,AT$5,0)),0,1/VLOOKUP($R374,Capa!$A:$AJ,AT$5,0))))</f>
        <v>-6.25</v>
      </c>
      <c r="AU374" s="174">
        <f>IF(AU$6="","",IF(AU$3="Maior",iferror(VLOOKUP($R374,Capa!$A:$AJ,AU$5,0),0),IF(ISERROR(1/VLOOKUP($R374,Capa!$A:$AJ,AU$5,0)),0,1/VLOOKUP($R374,Capa!$A:$AJ,AU$5,0))))</f>
        <v>0</v>
      </c>
      <c r="AV374" s="174" t="str">
        <f>IF(AV$6="","",IF(AV$3="Maior",iferror(VLOOKUP($R374,Capa!$A:$AJ,AV$5,0),0),IF(ISERROR(1/VLOOKUP($R374,Capa!$A:$AJ,AV$5,0)),0,1/VLOOKUP($R374,Capa!$A:$AJ,AV$5,0))))</f>
        <v/>
      </c>
      <c r="AW374" s="174" t="str">
        <f>IF(AW$6="","",IF(AW$3="Maior",iferror(VLOOKUP($R374,Capa!$A:$AJ,AW$5,0),0),IF(ISERROR(1/VLOOKUP($R374,Capa!$A:$AJ,AW$5,0)),0,1/VLOOKUP($R374,Capa!$A:$AJ,AW$5,0))))</f>
        <v/>
      </c>
      <c r="AX374" s="174" t="str">
        <f>IF(AX$6="","",IF(AX$3="Maior",iferror(VLOOKUP($R374,Capa!$A:$AJ,AX$5,0),0),IF(ISERROR(1/VLOOKUP($R374,Capa!$A:$AJ,AX$5,0)),0,1/VLOOKUP($R374,Capa!$A:$AJ,AX$5,0))))</f>
        <v/>
      </c>
      <c r="AY374" s="174" t="str">
        <f>IF(AY$6="","",IF(AY$3="Maior",iferror(VLOOKUP($R374,Capa!$A:$AJ,AY$5,0),0),IF(ISERROR(1/VLOOKUP($R374,Capa!$A:$AJ,AY$5,0)),0,1/VLOOKUP($R374,Capa!$A:$AJ,AY$5,0))))</f>
        <v/>
      </c>
      <c r="AZ374" s="174" t="str">
        <f>IF(AZ$6="","",IF(AZ$3="Maior",iferror(VLOOKUP($R374,Capa!$A:$AJ,AZ$5,0),0),IF(ISERROR(1/VLOOKUP($R374,Capa!$A:$AJ,AZ$5,0)),0,1/VLOOKUP($R374,Capa!$A:$AJ,AZ$5,0))))</f>
        <v/>
      </c>
      <c r="BA374" s="174" t="str">
        <f>IF(BA$6="","",IF(BA$3="Maior",iferror(VLOOKUP($R374,Capa!$A:$AJ,BA$5,0),0),IF(ISERROR(1/VLOOKUP($R374,Capa!$A:$AJ,BA$5,0)),0,1/VLOOKUP($R374,Capa!$A:$AJ,BA$5,0))))</f>
        <v/>
      </c>
      <c r="BB374" s="174" t="str">
        <f>IF(BB$6="","",IF(BB$3="Maior",iferror(VLOOKUP($R374,Capa!$A:$AJ,BB$5,0),0),IF(ISERROR(1/VLOOKUP($R374,Capa!$A:$AJ,BB$5,0)),0,1/VLOOKUP($R374,Capa!$A:$AJ,BB$5,0))))</f>
        <v/>
      </c>
      <c r="BC374" s="174" t="str">
        <f>IF(BC$6="","",IF(BC$3="Maior",iferror(VLOOKUP($R374,Capa!$A:$AJ,BC$5,0),0),IF(ISERROR(1/VLOOKUP($R374,Capa!$A:$AJ,BC$5,0)),0,1/VLOOKUP($R374,Capa!$A:$AJ,BC$5,0))))</f>
        <v/>
      </c>
      <c r="BD374" s="174" t="str">
        <f>IF(BD$6="","",IF(BD$3="Maior",iferror(VLOOKUP($R374,Capa!$A:$AJ,BD$5,0),0),IF(ISERROR(1/VLOOKUP($R374,Capa!$A:$AJ,BD$5,0)),0,1/VLOOKUP($R374,Capa!$A:$AJ,BD$5,0))))</f>
        <v/>
      </c>
      <c r="BE374" s="174" t="str">
        <f>IF(BE$6="","",IF(BE$3="Maior",iferror(VLOOKUP($R374,Capa!$A:$AJ,BE$5,0),0),IF(ISERROR(1/VLOOKUP($R374,Capa!$A:$AJ,BE$5,0)),0,1/VLOOKUP($R374,Capa!$A:$AJ,BE$5,0))))</f>
        <v/>
      </c>
      <c r="BF374" s="174" t="str">
        <f>IF(BF$6="","",IF(BF$3="Maior",iferror(VLOOKUP($R374,Capa!$A:$AJ,BF$5,0),0),IF(ISERROR(1/VLOOKUP($R374,Capa!$A:$AJ,BF$5,0)),0,1/VLOOKUP($R374,Capa!$A:$AJ,BF$5,0))))</f>
        <v/>
      </c>
      <c r="BG374" s="174" t="str">
        <f>IF(BG$6="","",IF(BG$3="Maior",iferror(VLOOKUP($R374,Capa!$A:$AJ,BG$5,0),0),IF(ISERROR(1/VLOOKUP($R374,Capa!$A:$AJ,BG$5,0)),0,1/VLOOKUP($R374,Capa!$A:$AJ,BG$5,0))))</f>
        <v/>
      </c>
      <c r="BH374" s="174" t="str">
        <f>IF(BH$6="","",IF(BH$3="Maior",iferror(VLOOKUP($R374,Capa!$A:$AJ,BH$5,0),0),IF(ISERROR(1/VLOOKUP($R374,Capa!$A:$AJ,BH$5,0)),0,1/VLOOKUP($R374,Capa!$A:$AJ,BH$5,0))))</f>
        <v/>
      </c>
      <c r="BI374" s="174" t="str">
        <f>IF(BI$6="","",IF(BI$3="Maior",iferror(VLOOKUP($R374,Capa!$A:$AJ,BI$5,0),0),IF(ISERROR(1/VLOOKUP($R374,Capa!$A:$AJ,BI$5,0)),0,1/VLOOKUP($R374,Capa!$A:$AJ,BI$5,0))))</f>
        <v/>
      </c>
      <c r="BJ374" s="174" t="str">
        <f>IF(BJ$6="","",IF(BJ$3="Maior",iferror(VLOOKUP($R374,Capa!$A:$AJ,BJ$5,0),0),IF(ISERROR(1/VLOOKUP($R374,Capa!$A:$AJ,BJ$5,0)),0,1/VLOOKUP($R374,Capa!$A:$AJ,BJ$5,0))))</f>
        <v/>
      </c>
      <c r="BK374" s="174" t="str">
        <f>IF(BK$6="","",IF(BK$3="Maior",iferror(VLOOKUP($R374,Capa!$A:$AJ,BK$5,0),0),IF(ISERROR(1/VLOOKUP($R374,Capa!$A:$AJ,BK$5,0)),0,1/VLOOKUP($R374,Capa!$A:$AJ,BK$5,0))))</f>
        <v/>
      </c>
      <c r="BL374" s="174" t="str">
        <f>IF(BL$6="","",IF(BL$3="Maior",iferror(VLOOKUP($R374,Capa!$A:$AJ,BL$5,0),0),IF(ISERROR(1/VLOOKUP($R374,Capa!$A:$AJ,BL$5,0)),0,1/VLOOKUP($R374,Capa!$A:$AJ,BL$5,0))))</f>
        <v/>
      </c>
      <c r="BM374" s="174" t="str">
        <f>IF(BM$6="","",IF(BM$3="Maior",iferror(VLOOKUP($R374,Capa!$A:$AJ,BM$5,0),0),IF(ISERROR(1/VLOOKUP($R374,Capa!$A:$AJ,BM$5,0)),0,1/VLOOKUP($R374,Capa!$A:$AJ,BM$5,0))))</f>
        <v/>
      </c>
      <c r="BN374" s="174" t="str">
        <f>IF(BN$6="","",IF(BN$3="Maior",iferror(VLOOKUP($R374,Capa!$A:$AJ,BN$5,0),0),IF(ISERROR(1/VLOOKUP($R374,Capa!$A:$AJ,BN$5,0)),0,1/VLOOKUP($R374,Capa!$A:$AJ,BN$5,0))))</f>
        <v/>
      </c>
      <c r="BO374" s="174" t="str">
        <f>IF(BO$6="","",IF(BO$3="Maior",iferror(VLOOKUP($R374,Capa!$A:$AJ,BO$5,0),0),IF(ISERROR(1/VLOOKUP($R374,Capa!$A:$AJ,BO$5,0)),0,1/VLOOKUP($R374,Capa!$A:$AJ,BO$5,0))))</f>
        <v/>
      </c>
      <c r="BP374" s="174" t="str">
        <f>IF(BP$6="","",IF(BP$3="Maior",iferror(VLOOKUP($R374,Capa!$A:$AJ,BP$5,0),0),IF(ISERROR(1/VLOOKUP($R374,Capa!$A:$AJ,BP$5,0)),0,1/VLOOKUP($R374,Capa!$A:$AJ,BP$5,0))))</f>
        <v/>
      </c>
      <c r="BQ374" s="174" t="str">
        <f>IF(BQ$6="","",IF(BQ$3="Maior",iferror(VLOOKUP($R374,Capa!$A:$AJ,BQ$5,0),0),IF(ISERROR(1/VLOOKUP($R374,Capa!$A:$AJ,BQ$5,0)),0,1/VLOOKUP($R374,Capa!$A:$AJ,BQ$5,0))))</f>
        <v/>
      </c>
      <c r="BR374" s="175"/>
      <c r="BS374" s="147"/>
    </row>
    <row r="375">
      <c r="G375" s="11"/>
      <c r="H375" s="8">
        <v>369.0</v>
      </c>
      <c r="I375" s="165" t="str">
        <f t="shared" si="6"/>
        <v>SEDU3</v>
      </c>
      <c r="J375" s="166" t="str">
        <f>(VLOOKUP($I375,Capa!$A:$B,2,0))</f>
        <v/>
      </c>
      <c r="K375" s="167" t="str">
        <f>VLOOKUP(left(I375,4),Setor!A:D,3,0)&amp;" | "&amp;VLOOKUP(left(I375,4),Setor!A:D,4,0)</f>
        <v>#N/A</v>
      </c>
      <c r="L375" s="168" t="str">
        <f>(VLOOKUP($I375,Capa!$A:$F,6,0))</f>
        <v/>
      </c>
      <c r="M375" s="168">
        <f t="shared" si="7"/>
        <v>0</v>
      </c>
      <c r="N375" s="177" t="str">
        <f>(VLOOKUP($I375,Capa!$A:$H,7,0))</f>
        <v/>
      </c>
      <c r="O375" s="169" t="str">
        <f>(VLOOKUP($I375,Capa!$A:$H,8,0))</f>
        <v/>
      </c>
      <c r="P375" s="169" t="str">
        <f>(VLOOKUP($I375,Capa!$A:$J,10,0))</f>
        <v/>
      </c>
      <c r="Q375" s="169" t="str">
        <f>(VLOOKUP($I375,Capa!$A:$K,11,0))</f>
        <v/>
      </c>
      <c r="R375" s="45" t="str">
        <f>'Dados StatusInvest'!A370</f>
        <v>LUXM3</v>
      </c>
      <c r="S375" s="170">
        <f t="shared" si="234"/>
        <v>1160.016</v>
      </c>
      <c r="T375" s="171">
        <f>VLOOKUP(R375,'Dados StatusInvest'!A:Z,26,0)</f>
        <v>0</v>
      </c>
      <c r="U375" s="172">
        <f t="shared" ref="U375:AS375" si="378">IF(AT375="","", RANK(AT375,AT$7:AT$626,0)+RANK(AT375,AT$7:AT$626,0)/10000)</f>
        <v>51.0051</v>
      </c>
      <c r="V375" s="172">
        <f t="shared" si="378"/>
        <v>109.0109</v>
      </c>
      <c r="W375" s="172" t="str">
        <f t="shared" si="378"/>
        <v/>
      </c>
      <c r="X375" s="172" t="str">
        <f t="shared" si="378"/>
        <v/>
      </c>
      <c r="Y375" s="172" t="str">
        <f t="shared" si="378"/>
        <v/>
      </c>
      <c r="Z375" s="172" t="str">
        <f t="shared" si="378"/>
        <v/>
      </c>
      <c r="AA375" s="172" t="str">
        <f t="shared" si="378"/>
        <v/>
      </c>
      <c r="AB375" s="172" t="str">
        <f t="shared" si="378"/>
        <v/>
      </c>
      <c r="AC375" s="172" t="str">
        <f t="shared" si="378"/>
        <v/>
      </c>
      <c r="AD375" s="172" t="str">
        <f t="shared" si="378"/>
        <v/>
      </c>
      <c r="AE375" s="172" t="str">
        <f t="shared" si="378"/>
        <v/>
      </c>
      <c r="AF375" s="172" t="str">
        <f t="shared" si="378"/>
        <v/>
      </c>
      <c r="AG375" s="172" t="str">
        <f t="shared" si="378"/>
        <v/>
      </c>
      <c r="AH375" s="172" t="str">
        <f t="shared" si="378"/>
        <v/>
      </c>
      <c r="AI375" s="172" t="str">
        <f t="shared" si="378"/>
        <v/>
      </c>
      <c r="AJ375" s="172" t="str">
        <f t="shared" si="378"/>
        <v/>
      </c>
      <c r="AK375" s="172" t="str">
        <f t="shared" si="378"/>
        <v/>
      </c>
      <c r="AL375" s="172" t="str">
        <f t="shared" si="378"/>
        <v/>
      </c>
      <c r="AM375" s="172" t="str">
        <f t="shared" si="378"/>
        <v/>
      </c>
      <c r="AN375" s="172" t="str">
        <f t="shared" si="378"/>
        <v/>
      </c>
      <c r="AO375" s="172" t="str">
        <f t="shared" si="378"/>
        <v/>
      </c>
      <c r="AP375" s="172" t="str">
        <f t="shared" si="378"/>
        <v/>
      </c>
      <c r="AQ375" s="172" t="str">
        <f t="shared" si="378"/>
        <v/>
      </c>
      <c r="AR375" s="172" t="str">
        <f t="shared" si="378"/>
        <v/>
      </c>
      <c r="AS375" s="172" t="str">
        <f t="shared" si="378"/>
        <v/>
      </c>
      <c r="AT375" s="173">
        <f>IF(AT$6="","",IF(AT$3="Maior",iferror(VLOOKUP($R375,Capa!$A:$AJ,AT$5,0),0),IF(ISERROR(1/VLOOKUP($R375,Capa!$A:$AJ,AT$5,0)),0,1/VLOOKUP($R375,Capa!$A:$AJ,AT$5,0))))</f>
        <v>0</v>
      </c>
      <c r="AU375" s="174">
        <f>IF(AU$6="","",IF(AU$3="Maior",iferror(VLOOKUP($R375,Capa!$A:$AJ,AU$5,0),0),IF(ISERROR(1/VLOOKUP($R375,Capa!$A:$AJ,AU$5,0)),0,1/VLOOKUP($R375,Capa!$A:$AJ,AU$5,0))))</f>
        <v>26.26</v>
      </c>
      <c r="AV375" s="174" t="str">
        <f>IF(AV$6="","",IF(AV$3="Maior",iferror(VLOOKUP($R375,Capa!$A:$AJ,AV$5,0),0),IF(ISERROR(1/VLOOKUP($R375,Capa!$A:$AJ,AV$5,0)),0,1/VLOOKUP($R375,Capa!$A:$AJ,AV$5,0))))</f>
        <v/>
      </c>
      <c r="AW375" s="174" t="str">
        <f>IF(AW$6="","",IF(AW$3="Maior",iferror(VLOOKUP($R375,Capa!$A:$AJ,AW$5,0),0),IF(ISERROR(1/VLOOKUP($R375,Capa!$A:$AJ,AW$5,0)),0,1/VLOOKUP($R375,Capa!$A:$AJ,AW$5,0))))</f>
        <v/>
      </c>
      <c r="AX375" s="174" t="str">
        <f>IF(AX$6="","",IF(AX$3="Maior",iferror(VLOOKUP($R375,Capa!$A:$AJ,AX$5,0),0),IF(ISERROR(1/VLOOKUP($R375,Capa!$A:$AJ,AX$5,0)),0,1/VLOOKUP($R375,Capa!$A:$AJ,AX$5,0))))</f>
        <v/>
      </c>
      <c r="AY375" s="174" t="str">
        <f>IF(AY$6="","",IF(AY$3="Maior",iferror(VLOOKUP($R375,Capa!$A:$AJ,AY$5,0),0),IF(ISERROR(1/VLOOKUP($R375,Capa!$A:$AJ,AY$5,0)),0,1/VLOOKUP($R375,Capa!$A:$AJ,AY$5,0))))</f>
        <v/>
      </c>
      <c r="AZ375" s="174" t="str">
        <f>IF(AZ$6="","",IF(AZ$3="Maior",iferror(VLOOKUP($R375,Capa!$A:$AJ,AZ$5,0),0),IF(ISERROR(1/VLOOKUP($R375,Capa!$A:$AJ,AZ$5,0)),0,1/VLOOKUP($R375,Capa!$A:$AJ,AZ$5,0))))</f>
        <v/>
      </c>
      <c r="BA375" s="174" t="str">
        <f>IF(BA$6="","",IF(BA$3="Maior",iferror(VLOOKUP($R375,Capa!$A:$AJ,BA$5,0),0),IF(ISERROR(1/VLOOKUP($R375,Capa!$A:$AJ,BA$5,0)),0,1/VLOOKUP($R375,Capa!$A:$AJ,BA$5,0))))</f>
        <v/>
      </c>
      <c r="BB375" s="174" t="str">
        <f>IF(BB$6="","",IF(BB$3="Maior",iferror(VLOOKUP($R375,Capa!$A:$AJ,BB$5,0),0),IF(ISERROR(1/VLOOKUP($R375,Capa!$A:$AJ,BB$5,0)),0,1/VLOOKUP($R375,Capa!$A:$AJ,BB$5,0))))</f>
        <v/>
      </c>
      <c r="BC375" s="174" t="str">
        <f>IF(BC$6="","",IF(BC$3="Maior",iferror(VLOOKUP($R375,Capa!$A:$AJ,BC$5,0),0),IF(ISERROR(1/VLOOKUP($R375,Capa!$A:$AJ,BC$5,0)),0,1/VLOOKUP($R375,Capa!$A:$AJ,BC$5,0))))</f>
        <v/>
      </c>
      <c r="BD375" s="174" t="str">
        <f>IF(BD$6="","",IF(BD$3="Maior",iferror(VLOOKUP($R375,Capa!$A:$AJ,BD$5,0),0),IF(ISERROR(1/VLOOKUP($R375,Capa!$A:$AJ,BD$5,0)),0,1/VLOOKUP($R375,Capa!$A:$AJ,BD$5,0))))</f>
        <v/>
      </c>
      <c r="BE375" s="174" t="str">
        <f>IF(BE$6="","",IF(BE$3="Maior",iferror(VLOOKUP($R375,Capa!$A:$AJ,BE$5,0),0),IF(ISERROR(1/VLOOKUP($R375,Capa!$A:$AJ,BE$5,0)),0,1/VLOOKUP($R375,Capa!$A:$AJ,BE$5,0))))</f>
        <v/>
      </c>
      <c r="BF375" s="174" t="str">
        <f>IF(BF$6="","",IF(BF$3="Maior",iferror(VLOOKUP($R375,Capa!$A:$AJ,BF$5,0),0),IF(ISERROR(1/VLOOKUP($R375,Capa!$A:$AJ,BF$5,0)),0,1/VLOOKUP($R375,Capa!$A:$AJ,BF$5,0))))</f>
        <v/>
      </c>
      <c r="BG375" s="174" t="str">
        <f>IF(BG$6="","",IF(BG$3="Maior",iferror(VLOOKUP($R375,Capa!$A:$AJ,BG$5,0),0),IF(ISERROR(1/VLOOKUP($R375,Capa!$A:$AJ,BG$5,0)),0,1/VLOOKUP($R375,Capa!$A:$AJ,BG$5,0))))</f>
        <v/>
      </c>
      <c r="BH375" s="174" t="str">
        <f>IF(BH$6="","",IF(BH$3="Maior",iferror(VLOOKUP($R375,Capa!$A:$AJ,BH$5,0),0),IF(ISERROR(1/VLOOKUP($R375,Capa!$A:$AJ,BH$5,0)),0,1/VLOOKUP($R375,Capa!$A:$AJ,BH$5,0))))</f>
        <v/>
      </c>
      <c r="BI375" s="174" t="str">
        <f>IF(BI$6="","",IF(BI$3="Maior",iferror(VLOOKUP($R375,Capa!$A:$AJ,BI$5,0),0),IF(ISERROR(1/VLOOKUP($R375,Capa!$A:$AJ,BI$5,0)),0,1/VLOOKUP($R375,Capa!$A:$AJ,BI$5,0))))</f>
        <v/>
      </c>
      <c r="BJ375" s="174" t="str">
        <f>IF(BJ$6="","",IF(BJ$3="Maior",iferror(VLOOKUP($R375,Capa!$A:$AJ,BJ$5,0),0),IF(ISERROR(1/VLOOKUP($R375,Capa!$A:$AJ,BJ$5,0)),0,1/VLOOKUP($R375,Capa!$A:$AJ,BJ$5,0))))</f>
        <v/>
      </c>
      <c r="BK375" s="174" t="str">
        <f>IF(BK$6="","",IF(BK$3="Maior",iferror(VLOOKUP($R375,Capa!$A:$AJ,BK$5,0),0),IF(ISERROR(1/VLOOKUP($R375,Capa!$A:$AJ,BK$5,0)),0,1/VLOOKUP($R375,Capa!$A:$AJ,BK$5,0))))</f>
        <v/>
      </c>
      <c r="BL375" s="174" t="str">
        <f>IF(BL$6="","",IF(BL$3="Maior",iferror(VLOOKUP($R375,Capa!$A:$AJ,BL$5,0),0),IF(ISERROR(1/VLOOKUP($R375,Capa!$A:$AJ,BL$5,0)),0,1/VLOOKUP($R375,Capa!$A:$AJ,BL$5,0))))</f>
        <v/>
      </c>
      <c r="BM375" s="174" t="str">
        <f>IF(BM$6="","",IF(BM$3="Maior",iferror(VLOOKUP($R375,Capa!$A:$AJ,BM$5,0),0),IF(ISERROR(1/VLOOKUP($R375,Capa!$A:$AJ,BM$5,0)),0,1/VLOOKUP($R375,Capa!$A:$AJ,BM$5,0))))</f>
        <v/>
      </c>
      <c r="BN375" s="174" t="str">
        <f>IF(BN$6="","",IF(BN$3="Maior",iferror(VLOOKUP($R375,Capa!$A:$AJ,BN$5,0),0),IF(ISERROR(1/VLOOKUP($R375,Capa!$A:$AJ,BN$5,0)),0,1/VLOOKUP($R375,Capa!$A:$AJ,BN$5,0))))</f>
        <v/>
      </c>
      <c r="BO375" s="174" t="str">
        <f>IF(BO$6="","",IF(BO$3="Maior",iferror(VLOOKUP($R375,Capa!$A:$AJ,BO$5,0),0),IF(ISERROR(1/VLOOKUP($R375,Capa!$A:$AJ,BO$5,0)),0,1/VLOOKUP($R375,Capa!$A:$AJ,BO$5,0))))</f>
        <v/>
      </c>
      <c r="BP375" s="174" t="str">
        <f>IF(BP$6="","",IF(BP$3="Maior",iferror(VLOOKUP($R375,Capa!$A:$AJ,BP$5,0),0),IF(ISERROR(1/VLOOKUP($R375,Capa!$A:$AJ,BP$5,0)),0,1/VLOOKUP($R375,Capa!$A:$AJ,BP$5,0))))</f>
        <v/>
      </c>
      <c r="BQ375" s="174" t="str">
        <f>IF(BQ$6="","",IF(BQ$3="Maior",iferror(VLOOKUP($R375,Capa!$A:$AJ,BQ$5,0),0),IF(ISERROR(1/VLOOKUP($R375,Capa!$A:$AJ,BQ$5,0)),0,1/VLOOKUP($R375,Capa!$A:$AJ,BQ$5,0))))</f>
        <v/>
      </c>
      <c r="BR375" s="175"/>
      <c r="BS375" s="147"/>
    </row>
    <row r="376">
      <c r="G376" s="11"/>
      <c r="H376" s="8">
        <v>370.0</v>
      </c>
      <c r="I376" s="165" t="str">
        <f t="shared" si="6"/>
        <v>ENMA3B</v>
      </c>
      <c r="J376" s="166" t="str">
        <f>(VLOOKUP($I376,Capa!$A:$B,2,0))</f>
        <v/>
      </c>
      <c r="K376" s="167" t="str">
        <f>VLOOKUP(left(I376,4),Setor!A:D,3,0)&amp;" | "&amp;VLOOKUP(left(I376,4),Setor!A:D,4,0)</f>
        <v>#N/A</v>
      </c>
      <c r="L376" s="168" t="str">
        <f>(VLOOKUP($I376,Capa!$A:$F,6,0))</f>
        <v/>
      </c>
      <c r="M376" s="168">
        <f t="shared" si="7"/>
        <v>0</v>
      </c>
      <c r="N376" s="11" t="str">
        <f>(VLOOKUP($I376,Capa!$A:$H,7,0))</f>
        <v/>
      </c>
      <c r="O376" s="169" t="str">
        <f>(VLOOKUP($I376,Capa!$A:$H,8,0))</f>
        <v/>
      </c>
      <c r="P376" s="11" t="str">
        <f>(VLOOKUP($I376,Capa!$A:$J,10,0))</f>
        <v/>
      </c>
      <c r="Q376" s="169" t="str">
        <f>(VLOOKUP($I376,Capa!$A:$K,11,0))</f>
        <v/>
      </c>
      <c r="R376" s="45" t="str">
        <f>'Dados StatusInvest'!A371</f>
        <v>LUXM4</v>
      </c>
      <c r="S376" s="170">
        <f t="shared" si="234"/>
        <v>1470.047</v>
      </c>
      <c r="T376" s="171">
        <f>VLOOKUP(R376,'Dados StatusInvest'!A:Z,26,0)</f>
        <v>24108.67</v>
      </c>
      <c r="U376" s="172">
        <f t="shared" ref="U376:AS376" si="379">IF(AT376="","", RANK(AT376,AT$7:AT$626,0)+RANK(AT376,AT$7:AT$626,0)/10000)</f>
        <v>361.0361</v>
      </c>
      <c r="V376" s="172">
        <f t="shared" si="379"/>
        <v>109.0109</v>
      </c>
      <c r="W376" s="172" t="str">
        <f t="shared" si="379"/>
        <v/>
      </c>
      <c r="X376" s="172" t="str">
        <f t="shared" si="379"/>
        <v/>
      </c>
      <c r="Y376" s="172" t="str">
        <f t="shared" si="379"/>
        <v/>
      </c>
      <c r="Z376" s="172" t="str">
        <f t="shared" si="379"/>
        <v/>
      </c>
      <c r="AA376" s="172" t="str">
        <f t="shared" si="379"/>
        <v/>
      </c>
      <c r="AB376" s="172" t="str">
        <f t="shared" si="379"/>
        <v/>
      </c>
      <c r="AC376" s="172" t="str">
        <f t="shared" si="379"/>
        <v/>
      </c>
      <c r="AD376" s="172" t="str">
        <f t="shared" si="379"/>
        <v/>
      </c>
      <c r="AE376" s="172" t="str">
        <f t="shared" si="379"/>
        <v/>
      </c>
      <c r="AF376" s="172" t="str">
        <f t="shared" si="379"/>
        <v/>
      </c>
      <c r="AG376" s="172" t="str">
        <f t="shared" si="379"/>
        <v/>
      </c>
      <c r="AH376" s="172" t="str">
        <f t="shared" si="379"/>
        <v/>
      </c>
      <c r="AI376" s="172" t="str">
        <f t="shared" si="379"/>
        <v/>
      </c>
      <c r="AJ376" s="172" t="str">
        <f t="shared" si="379"/>
        <v/>
      </c>
      <c r="AK376" s="172" t="str">
        <f t="shared" si="379"/>
        <v/>
      </c>
      <c r="AL376" s="172" t="str">
        <f t="shared" si="379"/>
        <v/>
      </c>
      <c r="AM376" s="172" t="str">
        <f t="shared" si="379"/>
        <v/>
      </c>
      <c r="AN376" s="172" t="str">
        <f t="shared" si="379"/>
        <v/>
      </c>
      <c r="AO376" s="172" t="str">
        <f t="shared" si="379"/>
        <v/>
      </c>
      <c r="AP376" s="172" t="str">
        <f t="shared" si="379"/>
        <v/>
      </c>
      <c r="AQ376" s="172" t="str">
        <f t="shared" si="379"/>
        <v/>
      </c>
      <c r="AR376" s="172" t="str">
        <f t="shared" si="379"/>
        <v/>
      </c>
      <c r="AS376" s="172" t="str">
        <f t="shared" si="379"/>
        <v/>
      </c>
      <c r="AT376" s="173">
        <f>IF(AT$6="","",IF(AT$3="Maior",iferror(VLOOKUP($R376,Capa!$A:$AJ,AT$5,0),0),IF(ISERROR(1/VLOOKUP($R376,Capa!$A:$AJ,AT$5,0)),0,1/VLOOKUP($R376,Capa!$A:$AJ,AT$5,0))))</f>
        <v>-1.063829787</v>
      </c>
      <c r="AU376" s="174">
        <f>IF(AU$6="","",IF(AU$3="Maior",iferror(VLOOKUP($R376,Capa!$A:$AJ,AU$5,0),0),IF(ISERROR(1/VLOOKUP($R376,Capa!$A:$AJ,AU$5,0)),0,1/VLOOKUP($R376,Capa!$A:$AJ,AU$5,0))))</f>
        <v>26.26</v>
      </c>
      <c r="AV376" s="174" t="str">
        <f>IF(AV$6="","",IF(AV$3="Maior",iferror(VLOOKUP($R376,Capa!$A:$AJ,AV$5,0),0),IF(ISERROR(1/VLOOKUP($R376,Capa!$A:$AJ,AV$5,0)),0,1/VLOOKUP($R376,Capa!$A:$AJ,AV$5,0))))</f>
        <v/>
      </c>
      <c r="AW376" s="174" t="str">
        <f>IF(AW$6="","",IF(AW$3="Maior",iferror(VLOOKUP($R376,Capa!$A:$AJ,AW$5,0),0),IF(ISERROR(1/VLOOKUP($R376,Capa!$A:$AJ,AW$5,0)),0,1/VLOOKUP($R376,Capa!$A:$AJ,AW$5,0))))</f>
        <v/>
      </c>
      <c r="AX376" s="174" t="str">
        <f>IF(AX$6="","",IF(AX$3="Maior",iferror(VLOOKUP($R376,Capa!$A:$AJ,AX$5,0),0),IF(ISERROR(1/VLOOKUP($R376,Capa!$A:$AJ,AX$5,0)),0,1/VLOOKUP($R376,Capa!$A:$AJ,AX$5,0))))</f>
        <v/>
      </c>
      <c r="AY376" s="174" t="str">
        <f>IF(AY$6="","",IF(AY$3="Maior",iferror(VLOOKUP($R376,Capa!$A:$AJ,AY$5,0),0),IF(ISERROR(1/VLOOKUP($R376,Capa!$A:$AJ,AY$5,0)),0,1/VLOOKUP($R376,Capa!$A:$AJ,AY$5,0))))</f>
        <v/>
      </c>
      <c r="AZ376" s="174" t="str">
        <f>IF(AZ$6="","",IF(AZ$3="Maior",iferror(VLOOKUP($R376,Capa!$A:$AJ,AZ$5,0),0),IF(ISERROR(1/VLOOKUP($R376,Capa!$A:$AJ,AZ$5,0)),0,1/VLOOKUP($R376,Capa!$A:$AJ,AZ$5,0))))</f>
        <v/>
      </c>
      <c r="BA376" s="174" t="str">
        <f>IF(BA$6="","",IF(BA$3="Maior",iferror(VLOOKUP($R376,Capa!$A:$AJ,BA$5,0),0),IF(ISERROR(1/VLOOKUP($R376,Capa!$A:$AJ,BA$5,0)),0,1/VLOOKUP($R376,Capa!$A:$AJ,BA$5,0))))</f>
        <v/>
      </c>
      <c r="BB376" s="174" t="str">
        <f>IF(BB$6="","",IF(BB$3="Maior",iferror(VLOOKUP($R376,Capa!$A:$AJ,BB$5,0),0),IF(ISERROR(1/VLOOKUP($R376,Capa!$A:$AJ,BB$5,0)),0,1/VLOOKUP($R376,Capa!$A:$AJ,BB$5,0))))</f>
        <v/>
      </c>
      <c r="BC376" s="174" t="str">
        <f>IF(BC$6="","",IF(BC$3="Maior",iferror(VLOOKUP($R376,Capa!$A:$AJ,BC$5,0),0),IF(ISERROR(1/VLOOKUP($R376,Capa!$A:$AJ,BC$5,0)),0,1/VLOOKUP($R376,Capa!$A:$AJ,BC$5,0))))</f>
        <v/>
      </c>
      <c r="BD376" s="174" t="str">
        <f>IF(BD$6="","",IF(BD$3="Maior",iferror(VLOOKUP($R376,Capa!$A:$AJ,BD$5,0),0),IF(ISERROR(1/VLOOKUP($R376,Capa!$A:$AJ,BD$5,0)),0,1/VLOOKUP($R376,Capa!$A:$AJ,BD$5,0))))</f>
        <v/>
      </c>
      <c r="BE376" s="174" t="str">
        <f>IF(BE$6="","",IF(BE$3="Maior",iferror(VLOOKUP($R376,Capa!$A:$AJ,BE$5,0),0),IF(ISERROR(1/VLOOKUP($R376,Capa!$A:$AJ,BE$5,0)),0,1/VLOOKUP($R376,Capa!$A:$AJ,BE$5,0))))</f>
        <v/>
      </c>
      <c r="BF376" s="174" t="str">
        <f>IF(BF$6="","",IF(BF$3="Maior",iferror(VLOOKUP($R376,Capa!$A:$AJ,BF$5,0),0),IF(ISERROR(1/VLOOKUP($R376,Capa!$A:$AJ,BF$5,0)),0,1/VLOOKUP($R376,Capa!$A:$AJ,BF$5,0))))</f>
        <v/>
      </c>
      <c r="BG376" s="174" t="str">
        <f>IF(BG$6="","",IF(BG$3="Maior",iferror(VLOOKUP($R376,Capa!$A:$AJ,BG$5,0),0),IF(ISERROR(1/VLOOKUP($R376,Capa!$A:$AJ,BG$5,0)),0,1/VLOOKUP($R376,Capa!$A:$AJ,BG$5,0))))</f>
        <v/>
      </c>
      <c r="BH376" s="174" t="str">
        <f>IF(BH$6="","",IF(BH$3="Maior",iferror(VLOOKUP($R376,Capa!$A:$AJ,BH$5,0),0),IF(ISERROR(1/VLOOKUP($R376,Capa!$A:$AJ,BH$5,0)),0,1/VLOOKUP($R376,Capa!$A:$AJ,BH$5,0))))</f>
        <v/>
      </c>
      <c r="BI376" s="174" t="str">
        <f>IF(BI$6="","",IF(BI$3="Maior",iferror(VLOOKUP($R376,Capa!$A:$AJ,BI$5,0),0),IF(ISERROR(1/VLOOKUP($R376,Capa!$A:$AJ,BI$5,0)),0,1/VLOOKUP($R376,Capa!$A:$AJ,BI$5,0))))</f>
        <v/>
      </c>
      <c r="BJ376" s="174" t="str">
        <f>IF(BJ$6="","",IF(BJ$3="Maior",iferror(VLOOKUP($R376,Capa!$A:$AJ,BJ$5,0),0),IF(ISERROR(1/VLOOKUP($R376,Capa!$A:$AJ,BJ$5,0)),0,1/VLOOKUP($R376,Capa!$A:$AJ,BJ$5,0))))</f>
        <v/>
      </c>
      <c r="BK376" s="174" t="str">
        <f>IF(BK$6="","",IF(BK$3="Maior",iferror(VLOOKUP($R376,Capa!$A:$AJ,BK$5,0),0),IF(ISERROR(1/VLOOKUP($R376,Capa!$A:$AJ,BK$5,0)),0,1/VLOOKUP($R376,Capa!$A:$AJ,BK$5,0))))</f>
        <v/>
      </c>
      <c r="BL376" s="174" t="str">
        <f>IF(BL$6="","",IF(BL$3="Maior",iferror(VLOOKUP($R376,Capa!$A:$AJ,BL$5,0),0),IF(ISERROR(1/VLOOKUP($R376,Capa!$A:$AJ,BL$5,0)),0,1/VLOOKUP($R376,Capa!$A:$AJ,BL$5,0))))</f>
        <v/>
      </c>
      <c r="BM376" s="174" t="str">
        <f>IF(BM$6="","",IF(BM$3="Maior",iferror(VLOOKUP($R376,Capa!$A:$AJ,BM$5,0),0),IF(ISERROR(1/VLOOKUP($R376,Capa!$A:$AJ,BM$5,0)),0,1/VLOOKUP($R376,Capa!$A:$AJ,BM$5,0))))</f>
        <v/>
      </c>
      <c r="BN376" s="174" t="str">
        <f>IF(BN$6="","",IF(BN$3="Maior",iferror(VLOOKUP($R376,Capa!$A:$AJ,BN$5,0),0),IF(ISERROR(1/VLOOKUP($R376,Capa!$A:$AJ,BN$5,0)),0,1/VLOOKUP($R376,Capa!$A:$AJ,BN$5,0))))</f>
        <v/>
      </c>
      <c r="BO376" s="174" t="str">
        <f>IF(BO$6="","",IF(BO$3="Maior",iferror(VLOOKUP($R376,Capa!$A:$AJ,BO$5,0),0),IF(ISERROR(1/VLOOKUP($R376,Capa!$A:$AJ,BO$5,0)),0,1/VLOOKUP($R376,Capa!$A:$AJ,BO$5,0))))</f>
        <v/>
      </c>
      <c r="BP376" s="174" t="str">
        <f>IF(BP$6="","",IF(BP$3="Maior",iferror(VLOOKUP($R376,Capa!$A:$AJ,BP$5,0),0),IF(ISERROR(1/VLOOKUP($R376,Capa!$A:$AJ,BP$5,0)),0,1/VLOOKUP($R376,Capa!$A:$AJ,BP$5,0))))</f>
        <v/>
      </c>
      <c r="BQ376" s="174" t="str">
        <f>IF(BQ$6="","",IF(BQ$3="Maior",iferror(VLOOKUP($R376,Capa!$A:$AJ,BQ$5,0),0),IF(ISERROR(1/VLOOKUP($R376,Capa!$A:$AJ,BQ$5,0)),0,1/VLOOKUP($R376,Capa!$A:$AJ,BQ$5,0))))</f>
        <v/>
      </c>
      <c r="BR376" s="175"/>
      <c r="BS376" s="147"/>
    </row>
    <row r="377">
      <c r="G377" s="11"/>
      <c r="H377" s="8">
        <v>371.0</v>
      </c>
      <c r="I377" s="165" t="str">
        <f t="shared" si="6"/>
        <v>ENMA3B</v>
      </c>
      <c r="J377" s="166" t="str">
        <f>(VLOOKUP($I377,Capa!$A:$B,2,0))</f>
        <v/>
      </c>
      <c r="K377" s="167" t="str">
        <f>VLOOKUP(left(I377,4),Setor!A:D,3,0)&amp;" | "&amp;VLOOKUP(left(I377,4),Setor!A:D,4,0)</f>
        <v>#N/A</v>
      </c>
      <c r="L377" s="168" t="str">
        <f>(VLOOKUP($I377,Capa!$A:$F,6,0))</f>
        <v/>
      </c>
      <c r="M377" s="168">
        <f t="shared" si="7"/>
        <v>0</v>
      </c>
      <c r="N377" s="11" t="str">
        <f>(VLOOKUP($I377,Capa!$A:$H,7,0))</f>
        <v/>
      </c>
      <c r="O377" s="169" t="str">
        <f>(VLOOKUP($I377,Capa!$A:$H,8,0))</f>
        <v/>
      </c>
      <c r="P377" s="11" t="str">
        <f>(VLOOKUP($I377,Capa!$A:$J,10,0))</f>
        <v/>
      </c>
      <c r="Q377" s="169" t="str">
        <f>(VLOOKUP($I377,Capa!$A:$K,11,0))</f>
        <v/>
      </c>
      <c r="R377" s="45" t="str">
        <f>'Dados StatusInvest'!A372</f>
        <v>LWSA3</v>
      </c>
      <c r="S377" s="170">
        <f t="shared" si="234"/>
        <v>612.0612</v>
      </c>
      <c r="T377" s="171">
        <f>VLOOKUP(R377,'Dados StatusInvest'!A:Z,26,0)</f>
        <v>26126598</v>
      </c>
      <c r="U377" s="172">
        <f t="shared" ref="U377:AS377" si="380">IF(AT377="","", RANK(AT377,AT$7:AT$626,0)+RANK(AT377,AT$7:AT$626,0)/10000)</f>
        <v>345.0345</v>
      </c>
      <c r="V377" s="172">
        <f t="shared" si="380"/>
        <v>267.0267</v>
      </c>
      <c r="W377" s="172" t="str">
        <f t="shared" si="380"/>
        <v/>
      </c>
      <c r="X377" s="172" t="str">
        <f t="shared" si="380"/>
        <v/>
      </c>
      <c r="Y377" s="172" t="str">
        <f t="shared" si="380"/>
        <v/>
      </c>
      <c r="Z377" s="172" t="str">
        <f t="shared" si="380"/>
        <v/>
      </c>
      <c r="AA377" s="172" t="str">
        <f t="shared" si="380"/>
        <v/>
      </c>
      <c r="AB377" s="172" t="str">
        <f t="shared" si="380"/>
        <v/>
      </c>
      <c r="AC377" s="172" t="str">
        <f t="shared" si="380"/>
        <v/>
      </c>
      <c r="AD377" s="172" t="str">
        <f t="shared" si="380"/>
        <v/>
      </c>
      <c r="AE377" s="172" t="str">
        <f t="shared" si="380"/>
        <v/>
      </c>
      <c r="AF377" s="172" t="str">
        <f t="shared" si="380"/>
        <v/>
      </c>
      <c r="AG377" s="172" t="str">
        <f t="shared" si="380"/>
        <v/>
      </c>
      <c r="AH377" s="172" t="str">
        <f t="shared" si="380"/>
        <v/>
      </c>
      <c r="AI377" s="172" t="str">
        <f t="shared" si="380"/>
        <v/>
      </c>
      <c r="AJ377" s="172" t="str">
        <f t="shared" si="380"/>
        <v/>
      </c>
      <c r="AK377" s="172" t="str">
        <f t="shared" si="380"/>
        <v/>
      </c>
      <c r="AL377" s="172" t="str">
        <f t="shared" si="380"/>
        <v/>
      </c>
      <c r="AM377" s="172" t="str">
        <f t="shared" si="380"/>
        <v/>
      </c>
      <c r="AN377" s="172" t="str">
        <f t="shared" si="380"/>
        <v/>
      </c>
      <c r="AO377" s="172" t="str">
        <f t="shared" si="380"/>
        <v/>
      </c>
      <c r="AP377" s="172" t="str">
        <f t="shared" si="380"/>
        <v/>
      </c>
      <c r="AQ377" s="172" t="str">
        <f t="shared" si="380"/>
        <v/>
      </c>
      <c r="AR377" s="172" t="str">
        <f t="shared" si="380"/>
        <v/>
      </c>
      <c r="AS377" s="172" t="str">
        <f t="shared" si="380"/>
        <v/>
      </c>
      <c r="AT377" s="173">
        <f>IF(AT$6="","",IF(AT$3="Maior",iferror(VLOOKUP($R377,Capa!$A:$AJ,AT$5,0),0),IF(ISERROR(1/VLOOKUP($R377,Capa!$A:$AJ,AT$5,0)),0,1/VLOOKUP($R377,Capa!$A:$AJ,AT$5,0))))</f>
        <v>-0.9739121051</v>
      </c>
      <c r="AU377" s="174">
        <f>IF(AU$6="","",IF(AU$3="Maior",iferror(VLOOKUP($R377,Capa!$A:$AJ,AU$5,0),0),IF(ISERROR(1/VLOOKUP($R377,Capa!$A:$AJ,AU$5,0)),0,1/VLOOKUP($R377,Capa!$A:$AJ,AU$5,0))))</f>
        <v>0</v>
      </c>
      <c r="AV377" s="174" t="str">
        <f>IF(AV$6="","",IF(AV$3="Maior",iferror(VLOOKUP($R377,Capa!$A:$AJ,AV$5,0),0),IF(ISERROR(1/VLOOKUP($R377,Capa!$A:$AJ,AV$5,0)),0,1/VLOOKUP($R377,Capa!$A:$AJ,AV$5,0))))</f>
        <v/>
      </c>
      <c r="AW377" s="174" t="str">
        <f>IF(AW$6="","",IF(AW$3="Maior",iferror(VLOOKUP($R377,Capa!$A:$AJ,AW$5,0),0),IF(ISERROR(1/VLOOKUP($R377,Capa!$A:$AJ,AW$5,0)),0,1/VLOOKUP($R377,Capa!$A:$AJ,AW$5,0))))</f>
        <v/>
      </c>
      <c r="AX377" s="174" t="str">
        <f>IF(AX$6="","",IF(AX$3="Maior",iferror(VLOOKUP($R377,Capa!$A:$AJ,AX$5,0),0),IF(ISERROR(1/VLOOKUP($R377,Capa!$A:$AJ,AX$5,0)),0,1/VLOOKUP($R377,Capa!$A:$AJ,AX$5,0))))</f>
        <v/>
      </c>
      <c r="AY377" s="174" t="str">
        <f>IF(AY$6="","",IF(AY$3="Maior",iferror(VLOOKUP($R377,Capa!$A:$AJ,AY$5,0),0),IF(ISERROR(1/VLOOKUP($R377,Capa!$A:$AJ,AY$5,0)),0,1/VLOOKUP($R377,Capa!$A:$AJ,AY$5,0))))</f>
        <v/>
      </c>
      <c r="AZ377" s="174" t="str">
        <f>IF(AZ$6="","",IF(AZ$3="Maior",iferror(VLOOKUP($R377,Capa!$A:$AJ,AZ$5,0),0),IF(ISERROR(1/VLOOKUP($R377,Capa!$A:$AJ,AZ$5,0)),0,1/VLOOKUP($R377,Capa!$A:$AJ,AZ$5,0))))</f>
        <v/>
      </c>
      <c r="BA377" s="174" t="str">
        <f>IF(BA$6="","",IF(BA$3="Maior",iferror(VLOOKUP($R377,Capa!$A:$AJ,BA$5,0),0),IF(ISERROR(1/VLOOKUP($R377,Capa!$A:$AJ,BA$5,0)),0,1/VLOOKUP($R377,Capa!$A:$AJ,BA$5,0))))</f>
        <v/>
      </c>
      <c r="BB377" s="174" t="str">
        <f>IF(BB$6="","",IF(BB$3="Maior",iferror(VLOOKUP($R377,Capa!$A:$AJ,BB$5,0),0),IF(ISERROR(1/VLOOKUP($R377,Capa!$A:$AJ,BB$5,0)),0,1/VLOOKUP($R377,Capa!$A:$AJ,BB$5,0))))</f>
        <v/>
      </c>
      <c r="BC377" s="174" t="str">
        <f>IF(BC$6="","",IF(BC$3="Maior",iferror(VLOOKUP($R377,Capa!$A:$AJ,BC$5,0),0),IF(ISERROR(1/VLOOKUP($R377,Capa!$A:$AJ,BC$5,0)),0,1/VLOOKUP($R377,Capa!$A:$AJ,BC$5,0))))</f>
        <v/>
      </c>
      <c r="BD377" s="174" t="str">
        <f>IF(BD$6="","",IF(BD$3="Maior",iferror(VLOOKUP($R377,Capa!$A:$AJ,BD$5,0),0),IF(ISERROR(1/VLOOKUP($R377,Capa!$A:$AJ,BD$5,0)),0,1/VLOOKUP($R377,Capa!$A:$AJ,BD$5,0))))</f>
        <v/>
      </c>
      <c r="BE377" s="174" t="str">
        <f>IF(BE$6="","",IF(BE$3="Maior",iferror(VLOOKUP($R377,Capa!$A:$AJ,BE$5,0),0),IF(ISERROR(1/VLOOKUP($R377,Capa!$A:$AJ,BE$5,0)),0,1/VLOOKUP($R377,Capa!$A:$AJ,BE$5,0))))</f>
        <v/>
      </c>
      <c r="BF377" s="174" t="str">
        <f>IF(BF$6="","",IF(BF$3="Maior",iferror(VLOOKUP($R377,Capa!$A:$AJ,BF$5,0),0),IF(ISERROR(1/VLOOKUP($R377,Capa!$A:$AJ,BF$5,0)),0,1/VLOOKUP($R377,Capa!$A:$AJ,BF$5,0))))</f>
        <v/>
      </c>
      <c r="BG377" s="174" t="str">
        <f>IF(BG$6="","",IF(BG$3="Maior",iferror(VLOOKUP($R377,Capa!$A:$AJ,BG$5,0),0),IF(ISERROR(1/VLOOKUP($R377,Capa!$A:$AJ,BG$5,0)),0,1/VLOOKUP($R377,Capa!$A:$AJ,BG$5,0))))</f>
        <v/>
      </c>
      <c r="BH377" s="174" t="str">
        <f>IF(BH$6="","",IF(BH$3="Maior",iferror(VLOOKUP($R377,Capa!$A:$AJ,BH$5,0),0),IF(ISERROR(1/VLOOKUP($R377,Capa!$A:$AJ,BH$5,0)),0,1/VLOOKUP($R377,Capa!$A:$AJ,BH$5,0))))</f>
        <v/>
      </c>
      <c r="BI377" s="174" t="str">
        <f>IF(BI$6="","",IF(BI$3="Maior",iferror(VLOOKUP($R377,Capa!$A:$AJ,BI$5,0),0),IF(ISERROR(1/VLOOKUP($R377,Capa!$A:$AJ,BI$5,0)),0,1/VLOOKUP($R377,Capa!$A:$AJ,BI$5,0))))</f>
        <v/>
      </c>
      <c r="BJ377" s="174" t="str">
        <f>IF(BJ$6="","",IF(BJ$3="Maior",iferror(VLOOKUP($R377,Capa!$A:$AJ,BJ$5,0),0),IF(ISERROR(1/VLOOKUP($R377,Capa!$A:$AJ,BJ$5,0)),0,1/VLOOKUP($R377,Capa!$A:$AJ,BJ$5,0))))</f>
        <v/>
      </c>
      <c r="BK377" s="174" t="str">
        <f>IF(BK$6="","",IF(BK$3="Maior",iferror(VLOOKUP($R377,Capa!$A:$AJ,BK$5,0),0),IF(ISERROR(1/VLOOKUP($R377,Capa!$A:$AJ,BK$5,0)),0,1/VLOOKUP($R377,Capa!$A:$AJ,BK$5,0))))</f>
        <v/>
      </c>
      <c r="BL377" s="174" t="str">
        <f>IF(BL$6="","",IF(BL$3="Maior",iferror(VLOOKUP($R377,Capa!$A:$AJ,BL$5,0),0),IF(ISERROR(1/VLOOKUP($R377,Capa!$A:$AJ,BL$5,0)),0,1/VLOOKUP($R377,Capa!$A:$AJ,BL$5,0))))</f>
        <v/>
      </c>
      <c r="BM377" s="174" t="str">
        <f>IF(BM$6="","",IF(BM$3="Maior",iferror(VLOOKUP($R377,Capa!$A:$AJ,BM$5,0),0),IF(ISERROR(1/VLOOKUP($R377,Capa!$A:$AJ,BM$5,0)),0,1/VLOOKUP($R377,Capa!$A:$AJ,BM$5,0))))</f>
        <v/>
      </c>
      <c r="BN377" s="174" t="str">
        <f>IF(BN$6="","",IF(BN$3="Maior",iferror(VLOOKUP($R377,Capa!$A:$AJ,BN$5,0),0),IF(ISERROR(1/VLOOKUP($R377,Capa!$A:$AJ,BN$5,0)),0,1/VLOOKUP($R377,Capa!$A:$AJ,BN$5,0))))</f>
        <v/>
      </c>
      <c r="BO377" s="174" t="str">
        <f>IF(BO$6="","",IF(BO$3="Maior",iferror(VLOOKUP($R377,Capa!$A:$AJ,BO$5,0),0),IF(ISERROR(1/VLOOKUP($R377,Capa!$A:$AJ,BO$5,0)),0,1/VLOOKUP($R377,Capa!$A:$AJ,BO$5,0))))</f>
        <v/>
      </c>
      <c r="BP377" s="174" t="str">
        <f>IF(BP$6="","",IF(BP$3="Maior",iferror(VLOOKUP($R377,Capa!$A:$AJ,BP$5,0),0),IF(ISERROR(1/VLOOKUP($R377,Capa!$A:$AJ,BP$5,0)),0,1/VLOOKUP($R377,Capa!$A:$AJ,BP$5,0))))</f>
        <v/>
      </c>
      <c r="BQ377" s="174" t="str">
        <f>IF(BQ$6="","",IF(BQ$3="Maior",iferror(VLOOKUP($R377,Capa!$A:$AJ,BQ$5,0),0),IF(ISERROR(1/VLOOKUP($R377,Capa!$A:$AJ,BQ$5,0)),0,1/VLOOKUP($R377,Capa!$A:$AJ,BQ$5,0))))</f>
        <v/>
      </c>
      <c r="BR377" s="175"/>
      <c r="BS377" s="147"/>
    </row>
    <row r="378">
      <c r="G378" s="11"/>
      <c r="H378" s="8">
        <v>372.0</v>
      </c>
      <c r="I378" s="165" t="str">
        <f t="shared" si="6"/>
        <v>TOKY3</v>
      </c>
      <c r="J378" s="166" t="str">
        <f>(VLOOKUP($I378,Capa!$A:$B,2,0))</f>
        <v>Grupo Toky SA</v>
      </c>
      <c r="K378" s="167" t="str">
        <f>VLOOKUP(left(I378,4),Setor!A:D,3,0)&amp;" | "&amp;VLOOKUP(left(I378,4),Setor!A:D,4,0)</f>
        <v>#N/A</v>
      </c>
      <c r="L378" s="168">
        <f>(VLOOKUP($I378,Capa!$A:$F,6,0))</f>
        <v>0.58</v>
      </c>
      <c r="M378" s="168">
        <f t="shared" si="7"/>
        <v>390264.3</v>
      </c>
      <c r="N378" s="177" t="str">
        <f>IFERROR(__xludf.DUMMYFUNCTION("(VLOOKUP($I378,Capa!$A:$H,7,0))"),"")</f>
        <v/>
      </c>
      <c r="O378" s="169">
        <f>(VLOOKUP($I378,Capa!$A:$H,8,0))</f>
        <v>-0.1594202899</v>
      </c>
      <c r="P378" s="169" t="str">
        <f>IFERROR(__xludf.DUMMYFUNCTION("(VLOOKUP($I378,Capa!$A:$J,10,0))"),"")</f>
        <v/>
      </c>
      <c r="Q378" s="169" t="str">
        <f>(VLOOKUP($I378,Capa!$A:$K,11,0))</f>
        <v/>
      </c>
      <c r="R378" s="45" t="str">
        <f>'Dados StatusInvest'!A373</f>
        <v>MAPT3</v>
      </c>
      <c r="S378" s="170">
        <f t="shared" si="234"/>
        <v>1471.0471</v>
      </c>
      <c r="T378" s="171">
        <f>VLOOKUP(R378,'Dados StatusInvest'!A:Z,26,0)</f>
        <v>300</v>
      </c>
      <c r="U378" s="172">
        <f t="shared" ref="U378:AS378" si="381">IF(AT378="","", RANK(AT378,AT$7:AT$626,0)+RANK(AT378,AT$7:AT$626,0)/10000)</f>
        <v>204.0204</v>
      </c>
      <c r="V378" s="172">
        <f t="shared" si="381"/>
        <v>267.0267</v>
      </c>
      <c r="W378" s="172" t="str">
        <f t="shared" si="381"/>
        <v/>
      </c>
      <c r="X378" s="172" t="str">
        <f t="shared" si="381"/>
        <v/>
      </c>
      <c r="Y378" s="172" t="str">
        <f t="shared" si="381"/>
        <v/>
      </c>
      <c r="Z378" s="172" t="str">
        <f t="shared" si="381"/>
        <v/>
      </c>
      <c r="AA378" s="172" t="str">
        <f t="shared" si="381"/>
        <v/>
      </c>
      <c r="AB378" s="172" t="str">
        <f t="shared" si="381"/>
        <v/>
      </c>
      <c r="AC378" s="172" t="str">
        <f t="shared" si="381"/>
        <v/>
      </c>
      <c r="AD378" s="172" t="str">
        <f t="shared" si="381"/>
        <v/>
      </c>
      <c r="AE378" s="172" t="str">
        <f t="shared" si="381"/>
        <v/>
      </c>
      <c r="AF378" s="172" t="str">
        <f t="shared" si="381"/>
        <v/>
      </c>
      <c r="AG378" s="172" t="str">
        <f t="shared" si="381"/>
        <v/>
      </c>
      <c r="AH378" s="172" t="str">
        <f t="shared" si="381"/>
        <v/>
      </c>
      <c r="AI378" s="172" t="str">
        <f t="shared" si="381"/>
        <v/>
      </c>
      <c r="AJ378" s="172" t="str">
        <f t="shared" si="381"/>
        <v/>
      </c>
      <c r="AK378" s="172" t="str">
        <f t="shared" si="381"/>
        <v/>
      </c>
      <c r="AL378" s="172" t="str">
        <f t="shared" si="381"/>
        <v/>
      </c>
      <c r="AM378" s="172" t="str">
        <f t="shared" si="381"/>
        <v/>
      </c>
      <c r="AN378" s="172" t="str">
        <f t="shared" si="381"/>
        <v/>
      </c>
      <c r="AO378" s="172" t="str">
        <f t="shared" si="381"/>
        <v/>
      </c>
      <c r="AP378" s="172" t="str">
        <f t="shared" si="381"/>
        <v/>
      </c>
      <c r="AQ378" s="172" t="str">
        <f t="shared" si="381"/>
        <v/>
      </c>
      <c r="AR378" s="172" t="str">
        <f t="shared" si="381"/>
        <v/>
      </c>
      <c r="AS378" s="172" t="str">
        <f t="shared" si="381"/>
        <v/>
      </c>
      <c r="AT378" s="173">
        <f>IF(AT$6="","",IF(AT$3="Maior",iferror(VLOOKUP($R378,Capa!$A:$AJ,AT$5,0),0),IF(ISERROR(1/VLOOKUP($R378,Capa!$A:$AJ,AT$5,0)),0,1/VLOOKUP($R378,Capa!$A:$AJ,AT$5,0))))</f>
        <v>-0.2801120448</v>
      </c>
      <c r="AU378" s="174">
        <f>IF(AU$6="","",IF(AU$3="Maior",iferror(VLOOKUP($R378,Capa!$A:$AJ,AU$5,0),0),IF(ISERROR(1/VLOOKUP($R378,Capa!$A:$AJ,AU$5,0)),0,1/VLOOKUP($R378,Capa!$A:$AJ,AU$5,0))))</f>
        <v>0</v>
      </c>
      <c r="AV378" s="174" t="str">
        <f>IF(AV$6="","",IF(AV$3="Maior",iferror(VLOOKUP($R378,Capa!$A:$AJ,AV$5,0),0),IF(ISERROR(1/VLOOKUP($R378,Capa!$A:$AJ,AV$5,0)),0,1/VLOOKUP($R378,Capa!$A:$AJ,AV$5,0))))</f>
        <v/>
      </c>
      <c r="AW378" s="174" t="str">
        <f>IF(AW$6="","",IF(AW$3="Maior",iferror(VLOOKUP($R378,Capa!$A:$AJ,AW$5,0),0),IF(ISERROR(1/VLOOKUP($R378,Capa!$A:$AJ,AW$5,0)),0,1/VLOOKUP($R378,Capa!$A:$AJ,AW$5,0))))</f>
        <v/>
      </c>
      <c r="AX378" s="174" t="str">
        <f>IF(AX$6="","",IF(AX$3="Maior",iferror(VLOOKUP($R378,Capa!$A:$AJ,AX$5,0),0),IF(ISERROR(1/VLOOKUP($R378,Capa!$A:$AJ,AX$5,0)),0,1/VLOOKUP($R378,Capa!$A:$AJ,AX$5,0))))</f>
        <v/>
      </c>
      <c r="AY378" s="174" t="str">
        <f>IF(AY$6="","",IF(AY$3="Maior",iferror(VLOOKUP($R378,Capa!$A:$AJ,AY$5,0),0),IF(ISERROR(1/VLOOKUP($R378,Capa!$A:$AJ,AY$5,0)),0,1/VLOOKUP($R378,Capa!$A:$AJ,AY$5,0))))</f>
        <v/>
      </c>
      <c r="AZ378" s="174" t="str">
        <f>IF(AZ$6="","",IF(AZ$3="Maior",iferror(VLOOKUP($R378,Capa!$A:$AJ,AZ$5,0),0),IF(ISERROR(1/VLOOKUP($R378,Capa!$A:$AJ,AZ$5,0)),0,1/VLOOKUP($R378,Capa!$A:$AJ,AZ$5,0))))</f>
        <v/>
      </c>
      <c r="BA378" s="174" t="str">
        <f>IF(BA$6="","",IF(BA$3="Maior",iferror(VLOOKUP($R378,Capa!$A:$AJ,BA$5,0),0),IF(ISERROR(1/VLOOKUP($R378,Capa!$A:$AJ,BA$5,0)),0,1/VLOOKUP($R378,Capa!$A:$AJ,BA$5,0))))</f>
        <v/>
      </c>
      <c r="BB378" s="174" t="str">
        <f>IF(BB$6="","",IF(BB$3="Maior",iferror(VLOOKUP($R378,Capa!$A:$AJ,BB$5,0),0),IF(ISERROR(1/VLOOKUP($R378,Capa!$A:$AJ,BB$5,0)),0,1/VLOOKUP($R378,Capa!$A:$AJ,BB$5,0))))</f>
        <v/>
      </c>
      <c r="BC378" s="174" t="str">
        <f>IF(BC$6="","",IF(BC$3="Maior",iferror(VLOOKUP($R378,Capa!$A:$AJ,BC$5,0),0),IF(ISERROR(1/VLOOKUP($R378,Capa!$A:$AJ,BC$5,0)),0,1/VLOOKUP($R378,Capa!$A:$AJ,BC$5,0))))</f>
        <v/>
      </c>
      <c r="BD378" s="174" t="str">
        <f>IF(BD$6="","",IF(BD$3="Maior",iferror(VLOOKUP($R378,Capa!$A:$AJ,BD$5,0),0),IF(ISERROR(1/VLOOKUP($R378,Capa!$A:$AJ,BD$5,0)),0,1/VLOOKUP($R378,Capa!$A:$AJ,BD$5,0))))</f>
        <v/>
      </c>
      <c r="BE378" s="174" t="str">
        <f>IF(BE$6="","",IF(BE$3="Maior",iferror(VLOOKUP($R378,Capa!$A:$AJ,BE$5,0),0),IF(ISERROR(1/VLOOKUP($R378,Capa!$A:$AJ,BE$5,0)),0,1/VLOOKUP($R378,Capa!$A:$AJ,BE$5,0))))</f>
        <v/>
      </c>
      <c r="BF378" s="174" t="str">
        <f>IF(BF$6="","",IF(BF$3="Maior",iferror(VLOOKUP($R378,Capa!$A:$AJ,BF$5,0),0),IF(ISERROR(1/VLOOKUP($R378,Capa!$A:$AJ,BF$5,0)),0,1/VLOOKUP($R378,Capa!$A:$AJ,BF$5,0))))</f>
        <v/>
      </c>
      <c r="BG378" s="174" t="str">
        <f>IF(BG$6="","",IF(BG$3="Maior",iferror(VLOOKUP($R378,Capa!$A:$AJ,BG$5,0),0),IF(ISERROR(1/VLOOKUP($R378,Capa!$A:$AJ,BG$5,0)),0,1/VLOOKUP($R378,Capa!$A:$AJ,BG$5,0))))</f>
        <v/>
      </c>
      <c r="BH378" s="174" t="str">
        <f>IF(BH$6="","",IF(BH$3="Maior",iferror(VLOOKUP($R378,Capa!$A:$AJ,BH$5,0),0),IF(ISERROR(1/VLOOKUP($R378,Capa!$A:$AJ,BH$5,0)),0,1/VLOOKUP($R378,Capa!$A:$AJ,BH$5,0))))</f>
        <v/>
      </c>
      <c r="BI378" s="174" t="str">
        <f>IF(BI$6="","",IF(BI$3="Maior",iferror(VLOOKUP($R378,Capa!$A:$AJ,BI$5,0),0),IF(ISERROR(1/VLOOKUP($R378,Capa!$A:$AJ,BI$5,0)),0,1/VLOOKUP($R378,Capa!$A:$AJ,BI$5,0))))</f>
        <v/>
      </c>
      <c r="BJ378" s="174" t="str">
        <f>IF(BJ$6="","",IF(BJ$3="Maior",iferror(VLOOKUP($R378,Capa!$A:$AJ,BJ$5,0),0),IF(ISERROR(1/VLOOKUP($R378,Capa!$A:$AJ,BJ$5,0)),0,1/VLOOKUP($R378,Capa!$A:$AJ,BJ$5,0))))</f>
        <v/>
      </c>
      <c r="BK378" s="174" t="str">
        <f>IF(BK$6="","",IF(BK$3="Maior",iferror(VLOOKUP($R378,Capa!$A:$AJ,BK$5,0),0),IF(ISERROR(1/VLOOKUP($R378,Capa!$A:$AJ,BK$5,0)),0,1/VLOOKUP($R378,Capa!$A:$AJ,BK$5,0))))</f>
        <v/>
      </c>
      <c r="BL378" s="174" t="str">
        <f>IF(BL$6="","",IF(BL$3="Maior",iferror(VLOOKUP($R378,Capa!$A:$AJ,BL$5,0),0),IF(ISERROR(1/VLOOKUP($R378,Capa!$A:$AJ,BL$5,0)),0,1/VLOOKUP($R378,Capa!$A:$AJ,BL$5,0))))</f>
        <v/>
      </c>
      <c r="BM378" s="174" t="str">
        <f>IF(BM$6="","",IF(BM$3="Maior",iferror(VLOOKUP($R378,Capa!$A:$AJ,BM$5,0),0),IF(ISERROR(1/VLOOKUP($R378,Capa!$A:$AJ,BM$5,0)),0,1/VLOOKUP($R378,Capa!$A:$AJ,BM$5,0))))</f>
        <v/>
      </c>
      <c r="BN378" s="174" t="str">
        <f>IF(BN$6="","",IF(BN$3="Maior",iferror(VLOOKUP($R378,Capa!$A:$AJ,BN$5,0),0),IF(ISERROR(1/VLOOKUP($R378,Capa!$A:$AJ,BN$5,0)),0,1/VLOOKUP($R378,Capa!$A:$AJ,BN$5,0))))</f>
        <v/>
      </c>
      <c r="BO378" s="174" t="str">
        <f>IF(BO$6="","",IF(BO$3="Maior",iferror(VLOOKUP($R378,Capa!$A:$AJ,BO$5,0),0),IF(ISERROR(1/VLOOKUP($R378,Capa!$A:$AJ,BO$5,0)),0,1/VLOOKUP($R378,Capa!$A:$AJ,BO$5,0))))</f>
        <v/>
      </c>
      <c r="BP378" s="174" t="str">
        <f>IF(BP$6="","",IF(BP$3="Maior",iferror(VLOOKUP($R378,Capa!$A:$AJ,BP$5,0),0),IF(ISERROR(1/VLOOKUP($R378,Capa!$A:$AJ,BP$5,0)),0,1/VLOOKUP($R378,Capa!$A:$AJ,BP$5,0))))</f>
        <v/>
      </c>
      <c r="BQ378" s="174" t="str">
        <f>IF(BQ$6="","",IF(BQ$3="Maior",iferror(VLOOKUP($R378,Capa!$A:$AJ,BQ$5,0),0),IF(ISERROR(1/VLOOKUP($R378,Capa!$A:$AJ,BQ$5,0)),0,1/VLOOKUP($R378,Capa!$A:$AJ,BQ$5,0))))</f>
        <v/>
      </c>
      <c r="BR378" s="175"/>
      <c r="BS378" s="147"/>
    </row>
    <row r="379">
      <c r="G379" s="11"/>
      <c r="H379" s="8">
        <v>373.0</v>
      </c>
      <c r="I379" s="165" t="str">
        <f t="shared" si="6"/>
        <v>ITEC3</v>
      </c>
      <c r="J379" s="166" t="str">
        <f>(VLOOKUP($I379,Capa!$A:$B,2,0))</f>
        <v/>
      </c>
      <c r="K379" s="167" t="str">
        <f>VLOOKUP(left(I379,4),Setor!A:D,3,0)&amp;" | "&amp;VLOOKUP(left(I379,4),Setor!A:D,4,0)</f>
        <v>#N/A</v>
      </c>
      <c r="L379" s="168" t="str">
        <f>(VLOOKUP($I379,Capa!$A:$F,6,0))</f>
        <v/>
      </c>
      <c r="M379" s="168">
        <f t="shared" si="7"/>
        <v>0</v>
      </c>
      <c r="N379" s="11" t="str">
        <f>(VLOOKUP($I379,Capa!$A:$H,7,0))</f>
        <v/>
      </c>
      <c r="O379" s="169" t="str">
        <f>(VLOOKUP($I379,Capa!$A:$H,8,0))</f>
        <v/>
      </c>
      <c r="P379" s="11" t="str">
        <f>(VLOOKUP($I379,Capa!$A:$J,10,0))</f>
        <v/>
      </c>
      <c r="Q379" s="169" t="str">
        <f>(VLOOKUP($I379,Capa!$A:$K,11,0))</f>
        <v/>
      </c>
      <c r="R379" s="45" t="str">
        <f>'Dados StatusInvest'!A374</f>
        <v>MAPT4</v>
      </c>
      <c r="S379" s="170">
        <f t="shared" si="234"/>
        <v>1447.0447</v>
      </c>
      <c r="T379" s="171">
        <f>VLOOKUP(R379,'Dados StatusInvest'!A:Z,26,0)</f>
        <v>365.83</v>
      </c>
      <c r="U379" s="172">
        <f t="shared" ref="U379:AS379" si="382">IF(AT379="","", RANK(AT379,AT$7:AT$626,0)+RANK(AT379,AT$7:AT$626,0)/10000)</f>
        <v>180.018</v>
      </c>
      <c r="V379" s="172">
        <f t="shared" si="382"/>
        <v>267.0267</v>
      </c>
      <c r="W379" s="172" t="str">
        <f t="shared" si="382"/>
        <v/>
      </c>
      <c r="X379" s="172" t="str">
        <f t="shared" si="382"/>
        <v/>
      </c>
      <c r="Y379" s="172" t="str">
        <f t="shared" si="382"/>
        <v/>
      </c>
      <c r="Z379" s="172" t="str">
        <f t="shared" si="382"/>
        <v/>
      </c>
      <c r="AA379" s="172" t="str">
        <f t="shared" si="382"/>
        <v/>
      </c>
      <c r="AB379" s="172" t="str">
        <f t="shared" si="382"/>
        <v/>
      </c>
      <c r="AC379" s="172" t="str">
        <f t="shared" si="382"/>
        <v/>
      </c>
      <c r="AD379" s="172" t="str">
        <f t="shared" si="382"/>
        <v/>
      </c>
      <c r="AE379" s="172" t="str">
        <f t="shared" si="382"/>
        <v/>
      </c>
      <c r="AF379" s="172" t="str">
        <f t="shared" si="382"/>
        <v/>
      </c>
      <c r="AG379" s="172" t="str">
        <f t="shared" si="382"/>
        <v/>
      </c>
      <c r="AH379" s="172" t="str">
        <f t="shared" si="382"/>
        <v/>
      </c>
      <c r="AI379" s="172" t="str">
        <f t="shared" si="382"/>
        <v/>
      </c>
      <c r="AJ379" s="172" t="str">
        <f t="shared" si="382"/>
        <v/>
      </c>
      <c r="AK379" s="172" t="str">
        <f t="shared" si="382"/>
        <v/>
      </c>
      <c r="AL379" s="172" t="str">
        <f t="shared" si="382"/>
        <v/>
      </c>
      <c r="AM379" s="172" t="str">
        <f t="shared" si="382"/>
        <v/>
      </c>
      <c r="AN379" s="172" t="str">
        <f t="shared" si="382"/>
        <v/>
      </c>
      <c r="AO379" s="172" t="str">
        <f t="shared" si="382"/>
        <v/>
      </c>
      <c r="AP379" s="172" t="str">
        <f t="shared" si="382"/>
        <v/>
      </c>
      <c r="AQ379" s="172" t="str">
        <f t="shared" si="382"/>
        <v/>
      </c>
      <c r="AR379" s="172" t="str">
        <f t="shared" si="382"/>
        <v/>
      </c>
      <c r="AS379" s="172" t="str">
        <f t="shared" si="382"/>
        <v/>
      </c>
      <c r="AT379" s="173">
        <f>IF(AT$6="","",IF(AT$3="Maior",iferror(VLOOKUP($R379,Capa!$A:$AJ,AT$5,0),0),IF(ISERROR(1/VLOOKUP($R379,Capa!$A:$AJ,AT$5,0)),0,1/VLOOKUP($R379,Capa!$A:$AJ,AT$5,0))))</f>
        <v>-0.2173913043</v>
      </c>
      <c r="AU379" s="174">
        <f>IF(AU$6="","",IF(AU$3="Maior",iferror(VLOOKUP($R379,Capa!$A:$AJ,AU$5,0),0),IF(ISERROR(1/VLOOKUP($R379,Capa!$A:$AJ,AU$5,0)),0,1/VLOOKUP($R379,Capa!$A:$AJ,AU$5,0))))</f>
        <v>0</v>
      </c>
      <c r="AV379" s="174" t="str">
        <f>IF(AV$6="","",IF(AV$3="Maior",iferror(VLOOKUP($R379,Capa!$A:$AJ,AV$5,0),0),IF(ISERROR(1/VLOOKUP($R379,Capa!$A:$AJ,AV$5,0)),0,1/VLOOKUP($R379,Capa!$A:$AJ,AV$5,0))))</f>
        <v/>
      </c>
      <c r="AW379" s="174" t="str">
        <f>IF(AW$6="","",IF(AW$3="Maior",iferror(VLOOKUP($R379,Capa!$A:$AJ,AW$5,0),0),IF(ISERROR(1/VLOOKUP($R379,Capa!$A:$AJ,AW$5,0)),0,1/VLOOKUP($R379,Capa!$A:$AJ,AW$5,0))))</f>
        <v/>
      </c>
      <c r="AX379" s="174" t="str">
        <f>IF(AX$6="","",IF(AX$3="Maior",iferror(VLOOKUP($R379,Capa!$A:$AJ,AX$5,0),0),IF(ISERROR(1/VLOOKUP($R379,Capa!$A:$AJ,AX$5,0)),0,1/VLOOKUP($R379,Capa!$A:$AJ,AX$5,0))))</f>
        <v/>
      </c>
      <c r="AY379" s="174" t="str">
        <f>IF(AY$6="","",IF(AY$3="Maior",iferror(VLOOKUP($R379,Capa!$A:$AJ,AY$5,0),0),IF(ISERROR(1/VLOOKUP($R379,Capa!$A:$AJ,AY$5,0)),0,1/VLOOKUP($R379,Capa!$A:$AJ,AY$5,0))))</f>
        <v/>
      </c>
      <c r="AZ379" s="174" t="str">
        <f>IF(AZ$6="","",IF(AZ$3="Maior",iferror(VLOOKUP($R379,Capa!$A:$AJ,AZ$5,0),0),IF(ISERROR(1/VLOOKUP($R379,Capa!$A:$AJ,AZ$5,0)),0,1/VLOOKUP($R379,Capa!$A:$AJ,AZ$5,0))))</f>
        <v/>
      </c>
      <c r="BA379" s="174" t="str">
        <f>IF(BA$6="","",IF(BA$3="Maior",iferror(VLOOKUP($R379,Capa!$A:$AJ,BA$5,0),0),IF(ISERROR(1/VLOOKUP($R379,Capa!$A:$AJ,BA$5,0)),0,1/VLOOKUP($R379,Capa!$A:$AJ,BA$5,0))))</f>
        <v/>
      </c>
      <c r="BB379" s="174" t="str">
        <f>IF(BB$6="","",IF(BB$3="Maior",iferror(VLOOKUP($R379,Capa!$A:$AJ,BB$5,0),0),IF(ISERROR(1/VLOOKUP($R379,Capa!$A:$AJ,BB$5,0)),0,1/VLOOKUP($R379,Capa!$A:$AJ,BB$5,0))))</f>
        <v/>
      </c>
      <c r="BC379" s="174" t="str">
        <f>IF(BC$6="","",IF(BC$3="Maior",iferror(VLOOKUP($R379,Capa!$A:$AJ,BC$5,0),0),IF(ISERROR(1/VLOOKUP($R379,Capa!$A:$AJ,BC$5,0)),0,1/VLOOKUP($R379,Capa!$A:$AJ,BC$5,0))))</f>
        <v/>
      </c>
      <c r="BD379" s="174" t="str">
        <f>IF(BD$6="","",IF(BD$3="Maior",iferror(VLOOKUP($R379,Capa!$A:$AJ,BD$5,0),0),IF(ISERROR(1/VLOOKUP($R379,Capa!$A:$AJ,BD$5,0)),0,1/VLOOKUP($R379,Capa!$A:$AJ,BD$5,0))))</f>
        <v/>
      </c>
      <c r="BE379" s="174" t="str">
        <f>IF(BE$6="","",IF(BE$3="Maior",iferror(VLOOKUP($R379,Capa!$A:$AJ,BE$5,0),0),IF(ISERROR(1/VLOOKUP($R379,Capa!$A:$AJ,BE$5,0)),0,1/VLOOKUP($R379,Capa!$A:$AJ,BE$5,0))))</f>
        <v/>
      </c>
      <c r="BF379" s="174" t="str">
        <f>IF(BF$6="","",IF(BF$3="Maior",iferror(VLOOKUP($R379,Capa!$A:$AJ,BF$5,0),0),IF(ISERROR(1/VLOOKUP($R379,Capa!$A:$AJ,BF$5,0)),0,1/VLOOKUP($R379,Capa!$A:$AJ,BF$5,0))))</f>
        <v/>
      </c>
      <c r="BG379" s="174" t="str">
        <f>IF(BG$6="","",IF(BG$3="Maior",iferror(VLOOKUP($R379,Capa!$A:$AJ,BG$5,0),0),IF(ISERROR(1/VLOOKUP($R379,Capa!$A:$AJ,BG$5,0)),0,1/VLOOKUP($R379,Capa!$A:$AJ,BG$5,0))))</f>
        <v/>
      </c>
      <c r="BH379" s="174" t="str">
        <f>IF(BH$6="","",IF(BH$3="Maior",iferror(VLOOKUP($R379,Capa!$A:$AJ,BH$5,0),0),IF(ISERROR(1/VLOOKUP($R379,Capa!$A:$AJ,BH$5,0)),0,1/VLOOKUP($R379,Capa!$A:$AJ,BH$5,0))))</f>
        <v/>
      </c>
      <c r="BI379" s="174" t="str">
        <f>IF(BI$6="","",IF(BI$3="Maior",iferror(VLOOKUP($R379,Capa!$A:$AJ,BI$5,0),0),IF(ISERROR(1/VLOOKUP($R379,Capa!$A:$AJ,BI$5,0)),0,1/VLOOKUP($R379,Capa!$A:$AJ,BI$5,0))))</f>
        <v/>
      </c>
      <c r="BJ379" s="174" t="str">
        <f>IF(BJ$6="","",IF(BJ$3="Maior",iferror(VLOOKUP($R379,Capa!$A:$AJ,BJ$5,0),0),IF(ISERROR(1/VLOOKUP($R379,Capa!$A:$AJ,BJ$5,0)),0,1/VLOOKUP($R379,Capa!$A:$AJ,BJ$5,0))))</f>
        <v/>
      </c>
      <c r="BK379" s="174" t="str">
        <f>IF(BK$6="","",IF(BK$3="Maior",iferror(VLOOKUP($R379,Capa!$A:$AJ,BK$5,0),0),IF(ISERROR(1/VLOOKUP($R379,Capa!$A:$AJ,BK$5,0)),0,1/VLOOKUP($R379,Capa!$A:$AJ,BK$5,0))))</f>
        <v/>
      </c>
      <c r="BL379" s="174" t="str">
        <f>IF(BL$6="","",IF(BL$3="Maior",iferror(VLOOKUP($R379,Capa!$A:$AJ,BL$5,0),0),IF(ISERROR(1/VLOOKUP($R379,Capa!$A:$AJ,BL$5,0)),0,1/VLOOKUP($R379,Capa!$A:$AJ,BL$5,0))))</f>
        <v/>
      </c>
      <c r="BM379" s="174" t="str">
        <f>IF(BM$6="","",IF(BM$3="Maior",iferror(VLOOKUP($R379,Capa!$A:$AJ,BM$5,0),0),IF(ISERROR(1/VLOOKUP($R379,Capa!$A:$AJ,BM$5,0)),0,1/VLOOKUP($R379,Capa!$A:$AJ,BM$5,0))))</f>
        <v/>
      </c>
      <c r="BN379" s="174" t="str">
        <f>IF(BN$6="","",IF(BN$3="Maior",iferror(VLOOKUP($R379,Capa!$A:$AJ,BN$5,0),0),IF(ISERROR(1/VLOOKUP($R379,Capa!$A:$AJ,BN$5,0)),0,1/VLOOKUP($R379,Capa!$A:$AJ,BN$5,0))))</f>
        <v/>
      </c>
      <c r="BO379" s="174" t="str">
        <f>IF(BO$6="","",IF(BO$3="Maior",iferror(VLOOKUP($R379,Capa!$A:$AJ,BO$5,0),0),IF(ISERROR(1/VLOOKUP($R379,Capa!$A:$AJ,BO$5,0)),0,1/VLOOKUP($R379,Capa!$A:$AJ,BO$5,0))))</f>
        <v/>
      </c>
      <c r="BP379" s="174" t="str">
        <f>IF(BP$6="","",IF(BP$3="Maior",iferror(VLOOKUP($R379,Capa!$A:$AJ,BP$5,0),0),IF(ISERROR(1/VLOOKUP($R379,Capa!$A:$AJ,BP$5,0)),0,1/VLOOKUP($R379,Capa!$A:$AJ,BP$5,0))))</f>
        <v/>
      </c>
      <c r="BQ379" s="174" t="str">
        <f>IF(BQ$6="","",IF(BQ$3="Maior",iferror(VLOOKUP($R379,Capa!$A:$AJ,BQ$5,0),0),IF(ISERROR(1/VLOOKUP($R379,Capa!$A:$AJ,BQ$5,0)),0,1/VLOOKUP($R379,Capa!$A:$AJ,BQ$5,0))))</f>
        <v/>
      </c>
      <c r="BR379" s="175"/>
      <c r="BS379" s="147"/>
    </row>
    <row r="380">
      <c r="G380" s="11"/>
      <c r="H380" s="8">
        <v>374.0</v>
      </c>
      <c r="I380" s="165" t="str">
        <f t="shared" si="6"/>
        <v>SQIA3</v>
      </c>
      <c r="J380" s="166" t="str">
        <f>(VLOOKUP($I380,Capa!$A:$B,2,0))</f>
        <v/>
      </c>
      <c r="K380" s="167" t="str">
        <f>VLOOKUP(left(I380,4),Setor!A:D,3,0)&amp;" | "&amp;VLOOKUP(left(I380,4),Setor!A:D,4,0)</f>
        <v>Tecnologia da Informação | Programas e Serviços</v>
      </c>
      <c r="L380" s="168" t="str">
        <f>(VLOOKUP($I380,Capa!$A:$F,6,0))</f>
        <v/>
      </c>
      <c r="M380" s="168">
        <f t="shared" si="7"/>
        <v>0</v>
      </c>
      <c r="N380" s="177" t="str">
        <f>(VLOOKUP($I380,Capa!$A:$H,7,0))</f>
        <v/>
      </c>
      <c r="O380" s="169" t="str">
        <f>(VLOOKUP($I380,Capa!$A:$H,8,0))</f>
        <v/>
      </c>
      <c r="P380" s="169" t="str">
        <f>(VLOOKUP($I380,Capa!$A:$J,10,0))</f>
        <v/>
      </c>
      <c r="Q380" s="169" t="str">
        <f>(VLOOKUP($I380,Capa!$A:$K,11,0))</f>
        <v/>
      </c>
      <c r="R380" s="45" t="str">
        <f>'Dados StatusInvest'!A375</f>
        <v>MATD3</v>
      </c>
      <c r="S380" s="170">
        <f t="shared" si="234"/>
        <v>989.0989</v>
      </c>
      <c r="T380" s="171">
        <f>VLOOKUP(R380,'Dados StatusInvest'!A:Z,26,0)</f>
        <v>1053653</v>
      </c>
      <c r="U380" s="172">
        <f t="shared" ref="U380:AS380" si="383">IF(AT380="","", RANK(AT380,AT$7:AT$626,0)+RANK(AT380,AT$7:AT$626,0)/10000)</f>
        <v>418.0418</v>
      </c>
      <c r="V380" s="172">
        <f t="shared" si="383"/>
        <v>571.0571</v>
      </c>
      <c r="W380" s="172" t="str">
        <f t="shared" si="383"/>
        <v/>
      </c>
      <c r="X380" s="172" t="str">
        <f t="shared" si="383"/>
        <v/>
      </c>
      <c r="Y380" s="172" t="str">
        <f t="shared" si="383"/>
        <v/>
      </c>
      <c r="Z380" s="172" t="str">
        <f t="shared" si="383"/>
        <v/>
      </c>
      <c r="AA380" s="172" t="str">
        <f t="shared" si="383"/>
        <v/>
      </c>
      <c r="AB380" s="172" t="str">
        <f t="shared" si="383"/>
        <v/>
      </c>
      <c r="AC380" s="172" t="str">
        <f t="shared" si="383"/>
        <v/>
      </c>
      <c r="AD380" s="172" t="str">
        <f t="shared" si="383"/>
        <v/>
      </c>
      <c r="AE380" s="172" t="str">
        <f t="shared" si="383"/>
        <v/>
      </c>
      <c r="AF380" s="172" t="str">
        <f t="shared" si="383"/>
        <v/>
      </c>
      <c r="AG380" s="172" t="str">
        <f t="shared" si="383"/>
        <v/>
      </c>
      <c r="AH380" s="172" t="str">
        <f t="shared" si="383"/>
        <v/>
      </c>
      <c r="AI380" s="172" t="str">
        <f t="shared" si="383"/>
        <v/>
      </c>
      <c r="AJ380" s="172" t="str">
        <f t="shared" si="383"/>
        <v/>
      </c>
      <c r="AK380" s="172" t="str">
        <f t="shared" si="383"/>
        <v/>
      </c>
      <c r="AL380" s="172" t="str">
        <f t="shared" si="383"/>
        <v/>
      </c>
      <c r="AM380" s="172" t="str">
        <f t="shared" si="383"/>
        <v/>
      </c>
      <c r="AN380" s="172" t="str">
        <f t="shared" si="383"/>
        <v/>
      </c>
      <c r="AO380" s="172" t="str">
        <f t="shared" si="383"/>
        <v/>
      </c>
      <c r="AP380" s="172" t="str">
        <f t="shared" si="383"/>
        <v/>
      </c>
      <c r="AQ380" s="172" t="str">
        <f t="shared" si="383"/>
        <v/>
      </c>
      <c r="AR380" s="172" t="str">
        <f t="shared" si="383"/>
        <v/>
      </c>
      <c r="AS380" s="172" t="str">
        <f t="shared" si="383"/>
        <v/>
      </c>
      <c r="AT380" s="173">
        <f>IF(AT$6="","",IF(AT$3="Maior",iferror(VLOOKUP($R380,Capa!$A:$AJ,AT$5,0),0),IF(ISERROR(1/VLOOKUP($R380,Capa!$A:$AJ,AT$5,0)),0,1/VLOOKUP($R380,Capa!$A:$AJ,AT$5,0))))</f>
        <v>-1.492537313</v>
      </c>
      <c r="AU380" s="174">
        <f>IF(AU$6="","",IF(AU$3="Maior",iferror(VLOOKUP($R380,Capa!$A:$AJ,AU$5,0),0),IF(ISERROR(1/VLOOKUP($R380,Capa!$A:$AJ,AU$5,0)),0,1/VLOOKUP($R380,Capa!$A:$AJ,AU$5,0))))</f>
        <v>-10.05</v>
      </c>
      <c r="AV380" s="174" t="str">
        <f>IF(AV$6="","",IF(AV$3="Maior",iferror(VLOOKUP($R380,Capa!$A:$AJ,AV$5,0),0),IF(ISERROR(1/VLOOKUP($R380,Capa!$A:$AJ,AV$5,0)),0,1/VLOOKUP($R380,Capa!$A:$AJ,AV$5,0))))</f>
        <v/>
      </c>
      <c r="AW380" s="174" t="str">
        <f>IF(AW$6="","",IF(AW$3="Maior",iferror(VLOOKUP($R380,Capa!$A:$AJ,AW$5,0),0),IF(ISERROR(1/VLOOKUP($R380,Capa!$A:$AJ,AW$5,0)),0,1/VLOOKUP($R380,Capa!$A:$AJ,AW$5,0))))</f>
        <v/>
      </c>
      <c r="AX380" s="174" t="str">
        <f>IF(AX$6="","",IF(AX$3="Maior",iferror(VLOOKUP($R380,Capa!$A:$AJ,AX$5,0),0),IF(ISERROR(1/VLOOKUP($R380,Capa!$A:$AJ,AX$5,0)),0,1/VLOOKUP($R380,Capa!$A:$AJ,AX$5,0))))</f>
        <v/>
      </c>
      <c r="AY380" s="174" t="str">
        <f>IF(AY$6="","",IF(AY$3="Maior",iferror(VLOOKUP($R380,Capa!$A:$AJ,AY$5,0),0),IF(ISERROR(1/VLOOKUP($R380,Capa!$A:$AJ,AY$5,0)),0,1/VLOOKUP($R380,Capa!$A:$AJ,AY$5,0))))</f>
        <v/>
      </c>
      <c r="AZ380" s="174" t="str">
        <f>IF(AZ$6="","",IF(AZ$3="Maior",iferror(VLOOKUP($R380,Capa!$A:$AJ,AZ$5,0),0),IF(ISERROR(1/VLOOKUP($R380,Capa!$A:$AJ,AZ$5,0)),0,1/VLOOKUP($R380,Capa!$A:$AJ,AZ$5,0))))</f>
        <v/>
      </c>
      <c r="BA380" s="174" t="str">
        <f>IF(BA$6="","",IF(BA$3="Maior",iferror(VLOOKUP($R380,Capa!$A:$AJ,BA$5,0),0),IF(ISERROR(1/VLOOKUP($R380,Capa!$A:$AJ,BA$5,0)),0,1/VLOOKUP($R380,Capa!$A:$AJ,BA$5,0))))</f>
        <v/>
      </c>
      <c r="BB380" s="174" t="str">
        <f>IF(BB$6="","",IF(BB$3="Maior",iferror(VLOOKUP($R380,Capa!$A:$AJ,BB$5,0),0),IF(ISERROR(1/VLOOKUP($R380,Capa!$A:$AJ,BB$5,0)),0,1/VLOOKUP($R380,Capa!$A:$AJ,BB$5,0))))</f>
        <v/>
      </c>
      <c r="BC380" s="174" t="str">
        <f>IF(BC$6="","",IF(BC$3="Maior",iferror(VLOOKUP($R380,Capa!$A:$AJ,BC$5,0),0),IF(ISERROR(1/VLOOKUP($R380,Capa!$A:$AJ,BC$5,0)),0,1/VLOOKUP($R380,Capa!$A:$AJ,BC$5,0))))</f>
        <v/>
      </c>
      <c r="BD380" s="174" t="str">
        <f>IF(BD$6="","",IF(BD$3="Maior",iferror(VLOOKUP($R380,Capa!$A:$AJ,BD$5,0),0),IF(ISERROR(1/VLOOKUP($R380,Capa!$A:$AJ,BD$5,0)),0,1/VLOOKUP($R380,Capa!$A:$AJ,BD$5,0))))</f>
        <v/>
      </c>
      <c r="BE380" s="174" t="str">
        <f>IF(BE$6="","",IF(BE$3="Maior",iferror(VLOOKUP($R380,Capa!$A:$AJ,BE$5,0),0),IF(ISERROR(1/VLOOKUP($R380,Capa!$A:$AJ,BE$5,0)),0,1/VLOOKUP($R380,Capa!$A:$AJ,BE$5,0))))</f>
        <v/>
      </c>
      <c r="BF380" s="174" t="str">
        <f>IF(BF$6="","",IF(BF$3="Maior",iferror(VLOOKUP($R380,Capa!$A:$AJ,BF$5,0),0),IF(ISERROR(1/VLOOKUP($R380,Capa!$A:$AJ,BF$5,0)),0,1/VLOOKUP($R380,Capa!$A:$AJ,BF$5,0))))</f>
        <v/>
      </c>
      <c r="BG380" s="174" t="str">
        <f>IF(BG$6="","",IF(BG$3="Maior",iferror(VLOOKUP($R380,Capa!$A:$AJ,BG$5,0),0),IF(ISERROR(1/VLOOKUP($R380,Capa!$A:$AJ,BG$5,0)),0,1/VLOOKUP($R380,Capa!$A:$AJ,BG$5,0))))</f>
        <v/>
      </c>
      <c r="BH380" s="174" t="str">
        <f>IF(BH$6="","",IF(BH$3="Maior",iferror(VLOOKUP($R380,Capa!$A:$AJ,BH$5,0),0),IF(ISERROR(1/VLOOKUP($R380,Capa!$A:$AJ,BH$5,0)),0,1/VLOOKUP($R380,Capa!$A:$AJ,BH$5,0))))</f>
        <v/>
      </c>
      <c r="BI380" s="174" t="str">
        <f>IF(BI$6="","",IF(BI$3="Maior",iferror(VLOOKUP($R380,Capa!$A:$AJ,BI$5,0),0),IF(ISERROR(1/VLOOKUP($R380,Capa!$A:$AJ,BI$5,0)),0,1/VLOOKUP($R380,Capa!$A:$AJ,BI$5,0))))</f>
        <v/>
      </c>
      <c r="BJ380" s="174" t="str">
        <f>IF(BJ$6="","",IF(BJ$3="Maior",iferror(VLOOKUP($R380,Capa!$A:$AJ,BJ$5,0),0),IF(ISERROR(1/VLOOKUP($R380,Capa!$A:$AJ,BJ$5,0)),0,1/VLOOKUP($R380,Capa!$A:$AJ,BJ$5,0))))</f>
        <v/>
      </c>
      <c r="BK380" s="174" t="str">
        <f>IF(BK$6="","",IF(BK$3="Maior",iferror(VLOOKUP($R380,Capa!$A:$AJ,BK$5,0),0),IF(ISERROR(1/VLOOKUP($R380,Capa!$A:$AJ,BK$5,0)),0,1/VLOOKUP($R380,Capa!$A:$AJ,BK$5,0))))</f>
        <v/>
      </c>
      <c r="BL380" s="174" t="str">
        <f>IF(BL$6="","",IF(BL$3="Maior",iferror(VLOOKUP($R380,Capa!$A:$AJ,BL$5,0),0),IF(ISERROR(1/VLOOKUP($R380,Capa!$A:$AJ,BL$5,0)),0,1/VLOOKUP($R380,Capa!$A:$AJ,BL$5,0))))</f>
        <v/>
      </c>
      <c r="BM380" s="174" t="str">
        <f>IF(BM$6="","",IF(BM$3="Maior",iferror(VLOOKUP($R380,Capa!$A:$AJ,BM$5,0),0),IF(ISERROR(1/VLOOKUP($R380,Capa!$A:$AJ,BM$5,0)),0,1/VLOOKUP($R380,Capa!$A:$AJ,BM$5,0))))</f>
        <v/>
      </c>
      <c r="BN380" s="174" t="str">
        <f>IF(BN$6="","",IF(BN$3="Maior",iferror(VLOOKUP($R380,Capa!$A:$AJ,BN$5,0),0),IF(ISERROR(1/VLOOKUP($R380,Capa!$A:$AJ,BN$5,0)),0,1/VLOOKUP($R380,Capa!$A:$AJ,BN$5,0))))</f>
        <v/>
      </c>
      <c r="BO380" s="174" t="str">
        <f>IF(BO$6="","",IF(BO$3="Maior",iferror(VLOOKUP($R380,Capa!$A:$AJ,BO$5,0),0),IF(ISERROR(1/VLOOKUP($R380,Capa!$A:$AJ,BO$5,0)),0,1/VLOOKUP($R380,Capa!$A:$AJ,BO$5,0))))</f>
        <v/>
      </c>
      <c r="BP380" s="174" t="str">
        <f>IF(BP$6="","",IF(BP$3="Maior",iferror(VLOOKUP($R380,Capa!$A:$AJ,BP$5,0),0),IF(ISERROR(1/VLOOKUP($R380,Capa!$A:$AJ,BP$5,0)),0,1/VLOOKUP($R380,Capa!$A:$AJ,BP$5,0))))</f>
        <v/>
      </c>
      <c r="BQ380" s="174" t="str">
        <f>IF(BQ$6="","",IF(BQ$3="Maior",iferror(VLOOKUP($R380,Capa!$A:$AJ,BQ$5,0),0),IF(ISERROR(1/VLOOKUP($R380,Capa!$A:$AJ,BQ$5,0)),0,1/VLOOKUP($R380,Capa!$A:$AJ,BQ$5,0))))</f>
        <v/>
      </c>
      <c r="BR380" s="175"/>
      <c r="BS380" s="147"/>
    </row>
    <row r="381">
      <c r="G381" s="11"/>
      <c r="H381" s="8">
        <v>375.0</v>
      </c>
      <c r="I381" s="165" t="str">
        <f t="shared" si="6"/>
        <v>SMLS3</v>
      </c>
      <c r="J381" s="166" t="str">
        <f>(VLOOKUP($I381,Capa!$A:$B,2,0))</f>
        <v/>
      </c>
      <c r="K381" s="167" t="str">
        <f>VLOOKUP(left(I381,4),Setor!A:D,3,0)&amp;" | "&amp;VLOOKUP(left(I381,4),Setor!A:D,4,0)</f>
        <v>Consumo Cíclico | Diversos</v>
      </c>
      <c r="L381" s="168" t="str">
        <f>(VLOOKUP($I381,Capa!$A:$F,6,0))</f>
        <v/>
      </c>
      <c r="M381" s="168">
        <f t="shared" si="7"/>
        <v>0</v>
      </c>
      <c r="N381" s="177" t="str">
        <f>(VLOOKUP($I381,Capa!$A:$H,7,0))</f>
        <v/>
      </c>
      <c r="O381" s="169" t="str">
        <f>(VLOOKUP($I381,Capa!$A:$H,8,0))</f>
        <v/>
      </c>
      <c r="P381" s="169" t="str">
        <f>(VLOOKUP($I381,Capa!$A:$J,10,0))</f>
        <v/>
      </c>
      <c r="Q381" s="169" t="str">
        <f>(VLOOKUP($I381,Capa!$A:$K,11,0))</f>
        <v/>
      </c>
      <c r="R381" s="45" t="str">
        <f>'Dados StatusInvest'!A376</f>
        <v>MBRF3</v>
      </c>
      <c r="S381" s="170">
        <f t="shared" si="234"/>
        <v>490.049</v>
      </c>
      <c r="T381" s="171">
        <f>VLOOKUP(R381,'Dados StatusInvest'!A:Z,26,0)</f>
        <v>140000000</v>
      </c>
      <c r="U381" s="172">
        <f t="shared" ref="U381:AS381" si="384">IF(AT381="","", RANK(AT381,AT$7:AT$626,0)+RANK(AT381,AT$7:AT$626,0)/10000)</f>
        <v>479.0479</v>
      </c>
      <c r="V381" s="172">
        <f t="shared" si="384"/>
        <v>11.0011</v>
      </c>
      <c r="W381" s="172" t="str">
        <f t="shared" si="384"/>
        <v/>
      </c>
      <c r="X381" s="172" t="str">
        <f t="shared" si="384"/>
        <v/>
      </c>
      <c r="Y381" s="172" t="str">
        <f t="shared" si="384"/>
        <v/>
      </c>
      <c r="Z381" s="172" t="str">
        <f t="shared" si="384"/>
        <v/>
      </c>
      <c r="AA381" s="172" t="str">
        <f t="shared" si="384"/>
        <v/>
      </c>
      <c r="AB381" s="172" t="str">
        <f t="shared" si="384"/>
        <v/>
      </c>
      <c r="AC381" s="172" t="str">
        <f t="shared" si="384"/>
        <v/>
      </c>
      <c r="AD381" s="172" t="str">
        <f t="shared" si="384"/>
        <v/>
      </c>
      <c r="AE381" s="172" t="str">
        <f t="shared" si="384"/>
        <v/>
      </c>
      <c r="AF381" s="172" t="str">
        <f t="shared" si="384"/>
        <v/>
      </c>
      <c r="AG381" s="172" t="str">
        <f t="shared" si="384"/>
        <v/>
      </c>
      <c r="AH381" s="172" t="str">
        <f t="shared" si="384"/>
        <v/>
      </c>
      <c r="AI381" s="172" t="str">
        <f t="shared" si="384"/>
        <v/>
      </c>
      <c r="AJ381" s="172" t="str">
        <f t="shared" si="384"/>
        <v/>
      </c>
      <c r="AK381" s="172" t="str">
        <f t="shared" si="384"/>
        <v/>
      </c>
      <c r="AL381" s="172" t="str">
        <f t="shared" si="384"/>
        <v/>
      </c>
      <c r="AM381" s="172" t="str">
        <f t="shared" si="384"/>
        <v/>
      </c>
      <c r="AN381" s="172" t="str">
        <f t="shared" si="384"/>
        <v/>
      </c>
      <c r="AO381" s="172" t="str">
        <f t="shared" si="384"/>
        <v/>
      </c>
      <c r="AP381" s="172" t="str">
        <f t="shared" si="384"/>
        <v/>
      </c>
      <c r="AQ381" s="172" t="str">
        <f t="shared" si="384"/>
        <v/>
      </c>
      <c r="AR381" s="172" t="str">
        <f t="shared" si="384"/>
        <v/>
      </c>
      <c r="AS381" s="172" t="str">
        <f t="shared" si="384"/>
        <v/>
      </c>
      <c r="AT381" s="173">
        <f>IF(AT$6="","",IF(AT$3="Maior",iferror(VLOOKUP($R381,Capa!$A:$AJ,AT$5,0),0),IF(ISERROR(1/VLOOKUP($R381,Capa!$A:$AJ,AT$5,0)),0,1/VLOOKUP($R381,Capa!$A:$AJ,AT$5,0))))</f>
        <v>-2.501099897</v>
      </c>
      <c r="AU381" s="174">
        <f>IF(AU$6="","",IF(AU$3="Maior",iferror(VLOOKUP($R381,Capa!$A:$AJ,AU$5,0),0),IF(ISERROR(1/VLOOKUP($R381,Capa!$A:$AJ,AU$5,0)),0,1/VLOOKUP($R381,Capa!$A:$AJ,AU$5,0))))</f>
        <v>67.15</v>
      </c>
      <c r="AV381" s="174" t="str">
        <f>IF(AV$6="","",IF(AV$3="Maior",iferror(VLOOKUP($R381,Capa!$A:$AJ,AV$5,0),0),IF(ISERROR(1/VLOOKUP($R381,Capa!$A:$AJ,AV$5,0)),0,1/VLOOKUP($R381,Capa!$A:$AJ,AV$5,0))))</f>
        <v/>
      </c>
      <c r="AW381" s="174" t="str">
        <f>IF(AW$6="","",IF(AW$3="Maior",iferror(VLOOKUP($R381,Capa!$A:$AJ,AW$5,0),0),IF(ISERROR(1/VLOOKUP($R381,Capa!$A:$AJ,AW$5,0)),0,1/VLOOKUP($R381,Capa!$A:$AJ,AW$5,0))))</f>
        <v/>
      </c>
      <c r="AX381" s="174" t="str">
        <f>IF(AX$6="","",IF(AX$3="Maior",iferror(VLOOKUP($R381,Capa!$A:$AJ,AX$5,0),0),IF(ISERROR(1/VLOOKUP($R381,Capa!$A:$AJ,AX$5,0)),0,1/VLOOKUP($R381,Capa!$A:$AJ,AX$5,0))))</f>
        <v/>
      </c>
      <c r="AY381" s="174" t="str">
        <f>IF(AY$6="","",IF(AY$3="Maior",iferror(VLOOKUP($R381,Capa!$A:$AJ,AY$5,0),0),IF(ISERROR(1/VLOOKUP($R381,Capa!$A:$AJ,AY$5,0)),0,1/VLOOKUP($R381,Capa!$A:$AJ,AY$5,0))))</f>
        <v/>
      </c>
      <c r="AZ381" s="174" t="str">
        <f>IF(AZ$6="","",IF(AZ$3="Maior",iferror(VLOOKUP($R381,Capa!$A:$AJ,AZ$5,0),0),IF(ISERROR(1/VLOOKUP($R381,Capa!$A:$AJ,AZ$5,0)),0,1/VLOOKUP($R381,Capa!$A:$AJ,AZ$5,0))))</f>
        <v/>
      </c>
      <c r="BA381" s="174" t="str">
        <f>IF(BA$6="","",IF(BA$3="Maior",iferror(VLOOKUP($R381,Capa!$A:$AJ,BA$5,0),0),IF(ISERROR(1/VLOOKUP($R381,Capa!$A:$AJ,BA$5,0)),0,1/VLOOKUP($R381,Capa!$A:$AJ,BA$5,0))))</f>
        <v/>
      </c>
      <c r="BB381" s="174" t="str">
        <f>IF(BB$6="","",IF(BB$3="Maior",iferror(VLOOKUP($R381,Capa!$A:$AJ,BB$5,0),0),IF(ISERROR(1/VLOOKUP($R381,Capa!$A:$AJ,BB$5,0)),0,1/VLOOKUP($R381,Capa!$A:$AJ,BB$5,0))))</f>
        <v/>
      </c>
      <c r="BC381" s="174" t="str">
        <f>IF(BC$6="","",IF(BC$3="Maior",iferror(VLOOKUP($R381,Capa!$A:$AJ,BC$5,0),0),IF(ISERROR(1/VLOOKUP($R381,Capa!$A:$AJ,BC$5,0)),0,1/VLOOKUP($R381,Capa!$A:$AJ,BC$5,0))))</f>
        <v/>
      </c>
      <c r="BD381" s="174" t="str">
        <f>IF(BD$6="","",IF(BD$3="Maior",iferror(VLOOKUP($R381,Capa!$A:$AJ,BD$5,0),0),IF(ISERROR(1/VLOOKUP($R381,Capa!$A:$AJ,BD$5,0)),0,1/VLOOKUP($R381,Capa!$A:$AJ,BD$5,0))))</f>
        <v/>
      </c>
      <c r="BE381" s="174" t="str">
        <f>IF(BE$6="","",IF(BE$3="Maior",iferror(VLOOKUP($R381,Capa!$A:$AJ,BE$5,0),0),IF(ISERROR(1/VLOOKUP($R381,Capa!$A:$AJ,BE$5,0)),0,1/VLOOKUP($R381,Capa!$A:$AJ,BE$5,0))))</f>
        <v/>
      </c>
      <c r="BF381" s="174" t="str">
        <f>IF(BF$6="","",IF(BF$3="Maior",iferror(VLOOKUP($R381,Capa!$A:$AJ,BF$5,0),0),IF(ISERROR(1/VLOOKUP($R381,Capa!$A:$AJ,BF$5,0)),0,1/VLOOKUP($R381,Capa!$A:$AJ,BF$5,0))))</f>
        <v/>
      </c>
      <c r="BG381" s="174" t="str">
        <f>IF(BG$6="","",IF(BG$3="Maior",iferror(VLOOKUP($R381,Capa!$A:$AJ,BG$5,0),0),IF(ISERROR(1/VLOOKUP($R381,Capa!$A:$AJ,BG$5,0)),0,1/VLOOKUP($R381,Capa!$A:$AJ,BG$5,0))))</f>
        <v/>
      </c>
      <c r="BH381" s="174" t="str">
        <f>IF(BH$6="","",IF(BH$3="Maior",iferror(VLOOKUP($R381,Capa!$A:$AJ,BH$5,0),0),IF(ISERROR(1/VLOOKUP($R381,Capa!$A:$AJ,BH$5,0)),0,1/VLOOKUP($R381,Capa!$A:$AJ,BH$5,0))))</f>
        <v/>
      </c>
      <c r="BI381" s="174" t="str">
        <f>IF(BI$6="","",IF(BI$3="Maior",iferror(VLOOKUP($R381,Capa!$A:$AJ,BI$5,0),0),IF(ISERROR(1/VLOOKUP($R381,Capa!$A:$AJ,BI$5,0)),0,1/VLOOKUP($R381,Capa!$A:$AJ,BI$5,0))))</f>
        <v/>
      </c>
      <c r="BJ381" s="174" t="str">
        <f>IF(BJ$6="","",IF(BJ$3="Maior",iferror(VLOOKUP($R381,Capa!$A:$AJ,BJ$5,0),0),IF(ISERROR(1/VLOOKUP($R381,Capa!$A:$AJ,BJ$5,0)),0,1/VLOOKUP($R381,Capa!$A:$AJ,BJ$5,0))))</f>
        <v/>
      </c>
      <c r="BK381" s="174" t="str">
        <f>IF(BK$6="","",IF(BK$3="Maior",iferror(VLOOKUP($R381,Capa!$A:$AJ,BK$5,0),0),IF(ISERROR(1/VLOOKUP($R381,Capa!$A:$AJ,BK$5,0)),0,1/VLOOKUP($R381,Capa!$A:$AJ,BK$5,0))))</f>
        <v/>
      </c>
      <c r="BL381" s="174" t="str">
        <f>IF(BL$6="","",IF(BL$3="Maior",iferror(VLOOKUP($R381,Capa!$A:$AJ,BL$5,0),0),IF(ISERROR(1/VLOOKUP($R381,Capa!$A:$AJ,BL$5,0)),0,1/VLOOKUP($R381,Capa!$A:$AJ,BL$5,0))))</f>
        <v/>
      </c>
      <c r="BM381" s="174" t="str">
        <f>IF(BM$6="","",IF(BM$3="Maior",iferror(VLOOKUP($R381,Capa!$A:$AJ,BM$5,0),0),IF(ISERROR(1/VLOOKUP($R381,Capa!$A:$AJ,BM$5,0)),0,1/VLOOKUP($R381,Capa!$A:$AJ,BM$5,0))))</f>
        <v/>
      </c>
      <c r="BN381" s="174" t="str">
        <f>IF(BN$6="","",IF(BN$3="Maior",iferror(VLOOKUP($R381,Capa!$A:$AJ,BN$5,0),0),IF(ISERROR(1/VLOOKUP($R381,Capa!$A:$AJ,BN$5,0)),0,1/VLOOKUP($R381,Capa!$A:$AJ,BN$5,0))))</f>
        <v/>
      </c>
      <c r="BO381" s="174" t="str">
        <f>IF(BO$6="","",IF(BO$3="Maior",iferror(VLOOKUP($R381,Capa!$A:$AJ,BO$5,0),0),IF(ISERROR(1/VLOOKUP($R381,Capa!$A:$AJ,BO$5,0)),0,1/VLOOKUP($R381,Capa!$A:$AJ,BO$5,0))))</f>
        <v/>
      </c>
      <c r="BP381" s="174" t="str">
        <f>IF(BP$6="","",IF(BP$3="Maior",iferror(VLOOKUP($R381,Capa!$A:$AJ,BP$5,0),0),IF(ISERROR(1/VLOOKUP($R381,Capa!$A:$AJ,BP$5,0)),0,1/VLOOKUP($R381,Capa!$A:$AJ,BP$5,0))))</f>
        <v/>
      </c>
      <c r="BQ381" s="174" t="str">
        <f>IF(BQ$6="","",IF(BQ$3="Maior",iferror(VLOOKUP($R381,Capa!$A:$AJ,BQ$5,0),0),IF(ISERROR(1/VLOOKUP($R381,Capa!$A:$AJ,BQ$5,0)),0,1/VLOOKUP($R381,Capa!$A:$AJ,BQ$5,0))))</f>
        <v/>
      </c>
      <c r="BR381" s="175"/>
      <c r="BS381" s="147"/>
    </row>
    <row r="382">
      <c r="G382" s="11"/>
      <c r="H382" s="8">
        <v>376.0</v>
      </c>
      <c r="I382" s="165" t="str">
        <f t="shared" si="6"/>
        <v>GETT11</v>
      </c>
      <c r="J382" s="166" t="str">
        <f>(VLOOKUP($I382,Capa!$A:$B,2,0))</f>
        <v/>
      </c>
      <c r="K382" s="167" t="str">
        <f>VLOOKUP(left(I382,4),Setor!A:D,3,0)&amp;" | "&amp;VLOOKUP(left(I382,4),Setor!A:D,4,0)</f>
        <v>#N/A</v>
      </c>
      <c r="L382" s="168" t="str">
        <f>(VLOOKUP($I382,Capa!$A:$F,6,0))</f>
        <v/>
      </c>
      <c r="M382" s="168">
        <f t="shared" si="7"/>
        <v>0</v>
      </c>
      <c r="N382" s="11" t="str">
        <f>(VLOOKUP($I382,Capa!$A:$H,7,0))</f>
        <v/>
      </c>
      <c r="O382" s="169" t="str">
        <f>(VLOOKUP($I382,Capa!$A:$H,8,0))</f>
        <v/>
      </c>
      <c r="P382" s="11" t="str">
        <f>(VLOOKUP($I382,Capa!$A:$J,10,0))</f>
        <v/>
      </c>
      <c r="Q382" s="169" t="str">
        <f>(VLOOKUP($I382,Capa!$A:$K,11,0))</f>
        <v/>
      </c>
      <c r="R382" s="45" t="str">
        <f>'Dados StatusInvest'!A377</f>
        <v>MDIA3</v>
      </c>
      <c r="S382" s="170">
        <f t="shared" si="234"/>
        <v>557.0557</v>
      </c>
      <c r="T382" s="171">
        <f>VLOOKUP(R382,'Dados StatusInvest'!A:Z,26,0)</f>
        <v>11675397</v>
      </c>
      <c r="U382" s="172">
        <f t="shared" ref="U382:AS382" si="385">IF(AT382="","", RANK(AT382,AT$7:AT$626,0)+RANK(AT382,AT$7:AT$626,0)/10000)</f>
        <v>312.0312</v>
      </c>
      <c r="V382" s="172">
        <f t="shared" si="385"/>
        <v>245.0245</v>
      </c>
      <c r="W382" s="172" t="str">
        <f t="shared" si="385"/>
        <v/>
      </c>
      <c r="X382" s="172" t="str">
        <f t="shared" si="385"/>
        <v/>
      </c>
      <c r="Y382" s="172" t="str">
        <f t="shared" si="385"/>
        <v/>
      </c>
      <c r="Z382" s="172" t="str">
        <f t="shared" si="385"/>
        <v/>
      </c>
      <c r="AA382" s="172" t="str">
        <f t="shared" si="385"/>
        <v/>
      </c>
      <c r="AB382" s="172" t="str">
        <f t="shared" si="385"/>
        <v/>
      </c>
      <c r="AC382" s="172" t="str">
        <f t="shared" si="385"/>
        <v/>
      </c>
      <c r="AD382" s="172" t="str">
        <f t="shared" si="385"/>
        <v/>
      </c>
      <c r="AE382" s="172" t="str">
        <f t="shared" si="385"/>
        <v/>
      </c>
      <c r="AF382" s="172" t="str">
        <f t="shared" si="385"/>
        <v/>
      </c>
      <c r="AG382" s="172" t="str">
        <f t="shared" si="385"/>
        <v/>
      </c>
      <c r="AH382" s="172" t="str">
        <f t="shared" si="385"/>
        <v/>
      </c>
      <c r="AI382" s="172" t="str">
        <f t="shared" si="385"/>
        <v/>
      </c>
      <c r="AJ382" s="172" t="str">
        <f t="shared" si="385"/>
        <v/>
      </c>
      <c r="AK382" s="172" t="str">
        <f t="shared" si="385"/>
        <v/>
      </c>
      <c r="AL382" s="172" t="str">
        <f t="shared" si="385"/>
        <v/>
      </c>
      <c r="AM382" s="172" t="str">
        <f t="shared" si="385"/>
        <v/>
      </c>
      <c r="AN382" s="172" t="str">
        <f t="shared" si="385"/>
        <v/>
      </c>
      <c r="AO382" s="172" t="str">
        <f t="shared" si="385"/>
        <v/>
      </c>
      <c r="AP382" s="172" t="str">
        <f t="shared" si="385"/>
        <v/>
      </c>
      <c r="AQ382" s="172" t="str">
        <f t="shared" si="385"/>
        <v/>
      </c>
      <c r="AR382" s="172" t="str">
        <f t="shared" si="385"/>
        <v/>
      </c>
      <c r="AS382" s="172" t="str">
        <f t="shared" si="385"/>
        <v/>
      </c>
      <c r="AT382" s="173">
        <f>IF(AT$6="","",IF(AT$3="Maior",iferror(VLOOKUP($R382,Capa!$A:$AJ,AT$5,0),0),IF(ISERROR(1/VLOOKUP($R382,Capa!$A:$AJ,AT$5,0)),0,1/VLOOKUP($R382,Capa!$A:$AJ,AT$5,0))))</f>
        <v>-0.7633885687</v>
      </c>
      <c r="AU382" s="174">
        <f>IF(AU$6="","",IF(AU$3="Maior",iferror(VLOOKUP($R382,Capa!$A:$AJ,AU$5,0),0),IF(ISERROR(1/VLOOKUP($R382,Capa!$A:$AJ,AU$5,0)),0,1/VLOOKUP($R382,Capa!$A:$AJ,AU$5,0))))</f>
        <v>4.03</v>
      </c>
      <c r="AV382" s="174" t="str">
        <f>IF(AV$6="","",IF(AV$3="Maior",iferror(VLOOKUP($R382,Capa!$A:$AJ,AV$5,0),0),IF(ISERROR(1/VLOOKUP($R382,Capa!$A:$AJ,AV$5,0)),0,1/VLOOKUP($R382,Capa!$A:$AJ,AV$5,0))))</f>
        <v/>
      </c>
      <c r="AW382" s="174" t="str">
        <f>IF(AW$6="","",IF(AW$3="Maior",iferror(VLOOKUP($R382,Capa!$A:$AJ,AW$5,0),0),IF(ISERROR(1/VLOOKUP($R382,Capa!$A:$AJ,AW$5,0)),0,1/VLOOKUP($R382,Capa!$A:$AJ,AW$5,0))))</f>
        <v/>
      </c>
      <c r="AX382" s="174" t="str">
        <f>IF(AX$6="","",IF(AX$3="Maior",iferror(VLOOKUP($R382,Capa!$A:$AJ,AX$5,0),0),IF(ISERROR(1/VLOOKUP($R382,Capa!$A:$AJ,AX$5,0)),0,1/VLOOKUP($R382,Capa!$A:$AJ,AX$5,0))))</f>
        <v/>
      </c>
      <c r="AY382" s="174" t="str">
        <f>IF(AY$6="","",IF(AY$3="Maior",iferror(VLOOKUP($R382,Capa!$A:$AJ,AY$5,0),0),IF(ISERROR(1/VLOOKUP($R382,Capa!$A:$AJ,AY$5,0)),0,1/VLOOKUP($R382,Capa!$A:$AJ,AY$5,0))))</f>
        <v/>
      </c>
      <c r="AZ382" s="174" t="str">
        <f>IF(AZ$6="","",IF(AZ$3="Maior",iferror(VLOOKUP($R382,Capa!$A:$AJ,AZ$5,0),0),IF(ISERROR(1/VLOOKUP($R382,Capa!$A:$AJ,AZ$5,0)),0,1/VLOOKUP($R382,Capa!$A:$AJ,AZ$5,0))))</f>
        <v/>
      </c>
      <c r="BA382" s="174" t="str">
        <f>IF(BA$6="","",IF(BA$3="Maior",iferror(VLOOKUP($R382,Capa!$A:$AJ,BA$5,0),0),IF(ISERROR(1/VLOOKUP($R382,Capa!$A:$AJ,BA$5,0)),0,1/VLOOKUP($R382,Capa!$A:$AJ,BA$5,0))))</f>
        <v/>
      </c>
      <c r="BB382" s="174" t="str">
        <f>IF(BB$6="","",IF(BB$3="Maior",iferror(VLOOKUP($R382,Capa!$A:$AJ,BB$5,0),0),IF(ISERROR(1/VLOOKUP($R382,Capa!$A:$AJ,BB$5,0)),0,1/VLOOKUP($R382,Capa!$A:$AJ,BB$5,0))))</f>
        <v/>
      </c>
      <c r="BC382" s="174" t="str">
        <f>IF(BC$6="","",IF(BC$3="Maior",iferror(VLOOKUP($R382,Capa!$A:$AJ,BC$5,0),0),IF(ISERROR(1/VLOOKUP($R382,Capa!$A:$AJ,BC$5,0)),0,1/VLOOKUP($R382,Capa!$A:$AJ,BC$5,0))))</f>
        <v/>
      </c>
      <c r="BD382" s="174" t="str">
        <f>IF(BD$6="","",IF(BD$3="Maior",iferror(VLOOKUP($R382,Capa!$A:$AJ,BD$5,0),0),IF(ISERROR(1/VLOOKUP($R382,Capa!$A:$AJ,BD$5,0)),0,1/VLOOKUP($R382,Capa!$A:$AJ,BD$5,0))))</f>
        <v/>
      </c>
      <c r="BE382" s="174" t="str">
        <f>IF(BE$6="","",IF(BE$3="Maior",iferror(VLOOKUP($R382,Capa!$A:$AJ,BE$5,0),0),IF(ISERROR(1/VLOOKUP($R382,Capa!$A:$AJ,BE$5,0)),0,1/VLOOKUP($R382,Capa!$A:$AJ,BE$5,0))))</f>
        <v/>
      </c>
      <c r="BF382" s="174" t="str">
        <f>IF(BF$6="","",IF(BF$3="Maior",iferror(VLOOKUP($R382,Capa!$A:$AJ,BF$5,0),0),IF(ISERROR(1/VLOOKUP($R382,Capa!$A:$AJ,BF$5,0)),0,1/VLOOKUP($R382,Capa!$A:$AJ,BF$5,0))))</f>
        <v/>
      </c>
      <c r="BG382" s="174" t="str">
        <f>IF(BG$6="","",IF(BG$3="Maior",iferror(VLOOKUP($R382,Capa!$A:$AJ,BG$5,0),0),IF(ISERROR(1/VLOOKUP($R382,Capa!$A:$AJ,BG$5,0)),0,1/VLOOKUP($R382,Capa!$A:$AJ,BG$5,0))))</f>
        <v/>
      </c>
      <c r="BH382" s="174" t="str">
        <f>IF(BH$6="","",IF(BH$3="Maior",iferror(VLOOKUP($R382,Capa!$A:$AJ,BH$5,0),0),IF(ISERROR(1/VLOOKUP($R382,Capa!$A:$AJ,BH$5,0)),0,1/VLOOKUP($R382,Capa!$A:$AJ,BH$5,0))))</f>
        <v/>
      </c>
      <c r="BI382" s="174" t="str">
        <f>IF(BI$6="","",IF(BI$3="Maior",iferror(VLOOKUP($R382,Capa!$A:$AJ,BI$5,0),0),IF(ISERROR(1/VLOOKUP($R382,Capa!$A:$AJ,BI$5,0)),0,1/VLOOKUP($R382,Capa!$A:$AJ,BI$5,0))))</f>
        <v/>
      </c>
      <c r="BJ382" s="174" t="str">
        <f>IF(BJ$6="","",IF(BJ$3="Maior",iferror(VLOOKUP($R382,Capa!$A:$AJ,BJ$5,0),0),IF(ISERROR(1/VLOOKUP($R382,Capa!$A:$AJ,BJ$5,0)),0,1/VLOOKUP($R382,Capa!$A:$AJ,BJ$5,0))))</f>
        <v/>
      </c>
      <c r="BK382" s="174" t="str">
        <f>IF(BK$6="","",IF(BK$3="Maior",iferror(VLOOKUP($R382,Capa!$A:$AJ,BK$5,0),0),IF(ISERROR(1/VLOOKUP($R382,Capa!$A:$AJ,BK$5,0)),0,1/VLOOKUP($R382,Capa!$A:$AJ,BK$5,0))))</f>
        <v/>
      </c>
      <c r="BL382" s="174" t="str">
        <f>IF(BL$6="","",IF(BL$3="Maior",iferror(VLOOKUP($R382,Capa!$A:$AJ,BL$5,0),0),IF(ISERROR(1/VLOOKUP($R382,Capa!$A:$AJ,BL$5,0)),0,1/VLOOKUP($R382,Capa!$A:$AJ,BL$5,0))))</f>
        <v/>
      </c>
      <c r="BM382" s="174" t="str">
        <f>IF(BM$6="","",IF(BM$3="Maior",iferror(VLOOKUP($R382,Capa!$A:$AJ,BM$5,0),0),IF(ISERROR(1/VLOOKUP($R382,Capa!$A:$AJ,BM$5,0)),0,1/VLOOKUP($R382,Capa!$A:$AJ,BM$5,0))))</f>
        <v/>
      </c>
      <c r="BN382" s="174" t="str">
        <f>IF(BN$6="","",IF(BN$3="Maior",iferror(VLOOKUP($R382,Capa!$A:$AJ,BN$5,0),0),IF(ISERROR(1/VLOOKUP($R382,Capa!$A:$AJ,BN$5,0)),0,1/VLOOKUP($R382,Capa!$A:$AJ,BN$5,0))))</f>
        <v/>
      </c>
      <c r="BO382" s="174" t="str">
        <f>IF(BO$6="","",IF(BO$3="Maior",iferror(VLOOKUP($R382,Capa!$A:$AJ,BO$5,0),0),IF(ISERROR(1/VLOOKUP($R382,Capa!$A:$AJ,BO$5,0)),0,1/VLOOKUP($R382,Capa!$A:$AJ,BO$5,0))))</f>
        <v/>
      </c>
      <c r="BP382" s="174" t="str">
        <f>IF(BP$6="","",IF(BP$3="Maior",iferror(VLOOKUP($R382,Capa!$A:$AJ,BP$5,0),0),IF(ISERROR(1/VLOOKUP($R382,Capa!$A:$AJ,BP$5,0)),0,1/VLOOKUP($R382,Capa!$A:$AJ,BP$5,0))))</f>
        <v/>
      </c>
      <c r="BQ382" s="174" t="str">
        <f>IF(BQ$6="","",IF(BQ$3="Maior",iferror(VLOOKUP($R382,Capa!$A:$AJ,BQ$5,0),0),IF(ISERROR(1/VLOOKUP($R382,Capa!$A:$AJ,BQ$5,0)),0,1/VLOOKUP($R382,Capa!$A:$AJ,BQ$5,0))))</f>
        <v/>
      </c>
      <c r="BR382" s="175"/>
      <c r="BS382" s="147"/>
    </row>
    <row r="383">
      <c r="G383" s="11"/>
      <c r="H383" s="8">
        <v>377.0</v>
      </c>
      <c r="I383" s="165" t="str">
        <f t="shared" si="6"/>
        <v>GETT11</v>
      </c>
      <c r="J383" s="166" t="str">
        <f>(VLOOKUP($I383,Capa!$A:$B,2,0))</f>
        <v/>
      </c>
      <c r="K383" s="167" t="str">
        <f>VLOOKUP(left(I383,4),Setor!A:D,3,0)&amp;" | "&amp;VLOOKUP(left(I383,4),Setor!A:D,4,0)</f>
        <v>#N/A</v>
      </c>
      <c r="L383" s="168" t="str">
        <f>(VLOOKUP($I383,Capa!$A:$F,6,0))</f>
        <v/>
      </c>
      <c r="M383" s="168">
        <f t="shared" si="7"/>
        <v>0</v>
      </c>
      <c r="N383" s="11" t="str">
        <f>(VLOOKUP($I383,Capa!$A:$H,7,0))</f>
        <v/>
      </c>
      <c r="O383" s="169" t="str">
        <f>(VLOOKUP($I383,Capa!$A:$H,8,0))</f>
        <v/>
      </c>
      <c r="P383" s="11" t="str">
        <f>(VLOOKUP($I383,Capa!$A:$J,10,0))</f>
        <v/>
      </c>
      <c r="Q383" s="169" t="str">
        <f>(VLOOKUP($I383,Capa!$A:$K,11,0))</f>
        <v/>
      </c>
      <c r="R383" s="45" t="str">
        <f>'Dados StatusInvest'!A378</f>
        <v>MDNE3</v>
      </c>
      <c r="S383" s="170">
        <f t="shared" si="234"/>
        <v>581.0581</v>
      </c>
      <c r="T383" s="171">
        <f>VLOOKUP(R383,'Dados StatusInvest'!A:Z,26,0)</f>
        <v>50474553</v>
      </c>
      <c r="U383" s="172">
        <f t="shared" ref="U383:AS383" si="386">IF(AT383="","", RANK(AT383,AT$7:AT$626,0)+RANK(AT383,AT$7:AT$626,0)/10000)</f>
        <v>314.0314</v>
      </c>
      <c r="V383" s="172">
        <f t="shared" si="386"/>
        <v>267.0267</v>
      </c>
      <c r="W383" s="172" t="str">
        <f t="shared" si="386"/>
        <v/>
      </c>
      <c r="X383" s="172" t="str">
        <f t="shared" si="386"/>
        <v/>
      </c>
      <c r="Y383" s="172" t="str">
        <f t="shared" si="386"/>
        <v/>
      </c>
      <c r="Z383" s="172" t="str">
        <f t="shared" si="386"/>
        <v/>
      </c>
      <c r="AA383" s="172" t="str">
        <f t="shared" si="386"/>
        <v/>
      </c>
      <c r="AB383" s="172" t="str">
        <f t="shared" si="386"/>
        <v/>
      </c>
      <c r="AC383" s="172" t="str">
        <f t="shared" si="386"/>
        <v/>
      </c>
      <c r="AD383" s="172" t="str">
        <f t="shared" si="386"/>
        <v/>
      </c>
      <c r="AE383" s="172" t="str">
        <f t="shared" si="386"/>
        <v/>
      </c>
      <c r="AF383" s="172" t="str">
        <f t="shared" si="386"/>
        <v/>
      </c>
      <c r="AG383" s="172" t="str">
        <f t="shared" si="386"/>
        <v/>
      </c>
      <c r="AH383" s="172" t="str">
        <f t="shared" si="386"/>
        <v/>
      </c>
      <c r="AI383" s="172" t="str">
        <f t="shared" si="386"/>
        <v/>
      </c>
      <c r="AJ383" s="172" t="str">
        <f t="shared" si="386"/>
        <v/>
      </c>
      <c r="AK383" s="172" t="str">
        <f t="shared" si="386"/>
        <v/>
      </c>
      <c r="AL383" s="172" t="str">
        <f t="shared" si="386"/>
        <v/>
      </c>
      <c r="AM383" s="172" t="str">
        <f t="shared" si="386"/>
        <v/>
      </c>
      <c r="AN383" s="172" t="str">
        <f t="shared" si="386"/>
        <v/>
      </c>
      <c r="AO383" s="172" t="str">
        <f t="shared" si="386"/>
        <v/>
      </c>
      <c r="AP383" s="172" t="str">
        <f t="shared" si="386"/>
        <v/>
      </c>
      <c r="AQ383" s="172" t="str">
        <f t="shared" si="386"/>
        <v/>
      </c>
      <c r="AR383" s="172" t="str">
        <f t="shared" si="386"/>
        <v/>
      </c>
      <c r="AS383" s="172" t="str">
        <f t="shared" si="386"/>
        <v/>
      </c>
      <c r="AT383" s="173">
        <f>IF(AT$6="","",IF(AT$3="Maior",iferror(VLOOKUP($R383,Capa!$A:$AJ,AT$5,0),0),IF(ISERROR(1/VLOOKUP($R383,Capa!$A:$AJ,AT$5,0)),0,1/VLOOKUP($R383,Capa!$A:$AJ,AT$5,0))))</f>
        <v>-0.7713993759</v>
      </c>
      <c r="AU383" s="174">
        <f>IF(AU$6="","",IF(AU$3="Maior",iferror(VLOOKUP($R383,Capa!$A:$AJ,AU$5,0),0),IF(ISERROR(1/VLOOKUP($R383,Capa!$A:$AJ,AU$5,0)),0,1/VLOOKUP($R383,Capa!$A:$AJ,AU$5,0))))</f>
        <v>0</v>
      </c>
      <c r="AV383" s="174" t="str">
        <f>IF(AV$6="","",IF(AV$3="Maior",iferror(VLOOKUP($R383,Capa!$A:$AJ,AV$5,0),0),IF(ISERROR(1/VLOOKUP($R383,Capa!$A:$AJ,AV$5,0)),0,1/VLOOKUP($R383,Capa!$A:$AJ,AV$5,0))))</f>
        <v/>
      </c>
      <c r="AW383" s="174" t="str">
        <f>IF(AW$6="","",IF(AW$3="Maior",iferror(VLOOKUP($R383,Capa!$A:$AJ,AW$5,0),0),IF(ISERROR(1/VLOOKUP($R383,Capa!$A:$AJ,AW$5,0)),0,1/VLOOKUP($R383,Capa!$A:$AJ,AW$5,0))))</f>
        <v/>
      </c>
      <c r="AX383" s="174" t="str">
        <f>IF(AX$6="","",IF(AX$3="Maior",iferror(VLOOKUP($R383,Capa!$A:$AJ,AX$5,0),0),IF(ISERROR(1/VLOOKUP($R383,Capa!$A:$AJ,AX$5,0)),0,1/VLOOKUP($R383,Capa!$A:$AJ,AX$5,0))))</f>
        <v/>
      </c>
      <c r="AY383" s="174" t="str">
        <f>IF(AY$6="","",IF(AY$3="Maior",iferror(VLOOKUP($R383,Capa!$A:$AJ,AY$5,0),0),IF(ISERROR(1/VLOOKUP($R383,Capa!$A:$AJ,AY$5,0)),0,1/VLOOKUP($R383,Capa!$A:$AJ,AY$5,0))))</f>
        <v/>
      </c>
      <c r="AZ383" s="174" t="str">
        <f>IF(AZ$6="","",IF(AZ$3="Maior",iferror(VLOOKUP($R383,Capa!$A:$AJ,AZ$5,0),0),IF(ISERROR(1/VLOOKUP($R383,Capa!$A:$AJ,AZ$5,0)),0,1/VLOOKUP($R383,Capa!$A:$AJ,AZ$5,0))))</f>
        <v/>
      </c>
      <c r="BA383" s="174" t="str">
        <f>IF(BA$6="","",IF(BA$3="Maior",iferror(VLOOKUP($R383,Capa!$A:$AJ,BA$5,0),0),IF(ISERROR(1/VLOOKUP($R383,Capa!$A:$AJ,BA$5,0)),0,1/VLOOKUP($R383,Capa!$A:$AJ,BA$5,0))))</f>
        <v/>
      </c>
      <c r="BB383" s="174" t="str">
        <f>IF(BB$6="","",IF(BB$3="Maior",iferror(VLOOKUP($R383,Capa!$A:$AJ,BB$5,0),0),IF(ISERROR(1/VLOOKUP($R383,Capa!$A:$AJ,BB$5,0)),0,1/VLOOKUP($R383,Capa!$A:$AJ,BB$5,0))))</f>
        <v/>
      </c>
      <c r="BC383" s="174" t="str">
        <f>IF(BC$6="","",IF(BC$3="Maior",iferror(VLOOKUP($R383,Capa!$A:$AJ,BC$5,0),0),IF(ISERROR(1/VLOOKUP($R383,Capa!$A:$AJ,BC$5,0)),0,1/VLOOKUP($R383,Capa!$A:$AJ,BC$5,0))))</f>
        <v/>
      </c>
      <c r="BD383" s="174" t="str">
        <f>IF(BD$6="","",IF(BD$3="Maior",iferror(VLOOKUP($R383,Capa!$A:$AJ,BD$5,0),0),IF(ISERROR(1/VLOOKUP($R383,Capa!$A:$AJ,BD$5,0)),0,1/VLOOKUP($R383,Capa!$A:$AJ,BD$5,0))))</f>
        <v/>
      </c>
      <c r="BE383" s="174" t="str">
        <f>IF(BE$6="","",IF(BE$3="Maior",iferror(VLOOKUP($R383,Capa!$A:$AJ,BE$5,0),0),IF(ISERROR(1/VLOOKUP($R383,Capa!$A:$AJ,BE$5,0)),0,1/VLOOKUP($R383,Capa!$A:$AJ,BE$5,0))))</f>
        <v/>
      </c>
      <c r="BF383" s="174" t="str">
        <f>IF(BF$6="","",IF(BF$3="Maior",iferror(VLOOKUP($R383,Capa!$A:$AJ,BF$5,0),0),IF(ISERROR(1/VLOOKUP($R383,Capa!$A:$AJ,BF$5,0)),0,1/VLOOKUP($R383,Capa!$A:$AJ,BF$5,0))))</f>
        <v/>
      </c>
      <c r="BG383" s="174" t="str">
        <f>IF(BG$6="","",IF(BG$3="Maior",iferror(VLOOKUP($R383,Capa!$A:$AJ,BG$5,0),0),IF(ISERROR(1/VLOOKUP($R383,Capa!$A:$AJ,BG$5,0)),0,1/VLOOKUP($R383,Capa!$A:$AJ,BG$5,0))))</f>
        <v/>
      </c>
      <c r="BH383" s="174" t="str">
        <f>IF(BH$6="","",IF(BH$3="Maior",iferror(VLOOKUP($R383,Capa!$A:$AJ,BH$5,0),0),IF(ISERROR(1/VLOOKUP($R383,Capa!$A:$AJ,BH$5,0)),0,1/VLOOKUP($R383,Capa!$A:$AJ,BH$5,0))))</f>
        <v/>
      </c>
      <c r="BI383" s="174" t="str">
        <f>IF(BI$6="","",IF(BI$3="Maior",iferror(VLOOKUP($R383,Capa!$A:$AJ,BI$5,0),0),IF(ISERROR(1/VLOOKUP($R383,Capa!$A:$AJ,BI$5,0)),0,1/VLOOKUP($R383,Capa!$A:$AJ,BI$5,0))))</f>
        <v/>
      </c>
      <c r="BJ383" s="174" t="str">
        <f>IF(BJ$6="","",IF(BJ$3="Maior",iferror(VLOOKUP($R383,Capa!$A:$AJ,BJ$5,0),0),IF(ISERROR(1/VLOOKUP($R383,Capa!$A:$AJ,BJ$5,0)),0,1/VLOOKUP($R383,Capa!$A:$AJ,BJ$5,0))))</f>
        <v/>
      </c>
      <c r="BK383" s="174" t="str">
        <f>IF(BK$6="","",IF(BK$3="Maior",iferror(VLOOKUP($R383,Capa!$A:$AJ,BK$5,0),0),IF(ISERROR(1/VLOOKUP($R383,Capa!$A:$AJ,BK$5,0)),0,1/VLOOKUP($R383,Capa!$A:$AJ,BK$5,0))))</f>
        <v/>
      </c>
      <c r="BL383" s="174" t="str">
        <f>IF(BL$6="","",IF(BL$3="Maior",iferror(VLOOKUP($R383,Capa!$A:$AJ,BL$5,0),0),IF(ISERROR(1/VLOOKUP($R383,Capa!$A:$AJ,BL$5,0)),0,1/VLOOKUP($R383,Capa!$A:$AJ,BL$5,0))))</f>
        <v/>
      </c>
      <c r="BM383" s="174" t="str">
        <f>IF(BM$6="","",IF(BM$3="Maior",iferror(VLOOKUP($R383,Capa!$A:$AJ,BM$5,0),0),IF(ISERROR(1/VLOOKUP($R383,Capa!$A:$AJ,BM$5,0)),0,1/VLOOKUP($R383,Capa!$A:$AJ,BM$5,0))))</f>
        <v/>
      </c>
      <c r="BN383" s="174" t="str">
        <f>IF(BN$6="","",IF(BN$3="Maior",iferror(VLOOKUP($R383,Capa!$A:$AJ,BN$5,0),0),IF(ISERROR(1/VLOOKUP($R383,Capa!$A:$AJ,BN$5,0)),0,1/VLOOKUP($R383,Capa!$A:$AJ,BN$5,0))))</f>
        <v/>
      </c>
      <c r="BO383" s="174" t="str">
        <f>IF(BO$6="","",IF(BO$3="Maior",iferror(VLOOKUP($R383,Capa!$A:$AJ,BO$5,0),0),IF(ISERROR(1/VLOOKUP($R383,Capa!$A:$AJ,BO$5,0)),0,1/VLOOKUP($R383,Capa!$A:$AJ,BO$5,0))))</f>
        <v/>
      </c>
      <c r="BP383" s="174" t="str">
        <f>IF(BP$6="","",IF(BP$3="Maior",iferror(VLOOKUP($R383,Capa!$A:$AJ,BP$5,0),0),IF(ISERROR(1/VLOOKUP($R383,Capa!$A:$AJ,BP$5,0)),0,1/VLOOKUP($R383,Capa!$A:$AJ,BP$5,0))))</f>
        <v/>
      </c>
      <c r="BQ383" s="174" t="str">
        <f>IF(BQ$6="","",IF(BQ$3="Maior",iferror(VLOOKUP($R383,Capa!$A:$AJ,BQ$5,0),0),IF(ISERROR(1/VLOOKUP($R383,Capa!$A:$AJ,BQ$5,0)),0,1/VLOOKUP($R383,Capa!$A:$AJ,BQ$5,0))))</f>
        <v/>
      </c>
      <c r="BR383" s="175"/>
      <c r="BS383" s="147"/>
    </row>
    <row r="384">
      <c r="G384" s="11"/>
      <c r="H384" s="8">
        <v>378.0</v>
      </c>
      <c r="I384" s="165" t="str">
        <f t="shared" si="6"/>
        <v>LINX3</v>
      </c>
      <c r="J384" s="166" t="str">
        <f>(VLOOKUP($I384,Capa!$A:$B,2,0))</f>
        <v/>
      </c>
      <c r="K384" s="167" t="str">
        <f>VLOOKUP(left(I384,4),Setor!A:D,3,0)&amp;" | "&amp;VLOOKUP(left(I384,4),Setor!A:D,4,0)</f>
        <v>Tecnologia da Informação | Programas e Serviços</v>
      </c>
      <c r="L384" s="168" t="str">
        <f>(VLOOKUP($I384,Capa!$A:$F,6,0))</f>
        <v/>
      </c>
      <c r="M384" s="168">
        <f t="shared" si="7"/>
        <v>0</v>
      </c>
      <c r="N384" s="11" t="str">
        <f>(VLOOKUP($I384,Capa!$A:$H,7,0))</f>
        <v/>
      </c>
      <c r="O384" s="169" t="str">
        <f>(VLOOKUP($I384,Capa!$A:$H,8,0))</f>
        <v/>
      </c>
      <c r="P384" s="11" t="str">
        <f>(VLOOKUP($I384,Capa!$A:$J,10,0))</f>
        <v/>
      </c>
      <c r="Q384" s="169" t="str">
        <f>(VLOOKUP($I384,Capa!$A:$K,11,0))</f>
        <v/>
      </c>
      <c r="R384" s="45" t="str">
        <f>'Dados StatusInvest'!A379</f>
        <v>MEAL3</v>
      </c>
      <c r="S384" s="170">
        <f t="shared" si="234"/>
        <v>1829.0829</v>
      </c>
      <c r="T384" s="171">
        <f>VLOOKUP(R384,'Dados StatusInvest'!A:Z,26,0)</f>
        <v>235340.3</v>
      </c>
      <c r="U384" s="172">
        <f t="shared" ref="U384:AS384" si="387">IF(AT384="","", RANK(AT384,AT$7:AT$626,0)+RANK(AT384,AT$7:AT$626,0)/10000)</f>
        <v>562.0562</v>
      </c>
      <c r="V384" s="172">
        <f t="shared" si="387"/>
        <v>267.0267</v>
      </c>
      <c r="W384" s="172" t="str">
        <f t="shared" si="387"/>
        <v/>
      </c>
      <c r="X384" s="172" t="str">
        <f t="shared" si="387"/>
        <v/>
      </c>
      <c r="Y384" s="172" t="str">
        <f t="shared" si="387"/>
        <v/>
      </c>
      <c r="Z384" s="172" t="str">
        <f t="shared" si="387"/>
        <v/>
      </c>
      <c r="AA384" s="172" t="str">
        <f t="shared" si="387"/>
        <v/>
      </c>
      <c r="AB384" s="172" t="str">
        <f t="shared" si="387"/>
        <v/>
      </c>
      <c r="AC384" s="172" t="str">
        <f t="shared" si="387"/>
        <v/>
      </c>
      <c r="AD384" s="172" t="str">
        <f t="shared" si="387"/>
        <v/>
      </c>
      <c r="AE384" s="172" t="str">
        <f t="shared" si="387"/>
        <v/>
      </c>
      <c r="AF384" s="172" t="str">
        <f t="shared" si="387"/>
        <v/>
      </c>
      <c r="AG384" s="172" t="str">
        <f t="shared" si="387"/>
        <v/>
      </c>
      <c r="AH384" s="172" t="str">
        <f t="shared" si="387"/>
        <v/>
      </c>
      <c r="AI384" s="172" t="str">
        <f t="shared" si="387"/>
        <v/>
      </c>
      <c r="AJ384" s="172" t="str">
        <f t="shared" si="387"/>
        <v/>
      </c>
      <c r="AK384" s="172" t="str">
        <f t="shared" si="387"/>
        <v/>
      </c>
      <c r="AL384" s="172" t="str">
        <f t="shared" si="387"/>
        <v/>
      </c>
      <c r="AM384" s="172" t="str">
        <f t="shared" si="387"/>
        <v/>
      </c>
      <c r="AN384" s="172" t="str">
        <f t="shared" si="387"/>
        <v/>
      </c>
      <c r="AO384" s="172" t="str">
        <f t="shared" si="387"/>
        <v/>
      </c>
      <c r="AP384" s="172" t="str">
        <f t="shared" si="387"/>
        <v/>
      </c>
      <c r="AQ384" s="172" t="str">
        <f t="shared" si="387"/>
        <v/>
      </c>
      <c r="AR384" s="172" t="str">
        <f t="shared" si="387"/>
        <v/>
      </c>
      <c r="AS384" s="172" t="str">
        <f t="shared" si="387"/>
        <v/>
      </c>
      <c r="AT384" s="173">
        <f>IF(AT$6="","",IF(AT$3="Maior",iferror(VLOOKUP($R384,Capa!$A:$AJ,AT$5,0),0),IF(ISERROR(1/VLOOKUP($R384,Capa!$A:$AJ,AT$5,0)),0,1/VLOOKUP($R384,Capa!$A:$AJ,AT$5,0))))</f>
        <v>-7.097518754</v>
      </c>
      <c r="AU384" s="174">
        <f>IF(AU$6="","",IF(AU$3="Maior",iferror(VLOOKUP($R384,Capa!$A:$AJ,AU$5,0),0),IF(ISERROR(1/VLOOKUP($R384,Capa!$A:$AJ,AU$5,0)),0,1/VLOOKUP($R384,Capa!$A:$AJ,AU$5,0))))</f>
        <v>0</v>
      </c>
      <c r="AV384" s="174" t="str">
        <f>IF(AV$6="","",IF(AV$3="Maior",iferror(VLOOKUP($R384,Capa!$A:$AJ,AV$5,0),0),IF(ISERROR(1/VLOOKUP($R384,Capa!$A:$AJ,AV$5,0)),0,1/VLOOKUP($R384,Capa!$A:$AJ,AV$5,0))))</f>
        <v/>
      </c>
      <c r="AW384" s="174" t="str">
        <f>IF(AW$6="","",IF(AW$3="Maior",iferror(VLOOKUP($R384,Capa!$A:$AJ,AW$5,0),0),IF(ISERROR(1/VLOOKUP($R384,Capa!$A:$AJ,AW$5,0)),0,1/VLOOKUP($R384,Capa!$A:$AJ,AW$5,0))))</f>
        <v/>
      </c>
      <c r="AX384" s="174" t="str">
        <f>IF(AX$6="","",IF(AX$3="Maior",iferror(VLOOKUP($R384,Capa!$A:$AJ,AX$5,0),0),IF(ISERROR(1/VLOOKUP($R384,Capa!$A:$AJ,AX$5,0)),0,1/VLOOKUP($R384,Capa!$A:$AJ,AX$5,0))))</f>
        <v/>
      </c>
      <c r="AY384" s="174" t="str">
        <f>IF(AY$6="","",IF(AY$3="Maior",iferror(VLOOKUP($R384,Capa!$A:$AJ,AY$5,0),0),IF(ISERROR(1/VLOOKUP($R384,Capa!$A:$AJ,AY$5,0)),0,1/VLOOKUP($R384,Capa!$A:$AJ,AY$5,0))))</f>
        <v/>
      </c>
      <c r="AZ384" s="174" t="str">
        <f>IF(AZ$6="","",IF(AZ$3="Maior",iferror(VLOOKUP($R384,Capa!$A:$AJ,AZ$5,0),0),IF(ISERROR(1/VLOOKUP($R384,Capa!$A:$AJ,AZ$5,0)),0,1/VLOOKUP($R384,Capa!$A:$AJ,AZ$5,0))))</f>
        <v/>
      </c>
      <c r="BA384" s="174" t="str">
        <f>IF(BA$6="","",IF(BA$3="Maior",iferror(VLOOKUP($R384,Capa!$A:$AJ,BA$5,0),0),IF(ISERROR(1/VLOOKUP($R384,Capa!$A:$AJ,BA$5,0)),0,1/VLOOKUP($R384,Capa!$A:$AJ,BA$5,0))))</f>
        <v/>
      </c>
      <c r="BB384" s="174" t="str">
        <f>IF(BB$6="","",IF(BB$3="Maior",iferror(VLOOKUP($R384,Capa!$A:$AJ,BB$5,0),0),IF(ISERROR(1/VLOOKUP($R384,Capa!$A:$AJ,BB$5,0)),0,1/VLOOKUP($R384,Capa!$A:$AJ,BB$5,0))))</f>
        <v/>
      </c>
      <c r="BC384" s="174" t="str">
        <f>IF(BC$6="","",IF(BC$3="Maior",iferror(VLOOKUP($R384,Capa!$A:$AJ,BC$5,0),0),IF(ISERROR(1/VLOOKUP($R384,Capa!$A:$AJ,BC$5,0)),0,1/VLOOKUP($R384,Capa!$A:$AJ,BC$5,0))))</f>
        <v/>
      </c>
      <c r="BD384" s="174" t="str">
        <f>IF(BD$6="","",IF(BD$3="Maior",iferror(VLOOKUP($R384,Capa!$A:$AJ,BD$5,0),0),IF(ISERROR(1/VLOOKUP($R384,Capa!$A:$AJ,BD$5,0)),0,1/VLOOKUP($R384,Capa!$A:$AJ,BD$5,0))))</f>
        <v/>
      </c>
      <c r="BE384" s="174" t="str">
        <f>IF(BE$6="","",IF(BE$3="Maior",iferror(VLOOKUP($R384,Capa!$A:$AJ,BE$5,0),0),IF(ISERROR(1/VLOOKUP($R384,Capa!$A:$AJ,BE$5,0)),0,1/VLOOKUP($R384,Capa!$A:$AJ,BE$5,0))))</f>
        <v/>
      </c>
      <c r="BF384" s="174" t="str">
        <f>IF(BF$6="","",IF(BF$3="Maior",iferror(VLOOKUP($R384,Capa!$A:$AJ,BF$5,0),0),IF(ISERROR(1/VLOOKUP($R384,Capa!$A:$AJ,BF$5,0)),0,1/VLOOKUP($R384,Capa!$A:$AJ,BF$5,0))))</f>
        <v/>
      </c>
      <c r="BG384" s="174" t="str">
        <f>IF(BG$6="","",IF(BG$3="Maior",iferror(VLOOKUP($R384,Capa!$A:$AJ,BG$5,0),0),IF(ISERROR(1/VLOOKUP($R384,Capa!$A:$AJ,BG$5,0)),0,1/VLOOKUP($R384,Capa!$A:$AJ,BG$5,0))))</f>
        <v/>
      </c>
      <c r="BH384" s="174" t="str">
        <f>IF(BH$6="","",IF(BH$3="Maior",iferror(VLOOKUP($R384,Capa!$A:$AJ,BH$5,0),0),IF(ISERROR(1/VLOOKUP($R384,Capa!$A:$AJ,BH$5,0)),0,1/VLOOKUP($R384,Capa!$A:$AJ,BH$5,0))))</f>
        <v/>
      </c>
      <c r="BI384" s="174" t="str">
        <f>IF(BI$6="","",IF(BI$3="Maior",iferror(VLOOKUP($R384,Capa!$A:$AJ,BI$5,0),0),IF(ISERROR(1/VLOOKUP($R384,Capa!$A:$AJ,BI$5,0)),0,1/VLOOKUP($R384,Capa!$A:$AJ,BI$5,0))))</f>
        <v/>
      </c>
      <c r="BJ384" s="174" t="str">
        <f>IF(BJ$6="","",IF(BJ$3="Maior",iferror(VLOOKUP($R384,Capa!$A:$AJ,BJ$5,0),0),IF(ISERROR(1/VLOOKUP($R384,Capa!$A:$AJ,BJ$5,0)),0,1/VLOOKUP($R384,Capa!$A:$AJ,BJ$5,0))))</f>
        <v/>
      </c>
      <c r="BK384" s="174" t="str">
        <f>IF(BK$6="","",IF(BK$3="Maior",iferror(VLOOKUP($R384,Capa!$A:$AJ,BK$5,0),0),IF(ISERROR(1/VLOOKUP($R384,Capa!$A:$AJ,BK$5,0)),0,1/VLOOKUP($R384,Capa!$A:$AJ,BK$5,0))))</f>
        <v/>
      </c>
      <c r="BL384" s="174" t="str">
        <f>IF(BL$6="","",IF(BL$3="Maior",iferror(VLOOKUP($R384,Capa!$A:$AJ,BL$5,0),0),IF(ISERROR(1/VLOOKUP($R384,Capa!$A:$AJ,BL$5,0)),0,1/VLOOKUP($R384,Capa!$A:$AJ,BL$5,0))))</f>
        <v/>
      </c>
      <c r="BM384" s="174" t="str">
        <f>IF(BM$6="","",IF(BM$3="Maior",iferror(VLOOKUP($R384,Capa!$A:$AJ,BM$5,0),0),IF(ISERROR(1/VLOOKUP($R384,Capa!$A:$AJ,BM$5,0)),0,1/VLOOKUP($R384,Capa!$A:$AJ,BM$5,0))))</f>
        <v/>
      </c>
      <c r="BN384" s="174" t="str">
        <f>IF(BN$6="","",IF(BN$3="Maior",iferror(VLOOKUP($R384,Capa!$A:$AJ,BN$5,0),0),IF(ISERROR(1/VLOOKUP($R384,Capa!$A:$AJ,BN$5,0)),0,1/VLOOKUP($R384,Capa!$A:$AJ,BN$5,0))))</f>
        <v/>
      </c>
      <c r="BO384" s="174" t="str">
        <f>IF(BO$6="","",IF(BO$3="Maior",iferror(VLOOKUP($R384,Capa!$A:$AJ,BO$5,0),0),IF(ISERROR(1/VLOOKUP($R384,Capa!$A:$AJ,BO$5,0)),0,1/VLOOKUP($R384,Capa!$A:$AJ,BO$5,0))))</f>
        <v/>
      </c>
      <c r="BP384" s="174" t="str">
        <f>IF(BP$6="","",IF(BP$3="Maior",iferror(VLOOKUP($R384,Capa!$A:$AJ,BP$5,0),0),IF(ISERROR(1/VLOOKUP($R384,Capa!$A:$AJ,BP$5,0)),0,1/VLOOKUP($R384,Capa!$A:$AJ,BP$5,0))))</f>
        <v/>
      </c>
      <c r="BQ384" s="174" t="str">
        <f>IF(BQ$6="","",IF(BQ$3="Maior",iferror(VLOOKUP($R384,Capa!$A:$AJ,BQ$5,0),0),IF(ISERROR(1/VLOOKUP($R384,Capa!$A:$AJ,BQ$5,0)),0,1/VLOOKUP($R384,Capa!$A:$AJ,BQ$5,0))))</f>
        <v/>
      </c>
      <c r="BR384" s="175"/>
      <c r="BS384" s="147"/>
    </row>
    <row r="385">
      <c r="G385" s="11"/>
      <c r="H385" s="8">
        <v>379.0</v>
      </c>
      <c r="I385" s="165" t="str">
        <f t="shared" si="6"/>
        <v>CEGR3</v>
      </c>
      <c r="J385" s="166" t="str">
        <f>(VLOOKUP($I385,Capa!$A:$B,2,0))</f>
        <v>Companhia Distribuidora d Gs d RdJnr CEG</v>
      </c>
      <c r="K385" s="167" t="str">
        <f>VLOOKUP(left(I385,4),Setor!A:D,3,0)&amp;" | "&amp;VLOOKUP(left(I385,4),Setor!A:D,4,0)</f>
        <v>Utilidade Pública | Gás</v>
      </c>
      <c r="L385" s="168">
        <f>(VLOOKUP($I385,Capa!$A:$F,6,0))</f>
        <v>55</v>
      </c>
      <c r="M385" s="168">
        <f t="shared" si="7"/>
        <v>1100</v>
      </c>
      <c r="N385" s="11" t="str">
        <f>IFERROR(__xludf.DUMMYFUNCTION("(VLOOKUP($I385,Capa!$A:$H,7,0))"),"")</f>
        <v/>
      </c>
      <c r="O385" s="169">
        <f>(VLOOKUP($I385,Capa!$A:$H,8,0))</f>
        <v>0.09126984127</v>
      </c>
      <c r="P385" s="11" t="str">
        <f>IFERROR(__xludf.DUMMYFUNCTION("(VLOOKUP($I385,Capa!$A:$J,10,0))"),"")</f>
        <v/>
      </c>
      <c r="Q385" s="169" t="str">
        <f>(VLOOKUP($I385,Capa!$A:$K,11,0))</f>
        <v/>
      </c>
      <c r="R385" s="45" t="str">
        <f>'Dados StatusInvest'!A380</f>
        <v>MELK3</v>
      </c>
      <c r="S385" s="170">
        <f t="shared" si="234"/>
        <v>459.0459</v>
      </c>
      <c r="T385" s="171">
        <f>VLOOKUP(R385,'Dados StatusInvest'!A:Z,26,0)</f>
        <v>2087970</v>
      </c>
      <c r="U385" s="172">
        <f t="shared" ref="U385:AS385" si="388">IF(AT385="","", RANK(AT385,AT$7:AT$626,0)+RANK(AT385,AT$7:AT$626,0)/10000)</f>
        <v>331.0331</v>
      </c>
      <c r="V385" s="172">
        <f t="shared" si="388"/>
        <v>128.0128</v>
      </c>
      <c r="W385" s="172" t="str">
        <f t="shared" si="388"/>
        <v/>
      </c>
      <c r="X385" s="172" t="str">
        <f t="shared" si="388"/>
        <v/>
      </c>
      <c r="Y385" s="172" t="str">
        <f t="shared" si="388"/>
        <v/>
      </c>
      <c r="Z385" s="172" t="str">
        <f t="shared" si="388"/>
        <v/>
      </c>
      <c r="AA385" s="172" t="str">
        <f t="shared" si="388"/>
        <v/>
      </c>
      <c r="AB385" s="172" t="str">
        <f t="shared" si="388"/>
        <v/>
      </c>
      <c r="AC385" s="172" t="str">
        <f t="shared" si="388"/>
        <v/>
      </c>
      <c r="AD385" s="172" t="str">
        <f t="shared" si="388"/>
        <v/>
      </c>
      <c r="AE385" s="172" t="str">
        <f t="shared" si="388"/>
        <v/>
      </c>
      <c r="AF385" s="172" t="str">
        <f t="shared" si="388"/>
        <v/>
      </c>
      <c r="AG385" s="172" t="str">
        <f t="shared" si="388"/>
        <v/>
      </c>
      <c r="AH385" s="172" t="str">
        <f t="shared" si="388"/>
        <v/>
      </c>
      <c r="AI385" s="172" t="str">
        <f t="shared" si="388"/>
        <v/>
      </c>
      <c r="AJ385" s="172" t="str">
        <f t="shared" si="388"/>
        <v/>
      </c>
      <c r="AK385" s="172" t="str">
        <f t="shared" si="388"/>
        <v/>
      </c>
      <c r="AL385" s="172" t="str">
        <f t="shared" si="388"/>
        <v/>
      </c>
      <c r="AM385" s="172" t="str">
        <f t="shared" si="388"/>
        <v/>
      </c>
      <c r="AN385" s="172" t="str">
        <f t="shared" si="388"/>
        <v/>
      </c>
      <c r="AO385" s="172" t="str">
        <f t="shared" si="388"/>
        <v/>
      </c>
      <c r="AP385" s="172" t="str">
        <f t="shared" si="388"/>
        <v/>
      </c>
      <c r="AQ385" s="172" t="str">
        <f t="shared" si="388"/>
        <v/>
      </c>
      <c r="AR385" s="172" t="str">
        <f t="shared" si="388"/>
        <v/>
      </c>
      <c r="AS385" s="172" t="str">
        <f t="shared" si="388"/>
        <v/>
      </c>
      <c r="AT385" s="173">
        <f>IF(AT$6="","",IF(AT$3="Maior",iferror(VLOOKUP($R385,Capa!$A:$AJ,AT$5,0),0),IF(ISERROR(1/VLOOKUP($R385,Capa!$A:$AJ,AT$5,0)),0,1/VLOOKUP($R385,Capa!$A:$AJ,AT$5,0))))</f>
        <v>-0.8631851532</v>
      </c>
      <c r="AU385" s="174">
        <f>IF(AU$6="","",IF(AU$3="Maior",iferror(VLOOKUP($R385,Capa!$A:$AJ,AU$5,0),0),IF(ISERROR(1/VLOOKUP($R385,Capa!$A:$AJ,AU$5,0)),0,1/VLOOKUP($R385,Capa!$A:$AJ,AU$5,0))))</f>
        <v>21.01</v>
      </c>
      <c r="AV385" s="174" t="str">
        <f>IF(AV$6="","",IF(AV$3="Maior",iferror(VLOOKUP($R385,Capa!$A:$AJ,AV$5,0),0),IF(ISERROR(1/VLOOKUP($R385,Capa!$A:$AJ,AV$5,0)),0,1/VLOOKUP($R385,Capa!$A:$AJ,AV$5,0))))</f>
        <v/>
      </c>
      <c r="AW385" s="174" t="str">
        <f>IF(AW$6="","",IF(AW$3="Maior",iferror(VLOOKUP($R385,Capa!$A:$AJ,AW$5,0),0),IF(ISERROR(1/VLOOKUP($R385,Capa!$A:$AJ,AW$5,0)),0,1/VLOOKUP($R385,Capa!$A:$AJ,AW$5,0))))</f>
        <v/>
      </c>
      <c r="AX385" s="174" t="str">
        <f>IF(AX$6="","",IF(AX$3="Maior",iferror(VLOOKUP($R385,Capa!$A:$AJ,AX$5,0),0),IF(ISERROR(1/VLOOKUP($R385,Capa!$A:$AJ,AX$5,0)),0,1/VLOOKUP($R385,Capa!$A:$AJ,AX$5,0))))</f>
        <v/>
      </c>
      <c r="AY385" s="174" t="str">
        <f>IF(AY$6="","",IF(AY$3="Maior",iferror(VLOOKUP($R385,Capa!$A:$AJ,AY$5,0),0),IF(ISERROR(1/VLOOKUP($R385,Capa!$A:$AJ,AY$5,0)),0,1/VLOOKUP($R385,Capa!$A:$AJ,AY$5,0))))</f>
        <v/>
      </c>
      <c r="AZ385" s="174" t="str">
        <f>IF(AZ$6="","",IF(AZ$3="Maior",iferror(VLOOKUP($R385,Capa!$A:$AJ,AZ$5,0),0),IF(ISERROR(1/VLOOKUP($R385,Capa!$A:$AJ,AZ$5,0)),0,1/VLOOKUP($R385,Capa!$A:$AJ,AZ$5,0))))</f>
        <v/>
      </c>
      <c r="BA385" s="174" t="str">
        <f>IF(BA$6="","",IF(BA$3="Maior",iferror(VLOOKUP($R385,Capa!$A:$AJ,BA$5,0),0),IF(ISERROR(1/VLOOKUP($R385,Capa!$A:$AJ,BA$5,0)),0,1/VLOOKUP($R385,Capa!$A:$AJ,BA$5,0))))</f>
        <v/>
      </c>
      <c r="BB385" s="174" t="str">
        <f>IF(BB$6="","",IF(BB$3="Maior",iferror(VLOOKUP($R385,Capa!$A:$AJ,BB$5,0),0),IF(ISERROR(1/VLOOKUP($R385,Capa!$A:$AJ,BB$5,0)),0,1/VLOOKUP($R385,Capa!$A:$AJ,BB$5,0))))</f>
        <v/>
      </c>
      <c r="BC385" s="174" t="str">
        <f>IF(BC$6="","",IF(BC$3="Maior",iferror(VLOOKUP($R385,Capa!$A:$AJ,BC$5,0),0),IF(ISERROR(1/VLOOKUP($R385,Capa!$A:$AJ,BC$5,0)),0,1/VLOOKUP($R385,Capa!$A:$AJ,BC$5,0))))</f>
        <v/>
      </c>
      <c r="BD385" s="174" t="str">
        <f>IF(BD$6="","",IF(BD$3="Maior",iferror(VLOOKUP($R385,Capa!$A:$AJ,BD$5,0),0),IF(ISERROR(1/VLOOKUP($R385,Capa!$A:$AJ,BD$5,0)),0,1/VLOOKUP($R385,Capa!$A:$AJ,BD$5,0))))</f>
        <v/>
      </c>
      <c r="BE385" s="174" t="str">
        <f>IF(BE$6="","",IF(BE$3="Maior",iferror(VLOOKUP($R385,Capa!$A:$AJ,BE$5,0),0),IF(ISERROR(1/VLOOKUP($R385,Capa!$A:$AJ,BE$5,0)),0,1/VLOOKUP($R385,Capa!$A:$AJ,BE$5,0))))</f>
        <v/>
      </c>
      <c r="BF385" s="174" t="str">
        <f>IF(BF$6="","",IF(BF$3="Maior",iferror(VLOOKUP($R385,Capa!$A:$AJ,BF$5,0),0),IF(ISERROR(1/VLOOKUP($R385,Capa!$A:$AJ,BF$5,0)),0,1/VLOOKUP($R385,Capa!$A:$AJ,BF$5,0))))</f>
        <v/>
      </c>
      <c r="BG385" s="174" t="str">
        <f>IF(BG$6="","",IF(BG$3="Maior",iferror(VLOOKUP($R385,Capa!$A:$AJ,BG$5,0),0),IF(ISERROR(1/VLOOKUP($R385,Capa!$A:$AJ,BG$5,0)),0,1/VLOOKUP($R385,Capa!$A:$AJ,BG$5,0))))</f>
        <v/>
      </c>
      <c r="BH385" s="174" t="str">
        <f>IF(BH$6="","",IF(BH$3="Maior",iferror(VLOOKUP($R385,Capa!$A:$AJ,BH$5,0),0),IF(ISERROR(1/VLOOKUP($R385,Capa!$A:$AJ,BH$5,0)),0,1/VLOOKUP($R385,Capa!$A:$AJ,BH$5,0))))</f>
        <v/>
      </c>
      <c r="BI385" s="174" t="str">
        <f>IF(BI$6="","",IF(BI$3="Maior",iferror(VLOOKUP($R385,Capa!$A:$AJ,BI$5,0),0),IF(ISERROR(1/VLOOKUP($R385,Capa!$A:$AJ,BI$5,0)),0,1/VLOOKUP($R385,Capa!$A:$AJ,BI$5,0))))</f>
        <v/>
      </c>
      <c r="BJ385" s="174" t="str">
        <f>IF(BJ$6="","",IF(BJ$3="Maior",iferror(VLOOKUP($R385,Capa!$A:$AJ,BJ$5,0),0),IF(ISERROR(1/VLOOKUP($R385,Capa!$A:$AJ,BJ$5,0)),0,1/VLOOKUP($R385,Capa!$A:$AJ,BJ$5,0))))</f>
        <v/>
      </c>
      <c r="BK385" s="174" t="str">
        <f>IF(BK$6="","",IF(BK$3="Maior",iferror(VLOOKUP($R385,Capa!$A:$AJ,BK$5,0),0),IF(ISERROR(1/VLOOKUP($R385,Capa!$A:$AJ,BK$5,0)),0,1/VLOOKUP($R385,Capa!$A:$AJ,BK$5,0))))</f>
        <v/>
      </c>
      <c r="BL385" s="174" t="str">
        <f>IF(BL$6="","",IF(BL$3="Maior",iferror(VLOOKUP($R385,Capa!$A:$AJ,BL$5,0),0),IF(ISERROR(1/VLOOKUP($R385,Capa!$A:$AJ,BL$5,0)),0,1/VLOOKUP($R385,Capa!$A:$AJ,BL$5,0))))</f>
        <v/>
      </c>
      <c r="BM385" s="174" t="str">
        <f>IF(BM$6="","",IF(BM$3="Maior",iferror(VLOOKUP($R385,Capa!$A:$AJ,BM$5,0),0),IF(ISERROR(1/VLOOKUP($R385,Capa!$A:$AJ,BM$5,0)),0,1/VLOOKUP($R385,Capa!$A:$AJ,BM$5,0))))</f>
        <v/>
      </c>
      <c r="BN385" s="174" t="str">
        <f>IF(BN$6="","",IF(BN$3="Maior",iferror(VLOOKUP($R385,Capa!$A:$AJ,BN$5,0),0),IF(ISERROR(1/VLOOKUP($R385,Capa!$A:$AJ,BN$5,0)),0,1/VLOOKUP($R385,Capa!$A:$AJ,BN$5,0))))</f>
        <v/>
      </c>
      <c r="BO385" s="174" t="str">
        <f>IF(BO$6="","",IF(BO$3="Maior",iferror(VLOOKUP($R385,Capa!$A:$AJ,BO$5,0),0),IF(ISERROR(1/VLOOKUP($R385,Capa!$A:$AJ,BO$5,0)),0,1/VLOOKUP($R385,Capa!$A:$AJ,BO$5,0))))</f>
        <v/>
      </c>
      <c r="BP385" s="174" t="str">
        <f>IF(BP$6="","",IF(BP$3="Maior",iferror(VLOOKUP($R385,Capa!$A:$AJ,BP$5,0),0),IF(ISERROR(1/VLOOKUP($R385,Capa!$A:$AJ,BP$5,0)),0,1/VLOOKUP($R385,Capa!$A:$AJ,BP$5,0))))</f>
        <v/>
      </c>
      <c r="BQ385" s="174" t="str">
        <f>IF(BQ$6="","",IF(BQ$3="Maior",iferror(VLOOKUP($R385,Capa!$A:$AJ,BQ$5,0),0),IF(ISERROR(1/VLOOKUP($R385,Capa!$A:$AJ,BQ$5,0)),0,1/VLOOKUP($R385,Capa!$A:$AJ,BQ$5,0))))</f>
        <v/>
      </c>
      <c r="BR385" s="175"/>
      <c r="BS385" s="147"/>
    </row>
    <row r="386">
      <c r="G386" s="11"/>
      <c r="H386" s="8">
        <v>380.0</v>
      </c>
      <c r="I386" s="165" t="str">
        <f t="shared" si="6"/>
        <v>LAME3</v>
      </c>
      <c r="J386" s="166" t="str">
        <f>(VLOOKUP($I386,Capa!$A:$B,2,0))</f>
        <v/>
      </c>
      <c r="K386" s="167" t="str">
        <f>VLOOKUP(left(I386,4),Setor!A:D,3,0)&amp;" | "&amp;VLOOKUP(left(I386,4),Setor!A:D,4,0)</f>
        <v>Consumo Cíclico | Comércio</v>
      </c>
      <c r="L386" s="168" t="str">
        <f>(VLOOKUP($I386,Capa!$A:$F,6,0))</f>
        <v/>
      </c>
      <c r="M386" s="168">
        <f t="shared" si="7"/>
        <v>0</v>
      </c>
      <c r="N386" s="11" t="str">
        <f>(VLOOKUP($I386,Capa!$A:$H,7,0))</f>
        <v/>
      </c>
      <c r="O386" s="169" t="str">
        <f>(VLOOKUP($I386,Capa!$A:$H,8,0))</f>
        <v/>
      </c>
      <c r="P386" s="11" t="str">
        <f>(VLOOKUP($I386,Capa!$A:$J,10,0))</f>
        <v/>
      </c>
      <c r="Q386" s="169" t="str">
        <f>(VLOOKUP($I386,Capa!$A:$K,11,0))</f>
        <v/>
      </c>
      <c r="R386" s="45" t="str">
        <f>'Dados StatusInvest'!A381</f>
        <v>MERC3</v>
      </c>
      <c r="S386" s="170">
        <f t="shared" si="234"/>
        <v>1512.0512</v>
      </c>
      <c r="T386" s="171">
        <f>VLOOKUP(R386,'Dados StatusInvest'!A:Z,26,0)</f>
        <v>1528</v>
      </c>
      <c r="U386" s="172">
        <f t="shared" ref="U386:AS386" si="389">IF(AT386="","", RANK(AT386,AT$7:AT$626,0)+RANK(AT386,AT$7:AT$626,0)/10000)</f>
        <v>344.0344</v>
      </c>
      <c r="V386" s="172">
        <f t="shared" si="389"/>
        <v>168.0168</v>
      </c>
      <c r="W386" s="172" t="str">
        <f t="shared" si="389"/>
        <v/>
      </c>
      <c r="X386" s="172" t="str">
        <f t="shared" si="389"/>
        <v/>
      </c>
      <c r="Y386" s="172" t="str">
        <f t="shared" si="389"/>
        <v/>
      </c>
      <c r="Z386" s="172" t="str">
        <f t="shared" si="389"/>
        <v/>
      </c>
      <c r="AA386" s="172" t="str">
        <f t="shared" si="389"/>
        <v/>
      </c>
      <c r="AB386" s="172" t="str">
        <f t="shared" si="389"/>
        <v/>
      </c>
      <c r="AC386" s="172" t="str">
        <f t="shared" si="389"/>
        <v/>
      </c>
      <c r="AD386" s="172" t="str">
        <f t="shared" si="389"/>
        <v/>
      </c>
      <c r="AE386" s="172" t="str">
        <f t="shared" si="389"/>
        <v/>
      </c>
      <c r="AF386" s="172" t="str">
        <f t="shared" si="389"/>
        <v/>
      </c>
      <c r="AG386" s="172" t="str">
        <f t="shared" si="389"/>
        <v/>
      </c>
      <c r="AH386" s="172" t="str">
        <f t="shared" si="389"/>
        <v/>
      </c>
      <c r="AI386" s="172" t="str">
        <f t="shared" si="389"/>
        <v/>
      </c>
      <c r="AJ386" s="172" t="str">
        <f t="shared" si="389"/>
        <v/>
      </c>
      <c r="AK386" s="172" t="str">
        <f t="shared" si="389"/>
        <v/>
      </c>
      <c r="AL386" s="172" t="str">
        <f t="shared" si="389"/>
        <v/>
      </c>
      <c r="AM386" s="172" t="str">
        <f t="shared" si="389"/>
        <v/>
      </c>
      <c r="AN386" s="172" t="str">
        <f t="shared" si="389"/>
        <v/>
      </c>
      <c r="AO386" s="172" t="str">
        <f t="shared" si="389"/>
        <v/>
      </c>
      <c r="AP386" s="172" t="str">
        <f t="shared" si="389"/>
        <v/>
      </c>
      <c r="AQ386" s="172" t="str">
        <f t="shared" si="389"/>
        <v/>
      </c>
      <c r="AR386" s="172" t="str">
        <f t="shared" si="389"/>
        <v/>
      </c>
      <c r="AS386" s="172" t="str">
        <f t="shared" si="389"/>
        <v/>
      </c>
      <c r="AT386" s="173">
        <f>IF(AT$6="","",IF(AT$3="Maior",iferror(VLOOKUP($R386,Capa!$A:$AJ,AT$5,0),0),IF(ISERROR(1/VLOOKUP($R386,Capa!$A:$AJ,AT$5,0)),0,1/VLOOKUP($R386,Capa!$A:$AJ,AT$5,0))))</f>
        <v>-0.9708737864</v>
      </c>
      <c r="AU386" s="174">
        <f>IF(AU$6="","",IF(AU$3="Maior",iferror(VLOOKUP($R386,Capa!$A:$AJ,AU$5,0),0),IF(ISERROR(1/VLOOKUP($R386,Capa!$A:$AJ,AU$5,0)),0,1/VLOOKUP($R386,Capa!$A:$AJ,AU$5,0))))</f>
        <v>15.25</v>
      </c>
      <c r="AV386" s="174" t="str">
        <f>IF(AV$6="","",IF(AV$3="Maior",iferror(VLOOKUP($R386,Capa!$A:$AJ,AV$5,0),0),IF(ISERROR(1/VLOOKUP($R386,Capa!$A:$AJ,AV$5,0)),0,1/VLOOKUP($R386,Capa!$A:$AJ,AV$5,0))))</f>
        <v/>
      </c>
      <c r="AW386" s="174" t="str">
        <f>IF(AW$6="","",IF(AW$3="Maior",iferror(VLOOKUP($R386,Capa!$A:$AJ,AW$5,0),0),IF(ISERROR(1/VLOOKUP($R386,Capa!$A:$AJ,AW$5,0)),0,1/VLOOKUP($R386,Capa!$A:$AJ,AW$5,0))))</f>
        <v/>
      </c>
      <c r="AX386" s="174" t="str">
        <f>IF(AX$6="","",IF(AX$3="Maior",iferror(VLOOKUP($R386,Capa!$A:$AJ,AX$5,0),0),IF(ISERROR(1/VLOOKUP($R386,Capa!$A:$AJ,AX$5,0)),0,1/VLOOKUP($R386,Capa!$A:$AJ,AX$5,0))))</f>
        <v/>
      </c>
      <c r="AY386" s="174" t="str">
        <f>IF(AY$6="","",IF(AY$3="Maior",iferror(VLOOKUP($R386,Capa!$A:$AJ,AY$5,0),0),IF(ISERROR(1/VLOOKUP($R386,Capa!$A:$AJ,AY$5,0)),0,1/VLOOKUP($R386,Capa!$A:$AJ,AY$5,0))))</f>
        <v/>
      </c>
      <c r="AZ386" s="174" t="str">
        <f>IF(AZ$6="","",IF(AZ$3="Maior",iferror(VLOOKUP($R386,Capa!$A:$AJ,AZ$5,0),0),IF(ISERROR(1/VLOOKUP($R386,Capa!$A:$AJ,AZ$5,0)),0,1/VLOOKUP($R386,Capa!$A:$AJ,AZ$5,0))))</f>
        <v/>
      </c>
      <c r="BA386" s="174" t="str">
        <f>IF(BA$6="","",IF(BA$3="Maior",iferror(VLOOKUP($R386,Capa!$A:$AJ,BA$5,0),0),IF(ISERROR(1/VLOOKUP($R386,Capa!$A:$AJ,BA$5,0)),0,1/VLOOKUP($R386,Capa!$A:$AJ,BA$5,0))))</f>
        <v/>
      </c>
      <c r="BB386" s="174" t="str">
        <f>IF(BB$6="","",IF(BB$3="Maior",iferror(VLOOKUP($R386,Capa!$A:$AJ,BB$5,0),0),IF(ISERROR(1/VLOOKUP($R386,Capa!$A:$AJ,BB$5,0)),0,1/VLOOKUP($R386,Capa!$A:$AJ,BB$5,0))))</f>
        <v/>
      </c>
      <c r="BC386" s="174" t="str">
        <f>IF(BC$6="","",IF(BC$3="Maior",iferror(VLOOKUP($R386,Capa!$A:$AJ,BC$5,0),0),IF(ISERROR(1/VLOOKUP($R386,Capa!$A:$AJ,BC$5,0)),0,1/VLOOKUP($R386,Capa!$A:$AJ,BC$5,0))))</f>
        <v/>
      </c>
      <c r="BD386" s="174" t="str">
        <f>IF(BD$6="","",IF(BD$3="Maior",iferror(VLOOKUP($R386,Capa!$A:$AJ,BD$5,0),0),IF(ISERROR(1/VLOOKUP($R386,Capa!$A:$AJ,BD$5,0)),0,1/VLOOKUP($R386,Capa!$A:$AJ,BD$5,0))))</f>
        <v/>
      </c>
      <c r="BE386" s="174" t="str">
        <f>IF(BE$6="","",IF(BE$3="Maior",iferror(VLOOKUP($R386,Capa!$A:$AJ,BE$5,0),0),IF(ISERROR(1/VLOOKUP($R386,Capa!$A:$AJ,BE$5,0)),0,1/VLOOKUP($R386,Capa!$A:$AJ,BE$5,0))))</f>
        <v/>
      </c>
      <c r="BF386" s="174" t="str">
        <f>IF(BF$6="","",IF(BF$3="Maior",iferror(VLOOKUP($R386,Capa!$A:$AJ,BF$5,0),0),IF(ISERROR(1/VLOOKUP($R386,Capa!$A:$AJ,BF$5,0)),0,1/VLOOKUP($R386,Capa!$A:$AJ,BF$5,0))))</f>
        <v/>
      </c>
      <c r="BG386" s="174" t="str">
        <f>IF(BG$6="","",IF(BG$3="Maior",iferror(VLOOKUP($R386,Capa!$A:$AJ,BG$5,0),0),IF(ISERROR(1/VLOOKUP($R386,Capa!$A:$AJ,BG$5,0)),0,1/VLOOKUP($R386,Capa!$A:$AJ,BG$5,0))))</f>
        <v/>
      </c>
      <c r="BH386" s="174" t="str">
        <f>IF(BH$6="","",IF(BH$3="Maior",iferror(VLOOKUP($R386,Capa!$A:$AJ,BH$5,0),0),IF(ISERROR(1/VLOOKUP($R386,Capa!$A:$AJ,BH$5,0)),0,1/VLOOKUP($R386,Capa!$A:$AJ,BH$5,0))))</f>
        <v/>
      </c>
      <c r="BI386" s="174" t="str">
        <f>IF(BI$6="","",IF(BI$3="Maior",iferror(VLOOKUP($R386,Capa!$A:$AJ,BI$5,0),0),IF(ISERROR(1/VLOOKUP($R386,Capa!$A:$AJ,BI$5,0)),0,1/VLOOKUP($R386,Capa!$A:$AJ,BI$5,0))))</f>
        <v/>
      </c>
      <c r="BJ386" s="174" t="str">
        <f>IF(BJ$6="","",IF(BJ$3="Maior",iferror(VLOOKUP($R386,Capa!$A:$AJ,BJ$5,0),0),IF(ISERROR(1/VLOOKUP($R386,Capa!$A:$AJ,BJ$5,0)),0,1/VLOOKUP($R386,Capa!$A:$AJ,BJ$5,0))))</f>
        <v/>
      </c>
      <c r="BK386" s="174" t="str">
        <f>IF(BK$6="","",IF(BK$3="Maior",iferror(VLOOKUP($R386,Capa!$A:$AJ,BK$5,0),0),IF(ISERROR(1/VLOOKUP($R386,Capa!$A:$AJ,BK$5,0)),0,1/VLOOKUP($R386,Capa!$A:$AJ,BK$5,0))))</f>
        <v/>
      </c>
      <c r="BL386" s="174" t="str">
        <f>IF(BL$6="","",IF(BL$3="Maior",iferror(VLOOKUP($R386,Capa!$A:$AJ,BL$5,0),0),IF(ISERROR(1/VLOOKUP($R386,Capa!$A:$AJ,BL$5,0)),0,1/VLOOKUP($R386,Capa!$A:$AJ,BL$5,0))))</f>
        <v/>
      </c>
      <c r="BM386" s="174" t="str">
        <f>IF(BM$6="","",IF(BM$3="Maior",iferror(VLOOKUP($R386,Capa!$A:$AJ,BM$5,0),0),IF(ISERROR(1/VLOOKUP($R386,Capa!$A:$AJ,BM$5,0)),0,1/VLOOKUP($R386,Capa!$A:$AJ,BM$5,0))))</f>
        <v/>
      </c>
      <c r="BN386" s="174" t="str">
        <f>IF(BN$6="","",IF(BN$3="Maior",iferror(VLOOKUP($R386,Capa!$A:$AJ,BN$5,0),0),IF(ISERROR(1/VLOOKUP($R386,Capa!$A:$AJ,BN$5,0)),0,1/VLOOKUP($R386,Capa!$A:$AJ,BN$5,0))))</f>
        <v/>
      </c>
      <c r="BO386" s="174" t="str">
        <f>IF(BO$6="","",IF(BO$3="Maior",iferror(VLOOKUP($R386,Capa!$A:$AJ,BO$5,0),0),IF(ISERROR(1/VLOOKUP($R386,Capa!$A:$AJ,BO$5,0)),0,1/VLOOKUP($R386,Capa!$A:$AJ,BO$5,0))))</f>
        <v/>
      </c>
      <c r="BP386" s="174" t="str">
        <f>IF(BP$6="","",IF(BP$3="Maior",iferror(VLOOKUP($R386,Capa!$A:$AJ,BP$5,0),0),IF(ISERROR(1/VLOOKUP($R386,Capa!$A:$AJ,BP$5,0)),0,1/VLOOKUP($R386,Capa!$A:$AJ,BP$5,0))))</f>
        <v/>
      </c>
      <c r="BQ386" s="174" t="str">
        <f>IF(BQ$6="","",IF(BQ$3="Maior",iferror(VLOOKUP($R386,Capa!$A:$AJ,BQ$5,0),0),IF(ISERROR(1/VLOOKUP($R386,Capa!$A:$AJ,BQ$5,0)),0,1/VLOOKUP($R386,Capa!$A:$AJ,BQ$5,0))))</f>
        <v/>
      </c>
      <c r="BR386" s="175"/>
      <c r="BS386" s="147"/>
    </row>
    <row r="387">
      <c r="G387" s="11"/>
      <c r="H387" s="8">
        <v>381.0</v>
      </c>
      <c r="I387" s="165" t="str">
        <f t="shared" si="6"/>
        <v>LAME4</v>
      </c>
      <c r="J387" s="166" t="str">
        <f>(VLOOKUP($I387,Capa!$A:$B,2,0))</f>
        <v/>
      </c>
      <c r="K387" s="167" t="str">
        <f>VLOOKUP(left(I387,4),Setor!A:D,3,0)&amp;" | "&amp;VLOOKUP(left(I387,4),Setor!A:D,4,0)</f>
        <v>Consumo Cíclico | Comércio</v>
      </c>
      <c r="L387" s="168" t="str">
        <f>(VLOOKUP($I387,Capa!$A:$F,6,0))</f>
        <v/>
      </c>
      <c r="M387" s="168">
        <f t="shared" si="7"/>
        <v>0</v>
      </c>
      <c r="N387" s="11" t="str">
        <f>(VLOOKUP($I387,Capa!$A:$H,7,0))</f>
        <v/>
      </c>
      <c r="O387" s="169" t="str">
        <f>(VLOOKUP($I387,Capa!$A:$H,8,0))</f>
        <v/>
      </c>
      <c r="P387" s="11" t="str">
        <f>(VLOOKUP($I387,Capa!$A:$J,10,0))</f>
        <v/>
      </c>
      <c r="Q387" s="169" t="str">
        <f>(VLOOKUP($I387,Capa!$A:$K,11,0))</f>
        <v/>
      </c>
      <c r="R387" s="45" t="str">
        <f>'Dados StatusInvest'!A382</f>
        <v>MERC4</v>
      </c>
      <c r="S387" s="170">
        <f t="shared" si="234"/>
        <v>1518.0518</v>
      </c>
      <c r="T387" s="171">
        <f>VLOOKUP(R387,'Dados StatusInvest'!A:Z,26,0)</f>
        <v>14288.75</v>
      </c>
      <c r="U387" s="172">
        <f t="shared" ref="U387:AS387" si="390">IF(AT387="","", RANK(AT387,AT$7:AT$626,0)+RANK(AT387,AT$7:AT$626,0)/10000)</f>
        <v>350.035</v>
      </c>
      <c r="V387" s="172">
        <f t="shared" si="390"/>
        <v>168.0168</v>
      </c>
      <c r="W387" s="172" t="str">
        <f t="shared" si="390"/>
        <v/>
      </c>
      <c r="X387" s="172" t="str">
        <f t="shared" si="390"/>
        <v/>
      </c>
      <c r="Y387" s="172" t="str">
        <f t="shared" si="390"/>
        <v/>
      </c>
      <c r="Z387" s="172" t="str">
        <f t="shared" si="390"/>
        <v/>
      </c>
      <c r="AA387" s="172" t="str">
        <f t="shared" si="390"/>
        <v/>
      </c>
      <c r="AB387" s="172" t="str">
        <f t="shared" si="390"/>
        <v/>
      </c>
      <c r="AC387" s="172" t="str">
        <f t="shared" si="390"/>
        <v/>
      </c>
      <c r="AD387" s="172" t="str">
        <f t="shared" si="390"/>
        <v/>
      </c>
      <c r="AE387" s="172" t="str">
        <f t="shared" si="390"/>
        <v/>
      </c>
      <c r="AF387" s="172" t="str">
        <f t="shared" si="390"/>
        <v/>
      </c>
      <c r="AG387" s="172" t="str">
        <f t="shared" si="390"/>
        <v/>
      </c>
      <c r="AH387" s="172" t="str">
        <f t="shared" si="390"/>
        <v/>
      </c>
      <c r="AI387" s="172" t="str">
        <f t="shared" si="390"/>
        <v/>
      </c>
      <c r="AJ387" s="172" t="str">
        <f t="shared" si="390"/>
        <v/>
      </c>
      <c r="AK387" s="172" t="str">
        <f t="shared" si="390"/>
        <v/>
      </c>
      <c r="AL387" s="172" t="str">
        <f t="shared" si="390"/>
        <v/>
      </c>
      <c r="AM387" s="172" t="str">
        <f t="shared" si="390"/>
        <v/>
      </c>
      <c r="AN387" s="172" t="str">
        <f t="shared" si="390"/>
        <v/>
      </c>
      <c r="AO387" s="172" t="str">
        <f t="shared" si="390"/>
        <v/>
      </c>
      <c r="AP387" s="172" t="str">
        <f t="shared" si="390"/>
        <v/>
      </c>
      <c r="AQ387" s="172" t="str">
        <f t="shared" si="390"/>
        <v/>
      </c>
      <c r="AR387" s="172" t="str">
        <f t="shared" si="390"/>
        <v/>
      </c>
      <c r="AS387" s="172" t="str">
        <f t="shared" si="390"/>
        <v/>
      </c>
      <c r="AT387" s="173">
        <f>IF(AT$6="","",IF(AT$3="Maior",iferror(VLOOKUP($R387,Capa!$A:$AJ,AT$5,0),0),IF(ISERROR(1/VLOOKUP($R387,Capa!$A:$AJ,AT$5,0)),0,1/VLOOKUP($R387,Capa!$A:$AJ,AT$5,0))))</f>
        <v>-0.9900990099</v>
      </c>
      <c r="AU387" s="174">
        <f>IF(AU$6="","",IF(AU$3="Maior",iferror(VLOOKUP($R387,Capa!$A:$AJ,AU$5,0),0),IF(ISERROR(1/VLOOKUP($R387,Capa!$A:$AJ,AU$5,0)),0,1/VLOOKUP($R387,Capa!$A:$AJ,AU$5,0))))</f>
        <v>15.25</v>
      </c>
      <c r="AV387" s="174" t="str">
        <f>IF(AV$6="","",IF(AV$3="Maior",iferror(VLOOKUP($R387,Capa!$A:$AJ,AV$5,0),0),IF(ISERROR(1/VLOOKUP($R387,Capa!$A:$AJ,AV$5,0)),0,1/VLOOKUP($R387,Capa!$A:$AJ,AV$5,0))))</f>
        <v/>
      </c>
      <c r="AW387" s="174" t="str">
        <f>IF(AW$6="","",IF(AW$3="Maior",iferror(VLOOKUP($R387,Capa!$A:$AJ,AW$5,0),0),IF(ISERROR(1/VLOOKUP($R387,Capa!$A:$AJ,AW$5,0)),0,1/VLOOKUP($R387,Capa!$A:$AJ,AW$5,0))))</f>
        <v/>
      </c>
      <c r="AX387" s="174" t="str">
        <f>IF(AX$6="","",IF(AX$3="Maior",iferror(VLOOKUP($R387,Capa!$A:$AJ,AX$5,0),0),IF(ISERROR(1/VLOOKUP($R387,Capa!$A:$AJ,AX$5,0)),0,1/VLOOKUP($R387,Capa!$A:$AJ,AX$5,0))))</f>
        <v/>
      </c>
      <c r="AY387" s="174" t="str">
        <f>IF(AY$6="","",IF(AY$3="Maior",iferror(VLOOKUP($R387,Capa!$A:$AJ,AY$5,0),0),IF(ISERROR(1/VLOOKUP($R387,Capa!$A:$AJ,AY$5,0)),0,1/VLOOKUP($R387,Capa!$A:$AJ,AY$5,0))))</f>
        <v/>
      </c>
      <c r="AZ387" s="174" t="str">
        <f>IF(AZ$6="","",IF(AZ$3="Maior",iferror(VLOOKUP($R387,Capa!$A:$AJ,AZ$5,0),0),IF(ISERROR(1/VLOOKUP($R387,Capa!$A:$AJ,AZ$5,0)),0,1/VLOOKUP($R387,Capa!$A:$AJ,AZ$5,0))))</f>
        <v/>
      </c>
      <c r="BA387" s="174" t="str">
        <f>IF(BA$6="","",IF(BA$3="Maior",iferror(VLOOKUP($R387,Capa!$A:$AJ,BA$5,0),0),IF(ISERROR(1/VLOOKUP($R387,Capa!$A:$AJ,BA$5,0)),0,1/VLOOKUP($R387,Capa!$A:$AJ,BA$5,0))))</f>
        <v/>
      </c>
      <c r="BB387" s="174" t="str">
        <f>IF(BB$6="","",IF(BB$3="Maior",iferror(VLOOKUP($R387,Capa!$A:$AJ,BB$5,0),0),IF(ISERROR(1/VLOOKUP($R387,Capa!$A:$AJ,BB$5,0)),0,1/VLOOKUP($R387,Capa!$A:$AJ,BB$5,0))))</f>
        <v/>
      </c>
      <c r="BC387" s="174" t="str">
        <f>IF(BC$6="","",IF(BC$3="Maior",iferror(VLOOKUP($R387,Capa!$A:$AJ,BC$5,0),0),IF(ISERROR(1/VLOOKUP($R387,Capa!$A:$AJ,BC$5,0)),0,1/VLOOKUP($R387,Capa!$A:$AJ,BC$5,0))))</f>
        <v/>
      </c>
      <c r="BD387" s="174" t="str">
        <f>IF(BD$6="","",IF(BD$3="Maior",iferror(VLOOKUP($R387,Capa!$A:$AJ,BD$5,0),0),IF(ISERROR(1/VLOOKUP($R387,Capa!$A:$AJ,BD$5,0)),0,1/VLOOKUP($R387,Capa!$A:$AJ,BD$5,0))))</f>
        <v/>
      </c>
      <c r="BE387" s="174" t="str">
        <f>IF(BE$6="","",IF(BE$3="Maior",iferror(VLOOKUP($R387,Capa!$A:$AJ,BE$5,0),0),IF(ISERROR(1/VLOOKUP($R387,Capa!$A:$AJ,BE$5,0)),0,1/VLOOKUP($R387,Capa!$A:$AJ,BE$5,0))))</f>
        <v/>
      </c>
      <c r="BF387" s="174" t="str">
        <f>IF(BF$6="","",IF(BF$3="Maior",iferror(VLOOKUP($R387,Capa!$A:$AJ,BF$5,0),0),IF(ISERROR(1/VLOOKUP($R387,Capa!$A:$AJ,BF$5,0)),0,1/VLOOKUP($R387,Capa!$A:$AJ,BF$5,0))))</f>
        <v/>
      </c>
      <c r="BG387" s="174" t="str">
        <f>IF(BG$6="","",IF(BG$3="Maior",iferror(VLOOKUP($R387,Capa!$A:$AJ,BG$5,0),0),IF(ISERROR(1/VLOOKUP($R387,Capa!$A:$AJ,BG$5,0)),0,1/VLOOKUP($R387,Capa!$A:$AJ,BG$5,0))))</f>
        <v/>
      </c>
      <c r="BH387" s="174" t="str">
        <f>IF(BH$6="","",IF(BH$3="Maior",iferror(VLOOKUP($R387,Capa!$A:$AJ,BH$5,0),0),IF(ISERROR(1/VLOOKUP($R387,Capa!$A:$AJ,BH$5,0)),0,1/VLOOKUP($R387,Capa!$A:$AJ,BH$5,0))))</f>
        <v/>
      </c>
      <c r="BI387" s="174" t="str">
        <f>IF(BI$6="","",IF(BI$3="Maior",iferror(VLOOKUP($R387,Capa!$A:$AJ,BI$5,0),0),IF(ISERROR(1/VLOOKUP($R387,Capa!$A:$AJ,BI$5,0)),0,1/VLOOKUP($R387,Capa!$A:$AJ,BI$5,0))))</f>
        <v/>
      </c>
      <c r="BJ387" s="174" t="str">
        <f>IF(BJ$6="","",IF(BJ$3="Maior",iferror(VLOOKUP($R387,Capa!$A:$AJ,BJ$5,0),0),IF(ISERROR(1/VLOOKUP($R387,Capa!$A:$AJ,BJ$5,0)),0,1/VLOOKUP($R387,Capa!$A:$AJ,BJ$5,0))))</f>
        <v/>
      </c>
      <c r="BK387" s="174" t="str">
        <f>IF(BK$6="","",IF(BK$3="Maior",iferror(VLOOKUP($R387,Capa!$A:$AJ,BK$5,0),0),IF(ISERROR(1/VLOOKUP($R387,Capa!$A:$AJ,BK$5,0)),0,1/VLOOKUP($R387,Capa!$A:$AJ,BK$5,0))))</f>
        <v/>
      </c>
      <c r="BL387" s="174" t="str">
        <f>IF(BL$6="","",IF(BL$3="Maior",iferror(VLOOKUP($R387,Capa!$A:$AJ,BL$5,0),0),IF(ISERROR(1/VLOOKUP($R387,Capa!$A:$AJ,BL$5,0)),0,1/VLOOKUP($R387,Capa!$A:$AJ,BL$5,0))))</f>
        <v/>
      </c>
      <c r="BM387" s="174" t="str">
        <f>IF(BM$6="","",IF(BM$3="Maior",iferror(VLOOKUP($R387,Capa!$A:$AJ,BM$5,0),0),IF(ISERROR(1/VLOOKUP($R387,Capa!$A:$AJ,BM$5,0)),0,1/VLOOKUP($R387,Capa!$A:$AJ,BM$5,0))))</f>
        <v/>
      </c>
      <c r="BN387" s="174" t="str">
        <f>IF(BN$6="","",IF(BN$3="Maior",iferror(VLOOKUP($R387,Capa!$A:$AJ,BN$5,0),0),IF(ISERROR(1/VLOOKUP($R387,Capa!$A:$AJ,BN$5,0)),0,1/VLOOKUP($R387,Capa!$A:$AJ,BN$5,0))))</f>
        <v/>
      </c>
      <c r="BO387" s="174" t="str">
        <f>IF(BO$6="","",IF(BO$3="Maior",iferror(VLOOKUP($R387,Capa!$A:$AJ,BO$5,0),0),IF(ISERROR(1/VLOOKUP($R387,Capa!$A:$AJ,BO$5,0)),0,1/VLOOKUP($R387,Capa!$A:$AJ,BO$5,0))))</f>
        <v/>
      </c>
      <c r="BP387" s="174" t="str">
        <f>IF(BP$6="","",IF(BP$3="Maior",iferror(VLOOKUP($R387,Capa!$A:$AJ,BP$5,0),0),IF(ISERROR(1/VLOOKUP($R387,Capa!$A:$AJ,BP$5,0)),0,1/VLOOKUP($R387,Capa!$A:$AJ,BP$5,0))))</f>
        <v/>
      </c>
      <c r="BQ387" s="174" t="str">
        <f>IF(BQ$6="","",IF(BQ$3="Maior",iferror(VLOOKUP($R387,Capa!$A:$AJ,BQ$5,0),0),IF(ISERROR(1/VLOOKUP($R387,Capa!$A:$AJ,BQ$5,0)),0,1/VLOOKUP($R387,Capa!$A:$AJ,BQ$5,0))))</f>
        <v/>
      </c>
      <c r="BR387" s="175"/>
      <c r="BS387" s="147"/>
    </row>
    <row r="388">
      <c r="G388" s="11"/>
      <c r="H388" s="8">
        <v>382.0</v>
      </c>
      <c r="I388" s="165" t="str">
        <f t="shared" si="6"/>
        <v>CEBR6</v>
      </c>
      <c r="J388" s="166" t="str">
        <f>(VLOOKUP($I388,Capa!$A:$B,2,0))</f>
        <v>Companhia Energetica de Brasilia CEB Preference Shares Class B</v>
      </c>
      <c r="K388" s="167" t="str">
        <f>VLOOKUP(left(I388,4),Setor!A:D,3,0)&amp;" | "&amp;VLOOKUP(left(I388,4),Setor!A:D,4,0)</f>
        <v>Utilidade Pública | Energia Elétrica</v>
      </c>
      <c r="L388" s="168">
        <f>(VLOOKUP($I388,Capa!$A:$F,6,0))</f>
        <v>31.52</v>
      </c>
      <c r="M388" s="168">
        <f t="shared" si="7"/>
        <v>138506.8</v>
      </c>
      <c r="N388" s="11" t="str">
        <f>IFERROR(__xludf.DUMMYFUNCTION("(VLOOKUP($I388,Capa!$A:$H,7,0))"),"")</f>
        <v/>
      </c>
      <c r="O388" s="169">
        <f>(VLOOKUP($I388,Capa!$A:$H,8,0))</f>
        <v>0.0710159701</v>
      </c>
      <c r="P388" s="11" t="str">
        <f>IFERROR(__xludf.DUMMYFUNCTION("(VLOOKUP($I388,Capa!$A:$J,10,0))"),"")</f>
        <v/>
      </c>
      <c r="Q388" s="169">
        <f>(VLOOKUP($I388,Capa!$A:$K,11,0))</f>
        <v>0.7838143746</v>
      </c>
      <c r="R388" s="45" t="str">
        <f>'Dados StatusInvest'!A383</f>
        <v>MGEL3</v>
      </c>
      <c r="S388" s="170">
        <f t="shared" si="234"/>
        <v>1429.0429</v>
      </c>
      <c r="T388" s="171">
        <f>VLOOKUP(R388,'Dados StatusInvest'!A:Z,26,0)</f>
        <v>0</v>
      </c>
      <c r="U388" s="172">
        <f t="shared" ref="U388:AS388" si="391">IF(AT388="","", RANK(AT388,AT$7:AT$626,0)+RANK(AT388,AT$7:AT$626,0)/10000)</f>
        <v>162.0162</v>
      </c>
      <c r="V388" s="172">
        <f t="shared" si="391"/>
        <v>267.0267</v>
      </c>
      <c r="W388" s="172" t="str">
        <f t="shared" si="391"/>
        <v/>
      </c>
      <c r="X388" s="172" t="str">
        <f t="shared" si="391"/>
        <v/>
      </c>
      <c r="Y388" s="172" t="str">
        <f t="shared" si="391"/>
        <v/>
      </c>
      <c r="Z388" s="172" t="str">
        <f t="shared" si="391"/>
        <v/>
      </c>
      <c r="AA388" s="172" t="str">
        <f t="shared" si="391"/>
        <v/>
      </c>
      <c r="AB388" s="172" t="str">
        <f t="shared" si="391"/>
        <v/>
      </c>
      <c r="AC388" s="172" t="str">
        <f t="shared" si="391"/>
        <v/>
      </c>
      <c r="AD388" s="172" t="str">
        <f t="shared" si="391"/>
        <v/>
      </c>
      <c r="AE388" s="172" t="str">
        <f t="shared" si="391"/>
        <v/>
      </c>
      <c r="AF388" s="172" t="str">
        <f t="shared" si="391"/>
        <v/>
      </c>
      <c r="AG388" s="172" t="str">
        <f t="shared" si="391"/>
        <v/>
      </c>
      <c r="AH388" s="172" t="str">
        <f t="shared" si="391"/>
        <v/>
      </c>
      <c r="AI388" s="172" t="str">
        <f t="shared" si="391"/>
        <v/>
      </c>
      <c r="AJ388" s="172" t="str">
        <f t="shared" si="391"/>
        <v/>
      </c>
      <c r="AK388" s="172" t="str">
        <f t="shared" si="391"/>
        <v/>
      </c>
      <c r="AL388" s="172" t="str">
        <f t="shared" si="391"/>
        <v/>
      </c>
      <c r="AM388" s="172" t="str">
        <f t="shared" si="391"/>
        <v/>
      </c>
      <c r="AN388" s="172" t="str">
        <f t="shared" si="391"/>
        <v/>
      </c>
      <c r="AO388" s="172" t="str">
        <f t="shared" si="391"/>
        <v/>
      </c>
      <c r="AP388" s="172" t="str">
        <f t="shared" si="391"/>
        <v/>
      </c>
      <c r="AQ388" s="172" t="str">
        <f t="shared" si="391"/>
        <v/>
      </c>
      <c r="AR388" s="172" t="str">
        <f t="shared" si="391"/>
        <v/>
      </c>
      <c r="AS388" s="172" t="str">
        <f t="shared" si="391"/>
        <v/>
      </c>
      <c r="AT388" s="173">
        <f>IF(AT$6="","",IF(AT$3="Maior",iferror(VLOOKUP($R388,Capa!$A:$AJ,AT$5,0),0),IF(ISERROR(1/VLOOKUP($R388,Capa!$A:$AJ,AT$5,0)),0,1/VLOOKUP($R388,Capa!$A:$AJ,AT$5,0))))</f>
        <v>-0.153609831</v>
      </c>
      <c r="AU388" s="174">
        <f>IF(AU$6="","",IF(AU$3="Maior",iferror(VLOOKUP($R388,Capa!$A:$AJ,AU$5,0),0),IF(ISERROR(1/VLOOKUP($R388,Capa!$A:$AJ,AU$5,0)),0,1/VLOOKUP($R388,Capa!$A:$AJ,AU$5,0))))</f>
        <v>0</v>
      </c>
      <c r="AV388" s="174" t="str">
        <f>IF(AV$6="","",IF(AV$3="Maior",iferror(VLOOKUP($R388,Capa!$A:$AJ,AV$5,0),0),IF(ISERROR(1/VLOOKUP($R388,Capa!$A:$AJ,AV$5,0)),0,1/VLOOKUP($R388,Capa!$A:$AJ,AV$5,0))))</f>
        <v/>
      </c>
      <c r="AW388" s="174" t="str">
        <f>IF(AW$6="","",IF(AW$3="Maior",iferror(VLOOKUP($R388,Capa!$A:$AJ,AW$5,0),0),IF(ISERROR(1/VLOOKUP($R388,Capa!$A:$AJ,AW$5,0)),0,1/VLOOKUP($R388,Capa!$A:$AJ,AW$5,0))))</f>
        <v/>
      </c>
      <c r="AX388" s="174" t="str">
        <f>IF(AX$6="","",IF(AX$3="Maior",iferror(VLOOKUP($R388,Capa!$A:$AJ,AX$5,0),0),IF(ISERROR(1/VLOOKUP($R388,Capa!$A:$AJ,AX$5,0)),0,1/VLOOKUP($R388,Capa!$A:$AJ,AX$5,0))))</f>
        <v/>
      </c>
      <c r="AY388" s="174" t="str">
        <f>IF(AY$6="","",IF(AY$3="Maior",iferror(VLOOKUP($R388,Capa!$A:$AJ,AY$5,0),0),IF(ISERROR(1/VLOOKUP($R388,Capa!$A:$AJ,AY$5,0)),0,1/VLOOKUP($R388,Capa!$A:$AJ,AY$5,0))))</f>
        <v/>
      </c>
      <c r="AZ388" s="174" t="str">
        <f>IF(AZ$6="","",IF(AZ$3="Maior",iferror(VLOOKUP($R388,Capa!$A:$AJ,AZ$5,0),0),IF(ISERROR(1/VLOOKUP($R388,Capa!$A:$AJ,AZ$5,0)),0,1/VLOOKUP($R388,Capa!$A:$AJ,AZ$5,0))))</f>
        <v/>
      </c>
      <c r="BA388" s="174" t="str">
        <f>IF(BA$6="","",IF(BA$3="Maior",iferror(VLOOKUP($R388,Capa!$A:$AJ,BA$5,0),0),IF(ISERROR(1/VLOOKUP($R388,Capa!$A:$AJ,BA$5,0)),0,1/VLOOKUP($R388,Capa!$A:$AJ,BA$5,0))))</f>
        <v/>
      </c>
      <c r="BB388" s="174" t="str">
        <f>IF(BB$6="","",IF(BB$3="Maior",iferror(VLOOKUP($R388,Capa!$A:$AJ,BB$5,0),0),IF(ISERROR(1/VLOOKUP($R388,Capa!$A:$AJ,BB$5,0)),0,1/VLOOKUP($R388,Capa!$A:$AJ,BB$5,0))))</f>
        <v/>
      </c>
      <c r="BC388" s="174" t="str">
        <f>IF(BC$6="","",IF(BC$3="Maior",iferror(VLOOKUP($R388,Capa!$A:$AJ,BC$5,0),0),IF(ISERROR(1/VLOOKUP($R388,Capa!$A:$AJ,BC$5,0)),0,1/VLOOKUP($R388,Capa!$A:$AJ,BC$5,0))))</f>
        <v/>
      </c>
      <c r="BD388" s="174" t="str">
        <f>IF(BD$6="","",IF(BD$3="Maior",iferror(VLOOKUP($R388,Capa!$A:$AJ,BD$5,0),0),IF(ISERROR(1/VLOOKUP($R388,Capa!$A:$AJ,BD$5,0)),0,1/VLOOKUP($R388,Capa!$A:$AJ,BD$5,0))))</f>
        <v/>
      </c>
      <c r="BE388" s="174" t="str">
        <f>IF(BE$6="","",IF(BE$3="Maior",iferror(VLOOKUP($R388,Capa!$A:$AJ,BE$5,0),0),IF(ISERROR(1/VLOOKUP($R388,Capa!$A:$AJ,BE$5,0)),0,1/VLOOKUP($R388,Capa!$A:$AJ,BE$5,0))))</f>
        <v/>
      </c>
      <c r="BF388" s="174" t="str">
        <f>IF(BF$6="","",IF(BF$3="Maior",iferror(VLOOKUP($R388,Capa!$A:$AJ,BF$5,0),0),IF(ISERROR(1/VLOOKUP($R388,Capa!$A:$AJ,BF$5,0)),0,1/VLOOKUP($R388,Capa!$A:$AJ,BF$5,0))))</f>
        <v/>
      </c>
      <c r="BG388" s="174" t="str">
        <f>IF(BG$6="","",IF(BG$3="Maior",iferror(VLOOKUP($R388,Capa!$A:$AJ,BG$5,0),0),IF(ISERROR(1/VLOOKUP($R388,Capa!$A:$AJ,BG$5,0)),0,1/VLOOKUP($R388,Capa!$A:$AJ,BG$5,0))))</f>
        <v/>
      </c>
      <c r="BH388" s="174" t="str">
        <f>IF(BH$6="","",IF(BH$3="Maior",iferror(VLOOKUP($R388,Capa!$A:$AJ,BH$5,0),0),IF(ISERROR(1/VLOOKUP($R388,Capa!$A:$AJ,BH$5,0)),0,1/VLOOKUP($R388,Capa!$A:$AJ,BH$5,0))))</f>
        <v/>
      </c>
      <c r="BI388" s="174" t="str">
        <f>IF(BI$6="","",IF(BI$3="Maior",iferror(VLOOKUP($R388,Capa!$A:$AJ,BI$5,0),0),IF(ISERROR(1/VLOOKUP($R388,Capa!$A:$AJ,BI$5,0)),0,1/VLOOKUP($R388,Capa!$A:$AJ,BI$5,0))))</f>
        <v/>
      </c>
      <c r="BJ388" s="174" t="str">
        <f>IF(BJ$6="","",IF(BJ$3="Maior",iferror(VLOOKUP($R388,Capa!$A:$AJ,BJ$5,0),0),IF(ISERROR(1/VLOOKUP($R388,Capa!$A:$AJ,BJ$5,0)),0,1/VLOOKUP($R388,Capa!$A:$AJ,BJ$5,0))))</f>
        <v/>
      </c>
      <c r="BK388" s="174" t="str">
        <f>IF(BK$6="","",IF(BK$3="Maior",iferror(VLOOKUP($R388,Capa!$A:$AJ,BK$5,0),0),IF(ISERROR(1/VLOOKUP($R388,Capa!$A:$AJ,BK$5,0)),0,1/VLOOKUP($R388,Capa!$A:$AJ,BK$5,0))))</f>
        <v/>
      </c>
      <c r="BL388" s="174" t="str">
        <f>IF(BL$6="","",IF(BL$3="Maior",iferror(VLOOKUP($R388,Capa!$A:$AJ,BL$5,0),0),IF(ISERROR(1/VLOOKUP($R388,Capa!$A:$AJ,BL$5,0)),0,1/VLOOKUP($R388,Capa!$A:$AJ,BL$5,0))))</f>
        <v/>
      </c>
      <c r="BM388" s="174" t="str">
        <f>IF(BM$6="","",IF(BM$3="Maior",iferror(VLOOKUP($R388,Capa!$A:$AJ,BM$5,0),0),IF(ISERROR(1/VLOOKUP($R388,Capa!$A:$AJ,BM$5,0)),0,1/VLOOKUP($R388,Capa!$A:$AJ,BM$5,0))))</f>
        <v/>
      </c>
      <c r="BN388" s="174" t="str">
        <f>IF(BN$6="","",IF(BN$3="Maior",iferror(VLOOKUP($R388,Capa!$A:$AJ,BN$5,0),0),IF(ISERROR(1/VLOOKUP($R388,Capa!$A:$AJ,BN$5,0)),0,1/VLOOKUP($R388,Capa!$A:$AJ,BN$5,0))))</f>
        <v/>
      </c>
      <c r="BO388" s="174" t="str">
        <f>IF(BO$6="","",IF(BO$3="Maior",iferror(VLOOKUP($R388,Capa!$A:$AJ,BO$5,0),0),IF(ISERROR(1/VLOOKUP($R388,Capa!$A:$AJ,BO$5,0)),0,1/VLOOKUP($R388,Capa!$A:$AJ,BO$5,0))))</f>
        <v/>
      </c>
      <c r="BP388" s="174" t="str">
        <f>IF(BP$6="","",IF(BP$3="Maior",iferror(VLOOKUP($R388,Capa!$A:$AJ,BP$5,0),0),IF(ISERROR(1/VLOOKUP($R388,Capa!$A:$AJ,BP$5,0)),0,1/VLOOKUP($R388,Capa!$A:$AJ,BP$5,0))))</f>
        <v/>
      </c>
      <c r="BQ388" s="174" t="str">
        <f>IF(BQ$6="","",IF(BQ$3="Maior",iferror(VLOOKUP($R388,Capa!$A:$AJ,BQ$5,0),0),IF(ISERROR(1/VLOOKUP($R388,Capa!$A:$AJ,BQ$5,0)),0,1/VLOOKUP($R388,Capa!$A:$AJ,BQ$5,0))))</f>
        <v/>
      </c>
      <c r="BR388" s="175"/>
      <c r="BS388" s="147"/>
    </row>
    <row r="389">
      <c r="G389" s="11"/>
      <c r="H389" s="8">
        <v>383.0</v>
      </c>
      <c r="I389" s="165" t="str">
        <f t="shared" si="6"/>
        <v>CEBR6</v>
      </c>
      <c r="J389" s="166" t="str">
        <f>(VLOOKUP($I389,Capa!$A:$B,2,0))</f>
        <v>Companhia Energetica de Brasilia CEB Preference Shares Class B</v>
      </c>
      <c r="K389" s="167" t="str">
        <f>VLOOKUP(left(I389,4),Setor!A:D,3,0)&amp;" | "&amp;VLOOKUP(left(I389,4),Setor!A:D,4,0)</f>
        <v>Utilidade Pública | Energia Elétrica</v>
      </c>
      <c r="L389" s="168">
        <f>(VLOOKUP($I389,Capa!$A:$F,6,0))</f>
        <v>31.52</v>
      </c>
      <c r="M389" s="168">
        <f t="shared" si="7"/>
        <v>138506.8</v>
      </c>
      <c r="N389" s="11" t="str">
        <f>IFERROR(__xludf.DUMMYFUNCTION("(VLOOKUP($I389,Capa!$A:$H,7,0))"),"")</f>
        <v/>
      </c>
      <c r="O389" s="169">
        <f>(VLOOKUP($I389,Capa!$A:$H,8,0))</f>
        <v>0.0710159701</v>
      </c>
      <c r="P389" s="11" t="str">
        <f>IFERROR(__xludf.DUMMYFUNCTION("(VLOOKUP($I389,Capa!$A:$J,10,0))"),"")</f>
        <v/>
      </c>
      <c r="Q389" s="169">
        <f>(VLOOKUP($I389,Capa!$A:$K,11,0))</f>
        <v>0.7838143746</v>
      </c>
      <c r="R389" s="45" t="str">
        <f>'Dados StatusInvest'!A384</f>
        <v>MGEL4</v>
      </c>
      <c r="S389" s="170">
        <f t="shared" si="234"/>
        <v>1859.0859</v>
      </c>
      <c r="T389" s="171">
        <f>VLOOKUP(R389,'Dados StatusInvest'!A:Z,26,0)</f>
        <v>57750.38</v>
      </c>
      <c r="U389" s="172">
        <f t="shared" ref="U389:AS389" si="392">IF(AT389="","", RANK(AT389,AT$7:AT$626,0)+RANK(AT389,AT$7:AT$626,0)/10000)</f>
        <v>592.0592</v>
      </c>
      <c r="V389" s="172">
        <f t="shared" si="392"/>
        <v>267.0267</v>
      </c>
      <c r="W389" s="172" t="str">
        <f t="shared" si="392"/>
        <v/>
      </c>
      <c r="X389" s="172" t="str">
        <f t="shared" si="392"/>
        <v/>
      </c>
      <c r="Y389" s="172" t="str">
        <f t="shared" si="392"/>
        <v/>
      </c>
      <c r="Z389" s="172" t="str">
        <f t="shared" si="392"/>
        <v/>
      </c>
      <c r="AA389" s="172" t="str">
        <f t="shared" si="392"/>
        <v/>
      </c>
      <c r="AB389" s="172" t="str">
        <f t="shared" si="392"/>
        <v/>
      </c>
      <c r="AC389" s="172" t="str">
        <f t="shared" si="392"/>
        <v/>
      </c>
      <c r="AD389" s="172" t="str">
        <f t="shared" si="392"/>
        <v/>
      </c>
      <c r="AE389" s="172" t="str">
        <f t="shared" si="392"/>
        <v/>
      </c>
      <c r="AF389" s="172" t="str">
        <f t="shared" si="392"/>
        <v/>
      </c>
      <c r="AG389" s="172" t="str">
        <f t="shared" si="392"/>
        <v/>
      </c>
      <c r="AH389" s="172" t="str">
        <f t="shared" si="392"/>
        <v/>
      </c>
      <c r="AI389" s="172" t="str">
        <f t="shared" si="392"/>
        <v/>
      </c>
      <c r="AJ389" s="172" t="str">
        <f t="shared" si="392"/>
        <v/>
      </c>
      <c r="AK389" s="172" t="str">
        <f t="shared" si="392"/>
        <v/>
      </c>
      <c r="AL389" s="172" t="str">
        <f t="shared" si="392"/>
        <v/>
      </c>
      <c r="AM389" s="172" t="str">
        <f t="shared" si="392"/>
        <v/>
      </c>
      <c r="AN389" s="172" t="str">
        <f t="shared" si="392"/>
        <v/>
      </c>
      <c r="AO389" s="172" t="str">
        <f t="shared" si="392"/>
        <v/>
      </c>
      <c r="AP389" s="172" t="str">
        <f t="shared" si="392"/>
        <v/>
      </c>
      <c r="AQ389" s="172" t="str">
        <f t="shared" si="392"/>
        <v/>
      </c>
      <c r="AR389" s="172" t="str">
        <f t="shared" si="392"/>
        <v/>
      </c>
      <c r="AS389" s="172" t="str">
        <f t="shared" si="392"/>
        <v/>
      </c>
      <c r="AT389" s="173">
        <f>IF(AT$6="","",IF(AT$3="Maior",iferror(VLOOKUP($R389,Capa!$A:$AJ,AT$5,0),0),IF(ISERROR(1/VLOOKUP($R389,Capa!$A:$AJ,AT$5,0)),0,1/VLOOKUP($R389,Capa!$A:$AJ,AT$5,0))))</f>
        <v>-12.86012526</v>
      </c>
      <c r="AU389" s="174">
        <f>IF(AU$6="","",IF(AU$3="Maior",iferror(VLOOKUP($R389,Capa!$A:$AJ,AU$5,0),0),IF(ISERROR(1/VLOOKUP($R389,Capa!$A:$AJ,AU$5,0)),0,1/VLOOKUP($R389,Capa!$A:$AJ,AU$5,0))))</f>
        <v>0</v>
      </c>
      <c r="AV389" s="174" t="str">
        <f>IF(AV$6="","",IF(AV$3="Maior",iferror(VLOOKUP($R389,Capa!$A:$AJ,AV$5,0),0),IF(ISERROR(1/VLOOKUP($R389,Capa!$A:$AJ,AV$5,0)),0,1/VLOOKUP($R389,Capa!$A:$AJ,AV$5,0))))</f>
        <v/>
      </c>
      <c r="AW389" s="174" t="str">
        <f>IF(AW$6="","",IF(AW$3="Maior",iferror(VLOOKUP($R389,Capa!$A:$AJ,AW$5,0),0),IF(ISERROR(1/VLOOKUP($R389,Capa!$A:$AJ,AW$5,0)),0,1/VLOOKUP($R389,Capa!$A:$AJ,AW$5,0))))</f>
        <v/>
      </c>
      <c r="AX389" s="174" t="str">
        <f>IF(AX$6="","",IF(AX$3="Maior",iferror(VLOOKUP($R389,Capa!$A:$AJ,AX$5,0),0),IF(ISERROR(1/VLOOKUP($R389,Capa!$A:$AJ,AX$5,0)),0,1/VLOOKUP($R389,Capa!$A:$AJ,AX$5,0))))</f>
        <v/>
      </c>
      <c r="AY389" s="174" t="str">
        <f>IF(AY$6="","",IF(AY$3="Maior",iferror(VLOOKUP($R389,Capa!$A:$AJ,AY$5,0),0),IF(ISERROR(1/VLOOKUP($R389,Capa!$A:$AJ,AY$5,0)),0,1/VLOOKUP($R389,Capa!$A:$AJ,AY$5,0))))</f>
        <v/>
      </c>
      <c r="AZ389" s="174" t="str">
        <f>IF(AZ$6="","",IF(AZ$3="Maior",iferror(VLOOKUP($R389,Capa!$A:$AJ,AZ$5,0),0),IF(ISERROR(1/VLOOKUP($R389,Capa!$A:$AJ,AZ$5,0)),0,1/VLOOKUP($R389,Capa!$A:$AJ,AZ$5,0))))</f>
        <v/>
      </c>
      <c r="BA389" s="174" t="str">
        <f>IF(BA$6="","",IF(BA$3="Maior",iferror(VLOOKUP($R389,Capa!$A:$AJ,BA$5,0),0),IF(ISERROR(1/VLOOKUP($R389,Capa!$A:$AJ,BA$5,0)),0,1/VLOOKUP($R389,Capa!$A:$AJ,BA$5,0))))</f>
        <v/>
      </c>
      <c r="BB389" s="174" t="str">
        <f>IF(BB$6="","",IF(BB$3="Maior",iferror(VLOOKUP($R389,Capa!$A:$AJ,BB$5,0),0),IF(ISERROR(1/VLOOKUP($R389,Capa!$A:$AJ,BB$5,0)),0,1/VLOOKUP($R389,Capa!$A:$AJ,BB$5,0))))</f>
        <v/>
      </c>
      <c r="BC389" s="174" t="str">
        <f>IF(BC$6="","",IF(BC$3="Maior",iferror(VLOOKUP($R389,Capa!$A:$AJ,BC$5,0),0),IF(ISERROR(1/VLOOKUP($R389,Capa!$A:$AJ,BC$5,0)),0,1/VLOOKUP($R389,Capa!$A:$AJ,BC$5,0))))</f>
        <v/>
      </c>
      <c r="BD389" s="174" t="str">
        <f>IF(BD$6="","",IF(BD$3="Maior",iferror(VLOOKUP($R389,Capa!$A:$AJ,BD$5,0),0),IF(ISERROR(1/VLOOKUP($R389,Capa!$A:$AJ,BD$5,0)),0,1/VLOOKUP($R389,Capa!$A:$AJ,BD$5,0))))</f>
        <v/>
      </c>
      <c r="BE389" s="174" t="str">
        <f>IF(BE$6="","",IF(BE$3="Maior",iferror(VLOOKUP($R389,Capa!$A:$AJ,BE$5,0),0),IF(ISERROR(1/VLOOKUP($R389,Capa!$A:$AJ,BE$5,0)),0,1/VLOOKUP($R389,Capa!$A:$AJ,BE$5,0))))</f>
        <v/>
      </c>
      <c r="BF389" s="174" t="str">
        <f>IF(BF$6="","",IF(BF$3="Maior",iferror(VLOOKUP($R389,Capa!$A:$AJ,BF$5,0),0),IF(ISERROR(1/VLOOKUP($R389,Capa!$A:$AJ,BF$5,0)),0,1/VLOOKUP($R389,Capa!$A:$AJ,BF$5,0))))</f>
        <v/>
      </c>
      <c r="BG389" s="174" t="str">
        <f>IF(BG$6="","",IF(BG$3="Maior",iferror(VLOOKUP($R389,Capa!$A:$AJ,BG$5,0),0),IF(ISERROR(1/VLOOKUP($R389,Capa!$A:$AJ,BG$5,0)),0,1/VLOOKUP($R389,Capa!$A:$AJ,BG$5,0))))</f>
        <v/>
      </c>
      <c r="BH389" s="174" t="str">
        <f>IF(BH$6="","",IF(BH$3="Maior",iferror(VLOOKUP($R389,Capa!$A:$AJ,BH$5,0),0),IF(ISERROR(1/VLOOKUP($R389,Capa!$A:$AJ,BH$5,0)),0,1/VLOOKUP($R389,Capa!$A:$AJ,BH$5,0))))</f>
        <v/>
      </c>
      <c r="BI389" s="174" t="str">
        <f>IF(BI$6="","",IF(BI$3="Maior",iferror(VLOOKUP($R389,Capa!$A:$AJ,BI$5,0),0),IF(ISERROR(1/VLOOKUP($R389,Capa!$A:$AJ,BI$5,0)),0,1/VLOOKUP($R389,Capa!$A:$AJ,BI$5,0))))</f>
        <v/>
      </c>
      <c r="BJ389" s="174" t="str">
        <f>IF(BJ$6="","",IF(BJ$3="Maior",iferror(VLOOKUP($R389,Capa!$A:$AJ,BJ$5,0),0),IF(ISERROR(1/VLOOKUP($R389,Capa!$A:$AJ,BJ$5,0)),0,1/VLOOKUP($R389,Capa!$A:$AJ,BJ$5,0))))</f>
        <v/>
      </c>
      <c r="BK389" s="174" t="str">
        <f>IF(BK$6="","",IF(BK$3="Maior",iferror(VLOOKUP($R389,Capa!$A:$AJ,BK$5,0),0),IF(ISERROR(1/VLOOKUP($R389,Capa!$A:$AJ,BK$5,0)),0,1/VLOOKUP($R389,Capa!$A:$AJ,BK$5,0))))</f>
        <v/>
      </c>
      <c r="BL389" s="174" t="str">
        <f>IF(BL$6="","",IF(BL$3="Maior",iferror(VLOOKUP($R389,Capa!$A:$AJ,BL$5,0),0),IF(ISERROR(1/VLOOKUP($R389,Capa!$A:$AJ,BL$5,0)),0,1/VLOOKUP($R389,Capa!$A:$AJ,BL$5,0))))</f>
        <v/>
      </c>
      <c r="BM389" s="174" t="str">
        <f>IF(BM$6="","",IF(BM$3="Maior",iferror(VLOOKUP($R389,Capa!$A:$AJ,BM$5,0),0),IF(ISERROR(1/VLOOKUP($R389,Capa!$A:$AJ,BM$5,0)),0,1/VLOOKUP($R389,Capa!$A:$AJ,BM$5,0))))</f>
        <v/>
      </c>
      <c r="BN389" s="174" t="str">
        <f>IF(BN$6="","",IF(BN$3="Maior",iferror(VLOOKUP($R389,Capa!$A:$AJ,BN$5,0),0),IF(ISERROR(1/VLOOKUP($R389,Capa!$A:$AJ,BN$5,0)),0,1/VLOOKUP($R389,Capa!$A:$AJ,BN$5,0))))</f>
        <v/>
      </c>
      <c r="BO389" s="174" t="str">
        <f>IF(BO$6="","",IF(BO$3="Maior",iferror(VLOOKUP($R389,Capa!$A:$AJ,BO$5,0),0),IF(ISERROR(1/VLOOKUP($R389,Capa!$A:$AJ,BO$5,0)),0,1/VLOOKUP($R389,Capa!$A:$AJ,BO$5,0))))</f>
        <v/>
      </c>
      <c r="BP389" s="174" t="str">
        <f>IF(BP$6="","",IF(BP$3="Maior",iferror(VLOOKUP($R389,Capa!$A:$AJ,BP$5,0),0),IF(ISERROR(1/VLOOKUP($R389,Capa!$A:$AJ,BP$5,0)),0,1/VLOOKUP($R389,Capa!$A:$AJ,BP$5,0))))</f>
        <v/>
      </c>
      <c r="BQ389" s="174" t="str">
        <f>IF(BQ$6="","",IF(BQ$3="Maior",iferror(VLOOKUP($R389,Capa!$A:$AJ,BQ$5,0),0),IF(ISERROR(1/VLOOKUP($R389,Capa!$A:$AJ,BQ$5,0)),0,1/VLOOKUP($R389,Capa!$A:$AJ,BQ$5,0))))</f>
        <v/>
      </c>
      <c r="BR389" s="175"/>
      <c r="BS389" s="147"/>
    </row>
    <row r="390">
      <c r="G390" s="11"/>
      <c r="H390" s="8">
        <v>384.0</v>
      </c>
      <c r="I390" s="165" t="str">
        <f t="shared" si="6"/>
        <v>EQPA3</v>
      </c>
      <c r="J390" s="166" t="str">
        <f>(VLOOKUP($I390,Capa!$A:$B,2,0))</f>
        <v>Equatorial Para Dist De Energia Ord Shs</v>
      </c>
      <c r="K390" s="167" t="str">
        <f>VLOOKUP(left(I390,4),Setor!A:D,3,0)&amp;" | "&amp;VLOOKUP(left(I390,4),Setor!A:D,4,0)</f>
        <v>Utilidade Pública | Energia Elétrica</v>
      </c>
      <c r="L390" s="168">
        <f>(VLOOKUP($I390,Capa!$A:$F,6,0))</f>
        <v>6.3</v>
      </c>
      <c r="M390" s="168">
        <f t="shared" si="7"/>
        <v>35633.86</v>
      </c>
      <c r="N390" s="11" t="str">
        <f>IFERROR(__xludf.DUMMYFUNCTION("(VLOOKUP($I390,Capa!$A:$H,7,0))"),"")</f>
        <v/>
      </c>
      <c r="O390" s="169">
        <f>(VLOOKUP($I390,Capa!$A:$H,8,0))</f>
        <v>0.01449275362</v>
      </c>
      <c r="P390" s="11" t="str">
        <f>IFERROR(__xludf.DUMMYFUNCTION("(VLOOKUP($I390,Capa!$A:$J,10,0))"),"")</f>
        <v/>
      </c>
      <c r="Q390" s="169">
        <f>(VLOOKUP($I390,Capa!$A:$K,11,0))</f>
        <v>0.1413043478</v>
      </c>
      <c r="R390" s="45" t="str">
        <f>'Dados StatusInvest'!A385</f>
        <v>MGLU3</v>
      </c>
      <c r="S390" s="170">
        <f t="shared" si="234"/>
        <v>627.0627</v>
      </c>
      <c r="T390" s="171">
        <f>VLOOKUP(R390,'Dados StatusInvest'!A:Z,26,0)</f>
        <v>195000000</v>
      </c>
      <c r="U390" s="172">
        <f t="shared" ref="U390:AS390" si="393">IF(AT390="","", RANK(AT390,AT$7:AT$626,0)+RANK(AT390,AT$7:AT$626,0)/10000)</f>
        <v>39.0039</v>
      </c>
      <c r="V390" s="172">
        <f t="shared" si="393"/>
        <v>588.0588</v>
      </c>
      <c r="W390" s="172" t="str">
        <f t="shared" si="393"/>
        <v/>
      </c>
      <c r="X390" s="172" t="str">
        <f t="shared" si="393"/>
        <v/>
      </c>
      <c r="Y390" s="172" t="str">
        <f t="shared" si="393"/>
        <v/>
      </c>
      <c r="Z390" s="172" t="str">
        <f t="shared" si="393"/>
        <v/>
      </c>
      <c r="AA390" s="172" t="str">
        <f t="shared" si="393"/>
        <v/>
      </c>
      <c r="AB390" s="172" t="str">
        <f t="shared" si="393"/>
        <v/>
      </c>
      <c r="AC390" s="172" t="str">
        <f t="shared" si="393"/>
        <v/>
      </c>
      <c r="AD390" s="172" t="str">
        <f t="shared" si="393"/>
        <v/>
      </c>
      <c r="AE390" s="172" t="str">
        <f t="shared" si="393"/>
        <v/>
      </c>
      <c r="AF390" s="172" t="str">
        <f t="shared" si="393"/>
        <v/>
      </c>
      <c r="AG390" s="172" t="str">
        <f t="shared" si="393"/>
        <v/>
      </c>
      <c r="AH390" s="172" t="str">
        <f t="shared" si="393"/>
        <v/>
      </c>
      <c r="AI390" s="172" t="str">
        <f t="shared" si="393"/>
        <v/>
      </c>
      <c r="AJ390" s="172" t="str">
        <f t="shared" si="393"/>
        <v/>
      </c>
      <c r="AK390" s="172" t="str">
        <f t="shared" si="393"/>
        <v/>
      </c>
      <c r="AL390" s="172" t="str">
        <f t="shared" si="393"/>
        <v/>
      </c>
      <c r="AM390" s="172" t="str">
        <f t="shared" si="393"/>
        <v/>
      </c>
      <c r="AN390" s="172" t="str">
        <f t="shared" si="393"/>
        <v/>
      </c>
      <c r="AO390" s="172" t="str">
        <f t="shared" si="393"/>
        <v/>
      </c>
      <c r="AP390" s="172" t="str">
        <f t="shared" si="393"/>
        <v/>
      </c>
      <c r="AQ390" s="172" t="str">
        <f t="shared" si="393"/>
        <v/>
      </c>
      <c r="AR390" s="172" t="str">
        <f t="shared" si="393"/>
        <v/>
      </c>
      <c r="AS390" s="172" t="str">
        <f t="shared" si="393"/>
        <v/>
      </c>
      <c r="AT390" s="173">
        <f>IF(AT$6="","",IF(AT$3="Maior",iferror(VLOOKUP($R390,Capa!$A:$AJ,AT$5,0),0),IF(ISERROR(1/VLOOKUP($R390,Capa!$A:$AJ,AT$5,0)),0,1/VLOOKUP($R390,Capa!$A:$AJ,AT$5,0))))</f>
        <v>0.001758696471</v>
      </c>
      <c r="AU390" s="174">
        <f>IF(AU$6="","",IF(AU$3="Maior",iferror(VLOOKUP($R390,Capa!$A:$AJ,AU$5,0),0),IF(ISERROR(1/VLOOKUP($R390,Capa!$A:$AJ,AU$5,0)),0,1/VLOOKUP($R390,Capa!$A:$AJ,AU$5,0))))</f>
        <v>-16.79</v>
      </c>
      <c r="AV390" s="174" t="str">
        <f>IF(AV$6="","",IF(AV$3="Maior",iferror(VLOOKUP($R390,Capa!$A:$AJ,AV$5,0),0),IF(ISERROR(1/VLOOKUP($R390,Capa!$A:$AJ,AV$5,0)),0,1/VLOOKUP($R390,Capa!$A:$AJ,AV$5,0))))</f>
        <v/>
      </c>
      <c r="AW390" s="174" t="str">
        <f>IF(AW$6="","",IF(AW$3="Maior",iferror(VLOOKUP($R390,Capa!$A:$AJ,AW$5,0),0),IF(ISERROR(1/VLOOKUP($R390,Capa!$A:$AJ,AW$5,0)),0,1/VLOOKUP($R390,Capa!$A:$AJ,AW$5,0))))</f>
        <v/>
      </c>
      <c r="AX390" s="174" t="str">
        <f>IF(AX$6="","",IF(AX$3="Maior",iferror(VLOOKUP($R390,Capa!$A:$AJ,AX$5,0),0),IF(ISERROR(1/VLOOKUP($R390,Capa!$A:$AJ,AX$5,0)),0,1/VLOOKUP($R390,Capa!$A:$AJ,AX$5,0))))</f>
        <v/>
      </c>
      <c r="AY390" s="174" t="str">
        <f>IF(AY$6="","",IF(AY$3="Maior",iferror(VLOOKUP($R390,Capa!$A:$AJ,AY$5,0),0),IF(ISERROR(1/VLOOKUP($R390,Capa!$A:$AJ,AY$5,0)),0,1/VLOOKUP($R390,Capa!$A:$AJ,AY$5,0))))</f>
        <v/>
      </c>
      <c r="AZ390" s="174" t="str">
        <f>IF(AZ$6="","",IF(AZ$3="Maior",iferror(VLOOKUP($R390,Capa!$A:$AJ,AZ$5,0),0),IF(ISERROR(1/VLOOKUP($R390,Capa!$A:$AJ,AZ$5,0)),0,1/VLOOKUP($R390,Capa!$A:$AJ,AZ$5,0))))</f>
        <v/>
      </c>
      <c r="BA390" s="174" t="str">
        <f>IF(BA$6="","",IF(BA$3="Maior",iferror(VLOOKUP($R390,Capa!$A:$AJ,BA$5,0),0),IF(ISERROR(1/VLOOKUP($R390,Capa!$A:$AJ,BA$5,0)),0,1/VLOOKUP($R390,Capa!$A:$AJ,BA$5,0))))</f>
        <v/>
      </c>
      <c r="BB390" s="174" t="str">
        <f>IF(BB$6="","",IF(BB$3="Maior",iferror(VLOOKUP($R390,Capa!$A:$AJ,BB$5,0),0),IF(ISERROR(1/VLOOKUP($R390,Capa!$A:$AJ,BB$5,0)),0,1/VLOOKUP($R390,Capa!$A:$AJ,BB$5,0))))</f>
        <v/>
      </c>
      <c r="BC390" s="174" t="str">
        <f>IF(BC$6="","",IF(BC$3="Maior",iferror(VLOOKUP($R390,Capa!$A:$AJ,BC$5,0),0),IF(ISERROR(1/VLOOKUP($R390,Capa!$A:$AJ,BC$5,0)),0,1/VLOOKUP($R390,Capa!$A:$AJ,BC$5,0))))</f>
        <v/>
      </c>
      <c r="BD390" s="174" t="str">
        <f>IF(BD$6="","",IF(BD$3="Maior",iferror(VLOOKUP($R390,Capa!$A:$AJ,BD$5,0),0),IF(ISERROR(1/VLOOKUP($R390,Capa!$A:$AJ,BD$5,0)),0,1/VLOOKUP($R390,Capa!$A:$AJ,BD$5,0))))</f>
        <v/>
      </c>
      <c r="BE390" s="174" t="str">
        <f>IF(BE$6="","",IF(BE$3="Maior",iferror(VLOOKUP($R390,Capa!$A:$AJ,BE$5,0),0),IF(ISERROR(1/VLOOKUP($R390,Capa!$A:$AJ,BE$5,0)),0,1/VLOOKUP($R390,Capa!$A:$AJ,BE$5,0))))</f>
        <v/>
      </c>
      <c r="BF390" s="174" t="str">
        <f>IF(BF$6="","",IF(BF$3="Maior",iferror(VLOOKUP($R390,Capa!$A:$AJ,BF$5,0),0),IF(ISERROR(1/VLOOKUP($R390,Capa!$A:$AJ,BF$5,0)),0,1/VLOOKUP($R390,Capa!$A:$AJ,BF$5,0))))</f>
        <v/>
      </c>
      <c r="BG390" s="174" t="str">
        <f>IF(BG$6="","",IF(BG$3="Maior",iferror(VLOOKUP($R390,Capa!$A:$AJ,BG$5,0),0),IF(ISERROR(1/VLOOKUP($R390,Capa!$A:$AJ,BG$5,0)),0,1/VLOOKUP($R390,Capa!$A:$AJ,BG$5,0))))</f>
        <v/>
      </c>
      <c r="BH390" s="174" t="str">
        <f>IF(BH$6="","",IF(BH$3="Maior",iferror(VLOOKUP($R390,Capa!$A:$AJ,BH$5,0),0),IF(ISERROR(1/VLOOKUP($R390,Capa!$A:$AJ,BH$5,0)),0,1/VLOOKUP($R390,Capa!$A:$AJ,BH$5,0))))</f>
        <v/>
      </c>
      <c r="BI390" s="174" t="str">
        <f>IF(BI$6="","",IF(BI$3="Maior",iferror(VLOOKUP($R390,Capa!$A:$AJ,BI$5,0),0),IF(ISERROR(1/VLOOKUP($R390,Capa!$A:$AJ,BI$5,0)),0,1/VLOOKUP($R390,Capa!$A:$AJ,BI$5,0))))</f>
        <v/>
      </c>
      <c r="BJ390" s="174" t="str">
        <f>IF(BJ$6="","",IF(BJ$3="Maior",iferror(VLOOKUP($R390,Capa!$A:$AJ,BJ$5,0),0),IF(ISERROR(1/VLOOKUP($R390,Capa!$A:$AJ,BJ$5,0)),0,1/VLOOKUP($R390,Capa!$A:$AJ,BJ$5,0))))</f>
        <v/>
      </c>
      <c r="BK390" s="174" t="str">
        <f>IF(BK$6="","",IF(BK$3="Maior",iferror(VLOOKUP($R390,Capa!$A:$AJ,BK$5,0),0),IF(ISERROR(1/VLOOKUP($R390,Capa!$A:$AJ,BK$5,0)),0,1/VLOOKUP($R390,Capa!$A:$AJ,BK$5,0))))</f>
        <v/>
      </c>
      <c r="BL390" s="174" t="str">
        <f>IF(BL$6="","",IF(BL$3="Maior",iferror(VLOOKUP($R390,Capa!$A:$AJ,BL$5,0),0),IF(ISERROR(1/VLOOKUP($R390,Capa!$A:$AJ,BL$5,0)),0,1/VLOOKUP($R390,Capa!$A:$AJ,BL$5,0))))</f>
        <v/>
      </c>
      <c r="BM390" s="174" t="str">
        <f>IF(BM$6="","",IF(BM$3="Maior",iferror(VLOOKUP($R390,Capa!$A:$AJ,BM$5,0),0),IF(ISERROR(1/VLOOKUP($R390,Capa!$A:$AJ,BM$5,0)),0,1/VLOOKUP($R390,Capa!$A:$AJ,BM$5,0))))</f>
        <v/>
      </c>
      <c r="BN390" s="174" t="str">
        <f>IF(BN$6="","",IF(BN$3="Maior",iferror(VLOOKUP($R390,Capa!$A:$AJ,BN$5,0),0),IF(ISERROR(1/VLOOKUP($R390,Capa!$A:$AJ,BN$5,0)),0,1/VLOOKUP($R390,Capa!$A:$AJ,BN$5,0))))</f>
        <v/>
      </c>
      <c r="BO390" s="174" t="str">
        <f>IF(BO$6="","",IF(BO$3="Maior",iferror(VLOOKUP($R390,Capa!$A:$AJ,BO$5,0),0),IF(ISERROR(1/VLOOKUP($R390,Capa!$A:$AJ,BO$5,0)),0,1/VLOOKUP($R390,Capa!$A:$AJ,BO$5,0))))</f>
        <v/>
      </c>
      <c r="BP390" s="174" t="str">
        <f>IF(BP$6="","",IF(BP$3="Maior",iferror(VLOOKUP($R390,Capa!$A:$AJ,BP$5,0),0),IF(ISERROR(1/VLOOKUP($R390,Capa!$A:$AJ,BP$5,0)),0,1/VLOOKUP($R390,Capa!$A:$AJ,BP$5,0))))</f>
        <v/>
      </c>
      <c r="BQ390" s="174" t="str">
        <f>IF(BQ$6="","",IF(BQ$3="Maior",iferror(VLOOKUP($R390,Capa!$A:$AJ,BQ$5,0),0),IF(ISERROR(1/VLOOKUP($R390,Capa!$A:$AJ,BQ$5,0)),0,1/VLOOKUP($R390,Capa!$A:$AJ,BQ$5,0))))</f>
        <v/>
      </c>
      <c r="BR390" s="175"/>
      <c r="BS390" s="147"/>
    </row>
    <row r="391">
      <c r="G391" s="11"/>
      <c r="H391" s="8">
        <v>385.0</v>
      </c>
      <c r="I391" s="165" t="str">
        <f t="shared" si="6"/>
        <v>CEBR3</v>
      </c>
      <c r="J391" s="166" t="str">
        <f>(VLOOKUP($I391,Capa!$A:$B,2,0))</f>
        <v>Companhia Energetica de Brasilia CEB</v>
      </c>
      <c r="K391" s="167" t="str">
        <f>VLOOKUP(left(I391,4),Setor!A:D,3,0)&amp;" | "&amp;VLOOKUP(left(I391,4),Setor!A:D,4,0)</f>
        <v>Utilidade Pública | Energia Elétrica</v>
      </c>
      <c r="L391" s="168">
        <f>(VLOOKUP($I391,Capa!$A:$F,6,0))</f>
        <v>30.46</v>
      </c>
      <c r="M391" s="168">
        <f t="shared" si="7"/>
        <v>99352.19</v>
      </c>
      <c r="N391" s="11" t="str">
        <f>IFERROR(__xludf.DUMMYFUNCTION("(VLOOKUP($I391,Capa!$A:$H,7,0))"),"")</f>
        <v/>
      </c>
      <c r="O391" s="169">
        <f>(VLOOKUP($I391,Capa!$A:$H,8,0))</f>
        <v>0.02905405405</v>
      </c>
      <c r="P391" s="11" t="str">
        <f>IFERROR(__xludf.DUMMYFUNCTION("(VLOOKUP($I391,Capa!$A:$J,10,0))"),"")</f>
        <v/>
      </c>
      <c r="Q391" s="169">
        <f>(VLOOKUP($I391,Capa!$A:$K,11,0))</f>
        <v>0.7740244613</v>
      </c>
      <c r="R391" s="45" t="str">
        <f>'Dados StatusInvest'!A386</f>
        <v>MILS3</v>
      </c>
      <c r="S391" s="170">
        <f t="shared" si="234"/>
        <v>578.0578</v>
      </c>
      <c r="T391" s="171">
        <f>VLOOKUP(R391,'Dados StatusInvest'!A:Z,26,0)</f>
        <v>11019049</v>
      </c>
      <c r="U391" s="172">
        <f t="shared" ref="U391:AS391" si="394">IF(AT391="","", RANK(AT391,AT$7:AT$626,0)+RANK(AT391,AT$7:AT$626,0)/10000)</f>
        <v>311.0311</v>
      </c>
      <c r="V391" s="172">
        <f t="shared" si="394"/>
        <v>267.0267</v>
      </c>
      <c r="W391" s="172" t="str">
        <f t="shared" si="394"/>
        <v/>
      </c>
      <c r="X391" s="172" t="str">
        <f t="shared" si="394"/>
        <v/>
      </c>
      <c r="Y391" s="172" t="str">
        <f t="shared" si="394"/>
        <v/>
      </c>
      <c r="Z391" s="172" t="str">
        <f t="shared" si="394"/>
        <v/>
      </c>
      <c r="AA391" s="172" t="str">
        <f t="shared" si="394"/>
        <v/>
      </c>
      <c r="AB391" s="172" t="str">
        <f t="shared" si="394"/>
        <v/>
      </c>
      <c r="AC391" s="172" t="str">
        <f t="shared" si="394"/>
        <v/>
      </c>
      <c r="AD391" s="172" t="str">
        <f t="shared" si="394"/>
        <v/>
      </c>
      <c r="AE391" s="172" t="str">
        <f t="shared" si="394"/>
        <v/>
      </c>
      <c r="AF391" s="172" t="str">
        <f t="shared" si="394"/>
        <v/>
      </c>
      <c r="AG391" s="172" t="str">
        <f t="shared" si="394"/>
        <v/>
      </c>
      <c r="AH391" s="172" t="str">
        <f t="shared" si="394"/>
        <v/>
      </c>
      <c r="AI391" s="172" t="str">
        <f t="shared" si="394"/>
        <v/>
      </c>
      <c r="AJ391" s="172" t="str">
        <f t="shared" si="394"/>
        <v/>
      </c>
      <c r="AK391" s="172" t="str">
        <f t="shared" si="394"/>
        <v/>
      </c>
      <c r="AL391" s="172" t="str">
        <f t="shared" si="394"/>
        <v/>
      </c>
      <c r="AM391" s="172" t="str">
        <f t="shared" si="394"/>
        <v/>
      </c>
      <c r="AN391" s="172" t="str">
        <f t="shared" si="394"/>
        <v/>
      </c>
      <c r="AO391" s="172" t="str">
        <f t="shared" si="394"/>
        <v/>
      </c>
      <c r="AP391" s="172" t="str">
        <f t="shared" si="394"/>
        <v/>
      </c>
      <c r="AQ391" s="172" t="str">
        <f t="shared" si="394"/>
        <v/>
      </c>
      <c r="AR391" s="172" t="str">
        <f t="shared" si="394"/>
        <v/>
      </c>
      <c r="AS391" s="172" t="str">
        <f t="shared" si="394"/>
        <v/>
      </c>
      <c r="AT391" s="173">
        <f>IF(AT$6="","",IF(AT$3="Maior",iferror(VLOOKUP($R391,Capa!$A:$AJ,AT$5,0),0),IF(ISERROR(1/VLOOKUP($R391,Capa!$A:$AJ,AT$5,0)),0,1/VLOOKUP($R391,Capa!$A:$AJ,AT$5,0))))</f>
        <v>-0.7547394955</v>
      </c>
      <c r="AU391" s="174">
        <f>IF(AU$6="","",IF(AU$3="Maior",iferror(VLOOKUP($R391,Capa!$A:$AJ,AU$5,0),0),IF(ISERROR(1/VLOOKUP($R391,Capa!$A:$AJ,AU$5,0)),0,1/VLOOKUP($R391,Capa!$A:$AJ,AU$5,0))))</f>
        <v>0</v>
      </c>
      <c r="AV391" s="174" t="str">
        <f>IF(AV$6="","",IF(AV$3="Maior",iferror(VLOOKUP($R391,Capa!$A:$AJ,AV$5,0),0),IF(ISERROR(1/VLOOKUP($R391,Capa!$A:$AJ,AV$5,0)),0,1/VLOOKUP($R391,Capa!$A:$AJ,AV$5,0))))</f>
        <v/>
      </c>
      <c r="AW391" s="174" t="str">
        <f>IF(AW$6="","",IF(AW$3="Maior",iferror(VLOOKUP($R391,Capa!$A:$AJ,AW$5,0),0),IF(ISERROR(1/VLOOKUP($R391,Capa!$A:$AJ,AW$5,0)),0,1/VLOOKUP($R391,Capa!$A:$AJ,AW$5,0))))</f>
        <v/>
      </c>
      <c r="AX391" s="174" t="str">
        <f>IF(AX$6="","",IF(AX$3="Maior",iferror(VLOOKUP($R391,Capa!$A:$AJ,AX$5,0),0),IF(ISERROR(1/VLOOKUP($R391,Capa!$A:$AJ,AX$5,0)),0,1/VLOOKUP($R391,Capa!$A:$AJ,AX$5,0))))</f>
        <v/>
      </c>
      <c r="AY391" s="174" t="str">
        <f>IF(AY$6="","",IF(AY$3="Maior",iferror(VLOOKUP($R391,Capa!$A:$AJ,AY$5,0),0),IF(ISERROR(1/VLOOKUP($R391,Capa!$A:$AJ,AY$5,0)),0,1/VLOOKUP($R391,Capa!$A:$AJ,AY$5,0))))</f>
        <v/>
      </c>
      <c r="AZ391" s="174" t="str">
        <f>IF(AZ$6="","",IF(AZ$3="Maior",iferror(VLOOKUP($R391,Capa!$A:$AJ,AZ$5,0),0),IF(ISERROR(1/VLOOKUP($R391,Capa!$A:$AJ,AZ$5,0)),0,1/VLOOKUP($R391,Capa!$A:$AJ,AZ$5,0))))</f>
        <v/>
      </c>
      <c r="BA391" s="174" t="str">
        <f>IF(BA$6="","",IF(BA$3="Maior",iferror(VLOOKUP($R391,Capa!$A:$AJ,BA$5,0),0),IF(ISERROR(1/VLOOKUP($R391,Capa!$A:$AJ,BA$5,0)),0,1/VLOOKUP($R391,Capa!$A:$AJ,BA$5,0))))</f>
        <v/>
      </c>
      <c r="BB391" s="174" t="str">
        <f>IF(BB$6="","",IF(BB$3="Maior",iferror(VLOOKUP($R391,Capa!$A:$AJ,BB$5,0),0),IF(ISERROR(1/VLOOKUP($R391,Capa!$A:$AJ,BB$5,0)),0,1/VLOOKUP($R391,Capa!$A:$AJ,BB$5,0))))</f>
        <v/>
      </c>
      <c r="BC391" s="174" t="str">
        <f>IF(BC$6="","",IF(BC$3="Maior",iferror(VLOOKUP($R391,Capa!$A:$AJ,BC$5,0),0),IF(ISERROR(1/VLOOKUP($R391,Capa!$A:$AJ,BC$5,0)),0,1/VLOOKUP($R391,Capa!$A:$AJ,BC$5,0))))</f>
        <v/>
      </c>
      <c r="BD391" s="174" t="str">
        <f>IF(BD$6="","",IF(BD$3="Maior",iferror(VLOOKUP($R391,Capa!$A:$AJ,BD$5,0),0),IF(ISERROR(1/VLOOKUP($R391,Capa!$A:$AJ,BD$5,0)),0,1/VLOOKUP($R391,Capa!$A:$AJ,BD$5,0))))</f>
        <v/>
      </c>
      <c r="BE391" s="174" t="str">
        <f>IF(BE$6="","",IF(BE$3="Maior",iferror(VLOOKUP($R391,Capa!$A:$AJ,BE$5,0),0),IF(ISERROR(1/VLOOKUP($R391,Capa!$A:$AJ,BE$5,0)),0,1/VLOOKUP($R391,Capa!$A:$AJ,BE$5,0))))</f>
        <v/>
      </c>
      <c r="BF391" s="174" t="str">
        <f>IF(BF$6="","",IF(BF$3="Maior",iferror(VLOOKUP($R391,Capa!$A:$AJ,BF$5,0),0),IF(ISERROR(1/VLOOKUP($R391,Capa!$A:$AJ,BF$5,0)),0,1/VLOOKUP($R391,Capa!$A:$AJ,BF$5,0))))</f>
        <v/>
      </c>
      <c r="BG391" s="174" t="str">
        <f>IF(BG$6="","",IF(BG$3="Maior",iferror(VLOOKUP($R391,Capa!$A:$AJ,BG$5,0),0),IF(ISERROR(1/VLOOKUP($R391,Capa!$A:$AJ,BG$5,0)),0,1/VLOOKUP($R391,Capa!$A:$AJ,BG$5,0))))</f>
        <v/>
      </c>
      <c r="BH391" s="174" t="str">
        <f>IF(BH$6="","",IF(BH$3="Maior",iferror(VLOOKUP($R391,Capa!$A:$AJ,BH$5,0),0),IF(ISERROR(1/VLOOKUP($R391,Capa!$A:$AJ,BH$5,0)),0,1/VLOOKUP($R391,Capa!$A:$AJ,BH$5,0))))</f>
        <v/>
      </c>
      <c r="BI391" s="174" t="str">
        <f>IF(BI$6="","",IF(BI$3="Maior",iferror(VLOOKUP($R391,Capa!$A:$AJ,BI$5,0),0),IF(ISERROR(1/VLOOKUP($R391,Capa!$A:$AJ,BI$5,0)),0,1/VLOOKUP($R391,Capa!$A:$AJ,BI$5,0))))</f>
        <v/>
      </c>
      <c r="BJ391" s="174" t="str">
        <f>IF(BJ$6="","",IF(BJ$3="Maior",iferror(VLOOKUP($R391,Capa!$A:$AJ,BJ$5,0),0),IF(ISERROR(1/VLOOKUP($R391,Capa!$A:$AJ,BJ$5,0)),0,1/VLOOKUP($R391,Capa!$A:$AJ,BJ$5,0))))</f>
        <v/>
      </c>
      <c r="BK391" s="174" t="str">
        <f>IF(BK$6="","",IF(BK$3="Maior",iferror(VLOOKUP($R391,Capa!$A:$AJ,BK$5,0),0),IF(ISERROR(1/VLOOKUP($R391,Capa!$A:$AJ,BK$5,0)),0,1/VLOOKUP($R391,Capa!$A:$AJ,BK$5,0))))</f>
        <v/>
      </c>
      <c r="BL391" s="174" t="str">
        <f>IF(BL$6="","",IF(BL$3="Maior",iferror(VLOOKUP($R391,Capa!$A:$AJ,BL$5,0),0),IF(ISERROR(1/VLOOKUP($R391,Capa!$A:$AJ,BL$5,0)),0,1/VLOOKUP($R391,Capa!$A:$AJ,BL$5,0))))</f>
        <v/>
      </c>
      <c r="BM391" s="174" t="str">
        <f>IF(BM$6="","",IF(BM$3="Maior",iferror(VLOOKUP($R391,Capa!$A:$AJ,BM$5,0),0),IF(ISERROR(1/VLOOKUP($R391,Capa!$A:$AJ,BM$5,0)),0,1/VLOOKUP($R391,Capa!$A:$AJ,BM$5,0))))</f>
        <v/>
      </c>
      <c r="BN391" s="174" t="str">
        <f>IF(BN$6="","",IF(BN$3="Maior",iferror(VLOOKUP($R391,Capa!$A:$AJ,BN$5,0),0),IF(ISERROR(1/VLOOKUP($R391,Capa!$A:$AJ,BN$5,0)),0,1/VLOOKUP($R391,Capa!$A:$AJ,BN$5,0))))</f>
        <v/>
      </c>
      <c r="BO391" s="174" t="str">
        <f>IF(BO$6="","",IF(BO$3="Maior",iferror(VLOOKUP($R391,Capa!$A:$AJ,BO$5,0),0),IF(ISERROR(1/VLOOKUP($R391,Capa!$A:$AJ,BO$5,0)),0,1/VLOOKUP($R391,Capa!$A:$AJ,BO$5,0))))</f>
        <v/>
      </c>
      <c r="BP391" s="174" t="str">
        <f>IF(BP$6="","",IF(BP$3="Maior",iferror(VLOOKUP($R391,Capa!$A:$AJ,BP$5,0),0),IF(ISERROR(1/VLOOKUP($R391,Capa!$A:$AJ,BP$5,0)),0,1/VLOOKUP($R391,Capa!$A:$AJ,BP$5,0))))</f>
        <v/>
      </c>
      <c r="BQ391" s="174" t="str">
        <f>IF(BQ$6="","",IF(BQ$3="Maior",iferror(VLOOKUP($R391,Capa!$A:$AJ,BQ$5,0),0),IF(ISERROR(1/VLOOKUP($R391,Capa!$A:$AJ,BQ$5,0)),0,1/VLOOKUP($R391,Capa!$A:$AJ,BQ$5,0))))</f>
        <v/>
      </c>
      <c r="BR391" s="175"/>
      <c r="BS391" s="147"/>
    </row>
    <row r="392">
      <c r="G392" s="11"/>
      <c r="H392" s="8">
        <v>386.0</v>
      </c>
      <c r="I392" s="165" t="str">
        <f t="shared" si="6"/>
        <v>CEBR3</v>
      </c>
      <c r="J392" s="166" t="str">
        <f>(VLOOKUP($I392,Capa!$A:$B,2,0))</f>
        <v>Companhia Energetica de Brasilia CEB</v>
      </c>
      <c r="K392" s="167" t="str">
        <f>VLOOKUP(left(I392,4),Setor!A:D,3,0)&amp;" | "&amp;VLOOKUP(left(I392,4),Setor!A:D,4,0)</f>
        <v>Utilidade Pública | Energia Elétrica</v>
      </c>
      <c r="L392" s="168">
        <f>(VLOOKUP($I392,Capa!$A:$F,6,0))</f>
        <v>30.46</v>
      </c>
      <c r="M392" s="168">
        <f t="shared" si="7"/>
        <v>99352.19</v>
      </c>
      <c r="N392" s="11" t="str">
        <f>IFERROR(__xludf.DUMMYFUNCTION("(VLOOKUP($I392,Capa!$A:$H,7,0))"),"")</f>
        <v/>
      </c>
      <c r="O392" s="169">
        <f>(VLOOKUP($I392,Capa!$A:$H,8,0))</f>
        <v>0.02905405405</v>
      </c>
      <c r="P392" s="11" t="str">
        <f>IFERROR(__xludf.DUMMYFUNCTION("(VLOOKUP($I392,Capa!$A:$J,10,0))"),"")</f>
        <v/>
      </c>
      <c r="Q392" s="169">
        <f>(VLOOKUP($I392,Capa!$A:$K,11,0))</f>
        <v>0.7740244613</v>
      </c>
      <c r="R392" s="45" t="str">
        <f>'Dados StatusInvest'!A387</f>
        <v>MLAS3</v>
      </c>
      <c r="S392" s="170">
        <f t="shared" si="234"/>
        <v>678.0678</v>
      </c>
      <c r="T392" s="171">
        <f>VLOOKUP(R392,'Dados StatusInvest'!A:Z,26,0)</f>
        <v>1690425</v>
      </c>
      <c r="U392" s="172">
        <f t="shared" ref="U392:AS392" si="395">IF(AT392="","", RANK(AT392,AT$7:AT$626,0)+RANK(AT392,AT$7:AT$626,0)/10000)</f>
        <v>411.0411</v>
      </c>
      <c r="V392" s="172">
        <f t="shared" si="395"/>
        <v>267.0267</v>
      </c>
      <c r="W392" s="172" t="str">
        <f t="shared" si="395"/>
        <v/>
      </c>
      <c r="X392" s="172" t="str">
        <f t="shared" si="395"/>
        <v/>
      </c>
      <c r="Y392" s="172" t="str">
        <f t="shared" si="395"/>
        <v/>
      </c>
      <c r="Z392" s="172" t="str">
        <f t="shared" si="395"/>
        <v/>
      </c>
      <c r="AA392" s="172" t="str">
        <f t="shared" si="395"/>
        <v/>
      </c>
      <c r="AB392" s="172" t="str">
        <f t="shared" si="395"/>
        <v/>
      </c>
      <c r="AC392" s="172" t="str">
        <f t="shared" si="395"/>
        <v/>
      </c>
      <c r="AD392" s="172" t="str">
        <f t="shared" si="395"/>
        <v/>
      </c>
      <c r="AE392" s="172" t="str">
        <f t="shared" si="395"/>
        <v/>
      </c>
      <c r="AF392" s="172" t="str">
        <f t="shared" si="395"/>
        <v/>
      </c>
      <c r="AG392" s="172" t="str">
        <f t="shared" si="395"/>
        <v/>
      </c>
      <c r="AH392" s="172" t="str">
        <f t="shared" si="395"/>
        <v/>
      </c>
      <c r="AI392" s="172" t="str">
        <f t="shared" si="395"/>
        <v/>
      </c>
      <c r="AJ392" s="172" t="str">
        <f t="shared" si="395"/>
        <v/>
      </c>
      <c r="AK392" s="172" t="str">
        <f t="shared" si="395"/>
        <v/>
      </c>
      <c r="AL392" s="172" t="str">
        <f t="shared" si="395"/>
        <v/>
      </c>
      <c r="AM392" s="172" t="str">
        <f t="shared" si="395"/>
        <v/>
      </c>
      <c r="AN392" s="172" t="str">
        <f t="shared" si="395"/>
        <v/>
      </c>
      <c r="AO392" s="172" t="str">
        <f t="shared" si="395"/>
        <v/>
      </c>
      <c r="AP392" s="172" t="str">
        <f t="shared" si="395"/>
        <v/>
      </c>
      <c r="AQ392" s="172" t="str">
        <f t="shared" si="395"/>
        <v/>
      </c>
      <c r="AR392" s="172" t="str">
        <f t="shared" si="395"/>
        <v/>
      </c>
      <c r="AS392" s="172" t="str">
        <f t="shared" si="395"/>
        <v/>
      </c>
      <c r="AT392" s="173">
        <f>IF(AT$6="","",IF(AT$3="Maior",iferror(VLOOKUP($R392,Capa!$A:$AJ,AT$5,0),0),IF(ISERROR(1/VLOOKUP($R392,Capa!$A:$AJ,AT$5,0)),0,1/VLOOKUP($R392,Capa!$A:$AJ,AT$5,0))))</f>
        <v>-1.439846416</v>
      </c>
      <c r="AU392" s="174">
        <f>IF(AU$6="","",IF(AU$3="Maior",iferror(VLOOKUP($R392,Capa!$A:$AJ,AU$5,0),0),IF(ISERROR(1/VLOOKUP($R392,Capa!$A:$AJ,AU$5,0)),0,1/VLOOKUP($R392,Capa!$A:$AJ,AU$5,0))))</f>
        <v>0</v>
      </c>
      <c r="AV392" s="174" t="str">
        <f>IF(AV$6="","",IF(AV$3="Maior",iferror(VLOOKUP($R392,Capa!$A:$AJ,AV$5,0),0),IF(ISERROR(1/VLOOKUP($R392,Capa!$A:$AJ,AV$5,0)),0,1/VLOOKUP($R392,Capa!$A:$AJ,AV$5,0))))</f>
        <v/>
      </c>
      <c r="AW392" s="174" t="str">
        <f>IF(AW$6="","",IF(AW$3="Maior",iferror(VLOOKUP($R392,Capa!$A:$AJ,AW$5,0),0),IF(ISERROR(1/VLOOKUP($R392,Capa!$A:$AJ,AW$5,0)),0,1/VLOOKUP($R392,Capa!$A:$AJ,AW$5,0))))</f>
        <v/>
      </c>
      <c r="AX392" s="174" t="str">
        <f>IF(AX$6="","",IF(AX$3="Maior",iferror(VLOOKUP($R392,Capa!$A:$AJ,AX$5,0),0),IF(ISERROR(1/VLOOKUP($R392,Capa!$A:$AJ,AX$5,0)),0,1/VLOOKUP($R392,Capa!$A:$AJ,AX$5,0))))</f>
        <v/>
      </c>
      <c r="AY392" s="174" t="str">
        <f>IF(AY$6="","",IF(AY$3="Maior",iferror(VLOOKUP($R392,Capa!$A:$AJ,AY$5,0),0),IF(ISERROR(1/VLOOKUP($R392,Capa!$A:$AJ,AY$5,0)),0,1/VLOOKUP($R392,Capa!$A:$AJ,AY$5,0))))</f>
        <v/>
      </c>
      <c r="AZ392" s="174" t="str">
        <f>IF(AZ$6="","",IF(AZ$3="Maior",iferror(VLOOKUP($R392,Capa!$A:$AJ,AZ$5,0),0),IF(ISERROR(1/VLOOKUP($R392,Capa!$A:$AJ,AZ$5,0)),0,1/VLOOKUP($R392,Capa!$A:$AJ,AZ$5,0))))</f>
        <v/>
      </c>
      <c r="BA392" s="174" t="str">
        <f>IF(BA$6="","",IF(BA$3="Maior",iferror(VLOOKUP($R392,Capa!$A:$AJ,BA$5,0),0),IF(ISERROR(1/VLOOKUP($R392,Capa!$A:$AJ,BA$5,0)),0,1/VLOOKUP($R392,Capa!$A:$AJ,BA$5,0))))</f>
        <v/>
      </c>
      <c r="BB392" s="174" t="str">
        <f>IF(BB$6="","",IF(BB$3="Maior",iferror(VLOOKUP($R392,Capa!$A:$AJ,BB$5,0),0),IF(ISERROR(1/VLOOKUP($R392,Capa!$A:$AJ,BB$5,0)),0,1/VLOOKUP($R392,Capa!$A:$AJ,BB$5,0))))</f>
        <v/>
      </c>
      <c r="BC392" s="174" t="str">
        <f>IF(BC$6="","",IF(BC$3="Maior",iferror(VLOOKUP($R392,Capa!$A:$AJ,BC$5,0),0),IF(ISERROR(1/VLOOKUP($R392,Capa!$A:$AJ,BC$5,0)),0,1/VLOOKUP($R392,Capa!$A:$AJ,BC$5,0))))</f>
        <v/>
      </c>
      <c r="BD392" s="174" t="str">
        <f>IF(BD$6="","",IF(BD$3="Maior",iferror(VLOOKUP($R392,Capa!$A:$AJ,BD$5,0),0),IF(ISERROR(1/VLOOKUP($R392,Capa!$A:$AJ,BD$5,0)),0,1/VLOOKUP($R392,Capa!$A:$AJ,BD$5,0))))</f>
        <v/>
      </c>
      <c r="BE392" s="174" t="str">
        <f>IF(BE$6="","",IF(BE$3="Maior",iferror(VLOOKUP($R392,Capa!$A:$AJ,BE$5,0),0),IF(ISERROR(1/VLOOKUP($R392,Capa!$A:$AJ,BE$5,0)),0,1/VLOOKUP($R392,Capa!$A:$AJ,BE$5,0))))</f>
        <v/>
      </c>
      <c r="BF392" s="174" t="str">
        <f>IF(BF$6="","",IF(BF$3="Maior",iferror(VLOOKUP($R392,Capa!$A:$AJ,BF$5,0),0),IF(ISERROR(1/VLOOKUP($R392,Capa!$A:$AJ,BF$5,0)),0,1/VLOOKUP($R392,Capa!$A:$AJ,BF$5,0))))</f>
        <v/>
      </c>
      <c r="BG392" s="174" t="str">
        <f>IF(BG$6="","",IF(BG$3="Maior",iferror(VLOOKUP($R392,Capa!$A:$AJ,BG$5,0),0),IF(ISERROR(1/VLOOKUP($R392,Capa!$A:$AJ,BG$5,0)),0,1/VLOOKUP($R392,Capa!$A:$AJ,BG$5,0))))</f>
        <v/>
      </c>
      <c r="BH392" s="174" t="str">
        <f>IF(BH$6="","",IF(BH$3="Maior",iferror(VLOOKUP($R392,Capa!$A:$AJ,BH$5,0),0),IF(ISERROR(1/VLOOKUP($R392,Capa!$A:$AJ,BH$5,0)),0,1/VLOOKUP($R392,Capa!$A:$AJ,BH$5,0))))</f>
        <v/>
      </c>
      <c r="BI392" s="174" t="str">
        <f>IF(BI$6="","",IF(BI$3="Maior",iferror(VLOOKUP($R392,Capa!$A:$AJ,BI$5,0),0),IF(ISERROR(1/VLOOKUP($R392,Capa!$A:$AJ,BI$5,0)),0,1/VLOOKUP($R392,Capa!$A:$AJ,BI$5,0))))</f>
        <v/>
      </c>
      <c r="BJ392" s="174" t="str">
        <f>IF(BJ$6="","",IF(BJ$3="Maior",iferror(VLOOKUP($R392,Capa!$A:$AJ,BJ$5,0),0),IF(ISERROR(1/VLOOKUP($R392,Capa!$A:$AJ,BJ$5,0)),0,1/VLOOKUP($R392,Capa!$A:$AJ,BJ$5,0))))</f>
        <v/>
      </c>
      <c r="BK392" s="174" t="str">
        <f>IF(BK$6="","",IF(BK$3="Maior",iferror(VLOOKUP($R392,Capa!$A:$AJ,BK$5,0),0),IF(ISERROR(1/VLOOKUP($R392,Capa!$A:$AJ,BK$5,0)),0,1/VLOOKUP($R392,Capa!$A:$AJ,BK$5,0))))</f>
        <v/>
      </c>
      <c r="BL392" s="174" t="str">
        <f>IF(BL$6="","",IF(BL$3="Maior",iferror(VLOOKUP($R392,Capa!$A:$AJ,BL$5,0),0),IF(ISERROR(1/VLOOKUP($R392,Capa!$A:$AJ,BL$5,0)),0,1/VLOOKUP($R392,Capa!$A:$AJ,BL$5,0))))</f>
        <v/>
      </c>
      <c r="BM392" s="174" t="str">
        <f>IF(BM$6="","",IF(BM$3="Maior",iferror(VLOOKUP($R392,Capa!$A:$AJ,BM$5,0),0),IF(ISERROR(1/VLOOKUP($R392,Capa!$A:$AJ,BM$5,0)),0,1/VLOOKUP($R392,Capa!$A:$AJ,BM$5,0))))</f>
        <v/>
      </c>
      <c r="BN392" s="174" t="str">
        <f>IF(BN$6="","",IF(BN$3="Maior",iferror(VLOOKUP($R392,Capa!$A:$AJ,BN$5,0),0),IF(ISERROR(1/VLOOKUP($R392,Capa!$A:$AJ,BN$5,0)),0,1/VLOOKUP($R392,Capa!$A:$AJ,BN$5,0))))</f>
        <v/>
      </c>
      <c r="BO392" s="174" t="str">
        <f>IF(BO$6="","",IF(BO$3="Maior",iferror(VLOOKUP($R392,Capa!$A:$AJ,BO$5,0),0),IF(ISERROR(1/VLOOKUP($R392,Capa!$A:$AJ,BO$5,0)),0,1/VLOOKUP($R392,Capa!$A:$AJ,BO$5,0))))</f>
        <v/>
      </c>
      <c r="BP392" s="174" t="str">
        <f>IF(BP$6="","",IF(BP$3="Maior",iferror(VLOOKUP($R392,Capa!$A:$AJ,BP$5,0),0),IF(ISERROR(1/VLOOKUP($R392,Capa!$A:$AJ,BP$5,0)),0,1/VLOOKUP($R392,Capa!$A:$AJ,BP$5,0))))</f>
        <v/>
      </c>
      <c r="BQ392" s="174" t="str">
        <f>IF(BQ$6="","",IF(BQ$3="Maior",iferror(VLOOKUP($R392,Capa!$A:$AJ,BQ$5,0),0),IF(ISERROR(1/VLOOKUP($R392,Capa!$A:$AJ,BQ$5,0)),0,1/VLOOKUP($R392,Capa!$A:$AJ,BQ$5,0))))</f>
        <v/>
      </c>
      <c r="BR392" s="175"/>
      <c r="BS392" s="147"/>
    </row>
    <row r="393">
      <c r="G393" s="11"/>
      <c r="H393" s="8">
        <v>387.0</v>
      </c>
      <c r="I393" s="165" t="str">
        <f t="shared" si="6"/>
        <v>GBIO33</v>
      </c>
      <c r="J393" s="166" t="str">
        <f>(VLOOKUP($I393,Capa!$A:$B,2,0))</f>
        <v/>
      </c>
      <c r="K393" s="167" t="str">
        <f>VLOOKUP(left(I393,4),Setor!A:D,3,0)&amp;" | "&amp;VLOOKUP(left(I393,4),Setor!A:D,4,0)</f>
        <v>Saúde | Medicamentos e Outros Produtos</v>
      </c>
      <c r="L393" s="168" t="str">
        <f>(VLOOKUP($I393,Capa!$A:$F,6,0))</f>
        <v/>
      </c>
      <c r="M393" s="168">
        <f t="shared" si="7"/>
        <v>0</v>
      </c>
      <c r="N393" s="11" t="str">
        <f>(VLOOKUP($I393,Capa!$A:$H,7,0))</f>
        <v/>
      </c>
      <c r="O393" s="169" t="str">
        <f>(VLOOKUP($I393,Capa!$A:$H,8,0))</f>
        <v/>
      </c>
      <c r="P393" s="11" t="str">
        <f>(VLOOKUP($I393,Capa!$A:$J,10,0))</f>
        <v/>
      </c>
      <c r="Q393" s="169" t="str">
        <f>(VLOOKUP($I393,Capa!$A:$K,11,0))</f>
        <v/>
      </c>
      <c r="R393" s="45" t="str">
        <f>'Dados StatusInvest'!A388</f>
        <v>MMXM3</v>
      </c>
      <c r="S393" s="170">
        <f t="shared" si="234"/>
        <v>1691.0691</v>
      </c>
      <c r="T393" s="171">
        <f>VLOOKUP(R393,'Dados StatusInvest'!A:Z,26,0)</f>
        <v>0</v>
      </c>
      <c r="U393" s="172">
        <f t="shared" ref="U393:AS393" si="396">IF(AT393="","", RANK(AT393,AT$7:AT$626,0)+RANK(AT393,AT$7:AT$626,0)/10000)</f>
        <v>424.0424</v>
      </c>
      <c r="V393" s="172">
        <f t="shared" si="396"/>
        <v>267.0267</v>
      </c>
      <c r="W393" s="172" t="str">
        <f t="shared" si="396"/>
        <v/>
      </c>
      <c r="X393" s="172" t="str">
        <f t="shared" si="396"/>
        <v/>
      </c>
      <c r="Y393" s="172" t="str">
        <f t="shared" si="396"/>
        <v/>
      </c>
      <c r="Z393" s="172" t="str">
        <f t="shared" si="396"/>
        <v/>
      </c>
      <c r="AA393" s="172" t="str">
        <f t="shared" si="396"/>
        <v/>
      </c>
      <c r="AB393" s="172" t="str">
        <f t="shared" si="396"/>
        <v/>
      </c>
      <c r="AC393" s="172" t="str">
        <f t="shared" si="396"/>
        <v/>
      </c>
      <c r="AD393" s="172" t="str">
        <f t="shared" si="396"/>
        <v/>
      </c>
      <c r="AE393" s="172" t="str">
        <f t="shared" si="396"/>
        <v/>
      </c>
      <c r="AF393" s="172" t="str">
        <f t="shared" si="396"/>
        <v/>
      </c>
      <c r="AG393" s="172" t="str">
        <f t="shared" si="396"/>
        <v/>
      </c>
      <c r="AH393" s="172" t="str">
        <f t="shared" si="396"/>
        <v/>
      </c>
      <c r="AI393" s="172" t="str">
        <f t="shared" si="396"/>
        <v/>
      </c>
      <c r="AJ393" s="172" t="str">
        <f t="shared" si="396"/>
        <v/>
      </c>
      <c r="AK393" s="172" t="str">
        <f t="shared" si="396"/>
        <v/>
      </c>
      <c r="AL393" s="172" t="str">
        <f t="shared" si="396"/>
        <v/>
      </c>
      <c r="AM393" s="172" t="str">
        <f t="shared" si="396"/>
        <v/>
      </c>
      <c r="AN393" s="172" t="str">
        <f t="shared" si="396"/>
        <v/>
      </c>
      <c r="AO393" s="172" t="str">
        <f t="shared" si="396"/>
        <v/>
      </c>
      <c r="AP393" s="172" t="str">
        <f t="shared" si="396"/>
        <v/>
      </c>
      <c r="AQ393" s="172" t="str">
        <f t="shared" si="396"/>
        <v/>
      </c>
      <c r="AR393" s="172" t="str">
        <f t="shared" si="396"/>
        <v/>
      </c>
      <c r="AS393" s="172" t="str">
        <f t="shared" si="396"/>
        <v/>
      </c>
      <c r="AT393" s="173">
        <f>IF(AT$6="","",IF(AT$3="Maior",iferror(VLOOKUP($R393,Capa!$A:$AJ,AT$5,0),0),IF(ISERROR(1/VLOOKUP($R393,Capa!$A:$AJ,AT$5,0)),0,1/VLOOKUP($R393,Capa!$A:$AJ,AT$5,0))))</f>
        <v>-1.538461538</v>
      </c>
      <c r="AU393" s="174">
        <f>IF(AU$6="","",IF(AU$3="Maior",iferror(VLOOKUP($R393,Capa!$A:$AJ,AU$5,0),0),IF(ISERROR(1/VLOOKUP($R393,Capa!$A:$AJ,AU$5,0)),0,1/VLOOKUP($R393,Capa!$A:$AJ,AU$5,0))))</f>
        <v>0</v>
      </c>
      <c r="AV393" s="174" t="str">
        <f>IF(AV$6="","",IF(AV$3="Maior",iferror(VLOOKUP($R393,Capa!$A:$AJ,AV$5,0),0),IF(ISERROR(1/VLOOKUP($R393,Capa!$A:$AJ,AV$5,0)),0,1/VLOOKUP($R393,Capa!$A:$AJ,AV$5,0))))</f>
        <v/>
      </c>
      <c r="AW393" s="174" t="str">
        <f>IF(AW$6="","",IF(AW$3="Maior",iferror(VLOOKUP($R393,Capa!$A:$AJ,AW$5,0),0),IF(ISERROR(1/VLOOKUP($R393,Capa!$A:$AJ,AW$5,0)),0,1/VLOOKUP($R393,Capa!$A:$AJ,AW$5,0))))</f>
        <v/>
      </c>
      <c r="AX393" s="174" t="str">
        <f>IF(AX$6="","",IF(AX$3="Maior",iferror(VLOOKUP($R393,Capa!$A:$AJ,AX$5,0),0),IF(ISERROR(1/VLOOKUP($R393,Capa!$A:$AJ,AX$5,0)),0,1/VLOOKUP($R393,Capa!$A:$AJ,AX$5,0))))</f>
        <v/>
      </c>
      <c r="AY393" s="174" t="str">
        <f>IF(AY$6="","",IF(AY$3="Maior",iferror(VLOOKUP($R393,Capa!$A:$AJ,AY$5,0),0),IF(ISERROR(1/VLOOKUP($R393,Capa!$A:$AJ,AY$5,0)),0,1/VLOOKUP($R393,Capa!$A:$AJ,AY$5,0))))</f>
        <v/>
      </c>
      <c r="AZ393" s="174" t="str">
        <f>IF(AZ$6="","",IF(AZ$3="Maior",iferror(VLOOKUP($R393,Capa!$A:$AJ,AZ$5,0),0),IF(ISERROR(1/VLOOKUP($R393,Capa!$A:$AJ,AZ$5,0)),0,1/VLOOKUP($R393,Capa!$A:$AJ,AZ$5,0))))</f>
        <v/>
      </c>
      <c r="BA393" s="174" t="str">
        <f>IF(BA$6="","",IF(BA$3="Maior",iferror(VLOOKUP($R393,Capa!$A:$AJ,BA$5,0),0),IF(ISERROR(1/VLOOKUP($R393,Capa!$A:$AJ,BA$5,0)),0,1/VLOOKUP($R393,Capa!$A:$AJ,BA$5,0))))</f>
        <v/>
      </c>
      <c r="BB393" s="174" t="str">
        <f>IF(BB$6="","",IF(BB$3="Maior",iferror(VLOOKUP($R393,Capa!$A:$AJ,BB$5,0),0),IF(ISERROR(1/VLOOKUP($R393,Capa!$A:$AJ,BB$5,0)),0,1/VLOOKUP($R393,Capa!$A:$AJ,BB$5,0))))</f>
        <v/>
      </c>
      <c r="BC393" s="174" t="str">
        <f>IF(BC$6="","",IF(BC$3="Maior",iferror(VLOOKUP($R393,Capa!$A:$AJ,BC$5,0),0),IF(ISERROR(1/VLOOKUP($R393,Capa!$A:$AJ,BC$5,0)),0,1/VLOOKUP($R393,Capa!$A:$AJ,BC$5,0))))</f>
        <v/>
      </c>
      <c r="BD393" s="174" t="str">
        <f>IF(BD$6="","",IF(BD$3="Maior",iferror(VLOOKUP($R393,Capa!$A:$AJ,BD$5,0),0),IF(ISERROR(1/VLOOKUP($R393,Capa!$A:$AJ,BD$5,0)),0,1/VLOOKUP($R393,Capa!$A:$AJ,BD$5,0))))</f>
        <v/>
      </c>
      <c r="BE393" s="174" t="str">
        <f>IF(BE$6="","",IF(BE$3="Maior",iferror(VLOOKUP($R393,Capa!$A:$AJ,BE$5,0),0),IF(ISERROR(1/VLOOKUP($R393,Capa!$A:$AJ,BE$5,0)),0,1/VLOOKUP($R393,Capa!$A:$AJ,BE$5,0))))</f>
        <v/>
      </c>
      <c r="BF393" s="174" t="str">
        <f>IF(BF$6="","",IF(BF$3="Maior",iferror(VLOOKUP($R393,Capa!$A:$AJ,BF$5,0),0),IF(ISERROR(1/VLOOKUP($R393,Capa!$A:$AJ,BF$5,0)),0,1/VLOOKUP($R393,Capa!$A:$AJ,BF$5,0))))</f>
        <v/>
      </c>
      <c r="BG393" s="174" t="str">
        <f>IF(BG$6="","",IF(BG$3="Maior",iferror(VLOOKUP($R393,Capa!$A:$AJ,BG$5,0),0),IF(ISERROR(1/VLOOKUP($R393,Capa!$A:$AJ,BG$5,0)),0,1/VLOOKUP($R393,Capa!$A:$AJ,BG$5,0))))</f>
        <v/>
      </c>
      <c r="BH393" s="174" t="str">
        <f>IF(BH$6="","",IF(BH$3="Maior",iferror(VLOOKUP($R393,Capa!$A:$AJ,BH$5,0),0),IF(ISERROR(1/VLOOKUP($R393,Capa!$A:$AJ,BH$5,0)),0,1/VLOOKUP($R393,Capa!$A:$AJ,BH$5,0))))</f>
        <v/>
      </c>
      <c r="BI393" s="174" t="str">
        <f>IF(BI$6="","",IF(BI$3="Maior",iferror(VLOOKUP($R393,Capa!$A:$AJ,BI$5,0),0),IF(ISERROR(1/VLOOKUP($R393,Capa!$A:$AJ,BI$5,0)),0,1/VLOOKUP($R393,Capa!$A:$AJ,BI$5,0))))</f>
        <v/>
      </c>
      <c r="BJ393" s="174" t="str">
        <f>IF(BJ$6="","",IF(BJ$3="Maior",iferror(VLOOKUP($R393,Capa!$A:$AJ,BJ$5,0),0),IF(ISERROR(1/VLOOKUP($R393,Capa!$A:$AJ,BJ$5,0)),0,1/VLOOKUP($R393,Capa!$A:$AJ,BJ$5,0))))</f>
        <v/>
      </c>
      <c r="BK393" s="174" t="str">
        <f>IF(BK$6="","",IF(BK$3="Maior",iferror(VLOOKUP($R393,Capa!$A:$AJ,BK$5,0),0),IF(ISERROR(1/VLOOKUP($R393,Capa!$A:$AJ,BK$5,0)),0,1/VLOOKUP($R393,Capa!$A:$AJ,BK$5,0))))</f>
        <v/>
      </c>
      <c r="BL393" s="174" t="str">
        <f>IF(BL$6="","",IF(BL$3="Maior",iferror(VLOOKUP($R393,Capa!$A:$AJ,BL$5,0),0),IF(ISERROR(1/VLOOKUP($R393,Capa!$A:$AJ,BL$5,0)),0,1/VLOOKUP($R393,Capa!$A:$AJ,BL$5,0))))</f>
        <v/>
      </c>
      <c r="BM393" s="174" t="str">
        <f>IF(BM$6="","",IF(BM$3="Maior",iferror(VLOOKUP($R393,Capa!$A:$AJ,BM$5,0),0),IF(ISERROR(1/VLOOKUP($R393,Capa!$A:$AJ,BM$5,0)),0,1/VLOOKUP($R393,Capa!$A:$AJ,BM$5,0))))</f>
        <v/>
      </c>
      <c r="BN393" s="174" t="str">
        <f>IF(BN$6="","",IF(BN$3="Maior",iferror(VLOOKUP($R393,Capa!$A:$AJ,BN$5,0),0),IF(ISERROR(1/VLOOKUP($R393,Capa!$A:$AJ,BN$5,0)),0,1/VLOOKUP($R393,Capa!$A:$AJ,BN$5,0))))</f>
        <v/>
      </c>
      <c r="BO393" s="174" t="str">
        <f>IF(BO$6="","",IF(BO$3="Maior",iferror(VLOOKUP($R393,Capa!$A:$AJ,BO$5,0),0),IF(ISERROR(1/VLOOKUP($R393,Capa!$A:$AJ,BO$5,0)),0,1/VLOOKUP($R393,Capa!$A:$AJ,BO$5,0))))</f>
        <v/>
      </c>
      <c r="BP393" s="174" t="str">
        <f>IF(BP$6="","",IF(BP$3="Maior",iferror(VLOOKUP($R393,Capa!$A:$AJ,BP$5,0),0),IF(ISERROR(1/VLOOKUP($R393,Capa!$A:$AJ,BP$5,0)),0,1/VLOOKUP($R393,Capa!$A:$AJ,BP$5,0))))</f>
        <v/>
      </c>
      <c r="BQ393" s="174" t="str">
        <f>IF(BQ$6="","",IF(BQ$3="Maior",iferror(VLOOKUP($R393,Capa!$A:$AJ,BQ$5,0),0),IF(ISERROR(1/VLOOKUP($R393,Capa!$A:$AJ,BQ$5,0)),0,1/VLOOKUP($R393,Capa!$A:$AJ,BQ$5,0))))</f>
        <v/>
      </c>
      <c r="BR393" s="175"/>
      <c r="BS393" s="147"/>
    </row>
    <row r="394">
      <c r="G394" s="11"/>
      <c r="H394" s="8">
        <v>388.0</v>
      </c>
      <c r="I394" s="165" t="str">
        <f t="shared" si="6"/>
        <v>CEBR5</v>
      </c>
      <c r="J394" s="166" t="str">
        <f>(VLOOKUP($I394,Capa!$A:$B,2,0))</f>
        <v>Companhia Energetica de Brasilia CEB Preference Shares Class A</v>
      </c>
      <c r="K394" s="167" t="str">
        <f>VLOOKUP(left(I394,4),Setor!A:D,3,0)&amp;" | "&amp;VLOOKUP(left(I394,4),Setor!A:D,4,0)</f>
        <v>Utilidade Pública | Energia Elétrica</v>
      </c>
      <c r="L394" s="168">
        <f>(VLOOKUP($I394,Capa!$A:$F,6,0))</f>
        <v>29.69</v>
      </c>
      <c r="M394" s="168">
        <f t="shared" si="7"/>
        <v>43538.62</v>
      </c>
      <c r="N394" s="11" t="str">
        <f>IFERROR(__xludf.DUMMYFUNCTION("(VLOOKUP($I394,Capa!$A:$H,7,0))"),"")</f>
        <v/>
      </c>
      <c r="O394" s="169">
        <f>(VLOOKUP($I394,Capa!$A:$H,8,0))</f>
        <v>0.08081543502</v>
      </c>
      <c r="P394" s="11" t="str">
        <f>IFERROR(__xludf.DUMMYFUNCTION("(VLOOKUP($I394,Capa!$A:$J,10,0))"),"")</f>
        <v/>
      </c>
      <c r="Q394" s="169">
        <f>(VLOOKUP($I394,Capa!$A:$K,11,0))</f>
        <v>0.7683144729</v>
      </c>
      <c r="R394" s="45" t="str">
        <f>'Dados StatusInvest'!A389</f>
        <v>MNDL3</v>
      </c>
      <c r="S394" s="170">
        <f t="shared" si="234"/>
        <v>1808.0808</v>
      </c>
      <c r="T394" s="171">
        <f>VLOOKUP(R394,'Dados StatusInvest'!A:Z,26,0)</f>
        <v>131410</v>
      </c>
      <c r="U394" s="172">
        <f t="shared" ref="U394:AS394" si="397">IF(AT394="","", RANK(AT394,AT$7:AT$626,0)+RANK(AT394,AT$7:AT$626,0)/10000)</f>
        <v>541.0541</v>
      </c>
      <c r="V394" s="172">
        <f t="shared" si="397"/>
        <v>267.0267</v>
      </c>
      <c r="W394" s="172" t="str">
        <f t="shared" si="397"/>
        <v/>
      </c>
      <c r="X394" s="172" t="str">
        <f t="shared" si="397"/>
        <v/>
      </c>
      <c r="Y394" s="172" t="str">
        <f t="shared" si="397"/>
        <v/>
      </c>
      <c r="Z394" s="172" t="str">
        <f t="shared" si="397"/>
        <v/>
      </c>
      <c r="AA394" s="172" t="str">
        <f t="shared" si="397"/>
        <v/>
      </c>
      <c r="AB394" s="172" t="str">
        <f t="shared" si="397"/>
        <v/>
      </c>
      <c r="AC394" s="172" t="str">
        <f t="shared" si="397"/>
        <v/>
      </c>
      <c r="AD394" s="172" t="str">
        <f t="shared" si="397"/>
        <v/>
      </c>
      <c r="AE394" s="172" t="str">
        <f t="shared" si="397"/>
        <v/>
      </c>
      <c r="AF394" s="172" t="str">
        <f t="shared" si="397"/>
        <v/>
      </c>
      <c r="AG394" s="172" t="str">
        <f t="shared" si="397"/>
        <v/>
      </c>
      <c r="AH394" s="172" t="str">
        <f t="shared" si="397"/>
        <v/>
      </c>
      <c r="AI394" s="172" t="str">
        <f t="shared" si="397"/>
        <v/>
      </c>
      <c r="AJ394" s="172" t="str">
        <f t="shared" si="397"/>
        <v/>
      </c>
      <c r="AK394" s="172" t="str">
        <f t="shared" si="397"/>
        <v/>
      </c>
      <c r="AL394" s="172" t="str">
        <f t="shared" si="397"/>
        <v/>
      </c>
      <c r="AM394" s="172" t="str">
        <f t="shared" si="397"/>
        <v/>
      </c>
      <c r="AN394" s="172" t="str">
        <f t="shared" si="397"/>
        <v/>
      </c>
      <c r="AO394" s="172" t="str">
        <f t="shared" si="397"/>
        <v/>
      </c>
      <c r="AP394" s="172" t="str">
        <f t="shared" si="397"/>
        <v/>
      </c>
      <c r="AQ394" s="172" t="str">
        <f t="shared" si="397"/>
        <v/>
      </c>
      <c r="AR394" s="172" t="str">
        <f t="shared" si="397"/>
        <v/>
      </c>
      <c r="AS394" s="172" t="str">
        <f t="shared" si="397"/>
        <v/>
      </c>
      <c r="AT394" s="173">
        <f>IF(AT$6="","",IF(AT$3="Maior",iferror(VLOOKUP($R394,Capa!$A:$AJ,AT$5,0),0),IF(ISERROR(1/VLOOKUP($R394,Capa!$A:$AJ,AT$5,0)),0,1/VLOOKUP($R394,Capa!$A:$AJ,AT$5,0))))</f>
        <v>-4.761904762</v>
      </c>
      <c r="AU394" s="174">
        <f>IF(AU$6="","",IF(AU$3="Maior",iferror(VLOOKUP($R394,Capa!$A:$AJ,AU$5,0),0),IF(ISERROR(1/VLOOKUP($R394,Capa!$A:$AJ,AU$5,0)),0,1/VLOOKUP($R394,Capa!$A:$AJ,AU$5,0))))</f>
        <v>0</v>
      </c>
      <c r="AV394" s="174" t="str">
        <f>IF(AV$6="","",IF(AV$3="Maior",iferror(VLOOKUP($R394,Capa!$A:$AJ,AV$5,0),0),IF(ISERROR(1/VLOOKUP($R394,Capa!$A:$AJ,AV$5,0)),0,1/VLOOKUP($R394,Capa!$A:$AJ,AV$5,0))))</f>
        <v/>
      </c>
      <c r="AW394" s="174" t="str">
        <f>IF(AW$6="","",IF(AW$3="Maior",iferror(VLOOKUP($R394,Capa!$A:$AJ,AW$5,0),0),IF(ISERROR(1/VLOOKUP($R394,Capa!$A:$AJ,AW$5,0)),0,1/VLOOKUP($R394,Capa!$A:$AJ,AW$5,0))))</f>
        <v/>
      </c>
      <c r="AX394" s="174" t="str">
        <f>IF(AX$6="","",IF(AX$3="Maior",iferror(VLOOKUP($R394,Capa!$A:$AJ,AX$5,0),0),IF(ISERROR(1/VLOOKUP($R394,Capa!$A:$AJ,AX$5,0)),0,1/VLOOKUP($R394,Capa!$A:$AJ,AX$5,0))))</f>
        <v/>
      </c>
      <c r="AY394" s="174" t="str">
        <f>IF(AY$6="","",IF(AY$3="Maior",iferror(VLOOKUP($R394,Capa!$A:$AJ,AY$5,0),0),IF(ISERROR(1/VLOOKUP($R394,Capa!$A:$AJ,AY$5,0)),0,1/VLOOKUP($R394,Capa!$A:$AJ,AY$5,0))))</f>
        <v/>
      </c>
      <c r="AZ394" s="174" t="str">
        <f>IF(AZ$6="","",IF(AZ$3="Maior",iferror(VLOOKUP($R394,Capa!$A:$AJ,AZ$5,0),0),IF(ISERROR(1/VLOOKUP($R394,Capa!$A:$AJ,AZ$5,0)),0,1/VLOOKUP($R394,Capa!$A:$AJ,AZ$5,0))))</f>
        <v/>
      </c>
      <c r="BA394" s="174" t="str">
        <f>IF(BA$6="","",IF(BA$3="Maior",iferror(VLOOKUP($R394,Capa!$A:$AJ,BA$5,0),0),IF(ISERROR(1/VLOOKUP($R394,Capa!$A:$AJ,BA$5,0)),0,1/VLOOKUP($R394,Capa!$A:$AJ,BA$5,0))))</f>
        <v/>
      </c>
      <c r="BB394" s="174" t="str">
        <f>IF(BB$6="","",IF(BB$3="Maior",iferror(VLOOKUP($R394,Capa!$A:$AJ,BB$5,0),0),IF(ISERROR(1/VLOOKUP($R394,Capa!$A:$AJ,BB$5,0)),0,1/VLOOKUP($R394,Capa!$A:$AJ,BB$5,0))))</f>
        <v/>
      </c>
      <c r="BC394" s="174" t="str">
        <f>IF(BC$6="","",IF(BC$3="Maior",iferror(VLOOKUP($R394,Capa!$A:$AJ,BC$5,0),0),IF(ISERROR(1/VLOOKUP($R394,Capa!$A:$AJ,BC$5,0)),0,1/VLOOKUP($R394,Capa!$A:$AJ,BC$5,0))))</f>
        <v/>
      </c>
      <c r="BD394" s="174" t="str">
        <f>IF(BD$6="","",IF(BD$3="Maior",iferror(VLOOKUP($R394,Capa!$A:$AJ,BD$5,0),0),IF(ISERROR(1/VLOOKUP($R394,Capa!$A:$AJ,BD$5,0)),0,1/VLOOKUP($R394,Capa!$A:$AJ,BD$5,0))))</f>
        <v/>
      </c>
      <c r="BE394" s="174" t="str">
        <f>IF(BE$6="","",IF(BE$3="Maior",iferror(VLOOKUP($R394,Capa!$A:$AJ,BE$5,0),0),IF(ISERROR(1/VLOOKUP($R394,Capa!$A:$AJ,BE$5,0)),0,1/VLOOKUP($R394,Capa!$A:$AJ,BE$5,0))))</f>
        <v/>
      </c>
      <c r="BF394" s="174" t="str">
        <f>IF(BF$6="","",IF(BF$3="Maior",iferror(VLOOKUP($R394,Capa!$A:$AJ,BF$5,0),0),IF(ISERROR(1/VLOOKUP($R394,Capa!$A:$AJ,BF$5,0)),0,1/VLOOKUP($R394,Capa!$A:$AJ,BF$5,0))))</f>
        <v/>
      </c>
      <c r="BG394" s="174" t="str">
        <f>IF(BG$6="","",IF(BG$3="Maior",iferror(VLOOKUP($R394,Capa!$A:$AJ,BG$5,0),0),IF(ISERROR(1/VLOOKUP($R394,Capa!$A:$AJ,BG$5,0)),0,1/VLOOKUP($R394,Capa!$A:$AJ,BG$5,0))))</f>
        <v/>
      </c>
      <c r="BH394" s="174" t="str">
        <f>IF(BH$6="","",IF(BH$3="Maior",iferror(VLOOKUP($R394,Capa!$A:$AJ,BH$5,0),0),IF(ISERROR(1/VLOOKUP($R394,Capa!$A:$AJ,BH$5,0)),0,1/VLOOKUP($R394,Capa!$A:$AJ,BH$5,0))))</f>
        <v/>
      </c>
      <c r="BI394" s="174" t="str">
        <f>IF(BI$6="","",IF(BI$3="Maior",iferror(VLOOKUP($R394,Capa!$A:$AJ,BI$5,0),0),IF(ISERROR(1/VLOOKUP($R394,Capa!$A:$AJ,BI$5,0)),0,1/VLOOKUP($R394,Capa!$A:$AJ,BI$5,0))))</f>
        <v/>
      </c>
      <c r="BJ394" s="174" t="str">
        <f>IF(BJ$6="","",IF(BJ$3="Maior",iferror(VLOOKUP($R394,Capa!$A:$AJ,BJ$5,0),0),IF(ISERROR(1/VLOOKUP($R394,Capa!$A:$AJ,BJ$5,0)),0,1/VLOOKUP($R394,Capa!$A:$AJ,BJ$5,0))))</f>
        <v/>
      </c>
      <c r="BK394" s="174" t="str">
        <f>IF(BK$6="","",IF(BK$3="Maior",iferror(VLOOKUP($R394,Capa!$A:$AJ,BK$5,0),0),IF(ISERROR(1/VLOOKUP($R394,Capa!$A:$AJ,BK$5,0)),0,1/VLOOKUP($R394,Capa!$A:$AJ,BK$5,0))))</f>
        <v/>
      </c>
      <c r="BL394" s="174" t="str">
        <f>IF(BL$6="","",IF(BL$3="Maior",iferror(VLOOKUP($R394,Capa!$A:$AJ,BL$5,0),0),IF(ISERROR(1/VLOOKUP($R394,Capa!$A:$AJ,BL$5,0)),0,1/VLOOKUP($R394,Capa!$A:$AJ,BL$5,0))))</f>
        <v/>
      </c>
      <c r="BM394" s="174" t="str">
        <f>IF(BM$6="","",IF(BM$3="Maior",iferror(VLOOKUP($R394,Capa!$A:$AJ,BM$5,0),0),IF(ISERROR(1/VLOOKUP($R394,Capa!$A:$AJ,BM$5,0)),0,1/VLOOKUP($R394,Capa!$A:$AJ,BM$5,0))))</f>
        <v/>
      </c>
      <c r="BN394" s="174" t="str">
        <f>IF(BN$6="","",IF(BN$3="Maior",iferror(VLOOKUP($R394,Capa!$A:$AJ,BN$5,0),0),IF(ISERROR(1/VLOOKUP($R394,Capa!$A:$AJ,BN$5,0)),0,1/VLOOKUP($R394,Capa!$A:$AJ,BN$5,0))))</f>
        <v/>
      </c>
      <c r="BO394" s="174" t="str">
        <f>IF(BO$6="","",IF(BO$3="Maior",iferror(VLOOKUP($R394,Capa!$A:$AJ,BO$5,0),0),IF(ISERROR(1/VLOOKUP($R394,Capa!$A:$AJ,BO$5,0)),0,1/VLOOKUP($R394,Capa!$A:$AJ,BO$5,0))))</f>
        <v/>
      </c>
      <c r="BP394" s="174" t="str">
        <f>IF(BP$6="","",IF(BP$3="Maior",iferror(VLOOKUP($R394,Capa!$A:$AJ,BP$5,0),0),IF(ISERROR(1/VLOOKUP($R394,Capa!$A:$AJ,BP$5,0)),0,1/VLOOKUP($R394,Capa!$A:$AJ,BP$5,0))))</f>
        <v/>
      </c>
      <c r="BQ394" s="174" t="str">
        <f>IF(BQ$6="","",IF(BQ$3="Maior",iferror(VLOOKUP($R394,Capa!$A:$AJ,BQ$5,0),0),IF(ISERROR(1/VLOOKUP($R394,Capa!$A:$AJ,BQ$5,0)),0,1/VLOOKUP($R394,Capa!$A:$AJ,BQ$5,0))))</f>
        <v/>
      </c>
      <c r="BR394" s="175"/>
      <c r="BS394" s="147"/>
    </row>
    <row r="395">
      <c r="G395" s="11"/>
      <c r="H395" s="8">
        <v>389.0</v>
      </c>
      <c r="I395" s="165" t="str">
        <f t="shared" si="6"/>
        <v>CEBR5</v>
      </c>
      <c r="J395" s="166" t="str">
        <f>(VLOOKUP($I395,Capa!$A:$B,2,0))</f>
        <v>Companhia Energetica de Brasilia CEB Preference Shares Class A</v>
      </c>
      <c r="K395" s="167" t="str">
        <f>VLOOKUP(left(I395,4),Setor!A:D,3,0)&amp;" | "&amp;VLOOKUP(left(I395,4),Setor!A:D,4,0)</f>
        <v>Utilidade Pública | Energia Elétrica</v>
      </c>
      <c r="L395" s="168">
        <f>(VLOOKUP($I395,Capa!$A:$F,6,0))</f>
        <v>29.69</v>
      </c>
      <c r="M395" s="168">
        <f t="shared" si="7"/>
        <v>43538.62</v>
      </c>
      <c r="N395" s="11" t="str">
        <f>IFERROR(__xludf.DUMMYFUNCTION("(VLOOKUP($I395,Capa!$A:$H,7,0))"),"")</f>
        <v/>
      </c>
      <c r="O395" s="169">
        <f>(VLOOKUP($I395,Capa!$A:$H,8,0))</f>
        <v>0.08081543502</v>
      </c>
      <c r="P395" s="11" t="str">
        <f>IFERROR(__xludf.DUMMYFUNCTION("(VLOOKUP($I395,Capa!$A:$J,10,0))"),"")</f>
        <v/>
      </c>
      <c r="Q395" s="169">
        <f>(VLOOKUP($I395,Capa!$A:$K,11,0))</f>
        <v>0.7683144729</v>
      </c>
      <c r="R395" s="45" t="str">
        <f>'Dados StatusInvest'!A390</f>
        <v>MNPR3</v>
      </c>
      <c r="S395" s="170">
        <f t="shared" si="234"/>
        <v>1572.0572</v>
      </c>
      <c r="T395" s="171">
        <f>VLOOKUP(R395,'Dados StatusInvest'!A:Z,26,0)</f>
        <v>92822.95</v>
      </c>
      <c r="U395" s="172">
        <f t="shared" ref="U395:AS395" si="398">IF(AT395="","", RANK(AT395,AT$7:AT$626,0)+RANK(AT395,AT$7:AT$626,0)/10000)</f>
        <v>305.0305</v>
      </c>
      <c r="V395" s="172">
        <f t="shared" si="398"/>
        <v>267.0267</v>
      </c>
      <c r="W395" s="172" t="str">
        <f t="shared" si="398"/>
        <v/>
      </c>
      <c r="X395" s="172" t="str">
        <f t="shared" si="398"/>
        <v/>
      </c>
      <c r="Y395" s="172" t="str">
        <f t="shared" si="398"/>
        <v/>
      </c>
      <c r="Z395" s="172" t="str">
        <f t="shared" si="398"/>
        <v/>
      </c>
      <c r="AA395" s="172" t="str">
        <f t="shared" si="398"/>
        <v/>
      </c>
      <c r="AB395" s="172" t="str">
        <f t="shared" si="398"/>
        <v/>
      </c>
      <c r="AC395" s="172" t="str">
        <f t="shared" si="398"/>
        <v/>
      </c>
      <c r="AD395" s="172" t="str">
        <f t="shared" si="398"/>
        <v/>
      </c>
      <c r="AE395" s="172" t="str">
        <f t="shared" si="398"/>
        <v/>
      </c>
      <c r="AF395" s="172" t="str">
        <f t="shared" si="398"/>
        <v/>
      </c>
      <c r="AG395" s="172" t="str">
        <f t="shared" si="398"/>
        <v/>
      </c>
      <c r="AH395" s="172" t="str">
        <f t="shared" si="398"/>
        <v/>
      </c>
      <c r="AI395" s="172" t="str">
        <f t="shared" si="398"/>
        <v/>
      </c>
      <c r="AJ395" s="172" t="str">
        <f t="shared" si="398"/>
        <v/>
      </c>
      <c r="AK395" s="172" t="str">
        <f t="shared" si="398"/>
        <v/>
      </c>
      <c r="AL395" s="172" t="str">
        <f t="shared" si="398"/>
        <v/>
      </c>
      <c r="AM395" s="172" t="str">
        <f t="shared" si="398"/>
        <v/>
      </c>
      <c r="AN395" s="172" t="str">
        <f t="shared" si="398"/>
        <v/>
      </c>
      <c r="AO395" s="172" t="str">
        <f t="shared" si="398"/>
        <v/>
      </c>
      <c r="AP395" s="172" t="str">
        <f t="shared" si="398"/>
        <v/>
      </c>
      <c r="AQ395" s="172" t="str">
        <f t="shared" si="398"/>
        <v/>
      </c>
      <c r="AR395" s="172" t="str">
        <f t="shared" si="398"/>
        <v/>
      </c>
      <c r="AS395" s="172" t="str">
        <f t="shared" si="398"/>
        <v/>
      </c>
      <c r="AT395" s="173">
        <f>IF(AT$6="","",IF(AT$3="Maior",iferror(VLOOKUP($R395,Capa!$A:$AJ,AT$5,0),0),IF(ISERROR(1/VLOOKUP($R395,Capa!$A:$AJ,AT$5,0)),0,1/VLOOKUP($R395,Capa!$A:$AJ,AT$5,0))))</f>
        <v>-0.7096505535</v>
      </c>
      <c r="AU395" s="174">
        <f>IF(AU$6="","",IF(AU$3="Maior",iferror(VLOOKUP($R395,Capa!$A:$AJ,AU$5,0),0),IF(ISERROR(1/VLOOKUP($R395,Capa!$A:$AJ,AU$5,0)),0,1/VLOOKUP($R395,Capa!$A:$AJ,AU$5,0))))</f>
        <v>0</v>
      </c>
      <c r="AV395" s="174" t="str">
        <f>IF(AV$6="","",IF(AV$3="Maior",iferror(VLOOKUP($R395,Capa!$A:$AJ,AV$5,0),0),IF(ISERROR(1/VLOOKUP($R395,Capa!$A:$AJ,AV$5,0)),0,1/VLOOKUP($R395,Capa!$A:$AJ,AV$5,0))))</f>
        <v/>
      </c>
      <c r="AW395" s="174" t="str">
        <f>IF(AW$6="","",IF(AW$3="Maior",iferror(VLOOKUP($R395,Capa!$A:$AJ,AW$5,0),0),IF(ISERROR(1/VLOOKUP($R395,Capa!$A:$AJ,AW$5,0)),0,1/VLOOKUP($R395,Capa!$A:$AJ,AW$5,0))))</f>
        <v/>
      </c>
      <c r="AX395" s="174" t="str">
        <f>IF(AX$6="","",IF(AX$3="Maior",iferror(VLOOKUP($R395,Capa!$A:$AJ,AX$5,0),0),IF(ISERROR(1/VLOOKUP($R395,Capa!$A:$AJ,AX$5,0)),0,1/VLOOKUP($R395,Capa!$A:$AJ,AX$5,0))))</f>
        <v/>
      </c>
      <c r="AY395" s="174" t="str">
        <f>IF(AY$6="","",IF(AY$3="Maior",iferror(VLOOKUP($R395,Capa!$A:$AJ,AY$5,0),0),IF(ISERROR(1/VLOOKUP($R395,Capa!$A:$AJ,AY$5,0)),0,1/VLOOKUP($R395,Capa!$A:$AJ,AY$5,0))))</f>
        <v/>
      </c>
      <c r="AZ395" s="174" t="str">
        <f>IF(AZ$6="","",IF(AZ$3="Maior",iferror(VLOOKUP($R395,Capa!$A:$AJ,AZ$5,0),0),IF(ISERROR(1/VLOOKUP($R395,Capa!$A:$AJ,AZ$5,0)),0,1/VLOOKUP($R395,Capa!$A:$AJ,AZ$5,0))))</f>
        <v/>
      </c>
      <c r="BA395" s="174" t="str">
        <f>IF(BA$6="","",IF(BA$3="Maior",iferror(VLOOKUP($R395,Capa!$A:$AJ,BA$5,0),0),IF(ISERROR(1/VLOOKUP($R395,Capa!$A:$AJ,BA$5,0)),0,1/VLOOKUP($R395,Capa!$A:$AJ,BA$5,0))))</f>
        <v/>
      </c>
      <c r="BB395" s="174" t="str">
        <f>IF(BB$6="","",IF(BB$3="Maior",iferror(VLOOKUP($R395,Capa!$A:$AJ,BB$5,0),0),IF(ISERROR(1/VLOOKUP($R395,Capa!$A:$AJ,BB$5,0)),0,1/VLOOKUP($R395,Capa!$A:$AJ,BB$5,0))))</f>
        <v/>
      </c>
      <c r="BC395" s="174" t="str">
        <f>IF(BC$6="","",IF(BC$3="Maior",iferror(VLOOKUP($R395,Capa!$A:$AJ,BC$5,0),0),IF(ISERROR(1/VLOOKUP($R395,Capa!$A:$AJ,BC$5,0)),0,1/VLOOKUP($R395,Capa!$A:$AJ,BC$5,0))))</f>
        <v/>
      </c>
      <c r="BD395" s="174" t="str">
        <f>IF(BD$6="","",IF(BD$3="Maior",iferror(VLOOKUP($R395,Capa!$A:$AJ,BD$5,0),0),IF(ISERROR(1/VLOOKUP($R395,Capa!$A:$AJ,BD$5,0)),0,1/VLOOKUP($R395,Capa!$A:$AJ,BD$5,0))))</f>
        <v/>
      </c>
      <c r="BE395" s="174" t="str">
        <f>IF(BE$6="","",IF(BE$3="Maior",iferror(VLOOKUP($R395,Capa!$A:$AJ,BE$5,0),0),IF(ISERROR(1/VLOOKUP($R395,Capa!$A:$AJ,BE$5,0)),0,1/VLOOKUP($R395,Capa!$A:$AJ,BE$5,0))))</f>
        <v/>
      </c>
      <c r="BF395" s="174" t="str">
        <f>IF(BF$6="","",IF(BF$3="Maior",iferror(VLOOKUP($R395,Capa!$A:$AJ,BF$5,0),0),IF(ISERROR(1/VLOOKUP($R395,Capa!$A:$AJ,BF$5,0)),0,1/VLOOKUP($R395,Capa!$A:$AJ,BF$5,0))))</f>
        <v/>
      </c>
      <c r="BG395" s="174" t="str">
        <f>IF(BG$6="","",IF(BG$3="Maior",iferror(VLOOKUP($R395,Capa!$A:$AJ,BG$5,0),0),IF(ISERROR(1/VLOOKUP($R395,Capa!$A:$AJ,BG$5,0)),0,1/VLOOKUP($R395,Capa!$A:$AJ,BG$5,0))))</f>
        <v/>
      </c>
      <c r="BH395" s="174" t="str">
        <f>IF(BH$6="","",IF(BH$3="Maior",iferror(VLOOKUP($R395,Capa!$A:$AJ,BH$5,0),0),IF(ISERROR(1/VLOOKUP($R395,Capa!$A:$AJ,BH$5,0)),0,1/VLOOKUP($R395,Capa!$A:$AJ,BH$5,0))))</f>
        <v/>
      </c>
      <c r="BI395" s="174" t="str">
        <f>IF(BI$6="","",IF(BI$3="Maior",iferror(VLOOKUP($R395,Capa!$A:$AJ,BI$5,0),0),IF(ISERROR(1/VLOOKUP($R395,Capa!$A:$AJ,BI$5,0)),0,1/VLOOKUP($R395,Capa!$A:$AJ,BI$5,0))))</f>
        <v/>
      </c>
      <c r="BJ395" s="174" t="str">
        <f>IF(BJ$6="","",IF(BJ$3="Maior",iferror(VLOOKUP($R395,Capa!$A:$AJ,BJ$5,0),0),IF(ISERROR(1/VLOOKUP($R395,Capa!$A:$AJ,BJ$5,0)),0,1/VLOOKUP($R395,Capa!$A:$AJ,BJ$5,0))))</f>
        <v/>
      </c>
      <c r="BK395" s="174" t="str">
        <f>IF(BK$6="","",IF(BK$3="Maior",iferror(VLOOKUP($R395,Capa!$A:$AJ,BK$5,0),0),IF(ISERROR(1/VLOOKUP($R395,Capa!$A:$AJ,BK$5,0)),0,1/VLOOKUP($R395,Capa!$A:$AJ,BK$5,0))))</f>
        <v/>
      </c>
      <c r="BL395" s="174" t="str">
        <f>IF(BL$6="","",IF(BL$3="Maior",iferror(VLOOKUP($R395,Capa!$A:$AJ,BL$5,0),0),IF(ISERROR(1/VLOOKUP($R395,Capa!$A:$AJ,BL$5,0)),0,1/VLOOKUP($R395,Capa!$A:$AJ,BL$5,0))))</f>
        <v/>
      </c>
      <c r="BM395" s="174" t="str">
        <f>IF(BM$6="","",IF(BM$3="Maior",iferror(VLOOKUP($R395,Capa!$A:$AJ,BM$5,0),0),IF(ISERROR(1/VLOOKUP($R395,Capa!$A:$AJ,BM$5,0)),0,1/VLOOKUP($R395,Capa!$A:$AJ,BM$5,0))))</f>
        <v/>
      </c>
      <c r="BN395" s="174" t="str">
        <f>IF(BN$6="","",IF(BN$3="Maior",iferror(VLOOKUP($R395,Capa!$A:$AJ,BN$5,0),0),IF(ISERROR(1/VLOOKUP($R395,Capa!$A:$AJ,BN$5,0)),0,1/VLOOKUP($R395,Capa!$A:$AJ,BN$5,0))))</f>
        <v/>
      </c>
      <c r="BO395" s="174" t="str">
        <f>IF(BO$6="","",IF(BO$3="Maior",iferror(VLOOKUP($R395,Capa!$A:$AJ,BO$5,0),0),IF(ISERROR(1/VLOOKUP($R395,Capa!$A:$AJ,BO$5,0)),0,1/VLOOKUP($R395,Capa!$A:$AJ,BO$5,0))))</f>
        <v/>
      </c>
      <c r="BP395" s="174" t="str">
        <f>IF(BP$6="","",IF(BP$3="Maior",iferror(VLOOKUP($R395,Capa!$A:$AJ,BP$5,0),0),IF(ISERROR(1/VLOOKUP($R395,Capa!$A:$AJ,BP$5,0)),0,1/VLOOKUP($R395,Capa!$A:$AJ,BP$5,0))))</f>
        <v/>
      </c>
      <c r="BQ395" s="174" t="str">
        <f>IF(BQ$6="","",IF(BQ$3="Maior",iferror(VLOOKUP($R395,Capa!$A:$AJ,BQ$5,0),0),IF(ISERROR(1/VLOOKUP($R395,Capa!$A:$AJ,BQ$5,0)),0,1/VLOOKUP($R395,Capa!$A:$AJ,BQ$5,0))))</f>
        <v/>
      </c>
      <c r="BR395" s="175"/>
      <c r="BS395" s="147"/>
    </row>
    <row r="396">
      <c r="G396" s="11"/>
      <c r="H396" s="8">
        <v>390.0</v>
      </c>
      <c r="I396" s="165" t="str">
        <f t="shared" si="6"/>
        <v>EQPA6</v>
      </c>
      <c r="J396" s="166" t="str">
        <f>(VLOOKUP($I396,Capa!$A:$B,2,0))</f>
        <v>Equatorial Para Dist Energia Prf Shs Class B</v>
      </c>
      <c r="K396" s="167" t="str">
        <f>VLOOKUP(left(I396,4),Setor!A:D,3,0)&amp;" | "&amp;VLOOKUP(left(I396,4),Setor!A:D,4,0)</f>
        <v>Utilidade Pública | Energia Elétrica</v>
      </c>
      <c r="L396" s="168">
        <f>(VLOOKUP($I396,Capa!$A:$F,6,0))</f>
        <v>6.59</v>
      </c>
      <c r="M396" s="168">
        <f t="shared" si="7"/>
        <v>659</v>
      </c>
      <c r="N396" s="11" t="str">
        <f>(VLOOKUP($I396,Capa!$A:$H,7,0))</f>
        <v/>
      </c>
      <c r="O396" s="169" t="str">
        <f>(VLOOKUP($I396,Capa!$A:$H,8,0))</f>
        <v/>
      </c>
      <c r="P396" s="11" t="str">
        <f>IFERROR(__xludf.DUMMYFUNCTION("(VLOOKUP($I396,Capa!$A:$J,10,0))"),"")</f>
        <v/>
      </c>
      <c r="Q396" s="169" t="str">
        <f>(VLOOKUP($I396,Capa!$A:$K,11,0))</f>
        <v/>
      </c>
      <c r="R396" s="45" t="str">
        <f>'Dados StatusInvest'!A391</f>
        <v>MOAR3</v>
      </c>
      <c r="S396" s="170">
        <f t="shared" si="234"/>
        <v>1978.0978</v>
      </c>
      <c r="T396" s="171">
        <f>VLOOKUP(R396,'Dados StatusInvest'!A:Z,26,0)</f>
        <v>66141.7</v>
      </c>
      <c r="U396" s="172">
        <f t="shared" ref="U396:AS396" si="399">IF(AT396="","", RANK(AT396,AT$7:AT$626,0)+RANK(AT396,AT$7:AT$626,0)/10000)</f>
        <v>377.0377</v>
      </c>
      <c r="V396" s="172">
        <f t="shared" si="399"/>
        <v>601.0601</v>
      </c>
      <c r="W396" s="172" t="str">
        <f t="shared" si="399"/>
        <v/>
      </c>
      <c r="X396" s="172" t="str">
        <f t="shared" si="399"/>
        <v/>
      </c>
      <c r="Y396" s="172" t="str">
        <f t="shared" si="399"/>
        <v/>
      </c>
      <c r="Z396" s="172" t="str">
        <f t="shared" si="399"/>
        <v/>
      </c>
      <c r="AA396" s="172" t="str">
        <f t="shared" si="399"/>
        <v/>
      </c>
      <c r="AB396" s="172" t="str">
        <f t="shared" si="399"/>
        <v/>
      </c>
      <c r="AC396" s="172" t="str">
        <f t="shared" si="399"/>
        <v/>
      </c>
      <c r="AD396" s="172" t="str">
        <f t="shared" si="399"/>
        <v/>
      </c>
      <c r="AE396" s="172" t="str">
        <f t="shared" si="399"/>
        <v/>
      </c>
      <c r="AF396" s="172" t="str">
        <f t="shared" si="399"/>
        <v/>
      </c>
      <c r="AG396" s="172" t="str">
        <f t="shared" si="399"/>
        <v/>
      </c>
      <c r="AH396" s="172" t="str">
        <f t="shared" si="399"/>
        <v/>
      </c>
      <c r="AI396" s="172" t="str">
        <f t="shared" si="399"/>
        <v/>
      </c>
      <c r="AJ396" s="172" t="str">
        <f t="shared" si="399"/>
        <v/>
      </c>
      <c r="AK396" s="172" t="str">
        <f t="shared" si="399"/>
        <v/>
      </c>
      <c r="AL396" s="172" t="str">
        <f t="shared" si="399"/>
        <v/>
      </c>
      <c r="AM396" s="172" t="str">
        <f t="shared" si="399"/>
        <v/>
      </c>
      <c r="AN396" s="172" t="str">
        <f t="shared" si="399"/>
        <v/>
      </c>
      <c r="AO396" s="172" t="str">
        <f t="shared" si="399"/>
        <v/>
      </c>
      <c r="AP396" s="172" t="str">
        <f t="shared" si="399"/>
        <v/>
      </c>
      <c r="AQ396" s="172" t="str">
        <f t="shared" si="399"/>
        <v/>
      </c>
      <c r="AR396" s="172" t="str">
        <f t="shared" si="399"/>
        <v/>
      </c>
      <c r="AS396" s="172" t="str">
        <f t="shared" si="399"/>
        <v/>
      </c>
      <c r="AT396" s="173">
        <f>IF(AT$6="","",IF(AT$3="Maior",iferror(VLOOKUP($R396,Capa!$A:$AJ,AT$5,0),0),IF(ISERROR(1/VLOOKUP($R396,Capa!$A:$AJ,AT$5,0)),0,1/VLOOKUP($R396,Capa!$A:$AJ,AT$5,0))))</f>
        <v>-1.162790698</v>
      </c>
      <c r="AU396" s="174">
        <f>IF(AU$6="","",IF(AU$3="Maior",iferror(VLOOKUP($R396,Capa!$A:$AJ,AU$5,0),0),IF(ISERROR(1/VLOOKUP($R396,Capa!$A:$AJ,AU$5,0)),0,1/VLOOKUP($R396,Capa!$A:$AJ,AU$5,0))))</f>
        <v>-20.45</v>
      </c>
      <c r="AV396" s="174" t="str">
        <f>IF(AV$6="","",IF(AV$3="Maior",iferror(VLOOKUP($R396,Capa!$A:$AJ,AV$5,0),0),IF(ISERROR(1/VLOOKUP($R396,Capa!$A:$AJ,AV$5,0)),0,1/VLOOKUP($R396,Capa!$A:$AJ,AV$5,0))))</f>
        <v/>
      </c>
      <c r="AW396" s="174" t="str">
        <f>IF(AW$6="","",IF(AW$3="Maior",iferror(VLOOKUP($R396,Capa!$A:$AJ,AW$5,0),0),IF(ISERROR(1/VLOOKUP($R396,Capa!$A:$AJ,AW$5,0)),0,1/VLOOKUP($R396,Capa!$A:$AJ,AW$5,0))))</f>
        <v/>
      </c>
      <c r="AX396" s="174" t="str">
        <f>IF(AX$6="","",IF(AX$3="Maior",iferror(VLOOKUP($R396,Capa!$A:$AJ,AX$5,0),0),IF(ISERROR(1/VLOOKUP($R396,Capa!$A:$AJ,AX$5,0)),0,1/VLOOKUP($R396,Capa!$A:$AJ,AX$5,0))))</f>
        <v/>
      </c>
      <c r="AY396" s="174" t="str">
        <f>IF(AY$6="","",IF(AY$3="Maior",iferror(VLOOKUP($R396,Capa!$A:$AJ,AY$5,0),0),IF(ISERROR(1/VLOOKUP($R396,Capa!$A:$AJ,AY$5,0)),0,1/VLOOKUP($R396,Capa!$A:$AJ,AY$5,0))))</f>
        <v/>
      </c>
      <c r="AZ396" s="174" t="str">
        <f>IF(AZ$6="","",IF(AZ$3="Maior",iferror(VLOOKUP($R396,Capa!$A:$AJ,AZ$5,0),0),IF(ISERROR(1/VLOOKUP($R396,Capa!$A:$AJ,AZ$5,0)),0,1/VLOOKUP($R396,Capa!$A:$AJ,AZ$5,0))))</f>
        <v/>
      </c>
      <c r="BA396" s="174" t="str">
        <f>IF(BA$6="","",IF(BA$3="Maior",iferror(VLOOKUP($R396,Capa!$A:$AJ,BA$5,0),0),IF(ISERROR(1/VLOOKUP($R396,Capa!$A:$AJ,BA$5,0)),0,1/VLOOKUP($R396,Capa!$A:$AJ,BA$5,0))))</f>
        <v/>
      </c>
      <c r="BB396" s="174" t="str">
        <f>IF(BB$6="","",IF(BB$3="Maior",iferror(VLOOKUP($R396,Capa!$A:$AJ,BB$5,0),0),IF(ISERROR(1/VLOOKUP($R396,Capa!$A:$AJ,BB$5,0)),0,1/VLOOKUP($R396,Capa!$A:$AJ,BB$5,0))))</f>
        <v/>
      </c>
      <c r="BC396" s="174" t="str">
        <f>IF(BC$6="","",IF(BC$3="Maior",iferror(VLOOKUP($R396,Capa!$A:$AJ,BC$5,0),0),IF(ISERROR(1/VLOOKUP($R396,Capa!$A:$AJ,BC$5,0)),0,1/VLOOKUP($R396,Capa!$A:$AJ,BC$5,0))))</f>
        <v/>
      </c>
      <c r="BD396" s="174" t="str">
        <f>IF(BD$6="","",IF(BD$3="Maior",iferror(VLOOKUP($R396,Capa!$A:$AJ,BD$5,0),0),IF(ISERROR(1/VLOOKUP($R396,Capa!$A:$AJ,BD$5,0)),0,1/VLOOKUP($R396,Capa!$A:$AJ,BD$5,0))))</f>
        <v/>
      </c>
      <c r="BE396" s="174" t="str">
        <f>IF(BE$6="","",IF(BE$3="Maior",iferror(VLOOKUP($R396,Capa!$A:$AJ,BE$5,0),0),IF(ISERROR(1/VLOOKUP($R396,Capa!$A:$AJ,BE$5,0)),0,1/VLOOKUP($R396,Capa!$A:$AJ,BE$5,0))))</f>
        <v/>
      </c>
      <c r="BF396" s="174" t="str">
        <f>IF(BF$6="","",IF(BF$3="Maior",iferror(VLOOKUP($R396,Capa!$A:$AJ,BF$5,0),0),IF(ISERROR(1/VLOOKUP($R396,Capa!$A:$AJ,BF$5,0)),0,1/VLOOKUP($R396,Capa!$A:$AJ,BF$5,0))))</f>
        <v/>
      </c>
      <c r="BG396" s="174" t="str">
        <f>IF(BG$6="","",IF(BG$3="Maior",iferror(VLOOKUP($R396,Capa!$A:$AJ,BG$5,0),0),IF(ISERROR(1/VLOOKUP($R396,Capa!$A:$AJ,BG$5,0)),0,1/VLOOKUP($R396,Capa!$A:$AJ,BG$5,0))))</f>
        <v/>
      </c>
      <c r="BH396" s="174" t="str">
        <f>IF(BH$6="","",IF(BH$3="Maior",iferror(VLOOKUP($R396,Capa!$A:$AJ,BH$5,0),0),IF(ISERROR(1/VLOOKUP($R396,Capa!$A:$AJ,BH$5,0)),0,1/VLOOKUP($R396,Capa!$A:$AJ,BH$5,0))))</f>
        <v/>
      </c>
      <c r="BI396" s="174" t="str">
        <f>IF(BI$6="","",IF(BI$3="Maior",iferror(VLOOKUP($R396,Capa!$A:$AJ,BI$5,0),0),IF(ISERROR(1/VLOOKUP($R396,Capa!$A:$AJ,BI$5,0)),0,1/VLOOKUP($R396,Capa!$A:$AJ,BI$5,0))))</f>
        <v/>
      </c>
      <c r="BJ396" s="174" t="str">
        <f>IF(BJ$6="","",IF(BJ$3="Maior",iferror(VLOOKUP($R396,Capa!$A:$AJ,BJ$5,0),0),IF(ISERROR(1/VLOOKUP($R396,Capa!$A:$AJ,BJ$5,0)),0,1/VLOOKUP($R396,Capa!$A:$AJ,BJ$5,0))))</f>
        <v/>
      </c>
      <c r="BK396" s="174" t="str">
        <f>IF(BK$6="","",IF(BK$3="Maior",iferror(VLOOKUP($R396,Capa!$A:$AJ,BK$5,0),0),IF(ISERROR(1/VLOOKUP($R396,Capa!$A:$AJ,BK$5,0)),0,1/VLOOKUP($R396,Capa!$A:$AJ,BK$5,0))))</f>
        <v/>
      </c>
      <c r="BL396" s="174" t="str">
        <f>IF(BL$6="","",IF(BL$3="Maior",iferror(VLOOKUP($R396,Capa!$A:$AJ,BL$5,0),0),IF(ISERROR(1/VLOOKUP($R396,Capa!$A:$AJ,BL$5,0)),0,1/VLOOKUP($R396,Capa!$A:$AJ,BL$5,0))))</f>
        <v/>
      </c>
      <c r="BM396" s="174" t="str">
        <f>IF(BM$6="","",IF(BM$3="Maior",iferror(VLOOKUP($R396,Capa!$A:$AJ,BM$5,0),0),IF(ISERROR(1/VLOOKUP($R396,Capa!$A:$AJ,BM$5,0)),0,1/VLOOKUP($R396,Capa!$A:$AJ,BM$5,0))))</f>
        <v/>
      </c>
      <c r="BN396" s="174" t="str">
        <f>IF(BN$6="","",IF(BN$3="Maior",iferror(VLOOKUP($R396,Capa!$A:$AJ,BN$5,0),0),IF(ISERROR(1/VLOOKUP($R396,Capa!$A:$AJ,BN$5,0)),0,1/VLOOKUP($R396,Capa!$A:$AJ,BN$5,0))))</f>
        <v/>
      </c>
      <c r="BO396" s="174" t="str">
        <f>IF(BO$6="","",IF(BO$3="Maior",iferror(VLOOKUP($R396,Capa!$A:$AJ,BO$5,0),0),IF(ISERROR(1/VLOOKUP($R396,Capa!$A:$AJ,BO$5,0)),0,1/VLOOKUP($R396,Capa!$A:$AJ,BO$5,0))))</f>
        <v/>
      </c>
      <c r="BP396" s="174" t="str">
        <f>IF(BP$6="","",IF(BP$3="Maior",iferror(VLOOKUP($R396,Capa!$A:$AJ,BP$5,0),0),IF(ISERROR(1/VLOOKUP($R396,Capa!$A:$AJ,BP$5,0)),0,1/VLOOKUP($R396,Capa!$A:$AJ,BP$5,0))))</f>
        <v/>
      </c>
      <c r="BQ396" s="174" t="str">
        <f>IF(BQ$6="","",IF(BQ$3="Maior",iferror(VLOOKUP($R396,Capa!$A:$AJ,BQ$5,0),0),IF(ISERROR(1/VLOOKUP($R396,Capa!$A:$AJ,BQ$5,0)),0,1/VLOOKUP($R396,Capa!$A:$AJ,BQ$5,0))))</f>
        <v/>
      </c>
      <c r="BR396" s="175"/>
      <c r="BS396" s="147"/>
    </row>
    <row r="397">
      <c r="G397" s="11"/>
      <c r="H397" s="8">
        <v>391.0</v>
      </c>
      <c r="I397" s="165" t="str">
        <f t="shared" si="6"/>
        <v>CREM3</v>
      </c>
      <c r="J397" s="166" t="str">
        <f>(VLOOKUP($I397,Capa!$A:$B,2,0))</f>
        <v/>
      </c>
      <c r="K397" s="167" t="str">
        <f>VLOOKUP(left(I397,4),Setor!A:D,3,0)&amp;" | "&amp;VLOOKUP(left(I397,4),Setor!A:D,4,0)</f>
        <v>#N/A</v>
      </c>
      <c r="L397" s="168" t="str">
        <f>(VLOOKUP($I397,Capa!$A:$F,6,0))</f>
        <v/>
      </c>
      <c r="M397" s="168">
        <f t="shared" si="7"/>
        <v>0</v>
      </c>
      <c r="N397" s="11" t="str">
        <f>(VLOOKUP($I397,Capa!$A:$H,7,0))</f>
        <v/>
      </c>
      <c r="O397" s="169" t="str">
        <f>(VLOOKUP($I397,Capa!$A:$H,8,0))</f>
        <v/>
      </c>
      <c r="P397" s="11" t="str">
        <f>(VLOOKUP($I397,Capa!$A:$J,10,0))</f>
        <v/>
      </c>
      <c r="Q397" s="169" t="str">
        <f>(VLOOKUP($I397,Capa!$A:$K,11,0))</f>
        <v/>
      </c>
      <c r="R397" s="45" t="str">
        <f>'Dados StatusInvest'!A392</f>
        <v>MODL11</v>
      </c>
      <c r="S397" s="170">
        <f t="shared" si="234"/>
        <v>1275.0275</v>
      </c>
      <c r="T397" s="171">
        <f>VLOOKUP(R397,'Dados StatusInvest'!A:Z,26,0)</f>
        <v>0</v>
      </c>
      <c r="U397" s="172">
        <f t="shared" ref="U397:AS397" si="400">IF(AT397="","", RANK(AT397,AT$7:AT$626,0)+RANK(AT397,AT$7:AT$626,0)/10000)</f>
        <v>8.0008</v>
      </c>
      <c r="V397" s="172">
        <f t="shared" si="400"/>
        <v>267.0267</v>
      </c>
      <c r="W397" s="172" t="str">
        <f t="shared" si="400"/>
        <v/>
      </c>
      <c r="X397" s="172" t="str">
        <f t="shared" si="400"/>
        <v/>
      </c>
      <c r="Y397" s="172" t="str">
        <f t="shared" si="400"/>
        <v/>
      </c>
      <c r="Z397" s="172" t="str">
        <f t="shared" si="400"/>
        <v/>
      </c>
      <c r="AA397" s="172" t="str">
        <f t="shared" si="400"/>
        <v/>
      </c>
      <c r="AB397" s="172" t="str">
        <f t="shared" si="400"/>
        <v/>
      </c>
      <c r="AC397" s="172" t="str">
        <f t="shared" si="400"/>
        <v/>
      </c>
      <c r="AD397" s="172" t="str">
        <f t="shared" si="400"/>
        <v/>
      </c>
      <c r="AE397" s="172" t="str">
        <f t="shared" si="400"/>
        <v/>
      </c>
      <c r="AF397" s="172" t="str">
        <f t="shared" si="400"/>
        <v/>
      </c>
      <c r="AG397" s="172" t="str">
        <f t="shared" si="400"/>
        <v/>
      </c>
      <c r="AH397" s="172" t="str">
        <f t="shared" si="400"/>
        <v/>
      </c>
      <c r="AI397" s="172" t="str">
        <f t="shared" si="400"/>
        <v/>
      </c>
      <c r="AJ397" s="172" t="str">
        <f t="shared" si="400"/>
        <v/>
      </c>
      <c r="AK397" s="172" t="str">
        <f t="shared" si="400"/>
        <v/>
      </c>
      <c r="AL397" s="172" t="str">
        <f t="shared" si="400"/>
        <v/>
      </c>
      <c r="AM397" s="172" t="str">
        <f t="shared" si="400"/>
        <v/>
      </c>
      <c r="AN397" s="172" t="str">
        <f t="shared" si="400"/>
        <v/>
      </c>
      <c r="AO397" s="172" t="str">
        <f t="shared" si="400"/>
        <v/>
      </c>
      <c r="AP397" s="172" t="str">
        <f t="shared" si="400"/>
        <v/>
      </c>
      <c r="AQ397" s="172" t="str">
        <f t="shared" si="400"/>
        <v/>
      </c>
      <c r="AR397" s="172" t="str">
        <f t="shared" si="400"/>
        <v/>
      </c>
      <c r="AS397" s="172" t="str">
        <f t="shared" si="400"/>
        <v/>
      </c>
      <c r="AT397" s="173">
        <f>IF(AT$6="","",IF(AT$3="Maior",iferror(VLOOKUP($R397,Capa!$A:$AJ,AT$5,0),0),IF(ISERROR(1/VLOOKUP($R397,Capa!$A:$AJ,AT$5,0)),0,1/VLOOKUP($R397,Capa!$A:$AJ,AT$5,0))))</f>
        <v>3.03030303</v>
      </c>
      <c r="AU397" s="174">
        <f>IF(AU$6="","",IF(AU$3="Maior",iferror(VLOOKUP($R397,Capa!$A:$AJ,AU$5,0),0),IF(ISERROR(1/VLOOKUP($R397,Capa!$A:$AJ,AU$5,0)),0,1/VLOOKUP($R397,Capa!$A:$AJ,AU$5,0))))</f>
        <v>0</v>
      </c>
      <c r="AV397" s="174" t="str">
        <f>IF(AV$6="","",IF(AV$3="Maior",iferror(VLOOKUP($R397,Capa!$A:$AJ,AV$5,0),0),IF(ISERROR(1/VLOOKUP($R397,Capa!$A:$AJ,AV$5,0)),0,1/VLOOKUP($R397,Capa!$A:$AJ,AV$5,0))))</f>
        <v/>
      </c>
      <c r="AW397" s="174" t="str">
        <f>IF(AW$6="","",IF(AW$3="Maior",iferror(VLOOKUP($R397,Capa!$A:$AJ,AW$5,0),0),IF(ISERROR(1/VLOOKUP($R397,Capa!$A:$AJ,AW$5,0)),0,1/VLOOKUP($R397,Capa!$A:$AJ,AW$5,0))))</f>
        <v/>
      </c>
      <c r="AX397" s="174" t="str">
        <f>IF(AX$6="","",IF(AX$3="Maior",iferror(VLOOKUP($R397,Capa!$A:$AJ,AX$5,0),0),IF(ISERROR(1/VLOOKUP($R397,Capa!$A:$AJ,AX$5,0)),0,1/VLOOKUP($R397,Capa!$A:$AJ,AX$5,0))))</f>
        <v/>
      </c>
      <c r="AY397" s="174" t="str">
        <f>IF(AY$6="","",IF(AY$3="Maior",iferror(VLOOKUP($R397,Capa!$A:$AJ,AY$5,0),0),IF(ISERROR(1/VLOOKUP($R397,Capa!$A:$AJ,AY$5,0)),0,1/VLOOKUP($R397,Capa!$A:$AJ,AY$5,0))))</f>
        <v/>
      </c>
      <c r="AZ397" s="174" t="str">
        <f>IF(AZ$6="","",IF(AZ$3="Maior",iferror(VLOOKUP($R397,Capa!$A:$AJ,AZ$5,0),0),IF(ISERROR(1/VLOOKUP($R397,Capa!$A:$AJ,AZ$5,0)),0,1/VLOOKUP($R397,Capa!$A:$AJ,AZ$5,0))))</f>
        <v/>
      </c>
      <c r="BA397" s="174" t="str">
        <f>IF(BA$6="","",IF(BA$3="Maior",iferror(VLOOKUP($R397,Capa!$A:$AJ,BA$5,0),0),IF(ISERROR(1/VLOOKUP($R397,Capa!$A:$AJ,BA$5,0)),0,1/VLOOKUP($R397,Capa!$A:$AJ,BA$5,0))))</f>
        <v/>
      </c>
      <c r="BB397" s="174" t="str">
        <f>IF(BB$6="","",IF(BB$3="Maior",iferror(VLOOKUP($R397,Capa!$A:$AJ,BB$5,0),0),IF(ISERROR(1/VLOOKUP($R397,Capa!$A:$AJ,BB$5,0)),0,1/VLOOKUP($R397,Capa!$A:$AJ,BB$5,0))))</f>
        <v/>
      </c>
      <c r="BC397" s="174" t="str">
        <f>IF(BC$6="","",IF(BC$3="Maior",iferror(VLOOKUP($R397,Capa!$A:$AJ,BC$5,0),0),IF(ISERROR(1/VLOOKUP($R397,Capa!$A:$AJ,BC$5,0)),0,1/VLOOKUP($R397,Capa!$A:$AJ,BC$5,0))))</f>
        <v/>
      </c>
      <c r="BD397" s="174" t="str">
        <f>IF(BD$6="","",IF(BD$3="Maior",iferror(VLOOKUP($R397,Capa!$A:$AJ,BD$5,0),0),IF(ISERROR(1/VLOOKUP($R397,Capa!$A:$AJ,BD$5,0)),0,1/VLOOKUP($R397,Capa!$A:$AJ,BD$5,0))))</f>
        <v/>
      </c>
      <c r="BE397" s="174" t="str">
        <f>IF(BE$6="","",IF(BE$3="Maior",iferror(VLOOKUP($R397,Capa!$A:$AJ,BE$5,0),0),IF(ISERROR(1/VLOOKUP($R397,Capa!$A:$AJ,BE$5,0)),0,1/VLOOKUP($R397,Capa!$A:$AJ,BE$5,0))))</f>
        <v/>
      </c>
      <c r="BF397" s="174" t="str">
        <f>IF(BF$6="","",IF(BF$3="Maior",iferror(VLOOKUP($R397,Capa!$A:$AJ,BF$5,0),0),IF(ISERROR(1/VLOOKUP($R397,Capa!$A:$AJ,BF$5,0)),0,1/VLOOKUP($R397,Capa!$A:$AJ,BF$5,0))))</f>
        <v/>
      </c>
      <c r="BG397" s="174" t="str">
        <f>IF(BG$6="","",IF(BG$3="Maior",iferror(VLOOKUP($R397,Capa!$A:$AJ,BG$5,0),0),IF(ISERROR(1/VLOOKUP($R397,Capa!$A:$AJ,BG$5,0)),0,1/VLOOKUP($R397,Capa!$A:$AJ,BG$5,0))))</f>
        <v/>
      </c>
      <c r="BH397" s="174" t="str">
        <f>IF(BH$6="","",IF(BH$3="Maior",iferror(VLOOKUP($R397,Capa!$A:$AJ,BH$5,0),0),IF(ISERROR(1/VLOOKUP($R397,Capa!$A:$AJ,BH$5,0)),0,1/VLOOKUP($R397,Capa!$A:$AJ,BH$5,0))))</f>
        <v/>
      </c>
      <c r="BI397" s="174" t="str">
        <f>IF(BI$6="","",IF(BI$3="Maior",iferror(VLOOKUP($R397,Capa!$A:$AJ,BI$5,0),0),IF(ISERROR(1/VLOOKUP($R397,Capa!$A:$AJ,BI$5,0)),0,1/VLOOKUP($R397,Capa!$A:$AJ,BI$5,0))))</f>
        <v/>
      </c>
      <c r="BJ397" s="174" t="str">
        <f>IF(BJ$6="","",IF(BJ$3="Maior",iferror(VLOOKUP($R397,Capa!$A:$AJ,BJ$5,0),0),IF(ISERROR(1/VLOOKUP($R397,Capa!$A:$AJ,BJ$5,0)),0,1/VLOOKUP($R397,Capa!$A:$AJ,BJ$5,0))))</f>
        <v/>
      </c>
      <c r="BK397" s="174" t="str">
        <f>IF(BK$6="","",IF(BK$3="Maior",iferror(VLOOKUP($R397,Capa!$A:$AJ,BK$5,0),0),IF(ISERROR(1/VLOOKUP($R397,Capa!$A:$AJ,BK$5,0)),0,1/VLOOKUP($R397,Capa!$A:$AJ,BK$5,0))))</f>
        <v/>
      </c>
      <c r="BL397" s="174" t="str">
        <f>IF(BL$6="","",IF(BL$3="Maior",iferror(VLOOKUP($R397,Capa!$A:$AJ,BL$5,0),0),IF(ISERROR(1/VLOOKUP($R397,Capa!$A:$AJ,BL$5,0)),0,1/VLOOKUP($R397,Capa!$A:$AJ,BL$5,0))))</f>
        <v/>
      </c>
      <c r="BM397" s="174" t="str">
        <f>IF(BM$6="","",IF(BM$3="Maior",iferror(VLOOKUP($R397,Capa!$A:$AJ,BM$5,0),0),IF(ISERROR(1/VLOOKUP($R397,Capa!$A:$AJ,BM$5,0)),0,1/VLOOKUP($R397,Capa!$A:$AJ,BM$5,0))))</f>
        <v/>
      </c>
      <c r="BN397" s="174" t="str">
        <f>IF(BN$6="","",IF(BN$3="Maior",iferror(VLOOKUP($R397,Capa!$A:$AJ,BN$5,0),0),IF(ISERROR(1/VLOOKUP($R397,Capa!$A:$AJ,BN$5,0)),0,1/VLOOKUP($R397,Capa!$A:$AJ,BN$5,0))))</f>
        <v/>
      </c>
      <c r="BO397" s="174" t="str">
        <f>IF(BO$6="","",IF(BO$3="Maior",iferror(VLOOKUP($R397,Capa!$A:$AJ,BO$5,0),0),IF(ISERROR(1/VLOOKUP($R397,Capa!$A:$AJ,BO$5,0)),0,1/VLOOKUP($R397,Capa!$A:$AJ,BO$5,0))))</f>
        <v/>
      </c>
      <c r="BP397" s="174" t="str">
        <f>IF(BP$6="","",IF(BP$3="Maior",iferror(VLOOKUP($R397,Capa!$A:$AJ,BP$5,0),0),IF(ISERROR(1/VLOOKUP($R397,Capa!$A:$AJ,BP$5,0)),0,1/VLOOKUP($R397,Capa!$A:$AJ,BP$5,0))))</f>
        <v/>
      </c>
      <c r="BQ397" s="174" t="str">
        <f>IF(BQ$6="","",IF(BQ$3="Maior",iferror(VLOOKUP($R397,Capa!$A:$AJ,BQ$5,0),0),IF(ISERROR(1/VLOOKUP($R397,Capa!$A:$AJ,BQ$5,0)),0,1/VLOOKUP($R397,Capa!$A:$AJ,BQ$5,0))))</f>
        <v/>
      </c>
      <c r="BR397" s="175"/>
      <c r="BS397" s="147"/>
    </row>
    <row r="398">
      <c r="G398" s="11"/>
      <c r="H398" s="8">
        <v>392.0</v>
      </c>
      <c r="I398" s="165" t="str">
        <f t="shared" si="6"/>
        <v>MGEL3</v>
      </c>
      <c r="J398" s="166" t="str">
        <f>(VLOOKUP($I398,Capa!$A:$B,2,0))</f>
        <v>Mangels Industrial SA</v>
      </c>
      <c r="K398" s="167" t="str">
        <f>VLOOKUP(left(I398,4),Setor!A:D,3,0)&amp;" | "&amp;VLOOKUP(left(I398,4),Setor!A:D,4,0)</f>
        <v>Materiais Básicos | Siderurgia e Metalurgia</v>
      </c>
      <c r="L398" s="168">
        <f>(VLOOKUP($I398,Capa!$A:$F,6,0))</f>
        <v>0</v>
      </c>
      <c r="M398" s="168">
        <f t="shared" si="7"/>
        <v>0</v>
      </c>
      <c r="N398" s="11" t="str">
        <f>(VLOOKUP($I398,Capa!$A:$H,7,0))</f>
        <v/>
      </c>
      <c r="O398" s="169" t="str">
        <f>(VLOOKUP($I398,Capa!$A:$H,8,0))</f>
        <v/>
      </c>
      <c r="P398" s="11" t="str">
        <f>IFERROR(__xludf.DUMMYFUNCTION("(VLOOKUP($I398,Capa!$A:$J,10,0))"),"")</f>
        <v/>
      </c>
      <c r="Q398" s="169" t="str">
        <f>(VLOOKUP($I398,Capa!$A:$K,11,0))</f>
        <v/>
      </c>
      <c r="R398" s="45" t="str">
        <f>'Dados StatusInvest'!A393</f>
        <v>MODL3</v>
      </c>
      <c r="S398" s="170">
        <f t="shared" si="234"/>
        <v>1276.0276</v>
      </c>
      <c r="T398" s="171">
        <f>VLOOKUP(R398,'Dados StatusInvest'!A:Z,26,0)</f>
        <v>0</v>
      </c>
      <c r="U398" s="172">
        <f t="shared" ref="U398:AS398" si="401">IF(AT398="","", RANK(AT398,AT$7:AT$626,0)+RANK(AT398,AT$7:AT$626,0)/10000)</f>
        <v>9.0009</v>
      </c>
      <c r="V398" s="172">
        <f t="shared" si="401"/>
        <v>267.0267</v>
      </c>
      <c r="W398" s="172" t="str">
        <f t="shared" si="401"/>
        <v/>
      </c>
      <c r="X398" s="172" t="str">
        <f t="shared" si="401"/>
        <v/>
      </c>
      <c r="Y398" s="172" t="str">
        <f t="shared" si="401"/>
        <v/>
      </c>
      <c r="Z398" s="172" t="str">
        <f t="shared" si="401"/>
        <v/>
      </c>
      <c r="AA398" s="172" t="str">
        <f t="shared" si="401"/>
        <v/>
      </c>
      <c r="AB398" s="172" t="str">
        <f t="shared" si="401"/>
        <v/>
      </c>
      <c r="AC398" s="172" t="str">
        <f t="shared" si="401"/>
        <v/>
      </c>
      <c r="AD398" s="172" t="str">
        <f t="shared" si="401"/>
        <v/>
      </c>
      <c r="AE398" s="172" t="str">
        <f t="shared" si="401"/>
        <v/>
      </c>
      <c r="AF398" s="172" t="str">
        <f t="shared" si="401"/>
        <v/>
      </c>
      <c r="AG398" s="172" t="str">
        <f t="shared" si="401"/>
        <v/>
      </c>
      <c r="AH398" s="172" t="str">
        <f t="shared" si="401"/>
        <v/>
      </c>
      <c r="AI398" s="172" t="str">
        <f t="shared" si="401"/>
        <v/>
      </c>
      <c r="AJ398" s="172" t="str">
        <f t="shared" si="401"/>
        <v/>
      </c>
      <c r="AK398" s="172" t="str">
        <f t="shared" si="401"/>
        <v/>
      </c>
      <c r="AL398" s="172" t="str">
        <f t="shared" si="401"/>
        <v/>
      </c>
      <c r="AM398" s="172" t="str">
        <f t="shared" si="401"/>
        <v/>
      </c>
      <c r="AN398" s="172" t="str">
        <f t="shared" si="401"/>
        <v/>
      </c>
      <c r="AO398" s="172" t="str">
        <f t="shared" si="401"/>
        <v/>
      </c>
      <c r="AP398" s="172" t="str">
        <f t="shared" si="401"/>
        <v/>
      </c>
      <c r="AQ398" s="172" t="str">
        <f t="shared" si="401"/>
        <v/>
      </c>
      <c r="AR398" s="172" t="str">
        <f t="shared" si="401"/>
        <v/>
      </c>
      <c r="AS398" s="172" t="str">
        <f t="shared" si="401"/>
        <v/>
      </c>
      <c r="AT398" s="173">
        <f>IF(AT$6="","",IF(AT$3="Maior",iferror(VLOOKUP($R398,Capa!$A:$AJ,AT$5,0),0),IF(ISERROR(1/VLOOKUP($R398,Capa!$A:$AJ,AT$5,0)),0,1/VLOOKUP($R398,Capa!$A:$AJ,AT$5,0))))</f>
        <v>2.702702703</v>
      </c>
      <c r="AU398" s="174">
        <f>IF(AU$6="","",IF(AU$3="Maior",iferror(VLOOKUP($R398,Capa!$A:$AJ,AU$5,0),0),IF(ISERROR(1/VLOOKUP($R398,Capa!$A:$AJ,AU$5,0)),0,1/VLOOKUP($R398,Capa!$A:$AJ,AU$5,0))))</f>
        <v>0</v>
      </c>
      <c r="AV398" s="174" t="str">
        <f>IF(AV$6="","",IF(AV$3="Maior",iferror(VLOOKUP($R398,Capa!$A:$AJ,AV$5,0),0),IF(ISERROR(1/VLOOKUP($R398,Capa!$A:$AJ,AV$5,0)),0,1/VLOOKUP($R398,Capa!$A:$AJ,AV$5,0))))</f>
        <v/>
      </c>
      <c r="AW398" s="174" t="str">
        <f>IF(AW$6="","",IF(AW$3="Maior",iferror(VLOOKUP($R398,Capa!$A:$AJ,AW$5,0),0),IF(ISERROR(1/VLOOKUP($R398,Capa!$A:$AJ,AW$5,0)),0,1/VLOOKUP($R398,Capa!$A:$AJ,AW$5,0))))</f>
        <v/>
      </c>
      <c r="AX398" s="174" t="str">
        <f>IF(AX$6="","",IF(AX$3="Maior",iferror(VLOOKUP($R398,Capa!$A:$AJ,AX$5,0),0),IF(ISERROR(1/VLOOKUP($R398,Capa!$A:$AJ,AX$5,0)),0,1/VLOOKUP($R398,Capa!$A:$AJ,AX$5,0))))</f>
        <v/>
      </c>
      <c r="AY398" s="174" t="str">
        <f>IF(AY$6="","",IF(AY$3="Maior",iferror(VLOOKUP($R398,Capa!$A:$AJ,AY$5,0),0),IF(ISERROR(1/VLOOKUP($R398,Capa!$A:$AJ,AY$5,0)),0,1/VLOOKUP($R398,Capa!$A:$AJ,AY$5,0))))</f>
        <v/>
      </c>
      <c r="AZ398" s="174" t="str">
        <f>IF(AZ$6="","",IF(AZ$3="Maior",iferror(VLOOKUP($R398,Capa!$A:$AJ,AZ$5,0),0),IF(ISERROR(1/VLOOKUP($R398,Capa!$A:$AJ,AZ$5,0)),0,1/VLOOKUP($R398,Capa!$A:$AJ,AZ$5,0))))</f>
        <v/>
      </c>
      <c r="BA398" s="174" t="str">
        <f>IF(BA$6="","",IF(BA$3="Maior",iferror(VLOOKUP($R398,Capa!$A:$AJ,BA$5,0),0),IF(ISERROR(1/VLOOKUP($R398,Capa!$A:$AJ,BA$5,0)),0,1/VLOOKUP($R398,Capa!$A:$AJ,BA$5,0))))</f>
        <v/>
      </c>
      <c r="BB398" s="174" t="str">
        <f>IF(BB$6="","",IF(BB$3="Maior",iferror(VLOOKUP($R398,Capa!$A:$AJ,BB$5,0),0),IF(ISERROR(1/VLOOKUP($R398,Capa!$A:$AJ,BB$5,0)),0,1/VLOOKUP($R398,Capa!$A:$AJ,BB$5,0))))</f>
        <v/>
      </c>
      <c r="BC398" s="174" t="str">
        <f>IF(BC$6="","",IF(BC$3="Maior",iferror(VLOOKUP($R398,Capa!$A:$AJ,BC$5,0),0),IF(ISERROR(1/VLOOKUP($R398,Capa!$A:$AJ,BC$5,0)),0,1/VLOOKUP($R398,Capa!$A:$AJ,BC$5,0))))</f>
        <v/>
      </c>
      <c r="BD398" s="174" t="str">
        <f>IF(BD$6="","",IF(BD$3="Maior",iferror(VLOOKUP($R398,Capa!$A:$AJ,BD$5,0),0),IF(ISERROR(1/VLOOKUP($R398,Capa!$A:$AJ,BD$5,0)),0,1/VLOOKUP($R398,Capa!$A:$AJ,BD$5,0))))</f>
        <v/>
      </c>
      <c r="BE398" s="174" t="str">
        <f>IF(BE$6="","",IF(BE$3="Maior",iferror(VLOOKUP($R398,Capa!$A:$AJ,BE$5,0),0),IF(ISERROR(1/VLOOKUP($R398,Capa!$A:$AJ,BE$5,0)),0,1/VLOOKUP($R398,Capa!$A:$AJ,BE$5,0))))</f>
        <v/>
      </c>
      <c r="BF398" s="174" t="str">
        <f>IF(BF$6="","",IF(BF$3="Maior",iferror(VLOOKUP($R398,Capa!$A:$AJ,BF$5,0),0),IF(ISERROR(1/VLOOKUP($R398,Capa!$A:$AJ,BF$5,0)),0,1/VLOOKUP($R398,Capa!$A:$AJ,BF$5,0))))</f>
        <v/>
      </c>
      <c r="BG398" s="174" t="str">
        <f>IF(BG$6="","",IF(BG$3="Maior",iferror(VLOOKUP($R398,Capa!$A:$AJ,BG$5,0),0),IF(ISERROR(1/VLOOKUP($R398,Capa!$A:$AJ,BG$5,0)),0,1/VLOOKUP($R398,Capa!$A:$AJ,BG$5,0))))</f>
        <v/>
      </c>
      <c r="BH398" s="174" t="str">
        <f>IF(BH$6="","",IF(BH$3="Maior",iferror(VLOOKUP($R398,Capa!$A:$AJ,BH$5,0),0),IF(ISERROR(1/VLOOKUP($R398,Capa!$A:$AJ,BH$5,0)),0,1/VLOOKUP($R398,Capa!$A:$AJ,BH$5,0))))</f>
        <v/>
      </c>
      <c r="BI398" s="174" t="str">
        <f>IF(BI$6="","",IF(BI$3="Maior",iferror(VLOOKUP($R398,Capa!$A:$AJ,BI$5,0),0),IF(ISERROR(1/VLOOKUP($R398,Capa!$A:$AJ,BI$5,0)),0,1/VLOOKUP($R398,Capa!$A:$AJ,BI$5,0))))</f>
        <v/>
      </c>
      <c r="BJ398" s="174" t="str">
        <f>IF(BJ$6="","",IF(BJ$3="Maior",iferror(VLOOKUP($R398,Capa!$A:$AJ,BJ$5,0),0),IF(ISERROR(1/VLOOKUP($R398,Capa!$A:$AJ,BJ$5,0)),0,1/VLOOKUP($R398,Capa!$A:$AJ,BJ$5,0))))</f>
        <v/>
      </c>
      <c r="BK398" s="174" t="str">
        <f>IF(BK$6="","",IF(BK$3="Maior",iferror(VLOOKUP($R398,Capa!$A:$AJ,BK$5,0),0),IF(ISERROR(1/VLOOKUP($R398,Capa!$A:$AJ,BK$5,0)),0,1/VLOOKUP($R398,Capa!$A:$AJ,BK$5,0))))</f>
        <v/>
      </c>
      <c r="BL398" s="174" t="str">
        <f>IF(BL$6="","",IF(BL$3="Maior",iferror(VLOOKUP($R398,Capa!$A:$AJ,BL$5,0),0),IF(ISERROR(1/VLOOKUP($R398,Capa!$A:$AJ,BL$5,0)),0,1/VLOOKUP($R398,Capa!$A:$AJ,BL$5,0))))</f>
        <v/>
      </c>
      <c r="BM398" s="174" t="str">
        <f>IF(BM$6="","",IF(BM$3="Maior",iferror(VLOOKUP($R398,Capa!$A:$AJ,BM$5,0),0),IF(ISERROR(1/VLOOKUP($R398,Capa!$A:$AJ,BM$5,0)),0,1/VLOOKUP($R398,Capa!$A:$AJ,BM$5,0))))</f>
        <v/>
      </c>
      <c r="BN398" s="174" t="str">
        <f>IF(BN$6="","",IF(BN$3="Maior",iferror(VLOOKUP($R398,Capa!$A:$AJ,BN$5,0),0),IF(ISERROR(1/VLOOKUP($R398,Capa!$A:$AJ,BN$5,0)),0,1/VLOOKUP($R398,Capa!$A:$AJ,BN$5,0))))</f>
        <v/>
      </c>
      <c r="BO398" s="174" t="str">
        <f>IF(BO$6="","",IF(BO$3="Maior",iferror(VLOOKUP($R398,Capa!$A:$AJ,BO$5,0),0),IF(ISERROR(1/VLOOKUP($R398,Capa!$A:$AJ,BO$5,0)),0,1/VLOOKUP($R398,Capa!$A:$AJ,BO$5,0))))</f>
        <v/>
      </c>
      <c r="BP398" s="174" t="str">
        <f>IF(BP$6="","",IF(BP$3="Maior",iferror(VLOOKUP($R398,Capa!$A:$AJ,BP$5,0),0),IF(ISERROR(1/VLOOKUP($R398,Capa!$A:$AJ,BP$5,0)),0,1/VLOOKUP($R398,Capa!$A:$AJ,BP$5,0))))</f>
        <v/>
      </c>
      <c r="BQ398" s="174" t="str">
        <f>IF(BQ$6="","",IF(BQ$3="Maior",iferror(VLOOKUP($R398,Capa!$A:$AJ,BQ$5,0),0),IF(ISERROR(1/VLOOKUP($R398,Capa!$A:$AJ,BQ$5,0)),0,1/VLOOKUP($R398,Capa!$A:$AJ,BQ$5,0))))</f>
        <v/>
      </c>
      <c r="BR398" s="175"/>
      <c r="BS398" s="147"/>
    </row>
    <row r="399">
      <c r="G399" s="11"/>
      <c r="H399" s="8">
        <v>393.0</v>
      </c>
      <c r="I399" s="165" t="str">
        <f t="shared" si="6"/>
        <v>BAUH4</v>
      </c>
      <c r="J399" s="166" t="str">
        <f>(VLOOKUP($I399,Capa!$A:$B,2,0))</f>
        <v>Excelsior Alimentos SA Preference Shares</v>
      </c>
      <c r="K399" s="167" t="str">
        <f>VLOOKUP(left(I399,4),Setor!A:D,3,0)&amp;" | "&amp;VLOOKUP(left(I399,4),Setor!A:D,4,0)</f>
        <v>Consumo não Cíclico | Alimentos Processados</v>
      </c>
      <c r="L399" s="168">
        <f>(VLOOKUP($I399,Capa!$A:$F,6,0))</f>
        <v>92.99</v>
      </c>
      <c r="M399" s="168">
        <f t="shared" si="7"/>
        <v>57895.75</v>
      </c>
      <c r="N399" s="11" t="str">
        <f>IFERROR(__xludf.DUMMYFUNCTION("(VLOOKUP($I399,Capa!$A:$H,7,0))"),"")</f>
        <v/>
      </c>
      <c r="O399" s="169" t="str">
        <f>(VLOOKUP($I399,Capa!$A:$H,8,0))</f>
        <v/>
      </c>
      <c r="P399" s="11" t="str">
        <f>IFERROR(__xludf.DUMMYFUNCTION("(VLOOKUP($I399,Capa!$A:$J,10,0))"),"")</f>
        <v/>
      </c>
      <c r="Q399" s="169" t="str">
        <f>(VLOOKUP($I399,Capa!$A:$K,11,0))</f>
        <v/>
      </c>
      <c r="R399" s="45" t="str">
        <f>'Dados StatusInvest'!A394</f>
        <v>MODL4</v>
      </c>
      <c r="S399" s="170">
        <f t="shared" si="234"/>
        <v>1274.0274</v>
      </c>
      <c r="T399" s="171">
        <f>VLOOKUP(R399,'Dados StatusInvest'!A:Z,26,0)</f>
        <v>0</v>
      </c>
      <c r="U399" s="172">
        <f t="shared" ref="U399:AS399" si="402">IF(AT399="","", RANK(AT399,AT$7:AT$626,0)+RANK(AT399,AT$7:AT$626,0)/10000)</f>
        <v>7.0007</v>
      </c>
      <c r="V399" s="172">
        <f t="shared" si="402"/>
        <v>267.0267</v>
      </c>
      <c r="W399" s="172" t="str">
        <f t="shared" si="402"/>
        <v/>
      </c>
      <c r="X399" s="172" t="str">
        <f t="shared" si="402"/>
        <v/>
      </c>
      <c r="Y399" s="172" t="str">
        <f t="shared" si="402"/>
        <v/>
      </c>
      <c r="Z399" s="172" t="str">
        <f t="shared" si="402"/>
        <v/>
      </c>
      <c r="AA399" s="172" t="str">
        <f t="shared" si="402"/>
        <v/>
      </c>
      <c r="AB399" s="172" t="str">
        <f t="shared" si="402"/>
        <v/>
      </c>
      <c r="AC399" s="172" t="str">
        <f t="shared" si="402"/>
        <v/>
      </c>
      <c r="AD399" s="172" t="str">
        <f t="shared" si="402"/>
        <v/>
      </c>
      <c r="AE399" s="172" t="str">
        <f t="shared" si="402"/>
        <v/>
      </c>
      <c r="AF399" s="172" t="str">
        <f t="shared" si="402"/>
        <v/>
      </c>
      <c r="AG399" s="172" t="str">
        <f t="shared" si="402"/>
        <v/>
      </c>
      <c r="AH399" s="172" t="str">
        <f t="shared" si="402"/>
        <v/>
      </c>
      <c r="AI399" s="172" t="str">
        <f t="shared" si="402"/>
        <v/>
      </c>
      <c r="AJ399" s="172" t="str">
        <f t="shared" si="402"/>
        <v/>
      </c>
      <c r="AK399" s="172" t="str">
        <f t="shared" si="402"/>
        <v/>
      </c>
      <c r="AL399" s="172" t="str">
        <f t="shared" si="402"/>
        <v/>
      </c>
      <c r="AM399" s="172" t="str">
        <f t="shared" si="402"/>
        <v/>
      </c>
      <c r="AN399" s="172" t="str">
        <f t="shared" si="402"/>
        <v/>
      </c>
      <c r="AO399" s="172" t="str">
        <f t="shared" si="402"/>
        <v/>
      </c>
      <c r="AP399" s="172" t="str">
        <f t="shared" si="402"/>
        <v/>
      </c>
      <c r="AQ399" s="172" t="str">
        <f t="shared" si="402"/>
        <v/>
      </c>
      <c r="AR399" s="172" t="str">
        <f t="shared" si="402"/>
        <v/>
      </c>
      <c r="AS399" s="172" t="str">
        <f t="shared" si="402"/>
        <v/>
      </c>
      <c r="AT399" s="173">
        <f>IF(AT$6="","",IF(AT$3="Maior",iferror(VLOOKUP($R399,Capa!$A:$AJ,AT$5,0),0),IF(ISERROR(1/VLOOKUP($R399,Capa!$A:$AJ,AT$5,0)),0,1/VLOOKUP($R399,Capa!$A:$AJ,AT$5,0))))</f>
        <v>3.125</v>
      </c>
      <c r="AU399" s="174">
        <f>IF(AU$6="","",IF(AU$3="Maior",iferror(VLOOKUP($R399,Capa!$A:$AJ,AU$5,0),0),IF(ISERROR(1/VLOOKUP($R399,Capa!$A:$AJ,AU$5,0)),0,1/VLOOKUP($R399,Capa!$A:$AJ,AU$5,0))))</f>
        <v>0</v>
      </c>
      <c r="AV399" s="174" t="str">
        <f>IF(AV$6="","",IF(AV$3="Maior",iferror(VLOOKUP($R399,Capa!$A:$AJ,AV$5,0),0),IF(ISERROR(1/VLOOKUP($R399,Capa!$A:$AJ,AV$5,0)),0,1/VLOOKUP($R399,Capa!$A:$AJ,AV$5,0))))</f>
        <v/>
      </c>
      <c r="AW399" s="174" t="str">
        <f>IF(AW$6="","",IF(AW$3="Maior",iferror(VLOOKUP($R399,Capa!$A:$AJ,AW$5,0),0),IF(ISERROR(1/VLOOKUP($R399,Capa!$A:$AJ,AW$5,0)),0,1/VLOOKUP($R399,Capa!$A:$AJ,AW$5,0))))</f>
        <v/>
      </c>
      <c r="AX399" s="174" t="str">
        <f>IF(AX$6="","",IF(AX$3="Maior",iferror(VLOOKUP($R399,Capa!$A:$AJ,AX$5,0),0),IF(ISERROR(1/VLOOKUP($R399,Capa!$A:$AJ,AX$5,0)),0,1/VLOOKUP($R399,Capa!$A:$AJ,AX$5,0))))</f>
        <v/>
      </c>
      <c r="AY399" s="174" t="str">
        <f>IF(AY$6="","",IF(AY$3="Maior",iferror(VLOOKUP($R399,Capa!$A:$AJ,AY$5,0),0),IF(ISERROR(1/VLOOKUP($R399,Capa!$A:$AJ,AY$5,0)),0,1/VLOOKUP($R399,Capa!$A:$AJ,AY$5,0))))</f>
        <v/>
      </c>
      <c r="AZ399" s="174" t="str">
        <f>IF(AZ$6="","",IF(AZ$3="Maior",iferror(VLOOKUP($R399,Capa!$A:$AJ,AZ$5,0),0),IF(ISERROR(1/VLOOKUP($R399,Capa!$A:$AJ,AZ$5,0)),0,1/VLOOKUP($R399,Capa!$A:$AJ,AZ$5,0))))</f>
        <v/>
      </c>
      <c r="BA399" s="174" t="str">
        <f>IF(BA$6="","",IF(BA$3="Maior",iferror(VLOOKUP($R399,Capa!$A:$AJ,BA$5,0),0),IF(ISERROR(1/VLOOKUP($R399,Capa!$A:$AJ,BA$5,0)),0,1/VLOOKUP($R399,Capa!$A:$AJ,BA$5,0))))</f>
        <v/>
      </c>
      <c r="BB399" s="174" t="str">
        <f>IF(BB$6="","",IF(BB$3="Maior",iferror(VLOOKUP($R399,Capa!$A:$AJ,BB$5,0),0),IF(ISERROR(1/VLOOKUP($R399,Capa!$A:$AJ,BB$5,0)),0,1/VLOOKUP($R399,Capa!$A:$AJ,BB$5,0))))</f>
        <v/>
      </c>
      <c r="BC399" s="174" t="str">
        <f>IF(BC$6="","",IF(BC$3="Maior",iferror(VLOOKUP($R399,Capa!$A:$AJ,BC$5,0),0),IF(ISERROR(1/VLOOKUP($R399,Capa!$A:$AJ,BC$5,0)),0,1/VLOOKUP($R399,Capa!$A:$AJ,BC$5,0))))</f>
        <v/>
      </c>
      <c r="BD399" s="174" t="str">
        <f>IF(BD$6="","",IF(BD$3="Maior",iferror(VLOOKUP($R399,Capa!$A:$AJ,BD$5,0),0),IF(ISERROR(1/VLOOKUP($R399,Capa!$A:$AJ,BD$5,0)),0,1/VLOOKUP($R399,Capa!$A:$AJ,BD$5,0))))</f>
        <v/>
      </c>
      <c r="BE399" s="174" t="str">
        <f>IF(BE$6="","",IF(BE$3="Maior",iferror(VLOOKUP($R399,Capa!$A:$AJ,BE$5,0),0),IF(ISERROR(1/VLOOKUP($R399,Capa!$A:$AJ,BE$5,0)),0,1/VLOOKUP($R399,Capa!$A:$AJ,BE$5,0))))</f>
        <v/>
      </c>
      <c r="BF399" s="174" t="str">
        <f>IF(BF$6="","",IF(BF$3="Maior",iferror(VLOOKUP($R399,Capa!$A:$AJ,BF$5,0),0),IF(ISERROR(1/VLOOKUP($R399,Capa!$A:$AJ,BF$5,0)),0,1/VLOOKUP($R399,Capa!$A:$AJ,BF$5,0))))</f>
        <v/>
      </c>
      <c r="BG399" s="174" t="str">
        <f>IF(BG$6="","",IF(BG$3="Maior",iferror(VLOOKUP($R399,Capa!$A:$AJ,BG$5,0),0),IF(ISERROR(1/VLOOKUP($R399,Capa!$A:$AJ,BG$5,0)),0,1/VLOOKUP($R399,Capa!$A:$AJ,BG$5,0))))</f>
        <v/>
      </c>
      <c r="BH399" s="174" t="str">
        <f>IF(BH$6="","",IF(BH$3="Maior",iferror(VLOOKUP($R399,Capa!$A:$AJ,BH$5,0),0),IF(ISERROR(1/VLOOKUP($R399,Capa!$A:$AJ,BH$5,0)),0,1/VLOOKUP($R399,Capa!$A:$AJ,BH$5,0))))</f>
        <v/>
      </c>
      <c r="BI399" s="174" t="str">
        <f>IF(BI$6="","",IF(BI$3="Maior",iferror(VLOOKUP($R399,Capa!$A:$AJ,BI$5,0),0),IF(ISERROR(1/VLOOKUP($R399,Capa!$A:$AJ,BI$5,0)),0,1/VLOOKUP($R399,Capa!$A:$AJ,BI$5,0))))</f>
        <v/>
      </c>
      <c r="BJ399" s="174" t="str">
        <f>IF(BJ$6="","",IF(BJ$3="Maior",iferror(VLOOKUP($R399,Capa!$A:$AJ,BJ$5,0),0),IF(ISERROR(1/VLOOKUP($R399,Capa!$A:$AJ,BJ$5,0)),0,1/VLOOKUP($R399,Capa!$A:$AJ,BJ$5,0))))</f>
        <v/>
      </c>
      <c r="BK399" s="174" t="str">
        <f>IF(BK$6="","",IF(BK$3="Maior",iferror(VLOOKUP($R399,Capa!$A:$AJ,BK$5,0),0),IF(ISERROR(1/VLOOKUP($R399,Capa!$A:$AJ,BK$5,0)),0,1/VLOOKUP($R399,Capa!$A:$AJ,BK$5,0))))</f>
        <v/>
      </c>
      <c r="BL399" s="174" t="str">
        <f>IF(BL$6="","",IF(BL$3="Maior",iferror(VLOOKUP($R399,Capa!$A:$AJ,BL$5,0),0),IF(ISERROR(1/VLOOKUP($R399,Capa!$A:$AJ,BL$5,0)),0,1/VLOOKUP($R399,Capa!$A:$AJ,BL$5,0))))</f>
        <v/>
      </c>
      <c r="BM399" s="174" t="str">
        <f>IF(BM$6="","",IF(BM$3="Maior",iferror(VLOOKUP($R399,Capa!$A:$AJ,BM$5,0),0),IF(ISERROR(1/VLOOKUP($R399,Capa!$A:$AJ,BM$5,0)),0,1/VLOOKUP($R399,Capa!$A:$AJ,BM$5,0))))</f>
        <v/>
      </c>
      <c r="BN399" s="174" t="str">
        <f>IF(BN$6="","",IF(BN$3="Maior",iferror(VLOOKUP($R399,Capa!$A:$AJ,BN$5,0),0),IF(ISERROR(1/VLOOKUP($R399,Capa!$A:$AJ,BN$5,0)),0,1/VLOOKUP($R399,Capa!$A:$AJ,BN$5,0))))</f>
        <v/>
      </c>
      <c r="BO399" s="174" t="str">
        <f>IF(BO$6="","",IF(BO$3="Maior",iferror(VLOOKUP($R399,Capa!$A:$AJ,BO$5,0),0),IF(ISERROR(1/VLOOKUP($R399,Capa!$A:$AJ,BO$5,0)),0,1/VLOOKUP($R399,Capa!$A:$AJ,BO$5,0))))</f>
        <v/>
      </c>
      <c r="BP399" s="174" t="str">
        <f>IF(BP$6="","",IF(BP$3="Maior",iferror(VLOOKUP($R399,Capa!$A:$AJ,BP$5,0),0),IF(ISERROR(1/VLOOKUP($R399,Capa!$A:$AJ,BP$5,0)),0,1/VLOOKUP($R399,Capa!$A:$AJ,BP$5,0))))</f>
        <v/>
      </c>
      <c r="BQ399" s="174" t="str">
        <f>IF(BQ$6="","",IF(BQ$3="Maior",iferror(VLOOKUP($R399,Capa!$A:$AJ,BQ$5,0),0),IF(ISERROR(1/VLOOKUP($R399,Capa!$A:$AJ,BQ$5,0)),0,1/VLOOKUP($R399,Capa!$A:$AJ,BQ$5,0))))</f>
        <v/>
      </c>
      <c r="BR399" s="175"/>
      <c r="BS399" s="147"/>
    </row>
    <row r="400">
      <c r="G400" s="11"/>
      <c r="H400" s="8">
        <v>394.0</v>
      </c>
      <c r="I400" s="165" t="str">
        <f t="shared" si="6"/>
        <v>BAUH4</v>
      </c>
      <c r="J400" s="166" t="str">
        <f>(VLOOKUP($I400,Capa!$A:$B,2,0))</f>
        <v>Excelsior Alimentos SA Preference Shares</v>
      </c>
      <c r="K400" s="167" t="str">
        <f>VLOOKUP(left(I400,4),Setor!A:D,3,0)&amp;" | "&amp;VLOOKUP(left(I400,4),Setor!A:D,4,0)</f>
        <v>Consumo não Cíclico | Alimentos Processados</v>
      </c>
      <c r="L400" s="168">
        <f>(VLOOKUP($I400,Capa!$A:$F,6,0))</f>
        <v>92.99</v>
      </c>
      <c r="M400" s="168">
        <f t="shared" si="7"/>
        <v>57895.75</v>
      </c>
      <c r="N400" s="11" t="str">
        <f>IFERROR(__xludf.DUMMYFUNCTION("(VLOOKUP($I400,Capa!$A:$H,7,0))"),"")</f>
        <v/>
      </c>
      <c r="O400" s="169" t="str">
        <f>(VLOOKUP($I400,Capa!$A:$H,8,0))</f>
        <v/>
      </c>
      <c r="P400" s="11" t="str">
        <f>IFERROR(__xludf.DUMMYFUNCTION("(VLOOKUP($I400,Capa!$A:$J,10,0))"),"")</f>
        <v/>
      </c>
      <c r="Q400" s="169" t="str">
        <f>(VLOOKUP($I400,Capa!$A:$K,11,0))</f>
        <v/>
      </c>
      <c r="R400" s="45" t="str">
        <f>'Dados StatusInvest'!A395</f>
        <v>MOSI3</v>
      </c>
      <c r="S400" s="170">
        <f t="shared" si="234"/>
        <v>1880.088</v>
      </c>
      <c r="T400" s="171">
        <f>VLOOKUP(R400,'Dados StatusInvest'!A:Z,26,0)</f>
        <v>0</v>
      </c>
      <c r="U400" s="172">
        <f t="shared" ref="U400:AS400" si="403">IF(AT400="","", RANK(AT400,AT$7:AT$626,0)+RANK(AT400,AT$7:AT$626,0)/10000)</f>
        <v>613.0613</v>
      </c>
      <c r="V400" s="172">
        <f t="shared" si="403"/>
        <v>267.0267</v>
      </c>
      <c r="W400" s="172" t="str">
        <f t="shared" si="403"/>
        <v/>
      </c>
      <c r="X400" s="172" t="str">
        <f t="shared" si="403"/>
        <v/>
      </c>
      <c r="Y400" s="172" t="str">
        <f t="shared" si="403"/>
        <v/>
      </c>
      <c r="Z400" s="172" t="str">
        <f t="shared" si="403"/>
        <v/>
      </c>
      <c r="AA400" s="172" t="str">
        <f t="shared" si="403"/>
        <v/>
      </c>
      <c r="AB400" s="172" t="str">
        <f t="shared" si="403"/>
        <v/>
      </c>
      <c r="AC400" s="172" t="str">
        <f t="shared" si="403"/>
        <v/>
      </c>
      <c r="AD400" s="172" t="str">
        <f t="shared" si="403"/>
        <v/>
      </c>
      <c r="AE400" s="172" t="str">
        <f t="shared" si="403"/>
        <v/>
      </c>
      <c r="AF400" s="172" t="str">
        <f t="shared" si="403"/>
        <v/>
      </c>
      <c r="AG400" s="172" t="str">
        <f t="shared" si="403"/>
        <v/>
      </c>
      <c r="AH400" s="172" t="str">
        <f t="shared" si="403"/>
        <v/>
      </c>
      <c r="AI400" s="172" t="str">
        <f t="shared" si="403"/>
        <v/>
      </c>
      <c r="AJ400" s="172" t="str">
        <f t="shared" si="403"/>
        <v/>
      </c>
      <c r="AK400" s="172" t="str">
        <f t="shared" si="403"/>
        <v/>
      </c>
      <c r="AL400" s="172" t="str">
        <f t="shared" si="403"/>
        <v/>
      </c>
      <c r="AM400" s="172" t="str">
        <f t="shared" si="403"/>
        <v/>
      </c>
      <c r="AN400" s="172" t="str">
        <f t="shared" si="403"/>
        <v/>
      </c>
      <c r="AO400" s="172" t="str">
        <f t="shared" si="403"/>
        <v/>
      </c>
      <c r="AP400" s="172" t="str">
        <f t="shared" si="403"/>
        <v/>
      </c>
      <c r="AQ400" s="172" t="str">
        <f t="shared" si="403"/>
        <v/>
      </c>
      <c r="AR400" s="172" t="str">
        <f t="shared" si="403"/>
        <v/>
      </c>
      <c r="AS400" s="172" t="str">
        <f t="shared" si="403"/>
        <v/>
      </c>
      <c r="AT400" s="173">
        <f>IF(AT$6="","",IF(AT$3="Maior",iferror(VLOOKUP($R400,Capa!$A:$AJ,AT$5,0),0),IF(ISERROR(1/VLOOKUP($R400,Capa!$A:$AJ,AT$5,0)),0,1/VLOOKUP($R400,Capa!$A:$AJ,AT$5,0))))</f>
        <v>-50</v>
      </c>
      <c r="AU400" s="174">
        <f>IF(AU$6="","",IF(AU$3="Maior",iferror(VLOOKUP($R400,Capa!$A:$AJ,AU$5,0),0),IF(ISERROR(1/VLOOKUP($R400,Capa!$A:$AJ,AU$5,0)),0,1/VLOOKUP($R400,Capa!$A:$AJ,AU$5,0))))</f>
        <v>0</v>
      </c>
      <c r="AV400" s="174" t="str">
        <f>IF(AV$6="","",IF(AV$3="Maior",iferror(VLOOKUP($R400,Capa!$A:$AJ,AV$5,0),0),IF(ISERROR(1/VLOOKUP($R400,Capa!$A:$AJ,AV$5,0)),0,1/VLOOKUP($R400,Capa!$A:$AJ,AV$5,0))))</f>
        <v/>
      </c>
      <c r="AW400" s="174" t="str">
        <f>IF(AW$6="","",IF(AW$3="Maior",iferror(VLOOKUP($R400,Capa!$A:$AJ,AW$5,0),0),IF(ISERROR(1/VLOOKUP($R400,Capa!$A:$AJ,AW$5,0)),0,1/VLOOKUP($R400,Capa!$A:$AJ,AW$5,0))))</f>
        <v/>
      </c>
      <c r="AX400" s="174" t="str">
        <f>IF(AX$6="","",IF(AX$3="Maior",iferror(VLOOKUP($R400,Capa!$A:$AJ,AX$5,0),0),IF(ISERROR(1/VLOOKUP($R400,Capa!$A:$AJ,AX$5,0)),0,1/VLOOKUP($R400,Capa!$A:$AJ,AX$5,0))))</f>
        <v/>
      </c>
      <c r="AY400" s="174" t="str">
        <f>IF(AY$6="","",IF(AY$3="Maior",iferror(VLOOKUP($R400,Capa!$A:$AJ,AY$5,0),0),IF(ISERROR(1/VLOOKUP($R400,Capa!$A:$AJ,AY$5,0)),0,1/VLOOKUP($R400,Capa!$A:$AJ,AY$5,0))))</f>
        <v/>
      </c>
      <c r="AZ400" s="174" t="str">
        <f>IF(AZ$6="","",IF(AZ$3="Maior",iferror(VLOOKUP($R400,Capa!$A:$AJ,AZ$5,0),0),IF(ISERROR(1/VLOOKUP($R400,Capa!$A:$AJ,AZ$5,0)),0,1/VLOOKUP($R400,Capa!$A:$AJ,AZ$5,0))))</f>
        <v/>
      </c>
      <c r="BA400" s="174" t="str">
        <f>IF(BA$6="","",IF(BA$3="Maior",iferror(VLOOKUP($R400,Capa!$A:$AJ,BA$5,0),0),IF(ISERROR(1/VLOOKUP($R400,Capa!$A:$AJ,BA$5,0)),0,1/VLOOKUP($R400,Capa!$A:$AJ,BA$5,0))))</f>
        <v/>
      </c>
      <c r="BB400" s="174" t="str">
        <f>IF(BB$6="","",IF(BB$3="Maior",iferror(VLOOKUP($R400,Capa!$A:$AJ,BB$5,0),0),IF(ISERROR(1/VLOOKUP($R400,Capa!$A:$AJ,BB$5,0)),0,1/VLOOKUP($R400,Capa!$A:$AJ,BB$5,0))))</f>
        <v/>
      </c>
      <c r="BC400" s="174" t="str">
        <f>IF(BC$6="","",IF(BC$3="Maior",iferror(VLOOKUP($R400,Capa!$A:$AJ,BC$5,0),0),IF(ISERROR(1/VLOOKUP($R400,Capa!$A:$AJ,BC$5,0)),0,1/VLOOKUP($R400,Capa!$A:$AJ,BC$5,0))))</f>
        <v/>
      </c>
      <c r="BD400" s="174" t="str">
        <f>IF(BD$6="","",IF(BD$3="Maior",iferror(VLOOKUP($R400,Capa!$A:$AJ,BD$5,0),0),IF(ISERROR(1/VLOOKUP($R400,Capa!$A:$AJ,BD$5,0)),0,1/VLOOKUP($R400,Capa!$A:$AJ,BD$5,0))))</f>
        <v/>
      </c>
      <c r="BE400" s="174" t="str">
        <f>IF(BE$6="","",IF(BE$3="Maior",iferror(VLOOKUP($R400,Capa!$A:$AJ,BE$5,0),0),IF(ISERROR(1/VLOOKUP($R400,Capa!$A:$AJ,BE$5,0)),0,1/VLOOKUP($R400,Capa!$A:$AJ,BE$5,0))))</f>
        <v/>
      </c>
      <c r="BF400" s="174" t="str">
        <f>IF(BF$6="","",IF(BF$3="Maior",iferror(VLOOKUP($R400,Capa!$A:$AJ,BF$5,0),0),IF(ISERROR(1/VLOOKUP($R400,Capa!$A:$AJ,BF$5,0)),0,1/VLOOKUP($R400,Capa!$A:$AJ,BF$5,0))))</f>
        <v/>
      </c>
      <c r="BG400" s="174" t="str">
        <f>IF(BG$6="","",IF(BG$3="Maior",iferror(VLOOKUP($R400,Capa!$A:$AJ,BG$5,0),0),IF(ISERROR(1/VLOOKUP($R400,Capa!$A:$AJ,BG$5,0)),0,1/VLOOKUP($R400,Capa!$A:$AJ,BG$5,0))))</f>
        <v/>
      </c>
      <c r="BH400" s="174" t="str">
        <f>IF(BH$6="","",IF(BH$3="Maior",iferror(VLOOKUP($R400,Capa!$A:$AJ,BH$5,0),0),IF(ISERROR(1/VLOOKUP($R400,Capa!$A:$AJ,BH$5,0)),0,1/VLOOKUP($R400,Capa!$A:$AJ,BH$5,0))))</f>
        <v/>
      </c>
      <c r="BI400" s="174" t="str">
        <f>IF(BI$6="","",IF(BI$3="Maior",iferror(VLOOKUP($R400,Capa!$A:$AJ,BI$5,0),0),IF(ISERROR(1/VLOOKUP($R400,Capa!$A:$AJ,BI$5,0)),0,1/VLOOKUP($R400,Capa!$A:$AJ,BI$5,0))))</f>
        <v/>
      </c>
      <c r="BJ400" s="174" t="str">
        <f>IF(BJ$6="","",IF(BJ$3="Maior",iferror(VLOOKUP($R400,Capa!$A:$AJ,BJ$5,0),0),IF(ISERROR(1/VLOOKUP($R400,Capa!$A:$AJ,BJ$5,0)),0,1/VLOOKUP($R400,Capa!$A:$AJ,BJ$5,0))))</f>
        <v/>
      </c>
      <c r="BK400" s="174" t="str">
        <f>IF(BK$6="","",IF(BK$3="Maior",iferror(VLOOKUP($R400,Capa!$A:$AJ,BK$5,0),0),IF(ISERROR(1/VLOOKUP($R400,Capa!$A:$AJ,BK$5,0)),0,1/VLOOKUP($R400,Capa!$A:$AJ,BK$5,0))))</f>
        <v/>
      </c>
      <c r="BL400" s="174" t="str">
        <f>IF(BL$6="","",IF(BL$3="Maior",iferror(VLOOKUP($R400,Capa!$A:$AJ,BL$5,0),0),IF(ISERROR(1/VLOOKUP($R400,Capa!$A:$AJ,BL$5,0)),0,1/VLOOKUP($R400,Capa!$A:$AJ,BL$5,0))))</f>
        <v/>
      </c>
      <c r="BM400" s="174" t="str">
        <f>IF(BM$6="","",IF(BM$3="Maior",iferror(VLOOKUP($R400,Capa!$A:$AJ,BM$5,0),0),IF(ISERROR(1/VLOOKUP($R400,Capa!$A:$AJ,BM$5,0)),0,1/VLOOKUP($R400,Capa!$A:$AJ,BM$5,0))))</f>
        <v/>
      </c>
      <c r="BN400" s="174" t="str">
        <f>IF(BN$6="","",IF(BN$3="Maior",iferror(VLOOKUP($R400,Capa!$A:$AJ,BN$5,0),0),IF(ISERROR(1/VLOOKUP($R400,Capa!$A:$AJ,BN$5,0)),0,1/VLOOKUP($R400,Capa!$A:$AJ,BN$5,0))))</f>
        <v/>
      </c>
      <c r="BO400" s="174" t="str">
        <f>IF(BO$6="","",IF(BO$3="Maior",iferror(VLOOKUP($R400,Capa!$A:$AJ,BO$5,0),0),IF(ISERROR(1/VLOOKUP($R400,Capa!$A:$AJ,BO$5,0)),0,1/VLOOKUP($R400,Capa!$A:$AJ,BO$5,0))))</f>
        <v/>
      </c>
      <c r="BP400" s="174" t="str">
        <f>IF(BP$6="","",IF(BP$3="Maior",iferror(VLOOKUP($R400,Capa!$A:$AJ,BP$5,0),0),IF(ISERROR(1/VLOOKUP($R400,Capa!$A:$AJ,BP$5,0)),0,1/VLOOKUP($R400,Capa!$A:$AJ,BP$5,0))))</f>
        <v/>
      </c>
      <c r="BQ400" s="174" t="str">
        <f>IF(BQ$6="","",IF(BQ$3="Maior",iferror(VLOOKUP($R400,Capa!$A:$AJ,BQ$5,0),0),IF(ISERROR(1/VLOOKUP($R400,Capa!$A:$AJ,BQ$5,0)),0,1/VLOOKUP($R400,Capa!$A:$AJ,BQ$5,0))))</f>
        <v/>
      </c>
      <c r="BR400" s="175"/>
      <c r="BS400" s="147"/>
    </row>
    <row r="401">
      <c r="G401" s="11"/>
      <c r="H401" s="8">
        <v>395.0</v>
      </c>
      <c r="I401" s="165" t="str">
        <f t="shared" si="6"/>
        <v>GETT3</v>
      </c>
      <c r="J401" s="166" t="str">
        <f>(VLOOKUP($I401,Capa!$A:$B,2,0))</f>
        <v/>
      </c>
      <c r="K401" s="167" t="str">
        <f>VLOOKUP(left(I401,4),Setor!A:D,3,0)&amp;" | "&amp;VLOOKUP(left(I401,4),Setor!A:D,4,0)</f>
        <v>#N/A</v>
      </c>
      <c r="L401" s="168" t="str">
        <f>(VLOOKUP($I401,Capa!$A:$F,6,0))</f>
        <v/>
      </c>
      <c r="M401" s="168">
        <f t="shared" si="7"/>
        <v>0</v>
      </c>
      <c r="N401" s="11" t="str">
        <f>(VLOOKUP($I401,Capa!$A:$H,7,0))</f>
        <v/>
      </c>
      <c r="O401" s="169" t="str">
        <f>(VLOOKUP($I401,Capa!$A:$H,8,0))</f>
        <v/>
      </c>
      <c r="P401" s="11" t="str">
        <f>(VLOOKUP($I401,Capa!$A:$J,10,0))</f>
        <v/>
      </c>
      <c r="Q401" s="169" t="str">
        <f>(VLOOKUP($I401,Capa!$A:$K,11,0))</f>
        <v/>
      </c>
      <c r="R401" s="45" t="str">
        <f>'Dados StatusInvest'!A396</f>
        <v>MOTV3</v>
      </c>
      <c r="S401" s="170">
        <f t="shared" si="234"/>
        <v>600.06</v>
      </c>
      <c r="T401" s="171">
        <f>VLOOKUP(R401,'Dados StatusInvest'!A:Z,26,0)</f>
        <v>158000000</v>
      </c>
      <c r="U401" s="172">
        <f t="shared" ref="U401:AS401" si="404">IF(AT401="","", RANK(AT401,AT$7:AT$626,0)+RANK(AT401,AT$7:AT$626,0)/10000)</f>
        <v>428.0428</v>
      </c>
      <c r="V401" s="172">
        <f t="shared" si="404"/>
        <v>172.0172</v>
      </c>
      <c r="W401" s="172" t="str">
        <f t="shared" si="404"/>
        <v/>
      </c>
      <c r="X401" s="172" t="str">
        <f t="shared" si="404"/>
        <v/>
      </c>
      <c r="Y401" s="172" t="str">
        <f t="shared" si="404"/>
        <v/>
      </c>
      <c r="Z401" s="172" t="str">
        <f t="shared" si="404"/>
        <v/>
      </c>
      <c r="AA401" s="172" t="str">
        <f t="shared" si="404"/>
        <v/>
      </c>
      <c r="AB401" s="172" t="str">
        <f t="shared" si="404"/>
        <v/>
      </c>
      <c r="AC401" s="172" t="str">
        <f t="shared" si="404"/>
        <v/>
      </c>
      <c r="AD401" s="172" t="str">
        <f t="shared" si="404"/>
        <v/>
      </c>
      <c r="AE401" s="172" t="str">
        <f t="shared" si="404"/>
        <v/>
      </c>
      <c r="AF401" s="172" t="str">
        <f t="shared" si="404"/>
        <v/>
      </c>
      <c r="AG401" s="172" t="str">
        <f t="shared" si="404"/>
        <v/>
      </c>
      <c r="AH401" s="172" t="str">
        <f t="shared" si="404"/>
        <v/>
      </c>
      <c r="AI401" s="172" t="str">
        <f t="shared" si="404"/>
        <v/>
      </c>
      <c r="AJ401" s="172" t="str">
        <f t="shared" si="404"/>
        <v/>
      </c>
      <c r="AK401" s="172" t="str">
        <f t="shared" si="404"/>
        <v/>
      </c>
      <c r="AL401" s="172" t="str">
        <f t="shared" si="404"/>
        <v/>
      </c>
      <c r="AM401" s="172" t="str">
        <f t="shared" si="404"/>
        <v/>
      </c>
      <c r="AN401" s="172" t="str">
        <f t="shared" si="404"/>
        <v/>
      </c>
      <c r="AO401" s="172" t="str">
        <f t="shared" si="404"/>
        <v/>
      </c>
      <c r="AP401" s="172" t="str">
        <f t="shared" si="404"/>
        <v/>
      </c>
      <c r="AQ401" s="172" t="str">
        <f t="shared" si="404"/>
        <v/>
      </c>
      <c r="AR401" s="172" t="str">
        <f t="shared" si="404"/>
        <v/>
      </c>
      <c r="AS401" s="172" t="str">
        <f t="shared" si="404"/>
        <v/>
      </c>
      <c r="AT401" s="173">
        <f>IF(AT$6="","",IF(AT$3="Maior",iferror(VLOOKUP($R401,Capa!$A:$AJ,AT$5,0),0),IF(ISERROR(1/VLOOKUP($R401,Capa!$A:$AJ,AT$5,0)),0,1/VLOOKUP($R401,Capa!$A:$AJ,AT$5,0))))</f>
        <v>-1.604707141</v>
      </c>
      <c r="AU401" s="174">
        <f>IF(AU$6="","",IF(AU$3="Maior",iferror(VLOOKUP($R401,Capa!$A:$AJ,AU$5,0),0),IF(ISERROR(1/VLOOKUP($R401,Capa!$A:$AJ,AU$5,0)),0,1/VLOOKUP($R401,Capa!$A:$AJ,AU$5,0))))</f>
        <v>14.99</v>
      </c>
      <c r="AV401" s="174" t="str">
        <f>IF(AV$6="","",IF(AV$3="Maior",iferror(VLOOKUP($R401,Capa!$A:$AJ,AV$5,0),0),IF(ISERROR(1/VLOOKUP($R401,Capa!$A:$AJ,AV$5,0)),0,1/VLOOKUP($R401,Capa!$A:$AJ,AV$5,0))))</f>
        <v/>
      </c>
      <c r="AW401" s="174" t="str">
        <f>IF(AW$6="","",IF(AW$3="Maior",iferror(VLOOKUP($R401,Capa!$A:$AJ,AW$5,0),0),IF(ISERROR(1/VLOOKUP($R401,Capa!$A:$AJ,AW$5,0)),0,1/VLOOKUP($R401,Capa!$A:$AJ,AW$5,0))))</f>
        <v/>
      </c>
      <c r="AX401" s="174" t="str">
        <f>IF(AX$6="","",IF(AX$3="Maior",iferror(VLOOKUP($R401,Capa!$A:$AJ,AX$5,0),0),IF(ISERROR(1/VLOOKUP($R401,Capa!$A:$AJ,AX$5,0)),0,1/VLOOKUP($R401,Capa!$A:$AJ,AX$5,0))))</f>
        <v/>
      </c>
      <c r="AY401" s="174" t="str">
        <f>IF(AY$6="","",IF(AY$3="Maior",iferror(VLOOKUP($R401,Capa!$A:$AJ,AY$5,0),0),IF(ISERROR(1/VLOOKUP($R401,Capa!$A:$AJ,AY$5,0)),0,1/VLOOKUP($R401,Capa!$A:$AJ,AY$5,0))))</f>
        <v/>
      </c>
      <c r="AZ401" s="174" t="str">
        <f>IF(AZ$6="","",IF(AZ$3="Maior",iferror(VLOOKUP($R401,Capa!$A:$AJ,AZ$5,0),0),IF(ISERROR(1/VLOOKUP($R401,Capa!$A:$AJ,AZ$5,0)),0,1/VLOOKUP($R401,Capa!$A:$AJ,AZ$5,0))))</f>
        <v/>
      </c>
      <c r="BA401" s="174" t="str">
        <f>IF(BA$6="","",IF(BA$3="Maior",iferror(VLOOKUP($R401,Capa!$A:$AJ,BA$5,0),0),IF(ISERROR(1/VLOOKUP($R401,Capa!$A:$AJ,BA$5,0)),0,1/VLOOKUP($R401,Capa!$A:$AJ,BA$5,0))))</f>
        <v/>
      </c>
      <c r="BB401" s="174" t="str">
        <f>IF(BB$6="","",IF(BB$3="Maior",iferror(VLOOKUP($R401,Capa!$A:$AJ,BB$5,0),0),IF(ISERROR(1/VLOOKUP($R401,Capa!$A:$AJ,BB$5,0)),0,1/VLOOKUP($R401,Capa!$A:$AJ,BB$5,0))))</f>
        <v/>
      </c>
      <c r="BC401" s="174" t="str">
        <f>IF(BC$6="","",IF(BC$3="Maior",iferror(VLOOKUP($R401,Capa!$A:$AJ,BC$5,0),0),IF(ISERROR(1/VLOOKUP($R401,Capa!$A:$AJ,BC$5,0)),0,1/VLOOKUP($R401,Capa!$A:$AJ,BC$5,0))))</f>
        <v/>
      </c>
      <c r="BD401" s="174" t="str">
        <f>IF(BD$6="","",IF(BD$3="Maior",iferror(VLOOKUP($R401,Capa!$A:$AJ,BD$5,0),0),IF(ISERROR(1/VLOOKUP($R401,Capa!$A:$AJ,BD$5,0)),0,1/VLOOKUP($R401,Capa!$A:$AJ,BD$5,0))))</f>
        <v/>
      </c>
      <c r="BE401" s="174" t="str">
        <f>IF(BE$6="","",IF(BE$3="Maior",iferror(VLOOKUP($R401,Capa!$A:$AJ,BE$5,0),0),IF(ISERROR(1/VLOOKUP($R401,Capa!$A:$AJ,BE$5,0)),0,1/VLOOKUP($R401,Capa!$A:$AJ,BE$5,0))))</f>
        <v/>
      </c>
      <c r="BF401" s="174" t="str">
        <f>IF(BF$6="","",IF(BF$3="Maior",iferror(VLOOKUP($R401,Capa!$A:$AJ,BF$5,0),0),IF(ISERROR(1/VLOOKUP($R401,Capa!$A:$AJ,BF$5,0)),0,1/VLOOKUP($R401,Capa!$A:$AJ,BF$5,0))))</f>
        <v/>
      </c>
      <c r="BG401" s="174" t="str">
        <f>IF(BG$6="","",IF(BG$3="Maior",iferror(VLOOKUP($R401,Capa!$A:$AJ,BG$5,0),0),IF(ISERROR(1/VLOOKUP($R401,Capa!$A:$AJ,BG$5,0)),0,1/VLOOKUP($R401,Capa!$A:$AJ,BG$5,0))))</f>
        <v/>
      </c>
      <c r="BH401" s="174" t="str">
        <f>IF(BH$6="","",IF(BH$3="Maior",iferror(VLOOKUP($R401,Capa!$A:$AJ,BH$5,0),0),IF(ISERROR(1/VLOOKUP($R401,Capa!$A:$AJ,BH$5,0)),0,1/VLOOKUP($R401,Capa!$A:$AJ,BH$5,0))))</f>
        <v/>
      </c>
      <c r="BI401" s="174" t="str">
        <f>IF(BI$6="","",IF(BI$3="Maior",iferror(VLOOKUP($R401,Capa!$A:$AJ,BI$5,0),0),IF(ISERROR(1/VLOOKUP($R401,Capa!$A:$AJ,BI$5,0)),0,1/VLOOKUP($R401,Capa!$A:$AJ,BI$5,0))))</f>
        <v/>
      </c>
      <c r="BJ401" s="174" t="str">
        <f>IF(BJ$6="","",IF(BJ$3="Maior",iferror(VLOOKUP($R401,Capa!$A:$AJ,BJ$5,0),0),IF(ISERROR(1/VLOOKUP($R401,Capa!$A:$AJ,BJ$5,0)),0,1/VLOOKUP($R401,Capa!$A:$AJ,BJ$5,0))))</f>
        <v/>
      </c>
      <c r="BK401" s="174" t="str">
        <f>IF(BK$6="","",IF(BK$3="Maior",iferror(VLOOKUP($R401,Capa!$A:$AJ,BK$5,0),0),IF(ISERROR(1/VLOOKUP($R401,Capa!$A:$AJ,BK$5,0)),0,1/VLOOKUP($R401,Capa!$A:$AJ,BK$5,0))))</f>
        <v/>
      </c>
      <c r="BL401" s="174" t="str">
        <f>IF(BL$6="","",IF(BL$3="Maior",iferror(VLOOKUP($R401,Capa!$A:$AJ,BL$5,0),0),IF(ISERROR(1/VLOOKUP($R401,Capa!$A:$AJ,BL$5,0)),0,1/VLOOKUP($R401,Capa!$A:$AJ,BL$5,0))))</f>
        <v/>
      </c>
      <c r="BM401" s="174" t="str">
        <f>IF(BM$6="","",IF(BM$3="Maior",iferror(VLOOKUP($R401,Capa!$A:$AJ,BM$5,0),0),IF(ISERROR(1/VLOOKUP($R401,Capa!$A:$AJ,BM$5,0)),0,1/VLOOKUP($R401,Capa!$A:$AJ,BM$5,0))))</f>
        <v/>
      </c>
      <c r="BN401" s="174" t="str">
        <f>IF(BN$6="","",IF(BN$3="Maior",iferror(VLOOKUP($R401,Capa!$A:$AJ,BN$5,0),0),IF(ISERROR(1/VLOOKUP($R401,Capa!$A:$AJ,BN$5,0)),0,1/VLOOKUP($R401,Capa!$A:$AJ,BN$5,0))))</f>
        <v/>
      </c>
      <c r="BO401" s="174" t="str">
        <f>IF(BO$6="","",IF(BO$3="Maior",iferror(VLOOKUP($R401,Capa!$A:$AJ,BO$5,0),0),IF(ISERROR(1/VLOOKUP($R401,Capa!$A:$AJ,BO$5,0)),0,1/VLOOKUP($R401,Capa!$A:$AJ,BO$5,0))))</f>
        <v/>
      </c>
      <c r="BP401" s="174" t="str">
        <f>IF(BP$6="","",IF(BP$3="Maior",iferror(VLOOKUP($R401,Capa!$A:$AJ,BP$5,0),0),IF(ISERROR(1/VLOOKUP($R401,Capa!$A:$AJ,BP$5,0)),0,1/VLOOKUP($R401,Capa!$A:$AJ,BP$5,0))))</f>
        <v/>
      </c>
      <c r="BQ401" s="174" t="str">
        <f>IF(BQ$6="","",IF(BQ$3="Maior",iferror(VLOOKUP($R401,Capa!$A:$AJ,BQ$5,0),0),IF(ISERROR(1/VLOOKUP($R401,Capa!$A:$AJ,BQ$5,0)),0,1/VLOOKUP($R401,Capa!$A:$AJ,BQ$5,0))))</f>
        <v/>
      </c>
      <c r="BR401" s="175"/>
      <c r="BS401" s="147"/>
    </row>
    <row r="402">
      <c r="G402" s="11"/>
      <c r="H402" s="8">
        <v>396.0</v>
      </c>
      <c r="I402" s="165" t="str">
        <f t="shared" si="6"/>
        <v>GETT3</v>
      </c>
      <c r="J402" s="166" t="str">
        <f>(VLOOKUP($I402,Capa!$A:$B,2,0))</f>
        <v/>
      </c>
      <c r="K402" s="167" t="str">
        <f>VLOOKUP(left(I402,4),Setor!A:D,3,0)&amp;" | "&amp;VLOOKUP(left(I402,4),Setor!A:D,4,0)</f>
        <v>#N/A</v>
      </c>
      <c r="L402" s="168" t="str">
        <f>(VLOOKUP($I402,Capa!$A:$F,6,0))</f>
        <v/>
      </c>
      <c r="M402" s="168">
        <f t="shared" si="7"/>
        <v>0</v>
      </c>
      <c r="N402" s="11" t="str">
        <f>(VLOOKUP($I402,Capa!$A:$H,7,0))</f>
        <v/>
      </c>
      <c r="O402" s="169" t="str">
        <f>(VLOOKUP($I402,Capa!$A:$H,8,0))</f>
        <v/>
      </c>
      <c r="P402" s="11" t="str">
        <f>(VLOOKUP($I402,Capa!$A:$J,10,0))</f>
        <v/>
      </c>
      <c r="Q402" s="169" t="str">
        <f>(VLOOKUP($I402,Capa!$A:$K,11,0))</f>
        <v/>
      </c>
      <c r="R402" s="45" t="str">
        <f>'Dados StatusInvest'!A397</f>
        <v>MOVI3</v>
      </c>
      <c r="S402" s="170">
        <f t="shared" si="234"/>
        <v>775.0775</v>
      </c>
      <c r="T402" s="171">
        <f>VLOOKUP(R402,'Dados StatusInvest'!A:Z,26,0)</f>
        <v>56136252</v>
      </c>
      <c r="U402" s="172">
        <f t="shared" ref="U402:AS402" si="405">IF(AT402="","", RANK(AT402,AT$7:AT$626,0)+RANK(AT402,AT$7:AT$626,0)/10000)</f>
        <v>531.0531</v>
      </c>
      <c r="V402" s="172">
        <f t="shared" si="405"/>
        <v>244.0244</v>
      </c>
      <c r="W402" s="172" t="str">
        <f t="shared" si="405"/>
        <v/>
      </c>
      <c r="X402" s="172" t="str">
        <f t="shared" si="405"/>
        <v/>
      </c>
      <c r="Y402" s="172" t="str">
        <f t="shared" si="405"/>
        <v/>
      </c>
      <c r="Z402" s="172" t="str">
        <f t="shared" si="405"/>
        <v/>
      </c>
      <c r="AA402" s="172" t="str">
        <f t="shared" si="405"/>
        <v/>
      </c>
      <c r="AB402" s="172" t="str">
        <f t="shared" si="405"/>
        <v/>
      </c>
      <c r="AC402" s="172" t="str">
        <f t="shared" si="405"/>
        <v/>
      </c>
      <c r="AD402" s="172" t="str">
        <f t="shared" si="405"/>
        <v/>
      </c>
      <c r="AE402" s="172" t="str">
        <f t="shared" si="405"/>
        <v/>
      </c>
      <c r="AF402" s="172" t="str">
        <f t="shared" si="405"/>
        <v/>
      </c>
      <c r="AG402" s="172" t="str">
        <f t="shared" si="405"/>
        <v/>
      </c>
      <c r="AH402" s="172" t="str">
        <f t="shared" si="405"/>
        <v/>
      </c>
      <c r="AI402" s="172" t="str">
        <f t="shared" si="405"/>
        <v/>
      </c>
      <c r="AJ402" s="172" t="str">
        <f t="shared" si="405"/>
        <v/>
      </c>
      <c r="AK402" s="172" t="str">
        <f t="shared" si="405"/>
        <v/>
      </c>
      <c r="AL402" s="172" t="str">
        <f t="shared" si="405"/>
        <v/>
      </c>
      <c r="AM402" s="172" t="str">
        <f t="shared" si="405"/>
        <v/>
      </c>
      <c r="AN402" s="172" t="str">
        <f t="shared" si="405"/>
        <v/>
      </c>
      <c r="AO402" s="172" t="str">
        <f t="shared" si="405"/>
        <v/>
      </c>
      <c r="AP402" s="172" t="str">
        <f t="shared" si="405"/>
        <v/>
      </c>
      <c r="AQ402" s="172" t="str">
        <f t="shared" si="405"/>
        <v/>
      </c>
      <c r="AR402" s="172" t="str">
        <f t="shared" si="405"/>
        <v/>
      </c>
      <c r="AS402" s="172" t="str">
        <f t="shared" si="405"/>
        <v/>
      </c>
      <c r="AT402" s="173">
        <f>IF(AT$6="","",IF(AT$3="Maior",iferror(VLOOKUP($R402,Capa!$A:$AJ,AT$5,0),0),IF(ISERROR(1/VLOOKUP($R402,Capa!$A:$AJ,AT$5,0)),0,1/VLOOKUP($R402,Capa!$A:$AJ,AT$5,0))))</f>
        <v>-4.330083881</v>
      </c>
      <c r="AU402" s="174">
        <f>IF(AU$6="","",IF(AU$3="Maior",iferror(VLOOKUP($R402,Capa!$A:$AJ,AU$5,0),0),IF(ISERROR(1/VLOOKUP($R402,Capa!$A:$AJ,AU$5,0)),0,1/VLOOKUP($R402,Capa!$A:$AJ,AU$5,0))))</f>
        <v>4.08</v>
      </c>
      <c r="AV402" s="174" t="str">
        <f>IF(AV$6="","",IF(AV$3="Maior",iferror(VLOOKUP($R402,Capa!$A:$AJ,AV$5,0),0),IF(ISERROR(1/VLOOKUP($R402,Capa!$A:$AJ,AV$5,0)),0,1/VLOOKUP($R402,Capa!$A:$AJ,AV$5,0))))</f>
        <v/>
      </c>
      <c r="AW402" s="174" t="str">
        <f>IF(AW$6="","",IF(AW$3="Maior",iferror(VLOOKUP($R402,Capa!$A:$AJ,AW$5,0),0),IF(ISERROR(1/VLOOKUP($R402,Capa!$A:$AJ,AW$5,0)),0,1/VLOOKUP($R402,Capa!$A:$AJ,AW$5,0))))</f>
        <v/>
      </c>
      <c r="AX402" s="174" t="str">
        <f>IF(AX$6="","",IF(AX$3="Maior",iferror(VLOOKUP($R402,Capa!$A:$AJ,AX$5,0),0),IF(ISERROR(1/VLOOKUP($R402,Capa!$A:$AJ,AX$5,0)),0,1/VLOOKUP($R402,Capa!$A:$AJ,AX$5,0))))</f>
        <v/>
      </c>
      <c r="AY402" s="174" t="str">
        <f>IF(AY$6="","",IF(AY$3="Maior",iferror(VLOOKUP($R402,Capa!$A:$AJ,AY$5,0),0),IF(ISERROR(1/VLOOKUP($R402,Capa!$A:$AJ,AY$5,0)),0,1/VLOOKUP($R402,Capa!$A:$AJ,AY$5,0))))</f>
        <v/>
      </c>
      <c r="AZ402" s="174" t="str">
        <f>IF(AZ$6="","",IF(AZ$3="Maior",iferror(VLOOKUP($R402,Capa!$A:$AJ,AZ$5,0),0),IF(ISERROR(1/VLOOKUP($R402,Capa!$A:$AJ,AZ$5,0)),0,1/VLOOKUP($R402,Capa!$A:$AJ,AZ$5,0))))</f>
        <v/>
      </c>
      <c r="BA402" s="174" t="str">
        <f>IF(BA$6="","",IF(BA$3="Maior",iferror(VLOOKUP($R402,Capa!$A:$AJ,BA$5,0),0),IF(ISERROR(1/VLOOKUP($R402,Capa!$A:$AJ,BA$5,0)),0,1/VLOOKUP($R402,Capa!$A:$AJ,BA$5,0))))</f>
        <v/>
      </c>
      <c r="BB402" s="174" t="str">
        <f>IF(BB$6="","",IF(BB$3="Maior",iferror(VLOOKUP($R402,Capa!$A:$AJ,BB$5,0),0),IF(ISERROR(1/VLOOKUP($R402,Capa!$A:$AJ,BB$5,0)),0,1/VLOOKUP($R402,Capa!$A:$AJ,BB$5,0))))</f>
        <v/>
      </c>
      <c r="BC402" s="174" t="str">
        <f>IF(BC$6="","",IF(BC$3="Maior",iferror(VLOOKUP($R402,Capa!$A:$AJ,BC$5,0),0),IF(ISERROR(1/VLOOKUP($R402,Capa!$A:$AJ,BC$5,0)),0,1/VLOOKUP($R402,Capa!$A:$AJ,BC$5,0))))</f>
        <v/>
      </c>
      <c r="BD402" s="174" t="str">
        <f>IF(BD$6="","",IF(BD$3="Maior",iferror(VLOOKUP($R402,Capa!$A:$AJ,BD$5,0),0),IF(ISERROR(1/VLOOKUP($R402,Capa!$A:$AJ,BD$5,0)),0,1/VLOOKUP($R402,Capa!$A:$AJ,BD$5,0))))</f>
        <v/>
      </c>
      <c r="BE402" s="174" t="str">
        <f>IF(BE$6="","",IF(BE$3="Maior",iferror(VLOOKUP($R402,Capa!$A:$AJ,BE$5,0),0),IF(ISERROR(1/VLOOKUP($R402,Capa!$A:$AJ,BE$5,0)),0,1/VLOOKUP($R402,Capa!$A:$AJ,BE$5,0))))</f>
        <v/>
      </c>
      <c r="BF402" s="174" t="str">
        <f>IF(BF$6="","",IF(BF$3="Maior",iferror(VLOOKUP($R402,Capa!$A:$AJ,BF$5,0),0),IF(ISERROR(1/VLOOKUP($R402,Capa!$A:$AJ,BF$5,0)),0,1/VLOOKUP($R402,Capa!$A:$AJ,BF$5,0))))</f>
        <v/>
      </c>
      <c r="BG402" s="174" t="str">
        <f>IF(BG$6="","",IF(BG$3="Maior",iferror(VLOOKUP($R402,Capa!$A:$AJ,BG$5,0),0),IF(ISERROR(1/VLOOKUP($R402,Capa!$A:$AJ,BG$5,0)),0,1/VLOOKUP($R402,Capa!$A:$AJ,BG$5,0))))</f>
        <v/>
      </c>
      <c r="BH402" s="174" t="str">
        <f>IF(BH$6="","",IF(BH$3="Maior",iferror(VLOOKUP($R402,Capa!$A:$AJ,BH$5,0),0),IF(ISERROR(1/VLOOKUP($R402,Capa!$A:$AJ,BH$5,0)),0,1/VLOOKUP($R402,Capa!$A:$AJ,BH$5,0))))</f>
        <v/>
      </c>
      <c r="BI402" s="174" t="str">
        <f>IF(BI$6="","",IF(BI$3="Maior",iferror(VLOOKUP($R402,Capa!$A:$AJ,BI$5,0),0),IF(ISERROR(1/VLOOKUP($R402,Capa!$A:$AJ,BI$5,0)),0,1/VLOOKUP($R402,Capa!$A:$AJ,BI$5,0))))</f>
        <v/>
      </c>
      <c r="BJ402" s="174" t="str">
        <f>IF(BJ$6="","",IF(BJ$3="Maior",iferror(VLOOKUP($R402,Capa!$A:$AJ,BJ$5,0),0),IF(ISERROR(1/VLOOKUP($R402,Capa!$A:$AJ,BJ$5,0)),0,1/VLOOKUP($R402,Capa!$A:$AJ,BJ$5,0))))</f>
        <v/>
      </c>
      <c r="BK402" s="174" t="str">
        <f>IF(BK$6="","",IF(BK$3="Maior",iferror(VLOOKUP($R402,Capa!$A:$AJ,BK$5,0),0),IF(ISERROR(1/VLOOKUP($R402,Capa!$A:$AJ,BK$5,0)),0,1/VLOOKUP($R402,Capa!$A:$AJ,BK$5,0))))</f>
        <v/>
      </c>
      <c r="BL402" s="174" t="str">
        <f>IF(BL$6="","",IF(BL$3="Maior",iferror(VLOOKUP($R402,Capa!$A:$AJ,BL$5,0),0),IF(ISERROR(1/VLOOKUP($R402,Capa!$A:$AJ,BL$5,0)),0,1/VLOOKUP($R402,Capa!$A:$AJ,BL$5,0))))</f>
        <v/>
      </c>
      <c r="BM402" s="174" t="str">
        <f>IF(BM$6="","",IF(BM$3="Maior",iferror(VLOOKUP($R402,Capa!$A:$AJ,BM$5,0),0),IF(ISERROR(1/VLOOKUP($R402,Capa!$A:$AJ,BM$5,0)),0,1/VLOOKUP($R402,Capa!$A:$AJ,BM$5,0))))</f>
        <v/>
      </c>
      <c r="BN402" s="174" t="str">
        <f>IF(BN$6="","",IF(BN$3="Maior",iferror(VLOOKUP($R402,Capa!$A:$AJ,BN$5,0),0),IF(ISERROR(1/VLOOKUP($R402,Capa!$A:$AJ,BN$5,0)),0,1/VLOOKUP($R402,Capa!$A:$AJ,BN$5,0))))</f>
        <v/>
      </c>
      <c r="BO402" s="174" t="str">
        <f>IF(BO$6="","",IF(BO$3="Maior",iferror(VLOOKUP($R402,Capa!$A:$AJ,BO$5,0),0),IF(ISERROR(1/VLOOKUP($R402,Capa!$A:$AJ,BO$5,0)),0,1/VLOOKUP($R402,Capa!$A:$AJ,BO$5,0))))</f>
        <v/>
      </c>
      <c r="BP402" s="174" t="str">
        <f>IF(BP$6="","",IF(BP$3="Maior",iferror(VLOOKUP($R402,Capa!$A:$AJ,BP$5,0),0),IF(ISERROR(1/VLOOKUP($R402,Capa!$A:$AJ,BP$5,0)),0,1/VLOOKUP($R402,Capa!$A:$AJ,BP$5,0))))</f>
        <v/>
      </c>
      <c r="BQ402" s="174" t="str">
        <f>IF(BQ$6="","",IF(BQ$3="Maior",iferror(VLOOKUP($R402,Capa!$A:$AJ,BQ$5,0),0),IF(ISERROR(1/VLOOKUP($R402,Capa!$A:$AJ,BQ$5,0)),0,1/VLOOKUP($R402,Capa!$A:$AJ,BQ$5,0))))</f>
        <v/>
      </c>
      <c r="BR402" s="175"/>
      <c r="BS402" s="147"/>
    </row>
    <row r="403">
      <c r="G403" s="11"/>
      <c r="H403" s="8">
        <v>397.0</v>
      </c>
      <c r="I403" s="165" t="str">
        <f t="shared" si="6"/>
        <v>EMAE4</v>
      </c>
      <c r="J403" s="166" t="str">
        <f>(VLOOKUP($I403,Capa!$A:$B,2,0))</f>
        <v>EMAE Empresa Metropltn de Agus e Enrg SA Preference Shares</v>
      </c>
      <c r="K403" s="167" t="str">
        <f>VLOOKUP(left(I403,4),Setor!A:D,3,0)&amp;" | "&amp;VLOOKUP(left(I403,4),Setor!A:D,4,0)</f>
        <v>Utilidade Pública | Energia Elétrica</v>
      </c>
      <c r="L403" s="168">
        <f>(VLOOKUP($I403,Capa!$A:$F,6,0))</f>
        <v>47.24</v>
      </c>
      <c r="M403" s="168">
        <f t="shared" si="7"/>
        <v>202643.9</v>
      </c>
      <c r="N403" s="11" t="str">
        <f>IFERROR(__xludf.DUMMYFUNCTION("(VLOOKUP($I403,Capa!$A:$H,7,0))"),"")</f>
        <v/>
      </c>
      <c r="O403" s="169">
        <f>(VLOOKUP($I403,Capa!$A:$H,8,0))</f>
        <v>-0.005473684211</v>
      </c>
      <c r="P403" s="11" t="str">
        <f>IFERROR(__xludf.DUMMYFUNCTION("(VLOOKUP($I403,Capa!$A:$J,10,0))"),"")</f>
        <v/>
      </c>
      <c r="Q403" s="169">
        <f>(VLOOKUP($I403,Capa!$A:$K,11,0))</f>
        <v>-0.9764271457</v>
      </c>
      <c r="R403" s="45" t="str">
        <f>'Dados StatusInvest'!A398</f>
        <v>MRSA3B</v>
      </c>
      <c r="S403" s="170">
        <f t="shared" si="234"/>
        <v>1473.0473</v>
      </c>
      <c r="T403" s="171">
        <f>VLOOKUP(R403,'Dados StatusInvest'!A:Z,26,0)</f>
        <v>9163.33</v>
      </c>
      <c r="U403" s="172">
        <f t="shared" ref="U403:AS403" si="406">IF(AT403="","", RANK(AT403,AT$7:AT$626,0)+RANK(AT403,AT$7:AT$626,0)/10000)</f>
        <v>357.0357</v>
      </c>
      <c r="V403" s="172">
        <f t="shared" si="406"/>
        <v>116.0116</v>
      </c>
      <c r="W403" s="172" t="str">
        <f t="shared" si="406"/>
        <v/>
      </c>
      <c r="X403" s="172" t="str">
        <f t="shared" si="406"/>
        <v/>
      </c>
      <c r="Y403" s="172" t="str">
        <f t="shared" si="406"/>
        <v/>
      </c>
      <c r="Z403" s="172" t="str">
        <f t="shared" si="406"/>
        <v/>
      </c>
      <c r="AA403" s="172" t="str">
        <f t="shared" si="406"/>
        <v/>
      </c>
      <c r="AB403" s="172" t="str">
        <f t="shared" si="406"/>
        <v/>
      </c>
      <c r="AC403" s="172" t="str">
        <f t="shared" si="406"/>
        <v/>
      </c>
      <c r="AD403" s="172" t="str">
        <f t="shared" si="406"/>
        <v/>
      </c>
      <c r="AE403" s="172" t="str">
        <f t="shared" si="406"/>
        <v/>
      </c>
      <c r="AF403" s="172" t="str">
        <f t="shared" si="406"/>
        <v/>
      </c>
      <c r="AG403" s="172" t="str">
        <f t="shared" si="406"/>
        <v/>
      </c>
      <c r="AH403" s="172" t="str">
        <f t="shared" si="406"/>
        <v/>
      </c>
      <c r="AI403" s="172" t="str">
        <f t="shared" si="406"/>
        <v/>
      </c>
      <c r="AJ403" s="172" t="str">
        <f t="shared" si="406"/>
        <v/>
      </c>
      <c r="AK403" s="172" t="str">
        <f t="shared" si="406"/>
        <v/>
      </c>
      <c r="AL403" s="172" t="str">
        <f t="shared" si="406"/>
        <v/>
      </c>
      <c r="AM403" s="172" t="str">
        <f t="shared" si="406"/>
        <v/>
      </c>
      <c r="AN403" s="172" t="str">
        <f t="shared" si="406"/>
        <v/>
      </c>
      <c r="AO403" s="172" t="str">
        <f t="shared" si="406"/>
        <v/>
      </c>
      <c r="AP403" s="172" t="str">
        <f t="shared" si="406"/>
        <v/>
      </c>
      <c r="AQ403" s="172" t="str">
        <f t="shared" si="406"/>
        <v/>
      </c>
      <c r="AR403" s="172" t="str">
        <f t="shared" si="406"/>
        <v/>
      </c>
      <c r="AS403" s="172" t="str">
        <f t="shared" si="406"/>
        <v/>
      </c>
      <c r="AT403" s="173">
        <f>IF(AT$6="","",IF(AT$3="Maior",iferror(VLOOKUP($R403,Capa!$A:$AJ,AT$5,0),0),IF(ISERROR(1/VLOOKUP($R403,Capa!$A:$AJ,AT$5,0)),0,1/VLOOKUP($R403,Capa!$A:$AJ,AT$5,0))))</f>
        <v>-1.030927835</v>
      </c>
      <c r="AU403" s="174">
        <f>IF(AU$6="","",IF(AU$3="Maior",iferror(VLOOKUP($R403,Capa!$A:$AJ,AU$5,0),0),IF(ISERROR(1/VLOOKUP($R403,Capa!$A:$AJ,AU$5,0)),0,1/VLOOKUP($R403,Capa!$A:$AJ,AU$5,0))))</f>
        <v>24.6</v>
      </c>
      <c r="AV403" s="174" t="str">
        <f>IF(AV$6="","",IF(AV$3="Maior",iferror(VLOOKUP($R403,Capa!$A:$AJ,AV$5,0),0),IF(ISERROR(1/VLOOKUP($R403,Capa!$A:$AJ,AV$5,0)),0,1/VLOOKUP($R403,Capa!$A:$AJ,AV$5,0))))</f>
        <v/>
      </c>
      <c r="AW403" s="174" t="str">
        <f>IF(AW$6="","",IF(AW$3="Maior",iferror(VLOOKUP($R403,Capa!$A:$AJ,AW$5,0),0),IF(ISERROR(1/VLOOKUP($R403,Capa!$A:$AJ,AW$5,0)),0,1/VLOOKUP($R403,Capa!$A:$AJ,AW$5,0))))</f>
        <v/>
      </c>
      <c r="AX403" s="174" t="str">
        <f>IF(AX$6="","",IF(AX$3="Maior",iferror(VLOOKUP($R403,Capa!$A:$AJ,AX$5,0),0),IF(ISERROR(1/VLOOKUP($R403,Capa!$A:$AJ,AX$5,0)),0,1/VLOOKUP($R403,Capa!$A:$AJ,AX$5,0))))</f>
        <v/>
      </c>
      <c r="AY403" s="174" t="str">
        <f>IF(AY$6="","",IF(AY$3="Maior",iferror(VLOOKUP($R403,Capa!$A:$AJ,AY$5,0),0),IF(ISERROR(1/VLOOKUP($R403,Capa!$A:$AJ,AY$5,0)),0,1/VLOOKUP($R403,Capa!$A:$AJ,AY$5,0))))</f>
        <v/>
      </c>
      <c r="AZ403" s="174" t="str">
        <f>IF(AZ$6="","",IF(AZ$3="Maior",iferror(VLOOKUP($R403,Capa!$A:$AJ,AZ$5,0),0),IF(ISERROR(1/VLOOKUP($R403,Capa!$A:$AJ,AZ$5,0)),0,1/VLOOKUP($R403,Capa!$A:$AJ,AZ$5,0))))</f>
        <v/>
      </c>
      <c r="BA403" s="174" t="str">
        <f>IF(BA$6="","",IF(BA$3="Maior",iferror(VLOOKUP($R403,Capa!$A:$AJ,BA$5,0),0),IF(ISERROR(1/VLOOKUP($R403,Capa!$A:$AJ,BA$5,0)),0,1/VLOOKUP($R403,Capa!$A:$AJ,BA$5,0))))</f>
        <v/>
      </c>
      <c r="BB403" s="174" t="str">
        <f>IF(BB$6="","",IF(BB$3="Maior",iferror(VLOOKUP($R403,Capa!$A:$AJ,BB$5,0),0),IF(ISERROR(1/VLOOKUP($R403,Capa!$A:$AJ,BB$5,0)),0,1/VLOOKUP($R403,Capa!$A:$AJ,BB$5,0))))</f>
        <v/>
      </c>
      <c r="BC403" s="174" t="str">
        <f>IF(BC$6="","",IF(BC$3="Maior",iferror(VLOOKUP($R403,Capa!$A:$AJ,BC$5,0),0),IF(ISERROR(1/VLOOKUP($R403,Capa!$A:$AJ,BC$5,0)),0,1/VLOOKUP($R403,Capa!$A:$AJ,BC$5,0))))</f>
        <v/>
      </c>
      <c r="BD403" s="174" t="str">
        <f>IF(BD$6="","",IF(BD$3="Maior",iferror(VLOOKUP($R403,Capa!$A:$AJ,BD$5,0),0),IF(ISERROR(1/VLOOKUP($R403,Capa!$A:$AJ,BD$5,0)),0,1/VLOOKUP($R403,Capa!$A:$AJ,BD$5,0))))</f>
        <v/>
      </c>
      <c r="BE403" s="174" t="str">
        <f>IF(BE$6="","",IF(BE$3="Maior",iferror(VLOOKUP($R403,Capa!$A:$AJ,BE$5,0),0),IF(ISERROR(1/VLOOKUP($R403,Capa!$A:$AJ,BE$5,0)),0,1/VLOOKUP($R403,Capa!$A:$AJ,BE$5,0))))</f>
        <v/>
      </c>
      <c r="BF403" s="174" t="str">
        <f>IF(BF$6="","",IF(BF$3="Maior",iferror(VLOOKUP($R403,Capa!$A:$AJ,BF$5,0),0),IF(ISERROR(1/VLOOKUP($R403,Capa!$A:$AJ,BF$5,0)),0,1/VLOOKUP($R403,Capa!$A:$AJ,BF$5,0))))</f>
        <v/>
      </c>
      <c r="BG403" s="174" t="str">
        <f>IF(BG$6="","",IF(BG$3="Maior",iferror(VLOOKUP($R403,Capa!$A:$AJ,BG$5,0),0),IF(ISERROR(1/VLOOKUP($R403,Capa!$A:$AJ,BG$5,0)),0,1/VLOOKUP($R403,Capa!$A:$AJ,BG$5,0))))</f>
        <v/>
      </c>
      <c r="BH403" s="174" t="str">
        <f>IF(BH$6="","",IF(BH$3="Maior",iferror(VLOOKUP($R403,Capa!$A:$AJ,BH$5,0),0),IF(ISERROR(1/VLOOKUP($R403,Capa!$A:$AJ,BH$5,0)),0,1/VLOOKUP($R403,Capa!$A:$AJ,BH$5,0))))</f>
        <v/>
      </c>
      <c r="BI403" s="174" t="str">
        <f>IF(BI$6="","",IF(BI$3="Maior",iferror(VLOOKUP($R403,Capa!$A:$AJ,BI$5,0),0),IF(ISERROR(1/VLOOKUP($R403,Capa!$A:$AJ,BI$5,0)),0,1/VLOOKUP($R403,Capa!$A:$AJ,BI$5,0))))</f>
        <v/>
      </c>
      <c r="BJ403" s="174" t="str">
        <f>IF(BJ$6="","",IF(BJ$3="Maior",iferror(VLOOKUP($R403,Capa!$A:$AJ,BJ$5,0),0),IF(ISERROR(1/VLOOKUP($R403,Capa!$A:$AJ,BJ$5,0)),0,1/VLOOKUP($R403,Capa!$A:$AJ,BJ$5,0))))</f>
        <v/>
      </c>
      <c r="BK403" s="174" t="str">
        <f>IF(BK$6="","",IF(BK$3="Maior",iferror(VLOOKUP($R403,Capa!$A:$AJ,BK$5,0),0),IF(ISERROR(1/VLOOKUP($R403,Capa!$A:$AJ,BK$5,0)),0,1/VLOOKUP($R403,Capa!$A:$AJ,BK$5,0))))</f>
        <v/>
      </c>
      <c r="BL403" s="174" t="str">
        <f>IF(BL$6="","",IF(BL$3="Maior",iferror(VLOOKUP($R403,Capa!$A:$AJ,BL$5,0),0),IF(ISERROR(1/VLOOKUP($R403,Capa!$A:$AJ,BL$5,0)),0,1/VLOOKUP($R403,Capa!$A:$AJ,BL$5,0))))</f>
        <v/>
      </c>
      <c r="BM403" s="174" t="str">
        <f>IF(BM$6="","",IF(BM$3="Maior",iferror(VLOOKUP($R403,Capa!$A:$AJ,BM$5,0),0),IF(ISERROR(1/VLOOKUP($R403,Capa!$A:$AJ,BM$5,0)),0,1/VLOOKUP($R403,Capa!$A:$AJ,BM$5,0))))</f>
        <v/>
      </c>
      <c r="BN403" s="174" t="str">
        <f>IF(BN$6="","",IF(BN$3="Maior",iferror(VLOOKUP($R403,Capa!$A:$AJ,BN$5,0),0),IF(ISERROR(1/VLOOKUP($R403,Capa!$A:$AJ,BN$5,0)),0,1/VLOOKUP($R403,Capa!$A:$AJ,BN$5,0))))</f>
        <v/>
      </c>
      <c r="BO403" s="174" t="str">
        <f>IF(BO$6="","",IF(BO$3="Maior",iferror(VLOOKUP($R403,Capa!$A:$AJ,BO$5,0),0),IF(ISERROR(1/VLOOKUP($R403,Capa!$A:$AJ,BO$5,0)),0,1/VLOOKUP($R403,Capa!$A:$AJ,BO$5,0))))</f>
        <v/>
      </c>
      <c r="BP403" s="174" t="str">
        <f>IF(BP$6="","",IF(BP$3="Maior",iferror(VLOOKUP($R403,Capa!$A:$AJ,BP$5,0),0),IF(ISERROR(1/VLOOKUP($R403,Capa!$A:$AJ,BP$5,0)),0,1/VLOOKUP($R403,Capa!$A:$AJ,BP$5,0))))</f>
        <v/>
      </c>
      <c r="BQ403" s="174" t="str">
        <f>IF(BQ$6="","",IF(BQ$3="Maior",iferror(VLOOKUP($R403,Capa!$A:$AJ,BQ$5,0),0),IF(ISERROR(1/VLOOKUP($R403,Capa!$A:$AJ,BQ$5,0)),0,1/VLOOKUP($R403,Capa!$A:$AJ,BQ$5,0))))</f>
        <v/>
      </c>
      <c r="BR403" s="175"/>
      <c r="BS403" s="147"/>
    </row>
    <row r="404">
      <c r="G404" s="11"/>
      <c r="H404" s="8">
        <v>398.0</v>
      </c>
      <c r="I404" s="165" t="str">
        <f t="shared" si="6"/>
        <v>PPAR3</v>
      </c>
      <c r="J404" s="166" t="str">
        <f>(VLOOKUP($I404,Capa!$A:$B,2,0))</f>
        <v>Polpar SA</v>
      </c>
      <c r="K404" s="167" t="str">
        <f>VLOOKUP(left(I404,4),Setor!A:D,3,0)&amp;" | "&amp;VLOOKUP(left(I404,4),Setor!A:D,4,0)</f>
        <v>Outros | Outros</v>
      </c>
      <c r="L404" s="168">
        <f>(VLOOKUP($I404,Capa!$A:$F,6,0))</f>
        <v>0</v>
      </c>
      <c r="M404" s="168">
        <f t="shared" si="7"/>
        <v>0</v>
      </c>
      <c r="N404" s="11" t="str">
        <f>(VLOOKUP($I404,Capa!$A:$H,7,0))</f>
        <v/>
      </c>
      <c r="O404" s="169" t="str">
        <f>(VLOOKUP($I404,Capa!$A:$H,8,0))</f>
        <v/>
      </c>
      <c r="P404" s="11" t="str">
        <f>(VLOOKUP($I404,Capa!$A:$J,10,0))</f>
        <v/>
      </c>
      <c r="Q404" s="169" t="str">
        <f>(VLOOKUP($I404,Capa!$A:$K,11,0))</f>
        <v/>
      </c>
      <c r="R404" s="45" t="str">
        <f>'Dados StatusInvest'!A399</f>
        <v>MRSA5B</v>
      </c>
      <c r="S404" s="170">
        <f t="shared" si="234"/>
        <v>1506.0506</v>
      </c>
      <c r="T404" s="171">
        <f>VLOOKUP(R404,'Dados StatusInvest'!A:Z,26,0)</f>
        <v>1934.67</v>
      </c>
      <c r="U404" s="172">
        <f t="shared" ref="U404:AS404" si="407">IF(AT404="","", RANK(AT404,AT$7:AT$626,0)+RANK(AT404,AT$7:AT$626,0)/10000)</f>
        <v>390.039</v>
      </c>
      <c r="V404" s="172">
        <f t="shared" si="407"/>
        <v>116.0116</v>
      </c>
      <c r="W404" s="172" t="str">
        <f t="shared" si="407"/>
        <v/>
      </c>
      <c r="X404" s="172" t="str">
        <f t="shared" si="407"/>
        <v/>
      </c>
      <c r="Y404" s="172" t="str">
        <f t="shared" si="407"/>
        <v/>
      </c>
      <c r="Z404" s="172" t="str">
        <f t="shared" si="407"/>
        <v/>
      </c>
      <c r="AA404" s="172" t="str">
        <f t="shared" si="407"/>
        <v/>
      </c>
      <c r="AB404" s="172" t="str">
        <f t="shared" si="407"/>
        <v/>
      </c>
      <c r="AC404" s="172" t="str">
        <f t="shared" si="407"/>
        <v/>
      </c>
      <c r="AD404" s="172" t="str">
        <f t="shared" si="407"/>
        <v/>
      </c>
      <c r="AE404" s="172" t="str">
        <f t="shared" si="407"/>
        <v/>
      </c>
      <c r="AF404" s="172" t="str">
        <f t="shared" si="407"/>
        <v/>
      </c>
      <c r="AG404" s="172" t="str">
        <f t="shared" si="407"/>
        <v/>
      </c>
      <c r="AH404" s="172" t="str">
        <f t="shared" si="407"/>
        <v/>
      </c>
      <c r="AI404" s="172" t="str">
        <f t="shared" si="407"/>
        <v/>
      </c>
      <c r="AJ404" s="172" t="str">
        <f t="shared" si="407"/>
        <v/>
      </c>
      <c r="AK404" s="172" t="str">
        <f t="shared" si="407"/>
        <v/>
      </c>
      <c r="AL404" s="172" t="str">
        <f t="shared" si="407"/>
        <v/>
      </c>
      <c r="AM404" s="172" t="str">
        <f t="shared" si="407"/>
        <v/>
      </c>
      <c r="AN404" s="172" t="str">
        <f t="shared" si="407"/>
        <v/>
      </c>
      <c r="AO404" s="172" t="str">
        <f t="shared" si="407"/>
        <v/>
      </c>
      <c r="AP404" s="172" t="str">
        <f t="shared" si="407"/>
        <v/>
      </c>
      <c r="AQ404" s="172" t="str">
        <f t="shared" si="407"/>
        <v/>
      </c>
      <c r="AR404" s="172" t="str">
        <f t="shared" si="407"/>
        <v/>
      </c>
      <c r="AS404" s="172" t="str">
        <f t="shared" si="407"/>
        <v/>
      </c>
      <c r="AT404" s="173">
        <f>IF(AT$6="","",IF(AT$3="Maior",iferror(VLOOKUP($R404,Capa!$A:$AJ,AT$5,0),0),IF(ISERROR(1/VLOOKUP($R404,Capa!$A:$AJ,AT$5,0)),0,1/VLOOKUP($R404,Capa!$A:$AJ,AT$5,0))))</f>
        <v>-1.265822785</v>
      </c>
      <c r="AU404" s="174">
        <f>IF(AU$6="","",IF(AU$3="Maior",iferror(VLOOKUP($R404,Capa!$A:$AJ,AU$5,0),0),IF(ISERROR(1/VLOOKUP($R404,Capa!$A:$AJ,AU$5,0)),0,1/VLOOKUP($R404,Capa!$A:$AJ,AU$5,0))))</f>
        <v>24.6</v>
      </c>
      <c r="AV404" s="174" t="str">
        <f>IF(AV$6="","",IF(AV$3="Maior",iferror(VLOOKUP($R404,Capa!$A:$AJ,AV$5,0),0),IF(ISERROR(1/VLOOKUP($R404,Capa!$A:$AJ,AV$5,0)),0,1/VLOOKUP($R404,Capa!$A:$AJ,AV$5,0))))</f>
        <v/>
      </c>
      <c r="AW404" s="174" t="str">
        <f>IF(AW$6="","",IF(AW$3="Maior",iferror(VLOOKUP($R404,Capa!$A:$AJ,AW$5,0),0),IF(ISERROR(1/VLOOKUP($R404,Capa!$A:$AJ,AW$5,0)),0,1/VLOOKUP($R404,Capa!$A:$AJ,AW$5,0))))</f>
        <v/>
      </c>
      <c r="AX404" s="174" t="str">
        <f>IF(AX$6="","",IF(AX$3="Maior",iferror(VLOOKUP($R404,Capa!$A:$AJ,AX$5,0),0),IF(ISERROR(1/VLOOKUP($R404,Capa!$A:$AJ,AX$5,0)),0,1/VLOOKUP($R404,Capa!$A:$AJ,AX$5,0))))</f>
        <v/>
      </c>
      <c r="AY404" s="174" t="str">
        <f>IF(AY$6="","",IF(AY$3="Maior",iferror(VLOOKUP($R404,Capa!$A:$AJ,AY$5,0),0),IF(ISERROR(1/VLOOKUP($R404,Capa!$A:$AJ,AY$5,0)),0,1/VLOOKUP($R404,Capa!$A:$AJ,AY$5,0))))</f>
        <v/>
      </c>
      <c r="AZ404" s="174" t="str">
        <f>IF(AZ$6="","",IF(AZ$3="Maior",iferror(VLOOKUP($R404,Capa!$A:$AJ,AZ$5,0),0),IF(ISERROR(1/VLOOKUP($R404,Capa!$A:$AJ,AZ$5,0)),0,1/VLOOKUP($R404,Capa!$A:$AJ,AZ$5,0))))</f>
        <v/>
      </c>
      <c r="BA404" s="174" t="str">
        <f>IF(BA$6="","",IF(BA$3="Maior",iferror(VLOOKUP($R404,Capa!$A:$AJ,BA$5,0),0),IF(ISERROR(1/VLOOKUP($R404,Capa!$A:$AJ,BA$5,0)),0,1/VLOOKUP($R404,Capa!$A:$AJ,BA$5,0))))</f>
        <v/>
      </c>
      <c r="BB404" s="174" t="str">
        <f>IF(BB$6="","",IF(BB$3="Maior",iferror(VLOOKUP($R404,Capa!$A:$AJ,BB$5,0),0),IF(ISERROR(1/VLOOKUP($R404,Capa!$A:$AJ,BB$5,0)),0,1/VLOOKUP($R404,Capa!$A:$AJ,BB$5,0))))</f>
        <v/>
      </c>
      <c r="BC404" s="174" t="str">
        <f>IF(BC$6="","",IF(BC$3="Maior",iferror(VLOOKUP($R404,Capa!$A:$AJ,BC$5,0),0),IF(ISERROR(1/VLOOKUP($R404,Capa!$A:$AJ,BC$5,0)),0,1/VLOOKUP($R404,Capa!$A:$AJ,BC$5,0))))</f>
        <v/>
      </c>
      <c r="BD404" s="174" t="str">
        <f>IF(BD$6="","",IF(BD$3="Maior",iferror(VLOOKUP($R404,Capa!$A:$AJ,BD$5,0),0),IF(ISERROR(1/VLOOKUP($R404,Capa!$A:$AJ,BD$5,0)),0,1/VLOOKUP($R404,Capa!$A:$AJ,BD$5,0))))</f>
        <v/>
      </c>
      <c r="BE404" s="174" t="str">
        <f>IF(BE$6="","",IF(BE$3="Maior",iferror(VLOOKUP($R404,Capa!$A:$AJ,BE$5,0),0),IF(ISERROR(1/VLOOKUP($R404,Capa!$A:$AJ,BE$5,0)),0,1/VLOOKUP($R404,Capa!$A:$AJ,BE$5,0))))</f>
        <v/>
      </c>
      <c r="BF404" s="174" t="str">
        <f>IF(BF$6="","",IF(BF$3="Maior",iferror(VLOOKUP($R404,Capa!$A:$AJ,BF$5,0),0),IF(ISERROR(1/VLOOKUP($R404,Capa!$A:$AJ,BF$5,0)),0,1/VLOOKUP($R404,Capa!$A:$AJ,BF$5,0))))</f>
        <v/>
      </c>
      <c r="BG404" s="174" t="str">
        <f>IF(BG$6="","",IF(BG$3="Maior",iferror(VLOOKUP($R404,Capa!$A:$AJ,BG$5,0),0),IF(ISERROR(1/VLOOKUP($R404,Capa!$A:$AJ,BG$5,0)),0,1/VLOOKUP($R404,Capa!$A:$AJ,BG$5,0))))</f>
        <v/>
      </c>
      <c r="BH404" s="174" t="str">
        <f>IF(BH$6="","",IF(BH$3="Maior",iferror(VLOOKUP($R404,Capa!$A:$AJ,BH$5,0),0),IF(ISERROR(1/VLOOKUP($R404,Capa!$A:$AJ,BH$5,0)),0,1/VLOOKUP($R404,Capa!$A:$AJ,BH$5,0))))</f>
        <v/>
      </c>
      <c r="BI404" s="174" t="str">
        <f>IF(BI$6="","",IF(BI$3="Maior",iferror(VLOOKUP($R404,Capa!$A:$AJ,BI$5,0),0),IF(ISERROR(1/VLOOKUP($R404,Capa!$A:$AJ,BI$5,0)),0,1/VLOOKUP($R404,Capa!$A:$AJ,BI$5,0))))</f>
        <v/>
      </c>
      <c r="BJ404" s="174" t="str">
        <f>IF(BJ$6="","",IF(BJ$3="Maior",iferror(VLOOKUP($R404,Capa!$A:$AJ,BJ$5,0),0),IF(ISERROR(1/VLOOKUP($R404,Capa!$A:$AJ,BJ$5,0)),0,1/VLOOKUP($R404,Capa!$A:$AJ,BJ$5,0))))</f>
        <v/>
      </c>
      <c r="BK404" s="174" t="str">
        <f>IF(BK$6="","",IF(BK$3="Maior",iferror(VLOOKUP($R404,Capa!$A:$AJ,BK$5,0),0),IF(ISERROR(1/VLOOKUP($R404,Capa!$A:$AJ,BK$5,0)),0,1/VLOOKUP($R404,Capa!$A:$AJ,BK$5,0))))</f>
        <v/>
      </c>
      <c r="BL404" s="174" t="str">
        <f>IF(BL$6="","",IF(BL$3="Maior",iferror(VLOOKUP($R404,Capa!$A:$AJ,BL$5,0),0),IF(ISERROR(1/VLOOKUP($R404,Capa!$A:$AJ,BL$5,0)),0,1/VLOOKUP($R404,Capa!$A:$AJ,BL$5,0))))</f>
        <v/>
      </c>
      <c r="BM404" s="174" t="str">
        <f>IF(BM$6="","",IF(BM$3="Maior",iferror(VLOOKUP($R404,Capa!$A:$AJ,BM$5,0),0),IF(ISERROR(1/VLOOKUP($R404,Capa!$A:$AJ,BM$5,0)),0,1/VLOOKUP($R404,Capa!$A:$AJ,BM$5,0))))</f>
        <v/>
      </c>
      <c r="BN404" s="174" t="str">
        <f>IF(BN$6="","",IF(BN$3="Maior",iferror(VLOOKUP($R404,Capa!$A:$AJ,BN$5,0),0),IF(ISERROR(1/VLOOKUP($R404,Capa!$A:$AJ,BN$5,0)),0,1/VLOOKUP($R404,Capa!$A:$AJ,BN$5,0))))</f>
        <v/>
      </c>
      <c r="BO404" s="174" t="str">
        <f>IF(BO$6="","",IF(BO$3="Maior",iferror(VLOOKUP($R404,Capa!$A:$AJ,BO$5,0),0),IF(ISERROR(1/VLOOKUP($R404,Capa!$A:$AJ,BO$5,0)),0,1/VLOOKUP($R404,Capa!$A:$AJ,BO$5,0))))</f>
        <v/>
      </c>
      <c r="BP404" s="174" t="str">
        <f>IF(BP$6="","",IF(BP$3="Maior",iferror(VLOOKUP($R404,Capa!$A:$AJ,BP$5,0),0),IF(ISERROR(1/VLOOKUP($R404,Capa!$A:$AJ,BP$5,0)),0,1/VLOOKUP($R404,Capa!$A:$AJ,BP$5,0))))</f>
        <v/>
      </c>
      <c r="BQ404" s="174" t="str">
        <f>IF(BQ$6="","",IF(BQ$3="Maior",iferror(VLOOKUP($R404,Capa!$A:$AJ,BQ$5,0),0),IF(ISERROR(1/VLOOKUP($R404,Capa!$A:$AJ,BQ$5,0)),0,1/VLOOKUP($R404,Capa!$A:$AJ,BQ$5,0))))</f>
        <v/>
      </c>
      <c r="BR404" s="175"/>
      <c r="BS404" s="147"/>
    </row>
    <row r="405">
      <c r="G405" s="11"/>
      <c r="H405" s="8">
        <v>399.0</v>
      </c>
      <c r="I405" s="165" t="str">
        <f t="shared" si="6"/>
        <v>DMMO3</v>
      </c>
      <c r="J405" s="166" t="str">
        <f>(VLOOKUP($I405,Capa!$A:$B,2,0))</f>
        <v/>
      </c>
      <c r="K405" s="167" t="str">
        <f>VLOOKUP(left(I405,4),Setor!A:D,3,0)&amp;" | "&amp;VLOOKUP(left(I405,4),Setor!A:D,4,0)</f>
        <v>Petróleo, Gás e Biocombustíveis | Petróleo, Gás e Biocombustíveis</v>
      </c>
      <c r="L405" s="168" t="str">
        <f>(VLOOKUP($I405,Capa!$A:$F,6,0))</f>
        <v/>
      </c>
      <c r="M405" s="168">
        <f t="shared" si="7"/>
        <v>0</v>
      </c>
      <c r="N405" s="11" t="str">
        <f>(VLOOKUP($I405,Capa!$A:$H,7,0))</f>
        <v/>
      </c>
      <c r="O405" s="169" t="str">
        <f>(VLOOKUP($I405,Capa!$A:$H,8,0))</f>
        <v/>
      </c>
      <c r="P405" s="11" t="str">
        <f>(VLOOKUP($I405,Capa!$A:$J,10,0))</f>
        <v/>
      </c>
      <c r="Q405" s="169" t="str">
        <f>(VLOOKUP($I405,Capa!$A:$K,11,0))</f>
        <v/>
      </c>
      <c r="R405" s="45" t="str">
        <f>'Dados StatusInvest'!A400</f>
        <v>MRSA6B</v>
      </c>
      <c r="S405" s="170">
        <f t="shared" si="234"/>
        <v>1489.0489</v>
      </c>
      <c r="T405" s="171">
        <f>VLOOKUP(R405,'Dados StatusInvest'!A:Z,26,0)</f>
        <v>1483.33</v>
      </c>
      <c r="U405" s="172">
        <f t="shared" ref="U405:AS405" si="408">IF(AT405="","", RANK(AT405,AT$7:AT$626,0)+RANK(AT405,AT$7:AT$626,0)/10000)</f>
        <v>373.0373</v>
      </c>
      <c r="V405" s="172">
        <f t="shared" si="408"/>
        <v>116.0116</v>
      </c>
      <c r="W405" s="172" t="str">
        <f t="shared" si="408"/>
        <v/>
      </c>
      <c r="X405" s="172" t="str">
        <f t="shared" si="408"/>
        <v/>
      </c>
      <c r="Y405" s="172" t="str">
        <f t="shared" si="408"/>
        <v/>
      </c>
      <c r="Z405" s="172" t="str">
        <f t="shared" si="408"/>
        <v/>
      </c>
      <c r="AA405" s="172" t="str">
        <f t="shared" si="408"/>
        <v/>
      </c>
      <c r="AB405" s="172" t="str">
        <f t="shared" si="408"/>
        <v/>
      </c>
      <c r="AC405" s="172" t="str">
        <f t="shared" si="408"/>
        <v/>
      </c>
      <c r="AD405" s="172" t="str">
        <f t="shared" si="408"/>
        <v/>
      </c>
      <c r="AE405" s="172" t="str">
        <f t="shared" si="408"/>
        <v/>
      </c>
      <c r="AF405" s="172" t="str">
        <f t="shared" si="408"/>
        <v/>
      </c>
      <c r="AG405" s="172" t="str">
        <f t="shared" si="408"/>
        <v/>
      </c>
      <c r="AH405" s="172" t="str">
        <f t="shared" si="408"/>
        <v/>
      </c>
      <c r="AI405" s="172" t="str">
        <f t="shared" si="408"/>
        <v/>
      </c>
      <c r="AJ405" s="172" t="str">
        <f t="shared" si="408"/>
        <v/>
      </c>
      <c r="AK405" s="172" t="str">
        <f t="shared" si="408"/>
        <v/>
      </c>
      <c r="AL405" s="172" t="str">
        <f t="shared" si="408"/>
        <v/>
      </c>
      <c r="AM405" s="172" t="str">
        <f t="shared" si="408"/>
        <v/>
      </c>
      <c r="AN405" s="172" t="str">
        <f t="shared" si="408"/>
        <v/>
      </c>
      <c r="AO405" s="172" t="str">
        <f t="shared" si="408"/>
        <v/>
      </c>
      <c r="AP405" s="172" t="str">
        <f t="shared" si="408"/>
        <v/>
      </c>
      <c r="AQ405" s="172" t="str">
        <f t="shared" si="408"/>
        <v/>
      </c>
      <c r="AR405" s="172" t="str">
        <f t="shared" si="408"/>
        <v/>
      </c>
      <c r="AS405" s="172" t="str">
        <f t="shared" si="408"/>
        <v/>
      </c>
      <c r="AT405" s="173">
        <f>IF(AT$6="","",IF(AT$3="Maior",iferror(VLOOKUP($R405,Capa!$A:$AJ,AT$5,0),0),IF(ISERROR(1/VLOOKUP($R405,Capa!$A:$AJ,AT$5,0)),0,1/VLOOKUP($R405,Capa!$A:$AJ,AT$5,0))))</f>
        <v>-1.136363636</v>
      </c>
      <c r="AU405" s="174">
        <f>IF(AU$6="","",IF(AU$3="Maior",iferror(VLOOKUP($R405,Capa!$A:$AJ,AU$5,0),0),IF(ISERROR(1/VLOOKUP($R405,Capa!$A:$AJ,AU$5,0)),0,1/VLOOKUP($R405,Capa!$A:$AJ,AU$5,0))))</f>
        <v>24.6</v>
      </c>
      <c r="AV405" s="174" t="str">
        <f>IF(AV$6="","",IF(AV$3="Maior",iferror(VLOOKUP($R405,Capa!$A:$AJ,AV$5,0),0),IF(ISERROR(1/VLOOKUP($R405,Capa!$A:$AJ,AV$5,0)),0,1/VLOOKUP($R405,Capa!$A:$AJ,AV$5,0))))</f>
        <v/>
      </c>
      <c r="AW405" s="174" t="str">
        <f>IF(AW$6="","",IF(AW$3="Maior",iferror(VLOOKUP($R405,Capa!$A:$AJ,AW$5,0),0),IF(ISERROR(1/VLOOKUP($R405,Capa!$A:$AJ,AW$5,0)),0,1/VLOOKUP($R405,Capa!$A:$AJ,AW$5,0))))</f>
        <v/>
      </c>
      <c r="AX405" s="174" t="str">
        <f>IF(AX$6="","",IF(AX$3="Maior",iferror(VLOOKUP($R405,Capa!$A:$AJ,AX$5,0),0),IF(ISERROR(1/VLOOKUP($R405,Capa!$A:$AJ,AX$5,0)),0,1/VLOOKUP($R405,Capa!$A:$AJ,AX$5,0))))</f>
        <v/>
      </c>
      <c r="AY405" s="174" t="str">
        <f>IF(AY$6="","",IF(AY$3="Maior",iferror(VLOOKUP($R405,Capa!$A:$AJ,AY$5,0),0),IF(ISERROR(1/VLOOKUP($R405,Capa!$A:$AJ,AY$5,0)),0,1/VLOOKUP($R405,Capa!$A:$AJ,AY$5,0))))</f>
        <v/>
      </c>
      <c r="AZ405" s="174" t="str">
        <f>IF(AZ$6="","",IF(AZ$3="Maior",iferror(VLOOKUP($R405,Capa!$A:$AJ,AZ$5,0),0),IF(ISERROR(1/VLOOKUP($R405,Capa!$A:$AJ,AZ$5,0)),0,1/VLOOKUP($R405,Capa!$A:$AJ,AZ$5,0))))</f>
        <v/>
      </c>
      <c r="BA405" s="174" t="str">
        <f>IF(BA$6="","",IF(BA$3="Maior",iferror(VLOOKUP($R405,Capa!$A:$AJ,BA$5,0),0),IF(ISERROR(1/VLOOKUP($R405,Capa!$A:$AJ,BA$5,0)),0,1/VLOOKUP($R405,Capa!$A:$AJ,BA$5,0))))</f>
        <v/>
      </c>
      <c r="BB405" s="174" t="str">
        <f>IF(BB$6="","",IF(BB$3="Maior",iferror(VLOOKUP($R405,Capa!$A:$AJ,BB$5,0),0),IF(ISERROR(1/VLOOKUP($R405,Capa!$A:$AJ,BB$5,0)),0,1/VLOOKUP($R405,Capa!$A:$AJ,BB$5,0))))</f>
        <v/>
      </c>
      <c r="BC405" s="174" t="str">
        <f>IF(BC$6="","",IF(BC$3="Maior",iferror(VLOOKUP($R405,Capa!$A:$AJ,BC$5,0),0),IF(ISERROR(1/VLOOKUP($R405,Capa!$A:$AJ,BC$5,0)),0,1/VLOOKUP($R405,Capa!$A:$AJ,BC$5,0))))</f>
        <v/>
      </c>
      <c r="BD405" s="174" t="str">
        <f>IF(BD$6="","",IF(BD$3="Maior",iferror(VLOOKUP($R405,Capa!$A:$AJ,BD$5,0),0),IF(ISERROR(1/VLOOKUP($R405,Capa!$A:$AJ,BD$5,0)),0,1/VLOOKUP($R405,Capa!$A:$AJ,BD$5,0))))</f>
        <v/>
      </c>
      <c r="BE405" s="174" t="str">
        <f>IF(BE$6="","",IF(BE$3="Maior",iferror(VLOOKUP($R405,Capa!$A:$AJ,BE$5,0),0),IF(ISERROR(1/VLOOKUP($R405,Capa!$A:$AJ,BE$5,0)),0,1/VLOOKUP($R405,Capa!$A:$AJ,BE$5,0))))</f>
        <v/>
      </c>
      <c r="BF405" s="174" t="str">
        <f>IF(BF$6="","",IF(BF$3="Maior",iferror(VLOOKUP($R405,Capa!$A:$AJ,BF$5,0),0),IF(ISERROR(1/VLOOKUP($R405,Capa!$A:$AJ,BF$5,0)),0,1/VLOOKUP($R405,Capa!$A:$AJ,BF$5,0))))</f>
        <v/>
      </c>
      <c r="BG405" s="174" t="str">
        <f>IF(BG$6="","",IF(BG$3="Maior",iferror(VLOOKUP($R405,Capa!$A:$AJ,BG$5,0),0),IF(ISERROR(1/VLOOKUP($R405,Capa!$A:$AJ,BG$5,0)),0,1/VLOOKUP($R405,Capa!$A:$AJ,BG$5,0))))</f>
        <v/>
      </c>
      <c r="BH405" s="174" t="str">
        <f>IF(BH$6="","",IF(BH$3="Maior",iferror(VLOOKUP($R405,Capa!$A:$AJ,BH$5,0),0),IF(ISERROR(1/VLOOKUP($R405,Capa!$A:$AJ,BH$5,0)),0,1/VLOOKUP($R405,Capa!$A:$AJ,BH$5,0))))</f>
        <v/>
      </c>
      <c r="BI405" s="174" t="str">
        <f>IF(BI$6="","",IF(BI$3="Maior",iferror(VLOOKUP($R405,Capa!$A:$AJ,BI$5,0),0),IF(ISERROR(1/VLOOKUP($R405,Capa!$A:$AJ,BI$5,0)),0,1/VLOOKUP($R405,Capa!$A:$AJ,BI$5,0))))</f>
        <v/>
      </c>
      <c r="BJ405" s="174" t="str">
        <f>IF(BJ$6="","",IF(BJ$3="Maior",iferror(VLOOKUP($R405,Capa!$A:$AJ,BJ$5,0),0),IF(ISERROR(1/VLOOKUP($R405,Capa!$A:$AJ,BJ$5,0)),0,1/VLOOKUP($R405,Capa!$A:$AJ,BJ$5,0))))</f>
        <v/>
      </c>
      <c r="BK405" s="174" t="str">
        <f>IF(BK$6="","",IF(BK$3="Maior",iferror(VLOOKUP($R405,Capa!$A:$AJ,BK$5,0),0),IF(ISERROR(1/VLOOKUP($R405,Capa!$A:$AJ,BK$5,0)),0,1/VLOOKUP($R405,Capa!$A:$AJ,BK$5,0))))</f>
        <v/>
      </c>
      <c r="BL405" s="174" t="str">
        <f>IF(BL$6="","",IF(BL$3="Maior",iferror(VLOOKUP($R405,Capa!$A:$AJ,BL$5,0),0),IF(ISERROR(1/VLOOKUP($R405,Capa!$A:$AJ,BL$5,0)),0,1/VLOOKUP($R405,Capa!$A:$AJ,BL$5,0))))</f>
        <v/>
      </c>
      <c r="BM405" s="174" t="str">
        <f>IF(BM$6="","",IF(BM$3="Maior",iferror(VLOOKUP($R405,Capa!$A:$AJ,BM$5,0),0),IF(ISERROR(1/VLOOKUP($R405,Capa!$A:$AJ,BM$5,0)),0,1/VLOOKUP($R405,Capa!$A:$AJ,BM$5,0))))</f>
        <v/>
      </c>
      <c r="BN405" s="174" t="str">
        <f>IF(BN$6="","",IF(BN$3="Maior",iferror(VLOOKUP($R405,Capa!$A:$AJ,BN$5,0),0),IF(ISERROR(1/VLOOKUP($R405,Capa!$A:$AJ,BN$5,0)),0,1/VLOOKUP($R405,Capa!$A:$AJ,BN$5,0))))</f>
        <v/>
      </c>
      <c r="BO405" s="174" t="str">
        <f>IF(BO$6="","",IF(BO$3="Maior",iferror(VLOOKUP($R405,Capa!$A:$AJ,BO$5,0),0),IF(ISERROR(1/VLOOKUP($R405,Capa!$A:$AJ,BO$5,0)),0,1/VLOOKUP($R405,Capa!$A:$AJ,BO$5,0))))</f>
        <v/>
      </c>
      <c r="BP405" s="174" t="str">
        <f>IF(BP$6="","",IF(BP$3="Maior",iferror(VLOOKUP($R405,Capa!$A:$AJ,BP$5,0),0),IF(ISERROR(1/VLOOKUP($R405,Capa!$A:$AJ,BP$5,0)),0,1/VLOOKUP($R405,Capa!$A:$AJ,BP$5,0))))</f>
        <v/>
      </c>
      <c r="BQ405" s="174" t="str">
        <f>IF(BQ$6="","",IF(BQ$3="Maior",iferror(VLOOKUP($R405,Capa!$A:$AJ,BQ$5,0),0),IF(ISERROR(1/VLOOKUP($R405,Capa!$A:$AJ,BQ$5,0)),0,1/VLOOKUP($R405,Capa!$A:$AJ,BQ$5,0))))</f>
        <v/>
      </c>
      <c r="BR405" s="175"/>
      <c r="BS405" s="147"/>
    </row>
    <row r="406">
      <c r="G406" s="11"/>
      <c r="H406" s="8">
        <v>400.0</v>
      </c>
      <c r="I406" s="165" t="str">
        <f t="shared" si="6"/>
        <v>MAPT4</v>
      </c>
      <c r="J406" s="166" t="str">
        <f>(VLOOKUP($I406,Capa!$A:$B,2,0))</f>
        <v>Cemepe Investimentos SA Preference Shares</v>
      </c>
      <c r="K406" s="167" t="str">
        <f>VLOOKUP(left(I406,4),Setor!A:D,3,0)&amp;" | "&amp;VLOOKUP(left(I406,4),Setor!A:D,4,0)</f>
        <v>Outros | Outros</v>
      </c>
      <c r="L406" s="168">
        <f>(VLOOKUP($I406,Capa!$A:$F,6,0))</f>
        <v>3.87</v>
      </c>
      <c r="M406" s="168">
        <f t="shared" si="7"/>
        <v>365.83</v>
      </c>
      <c r="N406" s="11" t="str">
        <f>IFERROR(__xludf.DUMMYFUNCTION("(VLOOKUP($I406,Capa!$A:$H,7,0))"),"")</f>
        <v/>
      </c>
      <c r="O406" s="169" t="str">
        <f>(VLOOKUP($I406,Capa!$A:$H,8,0))</f>
        <v/>
      </c>
      <c r="P406" s="11" t="str">
        <f>IFERROR(__xludf.DUMMYFUNCTION("(VLOOKUP($I406,Capa!$A:$J,10,0))"),"")</f>
        <v/>
      </c>
      <c r="Q406" s="169">
        <f>(VLOOKUP($I406,Capa!$A:$K,11,0))</f>
        <v>-0.08941176471</v>
      </c>
      <c r="R406" s="45" t="str">
        <f>'Dados StatusInvest'!A401</f>
        <v>MRVE3</v>
      </c>
      <c r="S406" s="170">
        <f t="shared" si="234"/>
        <v>724.0724</v>
      </c>
      <c r="T406" s="171">
        <f>VLOOKUP(R406,'Dados StatusInvest'!A:Z,26,0)</f>
        <v>75413751</v>
      </c>
      <c r="U406" s="172">
        <f t="shared" ref="U406:AS406" si="409">IF(AT406="","", RANK(AT406,AT$7:AT$626,0)+RANK(AT406,AT$7:AT$626,0)/10000)</f>
        <v>457.0457</v>
      </c>
      <c r="V406" s="172">
        <f t="shared" si="409"/>
        <v>267.0267</v>
      </c>
      <c r="W406" s="172" t="str">
        <f t="shared" si="409"/>
        <v/>
      </c>
      <c r="X406" s="172" t="str">
        <f t="shared" si="409"/>
        <v/>
      </c>
      <c r="Y406" s="172" t="str">
        <f t="shared" si="409"/>
        <v/>
      </c>
      <c r="Z406" s="172" t="str">
        <f t="shared" si="409"/>
        <v/>
      </c>
      <c r="AA406" s="172" t="str">
        <f t="shared" si="409"/>
        <v/>
      </c>
      <c r="AB406" s="172" t="str">
        <f t="shared" si="409"/>
        <v/>
      </c>
      <c r="AC406" s="172" t="str">
        <f t="shared" si="409"/>
        <v/>
      </c>
      <c r="AD406" s="172" t="str">
        <f t="shared" si="409"/>
        <v/>
      </c>
      <c r="AE406" s="172" t="str">
        <f t="shared" si="409"/>
        <v/>
      </c>
      <c r="AF406" s="172" t="str">
        <f t="shared" si="409"/>
        <v/>
      </c>
      <c r="AG406" s="172" t="str">
        <f t="shared" si="409"/>
        <v/>
      </c>
      <c r="AH406" s="172" t="str">
        <f t="shared" si="409"/>
        <v/>
      </c>
      <c r="AI406" s="172" t="str">
        <f t="shared" si="409"/>
        <v/>
      </c>
      <c r="AJ406" s="172" t="str">
        <f t="shared" si="409"/>
        <v/>
      </c>
      <c r="AK406" s="172" t="str">
        <f t="shared" si="409"/>
        <v/>
      </c>
      <c r="AL406" s="172" t="str">
        <f t="shared" si="409"/>
        <v/>
      </c>
      <c r="AM406" s="172" t="str">
        <f t="shared" si="409"/>
        <v/>
      </c>
      <c r="AN406" s="172" t="str">
        <f t="shared" si="409"/>
        <v/>
      </c>
      <c r="AO406" s="172" t="str">
        <f t="shared" si="409"/>
        <v/>
      </c>
      <c r="AP406" s="172" t="str">
        <f t="shared" si="409"/>
        <v/>
      </c>
      <c r="AQ406" s="172" t="str">
        <f t="shared" si="409"/>
        <v/>
      </c>
      <c r="AR406" s="172" t="str">
        <f t="shared" si="409"/>
        <v/>
      </c>
      <c r="AS406" s="172" t="str">
        <f t="shared" si="409"/>
        <v/>
      </c>
      <c r="AT406" s="173">
        <f>IF(AT$6="","",IF(AT$3="Maior",iferror(VLOOKUP($R406,Capa!$A:$AJ,AT$5,0),0),IF(ISERROR(1/VLOOKUP($R406,Capa!$A:$AJ,AT$5,0)),0,1/VLOOKUP($R406,Capa!$A:$AJ,AT$5,0))))</f>
        <v>-2.17764172</v>
      </c>
      <c r="AU406" s="174">
        <f>IF(AU$6="","",IF(AU$3="Maior",iferror(VLOOKUP($R406,Capa!$A:$AJ,AU$5,0),0),IF(ISERROR(1/VLOOKUP($R406,Capa!$A:$AJ,AU$5,0)),0,1/VLOOKUP($R406,Capa!$A:$AJ,AU$5,0))))</f>
        <v>0</v>
      </c>
      <c r="AV406" s="174" t="str">
        <f>IF(AV$6="","",IF(AV$3="Maior",iferror(VLOOKUP($R406,Capa!$A:$AJ,AV$5,0),0),IF(ISERROR(1/VLOOKUP($R406,Capa!$A:$AJ,AV$5,0)),0,1/VLOOKUP($R406,Capa!$A:$AJ,AV$5,0))))</f>
        <v/>
      </c>
      <c r="AW406" s="174" t="str">
        <f>IF(AW$6="","",IF(AW$3="Maior",iferror(VLOOKUP($R406,Capa!$A:$AJ,AW$5,0),0),IF(ISERROR(1/VLOOKUP($R406,Capa!$A:$AJ,AW$5,0)),0,1/VLOOKUP($R406,Capa!$A:$AJ,AW$5,0))))</f>
        <v/>
      </c>
      <c r="AX406" s="174" t="str">
        <f>IF(AX$6="","",IF(AX$3="Maior",iferror(VLOOKUP($R406,Capa!$A:$AJ,AX$5,0),0),IF(ISERROR(1/VLOOKUP($R406,Capa!$A:$AJ,AX$5,0)),0,1/VLOOKUP($R406,Capa!$A:$AJ,AX$5,0))))</f>
        <v/>
      </c>
      <c r="AY406" s="174" t="str">
        <f>IF(AY$6="","",IF(AY$3="Maior",iferror(VLOOKUP($R406,Capa!$A:$AJ,AY$5,0),0),IF(ISERROR(1/VLOOKUP($R406,Capa!$A:$AJ,AY$5,0)),0,1/VLOOKUP($R406,Capa!$A:$AJ,AY$5,0))))</f>
        <v/>
      </c>
      <c r="AZ406" s="174" t="str">
        <f>IF(AZ$6="","",IF(AZ$3="Maior",iferror(VLOOKUP($R406,Capa!$A:$AJ,AZ$5,0),0),IF(ISERROR(1/VLOOKUP($R406,Capa!$A:$AJ,AZ$5,0)),0,1/VLOOKUP($R406,Capa!$A:$AJ,AZ$5,0))))</f>
        <v/>
      </c>
      <c r="BA406" s="174" t="str">
        <f>IF(BA$6="","",IF(BA$3="Maior",iferror(VLOOKUP($R406,Capa!$A:$AJ,BA$5,0),0),IF(ISERROR(1/VLOOKUP($R406,Capa!$A:$AJ,BA$5,0)),0,1/VLOOKUP($R406,Capa!$A:$AJ,BA$5,0))))</f>
        <v/>
      </c>
      <c r="BB406" s="174" t="str">
        <f>IF(BB$6="","",IF(BB$3="Maior",iferror(VLOOKUP($R406,Capa!$A:$AJ,BB$5,0),0),IF(ISERROR(1/VLOOKUP($R406,Capa!$A:$AJ,BB$5,0)),0,1/VLOOKUP($R406,Capa!$A:$AJ,BB$5,0))))</f>
        <v/>
      </c>
      <c r="BC406" s="174" t="str">
        <f>IF(BC$6="","",IF(BC$3="Maior",iferror(VLOOKUP($R406,Capa!$A:$AJ,BC$5,0),0),IF(ISERROR(1/VLOOKUP($R406,Capa!$A:$AJ,BC$5,0)),0,1/VLOOKUP($R406,Capa!$A:$AJ,BC$5,0))))</f>
        <v/>
      </c>
      <c r="BD406" s="174" t="str">
        <f>IF(BD$6="","",IF(BD$3="Maior",iferror(VLOOKUP($R406,Capa!$A:$AJ,BD$5,0),0),IF(ISERROR(1/VLOOKUP($R406,Capa!$A:$AJ,BD$5,0)),0,1/VLOOKUP($R406,Capa!$A:$AJ,BD$5,0))))</f>
        <v/>
      </c>
      <c r="BE406" s="174" t="str">
        <f>IF(BE$6="","",IF(BE$3="Maior",iferror(VLOOKUP($R406,Capa!$A:$AJ,BE$5,0),0),IF(ISERROR(1/VLOOKUP($R406,Capa!$A:$AJ,BE$5,0)),0,1/VLOOKUP($R406,Capa!$A:$AJ,BE$5,0))))</f>
        <v/>
      </c>
      <c r="BF406" s="174" t="str">
        <f>IF(BF$6="","",IF(BF$3="Maior",iferror(VLOOKUP($R406,Capa!$A:$AJ,BF$5,0),0),IF(ISERROR(1/VLOOKUP($R406,Capa!$A:$AJ,BF$5,0)),0,1/VLOOKUP($R406,Capa!$A:$AJ,BF$5,0))))</f>
        <v/>
      </c>
      <c r="BG406" s="174" t="str">
        <f>IF(BG$6="","",IF(BG$3="Maior",iferror(VLOOKUP($R406,Capa!$A:$AJ,BG$5,0),0),IF(ISERROR(1/VLOOKUP($R406,Capa!$A:$AJ,BG$5,0)),0,1/VLOOKUP($R406,Capa!$A:$AJ,BG$5,0))))</f>
        <v/>
      </c>
      <c r="BH406" s="174" t="str">
        <f>IF(BH$6="","",IF(BH$3="Maior",iferror(VLOOKUP($R406,Capa!$A:$AJ,BH$5,0),0),IF(ISERROR(1/VLOOKUP($R406,Capa!$A:$AJ,BH$5,0)),0,1/VLOOKUP($R406,Capa!$A:$AJ,BH$5,0))))</f>
        <v/>
      </c>
      <c r="BI406" s="174" t="str">
        <f>IF(BI$6="","",IF(BI$3="Maior",iferror(VLOOKUP($R406,Capa!$A:$AJ,BI$5,0),0),IF(ISERROR(1/VLOOKUP($R406,Capa!$A:$AJ,BI$5,0)),0,1/VLOOKUP($R406,Capa!$A:$AJ,BI$5,0))))</f>
        <v/>
      </c>
      <c r="BJ406" s="174" t="str">
        <f>IF(BJ$6="","",IF(BJ$3="Maior",iferror(VLOOKUP($R406,Capa!$A:$AJ,BJ$5,0),0),IF(ISERROR(1/VLOOKUP($R406,Capa!$A:$AJ,BJ$5,0)),0,1/VLOOKUP($R406,Capa!$A:$AJ,BJ$5,0))))</f>
        <v/>
      </c>
      <c r="BK406" s="174" t="str">
        <f>IF(BK$6="","",IF(BK$3="Maior",iferror(VLOOKUP($R406,Capa!$A:$AJ,BK$5,0),0),IF(ISERROR(1/VLOOKUP($R406,Capa!$A:$AJ,BK$5,0)),0,1/VLOOKUP($R406,Capa!$A:$AJ,BK$5,0))))</f>
        <v/>
      </c>
      <c r="BL406" s="174" t="str">
        <f>IF(BL$6="","",IF(BL$3="Maior",iferror(VLOOKUP($R406,Capa!$A:$AJ,BL$5,0),0),IF(ISERROR(1/VLOOKUP($R406,Capa!$A:$AJ,BL$5,0)),0,1/VLOOKUP($R406,Capa!$A:$AJ,BL$5,0))))</f>
        <v/>
      </c>
      <c r="BM406" s="174" t="str">
        <f>IF(BM$6="","",IF(BM$3="Maior",iferror(VLOOKUP($R406,Capa!$A:$AJ,BM$5,0),0),IF(ISERROR(1/VLOOKUP($R406,Capa!$A:$AJ,BM$5,0)),0,1/VLOOKUP($R406,Capa!$A:$AJ,BM$5,0))))</f>
        <v/>
      </c>
      <c r="BN406" s="174" t="str">
        <f>IF(BN$6="","",IF(BN$3="Maior",iferror(VLOOKUP($R406,Capa!$A:$AJ,BN$5,0),0),IF(ISERROR(1/VLOOKUP($R406,Capa!$A:$AJ,BN$5,0)),0,1/VLOOKUP($R406,Capa!$A:$AJ,BN$5,0))))</f>
        <v/>
      </c>
      <c r="BO406" s="174" t="str">
        <f>IF(BO$6="","",IF(BO$3="Maior",iferror(VLOOKUP($R406,Capa!$A:$AJ,BO$5,0),0),IF(ISERROR(1/VLOOKUP($R406,Capa!$A:$AJ,BO$5,0)),0,1/VLOOKUP($R406,Capa!$A:$AJ,BO$5,0))))</f>
        <v/>
      </c>
      <c r="BP406" s="174" t="str">
        <f>IF(BP$6="","",IF(BP$3="Maior",iferror(VLOOKUP($R406,Capa!$A:$AJ,BP$5,0),0),IF(ISERROR(1/VLOOKUP($R406,Capa!$A:$AJ,BP$5,0)),0,1/VLOOKUP($R406,Capa!$A:$AJ,BP$5,0))))</f>
        <v/>
      </c>
      <c r="BQ406" s="174" t="str">
        <f>IF(BQ$6="","",IF(BQ$3="Maior",iferror(VLOOKUP($R406,Capa!$A:$AJ,BQ$5,0),0),IF(ISERROR(1/VLOOKUP($R406,Capa!$A:$AJ,BQ$5,0)),0,1/VLOOKUP($R406,Capa!$A:$AJ,BQ$5,0))))</f>
        <v/>
      </c>
      <c r="BR406" s="175"/>
      <c r="BS406" s="147"/>
    </row>
    <row r="407">
      <c r="G407" s="11"/>
      <c r="H407" s="8">
        <v>401.0</v>
      </c>
      <c r="I407" s="165" t="str">
        <f t="shared" si="6"/>
        <v>MAPT4</v>
      </c>
      <c r="J407" s="166" t="str">
        <f>(VLOOKUP($I407,Capa!$A:$B,2,0))</f>
        <v>Cemepe Investimentos SA Preference Shares</v>
      </c>
      <c r="K407" s="167" t="str">
        <f>VLOOKUP(left(I407,4),Setor!A:D,3,0)&amp;" | "&amp;VLOOKUP(left(I407,4),Setor!A:D,4,0)</f>
        <v>Outros | Outros</v>
      </c>
      <c r="L407" s="168">
        <f>(VLOOKUP($I407,Capa!$A:$F,6,0))</f>
        <v>3.87</v>
      </c>
      <c r="M407" s="168">
        <f t="shared" si="7"/>
        <v>365.83</v>
      </c>
      <c r="N407" s="11" t="str">
        <f>IFERROR(__xludf.DUMMYFUNCTION("(VLOOKUP($I407,Capa!$A:$H,7,0))"),"")</f>
        <v/>
      </c>
      <c r="O407" s="169" t="str">
        <f>(VLOOKUP($I407,Capa!$A:$H,8,0))</f>
        <v/>
      </c>
      <c r="P407" s="11" t="str">
        <f>IFERROR(__xludf.DUMMYFUNCTION("(VLOOKUP($I407,Capa!$A:$J,10,0))"),"")</f>
        <v/>
      </c>
      <c r="Q407" s="169">
        <f>(VLOOKUP($I407,Capa!$A:$K,11,0))</f>
        <v>-0.08941176471</v>
      </c>
      <c r="R407" s="45" t="str">
        <f>'Dados StatusInvest'!A402</f>
        <v>MSPA3</v>
      </c>
      <c r="S407" s="170">
        <f t="shared" si="234"/>
        <v>1800.08</v>
      </c>
      <c r="T407" s="171">
        <f>VLOOKUP(R407,'Dados StatusInvest'!A:Z,26,0)</f>
        <v>0</v>
      </c>
      <c r="U407" s="172">
        <f t="shared" ref="U407:AS407" si="410">IF(AT407="","", RANK(AT407,AT$7:AT$626,0)+RANK(AT407,AT$7:AT$626,0)/10000)</f>
        <v>533.0533</v>
      </c>
      <c r="V407" s="172">
        <f t="shared" si="410"/>
        <v>267.0267</v>
      </c>
      <c r="W407" s="172" t="str">
        <f t="shared" si="410"/>
        <v/>
      </c>
      <c r="X407" s="172" t="str">
        <f t="shared" si="410"/>
        <v/>
      </c>
      <c r="Y407" s="172" t="str">
        <f t="shared" si="410"/>
        <v/>
      </c>
      <c r="Z407" s="172" t="str">
        <f t="shared" si="410"/>
        <v/>
      </c>
      <c r="AA407" s="172" t="str">
        <f t="shared" si="410"/>
        <v/>
      </c>
      <c r="AB407" s="172" t="str">
        <f t="shared" si="410"/>
        <v/>
      </c>
      <c r="AC407" s="172" t="str">
        <f t="shared" si="410"/>
        <v/>
      </c>
      <c r="AD407" s="172" t="str">
        <f t="shared" si="410"/>
        <v/>
      </c>
      <c r="AE407" s="172" t="str">
        <f t="shared" si="410"/>
        <v/>
      </c>
      <c r="AF407" s="172" t="str">
        <f t="shared" si="410"/>
        <v/>
      </c>
      <c r="AG407" s="172" t="str">
        <f t="shared" si="410"/>
        <v/>
      </c>
      <c r="AH407" s="172" t="str">
        <f t="shared" si="410"/>
        <v/>
      </c>
      <c r="AI407" s="172" t="str">
        <f t="shared" si="410"/>
        <v/>
      </c>
      <c r="AJ407" s="172" t="str">
        <f t="shared" si="410"/>
        <v/>
      </c>
      <c r="AK407" s="172" t="str">
        <f t="shared" si="410"/>
        <v/>
      </c>
      <c r="AL407" s="172" t="str">
        <f t="shared" si="410"/>
        <v/>
      </c>
      <c r="AM407" s="172" t="str">
        <f t="shared" si="410"/>
        <v/>
      </c>
      <c r="AN407" s="172" t="str">
        <f t="shared" si="410"/>
        <v/>
      </c>
      <c r="AO407" s="172" t="str">
        <f t="shared" si="410"/>
        <v/>
      </c>
      <c r="AP407" s="172" t="str">
        <f t="shared" si="410"/>
        <v/>
      </c>
      <c r="AQ407" s="172" t="str">
        <f t="shared" si="410"/>
        <v/>
      </c>
      <c r="AR407" s="172" t="str">
        <f t="shared" si="410"/>
        <v/>
      </c>
      <c r="AS407" s="172" t="str">
        <f t="shared" si="410"/>
        <v/>
      </c>
      <c r="AT407" s="173">
        <f>IF(AT$6="","",IF(AT$3="Maior",iferror(VLOOKUP($R407,Capa!$A:$AJ,AT$5,0),0),IF(ISERROR(1/VLOOKUP($R407,Capa!$A:$AJ,AT$5,0)),0,1/VLOOKUP($R407,Capa!$A:$AJ,AT$5,0))))</f>
        <v>-4.347826087</v>
      </c>
      <c r="AU407" s="174">
        <f>IF(AU$6="","",IF(AU$3="Maior",iferror(VLOOKUP($R407,Capa!$A:$AJ,AU$5,0),0),IF(ISERROR(1/VLOOKUP($R407,Capa!$A:$AJ,AU$5,0)),0,1/VLOOKUP($R407,Capa!$A:$AJ,AU$5,0))))</f>
        <v>0</v>
      </c>
      <c r="AV407" s="174" t="str">
        <f>IF(AV$6="","",IF(AV$3="Maior",iferror(VLOOKUP($R407,Capa!$A:$AJ,AV$5,0),0),IF(ISERROR(1/VLOOKUP($R407,Capa!$A:$AJ,AV$5,0)),0,1/VLOOKUP($R407,Capa!$A:$AJ,AV$5,0))))</f>
        <v/>
      </c>
      <c r="AW407" s="174" t="str">
        <f>IF(AW$6="","",IF(AW$3="Maior",iferror(VLOOKUP($R407,Capa!$A:$AJ,AW$5,0),0),IF(ISERROR(1/VLOOKUP($R407,Capa!$A:$AJ,AW$5,0)),0,1/VLOOKUP($R407,Capa!$A:$AJ,AW$5,0))))</f>
        <v/>
      </c>
      <c r="AX407" s="174" t="str">
        <f>IF(AX$6="","",IF(AX$3="Maior",iferror(VLOOKUP($R407,Capa!$A:$AJ,AX$5,0),0),IF(ISERROR(1/VLOOKUP($R407,Capa!$A:$AJ,AX$5,0)),0,1/VLOOKUP($R407,Capa!$A:$AJ,AX$5,0))))</f>
        <v/>
      </c>
      <c r="AY407" s="174" t="str">
        <f>IF(AY$6="","",IF(AY$3="Maior",iferror(VLOOKUP($R407,Capa!$A:$AJ,AY$5,0),0),IF(ISERROR(1/VLOOKUP($R407,Capa!$A:$AJ,AY$5,0)),0,1/VLOOKUP($R407,Capa!$A:$AJ,AY$5,0))))</f>
        <v/>
      </c>
      <c r="AZ407" s="174" t="str">
        <f>IF(AZ$6="","",IF(AZ$3="Maior",iferror(VLOOKUP($R407,Capa!$A:$AJ,AZ$5,0),0),IF(ISERROR(1/VLOOKUP($R407,Capa!$A:$AJ,AZ$5,0)),0,1/VLOOKUP($R407,Capa!$A:$AJ,AZ$5,0))))</f>
        <v/>
      </c>
      <c r="BA407" s="174" t="str">
        <f>IF(BA$6="","",IF(BA$3="Maior",iferror(VLOOKUP($R407,Capa!$A:$AJ,BA$5,0),0),IF(ISERROR(1/VLOOKUP($R407,Capa!$A:$AJ,BA$5,0)),0,1/VLOOKUP($R407,Capa!$A:$AJ,BA$5,0))))</f>
        <v/>
      </c>
      <c r="BB407" s="174" t="str">
        <f>IF(BB$6="","",IF(BB$3="Maior",iferror(VLOOKUP($R407,Capa!$A:$AJ,BB$5,0),0),IF(ISERROR(1/VLOOKUP($R407,Capa!$A:$AJ,BB$5,0)),0,1/VLOOKUP($R407,Capa!$A:$AJ,BB$5,0))))</f>
        <v/>
      </c>
      <c r="BC407" s="174" t="str">
        <f>IF(BC$6="","",IF(BC$3="Maior",iferror(VLOOKUP($R407,Capa!$A:$AJ,BC$5,0),0),IF(ISERROR(1/VLOOKUP($R407,Capa!$A:$AJ,BC$5,0)),0,1/VLOOKUP($R407,Capa!$A:$AJ,BC$5,0))))</f>
        <v/>
      </c>
      <c r="BD407" s="174" t="str">
        <f>IF(BD$6="","",IF(BD$3="Maior",iferror(VLOOKUP($R407,Capa!$A:$AJ,BD$5,0),0),IF(ISERROR(1/VLOOKUP($R407,Capa!$A:$AJ,BD$5,0)),0,1/VLOOKUP($R407,Capa!$A:$AJ,BD$5,0))))</f>
        <v/>
      </c>
      <c r="BE407" s="174" t="str">
        <f>IF(BE$6="","",IF(BE$3="Maior",iferror(VLOOKUP($R407,Capa!$A:$AJ,BE$5,0),0),IF(ISERROR(1/VLOOKUP($R407,Capa!$A:$AJ,BE$5,0)),0,1/VLOOKUP($R407,Capa!$A:$AJ,BE$5,0))))</f>
        <v/>
      </c>
      <c r="BF407" s="174" t="str">
        <f>IF(BF$6="","",IF(BF$3="Maior",iferror(VLOOKUP($R407,Capa!$A:$AJ,BF$5,0),0),IF(ISERROR(1/VLOOKUP($R407,Capa!$A:$AJ,BF$5,0)),0,1/VLOOKUP($R407,Capa!$A:$AJ,BF$5,0))))</f>
        <v/>
      </c>
      <c r="BG407" s="174" t="str">
        <f>IF(BG$6="","",IF(BG$3="Maior",iferror(VLOOKUP($R407,Capa!$A:$AJ,BG$5,0),0),IF(ISERROR(1/VLOOKUP($R407,Capa!$A:$AJ,BG$5,0)),0,1/VLOOKUP($R407,Capa!$A:$AJ,BG$5,0))))</f>
        <v/>
      </c>
      <c r="BH407" s="174" t="str">
        <f>IF(BH$6="","",IF(BH$3="Maior",iferror(VLOOKUP($R407,Capa!$A:$AJ,BH$5,0),0),IF(ISERROR(1/VLOOKUP($R407,Capa!$A:$AJ,BH$5,0)),0,1/VLOOKUP($R407,Capa!$A:$AJ,BH$5,0))))</f>
        <v/>
      </c>
      <c r="BI407" s="174" t="str">
        <f>IF(BI$6="","",IF(BI$3="Maior",iferror(VLOOKUP($R407,Capa!$A:$AJ,BI$5,0),0),IF(ISERROR(1/VLOOKUP($R407,Capa!$A:$AJ,BI$5,0)),0,1/VLOOKUP($R407,Capa!$A:$AJ,BI$5,0))))</f>
        <v/>
      </c>
      <c r="BJ407" s="174" t="str">
        <f>IF(BJ$6="","",IF(BJ$3="Maior",iferror(VLOOKUP($R407,Capa!$A:$AJ,BJ$5,0),0),IF(ISERROR(1/VLOOKUP($R407,Capa!$A:$AJ,BJ$5,0)),0,1/VLOOKUP($R407,Capa!$A:$AJ,BJ$5,0))))</f>
        <v/>
      </c>
      <c r="BK407" s="174" t="str">
        <f>IF(BK$6="","",IF(BK$3="Maior",iferror(VLOOKUP($R407,Capa!$A:$AJ,BK$5,0),0),IF(ISERROR(1/VLOOKUP($R407,Capa!$A:$AJ,BK$5,0)),0,1/VLOOKUP($R407,Capa!$A:$AJ,BK$5,0))))</f>
        <v/>
      </c>
      <c r="BL407" s="174" t="str">
        <f>IF(BL$6="","",IF(BL$3="Maior",iferror(VLOOKUP($R407,Capa!$A:$AJ,BL$5,0),0),IF(ISERROR(1/VLOOKUP($R407,Capa!$A:$AJ,BL$5,0)),0,1/VLOOKUP($R407,Capa!$A:$AJ,BL$5,0))))</f>
        <v/>
      </c>
      <c r="BM407" s="174" t="str">
        <f>IF(BM$6="","",IF(BM$3="Maior",iferror(VLOOKUP($R407,Capa!$A:$AJ,BM$5,0),0),IF(ISERROR(1/VLOOKUP($R407,Capa!$A:$AJ,BM$5,0)),0,1/VLOOKUP($R407,Capa!$A:$AJ,BM$5,0))))</f>
        <v/>
      </c>
      <c r="BN407" s="174" t="str">
        <f>IF(BN$6="","",IF(BN$3="Maior",iferror(VLOOKUP($R407,Capa!$A:$AJ,BN$5,0),0),IF(ISERROR(1/VLOOKUP($R407,Capa!$A:$AJ,BN$5,0)),0,1/VLOOKUP($R407,Capa!$A:$AJ,BN$5,0))))</f>
        <v/>
      </c>
      <c r="BO407" s="174" t="str">
        <f>IF(BO$6="","",IF(BO$3="Maior",iferror(VLOOKUP($R407,Capa!$A:$AJ,BO$5,0),0),IF(ISERROR(1/VLOOKUP($R407,Capa!$A:$AJ,BO$5,0)),0,1/VLOOKUP($R407,Capa!$A:$AJ,BO$5,0))))</f>
        <v/>
      </c>
      <c r="BP407" s="174" t="str">
        <f>IF(BP$6="","",IF(BP$3="Maior",iferror(VLOOKUP($R407,Capa!$A:$AJ,BP$5,0),0),IF(ISERROR(1/VLOOKUP($R407,Capa!$A:$AJ,BP$5,0)),0,1/VLOOKUP($R407,Capa!$A:$AJ,BP$5,0))))</f>
        <v/>
      </c>
      <c r="BQ407" s="174" t="str">
        <f>IF(BQ$6="","",IF(BQ$3="Maior",iferror(VLOOKUP($R407,Capa!$A:$AJ,BQ$5,0),0),IF(ISERROR(1/VLOOKUP($R407,Capa!$A:$AJ,BQ$5,0)),0,1/VLOOKUP($R407,Capa!$A:$AJ,BQ$5,0))))</f>
        <v/>
      </c>
      <c r="BR407" s="175"/>
      <c r="BS407" s="147"/>
    </row>
    <row r="408">
      <c r="G408" s="11"/>
      <c r="H408" s="8">
        <v>402.0</v>
      </c>
      <c r="I408" s="165" t="str">
        <f t="shared" si="6"/>
        <v>MAPT4</v>
      </c>
      <c r="J408" s="166" t="str">
        <f>(VLOOKUP($I408,Capa!$A:$B,2,0))</f>
        <v>Cemepe Investimentos SA Preference Shares</v>
      </c>
      <c r="K408" s="167" t="str">
        <f>VLOOKUP(left(I408,4),Setor!A:D,3,0)&amp;" | "&amp;VLOOKUP(left(I408,4),Setor!A:D,4,0)</f>
        <v>Outros | Outros</v>
      </c>
      <c r="L408" s="168">
        <f>(VLOOKUP($I408,Capa!$A:$F,6,0))</f>
        <v>3.87</v>
      </c>
      <c r="M408" s="168">
        <f t="shared" si="7"/>
        <v>365.83</v>
      </c>
      <c r="N408" s="11" t="str">
        <f>IFERROR(__xludf.DUMMYFUNCTION("(VLOOKUP($I408,Capa!$A:$H,7,0))"),"")</f>
        <v/>
      </c>
      <c r="O408" s="169" t="str">
        <f>(VLOOKUP($I408,Capa!$A:$H,8,0))</f>
        <v/>
      </c>
      <c r="P408" s="11" t="str">
        <f>IFERROR(__xludf.DUMMYFUNCTION("(VLOOKUP($I408,Capa!$A:$J,10,0))"),"")</f>
        <v/>
      </c>
      <c r="Q408" s="169">
        <f>(VLOOKUP($I408,Capa!$A:$K,11,0))</f>
        <v>-0.08941176471</v>
      </c>
      <c r="R408" s="45" t="str">
        <f>'Dados StatusInvest'!A403</f>
        <v>MSPA4</v>
      </c>
      <c r="S408" s="170">
        <f t="shared" si="234"/>
        <v>1812.0812</v>
      </c>
      <c r="T408" s="171">
        <f>VLOOKUP(R408,'Dados StatusInvest'!A:Z,26,0)</f>
        <v>0</v>
      </c>
      <c r="U408" s="172">
        <f t="shared" ref="U408:AS408" si="411">IF(AT408="","", RANK(AT408,AT$7:AT$626,0)+RANK(AT408,AT$7:AT$626,0)/10000)</f>
        <v>545.0545</v>
      </c>
      <c r="V408" s="172">
        <f t="shared" si="411"/>
        <v>267.0267</v>
      </c>
      <c r="W408" s="172" t="str">
        <f t="shared" si="411"/>
        <v/>
      </c>
      <c r="X408" s="172" t="str">
        <f t="shared" si="411"/>
        <v/>
      </c>
      <c r="Y408" s="172" t="str">
        <f t="shared" si="411"/>
        <v/>
      </c>
      <c r="Z408" s="172" t="str">
        <f t="shared" si="411"/>
        <v/>
      </c>
      <c r="AA408" s="172" t="str">
        <f t="shared" si="411"/>
        <v/>
      </c>
      <c r="AB408" s="172" t="str">
        <f t="shared" si="411"/>
        <v/>
      </c>
      <c r="AC408" s="172" t="str">
        <f t="shared" si="411"/>
        <v/>
      </c>
      <c r="AD408" s="172" t="str">
        <f t="shared" si="411"/>
        <v/>
      </c>
      <c r="AE408" s="172" t="str">
        <f t="shared" si="411"/>
        <v/>
      </c>
      <c r="AF408" s="172" t="str">
        <f t="shared" si="411"/>
        <v/>
      </c>
      <c r="AG408" s="172" t="str">
        <f t="shared" si="411"/>
        <v/>
      </c>
      <c r="AH408" s="172" t="str">
        <f t="shared" si="411"/>
        <v/>
      </c>
      <c r="AI408" s="172" t="str">
        <f t="shared" si="411"/>
        <v/>
      </c>
      <c r="AJ408" s="172" t="str">
        <f t="shared" si="411"/>
        <v/>
      </c>
      <c r="AK408" s="172" t="str">
        <f t="shared" si="411"/>
        <v/>
      </c>
      <c r="AL408" s="172" t="str">
        <f t="shared" si="411"/>
        <v/>
      </c>
      <c r="AM408" s="172" t="str">
        <f t="shared" si="411"/>
        <v/>
      </c>
      <c r="AN408" s="172" t="str">
        <f t="shared" si="411"/>
        <v/>
      </c>
      <c r="AO408" s="172" t="str">
        <f t="shared" si="411"/>
        <v/>
      </c>
      <c r="AP408" s="172" t="str">
        <f t="shared" si="411"/>
        <v/>
      </c>
      <c r="AQ408" s="172" t="str">
        <f t="shared" si="411"/>
        <v/>
      </c>
      <c r="AR408" s="172" t="str">
        <f t="shared" si="411"/>
        <v/>
      </c>
      <c r="AS408" s="172" t="str">
        <f t="shared" si="411"/>
        <v/>
      </c>
      <c r="AT408" s="173">
        <f>IF(AT$6="","",IF(AT$3="Maior",iferror(VLOOKUP($R408,Capa!$A:$AJ,AT$5,0),0),IF(ISERROR(1/VLOOKUP($R408,Capa!$A:$AJ,AT$5,0)),0,1/VLOOKUP($R408,Capa!$A:$AJ,AT$5,0))))</f>
        <v>-5</v>
      </c>
      <c r="AU408" s="174">
        <f>IF(AU$6="","",IF(AU$3="Maior",iferror(VLOOKUP($R408,Capa!$A:$AJ,AU$5,0),0),IF(ISERROR(1/VLOOKUP($R408,Capa!$A:$AJ,AU$5,0)),0,1/VLOOKUP($R408,Capa!$A:$AJ,AU$5,0))))</f>
        <v>0</v>
      </c>
      <c r="AV408" s="174" t="str">
        <f>IF(AV$6="","",IF(AV$3="Maior",iferror(VLOOKUP($R408,Capa!$A:$AJ,AV$5,0),0),IF(ISERROR(1/VLOOKUP($R408,Capa!$A:$AJ,AV$5,0)),0,1/VLOOKUP($R408,Capa!$A:$AJ,AV$5,0))))</f>
        <v/>
      </c>
      <c r="AW408" s="174" t="str">
        <f>IF(AW$6="","",IF(AW$3="Maior",iferror(VLOOKUP($R408,Capa!$A:$AJ,AW$5,0),0),IF(ISERROR(1/VLOOKUP($R408,Capa!$A:$AJ,AW$5,0)),0,1/VLOOKUP($R408,Capa!$A:$AJ,AW$5,0))))</f>
        <v/>
      </c>
      <c r="AX408" s="174" t="str">
        <f>IF(AX$6="","",IF(AX$3="Maior",iferror(VLOOKUP($R408,Capa!$A:$AJ,AX$5,0),0),IF(ISERROR(1/VLOOKUP($R408,Capa!$A:$AJ,AX$5,0)),0,1/VLOOKUP($R408,Capa!$A:$AJ,AX$5,0))))</f>
        <v/>
      </c>
      <c r="AY408" s="174" t="str">
        <f>IF(AY$6="","",IF(AY$3="Maior",iferror(VLOOKUP($R408,Capa!$A:$AJ,AY$5,0),0),IF(ISERROR(1/VLOOKUP($R408,Capa!$A:$AJ,AY$5,0)),0,1/VLOOKUP($R408,Capa!$A:$AJ,AY$5,0))))</f>
        <v/>
      </c>
      <c r="AZ408" s="174" t="str">
        <f>IF(AZ$6="","",IF(AZ$3="Maior",iferror(VLOOKUP($R408,Capa!$A:$AJ,AZ$5,0),0),IF(ISERROR(1/VLOOKUP($R408,Capa!$A:$AJ,AZ$5,0)),0,1/VLOOKUP($R408,Capa!$A:$AJ,AZ$5,0))))</f>
        <v/>
      </c>
      <c r="BA408" s="174" t="str">
        <f>IF(BA$6="","",IF(BA$3="Maior",iferror(VLOOKUP($R408,Capa!$A:$AJ,BA$5,0),0),IF(ISERROR(1/VLOOKUP($R408,Capa!$A:$AJ,BA$5,0)),0,1/VLOOKUP($R408,Capa!$A:$AJ,BA$5,0))))</f>
        <v/>
      </c>
      <c r="BB408" s="174" t="str">
        <f>IF(BB$6="","",IF(BB$3="Maior",iferror(VLOOKUP($R408,Capa!$A:$AJ,BB$5,0),0),IF(ISERROR(1/VLOOKUP($R408,Capa!$A:$AJ,BB$5,0)),0,1/VLOOKUP($R408,Capa!$A:$AJ,BB$5,0))))</f>
        <v/>
      </c>
      <c r="BC408" s="174" t="str">
        <f>IF(BC$6="","",IF(BC$3="Maior",iferror(VLOOKUP($R408,Capa!$A:$AJ,BC$5,0),0),IF(ISERROR(1/VLOOKUP($R408,Capa!$A:$AJ,BC$5,0)),0,1/VLOOKUP($R408,Capa!$A:$AJ,BC$5,0))))</f>
        <v/>
      </c>
      <c r="BD408" s="174" t="str">
        <f>IF(BD$6="","",IF(BD$3="Maior",iferror(VLOOKUP($R408,Capa!$A:$AJ,BD$5,0),0),IF(ISERROR(1/VLOOKUP($R408,Capa!$A:$AJ,BD$5,0)),0,1/VLOOKUP($R408,Capa!$A:$AJ,BD$5,0))))</f>
        <v/>
      </c>
      <c r="BE408" s="174" t="str">
        <f>IF(BE$6="","",IF(BE$3="Maior",iferror(VLOOKUP($R408,Capa!$A:$AJ,BE$5,0),0),IF(ISERROR(1/VLOOKUP($R408,Capa!$A:$AJ,BE$5,0)),0,1/VLOOKUP($R408,Capa!$A:$AJ,BE$5,0))))</f>
        <v/>
      </c>
      <c r="BF408" s="174" t="str">
        <f>IF(BF$6="","",IF(BF$3="Maior",iferror(VLOOKUP($R408,Capa!$A:$AJ,BF$5,0),0),IF(ISERROR(1/VLOOKUP($R408,Capa!$A:$AJ,BF$5,0)),0,1/VLOOKUP($R408,Capa!$A:$AJ,BF$5,0))))</f>
        <v/>
      </c>
      <c r="BG408" s="174" t="str">
        <f>IF(BG$6="","",IF(BG$3="Maior",iferror(VLOOKUP($R408,Capa!$A:$AJ,BG$5,0),0),IF(ISERROR(1/VLOOKUP($R408,Capa!$A:$AJ,BG$5,0)),0,1/VLOOKUP($R408,Capa!$A:$AJ,BG$5,0))))</f>
        <v/>
      </c>
      <c r="BH408" s="174" t="str">
        <f>IF(BH$6="","",IF(BH$3="Maior",iferror(VLOOKUP($R408,Capa!$A:$AJ,BH$5,0),0),IF(ISERROR(1/VLOOKUP($R408,Capa!$A:$AJ,BH$5,0)),0,1/VLOOKUP($R408,Capa!$A:$AJ,BH$5,0))))</f>
        <v/>
      </c>
      <c r="BI408" s="174" t="str">
        <f>IF(BI$6="","",IF(BI$3="Maior",iferror(VLOOKUP($R408,Capa!$A:$AJ,BI$5,0),0),IF(ISERROR(1/VLOOKUP($R408,Capa!$A:$AJ,BI$5,0)),0,1/VLOOKUP($R408,Capa!$A:$AJ,BI$5,0))))</f>
        <v/>
      </c>
      <c r="BJ408" s="174" t="str">
        <f>IF(BJ$6="","",IF(BJ$3="Maior",iferror(VLOOKUP($R408,Capa!$A:$AJ,BJ$5,0),0),IF(ISERROR(1/VLOOKUP($R408,Capa!$A:$AJ,BJ$5,0)),0,1/VLOOKUP($R408,Capa!$A:$AJ,BJ$5,0))))</f>
        <v/>
      </c>
      <c r="BK408" s="174" t="str">
        <f>IF(BK$6="","",IF(BK$3="Maior",iferror(VLOOKUP($R408,Capa!$A:$AJ,BK$5,0),0),IF(ISERROR(1/VLOOKUP($R408,Capa!$A:$AJ,BK$5,0)),0,1/VLOOKUP($R408,Capa!$A:$AJ,BK$5,0))))</f>
        <v/>
      </c>
      <c r="BL408" s="174" t="str">
        <f>IF(BL$6="","",IF(BL$3="Maior",iferror(VLOOKUP($R408,Capa!$A:$AJ,BL$5,0),0),IF(ISERROR(1/VLOOKUP($R408,Capa!$A:$AJ,BL$5,0)),0,1/VLOOKUP($R408,Capa!$A:$AJ,BL$5,0))))</f>
        <v/>
      </c>
      <c r="BM408" s="174" t="str">
        <f>IF(BM$6="","",IF(BM$3="Maior",iferror(VLOOKUP($R408,Capa!$A:$AJ,BM$5,0),0),IF(ISERROR(1/VLOOKUP($R408,Capa!$A:$AJ,BM$5,0)),0,1/VLOOKUP($R408,Capa!$A:$AJ,BM$5,0))))</f>
        <v/>
      </c>
      <c r="BN408" s="174" t="str">
        <f>IF(BN$6="","",IF(BN$3="Maior",iferror(VLOOKUP($R408,Capa!$A:$AJ,BN$5,0),0),IF(ISERROR(1/VLOOKUP($R408,Capa!$A:$AJ,BN$5,0)),0,1/VLOOKUP($R408,Capa!$A:$AJ,BN$5,0))))</f>
        <v/>
      </c>
      <c r="BO408" s="174" t="str">
        <f>IF(BO$6="","",IF(BO$3="Maior",iferror(VLOOKUP($R408,Capa!$A:$AJ,BO$5,0),0),IF(ISERROR(1/VLOOKUP($R408,Capa!$A:$AJ,BO$5,0)),0,1/VLOOKUP($R408,Capa!$A:$AJ,BO$5,0))))</f>
        <v/>
      </c>
      <c r="BP408" s="174" t="str">
        <f>IF(BP$6="","",IF(BP$3="Maior",iferror(VLOOKUP($R408,Capa!$A:$AJ,BP$5,0),0),IF(ISERROR(1/VLOOKUP($R408,Capa!$A:$AJ,BP$5,0)),0,1/VLOOKUP($R408,Capa!$A:$AJ,BP$5,0))))</f>
        <v/>
      </c>
      <c r="BQ408" s="174" t="str">
        <f>IF(BQ$6="","",IF(BQ$3="Maior",iferror(VLOOKUP($R408,Capa!$A:$AJ,BQ$5,0),0),IF(ISERROR(1/VLOOKUP($R408,Capa!$A:$AJ,BQ$5,0)),0,1/VLOOKUP($R408,Capa!$A:$AJ,BQ$5,0))))</f>
        <v/>
      </c>
      <c r="BR408" s="175"/>
      <c r="BS408" s="147"/>
    </row>
    <row r="409">
      <c r="G409" s="11"/>
      <c r="H409" s="8">
        <v>403.0</v>
      </c>
      <c r="I409" s="165" t="str">
        <f t="shared" si="6"/>
        <v>ALPA3</v>
      </c>
      <c r="J409" s="166" t="str">
        <f>(VLOOKUP($I409,Capa!$A:$B,2,0))</f>
        <v>Alpargatas SA</v>
      </c>
      <c r="K409" s="167" t="str">
        <f>VLOOKUP(left(I409,4),Setor!A:D,3,0)&amp;" | "&amp;VLOOKUP(left(I409,4),Setor!A:D,4,0)</f>
        <v>Consumo Cíclico | Tecidos, Vestuário e Calçados</v>
      </c>
      <c r="L409" s="168">
        <f>(VLOOKUP($I409,Capa!$A:$F,6,0))</f>
        <v>12.35</v>
      </c>
      <c r="M409" s="168">
        <f t="shared" si="7"/>
        <v>270396</v>
      </c>
      <c r="N409" s="11" t="str">
        <f>IFERROR(__xludf.DUMMYFUNCTION("(VLOOKUP($I409,Capa!$A:$H,7,0))"),"")</f>
        <v/>
      </c>
      <c r="O409" s="169">
        <f>(VLOOKUP($I409,Capa!$A:$H,8,0))</f>
        <v>0.2191510365</v>
      </c>
      <c r="P409" s="11" t="str">
        <f>IFERROR(__xludf.DUMMYFUNCTION("(VLOOKUP($I409,Capa!$A:$J,10,0))"),"")</f>
        <v/>
      </c>
      <c r="Q409" s="169">
        <f>(VLOOKUP($I409,Capa!$A:$K,11,0))</f>
        <v>0.9236760125</v>
      </c>
      <c r="R409" s="45" t="str">
        <f>'Dados StatusInvest'!A404</f>
        <v>MSRO3</v>
      </c>
      <c r="S409" s="170">
        <f t="shared" si="234"/>
        <v>1299.0299</v>
      </c>
      <c r="T409" s="171">
        <f>VLOOKUP(R409,'Dados StatusInvest'!A:Z,26,0)</f>
        <v>0</v>
      </c>
      <c r="U409" s="172">
        <f t="shared" ref="U409:AS409" si="412">IF(AT409="","", RANK(AT409,AT$7:AT$626,0)+RANK(AT409,AT$7:AT$626,0)/10000)</f>
        <v>32.0032</v>
      </c>
      <c r="V409" s="172">
        <f t="shared" si="412"/>
        <v>267.0267</v>
      </c>
      <c r="W409" s="172" t="str">
        <f t="shared" si="412"/>
        <v/>
      </c>
      <c r="X409" s="172" t="str">
        <f t="shared" si="412"/>
        <v/>
      </c>
      <c r="Y409" s="172" t="str">
        <f t="shared" si="412"/>
        <v/>
      </c>
      <c r="Z409" s="172" t="str">
        <f t="shared" si="412"/>
        <v/>
      </c>
      <c r="AA409" s="172" t="str">
        <f t="shared" si="412"/>
        <v/>
      </c>
      <c r="AB409" s="172" t="str">
        <f t="shared" si="412"/>
        <v/>
      </c>
      <c r="AC409" s="172" t="str">
        <f t="shared" si="412"/>
        <v/>
      </c>
      <c r="AD409" s="172" t="str">
        <f t="shared" si="412"/>
        <v/>
      </c>
      <c r="AE409" s="172" t="str">
        <f t="shared" si="412"/>
        <v/>
      </c>
      <c r="AF409" s="172" t="str">
        <f t="shared" si="412"/>
        <v/>
      </c>
      <c r="AG409" s="172" t="str">
        <f t="shared" si="412"/>
        <v/>
      </c>
      <c r="AH409" s="172" t="str">
        <f t="shared" si="412"/>
        <v/>
      </c>
      <c r="AI409" s="172" t="str">
        <f t="shared" si="412"/>
        <v/>
      </c>
      <c r="AJ409" s="172" t="str">
        <f t="shared" si="412"/>
        <v/>
      </c>
      <c r="AK409" s="172" t="str">
        <f t="shared" si="412"/>
        <v/>
      </c>
      <c r="AL409" s="172" t="str">
        <f t="shared" si="412"/>
        <v/>
      </c>
      <c r="AM409" s="172" t="str">
        <f t="shared" si="412"/>
        <v/>
      </c>
      <c r="AN409" s="172" t="str">
        <f t="shared" si="412"/>
        <v/>
      </c>
      <c r="AO409" s="172" t="str">
        <f t="shared" si="412"/>
        <v/>
      </c>
      <c r="AP409" s="172" t="str">
        <f t="shared" si="412"/>
        <v/>
      </c>
      <c r="AQ409" s="172" t="str">
        <f t="shared" si="412"/>
        <v/>
      </c>
      <c r="AR409" s="172" t="str">
        <f t="shared" si="412"/>
        <v/>
      </c>
      <c r="AS409" s="172" t="str">
        <f t="shared" si="412"/>
        <v/>
      </c>
      <c r="AT409" s="173">
        <f>IF(AT$6="","",IF(AT$3="Maior",iferror(VLOOKUP($R409,Capa!$A:$AJ,AT$5,0),0),IF(ISERROR(1/VLOOKUP($R409,Capa!$A:$AJ,AT$5,0)),0,1/VLOOKUP($R409,Capa!$A:$AJ,AT$5,0))))</f>
        <v>0.01463700234</v>
      </c>
      <c r="AU409" s="174">
        <f>IF(AU$6="","",IF(AU$3="Maior",iferror(VLOOKUP($R409,Capa!$A:$AJ,AU$5,0),0),IF(ISERROR(1/VLOOKUP($R409,Capa!$A:$AJ,AU$5,0)),0,1/VLOOKUP($R409,Capa!$A:$AJ,AU$5,0))))</f>
        <v>0</v>
      </c>
      <c r="AV409" s="174" t="str">
        <f>IF(AV$6="","",IF(AV$3="Maior",iferror(VLOOKUP($R409,Capa!$A:$AJ,AV$5,0),0),IF(ISERROR(1/VLOOKUP($R409,Capa!$A:$AJ,AV$5,0)),0,1/VLOOKUP($R409,Capa!$A:$AJ,AV$5,0))))</f>
        <v/>
      </c>
      <c r="AW409" s="174" t="str">
        <f>IF(AW$6="","",IF(AW$3="Maior",iferror(VLOOKUP($R409,Capa!$A:$AJ,AW$5,0),0),IF(ISERROR(1/VLOOKUP($R409,Capa!$A:$AJ,AW$5,0)),0,1/VLOOKUP($R409,Capa!$A:$AJ,AW$5,0))))</f>
        <v/>
      </c>
      <c r="AX409" s="174" t="str">
        <f>IF(AX$6="","",IF(AX$3="Maior",iferror(VLOOKUP($R409,Capa!$A:$AJ,AX$5,0),0),IF(ISERROR(1/VLOOKUP($R409,Capa!$A:$AJ,AX$5,0)),0,1/VLOOKUP($R409,Capa!$A:$AJ,AX$5,0))))</f>
        <v/>
      </c>
      <c r="AY409" s="174" t="str">
        <f>IF(AY$6="","",IF(AY$3="Maior",iferror(VLOOKUP($R409,Capa!$A:$AJ,AY$5,0),0),IF(ISERROR(1/VLOOKUP($R409,Capa!$A:$AJ,AY$5,0)),0,1/VLOOKUP($R409,Capa!$A:$AJ,AY$5,0))))</f>
        <v/>
      </c>
      <c r="AZ409" s="174" t="str">
        <f>IF(AZ$6="","",IF(AZ$3="Maior",iferror(VLOOKUP($R409,Capa!$A:$AJ,AZ$5,0),0),IF(ISERROR(1/VLOOKUP($R409,Capa!$A:$AJ,AZ$5,0)),0,1/VLOOKUP($R409,Capa!$A:$AJ,AZ$5,0))))</f>
        <v/>
      </c>
      <c r="BA409" s="174" t="str">
        <f>IF(BA$6="","",IF(BA$3="Maior",iferror(VLOOKUP($R409,Capa!$A:$AJ,BA$5,0),0),IF(ISERROR(1/VLOOKUP($R409,Capa!$A:$AJ,BA$5,0)),0,1/VLOOKUP($R409,Capa!$A:$AJ,BA$5,0))))</f>
        <v/>
      </c>
      <c r="BB409" s="174" t="str">
        <f>IF(BB$6="","",IF(BB$3="Maior",iferror(VLOOKUP($R409,Capa!$A:$AJ,BB$5,0),0),IF(ISERROR(1/VLOOKUP($R409,Capa!$A:$AJ,BB$5,0)),0,1/VLOOKUP($R409,Capa!$A:$AJ,BB$5,0))))</f>
        <v/>
      </c>
      <c r="BC409" s="174" t="str">
        <f>IF(BC$6="","",IF(BC$3="Maior",iferror(VLOOKUP($R409,Capa!$A:$AJ,BC$5,0),0),IF(ISERROR(1/VLOOKUP($R409,Capa!$A:$AJ,BC$5,0)),0,1/VLOOKUP($R409,Capa!$A:$AJ,BC$5,0))))</f>
        <v/>
      </c>
      <c r="BD409" s="174" t="str">
        <f>IF(BD$6="","",IF(BD$3="Maior",iferror(VLOOKUP($R409,Capa!$A:$AJ,BD$5,0),0),IF(ISERROR(1/VLOOKUP($R409,Capa!$A:$AJ,BD$5,0)),0,1/VLOOKUP($R409,Capa!$A:$AJ,BD$5,0))))</f>
        <v/>
      </c>
      <c r="BE409" s="174" t="str">
        <f>IF(BE$6="","",IF(BE$3="Maior",iferror(VLOOKUP($R409,Capa!$A:$AJ,BE$5,0),0),IF(ISERROR(1/VLOOKUP($R409,Capa!$A:$AJ,BE$5,0)),0,1/VLOOKUP($R409,Capa!$A:$AJ,BE$5,0))))</f>
        <v/>
      </c>
      <c r="BF409" s="174" t="str">
        <f>IF(BF$6="","",IF(BF$3="Maior",iferror(VLOOKUP($R409,Capa!$A:$AJ,BF$5,0),0),IF(ISERROR(1/VLOOKUP($R409,Capa!$A:$AJ,BF$5,0)),0,1/VLOOKUP($R409,Capa!$A:$AJ,BF$5,0))))</f>
        <v/>
      </c>
      <c r="BG409" s="174" t="str">
        <f>IF(BG$6="","",IF(BG$3="Maior",iferror(VLOOKUP($R409,Capa!$A:$AJ,BG$5,0),0),IF(ISERROR(1/VLOOKUP($R409,Capa!$A:$AJ,BG$5,0)),0,1/VLOOKUP($R409,Capa!$A:$AJ,BG$5,0))))</f>
        <v/>
      </c>
      <c r="BH409" s="174" t="str">
        <f>IF(BH$6="","",IF(BH$3="Maior",iferror(VLOOKUP($R409,Capa!$A:$AJ,BH$5,0),0),IF(ISERROR(1/VLOOKUP($R409,Capa!$A:$AJ,BH$5,0)),0,1/VLOOKUP($R409,Capa!$A:$AJ,BH$5,0))))</f>
        <v/>
      </c>
      <c r="BI409" s="174" t="str">
        <f>IF(BI$6="","",IF(BI$3="Maior",iferror(VLOOKUP($R409,Capa!$A:$AJ,BI$5,0),0),IF(ISERROR(1/VLOOKUP($R409,Capa!$A:$AJ,BI$5,0)),0,1/VLOOKUP($R409,Capa!$A:$AJ,BI$5,0))))</f>
        <v/>
      </c>
      <c r="BJ409" s="174" t="str">
        <f>IF(BJ$6="","",IF(BJ$3="Maior",iferror(VLOOKUP($R409,Capa!$A:$AJ,BJ$5,0),0),IF(ISERROR(1/VLOOKUP($R409,Capa!$A:$AJ,BJ$5,0)),0,1/VLOOKUP($R409,Capa!$A:$AJ,BJ$5,0))))</f>
        <v/>
      </c>
      <c r="BK409" s="174" t="str">
        <f>IF(BK$6="","",IF(BK$3="Maior",iferror(VLOOKUP($R409,Capa!$A:$AJ,BK$5,0),0),IF(ISERROR(1/VLOOKUP($R409,Capa!$A:$AJ,BK$5,0)),0,1/VLOOKUP($R409,Capa!$A:$AJ,BK$5,0))))</f>
        <v/>
      </c>
      <c r="BL409" s="174" t="str">
        <f>IF(BL$6="","",IF(BL$3="Maior",iferror(VLOOKUP($R409,Capa!$A:$AJ,BL$5,0),0),IF(ISERROR(1/VLOOKUP($R409,Capa!$A:$AJ,BL$5,0)),0,1/VLOOKUP($R409,Capa!$A:$AJ,BL$5,0))))</f>
        <v/>
      </c>
      <c r="BM409" s="174" t="str">
        <f>IF(BM$6="","",IF(BM$3="Maior",iferror(VLOOKUP($R409,Capa!$A:$AJ,BM$5,0),0),IF(ISERROR(1/VLOOKUP($R409,Capa!$A:$AJ,BM$5,0)),0,1/VLOOKUP($R409,Capa!$A:$AJ,BM$5,0))))</f>
        <v/>
      </c>
      <c r="BN409" s="174" t="str">
        <f>IF(BN$6="","",IF(BN$3="Maior",iferror(VLOOKUP($R409,Capa!$A:$AJ,BN$5,0),0),IF(ISERROR(1/VLOOKUP($R409,Capa!$A:$AJ,BN$5,0)),0,1/VLOOKUP($R409,Capa!$A:$AJ,BN$5,0))))</f>
        <v/>
      </c>
      <c r="BO409" s="174" t="str">
        <f>IF(BO$6="","",IF(BO$3="Maior",iferror(VLOOKUP($R409,Capa!$A:$AJ,BO$5,0),0),IF(ISERROR(1/VLOOKUP($R409,Capa!$A:$AJ,BO$5,0)),0,1/VLOOKUP($R409,Capa!$A:$AJ,BO$5,0))))</f>
        <v/>
      </c>
      <c r="BP409" s="174" t="str">
        <f>IF(BP$6="","",IF(BP$3="Maior",iferror(VLOOKUP($R409,Capa!$A:$AJ,BP$5,0),0),IF(ISERROR(1/VLOOKUP($R409,Capa!$A:$AJ,BP$5,0)),0,1/VLOOKUP($R409,Capa!$A:$AJ,BP$5,0))))</f>
        <v/>
      </c>
      <c r="BQ409" s="174" t="str">
        <f>IF(BQ$6="","",IF(BQ$3="Maior",iferror(VLOOKUP($R409,Capa!$A:$AJ,BQ$5,0),0),IF(ISERROR(1/VLOOKUP($R409,Capa!$A:$AJ,BQ$5,0)),0,1/VLOOKUP($R409,Capa!$A:$AJ,BQ$5,0))))</f>
        <v/>
      </c>
      <c r="BR409" s="175"/>
      <c r="BS409" s="147"/>
    </row>
    <row r="410">
      <c r="G410" s="11"/>
      <c r="H410" s="8">
        <v>404.0</v>
      </c>
      <c r="I410" s="165" t="str">
        <f t="shared" si="6"/>
        <v>WLMM3</v>
      </c>
      <c r="J410" s="166" t="str">
        <f>(VLOOKUP($I410,Capa!$A:$B,2,0))</f>
        <v>WLM Participacoes e Cmrc d Mqns e Vcs SA</v>
      </c>
      <c r="K410" s="167" t="str">
        <f>VLOOKUP(left(I410,4),Setor!A:D,3,0)&amp;" | "&amp;VLOOKUP(left(I410,4),Setor!A:D,4,0)</f>
        <v>Bens Industriais | Comércio</v>
      </c>
      <c r="L410" s="168">
        <f>(VLOOKUP($I410,Capa!$A:$F,6,0))</f>
        <v>22.43</v>
      </c>
      <c r="M410" s="168">
        <f t="shared" si="7"/>
        <v>1654.44</v>
      </c>
      <c r="N410" s="177" t="str">
        <f>IFERROR(__xludf.DUMMYFUNCTION("(VLOOKUP($I410,Capa!$A:$H,7,0))"),"")</f>
        <v/>
      </c>
      <c r="O410" s="177" t="str">
        <f>(VLOOKUP($I410,Capa!$A:$H,8,0))</f>
        <v/>
      </c>
      <c r="P410" s="169" t="str">
        <f>IFERROR(__xludf.DUMMYFUNCTION("(VLOOKUP($I410,Capa!$A:$J,10,0))"),"")</f>
        <v/>
      </c>
      <c r="Q410" s="169">
        <f>(VLOOKUP($I410,Capa!$A:$K,11,0))</f>
        <v>-0.06619483764</v>
      </c>
      <c r="R410" s="45" t="str">
        <f>'Dados StatusInvest'!A405</f>
        <v>MTIG3</v>
      </c>
      <c r="S410" s="170">
        <f t="shared" si="234"/>
        <v>1318.0318</v>
      </c>
      <c r="T410" s="171">
        <f>VLOOKUP(R410,'Dados StatusInvest'!A:Z,26,0)</f>
        <v>0</v>
      </c>
      <c r="U410" s="172">
        <f t="shared" ref="U410:AS410" si="413">IF(AT410="","", RANK(AT410,AT$7:AT$626,0)+RANK(AT410,AT$7:AT$626,0)/10000)</f>
        <v>51.0051</v>
      </c>
      <c r="V410" s="172">
        <f t="shared" si="413"/>
        <v>267.0267</v>
      </c>
      <c r="W410" s="172" t="str">
        <f t="shared" si="413"/>
        <v/>
      </c>
      <c r="X410" s="172" t="str">
        <f t="shared" si="413"/>
        <v/>
      </c>
      <c r="Y410" s="172" t="str">
        <f t="shared" si="413"/>
        <v/>
      </c>
      <c r="Z410" s="172" t="str">
        <f t="shared" si="413"/>
        <v/>
      </c>
      <c r="AA410" s="172" t="str">
        <f t="shared" si="413"/>
        <v/>
      </c>
      <c r="AB410" s="172" t="str">
        <f t="shared" si="413"/>
        <v/>
      </c>
      <c r="AC410" s="172" t="str">
        <f t="shared" si="413"/>
        <v/>
      </c>
      <c r="AD410" s="172" t="str">
        <f t="shared" si="413"/>
        <v/>
      </c>
      <c r="AE410" s="172" t="str">
        <f t="shared" si="413"/>
        <v/>
      </c>
      <c r="AF410" s="172" t="str">
        <f t="shared" si="413"/>
        <v/>
      </c>
      <c r="AG410" s="172" t="str">
        <f t="shared" si="413"/>
        <v/>
      </c>
      <c r="AH410" s="172" t="str">
        <f t="shared" si="413"/>
        <v/>
      </c>
      <c r="AI410" s="172" t="str">
        <f t="shared" si="413"/>
        <v/>
      </c>
      <c r="AJ410" s="172" t="str">
        <f t="shared" si="413"/>
        <v/>
      </c>
      <c r="AK410" s="172" t="str">
        <f t="shared" si="413"/>
        <v/>
      </c>
      <c r="AL410" s="172" t="str">
        <f t="shared" si="413"/>
        <v/>
      </c>
      <c r="AM410" s="172" t="str">
        <f t="shared" si="413"/>
        <v/>
      </c>
      <c r="AN410" s="172" t="str">
        <f t="shared" si="413"/>
        <v/>
      </c>
      <c r="AO410" s="172" t="str">
        <f t="shared" si="413"/>
        <v/>
      </c>
      <c r="AP410" s="172" t="str">
        <f t="shared" si="413"/>
        <v/>
      </c>
      <c r="AQ410" s="172" t="str">
        <f t="shared" si="413"/>
        <v/>
      </c>
      <c r="AR410" s="172" t="str">
        <f t="shared" si="413"/>
        <v/>
      </c>
      <c r="AS410" s="172" t="str">
        <f t="shared" si="413"/>
        <v/>
      </c>
      <c r="AT410" s="173">
        <f>IF(AT$6="","",IF(AT$3="Maior",iferror(VLOOKUP($R410,Capa!$A:$AJ,AT$5,0),0),IF(ISERROR(1/VLOOKUP($R410,Capa!$A:$AJ,AT$5,0)),0,1/VLOOKUP($R410,Capa!$A:$AJ,AT$5,0))))</f>
        <v>0</v>
      </c>
      <c r="AU410" s="174">
        <f>IF(AU$6="","",IF(AU$3="Maior",iferror(VLOOKUP($R410,Capa!$A:$AJ,AU$5,0),0),IF(ISERROR(1/VLOOKUP($R410,Capa!$A:$AJ,AU$5,0)),0,1/VLOOKUP($R410,Capa!$A:$AJ,AU$5,0))))</f>
        <v>0</v>
      </c>
      <c r="AV410" s="174" t="str">
        <f>IF(AV$6="","",IF(AV$3="Maior",iferror(VLOOKUP($R410,Capa!$A:$AJ,AV$5,0),0),IF(ISERROR(1/VLOOKUP($R410,Capa!$A:$AJ,AV$5,0)),0,1/VLOOKUP($R410,Capa!$A:$AJ,AV$5,0))))</f>
        <v/>
      </c>
      <c r="AW410" s="174" t="str">
        <f>IF(AW$6="","",IF(AW$3="Maior",iferror(VLOOKUP($R410,Capa!$A:$AJ,AW$5,0),0),IF(ISERROR(1/VLOOKUP($R410,Capa!$A:$AJ,AW$5,0)),0,1/VLOOKUP($R410,Capa!$A:$AJ,AW$5,0))))</f>
        <v/>
      </c>
      <c r="AX410" s="174" t="str">
        <f>IF(AX$6="","",IF(AX$3="Maior",iferror(VLOOKUP($R410,Capa!$A:$AJ,AX$5,0),0),IF(ISERROR(1/VLOOKUP($R410,Capa!$A:$AJ,AX$5,0)),0,1/VLOOKUP($R410,Capa!$A:$AJ,AX$5,0))))</f>
        <v/>
      </c>
      <c r="AY410" s="174" t="str">
        <f>IF(AY$6="","",IF(AY$3="Maior",iferror(VLOOKUP($R410,Capa!$A:$AJ,AY$5,0),0),IF(ISERROR(1/VLOOKUP($R410,Capa!$A:$AJ,AY$5,0)),0,1/VLOOKUP($R410,Capa!$A:$AJ,AY$5,0))))</f>
        <v/>
      </c>
      <c r="AZ410" s="174" t="str">
        <f>IF(AZ$6="","",IF(AZ$3="Maior",iferror(VLOOKUP($R410,Capa!$A:$AJ,AZ$5,0),0),IF(ISERROR(1/VLOOKUP($R410,Capa!$A:$AJ,AZ$5,0)),0,1/VLOOKUP($R410,Capa!$A:$AJ,AZ$5,0))))</f>
        <v/>
      </c>
      <c r="BA410" s="174" t="str">
        <f>IF(BA$6="","",IF(BA$3="Maior",iferror(VLOOKUP($R410,Capa!$A:$AJ,BA$5,0),0),IF(ISERROR(1/VLOOKUP($R410,Capa!$A:$AJ,BA$5,0)),0,1/VLOOKUP($R410,Capa!$A:$AJ,BA$5,0))))</f>
        <v/>
      </c>
      <c r="BB410" s="174" t="str">
        <f>IF(BB$6="","",IF(BB$3="Maior",iferror(VLOOKUP($R410,Capa!$A:$AJ,BB$5,0),0),IF(ISERROR(1/VLOOKUP($R410,Capa!$A:$AJ,BB$5,0)),0,1/VLOOKUP($R410,Capa!$A:$AJ,BB$5,0))))</f>
        <v/>
      </c>
      <c r="BC410" s="174" t="str">
        <f>IF(BC$6="","",IF(BC$3="Maior",iferror(VLOOKUP($R410,Capa!$A:$AJ,BC$5,0),0),IF(ISERROR(1/VLOOKUP($R410,Capa!$A:$AJ,BC$5,0)),0,1/VLOOKUP($R410,Capa!$A:$AJ,BC$5,0))))</f>
        <v/>
      </c>
      <c r="BD410" s="174" t="str">
        <f>IF(BD$6="","",IF(BD$3="Maior",iferror(VLOOKUP($R410,Capa!$A:$AJ,BD$5,0),0),IF(ISERROR(1/VLOOKUP($R410,Capa!$A:$AJ,BD$5,0)),0,1/VLOOKUP($R410,Capa!$A:$AJ,BD$5,0))))</f>
        <v/>
      </c>
      <c r="BE410" s="174" t="str">
        <f>IF(BE$6="","",IF(BE$3="Maior",iferror(VLOOKUP($R410,Capa!$A:$AJ,BE$5,0),0),IF(ISERROR(1/VLOOKUP($R410,Capa!$A:$AJ,BE$5,0)),0,1/VLOOKUP($R410,Capa!$A:$AJ,BE$5,0))))</f>
        <v/>
      </c>
      <c r="BF410" s="174" t="str">
        <f>IF(BF$6="","",IF(BF$3="Maior",iferror(VLOOKUP($R410,Capa!$A:$AJ,BF$5,0),0),IF(ISERROR(1/VLOOKUP($R410,Capa!$A:$AJ,BF$5,0)),0,1/VLOOKUP($R410,Capa!$A:$AJ,BF$5,0))))</f>
        <v/>
      </c>
      <c r="BG410" s="174" t="str">
        <f>IF(BG$6="","",IF(BG$3="Maior",iferror(VLOOKUP($R410,Capa!$A:$AJ,BG$5,0),0),IF(ISERROR(1/VLOOKUP($R410,Capa!$A:$AJ,BG$5,0)),0,1/VLOOKUP($R410,Capa!$A:$AJ,BG$5,0))))</f>
        <v/>
      </c>
      <c r="BH410" s="174" t="str">
        <f>IF(BH$6="","",IF(BH$3="Maior",iferror(VLOOKUP($R410,Capa!$A:$AJ,BH$5,0),0),IF(ISERROR(1/VLOOKUP($R410,Capa!$A:$AJ,BH$5,0)),0,1/VLOOKUP($R410,Capa!$A:$AJ,BH$5,0))))</f>
        <v/>
      </c>
      <c r="BI410" s="174" t="str">
        <f>IF(BI$6="","",IF(BI$3="Maior",iferror(VLOOKUP($R410,Capa!$A:$AJ,BI$5,0),0),IF(ISERROR(1/VLOOKUP($R410,Capa!$A:$AJ,BI$5,0)),0,1/VLOOKUP($R410,Capa!$A:$AJ,BI$5,0))))</f>
        <v/>
      </c>
      <c r="BJ410" s="174" t="str">
        <f>IF(BJ$6="","",IF(BJ$3="Maior",iferror(VLOOKUP($R410,Capa!$A:$AJ,BJ$5,0),0),IF(ISERROR(1/VLOOKUP($R410,Capa!$A:$AJ,BJ$5,0)),0,1/VLOOKUP($R410,Capa!$A:$AJ,BJ$5,0))))</f>
        <v/>
      </c>
      <c r="BK410" s="174" t="str">
        <f>IF(BK$6="","",IF(BK$3="Maior",iferror(VLOOKUP($R410,Capa!$A:$AJ,BK$5,0),0),IF(ISERROR(1/VLOOKUP($R410,Capa!$A:$AJ,BK$5,0)),0,1/VLOOKUP($R410,Capa!$A:$AJ,BK$5,0))))</f>
        <v/>
      </c>
      <c r="BL410" s="174" t="str">
        <f>IF(BL$6="","",IF(BL$3="Maior",iferror(VLOOKUP($R410,Capa!$A:$AJ,BL$5,0),0),IF(ISERROR(1/VLOOKUP($R410,Capa!$A:$AJ,BL$5,0)),0,1/VLOOKUP($R410,Capa!$A:$AJ,BL$5,0))))</f>
        <v/>
      </c>
      <c r="BM410" s="174" t="str">
        <f>IF(BM$6="","",IF(BM$3="Maior",iferror(VLOOKUP($R410,Capa!$A:$AJ,BM$5,0),0),IF(ISERROR(1/VLOOKUP($R410,Capa!$A:$AJ,BM$5,0)),0,1/VLOOKUP($R410,Capa!$A:$AJ,BM$5,0))))</f>
        <v/>
      </c>
      <c r="BN410" s="174" t="str">
        <f>IF(BN$6="","",IF(BN$3="Maior",iferror(VLOOKUP($R410,Capa!$A:$AJ,BN$5,0),0),IF(ISERROR(1/VLOOKUP($R410,Capa!$A:$AJ,BN$5,0)),0,1/VLOOKUP($R410,Capa!$A:$AJ,BN$5,0))))</f>
        <v/>
      </c>
      <c r="BO410" s="174" t="str">
        <f>IF(BO$6="","",IF(BO$3="Maior",iferror(VLOOKUP($R410,Capa!$A:$AJ,BO$5,0),0),IF(ISERROR(1/VLOOKUP($R410,Capa!$A:$AJ,BO$5,0)),0,1/VLOOKUP($R410,Capa!$A:$AJ,BO$5,0))))</f>
        <v/>
      </c>
      <c r="BP410" s="174" t="str">
        <f>IF(BP$6="","",IF(BP$3="Maior",iferror(VLOOKUP($R410,Capa!$A:$AJ,BP$5,0),0),IF(ISERROR(1/VLOOKUP($R410,Capa!$A:$AJ,BP$5,0)),0,1/VLOOKUP($R410,Capa!$A:$AJ,BP$5,0))))</f>
        <v/>
      </c>
      <c r="BQ410" s="174" t="str">
        <f>IF(BQ$6="","",IF(BQ$3="Maior",iferror(VLOOKUP($R410,Capa!$A:$AJ,BQ$5,0),0),IF(ISERROR(1/VLOOKUP($R410,Capa!$A:$AJ,BQ$5,0)),0,1/VLOOKUP($R410,Capa!$A:$AJ,BQ$5,0))))</f>
        <v/>
      </c>
      <c r="BR410" s="175"/>
      <c r="BS410" s="147"/>
    </row>
    <row r="411">
      <c r="G411" s="11"/>
      <c r="H411" s="8">
        <v>405.0</v>
      </c>
      <c r="I411" s="165" t="str">
        <f t="shared" si="6"/>
        <v>WLMM3</v>
      </c>
      <c r="J411" s="166" t="str">
        <f>(VLOOKUP($I411,Capa!$A:$B,2,0))</f>
        <v>WLM Participacoes e Cmrc d Mqns e Vcs SA</v>
      </c>
      <c r="K411" s="167" t="str">
        <f>VLOOKUP(left(I411,4),Setor!A:D,3,0)&amp;" | "&amp;VLOOKUP(left(I411,4),Setor!A:D,4,0)</f>
        <v>Bens Industriais | Comércio</v>
      </c>
      <c r="L411" s="168">
        <f>(VLOOKUP($I411,Capa!$A:$F,6,0))</f>
        <v>22.43</v>
      </c>
      <c r="M411" s="168">
        <f t="shared" si="7"/>
        <v>1654.44</v>
      </c>
      <c r="N411" s="177" t="str">
        <f>IFERROR(__xludf.DUMMYFUNCTION("(VLOOKUP($I411,Capa!$A:$H,7,0))"),"")</f>
        <v/>
      </c>
      <c r="O411" s="177" t="str">
        <f>(VLOOKUP($I411,Capa!$A:$H,8,0))</f>
        <v/>
      </c>
      <c r="P411" s="169" t="str">
        <f>IFERROR(__xludf.DUMMYFUNCTION("(VLOOKUP($I411,Capa!$A:$J,10,0))"),"")</f>
        <v/>
      </c>
      <c r="Q411" s="169">
        <f>(VLOOKUP($I411,Capa!$A:$K,11,0))</f>
        <v>-0.06619483764</v>
      </c>
      <c r="R411" s="45" t="str">
        <f>'Dados StatusInvest'!A406</f>
        <v>MTIG4</v>
      </c>
      <c r="S411" s="170">
        <f t="shared" si="234"/>
        <v>1280.028</v>
      </c>
      <c r="T411" s="171">
        <f>VLOOKUP(R411,'Dados StatusInvest'!A:Z,26,0)</f>
        <v>0</v>
      </c>
      <c r="U411" s="172">
        <f t="shared" ref="U411:AS411" si="414">IF(AT411="","", RANK(AT411,AT$7:AT$626,0)+RANK(AT411,AT$7:AT$626,0)/10000)</f>
        <v>13.0013</v>
      </c>
      <c r="V411" s="172">
        <f t="shared" si="414"/>
        <v>267.0267</v>
      </c>
      <c r="W411" s="172" t="str">
        <f t="shared" si="414"/>
        <v/>
      </c>
      <c r="X411" s="172" t="str">
        <f t="shared" si="414"/>
        <v/>
      </c>
      <c r="Y411" s="172" t="str">
        <f t="shared" si="414"/>
        <v/>
      </c>
      <c r="Z411" s="172" t="str">
        <f t="shared" si="414"/>
        <v/>
      </c>
      <c r="AA411" s="172" t="str">
        <f t="shared" si="414"/>
        <v/>
      </c>
      <c r="AB411" s="172" t="str">
        <f t="shared" si="414"/>
        <v/>
      </c>
      <c r="AC411" s="172" t="str">
        <f t="shared" si="414"/>
        <v/>
      </c>
      <c r="AD411" s="172" t="str">
        <f t="shared" si="414"/>
        <v/>
      </c>
      <c r="AE411" s="172" t="str">
        <f t="shared" si="414"/>
        <v/>
      </c>
      <c r="AF411" s="172" t="str">
        <f t="shared" si="414"/>
        <v/>
      </c>
      <c r="AG411" s="172" t="str">
        <f t="shared" si="414"/>
        <v/>
      </c>
      <c r="AH411" s="172" t="str">
        <f t="shared" si="414"/>
        <v/>
      </c>
      <c r="AI411" s="172" t="str">
        <f t="shared" si="414"/>
        <v/>
      </c>
      <c r="AJ411" s="172" t="str">
        <f t="shared" si="414"/>
        <v/>
      </c>
      <c r="AK411" s="172" t="str">
        <f t="shared" si="414"/>
        <v/>
      </c>
      <c r="AL411" s="172" t="str">
        <f t="shared" si="414"/>
        <v/>
      </c>
      <c r="AM411" s="172" t="str">
        <f t="shared" si="414"/>
        <v/>
      </c>
      <c r="AN411" s="172" t="str">
        <f t="shared" si="414"/>
        <v/>
      </c>
      <c r="AO411" s="172" t="str">
        <f t="shared" si="414"/>
        <v/>
      </c>
      <c r="AP411" s="172" t="str">
        <f t="shared" si="414"/>
        <v/>
      </c>
      <c r="AQ411" s="172" t="str">
        <f t="shared" si="414"/>
        <v/>
      </c>
      <c r="AR411" s="172" t="str">
        <f t="shared" si="414"/>
        <v/>
      </c>
      <c r="AS411" s="172" t="str">
        <f t="shared" si="414"/>
        <v/>
      </c>
      <c r="AT411" s="173">
        <f>IF(AT$6="","",IF(AT$3="Maior",iferror(VLOOKUP($R411,Capa!$A:$AJ,AT$5,0),0),IF(ISERROR(1/VLOOKUP($R411,Capa!$A:$AJ,AT$5,0)),0,1/VLOOKUP($R411,Capa!$A:$AJ,AT$5,0))))</f>
        <v>1.282051282</v>
      </c>
      <c r="AU411" s="174">
        <f>IF(AU$6="","",IF(AU$3="Maior",iferror(VLOOKUP($R411,Capa!$A:$AJ,AU$5,0),0),IF(ISERROR(1/VLOOKUP($R411,Capa!$A:$AJ,AU$5,0)),0,1/VLOOKUP($R411,Capa!$A:$AJ,AU$5,0))))</f>
        <v>0</v>
      </c>
      <c r="AV411" s="174" t="str">
        <f>IF(AV$6="","",IF(AV$3="Maior",iferror(VLOOKUP($R411,Capa!$A:$AJ,AV$5,0),0),IF(ISERROR(1/VLOOKUP($R411,Capa!$A:$AJ,AV$5,0)),0,1/VLOOKUP($R411,Capa!$A:$AJ,AV$5,0))))</f>
        <v/>
      </c>
      <c r="AW411" s="174" t="str">
        <f>IF(AW$6="","",IF(AW$3="Maior",iferror(VLOOKUP($R411,Capa!$A:$AJ,AW$5,0),0),IF(ISERROR(1/VLOOKUP($R411,Capa!$A:$AJ,AW$5,0)),0,1/VLOOKUP($R411,Capa!$A:$AJ,AW$5,0))))</f>
        <v/>
      </c>
      <c r="AX411" s="174" t="str">
        <f>IF(AX$6="","",IF(AX$3="Maior",iferror(VLOOKUP($R411,Capa!$A:$AJ,AX$5,0),0),IF(ISERROR(1/VLOOKUP($R411,Capa!$A:$AJ,AX$5,0)),0,1/VLOOKUP($R411,Capa!$A:$AJ,AX$5,0))))</f>
        <v/>
      </c>
      <c r="AY411" s="174" t="str">
        <f>IF(AY$6="","",IF(AY$3="Maior",iferror(VLOOKUP($R411,Capa!$A:$AJ,AY$5,0),0),IF(ISERROR(1/VLOOKUP($R411,Capa!$A:$AJ,AY$5,0)),0,1/VLOOKUP($R411,Capa!$A:$AJ,AY$5,0))))</f>
        <v/>
      </c>
      <c r="AZ411" s="174" t="str">
        <f>IF(AZ$6="","",IF(AZ$3="Maior",iferror(VLOOKUP($R411,Capa!$A:$AJ,AZ$5,0),0),IF(ISERROR(1/VLOOKUP($R411,Capa!$A:$AJ,AZ$5,0)),0,1/VLOOKUP($R411,Capa!$A:$AJ,AZ$5,0))))</f>
        <v/>
      </c>
      <c r="BA411" s="174" t="str">
        <f>IF(BA$6="","",IF(BA$3="Maior",iferror(VLOOKUP($R411,Capa!$A:$AJ,BA$5,0),0),IF(ISERROR(1/VLOOKUP($R411,Capa!$A:$AJ,BA$5,0)),0,1/VLOOKUP($R411,Capa!$A:$AJ,BA$5,0))))</f>
        <v/>
      </c>
      <c r="BB411" s="174" t="str">
        <f>IF(BB$6="","",IF(BB$3="Maior",iferror(VLOOKUP($R411,Capa!$A:$AJ,BB$5,0),0),IF(ISERROR(1/VLOOKUP($R411,Capa!$A:$AJ,BB$5,0)),0,1/VLOOKUP($R411,Capa!$A:$AJ,BB$5,0))))</f>
        <v/>
      </c>
      <c r="BC411" s="174" t="str">
        <f>IF(BC$6="","",IF(BC$3="Maior",iferror(VLOOKUP($R411,Capa!$A:$AJ,BC$5,0),0),IF(ISERROR(1/VLOOKUP($R411,Capa!$A:$AJ,BC$5,0)),0,1/VLOOKUP($R411,Capa!$A:$AJ,BC$5,0))))</f>
        <v/>
      </c>
      <c r="BD411" s="174" t="str">
        <f>IF(BD$6="","",IF(BD$3="Maior",iferror(VLOOKUP($R411,Capa!$A:$AJ,BD$5,0),0),IF(ISERROR(1/VLOOKUP($R411,Capa!$A:$AJ,BD$5,0)),0,1/VLOOKUP($R411,Capa!$A:$AJ,BD$5,0))))</f>
        <v/>
      </c>
      <c r="BE411" s="174" t="str">
        <f>IF(BE$6="","",IF(BE$3="Maior",iferror(VLOOKUP($R411,Capa!$A:$AJ,BE$5,0),0),IF(ISERROR(1/VLOOKUP($R411,Capa!$A:$AJ,BE$5,0)),0,1/VLOOKUP($R411,Capa!$A:$AJ,BE$5,0))))</f>
        <v/>
      </c>
      <c r="BF411" s="174" t="str">
        <f>IF(BF$6="","",IF(BF$3="Maior",iferror(VLOOKUP($R411,Capa!$A:$AJ,BF$5,0),0),IF(ISERROR(1/VLOOKUP($R411,Capa!$A:$AJ,BF$5,0)),0,1/VLOOKUP($R411,Capa!$A:$AJ,BF$5,0))))</f>
        <v/>
      </c>
      <c r="BG411" s="174" t="str">
        <f>IF(BG$6="","",IF(BG$3="Maior",iferror(VLOOKUP($R411,Capa!$A:$AJ,BG$5,0),0),IF(ISERROR(1/VLOOKUP($R411,Capa!$A:$AJ,BG$5,0)),0,1/VLOOKUP($R411,Capa!$A:$AJ,BG$5,0))))</f>
        <v/>
      </c>
      <c r="BH411" s="174" t="str">
        <f>IF(BH$6="","",IF(BH$3="Maior",iferror(VLOOKUP($R411,Capa!$A:$AJ,BH$5,0),0),IF(ISERROR(1/VLOOKUP($R411,Capa!$A:$AJ,BH$5,0)),0,1/VLOOKUP($R411,Capa!$A:$AJ,BH$5,0))))</f>
        <v/>
      </c>
      <c r="BI411" s="174" t="str">
        <f>IF(BI$6="","",IF(BI$3="Maior",iferror(VLOOKUP($R411,Capa!$A:$AJ,BI$5,0),0),IF(ISERROR(1/VLOOKUP($R411,Capa!$A:$AJ,BI$5,0)),0,1/VLOOKUP($R411,Capa!$A:$AJ,BI$5,0))))</f>
        <v/>
      </c>
      <c r="BJ411" s="174" t="str">
        <f>IF(BJ$6="","",IF(BJ$3="Maior",iferror(VLOOKUP($R411,Capa!$A:$AJ,BJ$5,0),0),IF(ISERROR(1/VLOOKUP($R411,Capa!$A:$AJ,BJ$5,0)),0,1/VLOOKUP($R411,Capa!$A:$AJ,BJ$5,0))))</f>
        <v/>
      </c>
      <c r="BK411" s="174" t="str">
        <f>IF(BK$6="","",IF(BK$3="Maior",iferror(VLOOKUP($R411,Capa!$A:$AJ,BK$5,0),0),IF(ISERROR(1/VLOOKUP($R411,Capa!$A:$AJ,BK$5,0)),0,1/VLOOKUP($R411,Capa!$A:$AJ,BK$5,0))))</f>
        <v/>
      </c>
      <c r="BL411" s="174" t="str">
        <f>IF(BL$6="","",IF(BL$3="Maior",iferror(VLOOKUP($R411,Capa!$A:$AJ,BL$5,0),0),IF(ISERROR(1/VLOOKUP($R411,Capa!$A:$AJ,BL$5,0)),0,1/VLOOKUP($R411,Capa!$A:$AJ,BL$5,0))))</f>
        <v/>
      </c>
      <c r="BM411" s="174" t="str">
        <f>IF(BM$6="","",IF(BM$3="Maior",iferror(VLOOKUP($R411,Capa!$A:$AJ,BM$5,0),0),IF(ISERROR(1/VLOOKUP($R411,Capa!$A:$AJ,BM$5,0)),0,1/VLOOKUP($R411,Capa!$A:$AJ,BM$5,0))))</f>
        <v/>
      </c>
      <c r="BN411" s="174" t="str">
        <f>IF(BN$6="","",IF(BN$3="Maior",iferror(VLOOKUP($R411,Capa!$A:$AJ,BN$5,0),0),IF(ISERROR(1/VLOOKUP($R411,Capa!$A:$AJ,BN$5,0)),0,1/VLOOKUP($R411,Capa!$A:$AJ,BN$5,0))))</f>
        <v/>
      </c>
      <c r="BO411" s="174" t="str">
        <f>IF(BO$6="","",IF(BO$3="Maior",iferror(VLOOKUP($R411,Capa!$A:$AJ,BO$5,0),0),IF(ISERROR(1/VLOOKUP($R411,Capa!$A:$AJ,BO$5,0)),0,1/VLOOKUP($R411,Capa!$A:$AJ,BO$5,0))))</f>
        <v/>
      </c>
      <c r="BP411" s="174" t="str">
        <f>IF(BP$6="","",IF(BP$3="Maior",iferror(VLOOKUP($R411,Capa!$A:$AJ,BP$5,0),0),IF(ISERROR(1/VLOOKUP($R411,Capa!$A:$AJ,BP$5,0)),0,1/VLOOKUP($R411,Capa!$A:$AJ,BP$5,0))))</f>
        <v/>
      </c>
      <c r="BQ411" s="174" t="str">
        <f>IF(BQ$6="","",IF(BQ$3="Maior",iferror(VLOOKUP($R411,Capa!$A:$AJ,BQ$5,0),0),IF(ISERROR(1/VLOOKUP($R411,Capa!$A:$AJ,BQ$5,0)),0,1/VLOOKUP($R411,Capa!$A:$AJ,BQ$5,0))))</f>
        <v/>
      </c>
      <c r="BR411" s="175"/>
      <c r="BS411" s="147"/>
    </row>
    <row r="412">
      <c r="G412" s="11"/>
      <c r="H412" s="8">
        <v>406.0</v>
      </c>
      <c r="I412" s="165" t="str">
        <f t="shared" si="6"/>
        <v>EUCA3</v>
      </c>
      <c r="J412" s="166" t="str">
        <f>(VLOOKUP($I412,Capa!$A:$B,2,0))</f>
        <v>Eucatex SA Industria e Comercio</v>
      </c>
      <c r="K412" s="167" t="str">
        <f>VLOOKUP(left(I412,4),Setor!A:D,3,0)&amp;" | "&amp;VLOOKUP(left(I412,4),Setor!A:D,4,0)</f>
        <v>Materiais Básicos | Madeira e Papel</v>
      </c>
      <c r="L412" s="168">
        <f>(VLOOKUP($I412,Capa!$A:$F,6,0))</f>
        <v>22.61</v>
      </c>
      <c r="M412" s="168">
        <f t="shared" si="7"/>
        <v>13201.39</v>
      </c>
      <c r="N412" s="11" t="str">
        <f>IFERROR(__xludf.DUMMYFUNCTION("(VLOOKUP($I412,Capa!$A:$H,7,0))"),"")</f>
        <v/>
      </c>
      <c r="O412" s="169">
        <f>(VLOOKUP($I412,Capa!$A:$H,8,0))</f>
        <v>0.09917355372</v>
      </c>
      <c r="P412" s="11" t="str">
        <f>IFERROR(__xludf.DUMMYFUNCTION("(VLOOKUP($I412,Capa!$A:$J,10,0))"),"")</f>
        <v/>
      </c>
      <c r="Q412" s="169">
        <f>(VLOOKUP($I412,Capa!$A:$K,11,0))</f>
        <v>0.4382951654</v>
      </c>
      <c r="R412" s="45" t="str">
        <f>'Dados StatusInvest'!A407</f>
        <v>MTRE3</v>
      </c>
      <c r="S412" s="170">
        <f t="shared" si="234"/>
        <v>591.0591</v>
      </c>
      <c r="T412" s="171">
        <f>VLOOKUP(R412,'Dados StatusInvest'!A:Z,26,0)</f>
        <v>2909826</v>
      </c>
      <c r="U412" s="172">
        <f t="shared" ref="U412:AS412" si="415">IF(AT412="","", RANK(AT412,AT$7:AT$626,0)+RANK(AT412,AT$7:AT$626,0)/10000)</f>
        <v>374.0374</v>
      </c>
      <c r="V412" s="172">
        <f t="shared" si="415"/>
        <v>217.0217</v>
      </c>
      <c r="W412" s="172" t="str">
        <f t="shared" si="415"/>
        <v/>
      </c>
      <c r="X412" s="172" t="str">
        <f t="shared" si="415"/>
        <v/>
      </c>
      <c r="Y412" s="172" t="str">
        <f t="shared" si="415"/>
        <v/>
      </c>
      <c r="Z412" s="172" t="str">
        <f t="shared" si="415"/>
        <v/>
      </c>
      <c r="AA412" s="172" t="str">
        <f t="shared" si="415"/>
        <v/>
      </c>
      <c r="AB412" s="172" t="str">
        <f t="shared" si="415"/>
        <v/>
      </c>
      <c r="AC412" s="172" t="str">
        <f t="shared" si="415"/>
        <v/>
      </c>
      <c r="AD412" s="172" t="str">
        <f t="shared" si="415"/>
        <v/>
      </c>
      <c r="AE412" s="172" t="str">
        <f t="shared" si="415"/>
        <v/>
      </c>
      <c r="AF412" s="172" t="str">
        <f t="shared" si="415"/>
        <v/>
      </c>
      <c r="AG412" s="172" t="str">
        <f t="shared" si="415"/>
        <v/>
      </c>
      <c r="AH412" s="172" t="str">
        <f t="shared" si="415"/>
        <v/>
      </c>
      <c r="AI412" s="172" t="str">
        <f t="shared" si="415"/>
        <v/>
      </c>
      <c r="AJ412" s="172" t="str">
        <f t="shared" si="415"/>
        <v/>
      </c>
      <c r="AK412" s="172" t="str">
        <f t="shared" si="415"/>
        <v/>
      </c>
      <c r="AL412" s="172" t="str">
        <f t="shared" si="415"/>
        <v/>
      </c>
      <c r="AM412" s="172" t="str">
        <f t="shared" si="415"/>
        <v/>
      </c>
      <c r="AN412" s="172" t="str">
        <f t="shared" si="415"/>
        <v/>
      </c>
      <c r="AO412" s="172" t="str">
        <f t="shared" si="415"/>
        <v/>
      </c>
      <c r="AP412" s="172" t="str">
        <f t="shared" si="415"/>
        <v/>
      </c>
      <c r="AQ412" s="172" t="str">
        <f t="shared" si="415"/>
        <v/>
      </c>
      <c r="AR412" s="172" t="str">
        <f t="shared" si="415"/>
        <v/>
      </c>
      <c r="AS412" s="172" t="str">
        <f t="shared" si="415"/>
        <v/>
      </c>
      <c r="AT412" s="173">
        <f>IF(AT$6="","",IF(AT$3="Maior",iferror(VLOOKUP($R412,Capa!$A:$AJ,AT$5,0),0),IF(ISERROR(1/VLOOKUP($R412,Capa!$A:$AJ,AT$5,0)),0,1/VLOOKUP($R412,Capa!$A:$AJ,AT$5,0))))</f>
        <v>-1.151140482</v>
      </c>
      <c r="AU412" s="174">
        <f>IF(AU$6="","",IF(AU$3="Maior",iferror(VLOOKUP($R412,Capa!$A:$AJ,AU$5,0),0),IF(ISERROR(1/VLOOKUP($R412,Capa!$A:$AJ,AU$5,0)),0,1/VLOOKUP($R412,Capa!$A:$AJ,AU$5,0))))</f>
        <v>8.93</v>
      </c>
      <c r="AV412" s="174" t="str">
        <f>IF(AV$6="","",IF(AV$3="Maior",iferror(VLOOKUP($R412,Capa!$A:$AJ,AV$5,0),0),IF(ISERROR(1/VLOOKUP($R412,Capa!$A:$AJ,AV$5,0)),0,1/VLOOKUP($R412,Capa!$A:$AJ,AV$5,0))))</f>
        <v/>
      </c>
      <c r="AW412" s="174" t="str">
        <f>IF(AW$6="","",IF(AW$3="Maior",iferror(VLOOKUP($R412,Capa!$A:$AJ,AW$5,0),0),IF(ISERROR(1/VLOOKUP($R412,Capa!$A:$AJ,AW$5,0)),0,1/VLOOKUP($R412,Capa!$A:$AJ,AW$5,0))))</f>
        <v/>
      </c>
      <c r="AX412" s="174" t="str">
        <f>IF(AX$6="","",IF(AX$3="Maior",iferror(VLOOKUP($R412,Capa!$A:$AJ,AX$5,0),0),IF(ISERROR(1/VLOOKUP($R412,Capa!$A:$AJ,AX$5,0)),0,1/VLOOKUP($R412,Capa!$A:$AJ,AX$5,0))))</f>
        <v/>
      </c>
      <c r="AY412" s="174" t="str">
        <f>IF(AY$6="","",IF(AY$3="Maior",iferror(VLOOKUP($R412,Capa!$A:$AJ,AY$5,0),0),IF(ISERROR(1/VLOOKUP($R412,Capa!$A:$AJ,AY$5,0)),0,1/VLOOKUP($R412,Capa!$A:$AJ,AY$5,0))))</f>
        <v/>
      </c>
      <c r="AZ412" s="174" t="str">
        <f>IF(AZ$6="","",IF(AZ$3="Maior",iferror(VLOOKUP($R412,Capa!$A:$AJ,AZ$5,0),0),IF(ISERROR(1/VLOOKUP($R412,Capa!$A:$AJ,AZ$5,0)),0,1/VLOOKUP($R412,Capa!$A:$AJ,AZ$5,0))))</f>
        <v/>
      </c>
      <c r="BA412" s="174" t="str">
        <f>IF(BA$6="","",IF(BA$3="Maior",iferror(VLOOKUP($R412,Capa!$A:$AJ,BA$5,0),0),IF(ISERROR(1/VLOOKUP($R412,Capa!$A:$AJ,BA$5,0)),0,1/VLOOKUP($R412,Capa!$A:$AJ,BA$5,0))))</f>
        <v/>
      </c>
      <c r="BB412" s="174" t="str">
        <f>IF(BB$6="","",IF(BB$3="Maior",iferror(VLOOKUP($R412,Capa!$A:$AJ,BB$5,0),0),IF(ISERROR(1/VLOOKUP($R412,Capa!$A:$AJ,BB$5,0)),0,1/VLOOKUP($R412,Capa!$A:$AJ,BB$5,0))))</f>
        <v/>
      </c>
      <c r="BC412" s="174" t="str">
        <f>IF(BC$6="","",IF(BC$3="Maior",iferror(VLOOKUP($R412,Capa!$A:$AJ,BC$5,0),0),IF(ISERROR(1/VLOOKUP($R412,Capa!$A:$AJ,BC$5,0)),0,1/VLOOKUP($R412,Capa!$A:$AJ,BC$5,0))))</f>
        <v/>
      </c>
      <c r="BD412" s="174" t="str">
        <f>IF(BD$6="","",IF(BD$3="Maior",iferror(VLOOKUP($R412,Capa!$A:$AJ,BD$5,0),0),IF(ISERROR(1/VLOOKUP($R412,Capa!$A:$AJ,BD$5,0)),0,1/VLOOKUP($R412,Capa!$A:$AJ,BD$5,0))))</f>
        <v/>
      </c>
      <c r="BE412" s="174" t="str">
        <f>IF(BE$6="","",IF(BE$3="Maior",iferror(VLOOKUP($R412,Capa!$A:$AJ,BE$5,0),0),IF(ISERROR(1/VLOOKUP($R412,Capa!$A:$AJ,BE$5,0)),0,1/VLOOKUP($R412,Capa!$A:$AJ,BE$5,0))))</f>
        <v/>
      </c>
      <c r="BF412" s="174" t="str">
        <f>IF(BF$6="","",IF(BF$3="Maior",iferror(VLOOKUP($R412,Capa!$A:$AJ,BF$5,0),0),IF(ISERROR(1/VLOOKUP($R412,Capa!$A:$AJ,BF$5,0)),0,1/VLOOKUP($R412,Capa!$A:$AJ,BF$5,0))))</f>
        <v/>
      </c>
      <c r="BG412" s="174" t="str">
        <f>IF(BG$6="","",IF(BG$3="Maior",iferror(VLOOKUP($R412,Capa!$A:$AJ,BG$5,0),0),IF(ISERROR(1/VLOOKUP($R412,Capa!$A:$AJ,BG$5,0)),0,1/VLOOKUP($R412,Capa!$A:$AJ,BG$5,0))))</f>
        <v/>
      </c>
      <c r="BH412" s="174" t="str">
        <f>IF(BH$6="","",IF(BH$3="Maior",iferror(VLOOKUP($R412,Capa!$A:$AJ,BH$5,0),0),IF(ISERROR(1/VLOOKUP($R412,Capa!$A:$AJ,BH$5,0)),0,1/VLOOKUP($R412,Capa!$A:$AJ,BH$5,0))))</f>
        <v/>
      </c>
      <c r="BI412" s="174" t="str">
        <f>IF(BI$6="","",IF(BI$3="Maior",iferror(VLOOKUP($R412,Capa!$A:$AJ,BI$5,0),0),IF(ISERROR(1/VLOOKUP($R412,Capa!$A:$AJ,BI$5,0)),0,1/VLOOKUP($R412,Capa!$A:$AJ,BI$5,0))))</f>
        <v/>
      </c>
      <c r="BJ412" s="174" t="str">
        <f>IF(BJ$6="","",IF(BJ$3="Maior",iferror(VLOOKUP($R412,Capa!$A:$AJ,BJ$5,0),0),IF(ISERROR(1/VLOOKUP($R412,Capa!$A:$AJ,BJ$5,0)),0,1/VLOOKUP($R412,Capa!$A:$AJ,BJ$5,0))))</f>
        <v/>
      </c>
      <c r="BK412" s="174" t="str">
        <f>IF(BK$6="","",IF(BK$3="Maior",iferror(VLOOKUP($R412,Capa!$A:$AJ,BK$5,0),0),IF(ISERROR(1/VLOOKUP($R412,Capa!$A:$AJ,BK$5,0)),0,1/VLOOKUP($R412,Capa!$A:$AJ,BK$5,0))))</f>
        <v/>
      </c>
      <c r="BL412" s="174" t="str">
        <f>IF(BL$6="","",IF(BL$3="Maior",iferror(VLOOKUP($R412,Capa!$A:$AJ,BL$5,0),0),IF(ISERROR(1/VLOOKUP($R412,Capa!$A:$AJ,BL$5,0)),0,1/VLOOKUP($R412,Capa!$A:$AJ,BL$5,0))))</f>
        <v/>
      </c>
      <c r="BM412" s="174" t="str">
        <f>IF(BM$6="","",IF(BM$3="Maior",iferror(VLOOKUP($R412,Capa!$A:$AJ,BM$5,0),0),IF(ISERROR(1/VLOOKUP($R412,Capa!$A:$AJ,BM$5,0)),0,1/VLOOKUP($R412,Capa!$A:$AJ,BM$5,0))))</f>
        <v/>
      </c>
      <c r="BN412" s="174" t="str">
        <f>IF(BN$6="","",IF(BN$3="Maior",iferror(VLOOKUP($R412,Capa!$A:$AJ,BN$5,0),0),IF(ISERROR(1/VLOOKUP($R412,Capa!$A:$AJ,BN$5,0)),0,1/VLOOKUP($R412,Capa!$A:$AJ,BN$5,0))))</f>
        <v/>
      </c>
      <c r="BO412" s="174" t="str">
        <f>IF(BO$6="","",IF(BO$3="Maior",iferror(VLOOKUP($R412,Capa!$A:$AJ,BO$5,0),0),IF(ISERROR(1/VLOOKUP($R412,Capa!$A:$AJ,BO$5,0)),0,1/VLOOKUP($R412,Capa!$A:$AJ,BO$5,0))))</f>
        <v/>
      </c>
      <c r="BP412" s="174" t="str">
        <f>IF(BP$6="","",IF(BP$3="Maior",iferror(VLOOKUP($R412,Capa!$A:$AJ,BP$5,0),0),IF(ISERROR(1/VLOOKUP($R412,Capa!$A:$AJ,BP$5,0)),0,1/VLOOKUP($R412,Capa!$A:$AJ,BP$5,0))))</f>
        <v/>
      </c>
      <c r="BQ412" s="174" t="str">
        <f>IF(BQ$6="","",IF(BQ$3="Maior",iferror(VLOOKUP($R412,Capa!$A:$AJ,BQ$5,0),0),IF(ISERROR(1/VLOOKUP($R412,Capa!$A:$AJ,BQ$5,0)),0,1/VLOOKUP($R412,Capa!$A:$AJ,BQ$5,0))))</f>
        <v/>
      </c>
      <c r="BR412" s="175"/>
      <c r="BS412" s="147"/>
    </row>
    <row r="413">
      <c r="G413" s="11"/>
      <c r="H413" s="8">
        <v>407.0</v>
      </c>
      <c r="I413" s="165" t="str">
        <f t="shared" si="6"/>
        <v>LUXM4</v>
      </c>
      <c r="J413" s="166" t="str">
        <f>(VLOOKUP($I413,Capa!$A:$B,2,0))</f>
        <v>Trevisa Investimentos SA Preference Shares</v>
      </c>
      <c r="K413" s="167" t="str">
        <f>VLOOKUP(left(I413,4),Setor!A:D,3,0)&amp;" | "&amp;VLOOKUP(left(I413,4),Setor!A:D,4,0)</f>
        <v>Bens Industriais | Transporte</v>
      </c>
      <c r="L413" s="168">
        <f>(VLOOKUP($I413,Capa!$A:$F,6,0))</f>
        <v>4.2</v>
      </c>
      <c r="M413" s="168">
        <f t="shared" si="7"/>
        <v>24108.67</v>
      </c>
      <c r="N413" s="11" t="str">
        <f>IFERROR(__xludf.DUMMYFUNCTION("(VLOOKUP($I413,Capa!$A:$H,7,0))"),"")</f>
        <v/>
      </c>
      <c r="O413" s="169">
        <f>(VLOOKUP($I413,Capa!$A:$H,8,0))</f>
        <v>-0.002375296912</v>
      </c>
      <c r="P413" s="11" t="str">
        <f>IFERROR(__xludf.DUMMYFUNCTION("(VLOOKUP($I413,Capa!$A:$J,10,0))"),"")</f>
        <v/>
      </c>
      <c r="Q413" s="169">
        <f>(VLOOKUP($I413,Capa!$A:$K,11,0))</f>
        <v>-0.2222222222</v>
      </c>
      <c r="R413" s="45" t="str">
        <f>'Dados StatusInvest'!A408</f>
        <v>MTSA3</v>
      </c>
      <c r="S413" s="170">
        <f t="shared" si="234"/>
        <v>1327.0327</v>
      </c>
      <c r="T413" s="171">
        <f>VLOOKUP(R413,'Dados StatusInvest'!A:Z,26,0)</f>
        <v>7600</v>
      </c>
      <c r="U413" s="172">
        <f t="shared" ref="U413:AS413" si="416">IF(AT413="","", RANK(AT413,AT$7:AT$626,0)+RANK(AT413,AT$7:AT$626,0)/10000)</f>
        <v>174.0174</v>
      </c>
      <c r="V413" s="172">
        <f t="shared" si="416"/>
        <v>153.0153</v>
      </c>
      <c r="W413" s="172" t="str">
        <f t="shared" si="416"/>
        <v/>
      </c>
      <c r="X413" s="172" t="str">
        <f t="shared" si="416"/>
        <v/>
      </c>
      <c r="Y413" s="172" t="str">
        <f t="shared" si="416"/>
        <v/>
      </c>
      <c r="Z413" s="172" t="str">
        <f t="shared" si="416"/>
        <v/>
      </c>
      <c r="AA413" s="172" t="str">
        <f t="shared" si="416"/>
        <v/>
      </c>
      <c r="AB413" s="172" t="str">
        <f t="shared" si="416"/>
        <v/>
      </c>
      <c r="AC413" s="172" t="str">
        <f t="shared" si="416"/>
        <v/>
      </c>
      <c r="AD413" s="172" t="str">
        <f t="shared" si="416"/>
        <v/>
      </c>
      <c r="AE413" s="172" t="str">
        <f t="shared" si="416"/>
        <v/>
      </c>
      <c r="AF413" s="172" t="str">
        <f t="shared" si="416"/>
        <v/>
      </c>
      <c r="AG413" s="172" t="str">
        <f t="shared" si="416"/>
        <v/>
      </c>
      <c r="AH413" s="172" t="str">
        <f t="shared" si="416"/>
        <v/>
      </c>
      <c r="AI413" s="172" t="str">
        <f t="shared" si="416"/>
        <v/>
      </c>
      <c r="AJ413" s="172" t="str">
        <f t="shared" si="416"/>
        <v/>
      </c>
      <c r="AK413" s="172" t="str">
        <f t="shared" si="416"/>
        <v/>
      </c>
      <c r="AL413" s="172" t="str">
        <f t="shared" si="416"/>
        <v/>
      </c>
      <c r="AM413" s="172" t="str">
        <f t="shared" si="416"/>
        <v/>
      </c>
      <c r="AN413" s="172" t="str">
        <f t="shared" si="416"/>
        <v/>
      </c>
      <c r="AO413" s="172" t="str">
        <f t="shared" si="416"/>
        <v/>
      </c>
      <c r="AP413" s="172" t="str">
        <f t="shared" si="416"/>
        <v/>
      </c>
      <c r="AQ413" s="172" t="str">
        <f t="shared" si="416"/>
        <v/>
      </c>
      <c r="AR413" s="172" t="str">
        <f t="shared" si="416"/>
        <v/>
      </c>
      <c r="AS413" s="172" t="str">
        <f t="shared" si="416"/>
        <v/>
      </c>
      <c r="AT413" s="173">
        <f>IF(AT$6="","",IF(AT$3="Maior",iferror(VLOOKUP($R413,Capa!$A:$AJ,AT$5,0),0),IF(ISERROR(1/VLOOKUP($R413,Capa!$A:$AJ,AT$5,0)),0,1/VLOOKUP($R413,Capa!$A:$AJ,AT$5,0))))</f>
        <v>-0.2042026413</v>
      </c>
      <c r="AU413" s="174">
        <f>IF(AU$6="","",IF(AU$3="Maior",iferror(VLOOKUP($R413,Capa!$A:$AJ,AU$5,0),0),IF(ISERROR(1/VLOOKUP($R413,Capa!$A:$AJ,AU$5,0)),0,1/VLOOKUP($R413,Capa!$A:$AJ,AU$5,0))))</f>
        <v>17.91</v>
      </c>
      <c r="AV413" s="174" t="str">
        <f>IF(AV$6="","",IF(AV$3="Maior",iferror(VLOOKUP($R413,Capa!$A:$AJ,AV$5,0),0),IF(ISERROR(1/VLOOKUP($R413,Capa!$A:$AJ,AV$5,0)),0,1/VLOOKUP($R413,Capa!$A:$AJ,AV$5,0))))</f>
        <v/>
      </c>
      <c r="AW413" s="174" t="str">
        <f>IF(AW$6="","",IF(AW$3="Maior",iferror(VLOOKUP($R413,Capa!$A:$AJ,AW$5,0),0),IF(ISERROR(1/VLOOKUP($R413,Capa!$A:$AJ,AW$5,0)),0,1/VLOOKUP($R413,Capa!$A:$AJ,AW$5,0))))</f>
        <v/>
      </c>
      <c r="AX413" s="174" t="str">
        <f>IF(AX$6="","",IF(AX$3="Maior",iferror(VLOOKUP($R413,Capa!$A:$AJ,AX$5,0),0),IF(ISERROR(1/VLOOKUP($R413,Capa!$A:$AJ,AX$5,0)),0,1/VLOOKUP($R413,Capa!$A:$AJ,AX$5,0))))</f>
        <v/>
      </c>
      <c r="AY413" s="174" t="str">
        <f>IF(AY$6="","",IF(AY$3="Maior",iferror(VLOOKUP($R413,Capa!$A:$AJ,AY$5,0),0),IF(ISERROR(1/VLOOKUP($R413,Capa!$A:$AJ,AY$5,0)),0,1/VLOOKUP($R413,Capa!$A:$AJ,AY$5,0))))</f>
        <v/>
      </c>
      <c r="AZ413" s="174" t="str">
        <f>IF(AZ$6="","",IF(AZ$3="Maior",iferror(VLOOKUP($R413,Capa!$A:$AJ,AZ$5,0),0),IF(ISERROR(1/VLOOKUP($R413,Capa!$A:$AJ,AZ$5,0)),0,1/VLOOKUP($R413,Capa!$A:$AJ,AZ$5,0))))</f>
        <v/>
      </c>
      <c r="BA413" s="174" t="str">
        <f>IF(BA$6="","",IF(BA$3="Maior",iferror(VLOOKUP($R413,Capa!$A:$AJ,BA$5,0),0),IF(ISERROR(1/VLOOKUP($R413,Capa!$A:$AJ,BA$5,0)),0,1/VLOOKUP($R413,Capa!$A:$AJ,BA$5,0))))</f>
        <v/>
      </c>
      <c r="BB413" s="174" t="str">
        <f>IF(BB$6="","",IF(BB$3="Maior",iferror(VLOOKUP($R413,Capa!$A:$AJ,BB$5,0),0),IF(ISERROR(1/VLOOKUP($R413,Capa!$A:$AJ,BB$5,0)),0,1/VLOOKUP($R413,Capa!$A:$AJ,BB$5,0))))</f>
        <v/>
      </c>
      <c r="BC413" s="174" t="str">
        <f>IF(BC$6="","",IF(BC$3="Maior",iferror(VLOOKUP($R413,Capa!$A:$AJ,BC$5,0),0),IF(ISERROR(1/VLOOKUP($R413,Capa!$A:$AJ,BC$5,0)),0,1/VLOOKUP($R413,Capa!$A:$AJ,BC$5,0))))</f>
        <v/>
      </c>
      <c r="BD413" s="174" t="str">
        <f>IF(BD$6="","",IF(BD$3="Maior",iferror(VLOOKUP($R413,Capa!$A:$AJ,BD$5,0),0),IF(ISERROR(1/VLOOKUP($R413,Capa!$A:$AJ,BD$5,0)),0,1/VLOOKUP($R413,Capa!$A:$AJ,BD$5,0))))</f>
        <v/>
      </c>
      <c r="BE413" s="174" t="str">
        <f>IF(BE$6="","",IF(BE$3="Maior",iferror(VLOOKUP($R413,Capa!$A:$AJ,BE$5,0),0),IF(ISERROR(1/VLOOKUP($R413,Capa!$A:$AJ,BE$5,0)),0,1/VLOOKUP($R413,Capa!$A:$AJ,BE$5,0))))</f>
        <v/>
      </c>
      <c r="BF413" s="174" t="str">
        <f>IF(BF$6="","",IF(BF$3="Maior",iferror(VLOOKUP($R413,Capa!$A:$AJ,BF$5,0),0),IF(ISERROR(1/VLOOKUP($R413,Capa!$A:$AJ,BF$5,0)),0,1/VLOOKUP($R413,Capa!$A:$AJ,BF$5,0))))</f>
        <v/>
      </c>
      <c r="BG413" s="174" t="str">
        <f>IF(BG$6="","",IF(BG$3="Maior",iferror(VLOOKUP($R413,Capa!$A:$AJ,BG$5,0),0),IF(ISERROR(1/VLOOKUP($R413,Capa!$A:$AJ,BG$5,0)),0,1/VLOOKUP($R413,Capa!$A:$AJ,BG$5,0))))</f>
        <v/>
      </c>
      <c r="BH413" s="174" t="str">
        <f>IF(BH$6="","",IF(BH$3="Maior",iferror(VLOOKUP($R413,Capa!$A:$AJ,BH$5,0),0),IF(ISERROR(1/VLOOKUP($R413,Capa!$A:$AJ,BH$5,0)),0,1/VLOOKUP($R413,Capa!$A:$AJ,BH$5,0))))</f>
        <v/>
      </c>
      <c r="BI413" s="174" t="str">
        <f>IF(BI$6="","",IF(BI$3="Maior",iferror(VLOOKUP($R413,Capa!$A:$AJ,BI$5,0),0),IF(ISERROR(1/VLOOKUP($R413,Capa!$A:$AJ,BI$5,0)),0,1/VLOOKUP($R413,Capa!$A:$AJ,BI$5,0))))</f>
        <v/>
      </c>
      <c r="BJ413" s="174" t="str">
        <f>IF(BJ$6="","",IF(BJ$3="Maior",iferror(VLOOKUP($R413,Capa!$A:$AJ,BJ$5,0),0),IF(ISERROR(1/VLOOKUP($R413,Capa!$A:$AJ,BJ$5,0)),0,1/VLOOKUP($R413,Capa!$A:$AJ,BJ$5,0))))</f>
        <v/>
      </c>
      <c r="BK413" s="174" t="str">
        <f>IF(BK$6="","",IF(BK$3="Maior",iferror(VLOOKUP($R413,Capa!$A:$AJ,BK$5,0),0),IF(ISERROR(1/VLOOKUP($R413,Capa!$A:$AJ,BK$5,0)),0,1/VLOOKUP($R413,Capa!$A:$AJ,BK$5,0))))</f>
        <v/>
      </c>
      <c r="BL413" s="174" t="str">
        <f>IF(BL$6="","",IF(BL$3="Maior",iferror(VLOOKUP($R413,Capa!$A:$AJ,BL$5,0),0),IF(ISERROR(1/VLOOKUP($R413,Capa!$A:$AJ,BL$5,0)),0,1/VLOOKUP($R413,Capa!$A:$AJ,BL$5,0))))</f>
        <v/>
      </c>
      <c r="BM413" s="174" t="str">
        <f>IF(BM$6="","",IF(BM$3="Maior",iferror(VLOOKUP($R413,Capa!$A:$AJ,BM$5,0),0),IF(ISERROR(1/VLOOKUP($R413,Capa!$A:$AJ,BM$5,0)),0,1/VLOOKUP($R413,Capa!$A:$AJ,BM$5,0))))</f>
        <v/>
      </c>
      <c r="BN413" s="174" t="str">
        <f>IF(BN$6="","",IF(BN$3="Maior",iferror(VLOOKUP($R413,Capa!$A:$AJ,BN$5,0),0),IF(ISERROR(1/VLOOKUP($R413,Capa!$A:$AJ,BN$5,0)),0,1/VLOOKUP($R413,Capa!$A:$AJ,BN$5,0))))</f>
        <v/>
      </c>
      <c r="BO413" s="174" t="str">
        <f>IF(BO$6="","",IF(BO$3="Maior",iferror(VLOOKUP($R413,Capa!$A:$AJ,BO$5,0),0),IF(ISERROR(1/VLOOKUP($R413,Capa!$A:$AJ,BO$5,0)),0,1/VLOOKUP($R413,Capa!$A:$AJ,BO$5,0))))</f>
        <v/>
      </c>
      <c r="BP413" s="174" t="str">
        <f>IF(BP$6="","",IF(BP$3="Maior",iferror(VLOOKUP($R413,Capa!$A:$AJ,BP$5,0),0),IF(ISERROR(1/VLOOKUP($R413,Capa!$A:$AJ,BP$5,0)),0,1/VLOOKUP($R413,Capa!$A:$AJ,BP$5,0))))</f>
        <v/>
      </c>
      <c r="BQ413" s="174" t="str">
        <f>IF(BQ$6="","",IF(BQ$3="Maior",iferror(VLOOKUP($R413,Capa!$A:$AJ,BQ$5,0),0),IF(ISERROR(1/VLOOKUP($R413,Capa!$A:$AJ,BQ$5,0)),0,1/VLOOKUP($R413,Capa!$A:$AJ,BQ$5,0))))</f>
        <v/>
      </c>
      <c r="BR413" s="175"/>
      <c r="BS413" s="147"/>
    </row>
    <row r="414">
      <c r="G414" s="11"/>
      <c r="H414" s="8">
        <v>408.0</v>
      </c>
      <c r="I414" s="165" t="str">
        <f t="shared" si="6"/>
        <v>MAPT3</v>
      </c>
      <c r="J414" s="166" t="str">
        <f>(VLOOKUP($I414,Capa!$A:$B,2,0))</f>
        <v>Cemepe Investimentos SA</v>
      </c>
      <c r="K414" s="167" t="str">
        <f>VLOOKUP(left(I414,4),Setor!A:D,3,0)&amp;" | "&amp;VLOOKUP(left(I414,4),Setor!A:D,4,0)</f>
        <v>Outros | Outros</v>
      </c>
      <c r="L414" s="168">
        <f>(VLOOKUP($I414,Capa!$A:$F,6,0))</f>
        <v>3</v>
      </c>
      <c r="M414" s="168">
        <f t="shared" si="7"/>
        <v>300</v>
      </c>
      <c r="N414" s="11" t="str">
        <f>IFERROR(__xludf.DUMMYFUNCTION("(VLOOKUP($I414,Capa!$A:$H,7,0))"),"")</f>
        <v/>
      </c>
      <c r="O414" s="169" t="str">
        <f>(VLOOKUP($I414,Capa!$A:$H,8,0))</f>
        <v/>
      </c>
      <c r="P414" s="11" t="str">
        <f>IFERROR(__xludf.DUMMYFUNCTION("(VLOOKUP($I414,Capa!$A:$J,10,0))"),"")</f>
        <v/>
      </c>
      <c r="Q414" s="169" t="str">
        <f>(VLOOKUP($I414,Capa!$A:$K,11,0))</f>
        <v/>
      </c>
      <c r="R414" s="45" t="str">
        <f>'Dados StatusInvest'!A409</f>
        <v>MTSA4</v>
      </c>
      <c r="S414" s="170">
        <f t="shared" si="234"/>
        <v>1350.035</v>
      </c>
      <c r="T414" s="171">
        <f>VLOOKUP(R414,'Dados StatusInvest'!A:Z,26,0)</f>
        <v>69164.81</v>
      </c>
      <c r="U414" s="172">
        <f t="shared" ref="U414:AS414" si="417">IF(AT414="","", RANK(AT414,AT$7:AT$626,0)+RANK(AT414,AT$7:AT$626,0)/10000)</f>
        <v>197.0197</v>
      </c>
      <c r="V414" s="172">
        <f t="shared" si="417"/>
        <v>153.0153</v>
      </c>
      <c r="W414" s="172" t="str">
        <f t="shared" si="417"/>
        <v/>
      </c>
      <c r="X414" s="172" t="str">
        <f t="shared" si="417"/>
        <v/>
      </c>
      <c r="Y414" s="172" t="str">
        <f t="shared" si="417"/>
        <v/>
      </c>
      <c r="Z414" s="172" t="str">
        <f t="shared" si="417"/>
        <v/>
      </c>
      <c r="AA414" s="172" t="str">
        <f t="shared" si="417"/>
        <v/>
      </c>
      <c r="AB414" s="172" t="str">
        <f t="shared" si="417"/>
        <v/>
      </c>
      <c r="AC414" s="172" t="str">
        <f t="shared" si="417"/>
        <v/>
      </c>
      <c r="AD414" s="172" t="str">
        <f t="shared" si="417"/>
        <v/>
      </c>
      <c r="AE414" s="172" t="str">
        <f t="shared" si="417"/>
        <v/>
      </c>
      <c r="AF414" s="172" t="str">
        <f t="shared" si="417"/>
        <v/>
      </c>
      <c r="AG414" s="172" t="str">
        <f t="shared" si="417"/>
        <v/>
      </c>
      <c r="AH414" s="172" t="str">
        <f t="shared" si="417"/>
        <v/>
      </c>
      <c r="AI414" s="172" t="str">
        <f t="shared" si="417"/>
        <v/>
      </c>
      <c r="AJ414" s="172" t="str">
        <f t="shared" si="417"/>
        <v/>
      </c>
      <c r="AK414" s="172" t="str">
        <f t="shared" si="417"/>
        <v/>
      </c>
      <c r="AL414" s="172" t="str">
        <f t="shared" si="417"/>
        <v/>
      </c>
      <c r="AM414" s="172" t="str">
        <f t="shared" si="417"/>
        <v/>
      </c>
      <c r="AN414" s="172" t="str">
        <f t="shared" si="417"/>
        <v/>
      </c>
      <c r="AO414" s="172" t="str">
        <f t="shared" si="417"/>
        <v/>
      </c>
      <c r="AP414" s="172" t="str">
        <f t="shared" si="417"/>
        <v/>
      </c>
      <c r="AQ414" s="172" t="str">
        <f t="shared" si="417"/>
        <v/>
      </c>
      <c r="AR414" s="172" t="str">
        <f t="shared" si="417"/>
        <v/>
      </c>
      <c r="AS414" s="172" t="str">
        <f t="shared" si="417"/>
        <v/>
      </c>
      <c r="AT414" s="173">
        <f>IF(AT$6="","",IF(AT$3="Maior",iferror(VLOOKUP($R414,Capa!$A:$AJ,AT$5,0),0),IF(ISERROR(1/VLOOKUP($R414,Capa!$A:$AJ,AT$5,0)),0,1/VLOOKUP($R414,Capa!$A:$AJ,AT$5,0))))</f>
        <v>-0.2673796791</v>
      </c>
      <c r="AU414" s="174">
        <f>IF(AU$6="","",IF(AU$3="Maior",iferror(VLOOKUP($R414,Capa!$A:$AJ,AU$5,0),0),IF(ISERROR(1/VLOOKUP($R414,Capa!$A:$AJ,AU$5,0)),0,1/VLOOKUP($R414,Capa!$A:$AJ,AU$5,0))))</f>
        <v>17.91</v>
      </c>
      <c r="AV414" s="174" t="str">
        <f>IF(AV$6="","",IF(AV$3="Maior",iferror(VLOOKUP($R414,Capa!$A:$AJ,AV$5,0),0),IF(ISERROR(1/VLOOKUP($R414,Capa!$A:$AJ,AV$5,0)),0,1/VLOOKUP($R414,Capa!$A:$AJ,AV$5,0))))</f>
        <v/>
      </c>
      <c r="AW414" s="174" t="str">
        <f>IF(AW$6="","",IF(AW$3="Maior",iferror(VLOOKUP($R414,Capa!$A:$AJ,AW$5,0),0),IF(ISERROR(1/VLOOKUP($R414,Capa!$A:$AJ,AW$5,0)),0,1/VLOOKUP($R414,Capa!$A:$AJ,AW$5,0))))</f>
        <v/>
      </c>
      <c r="AX414" s="174" t="str">
        <f>IF(AX$6="","",IF(AX$3="Maior",iferror(VLOOKUP($R414,Capa!$A:$AJ,AX$5,0),0),IF(ISERROR(1/VLOOKUP($R414,Capa!$A:$AJ,AX$5,0)),0,1/VLOOKUP($R414,Capa!$A:$AJ,AX$5,0))))</f>
        <v/>
      </c>
      <c r="AY414" s="174" t="str">
        <f>IF(AY$6="","",IF(AY$3="Maior",iferror(VLOOKUP($R414,Capa!$A:$AJ,AY$5,0),0),IF(ISERROR(1/VLOOKUP($R414,Capa!$A:$AJ,AY$5,0)),0,1/VLOOKUP($R414,Capa!$A:$AJ,AY$5,0))))</f>
        <v/>
      </c>
      <c r="AZ414" s="174" t="str">
        <f>IF(AZ$6="","",IF(AZ$3="Maior",iferror(VLOOKUP($R414,Capa!$A:$AJ,AZ$5,0),0),IF(ISERROR(1/VLOOKUP($R414,Capa!$A:$AJ,AZ$5,0)),0,1/VLOOKUP($R414,Capa!$A:$AJ,AZ$5,0))))</f>
        <v/>
      </c>
      <c r="BA414" s="174" t="str">
        <f>IF(BA$6="","",IF(BA$3="Maior",iferror(VLOOKUP($R414,Capa!$A:$AJ,BA$5,0),0),IF(ISERROR(1/VLOOKUP($R414,Capa!$A:$AJ,BA$5,0)),0,1/VLOOKUP($R414,Capa!$A:$AJ,BA$5,0))))</f>
        <v/>
      </c>
      <c r="BB414" s="174" t="str">
        <f>IF(BB$6="","",IF(BB$3="Maior",iferror(VLOOKUP($R414,Capa!$A:$AJ,BB$5,0),0),IF(ISERROR(1/VLOOKUP($R414,Capa!$A:$AJ,BB$5,0)),0,1/VLOOKUP($R414,Capa!$A:$AJ,BB$5,0))))</f>
        <v/>
      </c>
      <c r="BC414" s="174" t="str">
        <f>IF(BC$6="","",IF(BC$3="Maior",iferror(VLOOKUP($R414,Capa!$A:$AJ,BC$5,0),0),IF(ISERROR(1/VLOOKUP($R414,Capa!$A:$AJ,BC$5,0)),0,1/VLOOKUP($R414,Capa!$A:$AJ,BC$5,0))))</f>
        <v/>
      </c>
      <c r="BD414" s="174" t="str">
        <f>IF(BD$6="","",IF(BD$3="Maior",iferror(VLOOKUP($R414,Capa!$A:$AJ,BD$5,0),0),IF(ISERROR(1/VLOOKUP($R414,Capa!$A:$AJ,BD$5,0)),0,1/VLOOKUP($R414,Capa!$A:$AJ,BD$5,0))))</f>
        <v/>
      </c>
      <c r="BE414" s="174" t="str">
        <f>IF(BE$6="","",IF(BE$3="Maior",iferror(VLOOKUP($R414,Capa!$A:$AJ,BE$5,0),0),IF(ISERROR(1/VLOOKUP($R414,Capa!$A:$AJ,BE$5,0)),0,1/VLOOKUP($R414,Capa!$A:$AJ,BE$5,0))))</f>
        <v/>
      </c>
      <c r="BF414" s="174" t="str">
        <f>IF(BF$6="","",IF(BF$3="Maior",iferror(VLOOKUP($R414,Capa!$A:$AJ,BF$5,0),0),IF(ISERROR(1/VLOOKUP($R414,Capa!$A:$AJ,BF$5,0)),0,1/VLOOKUP($R414,Capa!$A:$AJ,BF$5,0))))</f>
        <v/>
      </c>
      <c r="BG414" s="174" t="str">
        <f>IF(BG$6="","",IF(BG$3="Maior",iferror(VLOOKUP($R414,Capa!$A:$AJ,BG$5,0),0),IF(ISERROR(1/VLOOKUP($R414,Capa!$A:$AJ,BG$5,0)),0,1/VLOOKUP($R414,Capa!$A:$AJ,BG$5,0))))</f>
        <v/>
      </c>
      <c r="BH414" s="174" t="str">
        <f>IF(BH$6="","",IF(BH$3="Maior",iferror(VLOOKUP($R414,Capa!$A:$AJ,BH$5,0),0),IF(ISERROR(1/VLOOKUP($R414,Capa!$A:$AJ,BH$5,0)),0,1/VLOOKUP($R414,Capa!$A:$AJ,BH$5,0))))</f>
        <v/>
      </c>
      <c r="BI414" s="174" t="str">
        <f>IF(BI$6="","",IF(BI$3="Maior",iferror(VLOOKUP($R414,Capa!$A:$AJ,BI$5,0),0),IF(ISERROR(1/VLOOKUP($R414,Capa!$A:$AJ,BI$5,0)),0,1/VLOOKUP($R414,Capa!$A:$AJ,BI$5,0))))</f>
        <v/>
      </c>
      <c r="BJ414" s="174" t="str">
        <f>IF(BJ$6="","",IF(BJ$3="Maior",iferror(VLOOKUP($R414,Capa!$A:$AJ,BJ$5,0),0),IF(ISERROR(1/VLOOKUP($R414,Capa!$A:$AJ,BJ$5,0)),0,1/VLOOKUP($R414,Capa!$A:$AJ,BJ$5,0))))</f>
        <v/>
      </c>
      <c r="BK414" s="174" t="str">
        <f>IF(BK$6="","",IF(BK$3="Maior",iferror(VLOOKUP($R414,Capa!$A:$AJ,BK$5,0),0),IF(ISERROR(1/VLOOKUP($R414,Capa!$A:$AJ,BK$5,0)),0,1/VLOOKUP($R414,Capa!$A:$AJ,BK$5,0))))</f>
        <v/>
      </c>
      <c r="BL414" s="174" t="str">
        <f>IF(BL$6="","",IF(BL$3="Maior",iferror(VLOOKUP($R414,Capa!$A:$AJ,BL$5,0),0),IF(ISERROR(1/VLOOKUP($R414,Capa!$A:$AJ,BL$5,0)),0,1/VLOOKUP($R414,Capa!$A:$AJ,BL$5,0))))</f>
        <v/>
      </c>
      <c r="BM414" s="174" t="str">
        <f>IF(BM$6="","",IF(BM$3="Maior",iferror(VLOOKUP($R414,Capa!$A:$AJ,BM$5,0),0),IF(ISERROR(1/VLOOKUP($R414,Capa!$A:$AJ,BM$5,0)),0,1/VLOOKUP($R414,Capa!$A:$AJ,BM$5,0))))</f>
        <v/>
      </c>
      <c r="BN414" s="174" t="str">
        <f>IF(BN$6="","",IF(BN$3="Maior",iferror(VLOOKUP($R414,Capa!$A:$AJ,BN$5,0),0),IF(ISERROR(1/VLOOKUP($R414,Capa!$A:$AJ,BN$5,0)),0,1/VLOOKUP($R414,Capa!$A:$AJ,BN$5,0))))</f>
        <v/>
      </c>
      <c r="BO414" s="174" t="str">
        <f>IF(BO$6="","",IF(BO$3="Maior",iferror(VLOOKUP($R414,Capa!$A:$AJ,BO$5,0),0),IF(ISERROR(1/VLOOKUP($R414,Capa!$A:$AJ,BO$5,0)),0,1/VLOOKUP($R414,Capa!$A:$AJ,BO$5,0))))</f>
        <v/>
      </c>
      <c r="BP414" s="174" t="str">
        <f>IF(BP$6="","",IF(BP$3="Maior",iferror(VLOOKUP($R414,Capa!$A:$AJ,BP$5,0),0),IF(ISERROR(1/VLOOKUP($R414,Capa!$A:$AJ,BP$5,0)),0,1/VLOOKUP($R414,Capa!$A:$AJ,BP$5,0))))</f>
        <v/>
      </c>
      <c r="BQ414" s="174" t="str">
        <f>IF(BQ$6="","",IF(BQ$3="Maior",iferror(VLOOKUP($R414,Capa!$A:$AJ,BQ$5,0),0),IF(ISERROR(1/VLOOKUP($R414,Capa!$A:$AJ,BQ$5,0)),0,1/VLOOKUP($R414,Capa!$A:$AJ,BQ$5,0))))</f>
        <v/>
      </c>
      <c r="BR414" s="175"/>
      <c r="BS414" s="147"/>
    </row>
    <row r="415">
      <c r="G415" s="11"/>
      <c r="H415" s="8">
        <v>409.0</v>
      </c>
      <c r="I415" s="165" t="str">
        <f t="shared" si="6"/>
        <v>MRSA3B</v>
      </c>
      <c r="J415" s="166" t="str">
        <f>(VLOOKUP($I415,Capa!$A:$B,2,0))</f>
        <v>MRS Logistica S/A</v>
      </c>
      <c r="K415" s="167" t="str">
        <f>VLOOKUP(left(I415,4),Setor!A:D,3,0)&amp;" | "&amp;VLOOKUP(left(I415,4),Setor!A:D,4,0)</f>
        <v>Bens Industriais | Transporte</v>
      </c>
      <c r="L415" s="168">
        <f>(VLOOKUP($I415,Capa!$A:$F,6,0))</f>
        <v>48.9</v>
      </c>
      <c r="M415" s="168">
        <f t="shared" si="7"/>
        <v>9163.33</v>
      </c>
      <c r="N415" s="11" t="str">
        <f>IFERROR(__xludf.DUMMYFUNCTION("(VLOOKUP($I415,Capa!$A:$H,7,0))"),"")</f>
        <v/>
      </c>
      <c r="O415" s="169" t="str">
        <f>(VLOOKUP($I415,Capa!$A:$H,8,0))</f>
        <v/>
      </c>
      <c r="P415" s="11" t="str">
        <f>IFERROR(__xludf.DUMMYFUNCTION("(VLOOKUP($I415,Capa!$A:$J,10,0))"),"")</f>
        <v/>
      </c>
      <c r="Q415" s="169">
        <f>(VLOOKUP($I415,Capa!$A:$K,11,0))</f>
        <v>0.8452830189</v>
      </c>
      <c r="R415" s="45" t="str">
        <f>'Dados StatusInvest'!A410</f>
        <v>MULT3</v>
      </c>
      <c r="S415" s="170">
        <f t="shared" si="234"/>
        <v>502.0502</v>
      </c>
      <c r="T415" s="171">
        <f>VLOOKUP(R415,'Dados StatusInvest'!A:Z,26,0)</f>
        <v>157000000</v>
      </c>
      <c r="U415" s="172">
        <f t="shared" ref="U415:AS415" si="418">IF(AT415="","", RANK(AT415,AT$7:AT$626,0)+RANK(AT415,AT$7:AT$626,0)/10000)</f>
        <v>253.0253</v>
      </c>
      <c r="V415" s="172">
        <f t="shared" si="418"/>
        <v>249.0249</v>
      </c>
      <c r="W415" s="172" t="str">
        <f t="shared" si="418"/>
        <v/>
      </c>
      <c r="X415" s="172" t="str">
        <f t="shared" si="418"/>
        <v/>
      </c>
      <c r="Y415" s="172" t="str">
        <f t="shared" si="418"/>
        <v/>
      </c>
      <c r="Z415" s="172" t="str">
        <f t="shared" si="418"/>
        <v/>
      </c>
      <c r="AA415" s="172" t="str">
        <f t="shared" si="418"/>
        <v/>
      </c>
      <c r="AB415" s="172" t="str">
        <f t="shared" si="418"/>
        <v/>
      </c>
      <c r="AC415" s="172" t="str">
        <f t="shared" si="418"/>
        <v/>
      </c>
      <c r="AD415" s="172" t="str">
        <f t="shared" si="418"/>
        <v/>
      </c>
      <c r="AE415" s="172" t="str">
        <f t="shared" si="418"/>
        <v/>
      </c>
      <c r="AF415" s="172" t="str">
        <f t="shared" si="418"/>
        <v/>
      </c>
      <c r="AG415" s="172" t="str">
        <f t="shared" si="418"/>
        <v/>
      </c>
      <c r="AH415" s="172" t="str">
        <f t="shared" si="418"/>
        <v/>
      </c>
      <c r="AI415" s="172" t="str">
        <f t="shared" si="418"/>
        <v/>
      </c>
      <c r="AJ415" s="172" t="str">
        <f t="shared" si="418"/>
        <v/>
      </c>
      <c r="AK415" s="172" t="str">
        <f t="shared" si="418"/>
        <v/>
      </c>
      <c r="AL415" s="172" t="str">
        <f t="shared" si="418"/>
        <v/>
      </c>
      <c r="AM415" s="172" t="str">
        <f t="shared" si="418"/>
        <v/>
      </c>
      <c r="AN415" s="172" t="str">
        <f t="shared" si="418"/>
        <v/>
      </c>
      <c r="AO415" s="172" t="str">
        <f t="shared" si="418"/>
        <v/>
      </c>
      <c r="AP415" s="172" t="str">
        <f t="shared" si="418"/>
        <v/>
      </c>
      <c r="AQ415" s="172" t="str">
        <f t="shared" si="418"/>
        <v/>
      </c>
      <c r="AR415" s="172" t="str">
        <f t="shared" si="418"/>
        <v/>
      </c>
      <c r="AS415" s="172" t="str">
        <f t="shared" si="418"/>
        <v/>
      </c>
      <c r="AT415" s="173">
        <f>IF(AT$6="","",IF(AT$3="Maior",iferror(VLOOKUP($R415,Capa!$A:$AJ,AT$5,0),0),IF(ISERROR(1/VLOOKUP($R415,Capa!$A:$AJ,AT$5,0)),0,1/VLOOKUP($R415,Capa!$A:$AJ,AT$5,0))))</f>
        <v>-0.5019234238</v>
      </c>
      <c r="AU415" s="174">
        <f>IF(AU$6="","",IF(AU$3="Maior",iferror(VLOOKUP($R415,Capa!$A:$AJ,AU$5,0),0),IF(ISERROR(1/VLOOKUP($R415,Capa!$A:$AJ,AU$5,0)),0,1/VLOOKUP($R415,Capa!$A:$AJ,AU$5,0))))</f>
        <v>3.43</v>
      </c>
      <c r="AV415" s="174" t="str">
        <f>IF(AV$6="","",IF(AV$3="Maior",iferror(VLOOKUP($R415,Capa!$A:$AJ,AV$5,0),0),IF(ISERROR(1/VLOOKUP($R415,Capa!$A:$AJ,AV$5,0)),0,1/VLOOKUP($R415,Capa!$A:$AJ,AV$5,0))))</f>
        <v/>
      </c>
      <c r="AW415" s="174" t="str">
        <f>IF(AW$6="","",IF(AW$3="Maior",iferror(VLOOKUP($R415,Capa!$A:$AJ,AW$5,0),0),IF(ISERROR(1/VLOOKUP($R415,Capa!$A:$AJ,AW$5,0)),0,1/VLOOKUP($R415,Capa!$A:$AJ,AW$5,0))))</f>
        <v/>
      </c>
      <c r="AX415" s="174" t="str">
        <f>IF(AX$6="","",IF(AX$3="Maior",iferror(VLOOKUP($R415,Capa!$A:$AJ,AX$5,0),0),IF(ISERROR(1/VLOOKUP($R415,Capa!$A:$AJ,AX$5,0)),0,1/VLOOKUP($R415,Capa!$A:$AJ,AX$5,0))))</f>
        <v/>
      </c>
      <c r="AY415" s="174" t="str">
        <f>IF(AY$6="","",IF(AY$3="Maior",iferror(VLOOKUP($R415,Capa!$A:$AJ,AY$5,0),0),IF(ISERROR(1/VLOOKUP($R415,Capa!$A:$AJ,AY$5,0)),0,1/VLOOKUP($R415,Capa!$A:$AJ,AY$5,0))))</f>
        <v/>
      </c>
      <c r="AZ415" s="174" t="str">
        <f>IF(AZ$6="","",IF(AZ$3="Maior",iferror(VLOOKUP($R415,Capa!$A:$AJ,AZ$5,0),0),IF(ISERROR(1/VLOOKUP($R415,Capa!$A:$AJ,AZ$5,0)),0,1/VLOOKUP($R415,Capa!$A:$AJ,AZ$5,0))))</f>
        <v/>
      </c>
      <c r="BA415" s="174" t="str">
        <f>IF(BA$6="","",IF(BA$3="Maior",iferror(VLOOKUP($R415,Capa!$A:$AJ,BA$5,0),0),IF(ISERROR(1/VLOOKUP($R415,Capa!$A:$AJ,BA$5,0)),0,1/VLOOKUP($R415,Capa!$A:$AJ,BA$5,0))))</f>
        <v/>
      </c>
      <c r="BB415" s="174" t="str">
        <f>IF(BB$6="","",IF(BB$3="Maior",iferror(VLOOKUP($R415,Capa!$A:$AJ,BB$5,0),0),IF(ISERROR(1/VLOOKUP($R415,Capa!$A:$AJ,BB$5,0)),0,1/VLOOKUP($R415,Capa!$A:$AJ,BB$5,0))))</f>
        <v/>
      </c>
      <c r="BC415" s="174" t="str">
        <f>IF(BC$6="","",IF(BC$3="Maior",iferror(VLOOKUP($R415,Capa!$A:$AJ,BC$5,0),0),IF(ISERROR(1/VLOOKUP($R415,Capa!$A:$AJ,BC$5,0)),0,1/VLOOKUP($R415,Capa!$A:$AJ,BC$5,0))))</f>
        <v/>
      </c>
      <c r="BD415" s="174" t="str">
        <f>IF(BD$6="","",IF(BD$3="Maior",iferror(VLOOKUP($R415,Capa!$A:$AJ,BD$5,0),0),IF(ISERROR(1/VLOOKUP($R415,Capa!$A:$AJ,BD$5,0)),0,1/VLOOKUP($R415,Capa!$A:$AJ,BD$5,0))))</f>
        <v/>
      </c>
      <c r="BE415" s="174" t="str">
        <f>IF(BE$6="","",IF(BE$3="Maior",iferror(VLOOKUP($R415,Capa!$A:$AJ,BE$5,0),0),IF(ISERROR(1/VLOOKUP($R415,Capa!$A:$AJ,BE$5,0)),0,1/VLOOKUP($R415,Capa!$A:$AJ,BE$5,0))))</f>
        <v/>
      </c>
      <c r="BF415" s="174" t="str">
        <f>IF(BF$6="","",IF(BF$3="Maior",iferror(VLOOKUP($R415,Capa!$A:$AJ,BF$5,0),0),IF(ISERROR(1/VLOOKUP($R415,Capa!$A:$AJ,BF$5,0)),0,1/VLOOKUP($R415,Capa!$A:$AJ,BF$5,0))))</f>
        <v/>
      </c>
      <c r="BG415" s="174" t="str">
        <f>IF(BG$6="","",IF(BG$3="Maior",iferror(VLOOKUP($R415,Capa!$A:$AJ,BG$5,0),0),IF(ISERROR(1/VLOOKUP($R415,Capa!$A:$AJ,BG$5,0)),0,1/VLOOKUP($R415,Capa!$A:$AJ,BG$5,0))))</f>
        <v/>
      </c>
      <c r="BH415" s="174" t="str">
        <f>IF(BH$6="","",IF(BH$3="Maior",iferror(VLOOKUP($R415,Capa!$A:$AJ,BH$5,0),0),IF(ISERROR(1/VLOOKUP($R415,Capa!$A:$AJ,BH$5,0)),0,1/VLOOKUP($R415,Capa!$A:$AJ,BH$5,0))))</f>
        <v/>
      </c>
      <c r="BI415" s="174" t="str">
        <f>IF(BI$6="","",IF(BI$3="Maior",iferror(VLOOKUP($R415,Capa!$A:$AJ,BI$5,0),0),IF(ISERROR(1/VLOOKUP($R415,Capa!$A:$AJ,BI$5,0)),0,1/VLOOKUP($R415,Capa!$A:$AJ,BI$5,0))))</f>
        <v/>
      </c>
      <c r="BJ415" s="174" t="str">
        <f>IF(BJ$6="","",IF(BJ$3="Maior",iferror(VLOOKUP($R415,Capa!$A:$AJ,BJ$5,0),0),IF(ISERROR(1/VLOOKUP($R415,Capa!$A:$AJ,BJ$5,0)),0,1/VLOOKUP($R415,Capa!$A:$AJ,BJ$5,0))))</f>
        <v/>
      </c>
      <c r="BK415" s="174" t="str">
        <f>IF(BK$6="","",IF(BK$3="Maior",iferror(VLOOKUP($R415,Capa!$A:$AJ,BK$5,0),0),IF(ISERROR(1/VLOOKUP($R415,Capa!$A:$AJ,BK$5,0)),0,1/VLOOKUP($R415,Capa!$A:$AJ,BK$5,0))))</f>
        <v/>
      </c>
      <c r="BL415" s="174" t="str">
        <f>IF(BL$6="","",IF(BL$3="Maior",iferror(VLOOKUP($R415,Capa!$A:$AJ,BL$5,0),0),IF(ISERROR(1/VLOOKUP($R415,Capa!$A:$AJ,BL$5,0)),0,1/VLOOKUP($R415,Capa!$A:$AJ,BL$5,0))))</f>
        <v/>
      </c>
      <c r="BM415" s="174" t="str">
        <f>IF(BM$6="","",IF(BM$3="Maior",iferror(VLOOKUP($R415,Capa!$A:$AJ,BM$5,0),0),IF(ISERROR(1/VLOOKUP($R415,Capa!$A:$AJ,BM$5,0)),0,1/VLOOKUP($R415,Capa!$A:$AJ,BM$5,0))))</f>
        <v/>
      </c>
      <c r="BN415" s="174" t="str">
        <f>IF(BN$6="","",IF(BN$3="Maior",iferror(VLOOKUP($R415,Capa!$A:$AJ,BN$5,0),0),IF(ISERROR(1/VLOOKUP($R415,Capa!$A:$AJ,BN$5,0)),0,1/VLOOKUP($R415,Capa!$A:$AJ,BN$5,0))))</f>
        <v/>
      </c>
      <c r="BO415" s="174" t="str">
        <f>IF(BO$6="","",IF(BO$3="Maior",iferror(VLOOKUP($R415,Capa!$A:$AJ,BO$5,0),0),IF(ISERROR(1/VLOOKUP($R415,Capa!$A:$AJ,BO$5,0)),0,1/VLOOKUP($R415,Capa!$A:$AJ,BO$5,0))))</f>
        <v/>
      </c>
      <c r="BP415" s="174" t="str">
        <f>IF(BP$6="","",IF(BP$3="Maior",iferror(VLOOKUP($R415,Capa!$A:$AJ,BP$5,0),0),IF(ISERROR(1/VLOOKUP($R415,Capa!$A:$AJ,BP$5,0)),0,1/VLOOKUP($R415,Capa!$A:$AJ,BP$5,0))))</f>
        <v/>
      </c>
      <c r="BQ415" s="174" t="str">
        <f>IF(BQ$6="","",IF(BQ$3="Maior",iferror(VLOOKUP($R415,Capa!$A:$AJ,BQ$5,0),0),IF(ISERROR(1/VLOOKUP($R415,Capa!$A:$AJ,BQ$5,0)),0,1/VLOOKUP($R415,Capa!$A:$AJ,BQ$5,0))))</f>
        <v/>
      </c>
      <c r="BR415" s="175"/>
      <c r="BS415" s="147"/>
    </row>
    <row r="416">
      <c r="G416" s="11"/>
      <c r="H416" s="8">
        <v>410.0</v>
      </c>
      <c r="I416" s="165" t="str">
        <f t="shared" si="6"/>
        <v>ENGI3</v>
      </c>
      <c r="J416" s="166" t="str">
        <f>(VLOOKUP($I416,Capa!$A:$B,2,0))</f>
        <v>Energisa SA</v>
      </c>
      <c r="K416" s="167" t="str">
        <f>VLOOKUP(left(I416,4),Setor!A:D,3,0)&amp;" | "&amp;VLOOKUP(left(I416,4),Setor!A:D,4,0)</f>
        <v>Utilidade Pública | Energia Elétrica</v>
      </c>
      <c r="L416" s="168">
        <f>(VLOOKUP($I416,Capa!$A:$F,6,0))</f>
        <v>12.59</v>
      </c>
      <c r="M416" s="168">
        <f t="shared" si="7"/>
        <v>78476.24</v>
      </c>
      <c r="N416" s="11" t="str">
        <f>IFERROR(__xludf.DUMMYFUNCTION("(VLOOKUP($I416,Capa!$A:$H,7,0))"),"")</f>
        <v/>
      </c>
      <c r="O416" s="169">
        <f>(VLOOKUP($I416,Capa!$A:$H,8,0))</f>
        <v>-0.04909365559</v>
      </c>
      <c r="P416" s="11" t="str">
        <f>IFERROR(__xludf.DUMMYFUNCTION("(VLOOKUP($I416,Capa!$A:$J,10,0))"),"")</f>
        <v/>
      </c>
      <c r="Q416" s="169">
        <f>(VLOOKUP($I416,Capa!$A:$K,11,0))</f>
        <v>0.1689879294</v>
      </c>
      <c r="R416" s="45" t="str">
        <f>'Dados StatusInvest'!A411</f>
        <v>MWET3</v>
      </c>
      <c r="S416" s="170">
        <f t="shared" si="234"/>
        <v>1821.0821</v>
      </c>
      <c r="T416" s="171">
        <f>VLOOKUP(R416,'Dados StatusInvest'!A:Z,26,0)</f>
        <v>400</v>
      </c>
      <c r="U416" s="172">
        <f t="shared" ref="U416:AS416" si="419">IF(AT416="","", RANK(AT416,AT$7:AT$626,0)+RANK(AT416,AT$7:AT$626,0)/10000)</f>
        <v>554.0554</v>
      </c>
      <c r="V416" s="172">
        <f t="shared" si="419"/>
        <v>267.0267</v>
      </c>
      <c r="W416" s="172" t="str">
        <f t="shared" si="419"/>
        <v/>
      </c>
      <c r="X416" s="172" t="str">
        <f t="shared" si="419"/>
        <v/>
      </c>
      <c r="Y416" s="172" t="str">
        <f t="shared" si="419"/>
        <v/>
      </c>
      <c r="Z416" s="172" t="str">
        <f t="shared" si="419"/>
        <v/>
      </c>
      <c r="AA416" s="172" t="str">
        <f t="shared" si="419"/>
        <v/>
      </c>
      <c r="AB416" s="172" t="str">
        <f t="shared" si="419"/>
        <v/>
      </c>
      <c r="AC416" s="172" t="str">
        <f t="shared" si="419"/>
        <v/>
      </c>
      <c r="AD416" s="172" t="str">
        <f t="shared" si="419"/>
        <v/>
      </c>
      <c r="AE416" s="172" t="str">
        <f t="shared" si="419"/>
        <v/>
      </c>
      <c r="AF416" s="172" t="str">
        <f t="shared" si="419"/>
        <v/>
      </c>
      <c r="AG416" s="172" t="str">
        <f t="shared" si="419"/>
        <v/>
      </c>
      <c r="AH416" s="172" t="str">
        <f t="shared" si="419"/>
        <v/>
      </c>
      <c r="AI416" s="172" t="str">
        <f t="shared" si="419"/>
        <v/>
      </c>
      <c r="AJ416" s="172" t="str">
        <f t="shared" si="419"/>
        <v/>
      </c>
      <c r="AK416" s="172" t="str">
        <f t="shared" si="419"/>
        <v/>
      </c>
      <c r="AL416" s="172" t="str">
        <f t="shared" si="419"/>
        <v/>
      </c>
      <c r="AM416" s="172" t="str">
        <f t="shared" si="419"/>
        <v/>
      </c>
      <c r="AN416" s="172" t="str">
        <f t="shared" si="419"/>
        <v/>
      </c>
      <c r="AO416" s="172" t="str">
        <f t="shared" si="419"/>
        <v/>
      </c>
      <c r="AP416" s="172" t="str">
        <f t="shared" si="419"/>
        <v/>
      </c>
      <c r="AQ416" s="172" t="str">
        <f t="shared" si="419"/>
        <v/>
      </c>
      <c r="AR416" s="172" t="str">
        <f t="shared" si="419"/>
        <v/>
      </c>
      <c r="AS416" s="172" t="str">
        <f t="shared" si="419"/>
        <v/>
      </c>
      <c r="AT416" s="173">
        <f>IF(AT$6="","",IF(AT$3="Maior",iferror(VLOOKUP($R416,Capa!$A:$AJ,AT$5,0),0),IF(ISERROR(1/VLOOKUP($R416,Capa!$A:$AJ,AT$5,0)),0,1/VLOOKUP($R416,Capa!$A:$AJ,AT$5,0))))</f>
        <v>-5.882352941</v>
      </c>
      <c r="AU416" s="174">
        <f>IF(AU$6="","",IF(AU$3="Maior",iferror(VLOOKUP($R416,Capa!$A:$AJ,AU$5,0),0),IF(ISERROR(1/VLOOKUP($R416,Capa!$A:$AJ,AU$5,0)),0,1/VLOOKUP($R416,Capa!$A:$AJ,AU$5,0))))</f>
        <v>0</v>
      </c>
      <c r="AV416" s="174" t="str">
        <f>IF(AV$6="","",IF(AV$3="Maior",iferror(VLOOKUP($R416,Capa!$A:$AJ,AV$5,0),0),IF(ISERROR(1/VLOOKUP($R416,Capa!$A:$AJ,AV$5,0)),0,1/VLOOKUP($R416,Capa!$A:$AJ,AV$5,0))))</f>
        <v/>
      </c>
      <c r="AW416" s="174" t="str">
        <f>IF(AW$6="","",IF(AW$3="Maior",iferror(VLOOKUP($R416,Capa!$A:$AJ,AW$5,0),0),IF(ISERROR(1/VLOOKUP($R416,Capa!$A:$AJ,AW$5,0)),0,1/VLOOKUP($R416,Capa!$A:$AJ,AW$5,0))))</f>
        <v/>
      </c>
      <c r="AX416" s="174" t="str">
        <f>IF(AX$6="","",IF(AX$3="Maior",iferror(VLOOKUP($R416,Capa!$A:$AJ,AX$5,0),0),IF(ISERROR(1/VLOOKUP($R416,Capa!$A:$AJ,AX$5,0)),0,1/VLOOKUP($R416,Capa!$A:$AJ,AX$5,0))))</f>
        <v/>
      </c>
      <c r="AY416" s="174" t="str">
        <f>IF(AY$6="","",IF(AY$3="Maior",iferror(VLOOKUP($R416,Capa!$A:$AJ,AY$5,0),0),IF(ISERROR(1/VLOOKUP($R416,Capa!$A:$AJ,AY$5,0)),0,1/VLOOKUP($R416,Capa!$A:$AJ,AY$5,0))))</f>
        <v/>
      </c>
      <c r="AZ416" s="174" t="str">
        <f>IF(AZ$6="","",IF(AZ$3="Maior",iferror(VLOOKUP($R416,Capa!$A:$AJ,AZ$5,0),0),IF(ISERROR(1/VLOOKUP($R416,Capa!$A:$AJ,AZ$5,0)),0,1/VLOOKUP($R416,Capa!$A:$AJ,AZ$5,0))))</f>
        <v/>
      </c>
      <c r="BA416" s="174" t="str">
        <f>IF(BA$6="","",IF(BA$3="Maior",iferror(VLOOKUP($R416,Capa!$A:$AJ,BA$5,0),0),IF(ISERROR(1/VLOOKUP($R416,Capa!$A:$AJ,BA$5,0)),0,1/VLOOKUP($R416,Capa!$A:$AJ,BA$5,0))))</f>
        <v/>
      </c>
      <c r="BB416" s="174" t="str">
        <f>IF(BB$6="","",IF(BB$3="Maior",iferror(VLOOKUP($R416,Capa!$A:$AJ,BB$5,0),0),IF(ISERROR(1/VLOOKUP($R416,Capa!$A:$AJ,BB$5,0)),0,1/VLOOKUP($R416,Capa!$A:$AJ,BB$5,0))))</f>
        <v/>
      </c>
      <c r="BC416" s="174" t="str">
        <f>IF(BC$6="","",IF(BC$3="Maior",iferror(VLOOKUP($R416,Capa!$A:$AJ,BC$5,0),0),IF(ISERROR(1/VLOOKUP($R416,Capa!$A:$AJ,BC$5,0)),0,1/VLOOKUP($R416,Capa!$A:$AJ,BC$5,0))))</f>
        <v/>
      </c>
      <c r="BD416" s="174" t="str">
        <f>IF(BD$6="","",IF(BD$3="Maior",iferror(VLOOKUP($R416,Capa!$A:$AJ,BD$5,0),0),IF(ISERROR(1/VLOOKUP($R416,Capa!$A:$AJ,BD$5,0)),0,1/VLOOKUP($R416,Capa!$A:$AJ,BD$5,0))))</f>
        <v/>
      </c>
      <c r="BE416" s="174" t="str">
        <f>IF(BE$6="","",IF(BE$3="Maior",iferror(VLOOKUP($R416,Capa!$A:$AJ,BE$5,0),0),IF(ISERROR(1/VLOOKUP($R416,Capa!$A:$AJ,BE$5,0)),0,1/VLOOKUP($R416,Capa!$A:$AJ,BE$5,0))))</f>
        <v/>
      </c>
      <c r="BF416" s="174" t="str">
        <f>IF(BF$6="","",IF(BF$3="Maior",iferror(VLOOKUP($R416,Capa!$A:$AJ,BF$5,0),0),IF(ISERROR(1/VLOOKUP($R416,Capa!$A:$AJ,BF$5,0)),0,1/VLOOKUP($R416,Capa!$A:$AJ,BF$5,0))))</f>
        <v/>
      </c>
      <c r="BG416" s="174" t="str">
        <f>IF(BG$6="","",IF(BG$3="Maior",iferror(VLOOKUP($R416,Capa!$A:$AJ,BG$5,0),0),IF(ISERROR(1/VLOOKUP($R416,Capa!$A:$AJ,BG$5,0)),0,1/VLOOKUP($R416,Capa!$A:$AJ,BG$5,0))))</f>
        <v/>
      </c>
      <c r="BH416" s="174" t="str">
        <f>IF(BH$6="","",IF(BH$3="Maior",iferror(VLOOKUP($R416,Capa!$A:$AJ,BH$5,0),0),IF(ISERROR(1/VLOOKUP($R416,Capa!$A:$AJ,BH$5,0)),0,1/VLOOKUP($R416,Capa!$A:$AJ,BH$5,0))))</f>
        <v/>
      </c>
      <c r="BI416" s="174" t="str">
        <f>IF(BI$6="","",IF(BI$3="Maior",iferror(VLOOKUP($R416,Capa!$A:$AJ,BI$5,0),0),IF(ISERROR(1/VLOOKUP($R416,Capa!$A:$AJ,BI$5,0)),0,1/VLOOKUP($R416,Capa!$A:$AJ,BI$5,0))))</f>
        <v/>
      </c>
      <c r="BJ416" s="174" t="str">
        <f>IF(BJ$6="","",IF(BJ$3="Maior",iferror(VLOOKUP($R416,Capa!$A:$AJ,BJ$5,0),0),IF(ISERROR(1/VLOOKUP($R416,Capa!$A:$AJ,BJ$5,0)),0,1/VLOOKUP($R416,Capa!$A:$AJ,BJ$5,0))))</f>
        <v/>
      </c>
      <c r="BK416" s="174" t="str">
        <f>IF(BK$6="","",IF(BK$3="Maior",iferror(VLOOKUP($R416,Capa!$A:$AJ,BK$5,0),0),IF(ISERROR(1/VLOOKUP($R416,Capa!$A:$AJ,BK$5,0)),0,1/VLOOKUP($R416,Capa!$A:$AJ,BK$5,0))))</f>
        <v/>
      </c>
      <c r="BL416" s="174" t="str">
        <f>IF(BL$6="","",IF(BL$3="Maior",iferror(VLOOKUP($R416,Capa!$A:$AJ,BL$5,0),0),IF(ISERROR(1/VLOOKUP($R416,Capa!$A:$AJ,BL$5,0)),0,1/VLOOKUP($R416,Capa!$A:$AJ,BL$5,0))))</f>
        <v/>
      </c>
      <c r="BM416" s="174" t="str">
        <f>IF(BM$6="","",IF(BM$3="Maior",iferror(VLOOKUP($R416,Capa!$A:$AJ,BM$5,0),0),IF(ISERROR(1/VLOOKUP($R416,Capa!$A:$AJ,BM$5,0)),0,1/VLOOKUP($R416,Capa!$A:$AJ,BM$5,0))))</f>
        <v/>
      </c>
      <c r="BN416" s="174" t="str">
        <f>IF(BN$6="","",IF(BN$3="Maior",iferror(VLOOKUP($R416,Capa!$A:$AJ,BN$5,0),0),IF(ISERROR(1/VLOOKUP($R416,Capa!$A:$AJ,BN$5,0)),0,1/VLOOKUP($R416,Capa!$A:$AJ,BN$5,0))))</f>
        <v/>
      </c>
      <c r="BO416" s="174" t="str">
        <f>IF(BO$6="","",IF(BO$3="Maior",iferror(VLOOKUP($R416,Capa!$A:$AJ,BO$5,0),0),IF(ISERROR(1/VLOOKUP($R416,Capa!$A:$AJ,BO$5,0)),0,1/VLOOKUP($R416,Capa!$A:$AJ,BO$5,0))))</f>
        <v/>
      </c>
      <c r="BP416" s="174" t="str">
        <f>IF(BP$6="","",IF(BP$3="Maior",iferror(VLOOKUP($R416,Capa!$A:$AJ,BP$5,0),0),IF(ISERROR(1/VLOOKUP($R416,Capa!$A:$AJ,BP$5,0)),0,1/VLOOKUP($R416,Capa!$A:$AJ,BP$5,0))))</f>
        <v/>
      </c>
      <c r="BQ416" s="174" t="str">
        <f>IF(BQ$6="","",IF(BQ$3="Maior",iferror(VLOOKUP($R416,Capa!$A:$AJ,BQ$5,0),0),IF(ISERROR(1/VLOOKUP($R416,Capa!$A:$AJ,BQ$5,0)),0,1/VLOOKUP($R416,Capa!$A:$AJ,BQ$5,0))))</f>
        <v/>
      </c>
      <c r="BR416" s="175"/>
      <c r="BS416" s="147"/>
    </row>
    <row r="417">
      <c r="G417" s="11"/>
      <c r="H417" s="8">
        <v>411.0</v>
      </c>
      <c r="I417" s="165" t="str">
        <f t="shared" si="6"/>
        <v>BPAC3</v>
      </c>
      <c r="J417" s="166" t="str">
        <f>(VLOOKUP($I417,Capa!$A:$B,2,0))</f>
        <v>Banco BTG Pactual SA</v>
      </c>
      <c r="K417" s="167" t="str">
        <f>VLOOKUP(left(I417,4),Setor!A:D,3,0)&amp;" | "&amp;VLOOKUP(left(I417,4),Setor!A:D,4,0)</f>
        <v>Financeiro | Intermediários Financeiros</v>
      </c>
      <c r="L417" s="168">
        <f>(VLOOKUP($I417,Capa!$A:$F,6,0))</f>
        <v>44.02</v>
      </c>
      <c r="M417" s="168">
        <f t="shared" si="7"/>
        <v>366670.2</v>
      </c>
      <c r="N417" s="11" t="str">
        <f>IFERROR(__xludf.DUMMYFUNCTION("(VLOOKUP($I417,Capa!$A:$H,7,0))"),"")</f>
        <v/>
      </c>
      <c r="O417" s="169">
        <f>(VLOOKUP($I417,Capa!$A:$H,8,0))</f>
        <v>0.144863459</v>
      </c>
      <c r="P417" s="11" t="str">
        <f>IFERROR(__xludf.DUMMYFUNCTION("(VLOOKUP($I417,Capa!$A:$J,10,0))"),"")</f>
        <v/>
      </c>
      <c r="Q417" s="169">
        <f>(VLOOKUP($I417,Capa!$A:$K,11,0))</f>
        <v>1.75125</v>
      </c>
      <c r="R417" s="45" t="str">
        <f>'Dados StatusInvest'!A412</f>
        <v>MWET4</v>
      </c>
      <c r="S417" s="170">
        <f t="shared" si="234"/>
        <v>846.0846</v>
      </c>
      <c r="T417" s="171">
        <f>VLOOKUP(R417,'Dados StatusInvest'!A:Z,26,0)</f>
        <v>854734.8</v>
      </c>
      <c r="U417" s="172">
        <f t="shared" ref="U417:AS417" si="420">IF(AT417="","", RANK(AT417,AT$7:AT$626,0)+RANK(AT417,AT$7:AT$626,0)/10000)</f>
        <v>579.0579</v>
      </c>
      <c r="V417" s="172">
        <f t="shared" si="420"/>
        <v>267.0267</v>
      </c>
      <c r="W417" s="172" t="str">
        <f t="shared" si="420"/>
        <v/>
      </c>
      <c r="X417" s="172" t="str">
        <f t="shared" si="420"/>
        <v/>
      </c>
      <c r="Y417" s="172" t="str">
        <f t="shared" si="420"/>
        <v/>
      </c>
      <c r="Z417" s="172" t="str">
        <f t="shared" si="420"/>
        <v/>
      </c>
      <c r="AA417" s="172" t="str">
        <f t="shared" si="420"/>
        <v/>
      </c>
      <c r="AB417" s="172" t="str">
        <f t="shared" si="420"/>
        <v/>
      </c>
      <c r="AC417" s="172" t="str">
        <f t="shared" si="420"/>
        <v/>
      </c>
      <c r="AD417" s="172" t="str">
        <f t="shared" si="420"/>
        <v/>
      </c>
      <c r="AE417" s="172" t="str">
        <f t="shared" si="420"/>
        <v/>
      </c>
      <c r="AF417" s="172" t="str">
        <f t="shared" si="420"/>
        <v/>
      </c>
      <c r="AG417" s="172" t="str">
        <f t="shared" si="420"/>
        <v/>
      </c>
      <c r="AH417" s="172" t="str">
        <f t="shared" si="420"/>
        <v/>
      </c>
      <c r="AI417" s="172" t="str">
        <f t="shared" si="420"/>
        <v/>
      </c>
      <c r="AJ417" s="172" t="str">
        <f t="shared" si="420"/>
        <v/>
      </c>
      <c r="AK417" s="172" t="str">
        <f t="shared" si="420"/>
        <v/>
      </c>
      <c r="AL417" s="172" t="str">
        <f t="shared" si="420"/>
        <v/>
      </c>
      <c r="AM417" s="172" t="str">
        <f t="shared" si="420"/>
        <v/>
      </c>
      <c r="AN417" s="172" t="str">
        <f t="shared" si="420"/>
        <v/>
      </c>
      <c r="AO417" s="172" t="str">
        <f t="shared" si="420"/>
        <v/>
      </c>
      <c r="AP417" s="172" t="str">
        <f t="shared" si="420"/>
        <v/>
      </c>
      <c r="AQ417" s="172" t="str">
        <f t="shared" si="420"/>
        <v/>
      </c>
      <c r="AR417" s="172" t="str">
        <f t="shared" si="420"/>
        <v/>
      </c>
      <c r="AS417" s="172" t="str">
        <f t="shared" si="420"/>
        <v/>
      </c>
      <c r="AT417" s="173">
        <f>IF(AT$6="","",IF(AT$3="Maior",iferror(VLOOKUP($R417,Capa!$A:$AJ,AT$5,0),0),IF(ISERROR(1/VLOOKUP($R417,Capa!$A:$AJ,AT$5,0)),0,1/VLOOKUP($R417,Capa!$A:$AJ,AT$5,0))))</f>
        <v>-9.090909091</v>
      </c>
      <c r="AU417" s="174">
        <f>IF(AU$6="","",IF(AU$3="Maior",iferror(VLOOKUP($R417,Capa!$A:$AJ,AU$5,0),0),IF(ISERROR(1/VLOOKUP($R417,Capa!$A:$AJ,AU$5,0)),0,1/VLOOKUP($R417,Capa!$A:$AJ,AU$5,0))))</f>
        <v>0</v>
      </c>
      <c r="AV417" s="174" t="str">
        <f>IF(AV$6="","",IF(AV$3="Maior",iferror(VLOOKUP($R417,Capa!$A:$AJ,AV$5,0),0),IF(ISERROR(1/VLOOKUP($R417,Capa!$A:$AJ,AV$5,0)),0,1/VLOOKUP($R417,Capa!$A:$AJ,AV$5,0))))</f>
        <v/>
      </c>
      <c r="AW417" s="174" t="str">
        <f>IF(AW$6="","",IF(AW$3="Maior",iferror(VLOOKUP($R417,Capa!$A:$AJ,AW$5,0),0),IF(ISERROR(1/VLOOKUP($R417,Capa!$A:$AJ,AW$5,0)),0,1/VLOOKUP($R417,Capa!$A:$AJ,AW$5,0))))</f>
        <v/>
      </c>
      <c r="AX417" s="174" t="str">
        <f>IF(AX$6="","",IF(AX$3="Maior",iferror(VLOOKUP($R417,Capa!$A:$AJ,AX$5,0),0),IF(ISERROR(1/VLOOKUP($R417,Capa!$A:$AJ,AX$5,0)),0,1/VLOOKUP($R417,Capa!$A:$AJ,AX$5,0))))</f>
        <v/>
      </c>
      <c r="AY417" s="174" t="str">
        <f>IF(AY$6="","",IF(AY$3="Maior",iferror(VLOOKUP($R417,Capa!$A:$AJ,AY$5,0),0),IF(ISERROR(1/VLOOKUP($R417,Capa!$A:$AJ,AY$5,0)),0,1/VLOOKUP($R417,Capa!$A:$AJ,AY$5,0))))</f>
        <v/>
      </c>
      <c r="AZ417" s="174" t="str">
        <f>IF(AZ$6="","",IF(AZ$3="Maior",iferror(VLOOKUP($R417,Capa!$A:$AJ,AZ$5,0),0),IF(ISERROR(1/VLOOKUP($R417,Capa!$A:$AJ,AZ$5,0)),0,1/VLOOKUP($R417,Capa!$A:$AJ,AZ$5,0))))</f>
        <v/>
      </c>
      <c r="BA417" s="174" t="str">
        <f>IF(BA$6="","",IF(BA$3="Maior",iferror(VLOOKUP($R417,Capa!$A:$AJ,BA$5,0),0),IF(ISERROR(1/VLOOKUP($R417,Capa!$A:$AJ,BA$5,0)),0,1/VLOOKUP($R417,Capa!$A:$AJ,BA$5,0))))</f>
        <v/>
      </c>
      <c r="BB417" s="174" t="str">
        <f>IF(BB$6="","",IF(BB$3="Maior",iferror(VLOOKUP($R417,Capa!$A:$AJ,BB$5,0),0),IF(ISERROR(1/VLOOKUP($R417,Capa!$A:$AJ,BB$5,0)),0,1/VLOOKUP($R417,Capa!$A:$AJ,BB$5,0))))</f>
        <v/>
      </c>
      <c r="BC417" s="174" t="str">
        <f>IF(BC$6="","",IF(BC$3="Maior",iferror(VLOOKUP($R417,Capa!$A:$AJ,BC$5,0),0),IF(ISERROR(1/VLOOKUP($R417,Capa!$A:$AJ,BC$5,0)),0,1/VLOOKUP($R417,Capa!$A:$AJ,BC$5,0))))</f>
        <v/>
      </c>
      <c r="BD417" s="174" t="str">
        <f>IF(BD$6="","",IF(BD$3="Maior",iferror(VLOOKUP($R417,Capa!$A:$AJ,BD$5,0),0),IF(ISERROR(1/VLOOKUP($R417,Capa!$A:$AJ,BD$5,0)),0,1/VLOOKUP($R417,Capa!$A:$AJ,BD$5,0))))</f>
        <v/>
      </c>
      <c r="BE417" s="174" t="str">
        <f>IF(BE$6="","",IF(BE$3="Maior",iferror(VLOOKUP($R417,Capa!$A:$AJ,BE$5,0),0),IF(ISERROR(1/VLOOKUP($R417,Capa!$A:$AJ,BE$5,0)),0,1/VLOOKUP($R417,Capa!$A:$AJ,BE$5,0))))</f>
        <v/>
      </c>
      <c r="BF417" s="174" t="str">
        <f>IF(BF$6="","",IF(BF$3="Maior",iferror(VLOOKUP($R417,Capa!$A:$AJ,BF$5,0),0),IF(ISERROR(1/VLOOKUP($R417,Capa!$A:$AJ,BF$5,0)),0,1/VLOOKUP($R417,Capa!$A:$AJ,BF$5,0))))</f>
        <v/>
      </c>
      <c r="BG417" s="174" t="str">
        <f>IF(BG$6="","",IF(BG$3="Maior",iferror(VLOOKUP($R417,Capa!$A:$AJ,BG$5,0),0),IF(ISERROR(1/VLOOKUP($R417,Capa!$A:$AJ,BG$5,0)),0,1/VLOOKUP($R417,Capa!$A:$AJ,BG$5,0))))</f>
        <v/>
      </c>
      <c r="BH417" s="174" t="str">
        <f>IF(BH$6="","",IF(BH$3="Maior",iferror(VLOOKUP($R417,Capa!$A:$AJ,BH$5,0),0),IF(ISERROR(1/VLOOKUP($R417,Capa!$A:$AJ,BH$5,0)),0,1/VLOOKUP($R417,Capa!$A:$AJ,BH$5,0))))</f>
        <v/>
      </c>
      <c r="BI417" s="174" t="str">
        <f>IF(BI$6="","",IF(BI$3="Maior",iferror(VLOOKUP($R417,Capa!$A:$AJ,BI$5,0),0),IF(ISERROR(1/VLOOKUP($R417,Capa!$A:$AJ,BI$5,0)),0,1/VLOOKUP($R417,Capa!$A:$AJ,BI$5,0))))</f>
        <v/>
      </c>
      <c r="BJ417" s="174" t="str">
        <f>IF(BJ$6="","",IF(BJ$3="Maior",iferror(VLOOKUP($R417,Capa!$A:$AJ,BJ$5,0),0),IF(ISERROR(1/VLOOKUP($R417,Capa!$A:$AJ,BJ$5,0)),0,1/VLOOKUP($R417,Capa!$A:$AJ,BJ$5,0))))</f>
        <v/>
      </c>
      <c r="BK417" s="174" t="str">
        <f>IF(BK$6="","",IF(BK$3="Maior",iferror(VLOOKUP($R417,Capa!$A:$AJ,BK$5,0),0),IF(ISERROR(1/VLOOKUP($R417,Capa!$A:$AJ,BK$5,0)),0,1/VLOOKUP($R417,Capa!$A:$AJ,BK$5,0))))</f>
        <v/>
      </c>
      <c r="BL417" s="174" t="str">
        <f>IF(BL$6="","",IF(BL$3="Maior",iferror(VLOOKUP($R417,Capa!$A:$AJ,BL$5,0),0),IF(ISERROR(1/VLOOKUP($R417,Capa!$A:$AJ,BL$5,0)),0,1/VLOOKUP($R417,Capa!$A:$AJ,BL$5,0))))</f>
        <v/>
      </c>
      <c r="BM417" s="174" t="str">
        <f>IF(BM$6="","",IF(BM$3="Maior",iferror(VLOOKUP($R417,Capa!$A:$AJ,BM$5,0),0),IF(ISERROR(1/VLOOKUP($R417,Capa!$A:$AJ,BM$5,0)),0,1/VLOOKUP($R417,Capa!$A:$AJ,BM$5,0))))</f>
        <v/>
      </c>
      <c r="BN417" s="174" t="str">
        <f>IF(BN$6="","",IF(BN$3="Maior",iferror(VLOOKUP($R417,Capa!$A:$AJ,BN$5,0),0),IF(ISERROR(1/VLOOKUP($R417,Capa!$A:$AJ,BN$5,0)),0,1/VLOOKUP($R417,Capa!$A:$AJ,BN$5,0))))</f>
        <v/>
      </c>
      <c r="BO417" s="174" t="str">
        <f>IF(BO$6="","",IF(BO$3="Maior",iferror(VLOOKUP($R417,Capa!$A:$AJ,BO$5,0),0),IF(ISERROR(1/VLOOKUP($R417,Capa!$A:$AJ,BO$5,0)),0,1/VLOOKUP($R417,Capa!$A:$AJ,BO$5,0))))</f>
        <v/>
      </c>
      <c r="BP417" s="174" t="str">
        <f>IF(BP$6="","",IF(BP$3="Maior",iferror(VLOOKUP($R417,Capa!$A:$AJ,BP$5,0),0),IF(ISERROR(1/VLOOKUP($R417,Capa!$A:$AJ,BP$5,0)),0,1/VLOOKUP($R417,Capa!$A:$AJ,BP$5,0))))</f>
        <v/>
      </c>
      <c r="BQ417" s="174" t="str">
        <f>IF(BQ$6="","",IF(BQ$3="Maior",iferror(VLOOKUP($R417,Capa!$A:$AJ,BQ$5,0),0),IF(ISERROR(1/VLOOKUP($R417,Capa!$A:$AJ,BQ$5,0)),0,1/VLOOKUP($R417,Capa!$A:$AJ,BQ$5,0))))</f>
        <v/>
      </c>
      <c r="BR417" s="175"/>
      <c r="BS417" s="147"/>
    </row>
    <row r="418">
      <c r="G418" s="11"/>
      <c r="H418" s="8">
        <v>412.0</v>
      </c>
      <c r="I418" s="165" t="str">
        <f t="shared" si="6"/>
        <v>ARND3</v>
      </c>
      <c r="J418" s="166" t="str">
        <f>(VLOOKUP($I418,Capa!$A:$B,2,0))</f>
        <v>Arandu Investimentos SA</v>
      </c>
      <c r="K418" s="167" t="str">
        <f>VLOOKUP(left(I418,4),Setor!A:D,3,0)&amp;" | "&amp;VLOOKUP(left(I418,4),Setor!A:D,4,0)</f>
        <v>#N/A</v>
      </c>
      <c r="L418" s="168">
        <f>(VLOOKUP($I418,Capa!$A:$F,6,0))</f>
        <v>0.8</v>
      </c>
      <c r="M418" s="168">
        <f t="shared" si="7"/>
        <v>956.45</v>
      </c>
      <c r="N418" s="11" t="str">
        <f>IFERROR(__xludf.DUMMYFUNCTION("(VLOOKUP($I418,Capa!$A:$H,7,0))"),"")</f>
        <v/>
      </c>
      <c r="O418" s="169">
        <f>(VLOOKUP($I418,Capa!$A:$H,8,0))</f>
        <v>-0.08045977011</v>
      </c>
      <c r="P418" s="11" t="str">
        <f>IFERROR(__xludf.DUMMYFUNCTION("(VLOOKUP($I418,Capa!$A:$J,10,0))"),"")</f>
        <v/>
      </c>
      <c r="Q418" s="169">
        <f>(VLOOKUP($I418,Capa!$A:$K,11,0))</f>
        <v>-0.8545454545</v>
      </c>
      <c r="R418" s="45" t="str">
        <f>'Dados StatusInvest'!A413</f>
        <v>MYPK3</v>
      </c>
      <c r="S418" s="170">
        <f t="shared" si="234"/>
        <v>1110.111</v>
      </c>
      <c r="T418" s="171">
        <f>VLOOKUP(R418,'Dados StatusInvest'!A:Z,26,0)</f>
        <v>11988510</v>
      </c>
      <c r="U418" s="172">
        <f t="shared" ref="U418:AS418" si="421">IF(AT418="","", RANK(AT418,AT$7:AT$626,0)+RANK(AT418,AT$7:AT$626,0)/10000)</f>
        <v>540.054</v>
      </c>
      <c r="V418" s="172">
        <f t="shared" si="421"/>
        <v>570.057</v>
      </c>
      <c r="W418" s="172" t="str">
        <f t="shared" si="421"/>
        <v/>
      </c>
      <c r="X418" s="172" t="str">
        <f t="shared" si="421"/>
        <v/>
      </c>
      <c r="Y418" s="172" t="str">
        <f t="shared" si="421"/>
        <v/>
      </c>
      <c r="Z418" s="172" t="str">
        <f t="shared" si="421"/>
        <v/>
      </c>
      <c r="AA418" s="172" t="str">
        <f t="shared" si="421"/>
        <v/>
      </c>
      <c r="AB418" s="172" t="str">
        <f t="shared" si="421"/>
        <v/>
      </c>
      <c r="AC418" s="172" t="str">
        <f t="shared" si="421"/>
        <v/>
      </c>
      <c r="AD418" s="172" t="str">
        <f t="shared" si="421"/>
        <v/>
      </c>
      <c r="AE418" s="172" t="str">
        <f t="shared" si="421"/>
        <v/>
      </c>
      <c r="AF418" s="172" t="str">
        <f t="shared" si="421"/>
        <v/>
      </c>
      <c r="AG418" s="172" t="str">
        <f t="shared" si="421"/>
        <v/>
      </c>
      <c r="AH418" s="172" t="str">
        <f t="shared" si="421"/>
        <v/>
      </c>
      <c r="AI418" s="172" t="str">
        <f t="shared" si="421"/>
        <v/>
      </c>
      <c r="AJ418" s="172" t="str">
        <f t="shared" si="421"/>
        <v/>
      </c>
      <c r="AK418" s="172" t="str">
        <f t="shared" si="421"/>
        <v/>
      </c>
      <c r="AL418" s="172" t="str">
        <f t="shared" si="421"/>
        <v/>
      </c>
      <c r="AM418" s="172" t="str">
        <f t="shared" si="421"/>
        <v/>
      </c>
      <c r="AN418" s="172" t="str">
        <f t="shared" si="421"/>
        <v/>
      </c>
      <c r="AO418" s="172" t="str">
        <f t="shared" si="421"/>
        <v/>
      </c>
      <c r="AP418" s="172" t="str">
        <f t="shared" si="421"/>
        <v/>
      </c>
      <c r="AQ418" s="172" t="str">
        <f t="shared" si="421"/>
        <v/>
      </c>
      <c r="AR418" s="172" t="str">
        <f t="shared" si="421"/>
        <v/>
      </c>
      <c r="AS418" s="172" t="str">
        <f t="shared" si="421"/>
        <v/>
      </c>
      <c r="AT418" s="173">
        <f>IF(AT$6="","",IF(AT$3="Maior",iferror(VLOOKUP($R418,Capa!$A:$AJ,AT$5,0),0),IF(ISERROR(1/VLOOKUP($R418,Capa!$A:$AJ,AT$5,0)),0,1/VLOOKUP($R418,Capa!$A:$AJ,AT$5,0))))</f>
        <v>-4.604600219</v>
      </c>
      <c r="AU418" s="174">
        <f>IF(AU$6="","",IF(AU$3="Maior",iferror(VLOOKUP($R418,Capa!$A:$AJ,AU$5,0),0),IF(ISERROR(1/VLOOKUP($R418,Capa!$A:$AJ,AU$5,0)),0,1/VLOOKUP($R418,Capa!$A:$AJ,AU$5,0))))</f>
        <v>-9.83</v>
      </c>
      <c r="AV418" s="174" t="str">
        <f>IF(AV$6="","",IF(AV$3="Maior",iferror(VLOOKUP($R418,Capa!$A:$AJ,AV$5,0),0),IF(ISERROR(1/VLOOKUP($R418,Capa!$A:$AJ,AV$5,0)),0,1/VLOOKUP($R418,Capa!$A:$AJ,AV$5,0))))</f>
        <v/>
      </c>
      <c r="AW418" s="174" t="str">
        <f>IF(AW$6="","",IF(AW$3="Maior",iferror(VLOOKUP($R418,Capa!$A:$AJ,AW$5,0),0),IF(ISERROR(1/VLOOKUP($R418,Capa!$A:$AJ,AW$5,0)),0,1/VLOOKUP($R418,Capa!$A:$AJ,AW$5,0))))</f>
        <v/>
      </c>
      <c r="AX418" s="174" t="str">
        <f>IF(AX$6="","",IF(AX$3="Maior",iferror(VLOOKUP($R418,Capa!$A:$AJ,AX$5,0),0),IF(ISERROR(1/VLOOKUP($R418,Capa!$A:$AJ,AX$5,0)),0,1/VLOOKUP($R418,Capa!$A:$AJ,AX$5,0))))</f>
        <v/>
      </c>
      <c r="AY418" s="174" t="str">
        <f>IF(AY$6="","",IF(AY$3="Maior",iferror(VLOOKUP($R418,Capa!$A:$AJ,AY$5,0),0),IF(ISERROR(1/VLOOKUP($R418,Capa!$A:$AJ,AY$5,0)),0,1/VLOOKUP($R418,Capa!$A:$AJ,AY$5,0))))</f>
        <v/>
      </c>
      <c r="AZ418" s="174" t="str">
        <f>IF(AZ$6="","",IF(AZ$3="Maior",iferror(VLOOKUP($R418,Capa!$A:$AJ,AZ$5,0),0),IF(ISERROR(1/VLOOKUP($R418,Capa!$A:$AJ,AZ$5,0)),0,1/VLOOKUP($R418,Capa!$A:$AJ,AZ$5,0))))</f>
        <v/>
      </c>
      <c r="BA418" s="174" t="str">
        <f>IF(BA$6="","",IF(BA$3="Maior",iferror(VLOOKUP($R418,Capa!$A:$AJ,BA$5,0),0),IF(ISERROR(1/VLOOKUP($R418,Capa!$A:$AJ,BA$5,0)),0,1/VLOOKUP($R418,Capa!$A:$AJ,BA$5,0))))</f>
        <v/>
      </c>
      <c r="BB418" s="174" t="str">
        <f>IF(BB$6="","",IF(BB$3="Maior",iferror(VLOOKUP($R418,Capa!$A:$AJ,BB$5,0),0),IF(ISERROR(1/VLOOKUP($R418,Capa!$A:$AJ,BB$5,0)),0,1/VLOOKUP($R418,Capa!$A:$AJ,BB$5,0))))</f>
        <v/>
      </c>
      <c r="BC418" s="174" t="str">
        <f>IF(BC$6="","",IF(BC$3="Maior",iferror(VLOOKUP($R418,Capa!$A:$AJ,BC$5,0),0),IF(ISERROR(1/VLOOKUP($R418,Capa!$A:$AJ,BC$5,0)),0,1/VLOOKUP($R418,Capa!$A:$AJ,BC$5,0))))</f>
        <v/>
      </c>
      <c r="BD418" s="174" t="str">
        <f>IF(BD$6="","",IF(BD$3="Maior",iferror(VLOOKUP($R418,Capa!$A:$AJ,BD$5,0),0),IF(ISERROR(1/VLOOKUP($R418,Capa!$A:$AJ,BD$5,0)),0,1/VLOOKUP($R418,Capa!$A:$AJ,BD$5,0))))</f>
        <v/>
      </c>
      <c r="BE418" s="174" t="str">
        <f>IF(BE$6="","",IF(BE$3="Maior",iferror(VLOOKUP($R418,Capa!$A:$AJ,BE$5,0),0),IF(ISERROR(1/VLOOKUP($R418,Capa!$A:$AJ,BE$5,0)),0,1/VLOOKUP($R418,Capa!$A:$AJ,BE$5,0))))</f>
        <v/>
      </c>
      <c r="BF418" s="174" t="str">
        <f>IF(BF$6="","",IF(BF$3="Maior",iferror(VLOOKUP($R418,Capa!$A:$AJ,BF$5,0),0),IF(ISERROR(1/VLOOKUP($R418,Capa!$A:$AJ,BF$5,0)),0,1/VLOOKUP($R418,Capa!$A:$AJ,BF$5,0))))</f>
        <v/>
      </c>
      <c r="BG418" s="174" t="str">
        <f>IF(BG$6="","",IF(BG$3="Maior",iferror(VLOOKUP($R418,Capa!$A:$AJ,BG$5,0),0),IF(ISERROR(1/VLOOKUP($R418,Capa!$A:$AJ,BG$5,0)),0,1/VLOOKUP($R418,Capa!$A:$AJ,BG$5,0))))</f>
        <v/>
      </c>
      <c r="BH418" s="174" t="str">
        <f>IF(BH$6="","",IF(BH$3="Maior",iferror(VLOOKUP($R418,Capa!$A:$AJ,BH$5,0),0),IF(ISERROR(1/VLOOKUP($R418,Capa!$A:$AJ,BH$5,0)),0,1/VLOOKUP($R418,Capa!$A:$AJ,BH$5,0))))</f>
        <v/>
      </c>
      <c r="BI418" s="174" t="str">
        <f>IF(BI$6="","",IF(BI$3="Maior",iferror(VLOOKUP($R418,Capa!$A:$AJ,BI$5,0),0),IF(ISERROR(1/VLOOKUP($R418,Capa!$A:$AJ,BI$5,0)),0,1/VLOOKUP($R418,Capa!$A:$AJ,BI$5,0))))</f>
        <v/>
      </c>
      <c r="BJ418" s="174" t="str">
        <f>IF(BJ$6="","",IF(BJ$3="Maior",iferror(VLOOKUP($R418,Capa!$A:$AJ,BJ$5,0),0),IF(ISERROR(1/VLOOKUP($R418,Capa!$A:$AJ,BJ$5,0)),0,1/VLOOKUP($R418,Capa!$A:$AJ,BJ$5,0))))</f>
        <v/>
      </c>
      <c r="BK418" s="174" t="str">
        <f>IF(BK$6="","",IF(BK$3="Maior",iferror(VLOOKUP($R418,Capa!$A:$AJ,BK$5,0),0),IF(ISERROR(1/VLOOKUP($R418,Capa!$A:$AJ,BK$5,0)),0,1/VLOOKUP($R418,Capa!$A:$AJ,BK$5,0))))</f>
        <v/>
      </c>
      <c r="BL418" s="174" t="str">
        <f>IF(BL$6="","",IF(BL$3="Maior",iferror(VLOOKUP($R418,Capa!$A:$AJ,BL$5,0),0),IF(ISERROR(1/VLOOKUP($R418,Capa!$A:$AJ,BL$5,0)),0,1/VLOOKUP($R418,Capa!$A:$AJ,BL$5,0))))</f>
        <v/>
      </c>
      <c r="BM418" s="174" t="str">
        <f>IF(BM$6="","",IF(BM$3="Maior",iferror(VLOOKUP($R418,Capa!$A:$AJ,BM$5,0),0),IF(ISERROR(1/VLOOKUP($R418,Capa!$A:$AJ,BM$5,0)),0,1/VLOOKUP($R418,Capa!$A:$AJ,BM$5,0))))</f>
        <v/>
      </c>
      <c r="BN418" s="174" t="str">
        <f>IF(BN$6="","",IF(BN$3="Maior",iferror(VLOOKUP($R418,Capa!$A:$AJ,BN$5,0),0),IF(ISERROR(1/VLOOKUP($R418,Capa!$A:$AJ,BN$5,0)),0,1/VLOOKUP($R418,Capa!$A:$AJ,BN$5,0))))</f>
        <v/>
      </c>
      <c r="BO418" s="174" t="str">
        <f>IF(BO$6="","",IF(BO$3="Maior",iferror(VLOOKUP($R418,Capa!$A:$AJ,BO$5,0),0),IF(ISERROR(1/VLOOKUP($R418,Capa!$A:$AJ,BO$5,0)),0,1/VLOOKUP($R418,Capa!$A:$AJ,BO$5,0))))</f>
        <v/>
      </c>
      <c r="BP418" s="174" t="str">
        <f>IF(BP$6="","",IF(BP$3="Maior",iferror(VLOOKUP($R418,Capa!$A:$AJ,BP$5,0),0),IF(ISERROR(1/VLOOKUP($R418,Capa!$A:$AJ,BP$5,0)),0,1/VLOOKUP($R418,Capa!$A:$AJ,BP$5,0))))</f>
        <v/>
      </c>
      <c r="BQ418" s="174" t="str">
        <f>IF(BQ$6="","",IF(BQ$3="Maior",iferror(VLOOKUP($R418,Capa!$A:$AJ,BQ$5,0),0),IF(ISERROR(1/VLOOKUP($R418,Capa!$A:$AJ,BQ$5,0)),0,1/VLOOKUP($R418,Capa!$A:$AJ,BQ$5,0))))</f>
        <v/>
      </c>
      <c r="BR418" s="175"/>
      <c r="BS418" s="147"/>
    </row>
    <row r="419">
      <c r="G419" s="11"/>
      <c r="H419" s="8">
        <v>413.0</v>
      </c>
      <c r="I419" s="165" t="str">
        <f t="shared" si="6"/>
        <v>BAZA3</v>
      </c>
      <c r="J419" s="166" t="str">
        <f>(VLOOKUP($I419,Capa!$A:$B,2,0))</f>
        <v>Banco da Amazonia SA</v>
      </c>
      <c r="K419" s="167" t="str">
        <f>VLOOKUP(left(I419,4),Setor!A:D,3,0)&amp;" | "&amp;VLOOKUP(left(I419,4),Setor!A:D,4,0)</f>
        <v>Financeiro | Intermediários Financeiros</v>
      </c>
      <c r="L419" s="168">
        <f>(VLOOKUP($I419,Capa!$A:$F,6,0))</f>
        <v>88.49</v>
      </c>
      <c r="M419" s="168">
        <f t="shared" si="7"/>
        <v>413630.1</v>
      </c>
      <c r="N419" s="11" t="str">
        <f>IFERROR(__xludf.DUMMYFUNCTION("(VLOOKUP($I419,Capa!$A:$H,7,0))"),"")</f>
        <v/>
      </c>
      <c r="O419" s="169">
        <f>(VLOOKUP($I419,Capa!$A:$H,8,0))</f>
        <v>0.1602202701</v>
      </c>
      <c r="P419" s="11" t="str">
        <f>IFERROR(__xludf.DUMMYFUNCTION("(VLOOKUP($I419,Capa!$A:$J,10,0))"),"")</f>
        <v/>
      </c>
      <c r="Q419" s="169">
        <f>(VLOOKUP($I419,Capa!$A:$K,11,0))</f>
        <v>-0.02960850971</v>
      </c>
      <c r="R419" s="45" t="str">
        <f>'Dados StatusInvest'!A414</f>
        <v>NAFG3</v>
      </c>
      <c r="S419" s="170">
        <f t="shared" si="234"/>
        <v>1220.022</v>
      </c>
      <c r="T419" s="171">
        <f>VLOOKUP(R419,'Dados StatusInvest'!A:Z,26,0)</f>
        <v>0</v>
      </c>
      <c r="U419" s="172">
        <f t="shared" ref="U419:AS419" si="422">IF(AT419="","", RANK(AT419,AT$7:AT$626,0)+RANK(AT419,AT$7:AT$626,0)/10000)</f>
        <v>166.0166</v>
      </c>
      <c r="V419" s="172">
        <f t="shared" si="422"/>
        <v>54.0054</v>
      </c>
      <c r="W419" s="172" t="str">
        <f t="shared" si="422"/>
        <v/>
      </c>
      <c r="X419" s="172" t="str">
        <f t="shared" si="422"/>
        <v/>
      </c>
      <c r="Y419" s="172" t="str">
        <f t="shared" si="422"/>
        <v/>
      </c>
      <c r="Z419" s="172" t="str">
        <f t="shared" si="422"/>
        <v/>
      </c>
      <c r="AA419" s="172" t="str">
        <f t="shared" si="422"/>
        <v/>
      </c>
      <c r="AB419" s="172" t="str">
        <f t="shared" si="422"/>
        <v/>
      </c>
      <c r="AC419" s="172" t="str">
        <f t="shared" si="422"/>
        <v/>
      </c>
      <c r="AD419" s="172" t="str">
        <f t="shared" si="422"/>
        <v/>
      </c>
      <c r="AE419" s="172" t="str">
        <f t="shared" si="422"/>
        <v/>
      </c>
      <c r="AF419" s="172" t="str">
        <f t="shared" si="422"/>
        <v/>
      </c>
      <c r="AG419" s="172" t="str">
        <f t="shared" si="422"/>
        <v/>
      </c>
      <c r="AH419" s="172" t="str">
        <f t="shared" si="422"/>
        <v/>
      </c>
      <c r="AI419" s="172" t="str">
        <f t="shared" si="422"/>
        <v/>
      </c>
      <c r="AJ419" s="172" t="str">
        <f t="shared" si="422"/>
        <v/>
      </c>
      <c r="AK419" s="172" t="str">
        <f t="shared" si="422"/>
        <v/>
      </c>
      <c r="AL419" s="172" t="str">
        <f t="shared" si="422"/>
        <v/>
      </c>
      <c r="AM419" s="172" t="str">
        <f t="shared" si="422"/>
        <v/>
      </c>
      <c r="AN419" s="172" t="str">
        <f t="shared" si="422"/>
        <v/>
      </c>
      <c r="AO419" s="172" t="str">
        <f t="shared" si="422"/>
        <v/>
      </c>
      <c r="AP419" s="172" t="str">
        <f t="shared" si="422"/>
        <v/>
      </c>
      <c r="AQ419" s="172" t="str">
        <f t="shared" si="422"/>
        <v/>
      </c>
      <c r="AR419" s="172" t="str">
        <f t="shared" si="422"/>
        <v/>
      </c>
      <c r="AS419" s="172" t="str">
        <f t="shared" si="422"/>
        <v/>
      </c>
      <c r="AT419" s="173">
        <f>IF(AT$6="","",IF(AT$3="Maior",iferror(VLOOKUP($R419,Capa!$A:$AJ,AT$5,0),0),IF(ISERROR(1/VLOOKUP($R419,Capa!$A:$AJ,AT$5,0)),0,1/VLOOKUP($R419,Capa!$A:$AJ,AT$5,0))))</f>
        <v>-0.1647446458</v>
      </c>
      <c r="AU419" s="174">
        <f>IF(AU$6="","",IF(AU$3="Maior",iferror(VLOOKUP($R419,Capa!$A:$AJ,AU$5,0),0),IF(ISERROR(1/VLOOKUP($R419,Capa!$A:$AJ,AU$5,0)),0,1/VLOOKUP($R419,Capa!$A:$AJ,AU$5,0))))</f>
        <v>35.19</v>
      </c>
      <c r="AV419" s="174" t="str">
        <f>IF(AV$6="","",IF(AV$3="Maior",iferror(VLOOKUP($R419,Capa!$A:$AJ,AV$5,0),0),IF(ISERROR(1/VLOOKUP($R419,Capa!$A:$AJ,AV$5,0)),0,1/VLOOKUP($R419,Capa!$A:$AJ,AV$5,0))))</f>
        <v/>
      </c>
      <c r="AW419" s="174" t="str">
        <f>IF(AW$6="","",IF(AW$3="Maior",iferror(VLOOKUP($R419,Capa!$A:$AJ,AW$5,0),0),IF(ISERROR(1/VLOOKUP($R419,Capa!$A:$AJ,AW$5,0)),0,1/VLOOKUP($R419,Capa!$A:$AJ,AW$5,0))))</f>
        <v/>
      </c>
      <c r="AX419" s="174" t="str">
        <f>IF(AX$6="","",IF(AX$3="Maior",iferror(VLOOKUP($R419,Capa!$A:$AJ,AX$5,0),0),IF(ISERROR(1/VLOOKUP($R419,Capa!$A:$AJ,AX$5,0)),0,1/VLOOKUP($R419,Capa!$A:$AJ,AX$5,0))))</f>
        <v/>
      </c>
      <c r="AY419" s="174" t="str">
        <f>IF(AY$6="","",IF(AY$3="Maior",iferror(VLOOKUP($R419,Capa!$A:$AJ,AY$5,0),0),IF(ISERROR(1/VLOOKUP($R419,Capa!$A:$AJ,AY$5,0)),0,1/VLOOKUP($R419,Capa!$A:$AJ,AY$5,0))))</f>
        <v/>
      </c>
      <c r="AZ419" s="174" t="str">
        <f>IF(AZ$6="","",IF(AZ$3="Maior",iferror(VLOOKUP($R419,Capa!$A:$AJ,AZ$5,0),0),IF(ISERROR(1/VLOOKUP($R419,Capa!$A:$AJ,AZ$5,0)),0,1/VLOOKUP($R419,Capa!$A:$AJ,AZ$5,0))))</f>
        <v/>
      </c>
      <c r="BA419" s="174" t="str">
        <f>IF(BA$6="","",IF(BA$3="Maior",iferror(VLOOKUP($R419,Capa!$A:$AJ,BA$5,0),0),IF(ISERROR(1/VLOOKUP($R419,Capa!$A:$AJ,BA$5,0)),0,1/VLOOKUP($R419,Capa!$A:$AJ,BA$5,0))))</f>
        <v/>
      </c>
      <c r="BB419" s="174" t="str">
        <f>IF(BB$6="","",IF(BB$3="Maior",iferror(VLOOKUP($R419,Capa!$A:$AJ,BB$5,0),0),IF(ISERROR(1/VLOOKUP($R419,Capa!$A:$AJ,BB$5,0)),0,1/VLOOKUP($R419,Capa!$A:$AJ,BB$5,0))))</f>
        <v/>
      </c>
      <c r="BC419" s="174" t="str">
        <f>IF(BC$6="","",IF(BC$3="Maior",iferror(VLOOKUP($R419,Capa!$A:$AJ,BC$5,0),0),IF(ISERROR(1/VLOOKUP($R419,Capa!$A:$AJ,BC$5,0)),0,1/VLOOKUP($R419,Capa!$A:$AJ,BC$5,0))))</f>
        <v/>
      </c>
      <c r="BD419" s="174" t="str">
        <f>IF(BD$6="","",IF(BD$3="Maior",iferror(VLOOKUP($R419,Capa!$A:$AJ,BD$5,0),0),IF(ISERROR(1/VLOOKUP($R419,Capa!$A:$AJ,BD$5,0)),0,1/VLOOKUP($R419,Capa!$A:$AJ,BD$5,0))))</f>
        <v/>
      </c>
      <c r="BE419" s="174" t="str">
        <f>IF(BE$6="","",IF(BE$3="Maior",iferror(VLOOKUP($R419,Capa!$A:$AJ,BE$5,0),0),IF(ISERROR(1/VLOOKUP($R419,Capa!$A:$AJ,BE$5,0)),0,1/VLOOKUP($R419,Capa!$A:$AJ,BE$5,0))))</f>
        <v/>
      </c>
      <c r="BF419" s="174" t="str">
        <f>IF(BF$6="","",IF(BF$3="Maior",iferror(VLOOKUP($R419,Capa!$A:$AJ,BF$5,0),0),IF(ISERROR(1/VLOOKUP($R419,Capa!$A:$AJ,BF$5,0)),0,1/VLOOKUP($R419,Capa!$A:$AJ,BF$5,0))))</f>
        <v/>
      </c>
      <c r="BG419" s="174" t="str">
        <f>IF(BG$6="","",IF(BG$3="Maior",iferror(VLOOKUP($R419,Capa!$A:$AJ,BG$5,0),0),IF(ISERROR(1/VLOOKUP($R419,Capa!$A:$AJ,BG$5,0)),0,1/VLOOKUP($R419,Capa!$A:$AJ,BG$5,0))))</f>
        <v/>
      </c>
      <c r="BH419" s="174" t="str">
        <f>IF(BH$6="","",IF(BH$3="Maior",iferror(VLOOKUP($R419,Capa!$A:$AJ,BH$5,0),0),IF(ISERROR(1/VLOOKUP($R419,Capa!$A:$AJ,BH$5,0)),0,1/VLOOKUP($R419,Capa!$A:$AJ,BH$5,0))))</f>
        <v/>
      </c>
      <c r="BI419" s="174" t="str">
        <f>IF(BI$6="","",IF(BI$3="Maior",iferror(VLOOKUP($R419,Capa!$A:$AJ,BI$5,0),0),IF(ISERROR(1/VLOOKUP($R419,Capa!$A:$AJ,BI$5,0)),0,1/VLOOKUP($R419,Capa!$A:$AJ,BI$5,0))))</f>
        <v/>
      </c>
      <c r="BJ419" s="174" t="str">
        <f>IF(BJ$6="","",IF(BJ$3="Maior",iferror(VLOOKUP($R419,Capa!$A:$AJ,BJ$5,0),0),IF(ISERROR(1/VLOOKUP($R419,Capa!$A:$AJ,BJ$5,0)),0,1/VLOOKUP($R419,Capa!$A:$AJ,BJ$5,0))))</f>
        <v/>
      </c>
      <c r="BK419" s="174" t="str">
        <f>IF(BK$6="","",IF(BK$3="Maior",iferror(VLOOKUP($R419,Capa!$A:$AJ,BK$5,0),0),IF(ISERROR(1/VLOOKUP($R419,Capa!$A:$AJ,BK$5,0)),0,1/VLOOKUP($R419,Capa!$A:$AJ,BK$5,0))))</f>
        <v/>
      </c>
      <c r="BL419" s="174" t="str">
        <f>IF(BL$6="","",IF(BL$3="Maior",iferror(VLOOKUP($R419,Capa!$A:$AJ,BL$5,0),0),IF(ISERROR(1/VLOOKUP($R419,Capa!$A:$AJ,BL$5,0)),0,1/VLOOKUP($R419,Capa!$A:$AJ,BL$5,0))))</f>
        <v/>
      </c>
      <c r="BM419" s="174" t="str">
        <f>IF(BM$6="","",IF(BM$3="Maior",iferror(VLOOKUP($R419,Capa!$A:$AJ,BM$5,0),0),IF(ISERROR(1/VLOOKUP($R419,Capa!$A:$AJ,BM$5,0)),0,1/VLOOKUP($R419,Capa!$A:$AJ,BM$5,0))))</f>
        <v/>
      </c>
      <c r="BN419" s="174" t="str">
        <f>IF(BN$6="","",IF(BN$3="Maior",iferror(VLOOKUP($R419,Capa!$A:$AJ,BN$5,0),0),IF(ISERROR(1/VLOOKUP($R419,Capa!$A:$AJ,BN$5,0)),0,1/VLOOKUP($R419,Capa!$A:$AJ,BN$5,0))))</f>
        <v/>
      </c>
      <c r="BO419" s="174" t="str">
        <f>IF(BO$6="","",IF(BO$3="Maior",iferror(VLOOKUP($R419,Capa!$A:$AJ,BO$5,0),0),IF(ISERROR(1/VLOOKUP($R419,Capa!$A:$AJ,BO$5,0)),0,1/VLOOKUP($R419,Capa!$A:$AJ,BO$5,0))))</f>
        <v/>
      </c>
      <c r="BP419" s="174" t="str">
        <f>IF(BP$6="","",IF(BP$3="Maior",iferror(VLOOKUP($R419,Capa!$A:$AJ,BP$5,0),0),IF(ISERROR(1/VLOOKUP($R419,Capa!$A:$AJ,BP$5,0)),0,1/VLOOKUP($R419,Capa!$A:$AJ,BP$5,0))))</f>
        <v/>
      </c>
      <c r="BQ419" s="174" t="str">
        <f>IF(BQ$6="","",IF(BQ$3="Maior",iferror(VLOOKUP($R419,Capa!$A:$AJ,BQ$5,0),0),IF(ISERROR(1/VLOOKUP($R419,Capa!$A:$AJ,BQ$5,0)),0,1/VLOOKUP($R419,Capa!$A:$AJ,BQ$5,0))))</f>
        <v/>
      </c>
      <c r="BR419" s="175"/>
      <c r="BS419" s="147"/>
    </row>
    <row r="420">
      <c r="G420" s="11"/>
      <c r="H420" s="8">
        <v>414.0</v>
      </c>
      <c r="I420" s="165" t="str">
        <f t="shared" si="6"/>
        <v>ENGI4</v>
      </c>
      <c r="J420" s="166" t="str">
        <f>(VLOOKUP($I420,Capa!$A:$B,2,0))</f>
        <v>Energisa SA Preference Shares</v>
      </c>
      <c r="K420" s="167" t="str">
        <f>VLOOKUP(left(I420,4),Setor!A:D,3,0)&amp;" | "&amp;VLOOKUP(left(I420,4),Setor!A:D,4,0)</f>
        <v>Utilidade Pública | Energia Elétrica</v>
      </c>
      <c r="L420" s="168">
        <f>(VLOOKUP($I420,Capa!$A:$F,6,0))</f>
        <v>9.71</v>
      </c>
      <c r="M420" s="168">
        <f t="shared" si="7"/>
        <v>109797.6</v>
      </c>
      <c r="N420" s="11" t="str">
        <f>IFERROR(__xludf.DUMMYFUNCTION("(VLOOKUP($I420,Capa!$A:$H,7,0))"),"")</f>
        <v/>
      </c>
      <c r="O420" s="169">
        <f>(VLOOKUP($I420,Capa!$A:$H,8,0))</f>
        <v>0.08612975391</v>
      </c>
      <c r="P420" s="11" t="str">
        <f>IFERROR(__xludf.DUMMYFUNCTION("(VLOOKUP($I420,Capa!$A:$J,10,0))"),"")</f>
        <v/>
      </c>
      <c r="Q420" s="169">
        <f>(VLOOKUP($I420,Capa!$A:$K,11,0))</f>
        <v>0.4779299848</v>
      </c>
      <c r="R420" s="45" t="str">
        <f>'Dados StatusInvest'!A415</f>
        <v>NAFG4</v>
      </c>
      <c r="S420" s="170">
        <f t="shared" si="234"/>
        <v>1321.0321</v>
      </c>
      <c r="T420" s="171">
        <f>VLOOKUP(R420,'Dados StatusInvest'!A:Z,26,0)</f>
        <v>0</v>
      </c>
      <c r="U420" s="172">
        <f t="shared" ref="U420:AS420" si="423">IF(AT420="","", RANK(AT420,AT$7:AT$626,0)+RANK(AT420,AT$7:AT$626,0)/10000)</f>
        <v>267.0267</v>
      </c>
      <c r="V420" s="172">
        <f t="shared" si="423"/>
        <v>54.0054</v>
      </c>
      <c r="W420" s="172" t="str">
        <f t="shared" si="423"/>
        <v/>
      </c>
      <c r="X420" s="172" t="str">
        <f t="shared" si="423"/>
        <v/>
      </c>
      <c r="Y420" s="172" t="str">
        <f t="shared" si="423"/>
        <v/>
      </c>
      <c r="Z420" s="172" t="str">
        <f t="shared" si="423"/>
        <v/>
      </c>
      <c r="AA420" s="172" t="str">
        <f t="shared" si="423"/>
        <v/>
      </c>
      <c r="AB420" s="172" t="str">
        <f t="shared" si="423"/>
        <v/>
      </c>
      <c r="AC420" s="172" t="str">
        <f t="shared" si="423"/>
        <v/>
      </c>
      <c r="AD420" s="172" t="str">
        <f t="shared" si="423"/>
        <v/>
      </c>
      <c r="AE420" s="172" t="str">
        <f t="shared" si="423"/>
        <v/>
      </c>
      <c r="AF420" s="172" t="str">
        <f t="shared" si="423"/>
        <v/>
      </c>
      <c r="AG420" s="172" t="str">
        <f t="shared" si="423"/>
        <v/>
      </c>
      <c r="AH420" s="172" t="str">
        <f t="shared" si="423"/>
        <v/>
      </c>
      <c r="AI420" s="172" t="str">
        <f t="shared" si="423"/>
        <v/>
      </c>
      <c r="AJ420" s="172" t="str">
        <f t="shared" si="423"/>
        <v/>
      </c>
      <c r="AK420" s="172" t="str">
        <f t="shared" si="423"/>
        <v/>
      </c>
      <c r="AL420" s="172" t="str">
        <f t="shared" si="423"/>
        <v/>
      </c>
      <c r="AM420" s="172" t="str">
        <f t="shared" si="423"/>
        <v/>
      </c>
      <c r="AN420" s="172" t="str">
        <f t="shared" si="423"/>
        <v/>
      </c>
      <c r="AO420" s="172" t="str">
        <f t="shared" si="423"/>
        <v/>
      </c>
      <c r="AP420" s="172" t="str">
        <f t="shared" si="423"/>
        <v/>
      </c>
      <c r="AQ420" s="172" t="str">
        <f t="shared" si="423"/>
        <v/>
      </c>
      <c r="AR420" s="172" t="str">
        <f t="shared" si="423"/>
        <v/>
      </c>
      <c r="AS420" s="172" t="str">
        <f t="shared" si="423"/>
        <v/>
      </c>
      <c r="AT420" s="173">
        <f>IF(AT$6="","",IF(AT$3="Maior",iferror(VLOOKUP($R420,Capa!$A:$AJ,AT$5,0),0),IF(ISERROR(1/VLOOKUP($R420,Capa!$A:$AJ,AT$5,0)),0,1/VLOOKUP($R420,Capa!$A:$AJ,AT$5,0))))</f>
        <v>-0.5586592179</v>
      </c>
      <c r="AU420" s="174">
        <f>IF(AU$6="","",IF(AU$3="Maior",iferror(VLOOKUP($R420,Capa!$A:$AJ,AU$5,0),0),IF(ISERROR(1/VLOOKUP($R420,Capa!$A:$AJ,AU$5,0)),0,1/VLOOKUP($R420,Capa!$A:$AJ,AU$5,0))))</f>
        <v>35.19</v>
      </c>
      <c r="AV420" s="174" t="str">
        <f>IF(AV$6="","",IF(AV$3="Maior",iferror(VLOOKUP($R420,Capa!$A:$AJ,AV$5,0),0),IF(ISERROR(1/VLOOKUP($R420,Capa!$A:$AJ,AV$5,0)),0,1/VLOOKUP($R420,Capa!$A:$AJ,AV$5,0))))</f>
        <v/>
      </c>
      <c r="AW420" s="174" t="str">
        <f>IF(AW$6="","",IF(AW$3="Maior",iferror(VLOOKUP($R420,Capa!$A:$AJ,AW$5,0),0),IF(ISERROR(1/VLOOKUP($R420,Capa!$A:$AJ,AW$5,0)),0,1/VLOOKUP($R420,Capa!$A:$AJ,AW$5,0))))</f>
        <v/>
      </c>
      <c r="AX420" s="174" t="str">
        <f>IF(AX$6="","",IF(AX$3="Maior",iferror(VLOOKUP($R420,Capa!$A:$AJ,AX$5,0),0),IF(ISERROR(1/VLOOKUP($R420,Capa!$A:$AJ,AX$5,0)),0,1/VLOOKUP($R420,Capa!$A:$AJ,AX$5,0))))</f>
        <v/>
      </c>
      <c r="AY420" s="174" t="str">
        <f>IF(AY$6="","",IF(AY$3="Maior",iferror(VLOOKUP($R420,Capa!$A:$AJ,AY$5,0),0),IF(ISERROR(1/VLOOKUP($R420,Capa!$A:$AJ,AY$5,0)),0,1/VLOOKUP($R420,Capa!$A:$AJ,AY$5,0))))</f>
        <v/>
      </c>
      <c r="AZ420" s="174" t="str">
        <f>IF(AZ$6="","",IF(AZ$3="Maior",iferror(VLOOKUP($R420,Capa!$A:$AJ,AZ$5,0),0),IF(ISERROR(1/VLOOKUP($R420,Capa!$A:$AJ,AZ$5,0)),0,1/VLOOKUP($R420,Capa!$A:$AJ,AZ$5,0))))</f>
        <v/>
      </c>
      <c r="BA420" s="174" t="str">
        <f>IF(BA$6="","",IF(BA$3="Maior",iferror(VLOOKUP($R420,Capa!$A:$AJ,BA$5,0),0),IF(ISERROR(1/VLOOKUP($R420,Capa!$A:$AJ,BA$5,0)),0,1/VLOOKUP($R420,Capa!$A:$AJ,BA$5,0))))</f>
        <v/>
      </c>
      <c r="BB420" s="174" t="str">
        <f>IF(BB$6="","",IF(BB$3="Maior",iferror(VLOOKUP($R420,Capa!$A:$AJ,BB$5,0),0),IF(ISERROR(1/VLOOKUP($R420,Capa!$A:$AJ,BB$5,0)),0,1/VLOOKUP($R420,Capa!$A:$AJ,BB$5,0))))</f>
        <v/>
      </c>
      <c r="BC420" s="174" t="str">
        <f>IF(BC$6="","",IF(BC$3="Maior",iferror(VLOOKUP($R420,Capa!$A:$AJ,BC$5,0),0),IF(ISERROR(1/VLOOKUP($R420,Capa!$A:$AJ,BC$5,0)),0,1/VLOOKUP($R420,Capa!$A:$AJ,BC$5,0))))</f>
        <v/>
      </c>
      <c r="BD420" s="174" t="str">
        <f>IF(BD$6="","",IF(BD$3="Maior",iferror(VLOOKUP($R420,Capa!$A:$AJ,BD$5,0),0),IF(ISERROR(1/VLOOKUP($R420,Capa!$A:$AJ,BD$5,0)),0,1/VLOOKUP($R420,Capa!$A:$AJ,BD$5,0))))</f>
        <v/>
      </c>
      <c r="BE420" s="174" t="str">
        <f>IF(BE$6="","",IF(BE$3="Maior",iferror(VLOOKUP($R420,Capa!$A:$AJ,BE$5,0),0),IF(ISERROR(1/VLOOKUP($R420,Capa!$A:$AJ,BE$5,0)),0,1/VLOOKUP($R420,Capa!$A:$AJ,BE$5,0))))</f>
        <v/>
      </c>
      <c r="BF420" s="174" t="str">
        <f>IF(BF$6="","",IF(BF$3="Maior",iferror(VLOOKUP($R420,Capa!$A:$AJ,BF$5,0),0),IF(ISERROR(1/VLOOKUP($R420,Capa!$A:$AJ,BF$5,0)),0,1/VLOOKUP($R420,Capa!$A:$AJ,BF$5,0))))</f>
        <v/>
      </c>
      <c r="BG420" s="174" t="str">
        <f>IF(BG$6="","",IF(BG$3="Maior",iferror(VLOOKUP($R420,Capa!$A:$AJ,BG$5,0),0),IF(ISERROR(1/VLOOKUP($R420,Capa!$A:$AJ,BG$5,0)),0,1/VLOOKUP($R420,Capa!$A:$AJ,BG$5,0))))</f>
        <v/>
      </c>
      <c r="BH420" s="174" t="str">
        <f>IF(BH$6="","",IF(BH$3="Maior",iferror(VLOOKUP($R420,Capa!$A:$AJ,BH$5,0),0),IF(ISERROR(1/VLOOKUP($R420,Capa!$A:$AJ,BH$5,0)),0,1/VLOOKUP($R420,Capa!$A:$AJ,BH$5,0))))</f>
        <v/>
      </c>
      <c r="BI420" s="174" t="str">
        <f>IF(BI$6="","",IF(BI$3="Maior",iferror(VLOOKUP($R420,Capa!$A:$AJ,BI$5,0),0),IF(ISERROR(1/VLOOKUP($R420,Capa!$A:$AJ,BI$5,0)),0,1/VLOOKUP($R420,Capa!$A:$AJ,BI$5,0))))</f>
        <v/>
      </c>
      <c r="BJ420" s="174" t="str">
        <f>IF(BJ$6="","",IF(BJ$3="Maior",iferror(VLOOKUP($R420,Capa!$A:$AJ,BJ$5,0),0),IF(ISERROR(1/VLOOKUP($R420,Capa!$A:$AJ,BJ$5,0)),0,1/VLOOKUP($R420,Capa!$A:$AJ,BJ$5,0))))</f>
        <v/>
      </c>
      <c r="BK420" s="174" t="str">
        <f>IF(BK$6="","",IF(BK$3="Maior",iferror(VLOOKUP($R420,Capa!$A:$AJ,BK$5,0),0),IF(ISERROR(1/VLOOKUP($R420,Capa!$A:$AJ,BK$5,0)),0,1/VLOOKUP($R420,Capa!$A:$AJ,BK$5,0))))</f>
        <v/>
      </c>
      <c r="BL420" s="174" t="str">
        <f>IF(BL$6="","",IF(BL$3="Maior",iferror(VLOOKUP($R420,Capa!$A:$AJ,BL$5,0),0),IF(ISERROR(1/VLOOKUP($R420,Capa!$A:$AJ,BL$5,0)),0,1/VLOOKUP($R420,Capa!$A:$AJ,BL$5,0))))</f>
        <v/>
      </c>
      <c r="BM420" s="174" t="str">
        <f>IF(BM$6="","",IF(BM$3="Maior",iferror(VLOOKUP($R420,Capa!$A:$AJ,BM$5,0),0),IF(ISERROR(1/VLOOKUP($R420,Capa!$A:$AJ,BM$5,0)),0,1/VLOOKUP($R420,Capa!$A:$AJ,BM$5,0))))</f>
        <v/>
      </c>
      <c r="BN420" s="174" t="str">
        <f>IF(BN$6="","",IF(BN$3="Maior",iferror(VLOOKUP($R420,Capa!$A:$AJ,BN$5,0),0),IF(ISERROR(1/VLOOKUP($R420,Capa!$A:$AJ,BN$5,0)),0,1/VLOOKUP($R420,Capa!$A:$AJ,BN$5,0))))</f>
        <v/>
      </c>
      <c r="BO420" s="174" t="str">
        <f>IF(BO$6="","",IF(BO$3="Maior",iferror(VLOOKUP($R420,Capa!$A:$AJ,BO$5,0),0),IF(ISERROR(1/VLOOKUP($R420,Capa!$A:$AJ,BO$5,0)),0,1/VLOOKUP($R420,Capa!$A:$AJ,BO$5,0))))</f>
        <v/>
      </c>
      <c r="BP420" s="174" t="str">
        <f>IF(BP$6="","",IF(BP$3="Maior",iferror(VLOOKUP($R420,Capa!$A:$AJ,BP$5,0),0),IF(ISERROR(1/VLOOKUP($R420,Capa!$A:$AJ,BP$5,0)),0,1/VLOOKUP($R420,Capa!$A:$AJ,BP$5,0))))</f>
        <v/>
      </c>
      <c r="BQ420" s="174" t="str">
        <f>IF(BQ$6="","",IF(BQ$3="Maior",iferror(VLOOKUP($R420,Capa!$A:$AJ,BQ$5,0),0),IF(ISERROR(1/VLOOKUP($R420,Capa!$A:$AJ,BQ$5,0)),0,1/VLOOKUP($R420,Capa!$A:$AJ,BQ$5,0))))</f>
        <v/>
      </c>
      <c r="BR420" s="175"/>
      <c r="BS420" s="147"/>
    </row>
    <row r="421">
      <c r="G421" s="11"/>
      <c r="H421" s="8">
        <v>415.0</v>
      </c>
      <c r="I421" s="165" t="str">
        <f t="shared" si="6"/>
        <v>FICT3</v>
      </c>
      <c r="J421" s="166" t="str">
        <f>(VLOOKUP($I421,Capa!$A:$B,2,0))</f>
        <v>Fictor Alimentos SA</v>
      </c>
      <c r="K421" s="167" t="str">
        <f>VLOOKUP(left(I421,4),Setor!A:D,3,0)&amp;" | "&amp;VLOOKUP(left(I421,4),Setor!A:D,4,0)</f>
        <v>#N/A</v>
      </c>
      <c r="L421" s="168">
        <f>(VLOOKUP($I421,Capa!$A:$F,6,0))</f>
        <v>0.58</v>
      </c>
      <c r="M421" s="168">
        <f t="shared" si="7"/>
        <v>165640.1</v>
      </c>
      <c r="N421" s="11" t="str">
        <f>IFERROR(__xludf.DUMMYFUNCTION("(VLOOKUP($I421,Capa!$A:$H,7,0))"),"")</f>
        <v/>
      </c>
      <c r="O421" s="169">
        <f>(VLOOKUP($I421,Capa!$A:$H,8,0))</f>
        <v>-0.6329113924</v>
      </c>
      <c r="P421" s="11" t="str">
        <f>IFERROR(__xludf.DUMMYFUNCTION("(VLOOKUP($I421,Capa!$A:$J,10,0))"),"")</f>
        <v/>
      </c>
      <c r="Q421" s="169">
        <f>(VLOOKUP($I421,Capa!$A:$K,11,0))</f>
        <v>-0.8516624041</v>
      </c>
      <c r="R421" s="45" t="str">
        <f>'Dados StatusInvest'!A416</f>
        <v>NATU3</v>
      </c>
      <c r="S421" s="170">
        <f t="shared" si="234"/>
        <v>308.0308</v>
      </c>
      <c r="T421" s="171">
        <f>VLOOKUP(R421,'Dados StatusInvest'!A:Z,26,0)</f>
        <v>77440422</v>
      </c>
      <c r="U421" s="172">
        <f t="shared" ref="U421:AS421" si="424">IF(AT421="","", RANK(AT421,AT$7:AT$626,0)+RANK(AT421,AT$7:AT$626,0)/10000)</f>
        <v>41.0041</v>
      </c>
      <c r="V421" s="172">
        <f t="shared" si="424"/>
        <v>267.0267</v>
      </c>
      <c r="W421" s="172" t="str">
        <f t="shared" si="424"/>
        <v/>
      </c>
      <c r="X421" s="172" t="str">
        <f t="shared" si="424"/>
        <v/>
      </c>
      <c r="Y421" s="172" t="str">
        <f t="shared" si="424"/>
        <v/>
      </c>
      <c r="Z421" s="172" t="str">
        <f t="shared" si="424"/>
        <v/>
      </c>
      <c r="AA421" s="172" t="str">
        <f t="shared" si="424"/>
        <v/>
      </c>
      <c r="AB421" s="172" t="str">
        <f t="shared" si="424"/>
        <v/>
      </c>
      <c r="AC421" s="172" t="str">
        <f t="shared" si="424"/>
        <v/>
      </c>
      <c r="AD421" s="172" t="str">
        <f t="shared" si="424"/>
        <v/>
      </c>
      <c r="AE421" s="172" t="str">
        <f t="shared" si="424"/>
        <v/>
      </c>
      <c r="AF421" s="172" t="str">
        <f t="shared" si="424"/>
        <v/>
      </c>
      <c r="AG421" s="172" t="str">
        <f t="shared" si="424"/>
        <v/>
      </c>
      <c r="AH421" s="172" t="str">
        <f t="shared" si="424"/>
        <v/>
      </c>
      <c r="AI421" s="172" t="str">
        <f t="shared" si="424"/>
        <v/>
      </c>
      <c r="AJ421" s="172" t="str">
        <f t="shared" si="424"/>
        <v/>
      </c>
      <c r="AK421" s="172" t="str">
        <f t="shared" si="424"/>
        <v/>
      </c>
      <c r="AL421" s="172" t="str">
        <f t="shared" si="424"/>
        <v/>
      </c>
      <c r="AM421" s="172" t="str">
        <f t="shared" si="424"/>
        <v/>
      </c>
      <c r="AN421" s="172" t="str">
        <f t="shared" si="424"/>
        <v/>
      </c>
      <c r="AO421" s="172" t="str">
        <f t="shared" si="424"/>
        <v/>
      </c>
      <c r="AP421" s="172" t="str">
        <f t="shared" si="424"/>
        <v/>
      </c>
      <c r="AQ421" s="172" t="str">
        <f t="shared" si="424"/>
        <v/>
      </c>
      <c r="AR421" s="172" t="str">
        <f t="shared" si="424"/>
        <v/>
      </c>
      <c r="AS421" s="172" t="str">
        <f t="shared" si="424"/>
        <v/>
      </c>
      <c r="AT421" s="173">
        <f>IF(AT$6="","",IF(AT$3="Maior",iferror(VLOOKUP($R421,Capa!$A:$AJ,AT$5,0),0),IF(ISERROR(1/VLOOKUP($R421,Capa!$A:$AJ,AT$5,0)),0,1/VLOOKUP($R421,Capa!$A:$AJ,AT$5,0))))</f>
        <v>0.001348098788</v>
      </c>
      <c r="AU421" s="174">
        <f>IF(AU$6="","",IF(AU$3="Maior",iferror(VLOOKUP($R421,Capa!$A:$AJ,AU$5,0),0),IF(ISERROR(1/VLOOKUP($R421,Capa!$A:$AJ,AU$5,0)),0,1/VLOOKUP($R421,Capa!$A:$AJ,AU$5,0))))</f>
        <v>0</v>
      </c>
      <c r="AV421" s="174" t="str">
        <f>IF(AV$6="","",IF(AV$3="Maior",iferror(VLOOKUP($R421,Capa!$A:$AJ,AV$5,0),0),IF(ISERROR(1/VLOOKUP($R421,Capa!$A:$AJ,AV$5,0)),0,1/VLOOKUP($R421,Capa!$A:$AJ,AV$5,0))))</f>
        <v/>
      </c>
      <c r="AW421" s="174" t="str">
        <f>IF(AW$6="","",IF(AW$3="Maior",iferror(VLOOKUP($R421,Capa!$A:$AJ,AW$5,0),0),IF(ISERROR(1/VLOOKUP($R421,Capa!$A:$AJ,AW$5,0)),0,1/VLOOKUP($R421,Capa!$A:$AJ,AW$5,0))))</f>
        <v/>
      </c>
      <c r="AX421" s="174" t="str">
        <f>IF(AX$6="","",IF(AX$3="Maior",iferror(VLOOKUP($R421,Capa!$A:$AJ,AX$5,0),0),IF(ISERROR(1/VLOOKUP($R421,Capa!$A:$AJ,AX$5,0)),0,1/VLOOKUP($R421,Capa!$A:$AJ,AX$5,0))))</f>
        <v/>
      </c>
      <c r="AY421" s="174" t="str">
        <f>IF(AY$6="","",IF(AY$3="Maior",iferror(VLOOKUP($R421,Capa!$A:$AJ,AY$5,0),0),IF(ISERROR(1/VLOOKUP($R421,Capa!$A:$AJ,AY$5,0)),0,1/VLOOKUP($R421,Capa!$A:$AJ,AY$5,0))))</f>
        <v/>
      </c>
      <c r="AZ421" s="174" t="str">
        <f>IF(AZ$6="","",IF(AZ$3="Maior",iferror(VLOOKUP($R421,Capa!$A:$AJ,AZ$5,0),0),IF(ISERROR(1/VLOOKUP($R421,Capa!$A:$AJ,AZ$5,0)),0,1/VLOOKUP($R421,Capa!$A:$AJ,AZ$5,0))))</f>
        <v/>
      </c>
      <c r="BA421" s="174" t="str">
        <f>IF(BA$6="","",IF(BA$3="Maior",iferror(VLOOKUP($R421,Capa!$A:$AJ,BA$5,0),0),IF(ISERROR(1/VLOOKUP($R421,Capa!$A:$AJ,BA$5,0)),0,1/VLOOKUP($R421,Capa!$A:$AJ,BA$5,0))))</f>
        <v/>
      </c>
      <c r="BB421" s="174" t="str">
        <f>IF(BB$6="","",IF(BB$3="Maior",iferror(VLOOKUP($R421,Capa!$A:$AJ,BB$5,0),0),IF(ISERROR(1/VLOOKUP($R421,Capa!$A:$AJ,BB$5,0)),0,1/VLOOKUP($R421,Capa!$A:$AJ,BB$5,0))))</f>
        <v/>
      </c>
      <c r="BC421" s="174" t="str">
        <f>IF(BC$6="","",IF(BC$3="Maior",iferror(VLOOKUP($R421,Capa!$A:$AJ,BC$5,0),0),IF(ISERROR(1/VLOOKUP($R421,Capa!$A:$AJ,BC$5,0)),0,1/VLOOKUP($R421,Capa!$A:$AJ,BC$5,0))))</f>
        <v/>
      </c>
      <c r="BD421" s="174" t="str">
        <f>IF(BD$6="","",IF(BD$3="Maior",iferror(VLOOKUP($R421,Capa!$A:$AJ,BD$5,0),0),IF(ISERROR(1/VLOOKUP($R421,Capa!$A:$AJ,BD$5,0)),0,1/VLOOKUP($R421,Capa!$A:$AJ,BD$5,0))))</f>
        <v/>
      </c>
      <c r="BE421" s="174" t="str">
        <f>IF(BE$6="","",IF(BE$3="Maior",iferror(VLOOKUP($R421,Capa!$A:$AJ,BE$5,0),0),IF(ISERROR(1/VLOOKUP($R421,Capa!$A:$AJ,BE$5,0)),0,1/VLOOKUP($R421,Capa!$A:$AJ,BE$5,0))))</f>
        <v/>
      </c>
      <c r="BF421" s="174" t="str">
        <f>IF(BF$6="","",IF(BF$3="Maior",iferror(VLOOKUP($R421,Capa!$A:$AJ,BF$5,0),0),IF(ISERROR(1/VLOOKUP($R421,Capa!$A:$AJ,BF$5,0)),0,1/VLOOKUP($R421,Capa!$A:$AJ,BF$5,0))))</f>
        <v/>
      </c>
      <c r="BG421" s="174" t="str">
        <f>IF(BG$6="","",IF(BG$3="Maior",iferror(VLOOKUP($R421,Capa!$A:$AJ,BG$5,0),0),IF(ISERROR(1/VLOOKUP($R421,Capa!$A:$AJ,BG$5,0)),0,1/VLOOKUP($R421,Capa!$A:$AJ,BG$5,0))))</f>
        <v/>
      </c>
      <c r="BH421" s="174" t="str">
        <f>IF(BH$6="","",IF(BH$3="Maior",iferror(VLOOKUP($R421,Capa!$A:$AJ,BH$5,0),0),IF(ISERROR(1/VLOOKUP($R421,Capa!$A:$AJ,BH$5,0)),0,1/VLOOKUP($R421,Capa!$A:$AJ,BH$5,0))))</f>
        <v/>
      </c>
      <c r="BI421" s="174" t="str">
        <f>IF(BI$6="","",IF(BI$3="Maior",iferror(VLOOKUP($R421,Capa!$A:$AJ,BI$5,0),0),IF(ISERROR(1/VLOOKUP($R421,Capa!$A:$AJ,BI$5,0)),0,1/VLOOKUP($R421,Capa!$A:$AJ,BI$5,0))))</f>
        <v/>
      </c>
      <c r="BJ421" s="174" t="str">
        <f>IF(BJ$6="","",IF(BJ$3="Maior",iferror(VLOOKUP($R421,Capa!$A:$AJ,BJ$5,0),0),IF(ISERROR(1/VLOOKUP($R421,Capa!$A:$AJ,BJ$5,0)),0,1/VLOOKUP($R421,Capa!$A:$AJ,BJ$5,0))))</f>
        <v/>
      </c>
      <c r="BK421" s="174" t="str">
        <f>IF(BK$6="","",IF(BK$3="Maior",iferror(VLOOKUP($R421,Capa!$A:$AJ,BK$5,0),0),IF(ISERROR(1/VLOOKUP($R421,Capa!$A:$AJ,BK$5,0)),0,1/VLOOKUP($R421,Capa!$A:$AJ,BK$5,0))))</f>
        <v/>
      </c>
      <c r="BL421" s="174" t="str">
        <f>IF(BL$6="","",IF(BL$3="Maior",iferror(VLOOKUP($R421,Capa!$A:$AJ,BL$5,0),0),IF(ISERROR(1/VLOOKUP($R421,Capa!$A:$AJ,BL$5,0)),0,1/VLOOKUP($R421,Capa!$A:$AJ,BL$5,0))))</f>
        <v/>
      </c>
      <c r="BM421" s="174" t="str">
        <f>IF(BM$6="","",IF(BM$3="Maior",iferror(VLOOKUP($R421,Capa!$A:$AJ,BM$5,0),0),IF(ISERROR(1/VLOOKUP($R421,Capa!$A:$AJ,BM$5,0)),0,1/VLOOKUP($R421,Capa!$A:$AJ,BM$5,0))))</f>
        <v/>
      </c>
      <c r="BN421" s="174" t="str">
        <f>IF(BN$6="","",IF(BN$3="Maior",iferror(VLOOKUP($R421,Capa!$A:$AJ,BN$5,0),0),IF(ISERROR(1/VLOOKUP($R421,Capa!$A:$AJ,BN$5,0)),0,1/VLOOKUP($R421,Capa!$A:$AJ,BN$5,0))))</f>
        <v/>
      </c>
      <c r="BO421" s="174" t="str">
        <f>IF(BO$6="","",IF(BO$3="Maior",iferror(VLOOKUP($R421,Capa!$A:$AJ,BO$5,0),0),IF(ISERROR(1/VLOOKUP($R421,Capa!$A:$AJ,BO$5,0)),0,1/VLOOKUP($R421,Capa!$A:$AJ,BO$5,0))))</f>
        <v/>
      </c>
      <c r="BP421" s="174" t="str">
        <f>IF(BP$6="","",IF(BP$3="Maior",iferror(VLOOKUP($R421,Capa!$A:$AJ,BP$5,0),0),IF(ISERROR(1/VLOOKUP($R421,Capa!$A:$AJ,BP$5,0)),0,1/VLOOKUP($R421,Capa!$A:$AJ,BP$5,0))))</f>
        <v/>
      </c>
      <c r="BQ421" s="174" t="str">
        <f>IF(BQ$6="","",IF(BQ$3="Maior",iferror(VLOOKUP($R421,Capa!$A:$AJ,BQ$5,0),0),IF(ISERROR(1/VLOOKUP($R421,Capa!$A:$AJ,BQ$5,0)),0,1/VLOOKUP($R421,Capa!$A:$AJ,BQ$5,0))))</f>
        <v/>
      </c>
      <c r="BR421" s="175"/>
      <c r="BS421" s="147"/>
    </row>
    <row r="422">
      <c r="G422" s="11"/>
      <c r="H422" s="8">
        <v>416.0</v>
      </c>
      <c r="I422" s="165" t="str">
        <f t="shared" si="6"/>
        <v>GPAR3</v>
      </c>
      <c r="J422" s="166" t="str">
        <f>(VLOOKUP($I422,Capa!$A:$B,2,0))</f>
        <v>Companhia Celg de Participacoes Celgpar</v>
      </c>
      <c r="K422" s="167" t="str">
        <f>VLOOKUP(left(I422,4),Setor!A:D,3,0)&amp;" | "&amp;VLOOKUP(left(I422,4),Setor!A:D,4,0)</f>
        <v>Utilidade Pública | Energia Elétrica</v>
      </c>
      <c r="L422" s="168">
        <f>(VLOOKUP($I422,Capa!$A:$F,6,0))</f>
        <v>15.1</v>
      </c>
      <c r="M422" s="168">
        <f t="shared" si="7"/>
        <v>1592.73</v>
      </c>
      <c r="N422" s="11" t="str">
        <f>IFERROR(__xludf.DUMMYFUNCTION("(VLOOKUP($I422,Capa!$A:$H,7,0))"),"")</f>
        <v/>
      </c>
      <c r="O422" s="169">
        <f>(VLOOKUP($I422,Capa!$A:$H,8,0))</f>
        <v>-0.4607142857</v>
      </c>
      <c r="P422" s="11" t="str">
        <f>IFERROR(__xludf.DUMMYFUNCTION("(VLOOKUP($I422,Capa!$A:$J,10,0))"),"")</f>
        <v/>
      </c>
      <c r="Q422" s="169">
        <f>(VLOOKUP($I422,Capa!$A:$K,11,0))</f>
        <v>-0.43866171</v>
      </c>
      <c r="R422" s="45" t="str">
        <f>'Dados StatusInvest'!A417</f>
        <v>NEMO3</v>
      </c>
      <c r="S422" s="170">
        <f t="shared" si="234"/>
        <v>1318.0318</v>
      </c>
      <c r="T422" s="171">
        <f>VLOOKUP(R422,'Dados StatusInvest'!A:Z,26,0)</f>
        <v>0</v>
      </c>
      <c r="U422" s="172">
        <f t="shared" ref="U422:AS422" si="425">IF(AT422="","", RANK(AT422,AT$7:AT$626,0)+RANK(AT422,AT$7:AT$626,0)/10000)</f>
        <v>51.0051</v>
      </c>
      <c r="V422" s="172">
        <f t="shared" si="425"/>
        <v>267.0267</v>
      </c>
      <c r="W422" s="172" t="str">
        <f t="shared" si="425"/>
        <v/>
      </c>
      <c r="X422" s="172" t="str">
        <f t="shared" si="425"/>
        <v/>
      </c>
      <c r="Y422" s="172" t="str">
        <f t="shared" si="425"/>
        <v/>
      </c>
      <c r="Z422" s="172" t="str">
        <f t="shared" si="425"/>
        <v/>
      </c>
      <c r="AA422" s="172" t="str">
        <f t="shared" si="425"/>
        <v/>
      </c>
      <c r="AB422" s="172" t="str">
        <f t="shared" si="425"/>
        <v/>
      </c>
      <c r="AC422" s="172" t="str">
        <f t="shared" si="425"/>
        <v/>
      </c>
      <c r="AD422" s="172" t="str">
        <f t="shared" si="425"/>
        <v/>
      </c>
      <c r="AE422" s="172" t="str">
        <f t="shared" si="425"/>
        <v/>
      </c>
      <c r="AF422" s="172" t="str">
        <f t="shared" si="425"/>
        <v/>
      </c>
      <c r="AG422" s="172" t="str">
        <f t="shared" si="425"/>
        <v/>
      </c>
      <c r="AH422" s="172" t="str">
        <f t="shared" si="425"/>
        <v/>
      </c>
      <c r="AI422" s="172" t="str">
        <f t="shared" si="425"/>
        <v/>
      </c>
      <c r="AJ422" s="172" t="str">
        <f t="shared" si="425"/>
        <v/>
      </c>
      <c r="AK422" s="172" t="str">
        <f t="shared" si="425"/>
        <v/>
      </c>
      <c r="AL422" s="172" t="str">
        <f t="shared" si="425"/>
        <v/>
      </c>
      <c r="AM422" s="172" t="str">
        <f t="shared" si="425"/>
        <v/>
      </c>
      <c r="AN422" s="172" t="str">
        <f t="shared" si="425"/>
        <v/>
      </c>
      <c r="AO422" s="172" t="str">
        <f t="shared" si="425"/>
        <v/>
      </c>
      <c r="AP422" s="172" t="str">
        <f t="shared" si="425"/>
        <v/>
      </c>
      <c r="AQ422" s="172" t="str">
        <f t="shared" si="425"/>
        <v/>
      </c>
      <c r="AR422" s="172" t="str">
        <f t="shared" si="425"/>
        <v/>
      </c>
      <c r="AS422" s="172" t="str">
        <f t="shared" si="425"/>
        <v/>
      </c>
      <c r="AT422" s="173">
        <f>IF(AT$6="","",IF(AT$3="Maior",iferror(VLOOKUP($R422,Capa!$A:$AJ,AT$5,0),0),IF(ISERROR(1/VLOOKUP($R422,Capa!$A:$AJ,AT$5,0)),0,1/VLOOKUP($R422,Capa!$A:$AJ,AT$5,0))))</f>
        <v>0</v>
      </c>
      <c r="AU422" s="174">
        <f>IF(AU$6="","",IF(AU$3="Maior",iferror(VLOOKUP($R422,Capa!$A:$AJ,AU$5,0),0),IF(ISERROR(1/VLOOKUP($R422,Capa!$A:$AJ,AU$5,0)),0,1/VLOOKUP($R422,Capa!$A:$AJ,AU$5,0))))</f>
        <v>0</v>
      </c>
      <c r="AV422" s="174" t="str">
        <f>IF(AV$6="","",IF(AV$3="Maior",iferror(VLOOKUP($R422,Capa!$A:$AJ,AV$5,0),0),IF(ISERROR(1/VLOOKUP($R422,Capa!$A:$AJ,AV$5,0)),0,1/VLOOKUP($R422,Capa!$A:$AJ,AV$5,0))))</f>
        <v/>
      </c>
      <c r="AW422" s="174" t="str">
        <f>IF(AW$6="","",IF(AW$3="Maior",iferror(VLOOKUP($R422,Capa!$A:$AJ,AW$5,0),0),IF(ISERROR(1/VLOOKUP($R422,Capa!$A:$AJ,AW$5,0)),0,1/VLOOKUP($R422,Capa!$A:$AJ,AW$5,0))))</f>
        <v/>
      </c>
      <c r="AX422" s="174" t="str">
        <f>IF(AX$6="","",IF(AX$3="Maior",iferror(VLOOKUP($R422,Capa!$A:$AJ,AX$5,0),0),IF(ISERROR(1/VLOOKUP($R422,Capa!$A:$AJ,AX$5,0)),0,1/VLOOKUP($R422,Capa!$A:$AJ,AX$5,0))))</f>
        <v/>
      </c>
      <c r="AY422" s="174" t="str">
        <f>IF(AY$6="","",IF(AY$3="Maior",iferror(VLOOKUP($R422,Capa!$A:$AJ,AY$5,0),0),IF(ISERROR(1/VLOOKUP($R422,Capa!$A:$AJ,AY$5,0)),0,1/VLOOKUP($R422,Capa!$A:$AJ,AY$5,0))))</f>
        <v/>
      </c>
      <c r="AZ422" s="174" t="str">
        <f>IF(AZ$6="","",IF(AZ$3="Maior",iferror(VLOOKUP($R422,Capa!$A:$AJ,AZ$5,0),0),IF(ISERROR(1/VLOOKUP($R422,Capa!$A:$AJ,AZ$5,0)),0,1/VLOOKUP($R422,Capa!$A:$AJ,AZ$5,0))))</f>
        <v/>
      </c>
      <c r="BA422" s="174" t="str">
        <f>IF(BA$6="","",IF(BA$3="Maior",iferror(VLOOKUP($R422,Capa!$A:$AJ,BA$5,0),0),IF(ISERROR(1/VLOOKUP($R422,Capa!$A:$AJ,BA$5,0)),0,1/VLOOKUP($R422,Capa!$A:$AJ,BA$5,0))))</f>
        <v/>
      </c>
      <c r="BB422" s="174" t="str">
        <f>IF(BB$6="","",IF(BB$3="Maior",iferror(VLOOKUP($R422,Capa!$A:$AJ,BB$5,0),0),IF(ISERROR(1/VLOOKUP($R422,Capa!$A:$AJ,BB$5,0)),0,1/VLOOKUP($R422,Capa!$A:$AJ,BB$5,0))))</f>
        <v/>
      </c>
      <c r="BC422" s="174" t="str">
        <f>IF(BC$6="","",IF(BC$3="Maior",iferror(VLOOKUP($R422,Capa!$A:$AJ,BC$5,0),0),IF(ISERROR(1/VLOOKUP($R422,Capa!$A:$AJ,BC$5,0)),0,1/VLOOKUP($R422,Capa!$A:$AJ,BC$5,0))))</f>
        <v/>
      </c>
      <c r="BD422" s="174" t="str">
        <f>IF(BD$6="","",IF(BD$3="Maior",iferror(VLOOKUP($R422,Capa!$A:$AJ,BD$5,0),0),IF(ISERROR(1/VLOOKUP($R422,Capa!$A:$AJ,BD$5,0)),0,1/VLOOKUP($R422,Capa!$A:$AJ,BD$5,0))))</f>
        <v/>
      </c>
      <c r="BE422" s="174" t="str">
        <f>IF(BE$6="","",IF(BE$3="Maior",iferror(VLOOKUP($R422,Capa!$A:$AJ,BE$5,0),0),IF(ISERROR(1/VLOOKUP($R422,Capa!$A:$AJ,BE$5,0)),0,1/VLOOKUP($R422,Capa!$A:$AJ,BE$5,0))))</f>
        <v/>
      </c>
      <c r="BF422" s="174" t="str">
        <f>IF(BF$6="","",IF(BF$3="Maior",iferror(VLOOKUP($R422,Capa!$A:$AJ,BF$5,0),0),IF(ISERROR(1/VLOOKUP($R422,Capa!$A:$AJ,BF$5,0)),0,1/VLOOKUP($R422,Capa!$A:$AJ,BF$5,0))))</f>
        <v/>
      </c>
      <c r="BG422" s="174" t="str">
        <f>IF(BG$6="","",IF(BG$3="Maior",iferror(VLOOKUP($R422,Capa!$A:$AJ,BG$5,0),0),IF(ISERROR(1/VLOOKUP($R422,Capa!$A:$AJ,BG$5,0)),0,1/VLOOKUP($R422,Capa!$A:$AJ,BG$5,0))))</f>
        <v/>
      </c>
      <c r="BH422" s="174" t="str">
        <f>IF(BH$6="","",IF(BH$3="Maior",iferror(VLOOKUP($R422,Capa!$A:$AJ,BH$5,0),0),IF(ISERROR(1/VLOOKUP($R422,Capa!$A:$AJ,BH$5,0)),0,1/VLOOKUP($R422,Capa!$A:$AJ,BH$5,0))))</f>
        <v/>
      </c>
      <c r="BI422" s="174" t="str">
        <f>IF(BI$6="","",IF(BI$3="Maior",iferror(VLOOKUP($R422,Capa!$A:$AJ,BI$5,0),0),IF(ISERROR(1/VLOOKUP($R422,Capa!$A:$AJ,BI$5,0)),0,1/VLOOKUP($R422,Capa!$A:$AJ,BI$5,0))))</f>
        <v/>
      </c>
      <c r="BJ422" s="174" t="str">
        <f>IF(BJ$6="","",IF(BJ$3="Maior",iferror(VLOOKUP($R422,Capa!$A:$AJ,BJ$5,0),0),IF(ISERROR(1/VLOOKUP($R422,Capa!$A:$AJ,BJ$5,0)),0,1/VLOOKUP($R422,Capa!$A:$AJ,BJ$5,0))))</f>
        <v/>
      </c>
      <c r="BK422" s="174" t="str">
        <f>IF(BK$6="","",IF(BK$3="Maior",iferror(VLOOKUP($R422,Capa!$A:$AJ,BK$5,0),0),IF(ISERROR(1/VLOOKUP($R422,Capa!$A:$AJ,BK$5,0)),0,1/VLOOKUP($R422,Capa!$A:$AJ,BK$5,0))))</f>
        <v/>
      </c>
      <c r="BL422" s="174" t="str">
        <f>IF(BL$6="","",IF(BL$3="Maior",iferror(VLOOKUP($R422,Capa!$A:$AJ,BL$5,0),0),IF(ISERROR(1/VLOOKUP($R422,Capa!$A:$AJ,BL$5,0)),0,1/VLOOKUP($R422,Capa!$A:$AJ,BL$5,0))))</f>
        <v/>
      </c>
      <c r="BM422" s="174" t="str">
        <f>IF(BM$6="","",IF(BM$3="Maior",iferror(VLOOKUP($R422,Capa!$A:$AJ,BM$5,0),0),IF(ISERROR(1/VLOOKUP($R422,Capa!$A:$AJ,BM$5,0)),0,1/VLOOKUP($R422,Capa!$A:$AJ,BM$5,0))))</f>
        <v/>
      </c>
      <c r="BN422" s="174" t="str">
        <f>IF(BN$6="","",IF(BN$3="Maior",iferror(VLOOKUP($R422,Capa!$A:$AJ,BN$5,0),0),IF(ISERROR(1/VLOOKUP($R422,Capa!$A:$AJ,BN$5,0)),0,1/VLOOKUP($R422,Capa!$A:$AJ,BN$5,0))))</f>
        <v/>
      </c>
      <c r="BO422" s="174" t="str">
        <f>IF(BO$6="","",IF(BO$3="Maior",iferror(VLOOKUP($R422,Capa!$A:$AJ,BO$5,0),0),IF(ISERROR(1/VLOOKUP($R422,Capa!$A:$AJ,BO$5,0)),0,1/VLOOKUP($R422,Capa!$A:$AJ,BO$5,0))))</f>
        <v/>
      </c>
      <c r="BP422" s="174" t="str">
        <f>IF(BP$6="","",IF(BP$3="Maior",iferror(VLOOKUP($R422,Capa!$A:$AJ,BP$5,0),0),IF(ISERROR(1/VLOOKUP($R422,Capa!$A:$AJ,BP$5,0)),0,1/VLOOKUP($R422,Capa!$A:$AJ,BP$5,0))))</f>
        <v/>
      </c>
      <c r="BQ422" s="174" t="str">
        <f>IF(BQ$6="","",IF(BQ$3="Maior",iferror(VLOOKUP($R422,Capa!$A:$AJ,BQ$5,0),0),IF(ISERROR(1/VLOOKUP($R422,Capa!$A:$AJ,BQ$5,0)),0,1/VLOOKUP($R422,Capa!$A:$AJ,BQ$5,0))))</f>
        <v/>
      </c>
      <c r="BR422" s="175"/>
      <c r="BS422" s="147"/>
    </row>
    <row r="423">
      <c r="G423" s="11"/>
      <c r="H423" s="8">
        <v>417.0</v>
      </c>
      <c r="I423" s="165" t="str">
        <f t="shared" si="6"/>
        <v>GPAR3</v>
      </c>
      <c r="J423" s="166" t="str">
        <f>(VLOOKUP($I423,Capa!$A:$B,2,0))</f>
        <v>Companhia Celg de Participacoes Celgpar</v>
      </c>
      <c r="K423" s="167" t="str">
        <f>VLOOKUP(left(I423,4),Setor!A:D,3,0)&amp;" | "&amp;VLOOKUP(left(I423,4),Setor!A:D,4,0)</f>
        <v>Utilidade Pública | Energia Elétrica</v>
      </c>
      <c r="L423" s="168">
        <f>(VLOOKUP($I423,Capa!$A:$F,6,0))</f>
        <v>15.1</v>
      </c>
      <c r="M423" s="168">
        <f t="shared" si="7"/>
        <v>1592.73</v>
      </c>
      <c r="N423" s="11" t="str">
        <f>IFERROR(__xludf.DUMMYFUNCTION("(VLOOKUP($I423,Capa!$A:$H,7,0))"),"")</f>
        <v/>
      </c>
      <c r="O423" s="169">
        <f>(VLOOKUP($I423,Capa!$A:$H,8,0))</f>
        <v>-0.4607142857</v>
      </c>
      <c r="P423" s="11" t="str">
        <f>IFERROR(__xludf.DUMMYFUNCTION("(VLOOKUP($I423,Capa!$A:$J,10,0))"),"")</f>
        <v/>
      </c>
      <c r="Q423" s="169">
        <f>(VLOOKUP($I423,Capa!$A:$K,11,0))</f>
        <v>-0.43866171</v>
      </c>
      <c r="R423" s="45" t="str">
        <f>'Dados StatusInvest'!A418</f>
        <v>NEMO4</v>
      </c>
      <c r="S423" s="170">
        <f t="shared" si="234"/>
        <v>1318.0318</v>
      </c>
      <c r="T423" s="171">
        <f>VLOOKUP(R423,'Dados StatusInvest'!A:Z,26,0)</f>
        <v>0</v>
      </c>
      <c r="U423" s="172">
        <f t="shared" ref="U423:AS423" si="426">IF(AT423="","", RANK(AT423,AT$7:AT$626,0)+RANK(AT423,AT$7:AT$626,0)/10000)</f>
        <v>51.0051</v>
      </c>
      <c r="V423" s="172">
        <f t="shared" si="426"/>
        <v>267.0267</v>
      </c>
      <c r="W423" s="172" t="str">
        <f t="shared" si="426"/>
        <v/>
      </c>
      <c r="X423" s="172" t="str">
        <f t="shared" si="426"/>
        <v/>
      </c>
      <c r="Y423" s="172" t="str">
        <f t="shared" si="426"/>
        <v/>
      </c>
      <c r="Z423" s="172" t="str">
        <f t="shared" si="426"/>
        <v/>
      </c>
      <c r="AA423" s="172" t="str">
        <f t="shared" si="426"/>
        <v/>
      </c>
      <c r="AB423" s="172" t="str">
        <f t="shared" si="426"/>
        <v/>
      </c>
      <c r="AC423" s="172" t="str">
        <f t="shared" si="426"/>
        <v/>
      </c>
      <c r="AD423" s="172" t="str">
        <f t="shared" si="426"/>
        <v/>
      </c>
      <c r="AE423" s="172" t="str">
        <f t="shared" si="426"/>
        <v/>
      </c>
      <c r="AF423" s="172" t="str">
        <f t="shared" si="426"/>
        <v/>
      </c>
      <c r="AG423" s="172" t="str">
        <f t="shared" si="426"/>
        <v/>
      </c>
      <c r="AH423" s="172" t="str">
        <f t="shared" si="426"/>
        <v/>
      </c>
      <c r="AI423" s="172" t="str">
        <f t="shared" si="426"/>
        <v/>
      </c>
      <c r="AJ423" s="172" t="str">
        <f t="shared" si="426"/>
        <v/>
      </c>
      <c r="AK423" s="172" t="str">
        <f t="shared" si="426"/>
        <v/>
      </c>
      <c r="AL423" s="172" t="str">
        <f t="shared" si="426"/>
        <v/>
      </c>
      <c r="AM423" s="172" t="str">
        <f t="shared" si="426"/>
        <v/>
      </c>
      <c r="AN423" s="172" t="str">
        <f t="shared" si="426"/>
        <v/>
      </c>
      <c r="AO423" s="172" t="str">
        <f t="shared" si="426"/>
        <v/>
      </c>
      <c r="AP423" s="172" t="str">
        <f t="shared" si="426"/>
        <v/>
      </c>
      <c r="AQ423" s="172" t="str">
        <f t="shared" si="426"/>
        <v/>
      </c>
      <c r="AR423" s="172" t="str">
        <f t="shared" si="426"/>
        <v/>
      </c>
      <c r="AS423" s="172" t="str">
        <f t="shared" si="426"/>
        <v/>
      </c>
      <c r="AT423" s="173">
        <f>IF(AT$6="","",IF(AT$3="Maior",iferror(VLOOKUP($R423,Capa!$A:$AJ,AT$5,0),0),IF(ISERROR(1/VLOOKUP($R423,Capa!$A:$AJ,AT$5,0)),0,1/VLOOKUP($R423,Capa!$A:$AJ,AT$5,0))))</f>
        <v>0</v>
      </c>
      <c r="AU423" s="174">
        <f>IF(AU$6="","",IF(AU$3="Maior",iferror(VLOOKUP($R423,Capa!$A:$AJ,AU$5,0),0),IF(ISERROR(1/VLOOKUP($R423,Capa!$A:$AJ,AU$5,0)),0,1/VLOOKUP($R423,Capa!$A:$AJ,AU$5,0))))</f>
        <v>0</v>
      </c>
      <c r="AV423" s="174" t="str">
        <f>IF(AV$6="","",IF(AV$3="Maior",iferror(VLOOKUP($R423,Capa!$A:$AJ,AV$5,0),0),IF(ISERROR(1/VLOOKUP($R423,Capa!$A:$AJ,AV$5,0)),0,1/VLOOKUP($R423,Capa!$A:$AJ,AV$5,0))))</f>
        <v/>
      </c>
      <c r="AW423" s="174" t="str">
        <f>IF(AW$6="","",IF(AW$3="Maior",iferror(VLOOKUP($R423,Capa!$A:$AJ,AW$5,0),0),IF(ISERROR(1/VLOOKUP($R423,Capa!$A:$AJ,AW$5,0)),0,1/VLOOKUP($R423,Capa!$A:$AJ,AW$5,0))))</f>
        <v/>
      </c>
      <c r="AX423" s="174" t="str">
        <f>IF(AX$6="","",IF(AX$3="Maior",iferror(VLOOKUP($R423,Capa!$A:$AJ,AX$5,0),0),IF(ISERROR(1/VLOOKUP($R423,Capa!$A:$AJ,AX$5,0)),0,1/VLOOKUP($R423,Capa!$A:$AJ,AX$5,0))))</f>
        <v/>
      </c>
      <c r="AY423" s="174" t="str">
        <f>IF(AY$6="","",IF(AY$3="Maior",iferror(VLOOKUP($R423,Capa!$A:$AJ,AY$5,0),0),IF(ISERROR(1/VLOOKUP($R423,Capa!$A:$AJ,AY$5,0)),0,1/VLOOKUP($R423,Capa!$A:$AJ,AY$5,0))))</f>
        <v/>
      </c>
      <c r="AZ423" s="174" t="str">
        <f>IF(AZ$6="","",IF(AZ$3="Maior",iferror(VLOOKUP($R423,Capa!$A:$AJ,AZ$5,0),0),IF(ISERROR(1/VLOOKUP($R423,Capa!$A:$AJ,AZ$5,0)),0,1/VLOOKUP($R423,Capa!$A:$AJ,AZ$5,0))))</f>
        <v/>
      </c>
      <c r="BA423" s="174" t="str">
        <f>IF(BA$6="","",IF(BA$3="Maior",iferror(VLOOKUP($R423,Capa!$A:$AJ,BA$5,0),0),IF(ISERROR(1/VLOOKUP($R423,Capa!$A:$AJ,BA$5,0)),0,1/VLOOKUP($R423,Capa!$A:$AJ,BA$5,0))))</f>
        <v/>
      </c>
      <c r="BB423" s="174" t="str">
        <f>IF(BB$6="","",IF(BB$3="Maior",iferror(VLOOKUP($R423,Capa!$A:$AJ,BB$5,0),0),IF(ISERROR(1/VLOOKUP($R423,Capa!$A:$AJ,BB$5,0)),0,1/VLOOKUP($R423,Capa!$A:$AJ,BB$5,0))))</f>
        <v/>
      </c>
      <c r="BC423" s="174" t="str">
        <f>IF(BC$6="","",IF(BC$3="Maior",iferror(VLOOKUP($R423,Capa!$A:$AJ,BC$5,0),0),IF(ISERROR(1/VLOOKUP($R423,Capa!$A:$AJ,BC$5,0)),0,1/VLOOKUP($R423,Capa!$A:$AJ,BC$5,0))))</f>
        <v/>
      </c>
      <c r="BD423" s="174" t="str">
        <f>IF(BD$6="","",IF(BD$3="Maior",iferror(VLOOKUP($R423,Capa!$A:$AJ,BD$5,0),0),IF(ISERROR(1/VLOOKUP($R423,Capa!$A:$AJ,BD$5,0)),0,1/VLOOKUP($R423,Capa!$A:$AJ,BD$5,0))))</f>
        <v/>
      </c>
      <c r="BE423" s="174" t="str">
        <f>IF(BE$6="","",IF(BE$3="Maior",iferror(VLOOKUP($R423,Capa!$A:$AJ,BE$5,0),0),IF(ISERROR(1/VLOOKUP($R423,Capa!$A:$AJ,BE$5,0)),0,1/VLOOKUP($R423,Capa!$A:$AJ,BE$5,0))))</f>
        <v/>
      </c>
      <c r="BF423" s="174" t="str">
        <f>IF(BF$6="","",IF(BF$3="Maior",iferror(VLOOKUP($R423,Capa!$A:$AJ,BF$5,0),0),IF(ISERROR(1/VLOOKUP($R423,Capa!$A:$AJ,BF$5,0)),0,1/VLOOKUP($R423,Capa!$A:$AJ,BF$5,0))))</f>
        <v/>
      </c>
      <c r="BG423" s="174" t="str">
        <f>IF(BG$6="","",IF(BG$3="Maior",iferror(VLOOKUP($R423,Capa!$A:$AJ,BG$5,0),0),IF(ISERROR(1/VLOOKUP($R423,Capa!$A:$AJ,BG$5,0)),0,1/VLOOKUP($R423,Capa!$A:$AJ,BG$5,0))))</f>
        <v/>
      </c>
      <c r="BH423" s="174" t="str">
        <f>IF(BH$6="","",IF(BH$3="Maior",iferror(VLOOKUP($R423,Capa!$A:$AJ,BH$5,0),0),IF(ISERROR(1/VLOOKUP($R423,Capa!$A:$AJ,BH$5,0)),0,1/VLOOKUP($R423,Capa!$A:$AJ,BH$5,0))))</f>
        <v/>
      </c>
      <c r="BI423" s="174" t="str">
        <f>IF(BI$6="","",IF(BI$3="Maior",iferror(VLOOKUP($R423,Capa!$A:$AJ,BI$5,0),0),IF(ISERROR(1/VLOOKUP($R423,Capa!$A:$AJ,BI$5,0)),0,1/VLOOKUP($R423,Capa!$A:$AJ,BI$5,0))))</f>
        <v/>
      </c>
      <c r="BJ423" s="174" t="str">
        <f>IF(BJ$6="","",IF(BJ$3="Maior",iferror(VLOOKUP($R423,Capa!$A:$AJ,BJ$5,0),0),IF(ISERROR(1/VLOOKUP($R423,Capa!$A:$AJ,BJ$5,0)),0,1/VLOOKUP($R423,Capa!$A:$AJ,BJ$5,0))))</f>
        <v/>
      </c>
      <c r="BK423" s="174" t="str">
        <f>IF(BK$6="","",IF(BK$3="Maior",iferror(VLOOKUP($R423,Capa!$A:$AJ,BK$5,0),0),IF(ISERROR(1/VLOOKUP($R423,Capa!$A:$AJ,BK$5,0)),0,1/VLOOKUP($R423,Capa!$A:$AJ,BK$5,0))))</f>
        <v/>
      </c>
      <c r="BL423" s="174" t="str">
        <f>IF(BL$6="","",IF(BL$3="Maior",iferror(VLOOKUP($R423,Capa!$A:$AJ,BL$5,0),0),IF(ISERROR(1/VLOOKUP($R423,Capa!$A:$AJ,BL$5,0)),0,1/VLOOKUP($R423,Capa!$A:$AJ,BL$5,0))))</f>
        <v/>
      </c>
      <c r="BM423" s="174" t="str">
        <f>IF(BM$6="","",IF(BM$3="Maior",iferror(VLOOKUP($R423,Capa!$A:$AJ,BM$5,0),0),IF(ISERROR(1/VLOOKUP($R423,Capa!$A:$AJ,BM$5,0)),0,1/VLOOKUP($R423,Capa!$A:$AJ,BM$5,0))))</f>
        <v/>
      </c>
      <c r="BN423" s="174" t="str">
        <f>IF(BN$6="","",IF(BN$3="Maior",iferror(VLOOKUP($R423,Capa!$A:$AJ,BN$5,0),0),IF(ISERROR(1/VLOOKUP($R423,Capa!$A:$AJ,BN$5,0)),0,1/VLOOKUP($R423,Capa!$A:$AJ,BN$5,0))))</f>
        <v/>
      </c>
      <c r="BO423" s="174" t="str">
        <f>IF(BO$6="","",IF(BO$3="Maior",iferror(VLOOKUP($R423,Capa!$A:$AJ,BO$5,0),0),IF(ISERROR(1/VLOOKUP($R423,Capa!$A:$AJ,BO$5,0)),0,1/VLOOKUP($R423,Capa!$A:$AJ,BO$5,0))))</f>
        <v/>
      </c>
      <c r="BP423" s="174" t="str">
        <f>IF(BP$6="","",IF(BP$3="Maior",iferror(VLOOKUP($R423,Capa!$A:$AJ,BP$5,0),0),IF(ISERROR(1/VLOOKUP($R423,Capa!$A:$AJ,BP$5,0)),0,1/VLOOKUP($R423,Capa!$A:$AJ,BP$5,0))))</f>
        <v/>
      </c>
      <c r="BQ423" s="174" t="str">
        <f>IF(BQ$6="","",IF(BQ$3="Maior",iferror(VLOOKUP($R423,Capa!$A:$AJ,BQ$5,0),0),IF(ISERROR(1/VLOOKUP($R423,Capa!$A:$AJ,BQ$5,0)),0,1/VLOOKUP($R423,Capa!$A:$AJ,BQ$5,0))))</f>
        <v/>
      </c>
      <c r="BR423" s="175"/>
      <c r="BS423" s="147"/>
    </row>
    <row r="424">
      <c r="G424" s="11"/>
      <c r="H424" s="8">
        <v>418.0</v>
      </c>
      <c r="I424" s="165" t="str">
        <f t="shared" si="6"/>
        <v>AFLT3</v>
      </c>
      <c r="J424" s="166" t="str">
        <f>(VLOOKUP($I424,Capa!$A:$B,2,0))</f>
        <v>Afluente Transmissao de Energia Eltrc SA</v>
      </c>
      <c r="K424" s="167" t="str">
        <f>VLOOKUP(left(I424,4),Setor!A:D,3,0)&amp;" | "&amp;VLOOKUP(left(I424,4),Setor!A:D,4,0)</f>
        <v>Utilidade Pública | Energia Elétrica</v>
      </c>
      <c r="L424" s="168">
        <f>(VLOOKUP($I424,Capa!$A:$F,6,0))</f>
        <v>7.39</v>
      </c>
      <c r="M424" s="168">
        <f t="shared" si="7"/>
        <v>2146.31</v>
      </c>
      <c r="N424" s="11" t="str">
        <f>IFERROR(__xludf.DUMMYFUNCTION("(VLOOKUP($I424,Capa!$A:$H,7,0))"),"")</f>
        <v/>
      </c>
      <c r="O424" s="169">
        <f>(VLOOKUP($I424,Capa!$A:$H,8,0))</f>
        <v>0.005442176871</v>
      </c>
      <c r="P424" s="11" t="str">
        <f>IFERROR(__xludf.DUMMYFUNCTION("(VLOOKUP($I424,Capa!$A:$J,10,0))"),"")</f>
        <v/>
      </c>
      <c r="Q424" s="169">
        <f>(VLOOKUP($I424,Capa!$A:$K,11,0))</f>
        <v>0.04231311707</v>
      </c>
      <c r="R424" s="45" t="str">
        <f>'Dados StatusInvest'!A419</f>
        <v>NEMO5</v>
      </c>
      <c r="S424" s="170">
        <f t="shared" si="234"/>
        <v>1499.0499</v>
      </c>
      <c r="T424" s="171">
        <f>VLOOKUP(R424,'Dados StatusInvest'!A:Z,26,0)</f>
        <v>0</v>
      </c>
      <c r="U424" s="172">
        <f t="shared" ref="U424:AS424" si="427">IF(AT424="","", RANK(AT424,AT$7:AT$626,0)+RANK(AT424,AT$7:AT$626,0)/10000)</f>
        <v>232.0232</v>
      </c>
      <c r="V424" s="172">
        <f t="shared" si="427"/>
        <v>267.0267</v>
      </c>
      <c r="W424" s="172" t="str">
        <f t="shared" si="427"/>
        <v/>
      </c>
      <c r="X424" s="172" t="str">
        <f t="shared" si="427"/>
        <v/>
      </c>
      <c r="Y424" s="172" t="str">
        <f t="shared" si="427"/>
        <v/>
      </c>
      <c r="Z424" s="172" t="str">
        <f t="shared" si="427"/>
        <v/>
      </c>
      <c r="AA424" s="172" t="str">
        <f t="shared" si="427"/>
        <v/>
      </c>
      <c r="AB424" s="172" t="str">
        <f t="shared" si="427"/>
        <v/>
      </c>
      <c r="AC424" s="172" t="str">
        <f t="shared" si="427"/>
        <v/>
      </c>
      <c r="AD424" s="172" t="str">
        <f t="shared" si="427"/>
        <v/>
      </c>
      <c r="AE424" s="172" t="str">
        <f t="shared" si="427"/>
        <v/>
      </c>
      <c r="AF424" s="172" t="str">
        <f t="shared" si="427"/>
        <v/>
      </c>
      <c r="AG424" s="172" t="str">
        <f t="shared" si="427"/>
        <v/>
      </c>
      <c r="AH424" s="172" t="str">
        <f t="shared" si="427"/>
        <v/>
      </c>
      <c r="AI424" s="172" t="str">
        <f t="shared" si="427"/>
        <v/>
      </c>
      <c r="AJ424" s="172" t="str">
        <f t="shared" si="427"/>
        <v/>
      </c>
      <c r="AK424" s="172" t="str">
        <f t="shared" si="427"/>
        <v/>
      </c>
      <c r="AL424" s="172" t="str">
        <f t="shared" si="427"/>
        <v/>
      </c>
      <c r="AM424" s="172" t="str">
        <f t="shared" si="427"/>
        <v/>
      </c>
      <c r="AN424" s="172" t="str">
        <f t="shared" si="427"/>
        <v/>
      </c>
      <c r="AO424" s="172" t="str">
        <f t="shared" si="427"/>
        <v/>
      </c>
      <c r="AP424" s="172" t="str">
        <f t="shared" si="427"/>
        <v/>
      </c>
      <c r="AQ424" s="172" t="str">
        <f t="shared" si="427"/>
        <v/>
      </c>
      <c r="AR424" s="172" t="str">
        <f t="shared" si="427"/>
        <v/>
      </c>
      <c r="AS424" s="172" t="str">
        <f t="shared" si="427"/>
        <v/>
      </c>
      <c r="AT424" s="173">
        <f>IF(AT$6="","",IF(AT$3="Maior",iferror(VLOOKUP($R424,Capa!$A:$AJ,AT$5,0),0),IF(ISERROR(1/VLOOKUP($R424,Capa!$A:$AJ,AT$5,0)),0,1/VLOOKUP($R424,Capa!$A:$AJ,AT$5,0))))</f>
        <v>-0.4048582996</v>
      </c>
      <c r="AU424" s="174">
        <f>IF(AU$6="","",IF(AU$3="Maior",iferror(VLOOKUP($R424,Capa!$A:$AJ,AU$5,0),0),IF(ISERROR(1/VLOOKUP($R424,Capa!$A:$AJ,AU$5,0)),0,1/VLOOKUP($R424,Capa!$A:$AJ,AU$5,0))))</f>
        <v>0</v>
      </c>
      <c r="AV424" s="174" t="str">
        <f>IF(AV$6="","",IF(AV$3="Maior",iferror(VLOOKUP($R424,Capa!$A:$AJ,AV$5,0),0),IF(ISERROR(1/VLOOKUP($R424,Capa!$A:$AJ,AV$5,0)),0,1/VLOOKUP($R424,Capa!$A:$AJ,AV$5,0))))</f>
        <v/>
      </c>
      <c r="AW424" s="174" t="str">
        <f>IF(AW$6="","",IF(AW$3="Maior",iferror(VLOOKUP($R424,Capa!$A:$AJ,AW$5,0),0),IF(ISERROR(1/VLOOKUP($R424,Capa!$A:$AJ,AW$5,0)),0,1/VLOOKUP($R424,Capa!$A:$AJ,AW$5,0))))</f>
        <v/>
      </c>
      <c r="AX424" s="174" t="str">
        <f>IF(AX$6="","",IF(AX$3="Maior",iferror(VLOOKUP($R424,Capa!$A:$AJ,AX$5,0),0),IF(ISERROR(1/VLOOKUP($R424,Capa!$A:$AJ,AX$5,0)),0,1/VLOOKUP($R424,Capa!$A:$AJ,AX$5,0))))</f>
        <v/>
      </c>
      <c r="AY424" s="174" t="str">
        <f>IF(AY$6="","",IF(AY$3="Maior",iferror(VLOOKUP($R424,Capa!$A:$AJ,AY$5,0),0),IF(ISERROR(1/VLOOKUP($R424,Capa!$A:$AJ,AY$5,0)),0,1/VLOOKUP($R424,Capa!$A:$AJ,AY$5,0))))</f>
        <v/>
      </c>
      <c r="AZ424" s="174" t="str">
        <f>IF(AZ$6="","",IF(AZ$3="Maior",iferror(VLOOKUP($R424,Capa!$A:$AJ,AZ$5,0),0),IF(ISERROR(1/VLOOKUP($R424,Capa!$A:$AJ,AZ$5,0)),0,1/VLOOKUP($R424,Capa!$A:$AJ,AZ$5,0))))</f>
        <v/>
      </c>
      <c r="BA424" s="174" t="str">
        <f>IF(BA$6="","",IF(BA$3="Maior",iferror(VLOOKUP($R424,Capa!$A:$AJ,BA$5,0),0),IF(ISERROR(1/VLOOKUP($R424,Capa!$A:$AJ,BA$5,0)),0,1/VLOOKUP($R424,Capa!$A:$AJ,BA$5,0))))</f>
        <v/>
      </c>
      <c r="BB424" s="174" t="str">
        <f>IF(BB$6="","",IF(BB$3="Maior",iferror(VLOOKUP($R424,Capa!$A:$AJ,BB$5,0),0),IF(ISERROR(1/VLOOKUP($R424,Capa!$A:$AJ,BB$5,0)),0,1/VLOOKUP($R424,Capa!$A:$AJ,BB$5,0))))</f>
        <v/>
      </c>
      <c r="BC424" s="174" t="str">
        <f>IF(BC$6="","",IF(BC$3="Maior",iferror(VLOOKUP($R424,Capa!$A:$AJ,BC$5,0),0),IF(ISERROR(1/VLOOKUP($R424,Capa!$A:$AJ,BC$5,0)),0,1/VLOOKUP($R424,Capa!$A:$AJ,BC$5,0))))</f>
        <v/>
      </c>
      <c r="BD424" s="174" t="str">
        <f>IF(BD$6="","",IF(BD$3="Maior",iferror(VLOOKUP($R424,Capa!$A:$AJ,BD$5,0),0),IF(ISERROR(1/VLOOKUP($R424,Capa!$A:$AJ,BD$5,0)),0,1/VLOOKUP($R424,Capa!$A:$AJ,BD$5,0))))</f>
        <v/>
      </c>
      <c r="BE424" s="174" t="str">
        <f>IF(BE$6="","",IF(BE$3="Maior",iferror(VLOOKUP($R424,Capa!$A:$AJ,BE$5,0),0),IF(ISERROR(1/VLOOKUP($R424,Capa!$A:$AJ,BE$5,0)),0,1/VLOOKUP($R424,Capa!$A:$AJ,BE$5,0))))</f>
        <v/>
      </c>
      <c r="BF424" s="174" t="str">
        <f>IF(BF$6="","",IF(BF$3="Maior",iferror(VLOOKUP($R424,Capa!$A:$AJ,BF$5,0),0),IF(ISERROR(1/VLOOKUP($R424,Capa!$A:$AJ,BF$5,0)),0,1/VLOOKUP($R424,Capa!$A:$AJ,BF$5,0))))</f>
        <v/>
      </c>
      <c r="BG424" s="174" t="str">
        <f>IF(BG$6="","",IF(BG$3="Maior",iferror(VLOOKUP($R424,Capa!$A:$AJ,BG$5,0),0),IF(ISERROR(1/VLOOKUP($R424,Capa!$A:$AJ,BG$5,0)),0,1/VLOOKUP($R424,Capa!$A:$AJ,BG$5,0))))</f>
        <v/>
      </c>
      <c r="BH424" s="174" t="str">
        <f>IF(BH$6="","",IF(BH$3="Maior",iferror(VLOOKUP($R424,Capa!$A:$AJ,BH$5,0),0),IF(ISERROR(1/VLOOKUP($R424,Capa!$A:$AJ,BH$5,0)),0,1/VLOOKUP($R424,Capa!$A:$AJ,BH$5,0))))</f>
        <v/>
      </c>
      <c r="BI424" s="174" t="str">
        <f>IF(BI$6="","",IF(BI$3="Maior",iferror(VLOOKUP($R424,Capa!$A:$AJ,BI$5,0),0),IF(ISERROR(1/VLOOKUP($R424,Capa!$A:$AJ,BI$5,0)),0,1/VLOOKUP($R424,Capa!$A:$AJ,BI$5,0))))</f>
        <v/>
      </c>
      <c r="BJ424" s="174" t="str">
        <f>IF(BJ$6="","",IF(BJ$3="Maior",iferror(VLOOKUP($R424,Capa!$A:$AJ,BJ$5,0),0),IF(ISERROR(1/VLOOKUP($R424,Capa!$A:$AJ,BJ$5,0)),0,1/VLOOKUP($R424,Capa!$A:$AJ,BJ$5,0))))</f>
        <v/>
      </c>
      <c r="BK424" s="174" t="str">
        <f>IF(BK$6="","",IF(BK$3="Maior",iferror(VLOOKUP($R424,Capa!$A:$AJ,BK$5,0),0),IF(ISERROR(1/VLOOKUP($R424,Capa!$A:$AJ,BK$5,0)),0,1/VLOOKUP($R424,Capa!$A:$AJ,BK$5,0))))</f>
        <v/>
      </c>
      <c r="BL424" s="174" t="str">
        <f>IF(BL$6="","",IF(BL$3="Maior",iferror(VLOOKUP($R424,Capa!$A:$AJ,BL$5,0),0),IF(ISERROR(1/VLOOKUP($R424,Capa!$A:$AJ,BL$5,0)),0,1/VLOOKUP($R424,Capa!$A:$AJ,BL$5,0))))</f>
        <v/>
      </c>
      <c r="BM424" s="174" t="str">
        <f>IF(BM$6="","",IF(BM$3="Maior",iferror(VLOOKUP($R424,Capa!$A:$AJ,BM$5,0),0),IF(ISERROR(1/VLOOKUP($R424,Capa!$A:$AJ,BM$5,0)),0,1/VLOOKUP($R424,Capa!$A:$AJ,BM$5,0))))</f>
        <v/>
      </c>
      <c r="BN424" s="174" t="str">
        <f>IF(BN$6="","",IF(BN$3="Maior",iferror(VLOOKUP($R424,Capa!$A:$AJ,BN$5,0),0),IF(ISERROR(1/VLOOKUP($R424,Capa!$A:$AJ,BN$5,0)),0,1/VLOOKUP($R424,Capa!$A:$AJ,BN$5,0))))</f>
        <v/>
      </c>
      <c r="BO424" s="174" t="str">
        <f>IF(BO$6="","",IF(BO$3="Maior",iferror(VLOOKUP($R424,Capa!$A:$AJ,BO$5,0),0),IF(ISERROR(1/VLOOKUP($R424,Capa!$A:$AJ,BO$5,0)),0,1/VLOOKUP($R424,Capa!$A:$AJ,BO$5,0))))</f>
        <v/>
      </c>
      <c r="BP424" s="174" t="str">
        <f>IF(BP$6="","",IF(BP$3="Maior",iferror(VLOOKUP($R424,Capa!$A:$AJ,BP$5,0),0),IF(ISERROR(1/VLOOKUP($R424,Capa!$A:$AJ,BP$5,0)),0,1/VLOOKUP($R424,Capa!$A:$AJ,BP$5,0))))</f>
        <v/>
      </c>
      <c r="BQ424" s="174" t="str">
        <f>IF(BQ$6="","",IF(BQ$3="Maior",iferror(VLOOKUP($R424,Capa!$A:$AJ,BQ$5,0),0),IF(ISERROR(1/VLOOKUP($R424,Capa!$A:$AJ,BQ$5,0)),0,1/VLOOKUP($R424,Capa!$A:$AJ,BQ$5,0))))</f>
        <v/>
      </c>
      <c r="BR424" s="175"/>
      <c r="BS424" s="147"/>
    </row>
    <row r="425">
      <c r="G425" s="11"/>
      <c r="H425" s="8">
        <v>419.0</v>
      </c>
      <c r="I425" s="165" t="str">
        <f t="shared" si="6"/>
        <v>CALI4</v>
      </c>
      <c r="J425" s="166" t="str">
        <f>(VLOOKUP($I425,Capa!$A:$B,2,0))</f>
        <v/>
      </c>
      <c r="K425" s="167" t="str">
        <f>VLOOKUP(left(I425,4),Setor!A:D,3,0)&amp;" | "&amp;VLOOKUP(left(I425,4),Setor!A:D,4,0)</f>
        <v>Consumo Cíclico | Construção Civil</v>
      </c>
      <c r="L425" s="168" t="str">
        <f>(VLOOKUP($I425,Capa!$A:$F,6,0))</f>
        <v/>
      </c>
      <c r="M425" s="168">
        <f t="shared" si="7"/>
        <v>0</v>
      </c>
      <c r="N425" s="11" t="str">
        <f>(VLOOKUP($I425,Capa!$A:$H,7,0))</f>
        <v/>
      </c>
      <c r="O425" s="169" t="str">
        <f>(VLOOKUP($I425,Capa!$A:$H,8,0))</f>
        <v/>
      </c>
      <c r="P425" s="11" t="str">
        <f>(VLOOKUP($I425,Capa!$A:$J,10,0))</f>
        <v/>
      </c>
      <c r="Q425" s="169" t="str">
        <f>(VLOOKUP($I425,Capa!$A:$K,11,0))</f>
        <v/>
      </c>
      <c r="R425" s="45" t="str">
        <f>'Dados StatusInvest'!A420</f>
        <v>NEMO6</v>
      </c>
      <c r="S425" s="170">
        <f t="shared" si="234"/>
        <v>1318.0318</v>
      </c>
      <c r="T425" s="171">
        <f>VLOOKUP(R425,'Dados StatusInvest'!A:Z,26,0)</f>
        <v>0</v>
      </c>
      <c r="U425" s="172">
        <f t="shared" ref="U425:AS425" si="428">IF(AT425="","", RANK(AT425,AT$7:AT$626,0)+RANK(AT425,AT$7:AT$626,0)/10000)</f>
        <v>51.0051</v>
      </c>
      <c r="V425" s="172">
        <f t="shared" si="428"/>
        <v>267.0267</v>
      </c>
      <c r="W425" s="172" t="str">
        <f t="shared" si="428"/>
        <v/>
      </c>
      <c r="X425" s="172" t="str">
        <f t="shared" si="428"/>
        <v/>
      </c>
      <c r="Y425" s="172" t="str">
        <f t="shared" si="428"/>
        <v/>
      </c>
      <c r="Z425" s="172" t="str">
        <f t="shared" si="428"/>
        <v/>
      </c>
      <c r="AA425" s="172" t="str">
        <f t="shared" si="428"/>
        <v/>
      </c>
      <c r="AB425" s="172" t="str">
        <f t="shared" si="428"/>
        <v/>
      </c>
      <c r="AC425" s="172" t="str">
        <f t="shared" si="428"/>
        <v/>
      </c>
      <c r="AD425" s="172" t="str">
        <f t="shared" si="428"/>
        <v/>
      </c>
      <c r="AE425" s="172" t="str">
        <f t="shared" si="428"/>
        <v/>
      </c>
      <c r="AF425" s="172" t="str">
        <f t="shared" si="428"/>
        <v/>
      </c>
      <c r="AG425" s="172" t="str">
        <f t="shared" si="428"/>
        <v/>
      </c>
      <c r="AH425" s="172" t="str">
        <f t="shared" si="428"/>
        <v/>
      </c>
      <c r="AI425" s="172" t="str">
        <f t="shared" si="428"/>
        <v/>
      </c>
      <c r="AJ425" s="172" t="str">
        <f t="shared" si="428"/>
        <v/>
      </c>
      <c r="AK425" s="172" t="str">
        <f t="shared" si="428"/>
        <v/>
      </c>
      <c r="AL425" s="172" t="str">
        <f t="shared" si="428"/>
        <v/>
      </c>
      <c r="AM425" s="172" t="str">
        <f t="shared" si="428"/>
        <v/>
      </c>
      <c r="AN425" s="172" t="str">
        <f t="shared" si="428"/>
        <v/>
      </c>
      <c r="AO425" s="172" t="str">
        <f t="shared" si="428"/>
        <v/>
      </c>
      <c r="AP425" s="172" t="str">
        <f t="shared" si="428"/>
        <v/>
      </c>
      <c r="AQ425" s="172" t="str">
        <f t="shared" si="428"/>
        <v/>
      </c>
      <c r="AR425" s="172" t="str">
        <f t="shared" si="428"/>
        <v/>
      </c>
      <c r="AS425" s="172" t="str">
        <f t="shared" si="428"/>
        <v/>
      </c>
      <c r="AT425" s="173">
        <f>IF(AT$6="","",IF(AT$3="Maior",iferror(VLOOKUP($R425,Capa!$A:$AJ,AT$5,0),0),IF(ISERROR(1/VLOOKUP($R425,Capa!$A:$AJ,AT$5,0)),0,1/VLOOKUP($R425,Capa!$A:$AJ,AT$5,0))))</f>
        <v>0</v>
      </c>
      <c r="AU425" s="174">
        <f>IF(AU$6="","",IF(AU$3="Maior",iferror(VLOOKUP($R425,Capa!$A:$AJ,AU$5,0),0),IF(ISERROR(1/VLOOKUP($R425,Capa!$A:$AJ,AU$5,0)),0,1/VLOOKUP($R425,Capa!$A:$AJ,AU$5,0))))</f>
        <v>0</v>
      </c>
      <c r="AV425" s="174" t="str">
        <f>IF(AV$6="","",IF(AV$3="Maior",iferror(VLOOKUP($R425,Capa!$A:$AJ,AV$5,0),0),IF(ISERROR(1/VLOOKUP($R425,Capa!$A:$AJ,AV$5,0)),0,1/VLOOKUP($R425,Capa!$A:$AJ,AV$5,0))))</f>
        <v/>
      </c>
      <c r="AW425" s="174" t="str">
        <f>IF(AW$6="","",IF(AW$3="Maior",iferror(VLOOKUP($R425,Capa!$A:$AJ,AW$5,0),0),IF(ISERROR(1/VLOOKUP($R425,Capa!$A:$AJ,AW$5,0)),0,1/VLOOKUP($R425,Capa!$A:$AJ,AW$5,0))))</f>
        <v/>
      </c>
      <c r="AX425" s="174" t="str">
        <f>IF(AX$6="","",IF(AX$3="Maior",iferror(VLOOKUP($R425,Capa!$A:$AJ,AX$5,0),0),IF(ISERROR(1/VLOOKUP($R425,Capa!$A:$AJ,AX$5,0)),0,1/VLOOKUP($R425,Capa!$A:$AJ,AX$5,0))))</f>
        <v/>
      </c>
      <c r="AY425" s="174" t="str">
        <f>IF(AY$6="","",IF(AY$3="Maior",iferror(VLOOKUP($R425,Capa!$A:$AJ,AY$5,0),0),IF(ISERROR(1/VLOOKUP($R425,Capa!$A:$AJ,AY$5,0)),0,1/VLOOKUP($R425,Capa!$A:$AJ,AY$5,0))))</f>
        <v/>
      </c>
      <c r="AZ425" s="174" t="str">
        <f>IF(AZ$6="","",IF(AZ$3="Maior",iferror(VLOOKUP($R425,Capa!$A:$AJ,AZ$5,0),0),IF(ISERROR(1/VLOOKUP($R425,Capa!$A:$AJ,AZ$5,0)),0,1/VLOOKUP($R425,Capa!$A:$AJ,AZ$5,0))))</f>
        <v/>
      </c>
      <c r="BA425" s="174" t="str">
        <f>IF(BA$6="","",IF(BA$3="Maior",iferror(VLOOKUP($R425,Capa!$A:$AJ,BA$5,0),0),IF(ISERROR(1/VLOOKUP($R425,Capa!$A:$AJ,BA$5,0)),0,1/VLOOKUP($R425,Capa!$A:$AJ,BA$5,0))))</f>
        <v/>
      </c>
      <c r="BB425" s="174" t="str">
        <f>IF(BB$6="","",IF(BB$3="Maior",iferror(VLOOKUP($R425,Capa!$A:$AJ,BB$5,0),0),IF(ISERROR(1/VLOOKUP($R425,Capa!$A:$AJ,BB$5,0)),0,1/VLOOKUP($R425,Capa!$A:$AJ,BB$5,0))))</f>
        <v/>
      </c>
      <c r="BC425" s="174" t="str">
        <f>IF(BC$6="","",IF(BC$3="Maior",iferror(VLOOKUP($R425,Capa!$A:$AJ,BC$5,0),0),IF(ISERROR(1/VLOOKUP($R425,Capa!$A:$AJ,BC$5,0)),0,1/VLOOKUP($R425,Capa!$A:$AJ,BC$5,0))))</f>
        <v/>
      </c>
      <c r="BD425" s="174" t="str">
        <f>IF(BD$6="","",IF(BD$3="Maior",iferror(VLOOKUP($R425,Capa!$A:$AJ,BD$5,0),0),IF(ISERROR(1/VLOOKUP($R425,Capa!$A:$AJ,BD$5,0)),0,1/VLOOKUP($R425,Capa!$A:$AJ,BD$5,0))))</f>
        <v/>
      </c>
      <c r="BE425" s="174" t="str">
        <f>IF(BE$6="","",IF(BE$3="Maior",iferror(VLOOKUP($R425,Capa!$A:$AJ,BE$5,0),0),IF(ISERROR(1/VLOOKUP($R425,Capa!$A:$AJ,BE$5,0)),0,1/VLOOKUP($R425,Capa!$A:$AJ,BE$5,0))))</f>
        <v/>
      </c>
      <c r="BF425" s="174" t="str">
        <f>IF(BF$6="","",IF(BF$3="Maior",iferror(VLOOKUP($R425,Capa!$A:$AJ,BF$5,0),0),IF(ISERROR(1/VLOOKUP($R425,Capa!$A:$AJ,BF$5,0)),0,1/VLOOKUP($R425,Capa!$A:$AJ,BF$5,0))))</f>
        <v/>
      </c>
      <c r="BG425" s="174" t="str">
        <f>IF(BG$6="","",IF(BG$3="Maior",iferror(VLOOKUP($R425,Capa!$A:$AJ,BG$5,0),0),IF(ISERROR(1/VLOOKUP($R425,Capa!$A:$AJ,BG$5,0)),0,1/VLOOKUP($R425,Capa!$A:$AJ,BG$5,0))))</f>
        <v/>
      </c>
      <c r="BH425" s="174" t="str">
        <f>IF(BH$6="","",IF(BH$3="Maior",iferror(VLOOKUP($R425,Capa!$A:$AJ,BH$5,0),0),IF(ISERROR(1/VLOOKUP($R425,Capa!$A:$AJ,BH$5,0)),0,1/VLOOKUP($R425,Capa!$A:$AJ,BH$5,0))))</f>
        <v/>
      </c>
      <c r="BI425" s="174" t="str">
        <f>IF(BI$6="","",IF(BI$3="Maior",iferror(VLOOKUP($R425,Capa!$A:$AJ,BI$5,0),0),IF(ISERROR(1/VLOOKUP($R425,Capa!$A:$AJ,BI$5,0)),0,1/VLOOKUP($R425,Capa!$A:$AJ,BI$5,0))))</f>
        <v/>
      </c>
      <c r="BJ425" s="174" t="str">
        <f>IF(BJ$6="","",IF(BJ$3="Maior",iferror(VLOOKUP($R425,Capa!$A:$AJ,BJ$5,0),0),IF(ISERROR(1/VLOOKUP($R425,Capa!$A:$AJ,BJ$5,0)),0,1/VLOOKUP($R425,Capa!$A:$AJ,BJ$5,0))))</f>
        <v/>
      </c>
      <c r="BK425" s="174" t="str">
        <f>IF(BK$6="","",IF(BK$3="Maior",iferror(VLOOKUP($R425,Capa!$A:$AJ,BK$5,0),0),IF(ISERROR(1/VLOOKUP($R425,Capa!$A:$AJ,BK$5,0)),0,1/VLOOKUP($R425,Capa!$A:$AJ,BK$5,0))))</f>
        <v/>
      </c>
      <c r="BL425" s="174" t="str">
        <f>IF(BL$6="","",IF(BL$3="Maior",iferror(VLOOKUP($R425,Capa!$A:$AJ,BL$5,0),0),IF(ISERROR(1/VLOOKUP($R425,Capa!$A:$AJ,BL$5,0)),0,1/VLOOKUP($R425,Capa!$A:$AJ,BL$5,0))))</f>
        <v/>
      </c>
      <c r="BM425" s="174" t="str">
        <f>IF(BM$6="","",IF(BM$3="Maior",iferror(VLOOKUP($R425,Capa!$A:$AJ,BM$5,0),0),IF(ISERROR(1/VLOOKUP($R425,Capa!$A:$AJ,BM$5,0)),0,1/VLOOKUP($R425,Capa!$A:$AJ,BM$5,0))))</f>
        <v/>
      </c>
      <c r="BN425" s="174" t="str">
        <f>IF(BN$6="","",IF(BN$3="Maior",iferror(VLOOKUP($R425,Capa!$A:$AJ,BN$5,0),0),IF(ISERROR(1/VLOOKUP($R425,Capa!$A:$AJ,BN$5,0)),0,1/VLOOKUP($R425,Capa!$A:$AJ,BN$5,0))))</f>
        <v/>
      </c>
      <c r="BO425" s="174" t="str">
        <f>IF(BO$6="","",IF(BO$3="Maior",iferror(VLOOKUP($R425,Capa!$A:$AJ,BO$5,0),0),IF(ISERROR(1/VLOOKUP($R425,Capa!$A:$AJ,BO$5,0)),0,1/VLOOKUP($R425,Capa!$A:$AJ,BO$5,0))))</f>
        <v/>
      </c>
      <c r="BP425" s="174" t="str">
        <f>IF(BP$6="","",IF(BP$3="Maior",iferror(VLOOKUP($R425,Capa!$A:$AJ,BP$5,0),0),IF(ISERROR(1/VLOOKUP($R425,Capa!$A:$AJ,BP$5,0)),0,1/VLOOKUP($R425,Capa!$A:$AJ,BP$5,0))))</f>
        <v/>
      </c>
      <c r="BQ425" s="174" t="str">
        <f>IF(BQ$6="","",IF(BQ$3="Maior",iferror(VLOOKUP($R425,Capa!$A:$AJ,BQ$5,0),0),IF(ISERROR(1/VLOOKUP($R425,Capa!$A:$AJ,BQ$5,0)),0,1/VLOOKUP($R425,Capa!$A:$AJ,BQ$5,0))))</f>
        <v/>
      </c>
      <c r="BR425" s="175"/>
      <c r="BS425" s="147"/>
    </row>
    <row r="426">
      <c r="G426" s="11"/>
      <c r="H426" s="8">
        <v>420.0</v>
      </c>
      <c r="I426" s="165" t="str">
        <f t="shared" si="6"/>
        <v>CALI4</v>
      </c>
      <c r="J426" s="166" t="str">
        <f>(VLOOKUP($I426,Capa!$A:$B,2,0))</f>
        <v/>
      </c>
      <c r="K426" s="167" t="str">
        <f>VLOOKUP(left(I426,4),Setor!A:D,3,0)&amp;" | "&amp;VLOOKUP(left(I426,4),Setor!A:D,4,0)</f>
        <v>Consumo Cíclico | Construção Civil</v>
      </c>
      <c r="L426" s="168" t="str">
        <f>(VLOOKUP($I426,Capa!$A:$F,6,0))</f>
        <v/>
      </c>
      <c r="M426" s="168">
        <f t="shared" si="7"/>
        <v>0</v>
      </c>
      <c r="N426" s="11" t="str">
        <f>(VLOOKUP($I426,Capa!$A:$H,7,0))</f>
        <v/>
      </c>
      <c r="O426" s="169" t="str">
        <f>(VLOOKUP($I426,Capa!$A:$H,8,0))</f>
        <v/>
      </c>
      <c r="P426" s="11" t="str">
        <f>(VLOOKUP($I426,Capa!$A:$J,10,0))</f>
        <v/>
      </c>
      <c r="Q426" s="169" t="str">
        <f>(VLOOKUP($I426,Capa!$A:$K,11,0))</f>
        <v/>
      </c>
      <c r="R426" s="45" t="str">
        <f>'Dados StatusInvest'!A421</f>
        <v>NEOE3</v>
      </c>
      <c r="S426" s="170">
        <f t="shared" si="234"/>
        <v>638.0638</v>
      </c>
      <c r="T426" s="171">
        <f>VLOOKUP(R426,'Dados StatusInvest'!A:Z,26,0)</f>
        <v>73363887</v>
      </c>
      <c r="U426" s="172">
        <f t="shared" ref="U426:AS426" si="429">IF(AT426="","", RANK(AT426,AT$7:AT$626,0)+RANK(AT426,AT$7:AT$626,0)/10000)</f>
        <v>463.0463</v>
      </c>
      <c r="V426" s="172">
        <f t="shared" si="429"/>
        <v>175.0175</v>
      </c>
      <c r="W426" s="172" t="str">
        <f t="shared" si="429"/>
        <v/>
      </c>
      <c r="X426" s="172" t="str">
        <f t="shared" si="429"/>
        <v/>
      </c>
      <c r="Y426" s="172" t="str">
        <f t="shared" si="429"/>
        <v/>
      </c>
      <c r="Z426" s="172" t="str">
        <f t="shared" si="429"/>
        <v/>
      </c>
      <c r="AA426" s="172" t="str">
        <f t="shared" si="429"/>
        <v/>
      </c>
      <c r="AB426" s="172" t="str">
        <f t="shared" si="429"/>
        <v/>
      </c>
      <c r="AC426" s="172" t="str">
        <f t="shared" si="429"/>
        <v/>
      </c>
      <c r="AD426" s="172" t="str">
        <f t="shared" si="429"/>
        <v/>
      </c>
      <c r="AE426" s="172" t="str">
        <f t="shared" si="429"/>
        <v/>
      </c>
      <c r="AF426" s="172" t="str">
        <f t="shared" si="429"/>
        <v/>
      </c>
      <c r="AG426" s="172" t="str">
        <f t="shared" si="429"/>
        <v/>
      </c>
      <c r="AH426" s="172" t="str">
        <f t="shared" si="429"/>
        <v/>
      </c>
      <c r="AI426" s="172" t="str">
        <f t="shared" si="429"/>
        <v/>
      </c>
      <c r="AJ426" s="172" t="str">
        <f t="shared" si="429"/>
        <v/>
      </c>
      <c r="AK426" s="172" t="str">
        <f t="shared" si="429"/>
        <v/>
      </c>
      <c r="AL426" s="172" t="str">
        <f t="shared" si="429"/>
        <v/>
      </c>
      <c r="AM426" s="172" t="str">
        <f t="shared" si="429"/>
        <v/>
      </c>
      <c r="AN426" s="172" t="str">
        <f t="shared" si="429"/>
        <v/>
      </c>
      <c r="AO426" s="172" t="str">
        <f t="shared" si="429"/>
        <v/>
      </c>
      <c r="AP426" s="172" t="str">
        <f t="shared" si="429"/>
        <v/>
      </c>
      <c r="AQ426" s="172" t="str">
        <f t="shared" si="429"/>
        <v/>
      </c>
      <c r="AR426" s="172" t="str">
        <f t="shared" si="429"/>
        <v/>
      </c>
      <c r="AS426" s="172" t="str">
        <f t="shared" si="429"/>
        <v/>
      </c>
      <c r="AT426" s="173">
        <f>IF(AT$6="","",IF(AT$3="Maior",iferror(VLOOKUP($R426,Capa!$A:$AJ,AT$5,0),0),IF(ISERROR(1/VLOOKUP($R426,Capa!$A:$AJ,AT$5,0)),0,1/VLOOKUP($R426,Capa!$A:$AJ,AT$5,0))))</f>
        <v>-2.309411823</v>
      </c>
      <c r="AU426" s="174">
        <f>IF(AU$6="","",IF(AU$3="Maior",iferror(VLOOKUP($R426,Capa!$A:$AJ,AU$5,0),0),IF(ISERROR(1/VLOOKUP($R426,Capa!$A:$AJ,AU$5,0)),0,1/VLOOKUP($R426,Capa!$A:$AJ,AU$5,0))))</f>
        <v>14.61</v>
      </c>
      <c r="AV426" s="174" t="str">
        <f>IF(AV$6="","",IF(AV$3="Maior",iferror(VLOOKUP($R426,Capa!$A:$AJ,AV$5,0),0),IF(ISERROR(1/VLOOKUP($R426,Capa!$A:$AJ,AV$5,0)),0,1/VLOOKUP($R426,Capa!$A:$AJ,AV$5,0))))</f>
        <v/>
      </c>
      <c r="AW426" s="174" t="str">
        <f>IF(AW$6="","",IF(AW$3="Maior",iferror(VLOOKUP($R426,Capa!$A:$AJ,AW$5,0),0),IF(ISERROR(1/VLOOKUP($R426,Capa!$A:$AJ,AW$5,0)),0,1/VLOOKUP($R426,Capa!$A:$AJ,AW$5,0))))</f>
        <v/>
      </c>
      <c r="AX426" s="174" t="str">
        <f>IF(AX$6="","",IF(AX$3="Maior",iferror(VLOOKUP($R426,Capa!$A:$AJ,AX$5,0),0),IF(ISERROR(1/VLOOKUP($R426,Capa!$A:$AJ,AX$5,0)),0,1/VLOOKUP($R426,Capa!$A:$AJ,AX$5,0))))</f>
        <v/>
      </c>
      <c r="AY426" s="174" t="str">
        <f>IF(AY$6="","",IF(AY$3="Maior",iferror(VLOOKUP($R426,Capa!$A:$AJ,AY$5,0),0),IF(ISERROR(1/VLOOKUP($R426,Capa!$A:$AJ,AY$5,0)),0,1/VLOOKUP($R426,Capa!$A:$AJ,AY$5,0))))</f>
        <v/>
      </c>
      <c r="AZ426" s="174" t="str">
        <f>IF(AZ$6="","",IF(AZ$3="Maior",iferror(VLOOKUP($R426,Capa!$A:$AJ,AZ$5,0),0),IF(ISERROR(1/VLOOKUP($R426,Capa!$A:$AJ,AZ$5,0)),0,1/VLOOKUP($R426,Capa!$A:$AJ,AZ$5,0))))</f>
        <v/>
      </c>
      <c r="BA426" s="174" t="str">
        <f>IF(BA$6="","",IF(BA$3="Maior",iferror(VLOOKUP($R426,Capa!$A:$AJ,BA$5,0),0),IF(ISERROR(1/VLOOKUP($R426,Capa!$A:$AJ,BA$5,0)),0,1/VLOOKUP($R426,Capa!$A:$AJ,BA$5,0))))</f>
        <v/>
      </c>
      <c r="BB426" s="174" t="str">
        <f>IF(BB$6="","",IF(BB$3="Maior",iferror(VLOOKUP($R426,Capa!$A:$AJ,BB$5,0),0),IF(ISERROR(1/VLOOKUP($R426,Capa!$A:$AJ,BB$5,0)),0,1/VLOOKUP($R426,Capa!$A:$AJ,BB$5,0))))</f>
        <v/>
      </c>
      <c r="BC426" s="174" t="str">
        <f>IF(BC$6="","",IF(BC$3="Maior",iferror(VLOOKUP($R426,Capa!$A:$AJ,BC$5,0),0),IF(ISERROR(1/VLOOKUP($R426,Capa!$A:$AJ,BC$5,0)),0,1/VLOOKUP($R426,Capa!$A:$AJ,BC$5,0))))</f>
        <v/>
      </c>
      <c r="BD426" s="174" t="str">
        <f>IF(BD$6="","",IF(BD$3="Maior",iferror(VLOOKUP($R426,Capa!$A:$AJ,BD$5,0),0),IF(ISERROR(1/VLOOKUP($R426,Capa!$A:$AJ,BD$5,0)),0,1/VLOOKUP($R426,Capa!$A:$AJ,BD$5,0))))</f>
        <v/>
      </c>
      <c r="BE426" s="174" t="str">
        <f>IF(BE$6="","",IF(BE$3="Maior",iferror(VLOOKUP($R426,Capa!$A:$AJ,BE$5,0),0),IF(ISERROR(1/VLOOKUP($R426,Capa!$A:$AJ,BE$5,0)),0,1/VLOOKUP($R426,Capa!$A:$AJ,BE$5,0))))</f>
        <v/>
      </c>
      <c r="BF426" s="174" t="str">
        <f>IF(BF$6="","",IF(BF$3="Maior",iferror(VLOOKUP($R426,Capa!$A:$AJ,BF$5,0),0),IF(ISERROR(1/VLOOKUP($R426,Capa!$A:$AJ,BF$5,0)),0,1/VLOOKUP($R426,Capa!$A:$AJ,BF$5,0))))</f>
        <v/>
      </c>
      <c r="BG426" s="174" t="str">
        <f>IF(BG$6="","",IF(BG$3="Maior",iferror(VLOOKUP($R426,Capa!$A:$AJ,BG$5,0),0),IF(ISERROR(1/VLOOKUP($R426,Capa!$A:$AJ,BG$5,0)),0,1/VLOOKUP($R426,Capa!$A:$AJ,BG$5,0))))</f>
        <v/>
      </c>
      <c r="BH426" s="174" t="str">
        <f>IF(BH$6="","",IF(BH$3="Maior",iferror(VLOOKUP($R426,Capa!$A:$AJ,BH$5,0),0),IF(ISERROR(1/VLOOKUP($R426,Capa!$A:$AJ,BH$5,0)),0,1/VLOOKUP($R426,Capa!$A:$AJ,BH$5,0))))</f>
        <v/>
      </c>
      <c r="BI426" s="174" t="str">
        <f>IF(BI$6="","",IF(BI$3="Maior",iferror(VLOOKUP($R426,Capa!$A:$AJ,BI$5,0),0),IF(ISERROR(1/VLOOKUP($R426,Capa!$A:$AJ,BI$5,0)),0,1/VLOOKUP($R426,Capa!$A:$AJ,BI$5,0))))</f>
        <v/>
      </c>
      <c r="BJ426" s="174" t="str">
        <f>IF(BJ$6="","",IF(BJ$3="Maior",iferror(VLOOKUP($R426,Capa!$A:$AJ,BJ$5,0),0),IF(ISERROR(1/VLOOKUP($R426,Capa!$A:$AJ,BJ$5,0)),0,1/VLOOKUP($R426,Capa!$A:$AJ,BJ$5,0))))</f>
        <v/>
      </c>
      <c r="BK426" s="174" t="str">
        <f>IF(BK$6="","",IF(BK$3="Maior",iferror(VLOOKUP($R426,Capa!$A:$AJ,BK$5,0),0),IF(ISERROR(1/VLOOKUP($R426,Capa!$A:$AJ,BK$5,0)),0,1/VLOOKUP($R426,Capa!$A:$AJ,BK$5,0))))</f>
        <v/>
      </c>
      <c r="BL426" s="174" t="str">
        <f>IF(BL$6="","",IF(BL$3="Maior",iferror(VLOOKUP($R426,Capa!$A:$AJ,BL$5,0),0),IF(ISERROR(1/VLOOKUP($R426,Capa!$A:$AJ,BL$5,0)),0,1/VLOOKUP($R426,Capa!$A:$AJ,BL$5,0))))</f>
        <v/>
      </c>
      <c r="BM426" s="174" t="str">
        <f>IF(BM$6="","",IF(BM$3="Maior",iferror(VLOOKUP($R426,Capa!$A:$AJ,BM$5,0),0),IF(ISERROR(1/VLOOKUP($R426,Capa!$A:$AJ,BM$5,0)),0,1/VLOOKUP($R426,Capa!$A:$AJ,BM$5,0))))</f>
        <v/>
      </c>
      <c r="BN426" s="174" t="str">
        <f>IF(BN$6="","",IF(BN$3="Maior",iferror(VLOOKUP($R426,Capa!$A:$AJ,BN$5,0),0),IF(ISERROR(1/VLOOKUP($R426,Capa!$A:$AJ,BN$5,0)),0,1/VLOOKUP($R426,Capa!$A:$AJ,BN$5,0))))</f>
        <v/>
      </c>
      <c r="BO426" s="174" t="str">
        <f>IF(BO$6="","",IF(BO$3="Maior",iferror(VLOOKUP($R426,Capa!$A:$AJ,BO$5,0),0),IF(ISERROR(1/VLOOKUP($R426,Capa!$A:$AJ,BO$5,0)),0,1/VLOOKUP($R426,Capa!$A:$AJ,BO$5,0))))</f>
        <v/>
      </c>
      <c r="BP426" s="174" t="str">
        <f>IF(BP$6="","",IF(BP$3="Maior",iferror(VLOOKUP($R426,Capa!$A:$AJ,BP$5,0),0),IF(ISERROR(1/VLOOKUP($R426,Capa!$A:$AJ,BP$5,0)),0,1/VLOOKUP($R426,Capa!$A:$AJ,BP$5,0))))</f>
        <v/>
      </c>
      <c r="BQ426" s="174" t="str">
        <f>IF(BQ$6="","",IF(BQ$3="Maior",iferror(VLOOKUP($R426,Capa!$A:$AJ,BQ$5,0),0),IF(ISERROR(1/VLOOKUP($R426,Capa!$A:$AJ,BQ$5,0)),0,1/VLOOKUP($R426,Capa!$A:$AJ,BQ$5,0))))</f>
        <v/>
      </c>
      <c r="BR426" s="175"/>
      <c r="BS426" s="147"/>
    </row>
    <row r="427">
      <c r="G427" s="11"/>
      <c r="H427" s="8">
        <v>421.0</v>
      </c>
      <c r="I427" s="165" t="str">
        <f t="shared" si="6"/>
        <v>NEMO5</v>
      </c>
      <c r="J427" s="166" t="str">
        <f>(VLOOKUP($I427,Capa!$A:$B,2,0))</f>
        <v>Suzano Holding SA Preference Shares Class A</v>
      </c>
      <c r="K427" s="167" t="str">
        <f>VLOOKUP(left(I427,4),Setor!A:D,3,0)&amp;" | "&amp;VLOOKUP(left(I427,4),Setor!A:D,4,0)</f>
        <v>Materiais Básicos | Madeira e Papel</v>
      </c>
      <c r="L427" s="168">
        <f>(VLOOKUP($I427,Capa!$A:$F,6,0))</f>
        <v>0</v>
      </c>
      <c r="M427" s="168">
        <f t="shared" si="7"/>
        <v>0</v>
      </c>
      <c r="N427" s="11" t="str">
        <f>(VLOOKUP($I427,Capa!$A:$H,7,0))</f>
        <v/>
      </c>
      <c r="O427" s="169" t="str">
        <f>(VLOOKUP($I427,Capa!$A:$H,8,0))</f>
        <v/>
      </c>
      <c r="P427" s="11" t="str">
        <f>(VLOOKUP($I427,Capa!$A:$J,10,0))</f>
        <v/>
      </c>
      <c r="Q427" s="169" t="str">
        <f>(VLOOKUP($I427,Capa!$A:$K,11,0))</f>
        <v/>
      </c>
      <c r="R427" s="45" t="str">
        <f>'Dados StatusInvest'!A422</f>
        <v>NEXP3</v>
      </c>
      <c r="S427" s="170">
        <f t="shared" si="234"/>
        <v>1710.071</v>
      </c>
      <c r="T427" s="171">
        <f>VLOOKUP(R427,'Dados StatusInvest'!A:Z,26,0)</f>
        <v>1782.6</v>
      </c>
      <c r="U427" s="172">
        <f t="shared" ref="U427:AS427" si="430">IF(AT427="","", RANK(AT427,AT$7:AT$626,0)+RANK(AT427,AT$7:AT$626,0)/10000)</f>
        <v>443.0443</v>
      </c>
      <c r="V427" s="172">
        <f t="shared" si="430"/>
        <v>267.0267</v>
      </c>
      <c r="W427" s="172" t="str">
        <f t="shared" si="430"/>
        <v/>
      </c>
      <c r="X427" s="172" t="str">
        <f t="shared" si="430"/>
        <v/>
      </c>
      <c r="Y427" s="172" t="str">
        <f t="shared" si="430"/>
        <v/>
      </c>
      <c r="Z427" s="172" t="str">
        <f t="shared" si="430"/>
        <v/>
      </c>
      <c r="AA427" s="172" t="str">
        <f t="shared" si="430"/>
        <v/>
      </c>
      <c r="AB427" s="172" t="str">
        <f t="shared" si="430"/>
        <v/>
      </c>
      <c r="AC427" s="172" t="str">
        <f t="shared" si="430"/>
        <v/>
      </c>
      <c r="AD427" s="172" t="str">
        <f t="shared" si="430"/>
        <v/>
      </c>
      <c r="AE427" s="172" t="str">
        <f t="shared" si="430"/>
        <v/>
      </c>
      <c r="AF427" s="172" t="str">
        <f t="shared" si="430"/>
        <v/>
      </c>
      <c r="AG427" s="172" t="str">
        <f t="shared" si="430"/>
        <v/>
      </c>
      <c r="AH427" s="172" t="str">
        <f t="shared" si="430"/>
        <v/>
      </c>
      <c r="AI427" s="172" t="str">
        <f t="shared" si="430"/>
        <v/>
      </c>
      <c r="AJ427" s="172" t="str">
        <f t="shared" si="430"/>
        <v/>
      </c>
      <c r="AK427" s="172" t="str">
        <f t="shared" si="430"/>
        <v/>
      </c>
      <c r="AL427" s="172" t="str">
        <f t="shared" si="430"/>
        <v/>
      </c>
      <c r="AM427" s="172" t="str">
        <f t="shared" si="430"/>
        <v/>
      </c>
      <c r="AN427" s="172" t="str">
        <f t="shared" si="430"/>
        <v/>
      </c>
      <c r="AO427" s="172" t="str">
        <f t="shared" si="430"/>
        <v/>
      </c>
      <c r="AP427" s="172" t="str">
        <f t="shared" si="430"/>
        <v/>
      </c>
      <c r="AQ427" s="172" t="str">
        <f t="shared" si="430"/>
        <v/>
      </c>
      <c r="AR427" s="172" t="str">
        <f t="shared" si="430"/>
        <v/>
      </c>
      <c r="AS427" s="172" t="str">
        <f t="shared" si="430"/>
        <v/>
      </c>
      <c r="AT427" s="173">
        <f>IF(AT$6="","",IF(AT$3="Maior",iferror(VLOOKUP($R427,Capa!$A:$AJ,AT$5,0),0),IF(ISERROR(1/VLOOKUP($R427,Capa!$A:$AJ,AT$5,0)),0,1/VLOOKUP($R427,Capa!$A:$AJ,AT$5,0))))</f>
        <v>-1.818181818</v>
      </c>
      <c r="AU427" s="174">
        <f>IF(AU$6="","",IF(AU$3="Maior",iferror(VLOOKUP($R427,Capa!$A:$AJ,AU$5,0),0),IF(ISERROR(1/VLOOKUP($R427,Capa!$A:$AJ,AU$5,0)),0,1/VLOOKUP($R427,Capa!$A:$AJ,AU$5,0))))</f>
        <v>0</v>
      </c>
      <c r="AV427" s="174" t="str">
        <f>IF(AV$6="","",IF(AV$3="Maior",iferror(VLOOKUP($R427,Capa!$A:$AJ,AV$5,0),0),IF(ISERROR(1/VLOOKUP($R427,Capa!$A:$AJ,AV$5,0)),0,1/VLOOKUP($R427,Capa!$A:$AJ,AV$5,0))))</f>
        <v/>
      </c>
      <c r="AW427" s="174" t="str">
        <f>IF(AW$6="","",IF(AW$3="Maior",iferror(VLOOKUP($R427,Capa!$A:$AJ,AW$5,0),0),IF(ISERROR(1/VLOOKUP($R427,Capa!$A:$AJ,AW$5,0)),0,1/VLOOKUP($R427,Capa!$A:$AJ,AW$5,0))))</f>
        <v/>
      </c>
      <c r="AX427" s="174" t="str">
        <f>IF(AX$6="","",IF(AX$3="Maior",iferror(VLOOKUP($R427,Capa!$A:$AJ,AX$5,0),0),IF(ISERROR(1/VLOOKUP($R427,Capa!$A:$AJ,AX$5,0)),0,1/VLOOKUP($R427,Capa!$A:$AJ,AX$5,0))))</f>
        <v/>
      </c>
      <c r="AY427" s="174" t="str">
        <f>IF(AY$6="","",IF(AY$3="Maior",iferror(VLOOKUP($R427,Capa!$A:$AJ,AY$5,0),0),IF(ISERROR(1/VLOOKUP($R427,Capa!$A:$AJ,AY$5,0)),0,1/VLOOKUP($R427,Capa!$A:$AJ,AY$5,0))))</f>
        <v/>
      </c>
      <c r="AZ427" s="174" t="str">
        <f>IF(AZ$6="","",IF(AZ$3="Maior",iferror(VLOOKUP($R427,Capa!$A:$AJ,AZ$5,0),0),IF(ISERROR(1/VLOOKUP($R427,Capa!$A:$AJ,AZ$5,0)),0,1/VLOOKUP($R427,Capa!$A:$AJ,AZ$5,0))))</f>
        <v/>
      </c>
      <c r="BA427" s="174" t="str">
        <f>IF(BA$6="","",IF(BA$3="Maior",iferror(VLOOKUP($R427,Capa!$A:$AJ,BA$5,0),0),IF(ISERROR(1/VLOOKUP($R427,Capa!$A:$AJ,BA$5,0)),0,1/VLOOKUP($R427,Capa!$A:$AJ,BA$5,0))))</f>
        <v/>
      </c>
      <c r="BB427" s="174" t="str">
        <f>IF(BB$6="","",IF(BB$3="Maior",iferror(VLOOKUP($R427,Capa!$A:$AJ,BB$5,0),0),IF(ISERROR(1/VLOOKUP($R427,Capa!$A:$AJ,BB$5,0)),0,1/VLOOKUP($R427,Capa!$A:$AJ,BB$5,0))))</f>
        <v/>
      </c>
      <c r="BC427" s="174" t="str">
        <f>IF(BC$6="","",IF(BC$3="Maior",iferror(VLOOKUP($R427,Capa!$A:$AJ,BC$5,0),0),IF(ISERROR(1/VLOOKUP($R427,Capa!$A:$AJ,BC$5,0)),0,1/VLOOKUP($R427,Capa!$A:$AJ,BC$5,0))))</f>
        <v/>
      </c>
      <c r="BD427" s="174" t="str">
        <f>IF(BD$6="","",IF(BD$3="Maior",iferror(VLOOKUP($R427,Capa!$A:$AJ,BD$5,0),0),IF(ISERROR(1/VLOOKUP($R427,Capa!$A:$AJ,BD$5,0)),0,1/VLOOKUP($R427,Capa!$A:$AJ,BD$5,0))))</f>
        <v/>
      </c>
      <c r="BE427" s="174" t="str">
        <f>IF(BE$6="","",IF(BE$3="Maior",iferror(VLOOKUP($R427,Capa!$A:$AJ,BE$5,0),0),IF(ISERROR(1/VLOOKUP($R427,Capa!$A:$AJ,BE$5,0)),0,1/VLOOKUP($R427,Capa!$A:$AJ,BE$5,0))))</f>
        <v/>
      </c>
      <c r="BF427" s="174" t="str">
        <f>IF(BF$6="","",IF(BF$3="Maior",iferror(VLOOKUP($R427,Capa!$A:$AJ,BF$5,0),0),IF(ISERROR(1/VLOOKUP($R427,Capa!$A:$AJ,BF$5,0)),0,1/VLOOKUP($R427,Capa!$A:$AJ,BF$5,0))))</f>
        <v/>
      </c>
      <c r="BG427" s="174" t="str">
        <f>IF(BG$6="","",IF(BG$3="Maior",iferror(VLOOKUP($R427,Capa!$A:$AJ,BG$5,0),0),IF(ISERROR(1/VLOOKUP($R427,Capa!$A:$AJ,BG$5,0)),0,1/VLOOKUP($R427,Capa!$A:$AJ,BG$5,0))))</f>
        <v/>
      </c>
      <c r="BH427" s="174" t="str">
        <f>IF(BH$6="","",IF(BH$3="Maior",iferror(VLOOKUP($R427,Capa!$A:$AJ,BH$5,0),0),IF(ISERROR(1/VLOOKUP($R427,Capa!$A:$AJ,BH$5,0)),0,1/VLOOKUP($R427,Capa!$A:$AJ,BH$5,0))))</f>
        <v/>
      </c>
      <c r="BI427" s="174" t="str">
        <f>IF(BI$6="","",IF(BI$3="Maior",iferror(VLOOKUP($R427,Capa!$A:$AJ,BI$5,0),0),IF(ISERROR(1/VLOOKUP($R427,Capa!$A:$AJ,BI$5,0)),0,1/VLOOKUP($R427,Capa!$A:$AJ,BI$5,0))))</f>
        <v/>
      </c>
      <c r="BJ427" s="174" t="str">
        <f>IF(BJ$6="","",IF(BJ$3="Maior",iferror(VLOOKUP($R427,Capa!$A:$AJ,BJ$5,0),0),IF(ISERROR(1/VLOOKUP($R427,Capa!$A:$AJ,BJ$5,0)),0,1/VLOOKUP($R427,Capa!$A:$AJ,BJ$5,0))))</f>
        <v/>
      </c>
      <c r="BK427" s="174" t="str">
        <f>IF(BK$6="","",IF(BK$3="Maior",iferror(VLOOKUP($R427,Capa!$A:$AJ,BK$5,0),0),IF(ISERROR(1/VLOOKUP($R427,Capa!$A:$AJ,BK$5,0)),0,1/VLOOKUP($R427,Capa!$A:$AJ,BK$5,0))))</f>
        <v/>
      </c>
      <c r="BL427" s="174" t="str">
        <f>IF(BL$6="","",IF(BL$3="Maior",iferror(VLOOKUP($R427,Capa!$A:$AJ,BL$5,0),0),IF(ISERROR(1/VLOOKUP($R427,Capa!$A:$AJ,BL$5,0)),0,1/VLOOKUP($R427,Capa!$A:$AJ,BL$5,0))))</f>
        <v/>
      </c>
      <c r="BM427" s="174" t="str">
        <f>IF(BM$6="","",IF(BM$3="Maior",iferror(VLOOKUP($R427,Capa!$A:$AJ,BM$5,0),0),IF(ISERROR(1/VLOOKUP($R427,Capa!$A:$AJ,BM$5,0)),0,1/VLOOKUP($R427,Capa!$A:$AJ,BM$5,0))))</f>
        <v/>
      </c>
      <c r="BN427" s="174" t="str">
        <f>IF(BN$6="","",IF(BN$3="Maior",iferror(VLOOKUP($R427,Capa!$A:$AJ,BN$5,0),0),IF(ISERROR(1/VLOOKUP($R427,Capa!$A:$AJ,BN$5,0)),0,1/VLOOKUP($R427,Capa!$A:$AJ,BN$5,0))))</f>
        <v/>
      </c>
      <c r="BO427" s="174" t="str">
        <f>IF(BO$6="","",IF(BO$3="Maior",iferror(VLOOKUP($R427,Capa!$A:$AJ,BO$5,0),0),IF(ISERROR(1/VLOOKUP($R427,Capa!$A:$AJ,BO$5,0)),0,1/VLOOKUP($R427,Capa!$A:$AJ,BO$5,0))))</f>
        <v/>
      </c>
      <c r="BP427" s="174" t="str">
        <f>IF(BP$6="","",IF(BP$3="Maior",iferror(VLOOKUP($R427,Capa!$A:$AJ,BP$5,0),0),IF(ISERROR(1/VLOOKUP($R427,Capa!$A:$AJ,BP$5,0)),0,1/VLOOKUP($R427,Capa!$A:$AJ,BP$5,0))))</f>
        <v/>
      </c>
      <c r="BQ427" s="174" t="str">
        <f>IF(BQ$6="","",IF(BQ$3="Maior",iferror(VLOOKUP($R427,Capa!$A:$AJ,BQ$5,0),0),IF(ISERROR(1/VLOOKUP($R427,Capa!$A:$AJ,BQ$5,0)),0,1/VLOOKUP($R427,Capa!$A:$AJ,BQ$5,0))))</f>
        <v/>
      </c>
      <c r="BR427" s="175"/>
      <c r="BS427" s="147"/>
    </row>
    <row r="428">
      <c r="G428" s="11"/>
      <c r="H428" s="8">
        <v>422.0</v>
      </c>
      <c r="I428" s="165" t="str">
        <f t="shared" si="6"/>
        <v>TECN3</v>
      </c>
      <c r="J428" s="166" t="str">
        <f>(VLOOKUP($I428,Capa!$A:$B,2,0))</f>
        <v>Technos SA</v>
      </c>
      <c r="K428" s="167" t="str">
        <f>VLOOKUP(left(I428,4),Setor!A:D,3,0)&amp;" | "&amp;VLOOKUP(left(I428,4),Setor!A:D,4,0)</f>
        <v>Consumo Cíclico | Tecidos, Vestuário e Calçados</v>
      </c>
      <c r="L428" s="168">
        <f>(VLOOKUP($I428,Capa!$A:$F,6,0))</f>
        <v>8.95</v>
      </c>
      <c r="M428" s="168">
        <f t="shared" si="7"/>
        <v>466551.2</v>
      </c>
      <c r="N428" s="177" t="str">
        <f>IFERROR(__xludf.DUMMYFUNCTION("(VLOOKUP($I428,Capa!$A:$H,7,0))"),"")</f>
        <v/>
      </c>
      <c r="O428" s="169">
        <f>(VLOOKUP($I428,Capa!$A:$H,8,0))</f>
        <v>0.2260273973</v>
      </c>
      <c r="P428" s="169" t="str">
        <f>IFERROR(__xludf.DUMMYFUNCTION("(VLOOKUP($I428,Capa!$A:$J,10,0))"),"")</f>
        <v/>
      </c>
      <c r="Q428" s="169">
        <f>(VLOOKUP($I428,Capa!$A:$K,11,0))</f>
        <v>0.5646853147</v>
      </c>
      <c r="R428" s="45" t="str">
        <f>'Dados StatusInvest'!A423</f>
        <v>NGRD3</v>
      </c>
      <c r="S428" s="170">
        <f t="shared" si="234"/>
        <v>1688.0688</v>
      </c>
      <c r="T428" s="171">
        <f>VLOOKUP(R428,'Dados StatusInvest'!A:Z,26,0)</f>
        <v>203637.4</v>
      </c>
      <c r="U428" s="172">
        <f t="shared" ref="U428:AS428" si="431">IF(AT428="","", RANK(AT428,AT$7:AT$626,0)+RANK(AT428,AT$7:AT$626,0)/10000)</f>
        <v>421.0421</v>
      </c>
      <c r="V428" s="172">
        <f t="shared" si="431"/>
        <v>267.0267</v>
      </c>
      <c r="W428" s="172" t="str">
        <f t="shared" si="431"/>
        <v/>
      </c>
      <c r="X428" s="172" t="str">
        <f t="shared" si="431"/>
        <v/>
      </c>
      <c r="Y428" s="172" t="str">
        <f t="shared" si="431"/>
        <v/>
      </c>
      <c r="Z428" s="172" t="str">
        <f t="shared" si="431"/>
        <v/>
      </c>
      <c r="AA428" s="172" t="str">
        <f t="shared" si="431"/>
        <v/>
      </c>
      <c r="AB428" s="172" t="str">
        <f t="shared" si="431"/>
        <v/>
      </c>
      <c r="AC428" s="172" t="str">
        <f t="shared" si="431"/>
        <v/>
      </c>
      <c r="AD428" s="172" t="str">
        <f t="shared" si="431"/>
        <v/>
      </c>
      <c r="AE428" s="172" t="str">
        <f t="shared" si="431"/>
        <v/>
      </c>
      <c r="AF428" s="172" t="str">
        <f t="shared" si="431"/>
        <v/>
      </c>
      <c r="AG428" s="172" t="str">
        <f t="shared" si="431"/>
        <v/>
      </c>
      <c r="AH428" s="172" t="str">
        <f t="shared" si="431"/>
        <v/>
      </c>
      <c r="AI428" s="172" t="str">
        <f t="shared" si="431"/>
        <v/>
      </c>
      <c r="AJ428" s="172" t="str">
        <f t="shared" si="431"/>
        <v/>
      </c>
      <c r="AK428" s="172" t="str">
        <f t="shared" si="431"/>
        <v/>
      </c>
      <c r="AL428" s="172" t="str">
        <f t="shared" si="431"/>
        <v/>
      </c>
      <c r="AM428" s="172" t="str">
        <f t="shared" si="431"/>
        <v/>
      </c>
      <c r="AN428" s="172" t="str">
        <f t="shared" si="431"/>
        <v/>
      </c>
      <c r="AO428" s="172" t="str">
        <f t="shared" si="431"/>
        <v/>
      </c>
      <c r="AP428" s="172" t="str">
        <f t="shared" si="431"/>
        <v/>
      </c>
      <c r="AQ428" s="172" t="str">
        <f t="shared" si="431"/>
        <v/>
      </c>
      <c r="AR428" s="172" t="str">
        <f t="shared" si="431"/>
        <v/>
      </c>
      <c r="AS428" s="172" t="str">
        <f t="shared" si="431"/>
        <v/>
      </c>
      <c r="AT428" s="173">
        <f>IF(AT$6="","",IF(AT$3="Maior",iferror(VLOOKUP($R428,Capa!$A:$AJ,AT$5,0),0),IF(ISERROR(1/VLOOKUP($R428,Capa!$A:$AJ,AT$5,0)),0,1/VLOOKUP($R428,Capa!$A:$AJ,AT$5,0))))</f>
        <v>-1.515151515</v>
      </c>
      <c r="AU428" s="174">
        <f>IF(AU$6="","",IF(AU$3="Maior",iferror(VLOOKUP($R428,Capa!$A:$AJ,AU$5,0),0),IF(ISERROR(1/VLOOKUP($R428,Capa!$A:$AJ,AU$5,0)),0,1/VLOOKUP($R428,Capa!$A:$AJ,AU$5,0))))</f>
        <v>0</v>
      </c>
      <c r="AV428" s="174" t="str">
        <f>IF(AV$6="","",IF(AV$3="Maior",iferror(VLOOKUP($R428,Capa!$A:$AJ,AV$5,0),0),IF(ISERROR(1/VLOOKUP($R428,Capa!$A:$AJ,AV$5,0)),0,1/VLOOKUP($R428,Capa!$A:$AJ,AV$5,0))))</f>
        <v/>
      </c>
      <c r="AW428" s="174" t="str">
        <f>IF(AW$6="","",IF(AW$3="Maior",iferror(VLOOKUP($R428,Capa!$A:$AJ,AW$5,0),0),IF(ISERROR(1/VLOOKUP($R428,Capa!$A:$AJ,AW$5,0)),0,1/VLOOKUP($R428,Capa!$A:$AJ,AW$5,0))))</f>
        <v/>
      </c>
      <c r="AX428" s="174" t="str">
        <f>IF(AX$6="","",IF(AX$3="Maior",iferror(VLOOKUP($R428,Capa!$A:$AJ,AX$5,0),0),IF(ISERROR(1/VLOOKUP($R428,Capa!$A:$AJ,AX$5,0)),0,1/VLOOKUP($R428,Capa!$A:$AJ,AX$5,0))))</f>
        <v/>
      </c>
      <c r="AY428" s="174" t="str">
        <f>IF(AY$6="","",IF(AY$3="Maior",iferror(VLOOKUP($R428,Capa!$A:$AJ,AY$5,0),0),IF(ISERROR(1/VLOOKUP($R428,Capa!$A:$AJ,AY$5,0)),0,1/VLOOKUP($R428,Capa!$A:$AJ,AY$5,0))))</f>
        <v/>
      </c>
      <c r="AZ428" s="174" t="str">
        <f>IF(AZ$6="","",IF(AZ$3="Maior",iferror(VLOOKUP($R428,Capa!$A:$AJ,AZ$5,0),0),IF(ISERROR(1/VLOOKUP($R428,Capa!$A:$AJ,AZ$5,0)),0,1/VLOOKUP($R428,Capa!$A:$AJ,AZ$5,0))))</f>
        <v/>
      </c>
      <c r="BA428" s="174" t="str">
        <f>IF(BA$6="","",IF(BA$3="Maior",iferror(VLOOKUP($R428,Capa!$A:$AJ,BA$5,0),0),IF(ISERROR(1/VLOOKUP($R428,Capa!$A:$AJ,BA$5,0)),0,1/VLOOKUP($R428,Capa!$A:$AJ,BA$5,0))))</f>
        <v/>
      </c>
      <c r="BB428" s="174" t="str">
        <f>IF(BB$6="","",IF(BB$3="Maior",iferror(VLOOKUP($R428,Capa!$A:$AJ,BB$5,0),0),IF(ISERROR(1/VLOOKUP($R428,Capa!$A:$AJ,BB$5,0)),0,1/VLOOKUP($R428,Capa!$A:$AJ,BB$5,0))))</f>
        <v/>
      </c>
      <c r="BC428" s="174" t="str">
        <f>IF(BC$6="","",IF(BC$3="Maior",iferror(VLOOKUP($R428,Capa!$A:$AJ,BC$5,0),0),IF(ISERROR(1/VLOOKUP($R428,Capa!$A:$AJ,BC$5,0)),0,1/VLOOKUP($R428,Capa!$A:$AJ,BC$5,0))))</f>
        <v/>
      </c>
      <c r="BD428" s="174" t="str">
        <f>IF(BD$6="","",IF(BD$3="Maior",iferror(VLOOKUP($R428,Capa!$A:$AJ,BD$5,0),0),IF(ISERROR(1/VLOOKUP($R428,Capa!$A:$AJ,BD$5,0)),0,1/VLOOKUP($R428,Capa!$A:$AJ,BD$5,0))))</f>
        <v/>
      </c>
      <c r="BE428" s="174" t="str">
        <f>IF(BE$6="","",IF(BE$3="Maior",iferror(VLOOKUP($R428,Capa!$A:$AJ,BE$5,0),0),IF(ISERROR(1/VLOOKUP($R428,Capa!$A:$AJ,BE$5,0)),0,1/VLOOKUP($R428,Capa!$A:$AJ,BE$5,0))))</f>
        <v/>
      </c>
      <c r="BF428" s="174" t="str">
        <f>IF(BF$6="","",IF(BF$3="Maior",iferror(VLOOKUP($R428,Capa!$A:$AJ,BF$5,0),0),IF(ISERROR(1/VLOOKUP($R428,Capa!$A:$AJ,BF$5,0)),0,1/VLOOKUP($R428,Capa!$A:$AJ,BF$5,0))))</f>
        <v/>
      </c>
      <c r="BG428" s="174" t="str">
        <f>IF(BG$6="","",IF(BG$3="Maior",iferror(VLOOKUP($R428,Capa!$A:$AJ,BG$5,0),0),IF(ISERROR(1/VLOOKUP($R428,Capa!$A:$AJ,BG$5,0)),0,1/VLOOKUP($R428,Capa!$A:$AJ,BG$5,0))))</f>
        <v/>
      </c>
      <c r="BH428" s="174" t="str">
        <f>IF(BH$6="","",IF(BH$3="Maior",iferror(VLOOKUP($R428,Capa!$A:$AJ,BH$5,0),0),IF(ISERROR(1/VLOOKUP($R428,Capa!$A:$AJ,BH$5,0)),0,1/VLOOKUP($R428,Capa!$A:$AJ,BH$5,0))))</f>
        <v/>
      </c>
      <c r="BI428" s="174" t="str">
        <f>IF(BI$6="","",IF(BI$3="Maior",iferror(VLOOKUP($R428,Capa!$A:$AJ,BI$5,0),0),IF(ISERROR(1/VLOOKUP($R428,Capa!$A:$AJ,BI$5,0)),0,1/VLOOKUP($R428,Capa!$A:$AJ,BI$5,0))))</f>
        <v/>
      </c>
      <c r="BJ428" s="174" t="str">
        <f>IF(BJ$6="","",IF(BJ$3="Maior",iferror(VLOOKUP($R428,Capa!$A:$AJ,BJ$5,0),0),IF(ISERROR(1/VLOOKUP($R428,Capa!$A:$AJ,BJ$5,0)),0,1/VLOOKUP($R428,Capa!$A:$AJ,BJ$5,0))))</f>
        <v/>
      </c>
      <c r="BK428" s="174" t="str">
        <f>IF(BK$6="","",IF(BK$3="Maior",iferror(VLOOKUP($R428,Capa!$A:$AJ,BK$5,0),0),IF(ISERROR(1/VLOOKUP($R428,Capa!$A:$AJ,BK$5,0)),0,1/VLOOKUP($R428,Capa!$A:$AJ,BK$5,0))))</f>
        <v/>
      </c>
      <c r="BL428" s="174" t="str">
        <f>IF(BL$6="","",IF(BL$3="Maior",iferror(VLOOKUP($R428,Capa!$A:$AJ,BL$5,0),0),IF(ISERROR(1/VLOOKUP($R428,Capa!$A:$AJ,BL$5,0)),0,1/VLOOKUP($R428,Capa!$A:$AJ,BL$5,0))))</f>
        <v/>
      </c>
      <c r="BM428" s="174" t="str">
        <f>IF(BM$6="","",IF(BM$3="Maior",iferror(VLOOKUP($R428,Capa!$A:$AJ,BM$5,0),0),IF(ISERROR(1/VLOOKUP($R428,Capa!$A:$AJ,BM$5,0)),0,1/VLOOKUP($R428,Capa!$A:$AJ,BM$5,0))))</f>
        <v/>
      </c>
      <c r="BN428" s="174" t="str">
        <f>IF(BN$6="","",IF(BN$3="Maior",iferror(VLOOKUP($R428,Capa!$A:$AJ,BN$5,0),0),IF(ISERROR(1/VLOOKUP($R428,Capa!$A:$AJ,BN$5,0)),0,1/VLOOKUP($R428,Capa!$A:$AJ,BN$5,0))))</f>
        <v/>
      </c>
      <c r="BO428" s="174" t="str">
        <f>IF(BO$6="","",IF(BO$3="Maior",iferror(VLOOKUP($R428,Capa!$A:$AJ,BO$5,0),0),IF(ISERROR(1/VLOOKUP($R428,Capa!$A:$AJ,BO$5,0)),0,1/VLOOKUP($R428,Capa!$A:$AJ,BO$5,0))))</f>
        <v/>
      </c>
      <c r="BP428" s="174" t="str">
        <f>IF(BP$6="","",IF(BP$3="Maior",iferror(VLOOKUP($R428,Capa!$A:$AJ,BP$5,0),0),IF(ISERROR(1/VLOOKUP($R428,Capa!$A:$AJ,BP$5,0)),0,1/VLOOKUP($R428,Capa!$A:$AJ,BP$5,0))))</f>
        <v/>
      </c>
      <c r="BQ428" s="174" t="str">
        <f>IF(BQ$6="","",IF(BQ$3="Maior",iferror(VLOOKUP($R428,Capa!$A:$AJ,BQ$5,0),0),IF(ISERROR(1/VLOOKUP($R428,Capa!$A:$AJ,BQ$5,0)),0,1/VLOOKUP($R428,Capa!$A:$AJ,BQ$5,0))))</f>
        <v/>
      </c>
      <c r="BR428" s="175"/>
      <c r="BS428" s="147"/>
    </row>
    <row r="429">
      <c r="G429" s="11"/>
      <c r="H429" s="8">
        <v>423.0</v>
      </c>
      <c r="I429" s="165" t="str">
        <f t="shared" si="6"/>
        <v>MRSA5B</v>
      </c>
      <c r="J429" s="166" t="str">
        <f>(VLOOKUP($I429,Capa!$A:$B,2,0))</f>
        <v>MRS Logística</v>
      </c>
      <c r="K429" s="167" t="str">
        <f>VLOOKUP(left(I429,4),Setor!A:D,3,0)&amp;" | "&amp;VLOOKUP(left(I429,4),Setor!A:D,4,0)</f>
        <v>Bens Industriais | Transporte</v>
      </c>
      <c r="L429" s="168">
        <f>(VLOOKUP($I429,Capa!$A:$F,6,0))</f>
        <v>40</v>
      </c>
      <c r="M429" s="168">
        <f t="shared" si="7"/>
        <v>1934.67</v>
      </c>
      <c r="N429" s="11" t="str">
        <f>IFERROR(__xludf.DUMMYFUNCTION("(VLOOKUP($I429,Capa!$A:$H,7,0))"),"")</f>
        <v/>
      </c>
      <c r="O429" s="169" t="str">
        <f>(VLOOKUP($I429,Capa!$A:$H,8,0))</f>
        <v/>
      </c>
      <c r="P429" s="11" t="str">
        <f>IFERROR(__xludf.DUMMYFUNCTION("(VLOOKUP($I429,Capa!$A:$J,10,0))"),"")</f>
        <v/>
      </c>
      <c r="Q429" s="169" t="str">
        <f>(VLOOKUP($I429,Capa!$A:$K,11,0))</f>
        <v/>
      </c>
      <c r="R429" s="45" t="str">
        <f>'Dados StatusInvest'!A424</f>
        <v>NORD3</v>
      </c>
      <c r="S429" s="170">
        <f t="shared" si="234"/>
        <v>1566.0566</v>
      </c>
      <c r="T429" s="171">
        <f>VLOOKUP(R429,'Dados StatusInvest'!A:Z,26,0)</f>
        <v>1875.57</v>
      </c>
      <c r="U429" s="172">
        <f t="shared" ref="U429:AS429" si="432">IF(AT429="","", RANK(AT429,AT$7:AT$626,0)+RANK(AT429,AT$7:AT$626,0)/10000)</f>
        <v>299.0299</v>
      </c>
      <c r="V429" s="172">
        <f t="shared" si="432"/>
        <v>267.0267</v>
      </c>
      <c r="W429" s="172" t="str">
        <f t="shared" si="432"/>
        <v/>
      </c>
      <c r="X429" s="172" t="str">
        <f t="shared" si="432"/>
        <v/>
      </c>
      <c r="Y429" s="172" t="str">
        <f t="shared" si="432"/>
        <v/>
      </c>
      <c r="Z429" s="172" t="str">
        <f t="shared" si="432"/>
        <v/>
      </c>
      <c r="AA429" s="172" t="str">
        <f t="shared" si="432"/>
        <v/>
      </c>
      <c r="AB429" s="172" t="str">
        <f t="shared" si="432"/>
        <v/>
      </c>
      <c r="AC429" s="172" t="str">
        <f t="shared" si="432"/>
        <v/>
      </c>
      <c r="AD429" s="172" t="str">
        <f t="shared" si="432"/>
        <v/>
      </c>
      <c r="AE429" s="172" t="str">
        <f t="shared" si="432"/>
        <v/>
      </c>
      <c r="AF429" s="172" t="str">
        <f t="shared" si="432"/>
        <v/>
      </c>
      <c r="AG429" s="172" t="str">
        <f t="shared" si="432"/>
        <v/>
      </c>
      <c r="AH429" s="172" t="str">
        <f t="shared" si="432"/>
        <v/>
      </c>
      <c r="AI429" s="172" t="str">
        <f t="shared" si="432"/>
        <v/>
      </c>
      <c r="AJ429" s="172" t="str">
        <f t="shared" si="432"/>
        <v/>
      </c>
      <c r="AK429" s="172" t="str">
        <f t="shared" si="432"/>
        <v/>
      </c>
      <c r="AL429" s="172" t="str">
        <f t="shared" si="432"/>
        <v/>
      </c>
      <c r="AM429" s="172" t="str">
        <f t="shared" si="432"/>
        <v/>
      </c>
      <c r="AN429" s="172" t="str">
        <f t="shared" si="432"/>
        <v/>
      </c>
      <c r="AO429" s="172" t="str">
        <f t="shared" si="432"/>
        <v/>
      </c>
      <c r="AP429" s="172" t="str">
        <f t="shared" si="432"/>
        <v/>
      </c>
      <c r="AQ429" s="172" t="str">
        <f t="shared" si="432"/>
        <v/>
      </c>
      <c r="AR429" s="172" t="str">
        <f t="shared" si="432"/>
        <v/>
      </c>
      <c r="AS429" s="172" t="str">
        <f t="shared" si="432"/>
        <v/>
      </c>
      <c r="AT429" s="173">
        <f>IF(AT$6="","",IF(AT$3="Maior",iferror(VLOOKUP($R429,Capa!$A:$AJ,AT$5,0),0),IF(ISERROR(1/VLOOKUP($R429,Capa!$A:$AJ,AT$5,0)),0,1/VLOOKUP($R429,Capa!$A:$AJ,AT$5,0))))</f>
        <v>-0.6493506494</v>
      </c>
      <c r="AU429" s="174">
        <f>IF(AU$6="","",IF(AU$3="Maior",iferror(VLOOKUP($R429,Capa!$A:$AJ,AU$5,0),0),IF(ISERROR(1/VLOOKUP($R429,Capa!$A:$AJ,AU$5,0)),0,1/VLOOKUP($R429,Capa!$A:$AJ,AU$5,0))))</f>
        <v>0</v>
      </c>
      <c r="AV429" s="174" t="str">
        <f>IF(AV$6="","",IF(AV$3="Maior",iferror(VLOOKUP($R429,Capa!$A:$AJ,AV$5,0),0),IF(ISERROR(1/VLOOKUP($R429,Capa!$A:$AJ,AV$5,0)),0,1/VLOOKUP($R429,Capa!$A:$AJ,AV$5,0))))</f>
        <v/>
      </c>
      <c r="AW429" s="174" t="str">
        <f>IF(AW$6="","",IF(AW$3="Maior",iferror(VLOOKUP($R429,Capa!$A:$AJ,AW$5,0),0),IF(ISERROR(1/VLOOKUP($R429,Capa!$A:$AJ,AW$5,0)),0,1/VLOOKUP($R429,Capa!$A:$AJ,AW$5,0))))</f>
        <v/>
      </c>
      <c r="AX429" s="174" t="str">
        <f>IF(AX$6="","",IF(AX$3="Maior",iferror(VLOOKUP($R429,Capa!$A:$AJ,AX$5,0),0),IF(ISERROR(1/VLOOKUP($R429,Capa!$A:$AJ,AX$5,0)),0,1/VLOOKUP($R429,Capa!$A:$AJ,AX$5,0))))</f>
        <v/>
      </c>
      <c r="AY429" s="174" t="str">
        <f>IF(AY$6="","",IF(AY$3="Maior",iferror(VLOOKUP($R429,Capa!$A:$AJ,AY$5,0),0),IF(ISERROR(1/VLOOKUP($R429,Capa!$A:$AJ,AY$5,0)),0,1/VLOOKUP($R429,Capa!$A:$AJ,AY$5,0))))</f>
        <v/>
      </c>
      <c r="AZ429" s="174" t="str">
        <f>IF(AZ$6="","",IF(AZ$3="Maior",iferror(VLOOKUP($R429,Capa!$A:$AJ,AZ$5,0),0),IF(ISERROR(1/VLOOKUP($R429,Capa!$A:$AJ,AZ$5,0)),0,1/VLOOKUP($R429,Capa!$A:$AJ,AZ$5,0))))</f>
        <v/>
      </c>
      <c r="BA429" s="174" t="str">
        <f>IF(BA$6="","",IF(BA$3="Maior",iferror(VLOOKUP($R429,Capa!$A:$AJ,BA$5,0),0),IF(ISERROR(1/VLOOKUP($R429,Capa!$A:$AJ,BA$5,0)),0,1/VLOOKUP($R429,Capa!$A:$AJ,BA$5,0))))</f>
        <v/>
      </c>
      <c r="BB429" s="174" t="str">
        <f>IF(BB$6="","",IF(BB$3="Maior",iferror(VLOOKUP($R429,Capa!$A:$AJ,BB$5,0),0),IF(ISERROR(1/VLOOKUP($R429,Capa!$A:$AJ,BB$5,0)),0,1/VLOOKUP($R429,Capa!$A:$AJ,BB$5,0))))</f>
        <v/>
      </c>
      <c r="BC429" s="174" t="str">
        <f>IF(BC$6="","",IF(BC$3="Maior",iferror(VLOOKUP($R429,Capa!$A:$AJ,BC$5,0),0),IF(ISERROR(1/VLOOKUP($R429,Capa!$A:$AJ,BC$5,0)),0,1/VLOOKUP($R429,Capa!$A:$AJ,BC$5,0))))</f>
        <v/>
      </c>
      <c r="BD429" s="174" t="str">
        <f>IF(BD$6="","",IF(BD$3="Maior",iferror(VLOOKUP($R429,Capa!$A:$AJ,BD$5,0),0),IF(ISERROR(1/VLOOKUP($R429,Capa!$A:$AJ,BD$5,0)),0,1/VLOOKUP($R429,Capa!$A:$AJ,BD$5,0))))</f>
        <v/>
      </c>
      <c r="BE429" s="174" t="str">
        <f>IF(BE$6="","",IF(BE$3="Maior",iferror(VLOOKUP($R429,Capa!$A:$AJ,BE$5,0),0),IF(ISERROR(1/VLOOKUP($R429,Capa!$A:$AJ,BE$5,0)),0,1/VLOOKUP($R429,Capa!$A:$AJ,BE$5,0))))</f>
        <v/>
      </c>
      <c r="BF429" s="174" t="str">
        <f>IF(BF$6="","",IF(BF$3="Maior",iferror(VLOOKUP($R429,Capa!$A:$AJ,BF$5,0),0),IF(ISERROR(1/VLOOKUP($R429,Capa!$A:$AJ,BF$5,0)),0,1/VLOOKUP($R429,Capa!$A:$AJ,BF$5,0))))</f>
        <v/>
      </c>
      <c r="BG429" s="174" t="str">
        <f>IF(BG$6="","",IF(BG$3="Maior",iferror(VLOOKUP($R429,Capa!$A:$AJ,BG$5,0),0),IF(ISERROR(1/VLOOKUP($R429,Capa!$A:$AJ,BG$5,0)),0,1/VLOOKUP($R429,Capa!$A:$AJ,BG$5,0))))</f>
        <v/>
      </c>
      <c r="BH429" s="174" t="str">
        <f>IF(BH$6="","",IF(BH$3="Maior",iferror(VLOOKUP($R429,Capa!$A:$AJ,BH$5,0),0),IF(ISERROR(1/VLOOKUP($R429,Capa!$A:$AJ,BH$5,0)),0,1/VLOOKUP($R429,Capa!$A:$AJ,BH$5,0))))</f>
        <v/>
      </c>
      <c r="BI429" s="174" t="str">
        <f>IF(BI$6="","",IF(BI$3="Maior",iferror(VLOOKUP($R429,Capa!$A:$AJ,BI$5,0),0),IF(ISERROR(1/VLOOKUP($R429,Capa!$A:$AJ,BI$5,0)),0,1/VLOOKUP($R429,Capa!$A:$AJ,BI$5,0))))</f>
        <v/>
      </c>
      <c r="BJ429" s="174" t="str">
        <f>IF(BJ$6="","",IF(BJ$3="Maior",iferror(VLOOKUP($R429,Capa!$A:$AJ,BJ$5,0),0),IF(ISERROR(1/VLOOKUP($R429,Capa!$A:$AJ,BJ$5,0)),0,1/VLOOKUP($R429,Capa!$A:$AJ,BJ$5,0))))</f>
        <v/>
      </c>
      <c r="BK429" s="174" t="str">
        <f>IF(BK$6="","",IF(BK$3="Maior",iferror(VLOOKUP($R429,Capa!$A:$AJ,BK$5,0),0),IF(ISERROR(1/VLOOKUP($R429,Capa!$A:$AJ,BK$5,0)),0,1/VLOOKUP($R429,Capa!$A:$AJ,BK$5,0))))</f>
        <v/>
      </c>
      <c r="BL429" s="174" t="str">
        <f>IF(BL$6="","",IF(BL$3="Maior",iferror(VLOOKUP($R429,Capa!$A:$AJ,BL$5,0),0),IF(ISERROR(1/VLOOKUP($R429,Capa!$A:$AJ,BL$5,0)),0,1/VLOOKUP($R429,Capa!$A:$AJ,BL$5,0))))</f>
        <v/>
      </c>
      <c r="BM429" s="174" t="str">
        <f>IF(BM$6="","",IF(BM$3="Maior",iferror(VLOOKUP($R429,Capa!$A:$AJ,BM$5,0),0),IF(ISERROR(1/VLOOKUP($R429,Capa!$A:$AJ,BM$5,0)),0,1/VLOOKUP($R429,Capa!$A:$AJ,BM$5,0))))</f>
        <v/>
      </c>
      <c r="BN429" s="174" t="str">
        <f>IF(BN$6="","",IF(BN$3="Maior",iferror(VLOOKUP($R429,Capa!$A:$AJ,BN$5,0),0),IF(ISERROR(1/VLOOKUP($R429,Capa!$A:$AJ,BN$5,0)),0,1/VLOOKUP($R429,Capa!$A:$AJ,BN$5,0))))</f>
        <v/>
      </c>
      <c r="BO429" s="174" t="str">
        <f>IF(BO$6="","",IF(BO$3="Maior",iferror(VLOOKUP($R429,Capa!$A:$AJ,BO$5,0),0),IF(ISERROR(1/VLOOKUP($R429,Capa!$A:$AJ,BO$5,0)),0,1/VLOOKUP($R429,Capa!$A:$AJ,BO$5,0))))</f>
        <v/>
      </c>
      <c r="BP429" s="174" t="str">
        <f>IF(BP$6="","",IF(BP$3="Maior",iferror(VLOOKUP($R429,Capa!$A:$AJ,BP$5,0),0),IF(ISERROR(1/VLOOKUP($R429,Capa!$A:$AJ,BP$5,0)),0,1/VLOOKUP($R429,Capa!$A:$AJ,BP$5,0))))</f>
        <v/>
      </c>
      <c r="BQ429" s="174" t="str">
        <f>IF(BQ$6="","",IF(BQ$3="Maior",iferror(VLOOKUP($R429,Capa!$A:$AJ,BQ$5,0),0),IF(ISERROR(1/VLOOKUP($R429,Capa!$A:$AJ,BQ$5,0)),0,1/VLOOKUP($R429,Capa!$A:$AJ,BQ$5,0))))</f>
        <v/>
      </c>
      <c r="BR429" s="175"/>
      <c r="BS429" s="147"/>
    </row>
    <row r="430">
      <c r="G430" s="11"/>
      <c r="H430" s="8">
        <v>424.0</v>
      </c>
      <c r="I430" s="165" t="str">
        <f t="shared" si="6"/>
        <v>RLOG3</v>
      </c>
      <c r="J430" s="166" t="str">
        <f>(VLOOKUP($I430,Capa!$A:$B,2,0))</f>
        <v/>
      </c>
      <c r="K430" s="167" t="str">
        <f>VLOOKUP(left(I430,4),Setor!A:D,3,0)&amp;" | "&amp;VLOOKUP(left(I430,4),Setor!A:D,4,0)</f>
        <v>Bens Industriais | Transporte</v>
      </c>
      <c r="L430" s="168" t="str">
        <f>(VLOOKUP($I430,Capa!$A:$F,6,0))</f>
        <v/>
      </c>
      <c r="M430" s="168">
        <f t="shared" si="7"/>
        <v>0</v>
      </c>
      <c r="N430" s="11" t="str">
        <f>(VLOOKUP($I430,Capa!$A:$H,7,0))</f>
        <v/>
      </c>
      <c r="O430" s="169" t="str">
        <f>(VLOOKUP($I430,Capa!$A:$H,8,0))</f>
        <v/>
      </c>
      <c r="P430" s="11" t="str">
        <f>(VLOOKUP($I430,Capa!$A:$J,10,0))</f>
        <v/>
      </c>
      <c r="Q430" s="169" t="str">
        <f>(VLOOKUP($I430,Capa!$A:$K,11,0))</f>
        <v/>
      </c>
      <c r="R430" s="45" t="str">
        <f>'Dados StatusInvest'!A425</f>
        <v>NRTQ3</v>
      </c>
      <c r="S430" s="170">
        <f t="shared" si="234"/>
        <v>1630.063</v>
      </c>
      <c r="T430" s="171">
        <f>VLOOKUP(R430,'Dados StatusInvest'!A:Z,26,0)</f>
        <v>0</v>
      </c>
      <c r="U430" s="172">
        <f t="shared" ref="U430:AS430" si="433">IF(AT430="","", RANK(AT430,AT$7:AT$626,0)+RANK(AT430,AT$7:AT$626,0)/10000)</f>
        <v>51.0051</v>
      </c>
      <c r="V430" s="172">
        <f t="shared" si="433"/>
        <v>579.0579</v>
      </c>
      <c r="W430" s="172" t="str">
        <f t="shared" si="433"/>
        <v/>
      </c>
      <c r="X430" s="172" t="str">
        <f t="shared" si="433"/>
        <v/>
      </c>
      <c r="Y430" s="172" t="str">
        <f t="shared" si="433"/>
        <v/>
      </c>
      <c r="Z430" s="172" t="str">
        <f t="shared" si="433"/>
        <v/>
      </c>
      <c r="AA430" s="172" t="str">
        <f t="shared" si="433"/>
        <v/>
      </c>
      <c r="AB430" s="172" t="str">
        <f t="shared" si="433"/>
        <v/>
      </c>
      <c r="AC430" s="172" t="str">
        <f t="shared" si="433"/>
        <v/>
      </c>
      <c r="AD430" s="172" t="str">
        <f t="shared" si="433"/>
        <v/>
      </c>
      <c r="AE430" s="172" t="str">
        <f t="shared" si="433"/>
        <v/>
      </c>
      <c r="AF430" s="172" t="str">
        <f t="shared" si="433"/>
        <v/>
      </c>
      <c r="AG430" s="172" t="str">
        <f t="shared" si="433"/>
        <v/>
      </c>
      <c r="AH430" s="172" t="str">
        <f t="shared" si="433"/>
        <v/>
      </c>
      <c r="AI430" s="172" t="str">
        <f t="shared" si="433"/>
        <v/>
      </c>
      <c r="AJ430" s="172" t="str">
        <f t="shared" si="433"/>
        <v/>
      </c>
      <c r="AK430" s="172" t="str">
        <f t="shared" si="433"/>
        <v/>
      </c>
      <c r="AL430" s="172" t="str">
        <f t="shared" si="433"/>
        <v/>
      </c>
      <c r="AM430" s="172" t="str">
        <f t="shared" si="433"/>
        <v/>
      </c>
      <c r="AN430" s="172" t="str">
        <f t="shared" si="433"/>
        <v/>
      </c>
      <c r="AO430" s="172" t="str">
        <f t="shared" si="433"/>
        <v/>
      </c>
      <c r="AP430" s="172" t="str">
        <f t="shared" si="433"/>
        <v/>
      </c>
      <c r="AQ430" s="172" t="str">
        <f t="shared" si="433"/>
        <v/>
      </c>
      <c r="AR430" s="172" t="str">
        <f t="shared" si="433"/>
        <v/>
      </c>
      <c r="AS430" s="172" t="str">
        <f t="shared" si="433"/>
        <v/>
      </c>
      <c r="AT430" s="173">
        <f>IF(AT$6="","",IF(AT$3="Maior",iferror(VLOOKUP($R430,Capa!$A:$AJ,AT$5,0),0),IF(ISERROR(1/VLOOKUP($R430,Capa!$A:$AJ,AT$5,0)),0,1/VLOOKUP($R430,Capa!$A:$AJ,AT$5,0))))</f>
        <v>0</v>
      </c>
      <c r="AU430" s="174">
        <f>IF(AU$6="","",IF(AU$3="Maior",iferror(VLOOKUP($R430,Capa!$A:$AJ,AU$5,0),0),IF(ISERROR(1/VLOOKUP($R430,Capa!$A:$AJ,AU$5,0)),0,1/VLOOKUP($R430,Capa!$A:$AJ,AU$5,0))))</f>
        <v>-12.02</v>
      </c>
      <c r="AV430" s="174" t="str">
        <f>IF(AV$6="","",IF(AV$3="Maior",iferror(VLOOKUP($R430,Capa!$A:$AJ,AV$5,0),0),IF(ISERROR(1/VLOOKUP($R430,Capa!$A:$AJ,AV$5,0)),0,1/VLOOKUP($R430,Capa!$A:$AJ,AV$5,0))))</f>
        <v/>
      </c>
      <c r="AW430" s="174" t="str">
        <f>IF(AW$6="","",IF(AW$3="Maior",iferror(VLOOKUP($R430,Capa!$A:$AJ,AW$5,0),0),IF(ISERROR(1/VLOOKUP($R430,Capa!$A:$AJ,AW$5,0)),0,1/VLOOKUP($R430,Capa!$A:$AJ,AW$5,0))))</f>
        <v/>
      </c>
      <c r="AX430" s="174" t="str">
        <f>IF(AX$6="","",IF(AX$3="Maior",iferror(VLOOKUP($R430,Capa!$A:$AJ,AX$5,0),0),IF(ISERROR(1/VLOOKUP($R430,Capa!$A:$AJ,AX$5,0)),0,1/VLOOKUP($R430,Capa!$A:$AJ,AX$5,0))))</f>
        <v/>
      </c>
      <c r="AY430" s="174" t="str">
        <f>IF(AY$6="","",IF(AY$3="Maior",iferror(VLOOKUP($R430,Capa!$A:$AJ,AY$5,0),0),IF(ISERROR(1/VLOOKUP($R430,Capa!$A:$AJ,AY$5,0)),0,1/VLOOKUP($R430,Capa!$A:$AJ,AY$5,0))))</f>
        <v/>
      </c>
      <c r="AZ430" s="174" t="str">
        <f>IF(AZ$6="","",IF(AZ$3="Maior",iferror(VLOOKUP($R430,Capa!$A:$AJ,AZ$5,0),0),IF(ISERROR(1/VLOOKUP($R430,Capa!$A:$AJ,AZ$5,0)),0,1/VLOOKUP($R430,Capa!$A:$AJ,AZ$5,0))))</f>
        <v/>
      </c>
      <c r="BA430" s="174" t="str">
        <f>IF(BA$6="","",IF(BA$3="Maior",iferror(VLOOKUP($R430,Capa!$A:$AJ,BA$5,0),0),IF(ISERROR(1/VLOOKUP($R430,Capa!$A:$AJ,BA$5,0)),0,1/VLOOKUP($R430,Capa!$A:$AJ,BA$5,0))))</f>
        <v/>
      </c>
      <c r="BB430" s="174" t="str">
        <f>IF(BB$6="","",IF(BB$3="Maior",iferror(VLOOKUP($R430,Capa!$A:$AJ,BB$5,0),0),IF(ISERROR(1/VLOOKUP($R430,Capa!$A:$AJ,BB$5,0)),0,1/VLOOKUP($R430,Capa!$A:$AJ,BB$5,0))))</f>
        <v/>
      </c>
      <c r="BC430" s="174" t="str">
        <f>IF(BC$6="","",IF(BC$3="Maior",iferror(VLOOKUP($R430,Capa!$A:$AJ,BC$5,0),0),IF(ISERROR(1/VLOOKUP($R430,Capa!$A:$AJ,BC$5,0)),0,1/VLOOKUP($R430,Capa!$A:$AJ,BC$5,0))))</f>
        <v/>
      </c>
      <c r="BD430" s="174" t="str">
        <f>IF(BD$6="","",IF(BD$3="Maior",iferror(VLOOKUP($R430,Capa!$A:$AJ,BD$5,0),0),IF(ISERROR(1/VLOOKUP($R430,Capa!$A:$AJ,BD$5,0)),0,1/VLOOKUP($R430,Capa!$A:$AJ,BD$5,0))))</f>
        <v/>
      </c>
      <c r="BE430" s="174" t="str">
        <f>IF(BE$6="","",IF(BE$3="Maior",iferror(VLOOKUP($R430,Capa!$A:$AJ,BE$5,0),0),IF(ISERROR(1/VLOOKUP($R430,Capa!$A:$AJ,BE$5,0)),0,1/VLOOKUP($R430,Capa!$A:$AJ,BE$5,0))))</f>
        <v/>
      </c>
      <c r="BF430" s="174" t="str">
        <f>IF(BF$6="","",IF(BF$3="Maior",iferror(VLOOKUP($R430,Capa!$A:$AJ,BF$5,0),0),IF(ISERROR(1/VLOOKUP($R430,Capa!$A:$AJ,BF$5,0)),0,1/VLOOKUP($R430,Capa!$A:$AJ,BF$5,0))))</f>
        <v/>
      </c>
      <c r="BG430" s="174" t="str">
        <f>IF(BG$6="","",IF(BG$3="Maior",iferror(VLOOKUP($R430,Capa!$A:$AJ,BG$5,0),0),IF(ISERROR(1/VLOOKUP($R430,Capa!$A:$AJ,BG$5,0)),0,1/VLOOKUP($R430,Capa!$A:$AJ,BG$5,0))))</f>
        <v/>
      </c>
      <c r="BH430" s="174" t="str">
        <f>IF(BH$6="","",IF(BH$3="Maior",iferror(VLOOKUP($R430,Capa!$A:$AJ,BH$5,0),0),IF(ISERROR(1/VLOOKUP($R430,Capa!$A:$AJ,BH$5,0)),0,1/VLOOKUP($R430,Capa!$A:$AJ,BH$5,0))))</f>
        <v/>
      </c>
      <c r="BI430" s="174" t="str">
        <f>IF(BI$6="","",IF(BI$3="Maior",iferror(VLOOKUP($R430,Capa!$A:$AJ,BI$5,0),0),IF(ISERROR(1/VLOOKUP($R430,Capa!$A:$AJ,BI$5,0)),0,1/VLOOKUP($R430,Capa!$A:$AJ,BI$5,0))))</f>
        <v/>
      </c>
      <c r="BJ430" s="174" t="str">
        <f>IF(BJ$6="","",IF(BJ$3="Maior",iferror(VLOOKUP($R430,Capa!$A:$AJ,BJ$5,0),0),IF(ISERROR(1/VLOOKUP($R430,Capa!$A:$AJ,BJ$5,0)),0,1/VLOOKUP($R430,Capa!$A:$AJ,BJ$5,0))))</f>
        <v/>
      </c>
      <c r="BK430" s="174" t="str">
        <f>IF(BK$6="","",IF(BK$3="Maior",iferror(VLOOKUP($R430,Capa!$A:$AJ,BK$5,0),0),IF(ISERROR(1/VLOOKUP($R430,Capa!$A:$AJ,BK$5,0)),0,1/VLOOKUP($R430,Capa!$A:$AJ,BK$5,0))))</f>
        <v/>
      </c>
      <c r="BL430" s="174" t="str">
        <f>IF(BL$6="","",IF(BL$3="Maior",iferror(VLOOKUP($R430,Capa!$A:$AJ,BL$5,0),0),IF(ISERROR(1/VLOOKUP($R430,Capa!$A:$AJ,BL$5,0)),0,1/VLOOKUP($R430,Capa!$A:$AJ,BL$5,0))))</f>
        <v/>
      </c>
      <c r="BM430" s="174" t="str">
        <f>IF(BM$6="","",IF(BM$3="Maior",iferror(VLOOKUP($R430,Capa!$A:$AJ,BM$5,0),0),IF(ISERROR(1/VLOOKUP($R430,Capa!$A:$AJ,BM$5,0)),0,1/VLOOKUP($R430,Capa!$A:$AJ,BM$5,0))))</f>
        <v/>
      </c>
      <c r="BN430" s="174" t="str">
        <f>IF(BN$6="","",IF(BN$3="Maior",iferror(VLOOKUP($R430,Capa!$A:$AJ,BN$5,0),0),IF(ISERROR(1/VLOOKUP($R430,Capa!$A:$AJ,BN$5,0)),0,1/VLOOKUP($R430,Capa!$A:$AJ,BN$5,0))))</f>
        <v/>
      </c>
      <c r="BO430" s="174" t="str">
        <f>IF(BO$6="","",IF(BO$3="Maior",iferror(VLOOKUP($R430,Capa!$A:$AJ,BO$5,0),0),IF(ISERROR(1/VLOOKUP($R430,Capa!$A:$AJ,BO$5,0)),0,1/VLOOKUP($R430,Capa!$A:$AJ,BO$5,0))))</f>
        <v/>
      </c>
      <c r="BP430" s="174" t="str">
        <f>IF(BP$6="","",IF(BP$3="Maior",iferror(VLOOKUP($R430,Capa!$A:$AJ,BP$5,0),0),IF(ISERROR(1/VLOOKUP($R430,Capa!$A:$AJ,BP$5,0)),0,1/VLOOKUP($R430,Capa!$A:$AJ,BP$5,0))))</f>
        <v/>
      </c>
      <c r="BQ430" s="174" t="str">
        <f>IF(BQ$6="","",IF(BQ$3="Maior",iferror(VLOOKUP($R430,Capa!$A:$AJ,BQ$5,0),0),IF(ISERROR(1/VLOOKUP($R430,Capa!$A:$AJ,BQ$5,0)),0,1/VLOOKUP($R430,Capa!$A:$AJ,BQ$5,0))))</f>
        <v/>
      </c>
      <c r="BR430" s="175"/>
      <c r="BS430" s="147"/>
    </row>
    <row r="431">
      <c r="G431" s="11"/>
      <c r="H431" s="8">
        <v>425.0</v>
      </c>
      <c r="I431" s="165" t="str">
        <f t="shared" si="6"/>
        <v>MERC3</v>
      </c>
      <c r="J431" s="166" t="str">
        <f>(VLOOKUP($I431,Capa!$A:$B,2,0))</f>
        <v>Mercantil Fincr SA Crdto Finmto e Invsto</v>
      </c>
      <c r="K431" s="167" t="str">
        <f>VLOOKUP(left(I431,4),Setor!A:D,3,0)&amp;" | "&amp;VLOOKUP(left(I431,4),Setor!A:D,4,0)</f>
        <v>Financeiro | Intermediários Financeiros</v>
      </c>
      <c r="L431" s="168">
        <f>(VLOOKUP($I431,Capa!$A:$F,6,0))</f>
        <v>15.28</v>
      </c>
      <c r="M431" s="168">
        <f t="shared" si="7"/>
        <v>1528</v>
      </c>
      <c r="N431" s="11" t="str">
        <f>(VLOOKUP($I431,Capa!$A:$H,7,0))</f>
        <v/>
      </c>
      <c r="O431" s="169" t="str">
        <f>(VLOOKUP($I431,Capa!$A:$H,8,0))</f>
        <v/>
      </c>
      <c r="P431" s="11" t="str">
        <f>(VLOOKUP($I431,Capa!$A:$J,10,0))</f>
        <v/>
      </c>
      <c r="Q431" s="169" t="str">
        <f>(VLOOKUP($I431,Capa!$A:$K,11,0))</f>
        <v/>
      </c>
      <c r="R431" s="45" t="str">
        <f>'Dados StatusInvest'!A426</f>
        <v>NTCO3</v>
      </c>
      <c r="S431" s="170">
        <f t="shared" si="234"/>
        <v>487.0487</v>
      </c>
      <c r="T431" s="171">
        <f>VLOOKUP(R431,'Dados StatusInvest'!A:Z,26,0)</f>
        <v>76344659</v>
      </c>
      <c r="U431" s="172">
        <f t="shared" ref="U431:AS431" si="434">IF(AT431="","", RANK(AT431,AT$7:AT$626,0)+RANK(AT431,AT$7:AT$626,0)/10000)</f>
        <v>220.022</v>
      </c>
      <c r="V431" s="172">
        <f t="shared" si="434"/>
        <v>267.0267</v>
      </c>
      <c r="W431" s="172" t="str">
        <f t="shared" si="434"/>
        <v/>
      </c>
      <c r="X431" s="172" t="str">
        <f t="shared" si="434"/>
        <v/>
      </c>
      <c r="Y431" s="172" t="str">
        <f t="shared" si="434"/>
        <v/>
      </c>
      <c r="Z431" s="172" t="str">
        <f t="shared" si="434"/>
        <v/>
      </c>
      <c r="AA431" s="172" t="str">
        <f t="shared" si="434"/>
        <v/>
      </c>
      <c r="AB431" s="172" t="str">
        <f t="shared" si="434"/>
        <v/>
      </c>
      <c r="AC431" s="172" t="str">
        <f t="shared" si="434"/>
        <v/>
      </c>
      <c r="AD431" s="172" t="str">
        <f t="shared" si="434"/>
        <v/>
      </c>
      <c r="AE431" s="172" t="str">
        <f t="shared" si="434"/>
        <v/>
      </c>
      <c r="AF431" s="172" t="str">
        <f t="shared" si="434"/>
        <v/>
      </c>
      <c r="AG431" s="172" t="str">
        <f t="shared" si="434"/>
        <v/>
      </c>
      <c r="AH431" s="172" t="str">
        <f t="shared" si="434"/>
        <v/>
      </c>
      <c r="AI431" s="172" t="str">
        <f t="shared" si="434"/>
        <v/>
      </c>
      <c r="AJ431" s="172" t="str">
        <f t="shared" si="434"/>
        <v/>
      </c>
      <c r="AK431" s="172" t="str">
        <f t="shared" si="434"/>
        <v/>
      </c>
      <c r="AL431" s="172" t="str">
        <f t="shared" si="434"/>
        <v/>
      </c>
      <c r="AM431" s="172" t="str">
        <f t="shared" si="434"/>
        <v/>
      </c>
      <c r="AN431" s="172" t="str">
        <f t="shared" si="434"/>
        <v/>
      </c>
      <c r="AO431" s="172" t="str">
        <f t="shared" si="434"/>
        <v/>
      </c>
      <c r="AP431" s="172" t="str">
        <f t="shared" si="434"/>
        <v/>
      </c>
      <c r="AQ431" s="172" t="str">
        <f t="shared" si="434"/>
        <v/>
      </c>
      <c r="AR431" s="172" t="str">
        <f t="shared" si="434"/>
        <v/>
      </c>
      <c r="AS431" s="172" t="str">
        <f t="shared" si="434"/>
        <v/>
      </c>
      <c r="AT431" s="173">
        <f>IF(AT$6="","",IF(AT$3="Maior",iferror(VLOOKUP($R431,Capa!$A:$AJ,AT$5,0),0),IF(ISERROR(1/VLOOKUP($R431,Capa!$A:$AJ,AT$5,0)),0,1/VLOOKUP($R431,Capa!$A:$AJ,AT$5,0))))</f>
        <v>-0.3401360544</v>
      </c>
      <c r="AU431" s="174">
        <f>IF(AU$6="","",IF(AU$3="Maior",iferror(VLOOKUP($R431,Capa!$A:$AJ,AU$5,0),0),IF(ISERROR(1/VLOOKUP($R431,Capa!$A:$AJ,AU$5,0)),0,1/VLOOKUP($R431,Capa!$A:$AJ,AU$5,0))))</f>
        <v>0</v>
      </c>
      <c r="AV431" s="174" t="str">
        <f>IF(AV$6="","",IF(AV$3="Maior",iferror(VLOOKUP($R431,Capa!$A:$AJ,AV$5,0),0),IF(ISERROR(1/VLOOKUP($R431,Capa!$A:$AJ,AV$5,0)),0,1/VLOOKUP($R431,Capa!$A:$AJ,AV$5,0))))</f>
        <v/>
      </c>
      <c r="AW431" s="174" t="str">
        <f>IF(AW$6="","",IF(AW$3="Maior",iferror(VLOOKUP($R431,Capa!$A:$AJ,AW$5,0),0),IF(ISERROR(1/VLOOKUP($R431,Capa!$A:$AJ,AW$5,0)),0,1/VLOOKUP($R431,Capa!$A:$AJ,AW$5,0))))</f>
        <v/>
      </c>
      <c r="AX431" s="174" t="str">
        <f>IF(AX$6="","",IF(AX$3="Maior",iferror(VLOOKUP($R431,Capa!$A:$AJ,AX$5,0),0),IF(ISERROR(1/VLOOKUP($R431,Capa!$A:$AJ,AX$5,0)),0,1/VLOOKUP($R431,Capa!$A:$AJ,AX$5,0))))</f>
        <v/>
      </c>
      <c r="AY431" s="174" t="str">
        <f>IF(AY$6="","",IF(AY$3="Maior",iferror(VLOOKUP($R431,Capa!$A:$AJ,AY$5,0),0),IF(ISERROR(1/VLOOKUP($R431,Capa!$A:$AJ,AY$5,0)),0,1/VLOOKUP($R431,Capa!$A:$AJ,AY$5,0))))</f>
        <v/>
      </c>
      <c r="AZ431" s="174" t="str">
        <f>IF(AZ$6="","",IF(AZ$3="Maior",iferror(VLOOKUP($R431,Capa!$A:$AJ,AZ$5,0),0),IF(ISERROR(1/VLOOKUP($R431,Capa!$A:$AJ,AZ$5,0)),0,1/VLOOKUP($R431,Capa!$A:$AJ,AZ$5,0))))</f>
        <v/>
      </c>
      <c r="BA431" s="174" t="str">
        <f>IF(BA$6="","",IF(BA$3="Maior",iferror(VLOOKUP($R431,Capa!$A:$AJ,BA$5,0),0),IF(ISERROR(1/VLOOKUP($R431,Capa!$A:$AJ,BA$5,0)),0,1/VLOOKUP($R431,Capa!$A:$AJ,BA$5,0))))</f>
        <v/>
      </c>
      <c r="BB431" s="174" t="str">
        <f>IF(BB$6="","",IF(BB$3="Maior",iferror(VLOOKUP($R431,Capa!$A:$AJ,BB$5,0),0),IF(ISERROR(1/VLOOKUP($R431,Capa!$A:$AJ,BB$5,0)),0,1/VLOOKUP($R431,Capa!$A:$AJ,BB$5,0))))</f>
        <v/>
      </c>
      <c r="BC431" s="174" t="str">
        <f>IF(BC$6="","",IF(BC$3="Maior",iferror(VLOOKUP($R431,Capa!$A:$AJ,BC$5,0),0),IF(ISERROR(1/VLOOKUP($R431,Capa!$A:$AJ,BC$5,0)),0,1/VLOOKUP($R431,Capa!$A:$AJ,BC$5,0))))</f>
        <v/>
      </c>
      <c r="BD431" s="174" t="str">
        <f>IF(BD$6="","",IF(BD$3="Maior",iferror(VLOOKUP($R431,Capa!$A:$AJ,BD$5,0),0),IF(ISERROR(1/VLOOKUP($R431,Capa!$A:$AJ,BD$5,0)),0,1/VLOOKUP($R431,Capa!$A:$AJ,BD$5,0))))</f>
        <v/>
      </c>
      <c r="BE431" s="174" t="str">
        <f>IF(BE$6="","",IF(BE$3="Maior",iferror(VLOOKUP($R431,Capa!$A:$AJ,BE$5,0),0),IF(ISERROR(1/VLOOKUP($R431,Capa!$A:$AJ,BE$5,0)),0,1/VLOOKUP($R431,Capa!$A:$AJ,BE$5,0))))</f>
        <v/>
      </c>
      <c r="BF431" s="174" t="str">
        <f>IF(BF$6="","",IF(BF$3="Maior",iferror(VLOOKUP($R431,Capa!$A:$AJ,BF$5,0),0),IF(ISERROR(1/VLOOKUP($R431,Capa!$A:$AJ,BF$5,0)),0,1/VLOOKUP($R431,Capa!$A:$AJ,BF$5,0))))</f>
        <v/>
      </c>
      <c r="BG431" s="174" t="str">
        <f>IF(BG$6="","",IF(BG$3="Maior",iferror(VLOOKUP($R431,Capa!$A:$AJ,BG$5,0),0),IF(ISERROR(1/VLOOKUP($R431,Capa!$A:$AJ,BG$5,0)),0,1/VLOOKUP($R431,Capa!$A:$AJ,BG$5,0))))</f>
        <v/>
      </c>
      <c r="BH431" s="174" t="str">
        <f>IF(BH$6="","",IF(BH$3="Maior",iferror(VLOOKUP($R431,Capa!$A:$AJ,BH$5,0),0),IF(ISERROR(1/VLOOKUP($R431,Capa!$A:$AJ,BH$5,0)),0,1/VLOOKUP($R431,Capa!$A:$AJ,BH$5,0))))</f>
        <v/>
      </c>
      <c r="BI431" s="174" t="str">
        <f>IF(BI$6="","",IF(BI$3="Maior",iferror(VLOOKUP($R431,Capa!$A:$AJ,BI$5,0),0),IF(ISERROR(1/VLOOKUP($R431,Capa!$A:$AJ,BI$5,0)),0,1/VLOOKUP($R431,Capa!$A:$AJ,BI$5,0))))</f>
        <v/>
      </c>
      <c r="BJ431" s="174" t="str">
        <f>IF(BJ$6="","",IF(BJ$3="Maior",iferror(VLOOKUP($R431,Capa!$A:$AJ,BJ$5,0),0),IF(ISERROR(1/VLOOKUP($R431,Capa!$A:$AJ,BJ$5,0)),0,1/VLOOKUP($R431,Capa!$A:$AJ,BJ$5,0))))</f>
        <v/>
      </c>
      <c r="BK431" s="174" t="str">
        <f>IF(BK$6="","",IF(BK$3="Maior",iferror(VLOOKUP($R431,Capa!$A:$AJ,BK$5,0),0),IF(ISERROR(1/VLOOKUP($R431,Capa!$A:$AJ,BK$5,0)),0,1/VLOOKUP($R431,Capa!$A:$AJ,BK$5,0))))</f>
        <v/>
      </c>
      <c r="BL431" s="174" t="str">
        <f>IF(BL$6="","",IF(BL$3="Maior",iferror(VLOOKUP($R431,Capa!$A:$AJ,BL$5,0),0),IF(ISERROR(1/VLOOKUP($R431,Capa!$A:$AJ,BL$5,0)),0,1/VLOOKUP($R431,Capa!$A:$AJ,BL$5,0))))</f>
        <v/>
      </c>
      <c r="BM431" s="174" t="str">
        <f>IF(BM$6="","",IF(BM$3="Maior",iferror(VLOOKUP($R431,Capa!$A:$AJ,BM$5,0),0),IF(ISERROR(1/VLOOKUP($R431,Capa!$A:$AJ,BM$5,0)),0,1/VLOOKUP($R431,Capa!$A:$AJ,BM$5,0))))</f>
        <v/>
      </c>
      <c r="BN431" s="174" t="str">
        <f>IF(BN$6="","",IF(BN$3="Maior",iferror(VLOOKUP($R431,Capa!$A:$AJ,BN$5,0),0),IF(ISERROR(1/VLOOKUP($R431,Capa!$A:$AJ,BN$5,0)),0,1/VLOOKUP($R431,Capa!$A:$AJ,BN$5,0))))</f>
        <v/>
      </c>
      <c r="BO431" s="174" t="str">
        <f>IF(BO$6="","",IF(BO$3="Maior",iferror(VLOOKUP($R431,Capa!$A:$AJ,BO$5,0),0),IF(ISERROR(1/VLOOKUP($R431,Capa!$A:$AJ,BO$5,0)),0,1/VLOOKUP($R431,Capa!$A:$AJ,BO$5,0))))</f>
        <v/>
      </c>
      <c r="BP431" s="174" t="str">
        <f>IF(BP$6="","",IF(BP$3="Maior",iferror(VLOOKUP($R431,Capa!$A:$AJ,BP$5,0),0),IF(ISERROR(1/VLOOKUP($R431,Capa!$A:$AJ,BP$5,0)),0,1/VLOOKUP($R431,Capa!$A:$AJ,BP$5,0))))</f>
        <v/>
      </c>
      <c r="BQ431" s="174" t="str">
        <f>IF(BQ$6="","",IF(BQ$3="Maior",iferror(VLOOKUP($R431,Capa!$A:$AJ,BQ$5,0),0),IF(ISERROR(1/VLOOKUP($R431,Capa!$A:$AJ,BQ$5,0)),0,1/VLOOKUP($R431,Capa!$A:$AJ,BQ$5,0))))</f>
        <v/>
      </c>
      <c r="BR431" s="175"/>
      <c r="BS431" s="147"/>
    </row>
    <row r="432">
      <c r="G432" s="11"/>
      <c r="H432" s="8">
        <v>426.0</v>
      </c>
      <c r="I432" s="165" t="str">
        <f t="shared" si="6"/>
        <v>RANI4</v>
      </c>
      <c r="J432" s="166" t="str">
        <f>(VLOOKUP($I432,Capa!$A:$B,2,0))</f>
        <v/>
      </c>
      <c r="K432" s="167" t="str">
        <f>VLOOKUP(left(I432,4),Setor!A:D,3,0)&amp;" | "&amp;VLOOKUP(left(I432,4),Setor!A:D,4,0)</f>
        <v>Materiais Básicos | Madeira e Papel</v>
      </c>
      <c r="L432" s="168" t="str">
        <f>(VLOOKUP($I432,Capa!$A:$F,6,0))</f>
        <v/>
      </c>
      <c r="M432" s="168">
        <f t="shared" si="7"/>
        <v>0</v>
      </c>
      <c r="N432" s="11" t="str">
        <f>(VLOOKUP($I432,Capa!$A:$H,7,0))</f>
        <v/>
      </c>
      <c r="O432" s="169" t="str">
        <f>(VLOOKUP($I432,Capa!$A:$H,8,0))</f>
        <v/>
      </c>
      <c r="P432" s="11" t="str">
        <f>(VLOOKUP($I432,Capa!$A:$J,10,0))</f>
        <v/>
      </c>
      <c r="Q432" s="169" t="str">
        <f>(VLOOKUP($I432,Capa!$A:$K,11,0))</f>
        <v/>
      </c>
      <c r="R432" s="45" t="str">
        <f>'Dados StatusInvest'!A427</f>
        <v>NUTR3</v>
      </c>
      <c r="S432" s="170">
        <f t="shared" si="234"/>
        <v>1982.0982</v>
      </c>
      <c r="T432" s="171">
        <f>VLOOKUP(R432,'Dados StatusInvest'!A:Z,26,0)</f>
        <v>7695.05</v>
      </c>
      <c r="U432" s="172">
        <f t="shared" ref="U432:AS432" si="435">IF(AT432="","", RANK(AT432,AT$7:AT$626,0)+RANK(AT432,AT$7:AT$626,0)/10000)</f>
        <v>369.0369</v>
      </c>
      <c r="V432" s="172">
        <f t="shared" si="435"/>
        <v>613.0613</v>
      </c>
      <c r="W432" s="172" t="str">
        <f t="shared" si="435"/>
        <v/>
      </c>
      <c r="X432" s="172" t="str">
        <f t="shared" si="435"/>
        <v/>
      </c>
      <c r="Y432" s="172" t="str">
        <f t="shared" si="435"/>
        <v/>
      </c>
      <c r="Z432" s="172" t="str">
        <f t="shared" si="435"/>
        <v/>
      </c>
      <c r="AA432" s="172" t="str">
        <f t="shared" si="435"/>
        <v/>
      </c>
      <c r="AB432" s="172" t="str">
        <f t="shared" si="435"/>
        <v/>
      </c>
      <c r="AC432" s="172" t="str">
        <f t="shared" si="435"/>
        <v/>
      </c>
      <c r="AD432" s="172" t="str">
        <f t="shared" si="435"/>
        <v/>
      </c>
      <c r="AE432" s="172" t="str">
        <f t="shared" si="435"/>
        <v/>
      </c>
      <c r="AF432" s="172" t="str">
        <f t="shared" si="435"/>
        <v/>
      </c>
      <c r="AG432" s="172" t="str">
        <f t="shared" si="435"/>
        <v/>
      </c>
      <c r="AH432" s="172" t="str">
        <f t="shared" si="435"/>
        <v/>
      </c>
      <c r="AI432" s="172" t="str">
        <f t="shared" si="435"/>
        <v/>
      </c>
      <c r="AJ432" s="172" t="str">
        <f t="shared" si="435"/>
        <v/>
      </c>
      <c r="AK432" s="172" t="str">
        <f t="shared" si="435"/>
        <v/>
      </c>
      <c r="AL432" s="172" t="str">
        <f t="shared" si="435"/>
        <v/>
      </c>
      <c r="AM432" s="172" t="str">
        <f t="shared" si="435"/>
        <v/>
      </c>
      <c r="AN432" s="172" t="str">
        <f t="shared" si="435"/>
        <v/>
      </c>
      <c r="AO432" s="172" t="str">
        <f t="shared" si="435"/>
        <v/>
      </c>
      <c r="AP432" s="172" t="str">
        <f t="shared" si="435"/>
        <v/>
      </c>
      <c r="AQ432" s="172" t="str">
        <f t="shared" si="435"/>
        <v/>
      </c>
      <c r="AR432" s="172" t="str">
        <f t="shared" si="435"/>
        <v/>
      </c>
      <c r="AS432" s="172" t="str">
        <f t="shared" si="435"/>
        <v/>
      </c>
      <c r="AT432" s="173">
        <f>IF(AT$6="","",IF(AT$3="Maior",iferror(VLOOKUP($R432,Capa!$A:$AJ,AT$5,0),0),IF(ISERROR(1/VLOOKUP($R432,Capa!$A:$AJ,AT$5,0)),0,1/VLOOKUP($R432,Capa!$A:$AJ,AT$5,0))))</f>
        <v>-1.123595506</v>
      </c>
      <c r="AU432" s="174">
        <f>IF(AU$6="","",IF(AU$3="Maior",iferror(VLOOKUP($R432,Capa!$A:$AJ,AU$5,0),0),IF(ISERROR(1/VLOOKUP($R432,Capa!$A:$AJ,AU$5,0)),0,1/VLOOKUP($R432,Capa!$A:$AJ,AU$5,0))))</f>
        <v>-34.59</v>
      </c>
      <c r="AV432" s="174" t="str">
        <f>IF(AV$6="","",IF(AV$3="Maior",iferror(VLOOKUP($R432,Capa!$A:$AJ,AV$5,0),0),IF(ISERROR(1/VLOOKUP($R432,Capa!$A:$AJ,AV$5,0)),0,1/VLOOKUP($R432,Capa!$A:$AJ,AV$5,0))))</f>
        <v/>
      </c>
      <c r="AW432" s="174" t="str">
        <f>IF(AW$6="","",IF(AW$3="Maior",iferror(VLOOKUP($R432,Capa!$A:$AJ,AW$5,0),0),IF(ISERROR(1/VLOOKUP($R432,Capa!$A:$AJ,AW$5,0)),0,1/VLOOKUP($R432,Capa!$A:$AJ,AW$5,0))))</f>
        <v/>
      </c>
      <c r="AX432" s="174" t="str">
        <f>IF(AX$6="","",IF(AX$3="Maior",iferror(VLOOKUP($R432,Capa!$A:$AJ,AX$5,0),0),IF(ISERROR(1/VLOOKUP($R432,Capa!$A:$AJ,AX$5,0)),0,1/VLOOKUP($R432,Capa!$A:$AJ,AX$5,0))))</f>
        <v/>
      </c>
      <c r="AY432" s="174" t="str">
        <f>IF(AY$6="","",IF(AY$3="Maior",iferror(VLOOKUP($R432,Capa!$A:$AJ,AY$5,0),0),IF(ISERROR(1/VLOOKUP($R432,Capa!$A:$AJ,AY$5,0)),0,1/VLOOKUP($R432,Capa!$A:$AJ,AY$5,0))))</f>
        <v/>
      </c>
      <c r="AZ432" s="174" t="str">
        <f>IF(AZ$6="","",IF(AZ$3="Maior",iferror(VLOOKUP($R432,Capa!$A:$AJ,AZ$5,0),0),IF(ISERROR(1/VLOOKUP($R432,Capa!$A:$AJ,AZ$5,0)),0,1/VLOOKUP($R432,Capa!$A:$AJ,AZ$5,0))))</f>
        <v/>
      </c>
      <c r="BA432" s="174" t="str">
        <f>IF(BA$6="","",IF(BA$3="Maior",iferror(VLOOKUP($R432,Capa!$A:$AJ,BA$5,0),0),IF(ISERROR(1/VLOOKUP($R432,Capa!$A:$AJ,BA$5,0)),0,1/VLOOKUP($R432,Capa!$A:$AJ,BA$5,0))))</f>
        <v/>
      </c>
      <c r="BB432" s="174" t="str">
        <f>IF(BB$6="","",IF(BB$3="Maior",iferror(VLOOKUP($R432,Capa!$A:$AJ,BB$5,0),0),IF(ISERROR(1/VLOOKUP($R432,Capa!$A:$AJ,BB$5,0)),0,1/VLOOKUP($R432,Capa!$A:$AJ,BB$5,0))))</f>
        <v/>
      </c>
      <c r="BC432" s="174" t="str">
        <f>IF(BC$6="","",IF(BC$3="Maior",iferror(VLOOKUP($R432,Capa!$A:$AJ,BC$5,0),0),IF(ISERROR(1/VLOOKUP($R432,Capa!$A:$AJ,BC$5,0)),0,1/VLOOKUP($R432,Capa!$A:$AJ,BC$5,0))))</f>
        <v/>
      </c>
      <c r="BD432" s="174" t="str">
        <f>IF(BD$6="","",IF(BD$3="Maior",iferror(VLOOKUP($R432,Capa!$A:$AJ,BD$5,0),0),IF(ISERROR(1/VLOOKUP($R432,Capa!$A:$AJ,BD$5,0)),0,1/VLOOKUP($R432,Capa!$A:$AJ,BD$5,0))))</f>
        <v/>
      </c>
      <c r="BE432" s="174" t="str">
        <f>IF(BE$6="","",IF(BE$3="Maior",iferror(VLOOKUP($R432,Capa!$A:$AJ,BE$5,0),0),IF(ISERROR(1/VLOOKUP($R432,Capa!$A:$AJ,BE$5,0)),0,1/VLOOKUP($R432,Capa!$A:$AJ,BE$5,0))))</f>
        <v/>
      </c>
      <c r="BF432" s="174" t="str">
        <f>IF(BF$6="","",IF(BF$3="Maior",iferror(VLOOKUP($R432,Capa!$A:$AJ,BF$5,0),0),IF(ISERROR(1/VLOOKUP($R432,Capa!$A:$AJ,BF$5,0)),0,1/VLOOKUP($R432,Capa!$A:$AJ,BF$5,0))))</f>
        <v/>
      </c>
      <c r="BG432" s="174" t="str">
        <f>IF(BG$6="","",IF(BG$3="Maior",iferror(VLOOKUP($R432,Capa!$A:$AJ,BG$5,0),0),IF(ISERROR(1/VLOOKUP($R432,Capa!$A:$AJ,BG$5,0)),0,1/VLOOKUP($R432,Capa!$A:$AJ,BG$5,0))))</f>
        <v/>
      </c>
      <c r="BH432" s="174" t="str">
        <f>IF(BH$6="","",IF(BH$3="Maior",iferror(VLOOKUP($R432,Capa!$A:$AJ,BH$5,0),0),IF(ISERROR(1/VLOOKUP($R432,Capa!$A:$AJ,BH$5,0)),0,1/VLOOKUP($R432,Capa!$A:$AJ,BH$5,0))))</f>
        <v/>
      </c>
      <c r="BI432" s="174" t="str">
        <f>IF(BI$6="","",IF(BI$3="Maior",iferror(VLOOKUP($R432,Capa!$A:$AJ,BI$5,0),0),IF(ISERROR(1/VLOOKUP($R432,Capa!$A:$AJ,BI$5,0)),0,1/VLOOKUP($R432,Capa!$A:$AJ,BI$5,0))))</f>
        <v/>
      </c>
      <c r="BJ432" s="174" t="str">
        <f>IF(BJ$6="","",IF(BJ$3="Maior",iferror(VLOOKUP($R432,Capa!$A:$AJ,BJ$5,0),0),IF(ISERROR(1/VLOOKUP($R432,Capa!$A:$AJ,BJ$5,0)),0,1/VLOOKUP($R432,Capa!$A:$AJ,BJ$5,0))))</f>
        <v/>
      </c>
      <c r="BK432" s="174" t="str">
        <f>IF(BK$6="","",IF(BK$3="Maior",iferror(VLOOKUP($R432,Capa!$A:$AJ,BK$5,0),0),IF(ISERROR(1/VLOOKUP($R432,Capa!$A:$AJ,BK$5,0)),0,1/VLOOKUP($R432,Capa!$A:$AJ,BK$5,0))))</f>
        <v/>
      </c>
      <c r="BL432" s="174" t="str">
        <f>IF(BL$6="","",IF(BL$3="Maior",iferror(VLOOKUP($R432,Capa!$A:$AJ,BL$5,0),0),IF(ISERROR(1/VLOOKUP($R432,Capa!$A:$AJ,BL$5,0)),0,1/VLOOKUP($R432,Capa!$A:$AJ,BL$5,0))))</f>
        <v/>
      </c>
      <c r="BM432" s="174" t="str">
        <f>IF(BM$6="","",IF(BM$3="Maior",iferror(VLOOKUP($R432,Capa!$A:$AJ,BM$5,0),0),IF(ISERROR(1/VLOOKUP($R432,Capa!$A:$AJ,BM$5,0)),0,1/VLOOKUP($R432,Capa!$A:$AJ,BM$5,0))))</f>
        <v/>
      </c>
      <c r="BN432" s="174" t="str">
        <f>IF(BN$6="","",IF(BN$3="Maior",iferror(VLOOKUP($R432,Capa!$A:$AJ,BN$5,0),0),IF(ISERROR(1/VLOOKUP($R432,Capa!$A:$AJ,BN$5,0)),0,1/VLOOKUP($R432,Capa!$A:$AJ,BN$5,0))))</f>
        <v/>
      </c>
      <c r="BO432" s="174" t="str">
        <f>IF(BO$6="","",IF(BO$3="Maior",iferror(VLOOKUP($R432,Capa!$A:$AJ,BO$5,0),0),IF(ISERROR(1/VLOOKUP($R432,Capa!$A:$AJ,BO$5,0)),0,1/VLOOKUP($R432,Capa!$A:$AJ,BO$5,0))))</f>
        <v/>
      </c>
      <c r="BP432" s="174" t="str">
        <f>IF(BP$6="","",IF(BP$3="Maior",iferror(VLOOKUP($R432,Capa!$A:$AJ,BP$5,0),0),IF(ISERROR(1/VLOOKUP($R432,Capa!$A:$AJ,BP$5,0)),0,1/VLOOKUP($R432,Capa!$A:$AJ,BP$5,0))))</f>
        <v/>
      </c>
      <c r="BQ432" s="174" t="str">
        <f>IF(BQ$6="","",IF(BQ$3="Maior",iferror(VLOOKUP($R432,Capa!$A:$AJ,BQ$5,0),0),IF(ISERROR(1/VLOOKUP($R432,Capa!$A:$AJ,BQ$5,0)),0,1/VLOOKUP($R432,Capa!$A:$AJ,BQ$5,0))))</f>
        <v/>
      </c>
      <c r="BR432" s="175"/>
      <c r="BS432" s="147"/>
    </row>
    <row r="433">
      <c r="G433" s="11"/>
      <c r="H433" s="8">
        <v>427.0</v>
      </c>
      <c r="I433" s="165" t="str">
        <f t="shared" si="6"/>
        <v>MERC4</v>
      </c>
      <c r="J433" s="166" t="str">
        <f>(VLOOKUP($I433,Capa!$A:$B,2,0))</f>
        <v>Mercantil Fincr SA Crdto Finmto e Invsto Preference Shares</v>
      </c>
      <c r="K433" s="167" t="str">
        <f>VLOOKUP(left(I433,4),Setor!A:D,3,0)&amp;" | "&amp;VLOOKUP(left(I433,4),Setor!A:D,4,0)</f>
        <v>Financeiro | Intermediários Financeiros</v>
      </c>
      <c r="L433" s="168">
        <f>(VLOOKUP($I433,Capa!$A:$F,6,0))</f>
        <v>15</v>
      </c>
      <c r="M433" s="168">
        <f t="shared" si="7"/>
        <v>14288.75</v>
      </c>
      <c r="N433" s="11" t="str">
        <f>IFERROR(__xludf.DUMMYFUNCTION("(VLOOKUP($I433,Capa!$A:$H,7,0))"),"")</f>
        <v/>
      </c>
      <c r="O433" s="169">
        <f>(VLOOKUP($I433,Capa!$A:$H,8,0))</f>
        <v>0.07142857143</v>
      </c>
      <c r="P433" s="11" t="str">
        <f>IFERROR(__xludf.DUMMYFUNCTION("(VLOOKUP($I433,Capa!$A:$J,10,0))"),"")</f>
        <v/>
      </c>
      <c r="Q433" s="169">
        <f>(VLOOKUP($I433,Capa!$A:$K,11,0))</f>
        <v>0.6447368421</v>
      </c>
      <c r="R433" s="45" t="str">
        <f>'Dados StatusInvest'!A428</f>
        <v>OBTC3</v>
      </c>
      <c r="S433" s="170">
        <f t="shared" si="234"/>
        <v>318.0318</v>
      </c>
      <c r="T433" s="171">
        <f>VLOOKUP(R433,'Dados StatusInvest'!A:Z,26,0)</f>
        <v>7308721</v>
      </c>
      <c r="U433" s="172">
        <f t="shared" ref="U433:AS433" si="436">IF(AT433="","", RANK(AT433,AT$7:AT$626,0)+RANK(AT433,AT$7:AT$626,0)/10000)</f>
        <v>51.0051</v>
      </c>
      <c r="V433" s="172">
        <f t="shared" si="436"/>
        <v>267.0267</v>
      </c>
      <c r="W433" s="172" t="str">
        <f t="shared" si="436"/>
        <v/>
      </c>
      <c r="X433" s="172" t="str">
        <f t="shared" si="436"/>
        <v/>
      </c>
      <c r="Y433" s="172" t="str">
        <f t="shared" si="436"/>
        <v/>
      </c>
      <c r="Z433" s="172" t="str">
        <f t="shared" si="436"/>
        <v/>
      </c>
      <c r="AA433" s="172" t="str">
        <f t="shared" si="436"/>
        <v/>
      </c>
      <c r="AB433" s="172" t="str">
        <f t="shared" si="436"/>
        <v/>
      </c>
      <c r="AC433" s="172" t="str">
        <f t="shared" si="436"/>
        <v/>
      </c>
      <c r="AD433" s="172" t="str">
        <f t="shared" si="436"/>
        <v/>
      </c>
      <c r="AE433" s="172" t="str">
        <f t="shared" si="436"/>
        <v/>
      </c>
      <c r="AF433" s="172" t="str">
        <f t="shared" si="436"/>
        <v/>
      </c>
      <c r="AG433" s="172" t="str">
        <f t="shared" si="436"/>
        <v/>
      </c>
      <c r="AH433" s="172" t="str">
        <f t="shared" si="436"/>
        <v/>
      </c>
      <c r="AI433" s="172" t="str">
        <f t="shared" si="436"/>
        <v/>
      </c>
      <c r="AJ433" s="172" t="str">
        <f t="shared" si="436"/>
        <v/>
      </c>
      <c r="AK433" s="172" t="str">
        <f t="shared" si="436"/>
        <v/>
      </c>
      <c r="AL433" s="172" t="str">
        <f t="shared" si="436"/>
        <v/>
      </c>
      <c r="AM433" s="172" t="str">
        <f t="shared" si="436"/>
        <v/>
      </c>
      <c r="AN433" s="172" t="str">
        <f t="shared" si="436"/>
        <v/>
      </c>
      <c r="AO433" s="172" t="str">
        <f t="shared" si="436"/>
        <v/>
      </c>
      <c r="AP433" s="172" t="str">
        <f t="shared" si="436"/>
        <v/>
      </c>
      <c r="AQ433" s="172" t="str">
        <f t="shared" si="436"/>
        <v/>
      </c>
      <c r="AR433" s="172" t="str">
        <f t="shared" si="436"/>
        <v/>
      </c>
      <c r="AS433" s="172" t="str">
        <f t="shared" si="436"/>
        <v/>
      </c>
      <c r="AT433" s="173">
        <f>IF(AT$6="","",IF(AT$3="Maior",iferror(VLOOKUP($R433,Capa!$A:$AJ,AT$5,0),0),IF(ISERROR(1/VLOOKUP($R433,Capa!$A:$AJ,AT$5,0)),0,1/VLOOKUP($R433,Capa!$A:$AJ,AT$5,0))))</f>
        <v>0</v>
      </c>
      <c r="AU433" s="174">
        <f>IF(AU$6="","",IF(AU$3="Maior",iferror(VLOOKUP($R433,Capa!$A:$AJ,AU$5,0),0),IF(ISERROR(1/VLOOKUP($R433,Capa!$A:$AJ,AU$5,0)),0,1/VLOOKUP($R433,Capa!$A:$AJ,AU$5,0))))</f>
        <v>0</v>
      </c>
      <c r="AV433" s="174" t="str">
        <f>IF(AV$6="","",IF(AV$3="Maior",iferror(VLOOKUP($R433,Capa!$A:$AJ,AV$5,0),0),IF(ISERROR(1/VLOOKUP($R433,Capa!$A:$AJ,AV$5,0)),0,1/VLOOKUP($R433,Capa!$A:$AJ,AV$5,0))))</f>
        <v/>
      </c>
      <c r="AW433" s="174" t="str">
        <f>IF(AW$6="","",IF(AW$3="Maior",iferror(VLOOKUP($R433,Capa!$A:$AJ,AW$5,0),0),IF(ISERROR(1/VLOOKUP($R433,Capa!$A:$AJ,AW$5,0)),0,1/VLOOKUP($R433,Capa!$A:$AJ,AW$5,0))))</f>
        <v/>
      </c>
      <c r="AX433" s="174" t="str">
        <f>IF(AX$6="","",IF(AX$3="Maior",iferror(VLOOKUP($R433,Capa!$A:$AJ,AX$5,0),0),IF(ISERROR(1/VLOOKUP($R433,Capa!$A:$AJ,AX$5,0)),0,1/VLOOKUP($R433,Capa!$A:$AJ,AX$5,0))))</f>
        <v/>
      </c>
      <c r="AY433" s="174" t="str">
        <f>IF(AY$6="","",IF(AY$3="Maior",iferror(VLOOKUP($R433,Capa!$A:$AJ,AY$5,0),0),IF(ISERROR(1/VLOOKUP($R433,Capa!$A:$AJ,AY$5,0)),0,1/VLOOKUP($R433,Capa!$A:$AJ,AY$5,0))))</f>
        <v/>
      </c>
      <c r="AZ433" s="174" t="str">
        <f>IF(AZ$6="","",IF(AZ$3="Maior",iferror(VLOOKUP($R433,Capa!$A:$AJ,AZ$5,0),0),IF(ISERROR(1/VLOOKUP($R433,Capa!$A:$AJ,AZ$5,0)),0,1/VLOOKUP($R433,Capa!$A:$AJ,AZ$5,0))))</f>
        <v/>
      </c>
      <c r="BA433" s="174" t="str">
        <f>IF(BA$6="","",IF(BA$3="Maior",iferror(VLOOKUP($R433,Capa!$A:$AJ,BA$5,0),0),IF(ISERROR(1/VLOOKUP($R433,Capa!$A:$AJ,BA$5,0)),0,1/VLOOKUP($R433,Capa!$A:$AJ,BA$5,0))))</f>
        <v/>
      </c>
      <c r="BB433" s="174" t="str">
        <f>IF(BB$6="","",IF(BB$3="Maior",iferror(VLOOKUP($R433,Capa!$A:$AJ,BB$5,0),0),IF(ISERROR(1/VLOOKUP($R433,Capa!$A:$AJ,BB$5,0)),0,1/VLOOKUP($R433,Capa!$A:$AJ,BB$5,0))))</f>
        <v/>
      </c>
      <c r="BC433" s="174" t="str">
        <f>IF(BC$6="","",IF(BC$3="Maior",iferror(VLOOKUP($R433,Capa!$A:$AJ,BC$5,0),0),IF(ISERROR(1/VLOOKUP($R433,Capa!$A:$AJ,BC$5,0)),0,1/VLOOKUP($R433,Capa!$A:$AJ,BC$5,0))))</f>
        <v/>
      </c>
      <c r="BD433" s="174" t="str">
        <f>IF(BD$6="","",IF(BD$3="Maior",iferror(VLOOKUP($R433,Capa!$A:$AJ,BD$5,0),0),IF(ISERROR(1/VLOOKUP($R433,Capa!$A:$AJ,BD$5,0)),0,1/VLOOKUP($R433,Capa!$A:$AJ,BD$5,0))))</f>
        <v/>
      </c>
      <c r="BE433" s="174" t="str">
        <f>IF(BE$6="","",IF(BE$3="Maior",iferror(VLOOKUP($R433,Capa!$A:$AJ,BE$5,0),0),IF(ISERROR(1/VLOOKUP($R433,Capa!$A:$AJ,BE$5,0)),0,1/VLOOKUP($R433,Capa!$A:$AJ,BE$5,0))))</f>
        <v/>
      </c>
      <c r="BF433" s="174" t="str">
        <f>IF(BF$6="","",IF(BF$3="Maior",iferror(VLOOKUP($R433,Capa!$A:$AJ,BF$5,0),0),IF(ISERROR(1/VLOOKUP($R433,Capa!$A:$AJ,BF$5,0)),0,1/VLOOKUP($R433,Capa!$A:$AJ,BF$5,0))))</f>
        <v/>
      </c>
      <c r="BG433" s="174" t="str">
        <f>IF(BG$6="","",IF(BG$3="Maior",iferror(VLOOKUP($R433,Capa!$A:$AJ,BG$5,0),0),IF(ISERROR(1/VLOOKUP($R433,Capa!$A:$AJ,BG$5,0)),0,1/VLOOKUP($R433,Capa!$A:$AJ,BG$5,0))))</f>
        <v/>
      </c>
      <c r="BH433" s="174" t="str">
        <f>IF(BH$6="","",IF(BH$3="Maior",iferror(VLOOKUP($R433,Capa!$A:$AJ,BH$5,0),0),IF(ISERROR(1/VLOOKUP($R433,Capa!$A:$AJ,BH$5,0)),0,1/VLOOKUP($R433,Capa!$A:$AJ,BH$5,0))))</f>
        <v/>
      </c>
      <c r="BI433" s="174" t="str">
        <f>IF(BI$6="","",IF(BI$3="Maior",iferror(VLOOKUP($R433,Capa!$A:$AJ,BI$5,0),0),IF(ISERROR(1/VLOOKUP($R433,Capa!$A:$AJ,BI$5,0)),0,1/VLOOKUP($R433,Capa!$A:$AJ,BI$5,0))))</f>
        <v/>
      </c>
      <c r="BJ433" s="174" t="str">
        <f>IF(BJ$6="","",IF(BJ$3="Maior",iferror(VLOOKUP($R433,Capa!$A:$AJ,BJ$5,0),0),IF(ISERROR(1/VLOOKUP($R433,Capa!$A:$AJ,BJ$5,0)),0,1/VLOOKUP($R433,Capa!$A:$AJ,BJ$5,0))))</f>
        <v/>
      </c>
      <c r="BK433" s="174" t="str">
        <f>IF(BK$6="","",IF(BK$3="Maior",iferror(VLOOKUP($R433,Capa!$A:$AJ,BK$5,0),0),IF(ISERROR(1/VLOOKUP($R433,Capa!$A:$AJ,BK$5,0)),0,1/VLOOKUP($R433,Capa!$A:$AJ,BK$5,0))))</f>
        <v/>
      </c>
      <c r="BL433" s="174" t="str">
        <f>IF(BL$6="","",IF(BL$3="Maior",iferror(VLOOKUP($R433,Capa!$A:$AJ,BL$5,0),0),IF(ISERROR(1/VLOOKUP($R433,Capa!$A:$AJ,BL$5,0)),0,1/VLOOKUP($R433,Capa!$A:$AJ,BL$5,0))))</f>
        <v/>
      </c>
      <c r="BM433" s="174" t="str">
        <f>IF(BM$6="","",IF(BM$3="Maior",iferror(VLOOKUP($R433,Capa!$A:$AJ,BM$5,0),0),IF(ISERROR(1/VLOOKUP($R433,Capa!$A:$AJ,BM$5,0)),0,1/VLOOKUP($R433,Capa!$A:$AJ,BM$5,0))))</f>
        <v/>
      </c>
      <c r="BN433" s="174" t="str">
        <f>IF(BN$6="","",IF(BN$3="Maior",iferror(VLOOKUP($R433,Capa!$A:$AJ,BN$5,0),0),IF(ISERROR(1/VLOOKUP($R433,Capa!$A:$AJ,BN$5,0)),0,1/VLOOKUP($R433,Capa!$A:$AJ,BN$5,0))))</f>
        <v/>
      </c>
      <c r="BO433" s="174" t="str">
        <f>IF(BO$6="","",IF(BO$3="Maior",iferror(VLOOKUP($R433,Capa!$A:$AJ,BO$5,0),0),IF(ISERROR(1/VLOOKUP($R433,Capa!$A:$AJ,BO$5,0)),0,1/VLOOKUP($R433,Capa!$A:$AJ,BO$5,0))))</f>
        <v/>
      </c>
      <c r="BP433" s="174" t="str">
        <f>IF(BP$6="","",IF(BP$3="Maior",iferror(VLOOKUP($R433,Capa!$A:$AJ,BP$5,0),0),IF(ISERROR(1/VLOOKUP($R433,Capa!$A:$AJ,BP$5,0)),0,1/VLOOKUP($R433,Capa!$A:$AJ,BP$5,0))))</f>
        <v/>
      </c>
      <c r="BQ433" s="174" t="str">
        <f>IF(BQ$6="","",IF(BQ$3="Maior",iferror(VLOOKUP($R433,Capa!$A:$AJ,BQ$5,0),0),IF(ISERROR(1/VLOOKUP($R433,Capa!$A:$AJ,BQ$5,0)),0,1/VLOOKUP($R433,Capa!$A:$AJ,BQ$5,0))))</f>
        <v/>
      </c>
      <c r="BR433" s="175"/>
      <c r="BS433" s="147"/>
    </row>
    <row r="434">
      <c r="G434" s="11"/>
      <c r="H434" s="8">
        <v>428.0</v>
      </c>
      <c r="I434" s="165" t="str">
        <f t="shared" si="6"/>
        <v>FRIO3</v>
      </c>
      <c r="J434" s="166" t="str">
        <f>(VLOOKUP($I434,Capa!$A:$B,2,0))</f>
        <v>Metalfrio Solutions SA</v>
      </c>
      <c r="K434" s="167" t="str">
        <f>VLOOKUP(left(I434,4),Setor!A:D,3,0)&amp;" | "&amp;VLOOKUP(left(I434,4),Setor!A:D,4,0)</f>
        <v>Bens Industriais | Máquinas e Equipamentos</v>
      </c>
      <c r="L434" s="168">
        <f>(VLOOKUP($I434,Capa!$A:$F,6,0))</f>
        <v>170.18</v>
      </c>
      <c r="M434" s="168">
        <f t="shared" si="7"/>
        <v>9108.25</v>
      </c>
      <c r="N434" s="11" t="str">
        <f>IFERROR(__xludf.DUMMYFUNCTION("(VLOOKUP($I434,Capa!$A:$H,7,0))"),"")</f>
        <v/>
      </c>
      <c r="O434" s="169">
        <f>(VLOOKUP($I434,Capa!$A:$H,8,0))</f>
        <v>-0.02509165903</v>
      </c>
      <c r="P434" s="11" t="str">
        <f>IFERROR(__xludf.DUMMYFUNCTION("(VLOOKUP($I434,Capa!$A:$J,10,0))"),"")</f>
        <v/>
      </c>
      <c r="Q434" s="169">
        <f>(VLOOKUP($I434,Capa!$A:$K,11,0))</f>
        <v>-0.3811636364</v>
      </c>
      <c r="R434" s="45" t="str">
        <f>'Dados StatusInvest'!A429</f>
        <v>ODER3</v>
      </c>
      <c r="S434" s="170">
        <f t="shared" si="234"/>
        <v>1200.02</v>
      </c>
      <c r="T434" s="171">
        <f>VLOOKUP(R434,'Dados StatusInvest'!A:Z,26,0)</f>
        <v>0</v>
      </c>
      <c r="U434" s="172">
        <f t="shared" ref="U434:AS434" si="437">IF(AT434="","", RANK(AT434,AT$7:AT$626,0)+RANK(AT434,AT$7:AT$626,0)/10000)</f>
        <v>51.0051</v>
      </c>
      <c r="V434" s="172">
        <f t="shared" si="437"/>
        <v>149.0149</v>
      </c>
      <c r="W434" s="172" t="str">
        <f t="shared" si="437"/>
        <v/>
      </c>
      <c r="X434" s="172" t="str">
        <f t="shared" si="437"/>
        <v/>
      </c>
      <c r="Y434" s="172" t="str">
        <f t="shared" si="437"/>
        <v/>
      </c>
      <c r="Z434" s="172" t="str">
        <f t="shared" si="437"/>
        <v/>
      </c>
      <c r="AA434" s="172" t="str">
        <f t="shared" si="437"/>
        <v/>
      </c>
      <c r="AB434" s="172" t="str">
        <f t="shared" si="437"/>
        <v/>
      </c>
      <c r="AC434" s="172" t="str">
        <f t="shared" si="437"/>
        <v/>
      </c>
      <c r="AD434" s="172" t="str">
        <f t="shared" si="437"/>
        <v/>
      </c>
      <c r="AE434" s="172" t="str">
        <f t="shared" si="437"/>
        <v/>
      </c>
      <c r="AF434" s="172" t="str">
        <f t="shared" si="437"/>
        <v/>
      </c>
      <c r="AG434" s="172" t="str">
        <f t="shared" si="437"/>
        <v/>
      </c>
      <c r="AH434" s="172" t="str">
        <f t="shared" si="437"/>
        <v/>
      </c>
      <c r="AI434" s="172" t="str">
        <f t="shared" si="437"/>
        <v/>
      </c>
      <c r="AJ434" s="172" t="str">
        <f t="shared" si="437"/>
        <v/>
      </c>
      <c r="AK434" s="172" t="str">
        <f t="shared" si="437"/>
        <v/>
      </c>
      <c r="AL434" s="172" t="str">
        <f t="shared" si="437"/>
        <v/>
      </c>
      <c r="AM434" s="172" t="str">
        <f t="shared" si="437"/>
        <v/>
      </c>
      <c r="AN434" s="172" t="str">
        <f t="shared" si="437"/>
        <v/>
      </c>
      <c r="AO434" s="172" t="str">
        <f t="shared" si="437"/>
        <v/>
      </c>
      <c r="AP434" s="172" t="str">
        <f t="shared" si="437"/>
        <v/>
      </c>
      <c r="AQ434" s="172" t="str">
        <f t="shared" si="437"/>
        <v/>
      </c>
      <c r="AR434" s="172" t="str">
        <f t="shared" si="437"/>
        <v/>
      </c>
      <c r="AS434" s="172" t="str">
        <f t="shared" si="437"/>
        <v/>
      </c>
      <c r="AT434" s="173">
        <f>IF(AT$6="","",IF(AT$3="Maior",iferror(VLOOKUP($R434,Capa!$A:$AJ,AT$5,0),0),IF(ISERROR(1/VLOOKUP($R434,Capa!$A:$AJ,AT$5,0)),0,1/VLOOKUP($R434,Capa!$A:$AJ,AT$5,0))))</f>
        <v>0</v>
      </c>
      <c r="AU434" s="174">
        <f>IF(AU$6="","",IF(AU$3="Maior",iferror(VLOOKUP($R434,Capa!$A:$AJ,AU$5,0),0),IF(ISERROR(1/VLOOKUP($R434,Capa!$A:$AJ,AU$5,0)),0,1/VLOOKUP($R434,Capa!$A:$AJ,AU$5,0))))</f>
        <v>18.68</v>
      </c>
      <c r="AV434" s="174" t="str">
        <f>IF(AV$6="","",IF(AV$3="Maior",iferror(VLOOKUP($R434,Capa!$A:$AJ,AV$5,0),0),IF(ISERROR(1/VLOOKUP($R434,Capa!$A:$AJ,AV$5,0)),0,1/VLOOKUP($R434,Capa!$A:$AJ,AV$5,0))))</f>
        <v/>
      </c>
      <c r="AW434" s="174" t="str">
        <f>IF(AW$6="","",IF(AW$3="Maior",iferror(VLOOKUP($R434,Capa!$A:$AJ,AW$5,0),0),IF(ISERROR(1/VLOOKUP($R434,Capa!$A:$AJ,AW$5,0)),0,1/VLOOKUP($R434,Capa!$A:$AJ,AW$5,0))))</f>
        <v/>
      </c>
      <c r="AX434" s="174" t="str">
        <f>IF(AX$6="","",IF(AX$3="Maior",iferror(VLOOKUP($R434,Capa!$A:$AJ,AX$5,0),0),IF(ISERROR(1/VLOOKUP($R434,Capa!$A:$AJ,AX$5,0)),0,1/VLOOKUP($R434,Capa!$A:$AJ,AX$5,0))))</f>
        <v/>
      </c>
      <c r="AY434" s="174" t="str">
        <f>IF(AY$6="","",IF(AY$3="Maior",iferror(VLOOKUP($R434,Capa!$A:$AJ,AY$5,0),0),IF(ISERROR(1/VLOOKUP($R434,Capa!$A:$AJ,AY$5,0)),0,1/VLOOKUP($R434,Capa!$A:$AJ,AY$5,0))))</f>
        <v/>
      </c>
      <c r="AZ434" s="174" t="str">
        <f>IF(AZ$6="","",IF(AZ$3="Maior",iferror(VLOOKUP($R434,Capa!$A:$AJ,AZ$5,0),0),IF(ISERROR(1/VLOOKUP($R434,Capa!$A:$AJ,AZ$5,0)),0,1/VLOOKUP($R434,Capa!$A:$AJ,AZ$5,0))))</f>
        <v/>
      </c>
      <c r="BA434" s="174" t="str">
        <f>IF(BA$6="","",IF(BA$3="Maior",iferror(VLOOKUP($R434,Capa!$A:$AJ,BA$5,0),0),IF(ISERROR(1/VLOOKUP($R434,Capa!$A:$AJ,BA$5,0)),0,1/VLOOKUP($R434,Capa!$A:$AJ,BA$5,0))))</f>
        <v/>
      </c>
      <c r="BB434" s="174" t="str">
        <f>IF(BB$6="","",IF(BB$3="Maior",iferror(VLOOKUP($R434,Capa!$A:$AJ,BB$5,0),0),IF(ISERROR(1/VLOOKUP($R434,Capa!$A:$AJ,BB$5,0)),0,1/VLOOKUP($R434,Capa!$A:$AJ,BB$5,0))))</f>
        <v/>
      </c>
      <c r="BC434" s="174" t="str">
        <f>IF(BC$6="","",IF(BC$3="Maior",iferror(VLOOKUP($R434,Capa!$A:$AJ,BC$5,0),0),IF(ISERROR(1/VLOOKUP($R434,Capa!$A:$AJ,BC$5,0)),0,1/VLOOKUP($R434,Capa!$A:$AJ,BC$5,0))))</f>
        <v/>
      </c>
      <c r="BD434" s="174" t="str">
        <f>IF(BD$6="","",IF(BD$3="Maior",iferror(VLOOKUP($R434,Capa!$A:$AJ,BD$5,0),0),IF(ISERROR(1/VLOOKUP($R434,Capa!$A:$AJ,BD$5,0)),0,1/VLOOKUP($R434,Capa!$A:$AJ,BD$5,0))))</f>
        <v/>
      </c>
      <c r="BE434" s="174" t="str">
        <f>IF(BE$6="","",IF(BE$3="Maior",iferror(VLOOKUP($R434,Capa!$A:$AJ,BE$5,0),0),IF(ISERROR(1/VLOOKUP($R434,Capa!$A:$AJ,BE$5,0)),0,1/VLOOKUP($R434,Capa!$A:$AJ,BE$5,0))))</f>
        <v/>
      </c>
      <c r="BF434" s="174" t="str">
        <f>IF(BF$6="","",IF(BF$3="Maior",iferror(VLOOKUP($R434,Capa!$A:$AJ,BF$5,0),0),IF(ISERROR(1/VLOOKUP($R434,Capa!$A:$AJ,BF$5,0)),0,1/VLOOKUP($R434,Capa!$A:$AJ,BF$5,0))))</f>
        <v/>
      </c>
      <c r="BG434" s="174" t="str">
        <f>IF(BG$6="","",IF(BG$3="Maior",iferror(VLOOKUP($R434,Capa!$A:$AJ,BG$5,0),0),IF(ISERROR(1/VLOOKUP($R434,Capa!$A:$AJ,BG$5,0)),0,1/VLOOKUP($R434,Capa!$A:$AJ,BG$5,0))))</f>
        <v/>
      </c>
      <c r="BH434" s="174" t="str">
        <f>IF(BH$6="","",IF(BH$3="Maior",iferror(VLOOKUP($R434,Capa!$A:$AJ,BH$5,0),0),IF(ISERROR(1/VLOOKUP($R434,Capa!$A:$AJ,BH$5,0)),0,1/VLOOKUP($R434,Capa!$A:$AJ,BH$5,0))))</f>
        <v/>
      </c>
      <c r="BI434" s="174" t="str">
        <f>IF(BI$6="","",IF(BI$3="Maior",iferror(VLOOKUP($R434,Capa!$A:$AJ,BI$5,0),0),IF(ISERROR(1/VLOOKUP($R434,Capa!$A:$AJ,BI$5,0)),0,1/VLOOKUP($R434,Capa!$A:$AJ,BI$5,0))))</f>
        <v/>
      </c>
      <c r="BJ434" s="174" t="str">
        <f>IF(BJ$6="","",IF(BJ$3="Maior",iferror(VLOOKUP($R434,Capa!$A:$AJ,BJ$5,0),0),IF(ISERROR(1/VLOOKUP($R434,Capa!$A:$AJ,BJ$5,0)),0,1/VLOOKUP($R434,Capa!$A:$AJ,BJ$5,0))))</f>
        <v/>
      </c>
      <c r="BK434" s="174" t="str">
        <f>IF(BK$6="","",IF(BK$3="Maior",iferror(VLOOKUP($R434,Capa!$A:$AJ,BK$5,0),0),IF(ISERROR(1/VLOOKUP($R434,Capa!$A:$AJ,BK$5,0)),0,1/VLOOKUP($R434,Capa!$A:$AJ,BK$5,0))))</f>
        <v/>
      </c>
      <c r="BL434" s="174" t="str">
        <f>IF(BL$6="","",IF(BL$3="Maior",iferror(VLOOKUP($R434,Capa!$A:$AJ,BL$5,0),0),IF(ISERROR(1/VLOOKUP($R434,Capa!$A:$AJ,BL$5,0)),0,1/VLOOKUP($R434,Capa!$A:$AJ,BL$5,0))))</f>
        <v/>
      </c>
      <c r="BM434" s="174" t="str">
        <f>IF(BM$6="","",IF(BM$3="Maior",iferror(VLOOKUP($R434,Capa!$A:$AJ,BM$5,0),0),IF(ISERROR(1/VLOOKUP($R434,Capa!$A:$AJ,BM$5,0)),0,1/VLOOKUP($R434,Capa!$A:$AJ,BM$5,0))))</f>
        <v/>
      </c>
      <c r="BN434" s="174" t="str">
        <f>IF(BN$6="","",IF(BN$3="Maior",iferror(VLOOKUP($R434,Capa!$A:$AJ,BN$5,0),0),IF(ISERROR(1/VLOOKUP($R434,Capa!$A:$AJ,BN$5,0)),0,1/VLOOKUP($R434,Capa!$A:$AJ,BN$5,0))))</f>
        <v/>
      </c>
      <c r="BO434" s="174" t="str">
        <f>IF(BO$6="","",IF(BO$3="Maior",iferror(VLOOKUP($R434,Capa!$A:$AJ,BO$5,0),0),IF(ISERROR(1/VLOOKUP($R434,Capa!$A:$AJ,BO$5,0)),0,1/VLOOKUP($R434,Capa!$A:$AJ,BO$5,0))))</f>
        <v/>
      </c>
      <c r="BP434" s="174" t="str">
        <f>IF(BP$6="","",IF(BP$3="Maior",iferror(VLOOKUP($R434,Capa!$A:$AJ,BP$5,0),0),IF(ISERROR(1/VLOOKUP($R434,Capa!$A:$AJ,BP$5,0)),0,1/VLOOKUP($R434,Capa!$A:$AJ,BP$5,0))))</f>
        <v/>
      </c>
      <c r="BQ434" s="174" t="str">
        <f>IF(BQ$6="","",IF(BQ$3="Maior",iferror(VLOOKUP($R434,Capa!$A:$AJ,BQ$5,0),0),IF(ISERROR(1/VLOOKUP($R434,Capa!$A:$AJ,BQ$5,0)),0,1/VLOOKUP($R434,Capa!$A:$AJ,BQ$5,0))))</f>
        <v/>
      </c>
      <c r="BR434" s="175"/>
      <c r="BS434" s="147"/>
    </row>
    <row r="435">
      <c r="G435" s="11"/>
      <c r="H435" s="8">
        <v>429.0</v>
      </c>
      <c r="I435" s="165" t="str">
        <f t="shared" si="6"/>
        <v>TASA3</v>
      </c>
      <c r="J435" s="166" t="str">
        <f>(VLOOKUP($I435,Capa!$A:$B,2,0))</f>
        <v>Taurus Armas SA</v>
      </c>
      <c r="K435" s="167" t="str">
        <f>VLOOKUP(left(I435,4),Setor!A:D,3,0)&amp;" | "&amp;VLOOKUP(left(I435,4),Setor!A:D,4,0)</f>
        <v>Bens Industriais | Máquinas e Equipamentos</v>
      </c>
      <c r="L435" s="168">
        <f>(VLOOKUP($I435,Capa!$A:$F,6,0))</f>
        <v>5.23</v>
      </c>
      <c r="M435" s="168">
        <f t="shared" si="7"/>
        <v>228196.4</v>
      </c>
      <c r="N435" s="177" t="str">
        <f>IFERROR(__xludf.DUMMYFUNCTION("(VLOOKUP($I435,Capa!$A:$H,7,0))"),"")</f>
        <v/>
      </c>
      <c r="O435" s="169">
        <f>(VLOOKUP($I435,Capa!$A:$H,8,0))</f>
        <v>-0.05253623188</v>
      </c>
      <c r="P435" s="169" t="str">
        <f>IFERROR(__xludf.DUMMYFUNCTION("(VLOOKUP($I435,Capa!$A:$J,10,0))"),"")</f>
        <v/>
      </c>
      <c r="Q435" s="169">
        <f>(VLOOKUP($I435,Capa!$A:$K,11,0))</f>
        <v>-0.300802139</v>
      </c>
      <c r="R435" s="45" t="str">
        <f>'Dados StatusInvest'!A430</f>
        <v>ODER4</v>
      </c>
      <c r="S435" s="170">
        <f t="shared" si="234"/>
        <v>1367.0367</v>
      </c>
      <c r="T435" s="171">
        <f>VLOOKUP(R435,'Dados StatusInvest'!A:Z,26,0)</f>
        <v>0</v>
      </c>
      <c r="U435" s="172">
        <f t="shared" ref="U435:AS435" si="438">IF(AT435="","", RANK(AT435,AT$7:AT$626,0)+RANK(AT435,AT$7:AT$626,0)/10000)</f>
        <v>218.0218</v>
      </c>
      <c r="V435" s="172">
        <f t="shared" si="438"/>
        <v>149.0149</v>
      </c>
      <c r="W435" s="172" t="str">
        <f t="shared" si="438"/>
        <v/>
      </c>
      <c r="X435" s="172" t="str">
        <f t="shared" si="438"/>
        <v/>
      </c>
      <c r="Y435" s="172" t="str">
        <f t="shared" si="438"/>
        <v/>
      </c>
      <c r="Z435" s="172" t="str">
        <f t="shared" si="438"/>
        <v/>
      </c>
      <c r="AA435" s="172" t="str">
        <f t="shared" si="438"/>
        <v/>
      </c>
      <c r="AB435" s="172" t="str">
        <f t="shared" si="438"/>
        <v/>
      </c>
      <c r="AC435" s="172" t="str">
        <f t="shared" si="438"/>
        <v/>
      </c>
      <c r="AD435" s="172" t="str">
        <f t="shared" si="438"/>
        <v/>
      </c>
      <c r="AE435" s="172" t="str">
        <f t="shared" si="438"/>
        <v/>
      </c>
      <c r="AF435" s="172" t="str">
        <f t="shared" si="438"/>
        <v/>
      </c>
      <c r="AG435" s="172" t="str">
        <f t="shared" si="438"/>
        <v/>
      </c>
      <c r="AH435" s="172" t="str">
        <f t="shared" si="438"/>
        <v/>
      </c>
      <c r="AI435" s="172" t="str">
        <f t="shared" si="438"/>
        <v/>
      </c>
      <c r="AJ435" s="172" t="str">
        <f t="shared" si="438"/>
        <v/>
      </c>
      <c r="AK435" s="172" t="str">
        <f t="shared" si="438"/>
        <v/>
      </c>
      <c r="AL435" s="172" t="str">
        <f t="shared" si="438"/>
        <v/>
      </c>
      <c r="AM435" s="172" t="str">
        <f t="shared" si="438"/>
        <v/>
      </c>
      <c r="AN435" s="172" t="str">
        <f t="shared" si="438"/>
        <v/>
      </c>
      <c r="AO435" s="172" t="str">
        <f t="shared" si="438"/>
        <v/>
      </c>
      <c r="AP435" s="172" t="str">
        <f t="shared" si="438"/>
        <v/>
      </c>
      <c r="AQ435" s="172" t="str">
        <f t="shared" si="438"/>
        <v/>
      </c>
      <c r="AR435" s="172" t="str">
        <f t="shared" si="438"/>
        <v/>
      </c>
      <c r="AS435" s="172" t="str">
        <f t="shared" si="438"/>
        <v/>
      </c>
      <c r="AT435" s="173">
        <f>IF(AT$6="","",IF(AT$3="Maior",iferror(VLOOKUP($R435,Capa!$A:$AJ,AT$5,0),0),IF(ISERROR(1/VLOOKUP($R435,Capa!$A:$AJ,AT$5,0)),0,1/VLOOKUP($R435,Capa!$A:$AJ,AT$5,0))))</f>
        <v>-0.3251743763</v>
      </c>
      <c r="AU435" s="174">
        <f>IF(AU$6="","",IF(AU$3="Maior",iferror(VLOOKUP($R435,Capa!$A:$AJ,AU$5,0),0),IF(ISERROR(1/VLOOKUP($R435,Capa!$A:$AJ,AU$5,0)),0,1/VLOOKUP($R435,Capa!$A:$AJ,AU$5,0))))</f>
        <v>18.68</v>
      </c>
      <c r="AV435" s="174" t="str">
        <f>IF(AV$6="","",IF(AV$3="Maior",iferror(VLOOKUP($R435,Capa!$A:$AJ,AV$5,0),0),IF(ISERROR(1/VLOOKUP($R435,Capa!$A:$AJ,AV$5,0)),0,1/VLOOKUP($R435,Capa!$A:$AJ,AV$5,0))))</f>
        <v/>
      </c>
      <c r="AW435" s="174" t="str">
        <f>IF(AW$6="","",IF(AW$3="Maior",iferror(VLOOKUP($R435,Capa!$A:$AJ,AW$5,0),0),IF(ISERROR(1/VLOOKUP($R435,Capa!$A:$AJ,AW$5,0)),0,1/VLOOKUP($R435,Capa!$A:$AJ,AW$5,0))))</f>
        <v/>
      </c>
      <c r="AX435" s="174" t="str">
        <f>IF(AX$6="","",IF(AX$3="Maior",iferror(VLOOKUP($R435,Capa!$A:$AJ,AX$5,0),0),IF(ISERROR(1/VLOOKUP($R435,Capa!$A:$AJ,AX$5,0)),0,1/VLOOKUP($R435,Capa!$A:$AJ,AX$5,0))))</f>
        <v/>
      </c>
      <c r="AY435" s="174" t="str">
        <f>IF(AY$6="","",IF(AY$3="Maior",iferror(VLOOKUP($R435,Capa!$A:$AJ,AY$5,0),0),IF(ISERROR(1/VLOOKUP($R435,Capa!$A:$AJ,AY$5,0)),0,1/VLOOKUP($R435,Capa!$A:$AJ,AY$5,0))))</f>
        <v/>
      </c>
      <c r="AZ435" s="174" t="str">
        <f>IF(AZ$6="","",IF(AZ$3="Maior",iferror(VLOOKUP($R435,Capa!$A:$AJ,AZ$5,0),0),IF(ISERROR(1/VLOOKUP($R435,Capa!$A:$AJ,AZ$5,0)),0,1/VLOOKUP($R435,Capa!$A:$AJ,AZ$5,0))))</f>
        <v/>
      </c>
      <c r="BA435" s="174" t="str">
        <f>IF(BA$6="","",IF(BA$3="Maior",iferror(VLOOKUP($R435,Capa!$A:$AJ,BA$5,0),0),IF(ISERROR(1/VLOOKUP($R435,Capa!$A:$AJ,BA$5,0)),0,1/VLOOKUP($R435,Capa!$A:$AJ,BA$5,0))))</f>
        <v/>
      </c>
      <c r="BB435" s="174" t="str">
        <f>IF(BB$6="","",IF(BB$3="Maior",iferror(VLOOKUP($R435,Capa!$A:$AJ,BB$5,0),0),IF(ISERROR(1/VLOOKUP($R435,Capa!$A:$AJ,BB$5,0)),0,1/VLOOKUP($R435,Capa!$A:$AJ,BB$5,0))))</f>
        <v/>
      </c>
      <c r="BC435" s="174" t="str">
        <f>IF(BC$6="","",IF(BC$3="Maior",iferror(VLOOKUP($R435,Capa!$A:$AJ,BC$5,0),0),IF(ISERROR(1/VLOOKUP($R435,Capa!$A:$AJ,BC$5,0)),0,1/VLOOKUP($R435,Capa!$A:$AJ,BC$5,0))))</f>
        <v/>
      </c>
      <c r="BD435" s="174" t="str">
        <f>IF(BD$6="","",IF(BD$3="Maior",iferror(VLOOKUP($R435,Capa!$A:$AJ,BD$5,0),0),IF(ISERROR(1/VLOOKUP($R435,Capa!$A:$AJ,BD$5,0)),0,1/VLOOKUP($R435,Capa!$A:$AJ,BD$5,0))))</f>
        <v/>
      </c>
      <c r="BE435" s="174" t="str">
        <f>IF(BE$6="","",IF(BE$3="Maior",iferror(VLOOKUP($R435,Capa!$A:$AJ,BE$5,0),0),IF(ISERROR(1/VLOOKUP($R435,Capa!$A:$AJ,BE$5,0)),0,1/VLOOKUP($R435,Capa!$A:$AJ,BE$5,0))))</f>
        <v/>
      </c>
      <c r="BF435" s="174" t="str">
        <f>IF(BF$6="","",IF(BF$3="Maior",iferror(VLOOKUP($R435,Capa!$A:$AJ,BF$5,0),0),IF(ISERROR(1/VLOOKUP($R435,Capa!$A:$AJ,BF$5,0)),0,1/VLOOKUP($R435,Capa!$A:$AJ,BF$5,0))))</f>
        <v/>
      </c>
      <c r="BG435" s="174" t="str">
        <f>IF(BG$6="","",IF(BG$3="Maior",iferror(VLOOKUP($R435,Capa!$A:$AJ,BG$5,0),0),IF(ISERROR(1/VLOOKUP($R435,Capa!$A:$AJ,BG$5,0)),0,1/VLOOKUP($R435,Capa!$A:$AJ,BG$5,0))))</f>
        <v/>
      </c>
      <c r="BH435" s="174" t="str">
        <f>IF(BH$6="","",IF(BH$3="Maior",iferror(VLOOKUP($R435,Capa!$A:$AJ,BH$5,0),0),IF(ISERROR(1/VLOOKUP($R435,Capa!$A:$AJ,BH$5,0)),0,1/VLOOKUP($R435,Capa!$A:$AJ,BH$5,0))))</f>
        <v/>
      </c>
      <c r="BI435" s="174" t="str">
        <f>IF(BI$6="","",IF(BI$3="Maior",iferror(VLOOKUP($R435,Capa!$A:$AJ,BI$5,0),0),IF(ISERROR(1/VLOOKUP($R435,Capa!$A:$AJ,BI$5,0)),0,1/VLOOKUP($R435,Capa!$A:$AJ,BI$5,0))))</f>
        <v/>
      </c>
      <c r="BJ435" s="174" t="str">
        <f>IF(BJ$6="","",IF(BJ$3="Maior",iferror(VLOOKUP($R435,Capa!$A:$AJ,BJ$5,0),0),IF(ISERROR(1/VLOOKUP($R435,Capa!$A:$AJ,BJ$5,0)),0,1/VLOOKUP($R435,Capa!$A:$AJ,BJ$5,0))))</f>
        <v/>
      </c>
      <c r="BK435" s="174" t="str">
        <f>IF(BK$6="","",IF(BK$3="Maior",iferror(VLOOKUP($R435,Capa!$A:$AJ,BK$5,0),0),IF(ISERROR(1/VLOOKUP($R435,Capa!$A:$AJ,BK$5,0)),0,1/VLOOKUP($R435,Capa!$A:$AJ,BK$5,0))))</f>
        <v/>
      </c>
      <c r="BL435" s="174" t="str">
        <f>IF(BL$6="","",IF(BL$3="Maior",iferror(VLOOKUP($R435,Capa!$A:$AJ,BL$5,0),0),IF(ISERROR(1/VLOOKUP($R435,Capa!$A:$AJ,BL$5,0)),0,1/VLOOKUP($R435,Capa!$A:$AJ,BL$5,0))))</f>
        <v/>
      </c>
      <c r="BM435" s="174" t="str">
        <f>IF(BM$6="","",IF(BM$3="Maior",iferror(VLOOKUP($R435,Capa!$A:$AJ,BM$5,0),0),IF(ISERROR(1/VLOOKUP($R435,Capa!$A:$AJ,BM$5,0)),0,1/VLOOKUP($R435,Capa!$A:$AJ,BM$5,0))))</f>
        <v/>
      </c>
      <c r="BN435" s="174" t="str">
        <f>IF(BN$6="","",IF(BN$3="Maior",iferror(VLOOKUP($R435,Capa!$A:$AJ,BN$5,0),0),IF(ISERROR(1/VLOOKUP($R435,Capa!$A:$AJ,BN$5,0)),0,1/VLOOKUP($R435,Capa!$A:$AJ,BN$5,0))))</f>
        <v/>
      </c>
      <c r="BO435" s="174" t="str">
        <f>IF(BO$6="","",IF(BO$3="Maior",iferror(VLOOKUP($R435,Capa!$A:$AJ,BO$5,0),0),IF(ISERROR(1/VLOOKUP($R435,Capa!$A:$AJ,BO$5,0)),0,1/VLOOKUP($R435,Capa!$A:$AJ,BO$5,0))))</f>
        <v/>
      </c>
      <c r="BP435" s="174" t="str">
        <f>IF(BP$6="","",IF(BP$3="Maior",iferror(VLOOKUP($R435,Capa!$A:$AJ,BP$5,0),0),IF(ISERROR(1/VLOOKUP($R435,Capa!$A:$AJ,BP$5,0)),0,1/VLOOKUP($R435,Capa!$A:$AJ,BP$5,0))))</f>
        <v/>
      </c>
      <c r="BQ435" s="174" t="str">
        <f>IF(BQ$6="","",IF(BQ$3="Maior",iferror(VLOOKUP($R435,Capa!$A:$AJ,BQ$5,0),0),IF(ISERROR(1/VLOOKUP($R435,Capa!$A:$AJ,BQ$5,0)),0,1/VLOOKUP($R435,Capa!$A:$AJ,BQ$5,0))))</f>
        <v/>
      </c>
      <c r="BR435" s="175"/>
      <c r="BS435" s="147"/>
    </row>
    <row r="436">
      <c r="G436" s="11"/>
      <c r="H436" s="8">
        <v>430.0</v>
      </c>
      <c r="I436" s="165" t="str">
        <f t="shared" si="6"/>
        <v>EKTR3</v>
      </c>
      <c r="J436" s="166" t="str">
        <f>(VLOOKUP($I436,Capa!$A:$B,2,0))</f>
        <v>Elektro Redes SA</v>
      </c>
      <c r="K436" s="167" t="str">
        <f>VLOOKUP(left(I436,4),Setor!A:D,3,0)&amp;" | "&amp;VLOOKUP(left(I436,4),Setor!A:D,4,0)</f>
        <v>Utilidade Pública | Energia Elétrica</v>
      </c>
      <c r="L436" s="168">
        <f>(VLOOKUP($I436,Capa!$A:$F,6,0))</f>
        <v>48.9</v>
      </c>
      <c r="M436" s="168">
        <f t="shared" si="7"/>
        <v>4191.43</v>
      </c>
      <c r="N436" s="11" t="str">
        <f>IFERROR(__xludf.DUMMYFUNCTION("(VLOOKUP($I436,Capa!$A:$H,7,0))"),"")</f>
        <v/>
      </c>
      <c r="O436" s="169">
        <f>(VLOOKUP($I436,Capa!$A:$H,8,0))</f>
        <v>-0.003870442045</v>
      </c>
      <c r="P436" s="11" t="str">
        <f>IFERROR(__xludf.DUMMYFUNCTION("(VLOOKUP($I436,Capa!$A:$J,10,0))"),"")</f>
        <v/>
      </c>
      <c r="Q436" s="169">
        <f>(VLOOKUP($I436,Capa!$A:$K,11,0))</f>
        <v>-0.2488479263</v>
      </c>
      <c r="R436" s="45" t="str">
        <f>'Dados StatusInvest'!A431</f>
        <v>ODPV3</v>
      </c>
      <c r="S436" s="170">
        <f t="shared" si="234"/>
        <v>368.0368</v>
      </c>
      <c r="T436" s="171">
        <f>VLOOKUP(R436,'Dados StatusInvest'!A:Z,26,0)</f>
        <v>21422268</v>
      </c>
      <c r="U436" s="172">
        <f t="shared" ref="U436:AS436" si="439">IF(AT436="","", RANK(AT436,AT$7:AT$626,0)+RANK(AT436,AT$7:AT$626,0)/10000)</f>
        <v>198.0198</v>
      </c>
      <c r="V436" s="172">
        <f t="shared" si="439"/>
        <v>170.017</v>
      </c>
      <c r="W436" s="172" t="str">
        <f t="shared" si="439"/>
        <v/>
      </c>
      <c r="X436" s="172" t="str">
        <f t="shared" si="439"/>
        <v/>
      </c>
      <c r="Y436" s="172" t="str">
        <f t="shared" si="439"/>
        <v/>
      </c>
      <c r="Z436" s="172" t="str">
        <f t="shared" si="439"/>
        <v/>
      </c>
      <c r="AA436" s="172" t="str">
        <f t="shared" si="439"/>
        <v/>
      </c>
      <c r="AB436" s="172" t="str">
        <f t="shared" si="439"/>
        <v/>
      </c>
      <c r="AC436" s="172" t="str">
        <f t="shared" si="439"/>
        <v/>
      </c>
      <c r="AD436" s="172" t="str">
        <f t="shared" si="439"/>
        <v/>
      </c>
      <c r="AE436" s="172" t="str">
        <f t="shared" si="439"/>
        <v/>
      </c>
      <c r="AF436" s="172" t="str">
        <f t="shared" si="439"/>
        <v/>
      </c>
      <c r="AG436" s="172" t="str">
        <f t="shared" si="439"/>
        <v/>
      </c>
      <c r="AH436" s="172" t="str">
        <f t="shared" si="439"/>
        <v/>
      </c>
      <c r="AI436" s="172" t="str">
        <f t="shared" si="439"/>
        <v/>
      </c>
      <c r="AJ436" s="172" t="str">
        <f t="shared" si="439"/>
        <v/>
      </c>
      <c r="AK436" s="172" t="str">
        <f t="shared" si="439"/>
        <v/>
      </c>
      <c r="AL436" s="172" t="str">
        <f t="shared" si="439"/>
        <v/>
      </c>
      <c r="AM436" s="172" t="str">
        <f t="shared" si="439"/>
        <v/>
      </c>
      <c r="AN436" s="172" t="str">
        <f t="shared" si="439"/>
        <v/>
      </c>
      <c r="AO436" s="172" t="str">
        <f t="shared" si="439"/>
        <v/>
      </c>
      <c r="AP436" s="172" t="str">
        <f t="shared" si="439"/>
        <v/>
      </c>
      <c r="AQ436" s="172" t="str">
        <f t="shared" si="439"/>
        <v/>
      </c>
      <c r="AR436" s="172" t="str">
        <f t="shared" si="439"/>
        <v/>
      </c>
      <c r="AS436" s="172" t="str">
        <f t="shared" si="439"/>
        <v/>
      </c>
      <c r="AT436" s="173">
        <f>IF(AT$6="","",IF(AT$3="Maior",iferror(VLOOKUP($R436,Capa!$A:$AJ,AT$5,0),0),IF(ISERROR(1/VLOOKUP($R436,Capa!$A:$AJ,AT$5,0)),0,1/VLOOKUP($R436,Capa!$A:$AJ,AT$5,0))))</f>
        <v>-0.268241621</v>
      </c>
      <c r="AU436" s="174">
        <f>IF(AU$6="","",IF(AU$3="Maior",iferror(VLOOKUP($R436,Capa!$A:$AJ,AU$5,0),0),IF(ISERROR(1/VLOOKUP($R436,Capa!$A:$AJ,AU$5,0)),0,1/VLOOKUP($R436,Capa!$A:$AJ,AU$5,0))))</f>
        <v>15.07</v>
      </c>
      <c r="AV436" s="174" t="str">
        <f>IF(AV$6="","",IF(AV$3="Maior",iferror(VLOOKUP($R436,Capa!$A:$AJ,AV$5,0),0),IF(ISERROR(1/VLOOKUP($R436,Capa!$A:$AJ,AV$5,0)),0,1/VLOOKUP($R436,Capa!$A:$AJ,AV$5,0))))</f>
        <v/>
      </c>
      <c r="AW436" s="174" t="str">
        <f>IF(AW$6="","",IF(AW$3="Maior",iferror(VLOOKUP($R436,Capa!$A:$AJ,AW$5,0),0),IF(ISERROR(1/VLOOKUP($R436,Capa!$A:$AJ,AW$5,0)),0,1/VLOOKUP($R436,Capa!$A:$AJ,AW$5,0))))</f>
        <v/>
      </c>
      <c r="AX436" s="174" t="str">
        <f>IF(AX$6="","",IF(AX$3="Maior",iferror(VLOOKUP($R436,Capa!$A:$AJ,AX$5,0),0),IF(ISERROR(1/VLOOKUP($R436,Capa!$A:$AJ,AX$5,0)),0,1/VLOOKUP($R436,Capa!$A:$AJ,AX$5,0))))</f>
        <v/>
      </c>
      <c r="AY436" s="174" t="str">
        <f>IF(AY$6="","",IF(AY$3="Maior",iferror(VLOOKUP($R436,Capa!$A:$AJ,AY$5,0),0),IF(ISERROR(1/VLOOKUP($R436,Capa!$A:$AJ,AY$5,0)),0,1/VLOOKUP($R436,Capa!$A:$AJ,AY$5,0))))</f>
        <v/>
      </c>
      <c r="AZ436" s="174" t="str">
        <f>IF(AZ$6="","",IF(AZ$3="Maior",iferror(VLOOKUP($R436,Capa!$A:$AJ,AZ$5,0),0),IF(ISERROR(1/VLOOKUP($R436,Capa!$A:$AJ,AZ$5,0)),0,1/VLOOKUP($R436,Capa!$A:$AJ,AZ$5,0))))</f>
        <v/>
      </c>
      <c r="BA436" s="174" t="str">
        <f>IF(BA$6="","",IF(BA$3="Maior",iferror(VLOOKUP($R436,Capa!$A:$AJ,BA$5,0),0),IF(ISERROR(1/VLOOKUP($R436,Capa!$A:$AJ,BA$5,0)),0,1/VLOOKUP($R436,Capa!$A:$AJ,BA$5,0))))</f>
        <v/>
      </c>
      <c r="BB436" s="174" t="str">
        <f>IF(BB$6="","",IF(BB$3="Maior",iferror(VLOOKUP($R436,Capa!$A:$AJ,BB$5,0),0),IF(ISERROR(1/VLOOKUP($R436,Capa!$A:$AJ,BB$5,0)),0,1/VLOOKUP($R436,Capa!$A:$AJ,BB$5,0))))</f>
        <v/>
      </c>
      <c r="BC436" s="174" t="str">
        <f>IF(BC$6="","",IF(BC$3="Maior",iferror(VLOOKUP($R436,Capa!$A:$AJ,BC$5,0),0),IF(ISERROR(1/VLOOKUP($R436,Capa!$A:$AJ,BC$5,0)),0,1/VLOOKUP($R436,Capa!$A:$AJ,BC$5,0))))</f>
        <v/>
      </c>
      <c r="BD436" s="174" t="str">
        <f>IF(BD$6="","",IF(BD$3="Maior",iferror(VLOOKUP($R436,Capa!$A:$AJ,BD$5,0),0),IF(ISERROR(1/VLOOKUP($R436,Capa!$A:$AJ,BD$5,0)),0,1/VLOOKUP($R436,Capa!$A:$AJ,BD$5,0))))</f>
        <v/>
      </c>
      <c r="BE436" s="174" t="str">
        <f>IF(BE$6="","",IF(BE$3="Maior",iferror(VLOOKUP($R436,Capa!$A:$AJ,BE$5,0),0),IF(ISERROR(1/VLOOKUP($R436,Capa!$A:$AJ,BE$5,0)),0,1/VLOOKUP($R436,Capa!$A:$AJ,BE$5,0))))</f>
        <v/>
      </c>
      <c r="BF436" s="174" t="str">
        <f>IF(BF$6="","",IF(BF$3="Maior",iferror(VLOOKUP($R436,Capa!$A:$AJ,BF$5,0),0),IF(ISERROR(1/VLOOKUP($R436,Capa!$A:$AJ,BF$5,0)),0,1/VLOOKUP($R436,Capa!$A:$AJ,BF$5,0))))</f>
        <v/>
      </c>
      <c r="BG436" s="174" t="str">
        <f>IF(BG$6="","",IF(BG$3="Maior",iferror(VLOOKUP($R436,Capa!$A:$AJ,BG$5,0),0),IF(ISERROR(1/VLOOKUP($R436,Capa!$A:$AJ,BG$5,0)),0,1/VLOOKUP($R436,Capa!$A:$AJ,BG$5,0))))</f>
        <v/>
      </c>
      <c r="BH436" s="174" t="str">
        <f>IF(BH$6="","",IF(BH$3="Maior",iferror(VLOOKUP($R436,Capa!$A:$AJ,BH$5,0),0),IF(ISERROR(1/VLOOKUP($R436,Capa!$A:$AJ,BH$5,0)),0,1/VLOOKUP($R436,Capa!$A:$AJ,BH$5,0))))</f>
        <v/>
      </c>
      <c r="BI436" s="174" t="str">
        <f>IF(BI$6="","",IF(BI$3="Maior",iferror(VLOOKUP($R436,Capa!$A:$AJ,BI$5,0),0),IF(ISERROR(1/VLOOKUP($R436,Capa!$A:$AJ,BI$5,0)),0,1/VLOOKUP($R436,Capa!$A:$AJ,BI$5,0))))</f>
        <v/>
      </c>
      <c r="BJ436" s="174" t="str">
        <f>IF(BJ$6="","",IF(BJ$3="Maior",iferror(VLOOKUP($R436,Capa!$A:$AJ,BJ$5,0),0),IF(ISERROR(1/VLOOKUP($R436,Capa!$A:$AJ,BJ$5,0)),0,1/VLOOKUP($R436,Capa!$A:$AJ,BJ$5,0))))</f>
        <v/>
      </c>
      <c r="BK436" s="174" t="str">
        <f>IF(BK$6="","",IF(BK$3="Maior",iferror(VLOOKUP($R436,Capa!$A:$AJ,BK$5,0),0),IF(ISERROR(1/VLOOKUP($R436,Capa!$A:$AJ,BK$5,0)),0,1/VLOOKUP($R436,Capa!$A:$AJ,BK$5,0))))</f>
        <v/>
      </c>
      <c r="BL436" s="174" t="str">
        <f>IF(BL$6="","",IF(BL$3="Maior",iferror(VLOOKUP($R436,Capa!$A:$AJ,BL$5,0),0),IF(ISERROR(1/VLOOKUP($R436,Capa!$A:$AJ,BL$5,0)),0,1/VLOOKUP($R436,Capa!$A:$AJ,BL$5,0))))</f>
        <v/>
      </c>
      <c r="BM436" s="174" t="str">
        <f>IF(BM$6="","",IF(BM$3="Maior",iferror(VLOOKUP($R436,Capa!$A:$AJ,BM$5,0),0),IF(ISERROR(1/VLOOKUP($R436,Capa!$A:$AJ,BM$5,0)),0,1/VLOOKUP($R436,Capa!$A:$AJ,BM$5,0))))</f>
        <v/>
      </c>
      <c r="BN436" s="174" t="str">
        <f>IF(BN$6="","",IF(BN$3="Maior",iferror(VLOOKUP($R436,Capa!$A:$AJ,BN$5,0),0),IF(ISERROR(1/VLOOKUP($R436,Capa!$A:$AJ,BN$5,0)),0,1/VLOOKUP($R436,Capa!$A:$AJ,BN$5,0))))</f>
        <v/>
      </c>
      <c r="BO436" s="174" t="str">
        <f>IF(BO$6="","",IF(BO$3="Maior",iferror(VLOOKUP($R436,Capa!$A:$AJ,BO$5,0),0),IF(ISERROR(1/VLOOKUP($R436,Capa!$A:$AJ,BO$5,0)),0,1/VLOOKUP($R436,Capa!$A:$AJ,BO$5,0))))</f>
        <v/>
      </c>
      <c r="BP436" s="174" t="str">
        <f>IF(BP$6="","",IF(BP$3="Maior",iferror(VLOOKUP($R436,Capa!$A:$AJ,BP$5,0),0),IF(ISERROR(1/VLOOKUP($R436,Capa!$A:$AJ,BP$5,0)),0,1/VLOOKUP($R436,Capa!$A:$AJ,BP$5,0))))</f>
        <v/>
      </c>
      <c r="BQ436" s="174" t="str">
        <f>IF(BQ$6="","",IF(BQ$3="Maior",iferror(VLOOKUP($R436,Capa!$A:$AJ,BQ$5,0),0),IF(ISERROR(1/VLOOKUP($R436,Capa!$A:$AJ,BQ$5,0)),0,1/VLOOKUP($R436,Capa!$A:$AJ,BQ$5,0))))</f>
        <v/>
      </c>
      <c r="BR436" s="175"/>
      <c r="BS436" s="147"/>
    </row>
    <row r="437">
      <c r="G437" s="11"/>
      <c r="H437" s="8">
        <v>431.0</v>
      </c>
      <c r="I437" s="165" t="str">
        <f t="shared" si="6"/>
        <v>BRPR3</v>
      </c>
      <c r="J437" s="166" t="str">
        <f>(VLOOKUP($I437,Capa!$A:$B,2,0))</f>
        <v/>
      </c>
      <c r="K437" s="167" t="str">
        <f>VLOOKUP(left(I437,4),Setor!A:D,3,0)&amp;" | "&amp;VLOOKUP(left(I437,4),Setor!A:D,4,0)</f>
        <v>Financeiro | Exploração de Imóveis</v>
      </c>
      <c r="L437" s="168" t="str">
        <f>(VLOOKUP($I437,Capa!$A:$F,6,0))</f>
        <v/>
      </c>
      <c r="M437" s="168">
        <f t="shared" si="7"/>
        <v>0</v>
      </c>
      <c r="N437" s="11" t="str">
        <f>(VLOOKUP($I437,Capa!$A:$H,7,0))</f>
        <v/>
      </c>
      <c r="O437" s="169" t="str">
        <f>(VLOOKUP($I437,Capa!$A:$H,8,0))</f>
        <v/>
      </c>
      <c r="P437" s="11" t="str">
        <f>(VLOOKUP($I437,Capa!$A:$J,10,0))</f>
        <v/>
      </c>
      <c r="Q437" s="169" t="str">
        <f>(VLOOKUP($I437,Capa!$A:$K,11,0))</f>
        <v/>
      </c>
      <c r="R437" s="45" t="str">
        <f>'Dados StatusInvest'!A432</f>
        <v>OFSA3</v>
      </c>
      <c r="S437" s="170">
        <f t="shared" si="234"/>
        <v>1340.034</v>
      </c>
      <c r="T437" s="171">
        <f>VLOOKUP(R437,'Dados StatusInvest'!A:Z,26,0)</f>
        <v>159459.9</v>
      </c>
      <c r="U437" s="172">
        <f t="shared" ref="U437:AS437" si="440">IF(AT437="","", RANK(AT437,AT$7:AT$626,0)+RANK(AT437,AT$7:AT$626,0)/10000)</f>
        <v>229.0229</v>
      </c>
      <c r="V437" s="172">
        <f t="shared" si="440"/>
        <v>111.0111</v>
      </c>
      <c r="W437" s="172" t="str">
        <f t="shared" si="440"/>
        <v/>
      </c>
      <c r="X437" s="172" t="str">
        <f t="shared" si="440"/>
        <v/>
      </c>
      <c r="Y437" s="172" t="str">
        <f t="shared" si="440"/>
        <v/>
      </c>
      <c r="Z437" s="172" t="str">
        <f t="shared" si="440"/>
        <v/>
      </c>
      <c r="AA437" s="172" t="str">
        <f t="shared" si="440"/>
        <v/>
      </c>
      <c r="AB437" s="172" t="str">
        <f t="shared" si="440"/>
        <v/>
      </c>
      <c r="AC437" s="172" t="str">
        <f t="shared" si="440"/>
        <v/>
      </c>
      <c r="AD437" s="172" t="str">
        <f t="shared" si="440"/>
        <v/>
      </c>
      <c r="AE437" s="172" t="str">
        <f t="shared" si="440"/>
        <v/>
      </c>
      <c r="AF437" s="172" t="str">
        <f t="shared" si="440"/>
        <v/>
      </c>
      <c r="AG437" s="172" t="str">
        <f t="shared" si="440"/>
        <v/>
      </c>
      <c r="AH437" s="172" t="str">
        <f t="shared" si="440"/>
        <v/>
      </c>
      <c r="AI437" s="172" t="str">
        <f t="shared" si="440"/>
        <v/>
      </c>
      <c r="AJ437" s="172" t="str">
        <f t="shared" si="440"/>
        <v/>
      </c>
      <c r="AK437" s="172" t="str">
        <f t="shared" si="440"/>
        <v/>
      </c>
      <c r="AL437" s="172" t="str">
        <f t="shared" si="440"/>
        <v/>
      </c>
      <c r="AM437" s="172" t="str">
        <f t="shared" si="440"/>
        <v/>
      </c>
      <c r="AN437" s="172" t="str">
        <f t="shared" si="440"/>
        <v/>
      </c>
      <c r="AO437" s="172" t="str">
        <f t="shared" si="440"/>
        <v/>
      </c>
      <c r="AP437" s="172" t="str">
        <f t="shared" si="440"/>
        <v/>
      </c>
      <c r="AQ437" s="172" t="str">
        <f t="shared" si="440"/>
        <v/>
      </c>
      <c r="AR437" s="172" t="str">
        <f t="shared" si="440"/>
        <v/>
      </c>
      <c r="AS437" s="172" t="str">
        <f t="shared" si="440"/>
        <v/>
      </c>
      <c r="AT437" s="173">
        <f>IF(AT$6="","",IF(AT$3="Maior",iferror(VLOOKUP($R437,Capa!$A:$AJ,AT$5,0),0),IF(ISERROR(1/VLOOKUP($R437,Capa!$A:$AJ,AT$5,0)),0,1/VLOOKUP($R437,Capa!$A:$AJ,AT$5,0))))</f>
        <v>-0.3865732956</v>
      </c>
      <c r="AU437" s="174">
        <f>IF(AU$6="","",IF(AU$3="Maior",iferror(VLOOKUP($R437,Capa!$A:$AJ,AU$5,0),0),IF(ISERROR(1/VLOOKUP($R437,Capa!$A:$AJ,AU$5,0)),0,1/VLOOKUP($R437,Capa!$A:$AJ,AU$5,0))))</f>
        <v>25.49</v>
      </c>
      <c r="AV437" s="174" t="str">
        <f>IF(AV$6="","",IF(AV$3="Maior",iferror(VLOOKUP($R437,Capa!$A:$AJ,AV$5,0),0),IF(ISERROR(1/VLOOKUP($R437,Capa!$A:$AJ,AV$5,0)),0,1/VLOOKUP($R437,Capa!$A:$AJ,AV$5,0))))</f>
        <v/>
      </c>
      <c r="AW437" s="174" t="str">
        <f>IF(AW$6="","",IF(AW$3="Maior",iferror(VLOOKUP($R437,Capa!$A:$AJ,AW$5,0),0),IF(ISERROR(1/VLOOKUP($R437,Capa!$A:$AJ,AW$5,0)),0,1/VLOOKUP($R437,Capa!$A:$AJ,AW$5,0))))</f>
        <v/>
      </c>
      <c r="AX437" s="174" t="str">
        <f>IF(AX$6="","",IF(AX$3="Maior",iferror(VLOOKUP($R437,Capa!$A:$AJ,AX$5,0),0),IF(ISERROR(1/VLOOKUP($R437,Capa!$A:$AJ,AX$5,0)),0,1/VLOOKUP($R437,Capa!$A:$AJ,AX$5,0))))</f>
        <v/>
      </c>
      <c r="AY437" s="174" t="str">
        <f>IF(AY$6="","",IF(AY$3="Maior",iferror(VLOOKUP($R437,Capa!$A:$AJ,AY$5,0),0),IF(ISERROR(1/VLOOKUP($R437,Capa!$A:$AJ,AY$5,0)),0,1/VLOOKUP($R437,Capa!$A:$AJ,AY$5,0))))</f>
        <v/>
      </c>
      <c r="AZ437" s="174" t="str">
        <f>IF(AZ$6="","",IF(AZ$3="Maior",iferror(VLOOKUP($R437,Capa!$A:$AJ,AZ$5,0),0),IF(ISERROR(1/VLOOKUP($R437,Capa!$A:$AJ,AZ$5,0)),0,1/VLOOKUP($R437,Capa!$A:$AJ,AZ$5,0))))</f>
        <v/>
      </c>
      <c r="BA437" s="174" t="str">
        <f>IF(BA$6="","",IF(BA$3="Maior",iferror(VLOOKUP($R437,Capa!$A:$AJ,BA$5,0),0),IF(ISERROR(1/VLOOKUP($R437,Capa!$A:$AJ,BA$5,0)),0,1/VLOOKUP($R437,Capa!$A:$AJ,BA$5,0))))</f>
        <v/>
      </c>
      <c r="BB437" s="174" t="str">
        <f>IF(BB$6="","",IF(BB$3="Maior",iferror(VLOOKUP($R437,Capa!$A:$AJ,BB$5,0),0),IF(ISERROR(1/VLOOKUP($R437,Capa!$A:$AJ,BB$5,0)),0,1/VLOOKUP($R437,Capa!$A:$AJ,BB$5,0))))</f>
        <v/>
      </c>
      <c r="BC437" s="174" t="str">
        <f>IF(BC$6="","",IF(BC$3="Maior",iferror(VLOOKUP($R437,Capa!$A:$AJ,BC$5,0),0),IF(ISERROR(1/VLOOKUP($R437,Capa!$A:$AJ,BC$5,0)),0,1/VLOOKUP($R437,Capa!$A:$AJ,BC$5,0))))</f>
        <v/>
      </c>
      <c r="BD437" s="174" t="str">
        <f>IF(BD$6="","",IF(BD$3="Maior",iferror(VLOOKUP($R437,Capa!$A:$AJ,BD$5,0),0),IF(ISERROR(1/VLOOKUP($R437,Capa!$A:$AJ,BD$5,0)),0,1/VLOOKUP($R437,Capa!$A:$AJ,BD$5,0))))</f>
        <v/>
      </c>
      <c r="BE437" s="174" t="str">
        <f>IF(BE$6="","",IF(BE$3="Maior",iferror(VLOOKUP($R437,Capa!$A:$AJ,BE$5,0),0),IF(ISERROR(1/VLOOKUP($R437,Capa!$A:$AJ,BE$5,0)),0,1/VLOOKUP($R437,Capa!$A:$AJ,BE$5,0))))</f>
        <v/>
      </c>
      <c r="BF437" s="174" t="str">
        <f>IF(BF$6="","",IF(BF$3="Maior",iferror(VLOOKUP($R437,Capa!$A:$AJ,BF$5,0),0),IF(ISERROR(1/VLOOKUP($R437,Capa!$A:$AJ,BF$5,0)),0,1/VLOOKUP($R437,Capa!$A:$AJ,BF$5,0))))</f>
        <v/>
      </c>
      <c r="BG437" s="174" t="str">
        <f>IF(BG$6="","",IF(BG$3="Maior",iferror(VLOOKUP($R437,Capa!$A:$AJ,BG$5,0),0),IF(ISERROR(1/VLOOKUP($R437,Capa!$A:$AJ,BG$5,0)),0,1/VLOOKUP($R437,Capa!$A:$AJ,BG$5,0))))</f>
        <v/>
      </c>
      <c r="BH437" s="174" t="str">
        <f>IF(BH$6="","",IF(BH$3="Maior",iferror(VLOOKUP($R437,Capa!$A:$AJ,BH$5,0),0),IF(ISERROR(1/VLOOKUP($R437,Capa!$A:$AJ,BH$5,0)),0,1/VLOOKUP($R437,Capa!$A:$AJ,BH$5,0))))</f>
        <v/>
      </c>
      <c r="BI437" s="174" t="str">
        <f>IF(BI$6="","",IF(BI$3="Maior",iferror(VLOOKUP($R437,Capa!$A:$AJ,BI$5,0),0),IF(ISERROR(1/VLOOKUP($R437,Capa!$A:$AJ,BI$5,0)),0,1/VLOOKUP($R437,Capa!$A:$AJ,BI$5,0))))</f>
        <v/>
      </c>
      <c r="BJ437" s="174" t="str">
        <f>IF(BJ$6="","",IF(BJ$3="Maior",iferror(VLOOKUP($R437,Capa!$A:$AJ,BJ$5,0),0),IF(ISERROR(1/VLOOKUP($R437,Capa!$A:$AJ,BJ$5,0)),0,1/VLOOKUP($R437,Capa!$A:$AJ,BJ$5,0))))</f>
        <v/>
      </c>
      <c r="BK437" s="174" t="str">
        <f>IF(BK$6="","",IF(BK$3="Maior",iferror(VLOOKUP($R437,Capa!$A:$AJ,BK$5,0),0),IF(ISERROR(1/VLOOKUP($R437,Capa!$A:$AJ,BK$5,0)),0,1/VLOOKUP($R437,Capa!$A:$AJ,BK$5,0))))</f>
        <v/>
      </c>
      <c r="BL437" s="174" t="str">
        <f>IF(BL$6="","",IF(BL$3="Maior",iferror(VLOOKUP($R437,Capa!$A:$AJ,BL$5,0),0),IF(ISERROR(1/VLOOKUP($R437,Capa!$A:$AJ,BL$5,0)),0,1/VLOOKUP($R437,Capa!$A:$AJ,BL$5,0))))</f>
        <v/>
      </c>
      <c r="BM437" s="174" t="str">
        <f>IF(BM$6="","",IF(BM$3="Maior",iferror(VLOOKUP($R437,Capa!$A:$AJ,BM$5,0),0),IF(ISERROR(1/VLOOKUP($R437,Capa!$A:$AJ,BM$5,0)),0,1/VLOOKUP($R437,Capa!$A:$AJ,BM$5,0))))</f>
        <v/>
      </c>
      <c r="BN437" s="174" t="str">
        <f>IF(BN$6="","",IF(BN$3="Maior",iferror(VLOOKUP($R437,Capa!$A:$AJ,BN$5,0),0),IF(ISERROR(1/VLOOKUP($R437,Capa!$A:$AJ,BN$5,0)),0,1/VLOOKUP($R437,Capa!$A:$AJ,BN$5,0))))</f>
        <v/>
      </c>
      <c r="BO437" s="174" t="str">
        <f>IF(BO$6="","",IF(BO$3="Maior",iferror(VLOOKUP($R437,Capa!$A:$AJ,BO$5,0),0),IF(ISERROR(1/VLOOKUP($R437,Capa!$A:$AJ,BO$5,0)),0,1/VLOOKUP($R437,Capa!$A:$AJ,BO$5,0))))</f>
        <v/>
      </c>
      <c r="BP437" s="174" t="str">
        <f>IF(BP$6="","",IF(BP$3="Maior",iferror(VLOOKUP($R437,Capa!$A:$AJ,BP$5,0),0),IF(ISERROR(1/VLOOKUP($R437,Capa!$A:$AJ,BP$5,0)),0,1/VLOOKUP($R437,Capa!$A:$AJ,BP$5,0))))</f>
        <v/>
      </c>
      <c r="BQ437" s="174" t="str">
        <f>IF(BQ$6="","",IF(BQ$3="Maior",iferror(VLOOKUP($R437,Capa!$A:$AJ,BQ$5,0),0),IF(ISERROR(1/VLOOKUP($R437,Capa!$A:$AJ,BQ$5,0)),0,1/VLOOKUP($R437,Capa!$A:$AJ,BQ$5,0))))</f>
        <v/>
      </c>
      <c r="BR437" s="175"/>
      <c r="BS437" s="147"/>
    </row>
    <row r="438">
      <c r="G438" s="11"/>
      <c r="H438" s="8">
        <v>432.0</v>
      </c>
      <c r="I438" s="165" t="str">
        <f t="shared" si="6"/>
        <v>CGAS5</v>
      </c>
      <c r="J438" s="166" t="str">
        <f>(VLOOKUP($I438,Capa!$A:$B,2,0))</f>
        <v>Companhia de Gas de Sao Paulo COMGAS Preference Shares Class A</v>
      </c>
      <c r="K438" s="167" t="str">
        <f>VLOOKUP(left(I438,4),Setor!A:D,3,0)&amp;" | "&amp;VLOOKUP(left(I438,4),Setor!A:D,4,0)</f>
        <v>Utilidade Pública | Gás</v>
      </c>
      <c r="L438" s="168">
        <f>(VLOOKUP($I438,Capa!$A:$F,6,0))</f>
        <v>131.39</v>
      </c>
      <c r="M438" s="168">
        <f t="shared" si="7"/>
        <v>67643.05</v>
      </c>
      <c r="N438" s="11" t="str">
        <f>IFERROR(__xludf.DUMMYFUNCTION("(VLOOKUP($I438,Capa!$A:$H,7,0))"),"")</f>
        <v/>
      </c>
      <c r="O438" s="169">
        <f>(VLOOKUP($I438,Capa!$A:$H,8,0))</f>
        <v>-0.0008365019011</v>
      </c>
      <c r="P438" s="11" t="str">
        <f>IFERROR(__xludf.DUMMYFUNCTION("(VLOOKUP($I438,Capa!$A:$J,10,0))"),"")</f>
        <v/>
      </c>
      <c r="Q438" s="169">
        <f>(VLOOKUP($I438,Capa!$A:$K,11,0))</f>
        <v>-0.01061746988</v>
      </c>
      <c r="R438" s="45" t="str">
        <f>'Dados StatusInvest'!A433</f>
        <v>OGXP3</v>
      </c>
      <c r="S438" s="170">
        <f t="shared" si="234"/>
        <v>1282.0282</v>
      </c>
      <c r="T438" s="171">
        <f>VLOOKUP(R438,'Dados StatusInvest'!A:Z,26,0)</f>
        <v>0</v>
      </c>
      <c r="U438" s="172">
        <f t="shared" ref="U438:AS438" si="441">IF(AT438="","", RANK(AT438,AT$7:AT$626,0)+RANK(AT438,AT$7:AT$626,0)/10000)</f>
        <v>15.0015</v>
      </c>
      <c r="V438" s="172">
        <f t="shared" si="441"/>
        <v>267.0267</v>
      </c>
      <c r="W438" s="172" t="str">
        <f t="shared" si="441"/>
        <v/>
      </c>
      <c r="X438" s="172" t="str">
        <f t="shared" si="441"/>
        <v/>
      </c>
      <c r="Y438" s="172" t="str">
        <f t="shared" si="441"/>
        <v/>
      </c>
      <c r="Z438" s="172" t="str">
        <f t="shared" si="441"/>
        <v/>
      </c>
      <c r="AA438" s="172" t="str">
        <f t="shared" si="441"/>
        <v/>
      </c>
      <c r="AB438" s="172" t="str">
        <f t="shared" si="441"/>
        <v/>
      </c>
      <c r="AC438" s="172" t="str">
        <f t="shared" si="441"/>
        <v/>
      </c>
      <c r="AD438" s="172" t="str">
        <f t="shared" si="441"/>
        <v/>
      </c>
      <c r="AE438" s="172" t="str">
        <f t="shared" si="441"/>
        <v/>
      </c>
      <c r="AF438" s="172" t="str">
        <f t="shared" si="441"/>
        <v/>
      </c>
      <c r="AG438" s="172" t="str">
        <f t="shared" si="441"/>
        <v/>
      </c>
      <c r="AH438" s="172" t="str">
        <f t="shared" si="441"/>
        <v/>
      </c>
      <c r="AI438" s="172" t="str">
        <f t="shared" si="441"/>
        <v/>
      </c>
      <c r="AJ438" s="172" t="str">
        <f t="shared" si="441"/>
        <v/>
      </c>
      <c r="AK438" s="172" t="str">
        <f t="shared" si="441"/>
        <v/>
      </c>
      <c r="AL438" s="172" t="str">
        <f t="shared" si="441"/>
        <v/>
      </c>
      <c r="AM438" s="172" t="str">
        <f t="shared" si="441"/>
        <v/>
      </c>
      <c r="AN438" s="172" t="str">
        <f t="shared" si="441"/>
        <v/>
      </c>
      <c r="AO438" s="172" t="str">
        <f t="shared" si="441"/>
        <v/>
      </c>
      <c r="AP438" s="172" t="str">
        <f t="shared" si="441"/>
        <v/>
      </c>
      <c r="AQ438" s="172" t="str">
        <f t="shared" si="441"/>
        <v/>
      </c>
      <c r="AR438" s="172" t="str">
        <f t="shared" si="441"/>
        <v/>
      </c>
      <c r="AS438" s="172" t="str">
        <f t="shared" si="441"/>
        <v/>
      </c>
      <c r="AT438" s="173">
        <f>IF(AT$6="","",IF(AT$3="Maior",iferror(VLOOKUP($R438,Capa!$A:$AJ,AT$5,0),0),IF(ISERROR(1/VLOOKUP($R438,Capa!$A:$AJ,AT$5,0)),0,1/VLOOKUP($R438,Capa!$A:$AJ,AT$5,0))))</f>
        <v>1.020408163</v>
      </c>
      <c r="AU438" s="174">
        <f>IF(AU$6="","",IF(AU$3="Maior",iferror(VLOOKUP($R438,Capa!$A:$AJ,AU$5,0),0),IF(ISERROR(1/VLOOKUP($R438,Capa!$A:$AJ,AU$5,0)),0,1/VLOOKUP($R438,Capa!$A:$AJ,AU$5,0))))</f>
        <v>0</v>
      </c>
      <c r="AV438" s="174" t="str">
        <f>IF(AV$6="","",IF(AV$3="Maior",iferror(VLOOKUP($R438,Capa!$A:$AJ,AV$5,0),0),IF(ISERROR(1/VLOOKUP($R438,Capa!$A:$AJ,AV$5,0)),0,1/VLOOKUP($R438,Capa!$A:$AJ,AV$5,0))))</f>
        <v/>
      </c>
      <c r="AW438" s="174" t="str">
        <f>IF(AW$6="","",IF(AW$3="Maior",iferror(VLOOKUP($R438,Capa!$A:$AJ,AW$5,0),0),IF(ISERROR(1/VLOOKUP($R438,Capa!$A:$AJ,AW$5,0)),0,1/VLOOKUP($R438,Capa!$A:$AJ,AW$5,0))))</f>
        <v/>
      </c>
      <c r="AX438" s="174" t="str">
        <f>IF(AX$6="","",IF(AX$3="Maior",iferror(VLOOKUP($R438,Capa!$A:$AJ,AX$5,0),0),IF(ISERROR(1/VLOOKUP($R438,Capa!$A:$AJ,AX$5,0)),0,1/VLOOKUP($R438,Capa!$A:$AJ,AX$5,0))))</f>
        <v/>
      </c>
      <c r="AY438" s="174" t="str">
        <f>IF(AY$6="","",IF(AY$3="Maior",iferror(VLOOKUP($R438,Capa!$A:$AJ,AY$5,0),0),IF(ISERROR(1/VLOOKUP($R438,Capa!$A:$AJ,AY$5,0)),0,1/VLOOKUP($R438,Capa!$A:$AJ,AY$5,0))))</f>
        <v/>
      </c>
      <c r="AZ438" s="174" t="str">
        <f>IF(AZ$6="","",IF(AZ$3="Maior",iferror(VLOOKUP($R438,Capa!$A:$AJ,AZ$5,0),0),IF(ISERROR(1/VLOOKUP($R438,Capa!$A:$AJ,AZ$5,0)),0,1/VLOOKUP($R438,Capa!$A:$AJ,AZ$5,0))))</f>
        <v/>
      </c>
      <c r="BA438" s="174" t="str">
        <f>IF(BA$6="","",IF(BA$3="Maior",iferror(VLOOKUP($R438,Capa!$A:$AJ,BA$5,0),0),IF(ISERROR(1/VLOOKUP($R438,Capa!$A:$AJ,BA$5,0)),0,1/VLOOKUP($R438,Capa!$A:$AJ,BA$5,0))))</f>
        <v/>
      </c>
      <c r="BB438" s="174" t="str">
        <f>IF(BB$6="","",IF(BB$3="Maior",iferror(VLOOKUP($R438,Capa!$A:$AJ,BB$5,0),0),IF(ISERROR(1/VLOOKUP($R438,Capa!$A:$AJ,BB$5,0)),0,1/VLOOKUP($R438,Capa!$A:$AJ,BB$5,0))))</f>
        <v/>
      </c>
      <c r="BC438" s="174" t="str">
        <f>IF(BC$6="","",IF(BC$3="Maior",iferror(VLOOKUP($R438,Capa!$A:$AJ,BC$5,0),0),IF(ISERROR(1/VLOOKUP($R438,Capa!$A:$AJ,BC$5,0)),0,1/VLOOKUP($R438,Capa!$A:$AJ,BC$5,0))))</f>
        <v/>
      </c>
      <c r="BD438" s="174" t="str">
        <f>IF(BD$6="","",IF(BD$3="Maior",iferror(VLOOKUP($R438,Capa!$A:$AJ,BD$5,0),0),IF(ISERROR(1/VLOOKUP($R438,Capa!$A:$AJ,BD$5,0)),0,1/VLOOKUP($R438,Capa!$A:$AJ,BD$5,0))))</f>
        <v/>
      </c>
      <c r="BE438" s="174" t="str">
        <f>IF(BE$6="","",IF(BE$3="Maior",iferror(VLOOKUP($R438,Capa!$A:$AJ,BE$5,0),0),IF(ISERROR(1/VLOOKUP($R438,Capa!$A:$AJ,BE$5,0)),0,1/VLOOKUP($R438,Capa!$A:$AJ,BE$5,0))))</f>
        <v/>
      </c>
      <c r="BF438" s="174" t="str">
        <f>IF(BF$6="","",IF(BF$3="Maior",iferror(VLOOKUP($R438,Capa!$A:$AJ,BF$5,0),0),IF(ISERROR(1/VLOOKUP($R438,Capa!$A:$AJ,BF$5,0)),0,1/VLOOKUP($R438,Capa!$A:$AJ,BF$5,0))))</f>
        <v/>
      </c>
      <c r="BG438" s="174" t="str">
        <f>IF(BG$6="","",IF(BG$3="Maior",iferror(VLOOKUP($R438,Capa!$A:$AJ,BG$5,0),0),IF(ISERROR(1/VLOOKUP($R438,Capa!$A:$AJ,BG$5,0)),0,1/VLOOKUP($R438,Capa!$A:$AJ,BG$5,0))))</f>
        <v/>
      </c>
      <c r="BH438" s="174" t="str">
        <f>IF(BH$6="","",IF(BH$3="Maior",iferror(VLOOKUP($R438,Capa!$A:$AJ,BH$5,0),0),IF(ISERROR(1/VLOOKUP($R438,Capa!$A:$AJ,BH$5,0)),0,1/VLOOKUP($R438,Capa!$A:$AJ,BH$5,0))))</f>
        <v/>
      </c>
      <c r="BI438" s="174" t="str">
        <f>IF(BI$6="","",IF(BI$3="Maior",iferror(VLOOKUP($R438,Capa!$A:$AJ,BI$5,0),0),IF(ISERROR(1/VLOOKUP($R438,Capa!$A:$AJ,BI$5,0)),0,1/VLOOKUP($R438,Capa!$A:$AJ,BI$5,0))))</f>
        <v/>
      </c>
      <c r="BJ438" s="174" t="str">
        <f>IF(BJ$6="","",IF(BJ$3="Maior",iferror(VLOOKUP($R438,Capa!$A:$AJ,BJ$5,0),0),IF(ISERROR(1/VLOOKUP($R438,Capa!$A:$AJ,BJ$5,0)),0,1/VLOOKUP($R438,Capa!$A:$AJ,BJ$5,0))))</f>
        <v/>
      </c>
      <c r="BK438" s="174" t="str">
        <f>IF(BK$6="","",IF(BK$3="Maior",iferror(VLOOKUP($R438,Capa!$A:$AJ,BK$5,0),0),IF(ISERROR(1/VLOOKUP($R438,Capa!$A:$AJ,BK$5,0)),0,1/VLOOKUP($R438,Capa!$A:$AJ,BK$5,0))))</f>
        <v/>
      </c>
      <c r="BL438" s="174" t="str">
        <f>IF(BL$6="","",IF(BL$3="Maior",iferror(VLOOKUP($R438,Capa!$A:$AJ,BL$5,0),0),IF(ISERROR(1/VLOOKUP($R438,Capa!$A:$AJ,BL$5,0)),0,1/VLOOKUP($R438,Capa!$A:$AJ,BL$5,0))))</f>
        <v/>
      </c>
      <c r="BM438" s="174" t="str">
        <f>IF(BM$6="","",IF(BM$3="Maior",iferror(VLOOKUP($R438,Capa!$A:$AJ,BM$5,0),0),IF(ISERROR(1/VLOOKUP($R438,Capa!$A:$AJ,BM$5,0)),0,1/VLOOKUP($R438,Capa!$A:$AJ,BM$5,0))))</f>
        <v/>
      </c>
      <c r="BN438" s="174" t="str">
        <f>IF(BN$6="","",IF(BN$3="Maior",iferror(VLOOKUP($R438,Capa!$A:$AJ,BN$5,0),0),IF(ISERROR(1/VLOOKUP($R438,Capa!$A:$AJ,BN$5,0)),0,1/VLOOKUP($R438,Capa!$A:$AJ,BN$5,0))))</f>
        <v/>
      </c>
      <c r="BO438" s="174" t="str">
        <f>IF(BO$6="","",IF(BO$3="Maior",iferror(VLOOKUP($R438,Capa!$A:$AJ,BO$5,0),0),IF(ISERROR(1/VLOOKUP($R438,Capa!$A:$AJ,BO$5,0)),0,1/VLOOKUP($R438,Capa!$A:$AJ,BO$5,0))))</f>
        <v/>
      </c>
      <c r="BP438" s="174" t="str">
        <f>IF(BP$6="","",IF(BP$3="Maior",iferror(VLOOKUP($R438,Capa!$A:$AJ,BP$5,0),0),IF(ISERROR(1/VLOOKUP($R438,Capa!$A:$AJ,BP$5,0)),0,1/VLOOKUP($R438,Capa!$A:$AJ,BP$5,0))))</f>
        <v/>
      </c>
      <c r="BQ438" s="174" t="str">
        <f>IF(BQ$6="","",IF(BQ$3="Maior",iferror(VLOOKUP($R438,Capa!$A:$AJ,BQ$5,0),0),IF(ISERROR(1/VLOOKUP($R438,Capa!$A:$AJ,BQ$5,0)),0,1/VLOOKUP($R438,Capa!$A:$AJ,BQ$5,0))))</f>
        <v/>
      </c>
      <c r="BR438" s="175"/>
      <c r="BS438" s="147"/>
    </row>
    <row r="439">
      <c r="H439" s="8">
        <v>433.0</v>
      </c>
      <c r="I439" s="165" t="str">
        <f t="shared" si="6"/>
        <v>CRPG5</v>
      </c>
      <c r="J439" s="166" t="str">
        <f>(VLOOKUP($I439,Capa!$A:$B,2,0))</f>
        <v>Cristal Pigmentos do Brasil Pref Shs A</v>
      </c>
      <c r="K439" s="167" t="str">
        <f>VLOOKUP(left(I439,4),Setor!A:D,3,0)&amp;" | "&amp;VLOOKUP(left(I439,4),Setor!A:D,4,0)</f>
        <v>Materiais Básicos | Químicos</v>
      </c>
      <c r="L439" s="168">
        <f>(VLOOKUP($I439,Capa!$A:$F,6,0))</f>
        <v>20.3</v>
      </c>
      <c r="M439" s="168">
        <f t="shared" si="7"/>
        <v>40301.24</v>
      </c>
      <c r="N439" s="11" t="str">
        <f>IFERROR(__xludf.DUMMYFUNCTION("(VLOOKUP($I439,Capa!$A:$H,7,0))"),"")</f>
        <v/>
      </c>
      <c r="O439" s="169">
        <f>(VLOOKUP($I439,Capa!$A:$H,8,0))</f>
        <v>0.04639175258</v>
      </c>
      <c r="P439" s="11" t="str">
        <f>IFERROR(__xludf.DUMMYFUNCTION("(VLOOKUP($I439,Capa!$A:$J,10,0))"),"")</f>
        <v/>
      </c>
      <c r="Q439" s="169">
        <f>(VLOOKUP($I439,Capa!$A:$K,11,0))</f>
        <v>0.04316546763</v>
      </c>
      <c r="R439" s="45" t="str">
        <f>'Dados StatusInvest'!A434</f>
        <v>OIBR3</v>
      </c>
      <c r="S439" s="170">
        <f t="shared" si="234"/>
        <v>1318.0318</v>
      </c>
      <c r="T439" s="171">
        <f>VLOOKUP(R439,'Dados StatusInvest'!A:Z,26,0)</f>
        <v>175070.4</v>
      </c>
      <c r="U439" s="172">
        <f t="shared" ref="U439:AS439" si="442">IF(AT439="","", RANK(AT439,AT$7:AT$626,0)+RANK(AT439,AT$7:AT$626,0)/10000)</f>
        <v>51.0051</v>
      </c>
      <c r="V439" s="172">
        <f t="shared" si="442"/>
        <v>267.0267</v>
      </c>
      <c r="W439" s="172" t="str">
        <f t="shared" si="442"/>
        <v/>
      </c>
      <c r="X439" s="172" t="str">
        <f t="shared" si="442"/>
        <v/>
      </c>
      <c r="Y439" s="172" t="str">
        <f t="shared" si="442"/>
        <v/>
      </c>
      <c r="Z439" s="172" t="str">
        <f t="shared" si="442"/>
        <v/>
      </c>
      <c r="AA439" s="172" t="str">
        <f t="shared" si="442"/>
        <v/>
      </c>
      <c r="AB439" s="172" t="str">
        <f t="shared" si="442"/>
        <v/>
      </c>
      <c r="AC439" s="172" t="str">
        <f t="shared" si="442"/>
        <v/>
      </c>
      <c r="AD439" s="172" t="str">
        <f t="shared" si="442"/>
        <v/>
      </c>
      <c r="AE439" s="172" t="str">
        <f t="shared" si="442"/>
        <v/>
      </c>
      <c r="AF439" s="172" t="str">
        <f t="shared" si="442"/>
        <v/>
      </c>
      <c r="AG439" s="172" t="str">
        <f t="shared" si="442"/>
        <v/>
      </c>
      <c r="AH439" s="172" t="str">
        <f t="shared" si="442"/>
        <v/>
      </c>
      <c r="AI439" s="172" t="str">
        <f t="shared" si="442"/>
        <v/>
      </c>
      <c r="AJ439" s="172" t="str">
        <f t="shared" si="442"/>
        <v/>
      </c>
      <c r="AK439" s="172" t="str">
        <f t="shared" si="442"/>
        <v/>
      </c>
      <c r="AL439" s="172" t="str">
        <f t="shared" si="442"/>
        <v/>
      </c>
      <c r="AM439" s="172" t="str">
        <f t="shared" si="442"/>
        <v/>
      </c>
      <c r="AN439" s="172" t="str">
        <f t="shared" si="442"/>
        <v/>
      </c>
      <c r="AO439" s="172" t="str">
        <f t="shared" si="442"/>
        <v/>
      </c>
      <c r="AP439" s="172" t="str">
        <f t="shared" si="442"/>
        <v/>
      </c>
      <c r="AQ439" s="172" t="str">
        <f t="shared" si="442"/>
        <v/>
      </c>
      <c r="AR439" s="172" t="str">
        <f t="shared" si="442"/>
        <v/>
      </c>
      <c r="AS439" s="172" t="str">
        <f t="shared" si="442"/>
        <v/>
      </c>
      <c r="AT439" s="173">
        <f>IF(AT$6="","",IF(AT$3="Maior",iferror(VLOOKUP($R439,Capa!$A:$AJ,AT$5,0),0),IF(ISERROR(1/VLOOKUP($R439,Capa!$A:$AJ,AT$5,0)),0,1/VLOOKUP($R439,Capa!$A:$AJ,AT$5,0))))</f>
        <v>0</v>
      </c>
      <c r="AU439" s="174">
        <f>IF(AU$6="","",IF(AU$3="Maior",iferror(VLOOKUP($R439,Capa!$A:$AJ,AU$5,0),0),IF(ISERROR(1/VLOOKUP($R439,Capa!$A:$AJ,AU$5,0)),0,1/VLOOKUP($R439,Capa!$A:$AJ,AU$5,0))))</f>
        <v>0</v>
      </c>
      <c r="AV439" s="174" t="str">
        <f>IF(AV$6="","",IF(AV$3="Maior",iferror(VLOOKUP($R439,Capa!$A:$AJ,AV$5,0),0),IF(ISERROR(1/VLOOKUP($R439,Capa!$A:$AJ,AV$5,0)),0,1/VLOOKUP($R439,Capa!$A:$AJ,AV$5,0))))</f>
        <v/>
      </c>
      <c r="AW439" s="174" t="str">
        <f>IF(AW$6="","",IF(AW$3="Maior",iferror(VLOOKUP($R439,Capa!$A:$AJ,AW$5,0),0),IF(ISERROR(1/VLOOKUP($R439,Capa!$A:$AJ,AW$5,0)),0,1/VLOOKUP($R439,Capa!$A:$AJ,AW$5,0))))</f>
        <v/>
      </c>
      <c r="AX439" s="174" t="str">
        <f>IF(AX$6="","",IF(AX$3="Maior",iferror(VLOOKUP($R439,Capa!$A:$AJ,AX$5,0),0),IF(ISERROR(1/VLOOKUP($R439,Capa!$A:$AJ,AX$5,0)),0,1/VLOOKUP($R439,Capa!$A:$AJ,AX$5,0))))</f>
        <v/>
      </c>
      <c r="AY439" s="174" t="str">
        <f>IF(AY$6="","",IF(AY$3="Maior",iferror(VLOOKUP($R439,Capa!$A:$AJ,AY$5,0),0),IF(ISERROR(1/VLOOKUP($R439,Capa!$A:$AJ,AY$5,0)),0,1/VLOOKUP($R439,Capa!$A:$AJ,AY$5,0))))</f>
        <v/>
      </c>
      <c r="AZ439" s="174" t="str">
        <f>IF(AZ$6="","",IF(AZ$3="Maior",iferror(VLOOKUP($R439,Capa!$A:$AJ,AZ$5,0),0),IF(ISERROR(1/VLOOKUP($R439,Capa!$A:$AJ,AZ$5,0)),0,1/VLOOKUP($R439,Capa!$A:$AJ,AZ$5,0))))</f>
        <v/>
      </c>
      <c r="BA439" s="174" t="str">
        <f>IF(BA$6="","",IF(BA$3="Maior",iferror(VLOOKUP($R439,Capa!$A:$AJ,BA$5,0),0),IF(ISERROR(1/VLOOKUP($R439,Capa!$A:$AJ,BA$5,0)),0,1/VLOOKUP($R439,Capa!$A:$AJ,BA$5,0))))</f>
        <v/>
      </c>
      <c r="BB439" s="174" t="str">
        <f>IF(BB$6="","",IF(BB$3="Maior",iferror(VLOOKUP($R439,Capa!$A:$AJ,BB$5,0),0),IF(ISERROR(1/VLOOKUP($R439,Capa!$A:$AJ,BB$5,0)),0,1/VLOOKUP($R439,Capa!$A:$AJ,BB$5,0))))</f>
        <v/>
      </c>
      <c r="BC439" s="174" t="str">
        <f>IF(BC$6="","",IF(BC$3="Maior",iferror(VLOOKUP($R439,Capa!$A:$AJ,BC$5,0),0),IF(ISERROR(1/VLOOKUP($R439,Capa!$A:$AJ,BC$5,0)),0,1/VLOOKUP($R439,Capa!$A:$AJ,BC$5,0))))</f>
        <v/>
      </c>
      <c r="BD439" s="174" t="str">
        <f>IF(BD$6="","",IF(BD$3="Maior",iferror(VLOOKUP($R439,Capa!$A:$AJ,BD$5,0),0),IF(ISERROR(1/VLOOKUP($R439,Capa!$A:$AJ,BD$5,0)),0,1/VLOOKUP($R439,Capa!$A:$AJ,BD$5,0))))</f>
        <v/>
      </c>
      <c r="BE439" s="174" t="str">
        <f>IF(BE$6="","",IF(BE$3="Maior",iferror(VLOOKUP($R439,Capa!$A:$AJ,BE$5,0),0),IF(ISERROR(1/VLOOKUP($R439,Capa!$A:$AJ,BE$5,0)),0,1/VLOOKUP($R439,Capa!$A:$AJ,BE$5,0))))</f>
        <v/>
      </c>
      <c r="BF439" s="174" t="str">
        <f>IF(BF$6="","",IF(BF$3="Maior",iferror(VLOOKUP($R439,Capa!$A:$AJ,BF$5,0),0),IF(ISERROR(1/VLOOKUP($R439,Capa!$A:$AJ,BF$5,0)),0,1/VLOOKUP($R439,Capa!$A:$AJ,BF$5,0))))</f>
        <v/>
      </c>
      <c r="BG439" s="174" t="str">
        <f>IF(BG$6="","",IF(BG$3="Maior",iferror(VLOOKUP($R439,Capa!$A:$AJ,BG$5,0),0),IF(ISERROR(1/VLOOKUP($R439,Capa!$A:$AJ,BG$5,0)),0,1/VLOOKUP($R439,Capa!$A:$AJ,BG$5,0))))</f>
        <v/>
      </c>
      <c r="BH439" s="174" t="str">
        <f>IF(BH$6="","",IF(BH$3="Maior",iferror(VLOOKUP($R439,Capa!$A:$AJ,BH$5,0),0),IF(ISERROR(1/VLOOKUP($R439,Capa!$A:$AJ,BH$5,0)),0,1/VLOOKUP($R439,Capa!$A:$AJ,BH$5,0))))</f>
        <v/>
      </c>
      <c r="BI439" s="174" t="str">
        <f>IF(BI$6="","",IF(BI$3="Maior",iferror(VLOOKUP($R439,Capa!$A:$AJ,BI$5,0),0),IF(ISERROR(1/VLOOKUP($R439,Capa!$A:$AJ,BI$5,0)),0,1/VLOOKUP($R439,Capa!$A:$AJ,BI$5,0))))</f>
        <v/>
      </c>
      <c r="BJ439" s="174" t="str">
        <f>IF(BJ$6="","",IF(BJ$3="Maior",iferror(VLOOKUP($R439,Capa!$A:$AJ,BJ$5,0),0),IF(ISERROR(1/VLOOKUP($R439,Capa!$A:$AJ,BJ$5,0)),0,1/VLOOKUP($R439,Capa!$A:$AJ,BJ$5,0))))</f>
        <v/>
      </c>
      <c r="BK439" s="174" t="str">
        <f>IF(BK$6="","",IF(BK$3="Maior",iferror(VLOOKUP($R439,Capa!$A:$AJ,BK$5,0),0),IF(ISERROR(1/VLOOKUP($R439,Capa!$A:$AJ,BK$5,0)),0,1/VLOOKUP($R439,Capa!$A:$AJ,BK$5,0))))</f>
        <v/>
      </c>
      <c r="BL439" s="174" t="str">
        <f>IF(BL$6="","",IF(BL$3="Maior",iferror(VLOOKUP($R439,Capa!$A:$AJ,BL$5,0),0),IF(ISERROR(1/VLOOKUP($R439,Capa!$A:$AJ,BL$5,0)),0,1/VLOOKUP($R439,Capa!$A:$AJ,BL$5,0))))</f>
        <v/>
      </c>
      <c r="BM439" s="174" t="str">
        <f>IF(BM$6="","",IF(BM$3="Maior",iferror(VLOOKUP($R439,Capa!$A:$AJ,BM$5,0),0),IF(ISERROR(1/VLOOKUP($R439,Capa!$A:$AJ,BM$5,0)),0,1/VLOOKUP($R439,Capa!$A:$AJ,BM$5,0))))</f>
        <v/>
      </c>
      <c r="BN439" s="174" t="str">
        <f>IF(BN$6="","",IF(BN$3="Maior",iferror(VLOOKUP($R439,Capa!$A:$AJ,BN$5,0),0),IF(ISERROR(1/VLOOKUP($R439,Capa!$A:$AJ,BN$5,0)),0,1/VLOOKUP($R439,Capa!$A:$AJ,BN$5,0))))</f>
        <v/>
      </c>
      <c r="BO439" s="174" t="str">
        <f>IF(BO$6="","",IF(BO$3="Maior",iferror(VLOOKUP($R439,Capa!$A:$AJ,BO$5,0),0),IF(ISERROR(1/VLOOKUP($R439,Capa!$A:$AJ,BO$5,0)),0,1/VLOOKUP($R439,Capa!$A:$AJ,BO$5,0))))</f>
        <v/>
      </c>
      <c r="BP439" s="174" t="str">
        <f>IF(BP$6="","",IF(BP$3="Maior",iferror(VLOOKUP($R439,Capa!$A:$AJ,BP$5,0),0),IF(ISERROR(1/VLOOKUP($R439,Capa!$A:$AJ,BP$5,0)),0,1/VLOOKUP($R439,Capa!$A:$AJ,BP$5,0))))</f>
        <v/>
      </c>
      <c r="BQ439" s="174" t="str">
        <f>IF(BQ$6="","",IF(BQ$3="Maior",iferror(VLOOKUP($R439,Capa!$A:$AJ,BQ$5,0),0),IF(ISERROR(1/VLOOKUP($R439,Capa!$A:$AJ,BQ$5,0)),0,1/VLOOKUP($R439,Capa!$A:$AJ,BQ$5,0))))</f>
        <v/>
      </c>
      <c r="BR439" s="175"/>
      <c r="BS439" s="147"/>
    </row>
    <row r="440">
      <c r="H440" s="8">
        <v>434.0</v>
      </c>
      <c r="I440" s="165" t="str">
        <f t="shared" si="6"/>
        <v>CGAS3</v>
      </c>
      <c r="J440" s="166" t="str">
        <f>(VLOOKUP($I440,Capa!$A:$B,2,0))</f>
        <v>Companhia de Gas de Sao Paulo COMGAS</v>
      </c>
      <c r="K440" s="167" t="str">
        <f>VLOOKUP(left(I440,4),Setor!A:D,3,0)&amp;" | "&amp;VLOOKUP(left(I440,4),Setor!A:D,4,0)</f>
        <v>Utilidade Pública | Gás</v>
      </c>
      <c r="L440" s="168">
        <f>(VLOOKUP($I440,Capa!$A:$F,6,0))</f>
        <v>127.01</v>
      </c>
      <c r="M440" s="168">
        <f t="shared" si="7"/>
        <v>21969.2</v>
      </c>
      <c r="N440" s="11" t="str">
        <f>IFERROR(__xludf.DUMMYFUNCTION("(VLOOKUP($I440,Capa!$A:$H,7,0))"),"")</f>
        <v/>
      </c>
      <c r="O440" s="169">
        <f>(VLOOKUP($I440,Capa!$A:$H,8,0))</f>
        <v>-0.01527368584</v>
      </c>
      <c r="P440" s="11" t="str">
        <f>IFERROR(__xludf.DUMMYFUNCTION("(VLOOKUP($I440,Capa!$A:$J,10,0))"),"")</f>
        <v/>
      </c>
      <c r="Q440" s="169">
        <f>(VLOOKUP($I440,Capa!$A:$K,11,0))</f>
        <v>0.008095880625</v>
      </c>
      <c r="R440" s="45" t="str">
        <f>'Dados StatusInvest'!A435</f>
        <v>OIBR4</v>
      </c>
      <c r="S440" s="170">
        <f t="shared" si="234"/>
        <v>1874.0874</v>
      </c>
      <c r="T440" s="171">
        <f>VLOOKUP(R440,'Dados StatusInvest'!A:Z,26,0)</f>
        <v>4220.81</v>
      </c>
      <c r="U440" s="172">
        <f t="shared" ref="U440:AS440" si="443">IF(AT440="","", RANK(AT440,AT$7:AT$626,0)+RANK(AT440,AT$7:AT$626,0)/10000)</f>
        <v>607.0607</v>
      </c>
      <c r="V440" s="172">
        <f t="shared" si="443"/>
        <v>267.0267</v>
      </c>
      <c r="W440" s="172" t="str">
        <f t="shared" si="443"/>
        <v/>
      </c>
      <c r="X440" s="172" t="str">
        <f t="shared" si="443"/>
        <v/>
      </c>
      <c r="Y440" s="172" t="str">
        <f t="shared" si="443"/>
        <v/>
      </c>
      <c r="Z440" s="172" t="str">
        <f t="shared" si="443"/>
        <v/>
      </c>
      <c r="AA440" s="172" t="str">
        <f t="shared" si="443"/>
        <v/>
      </c>
      <c r="AB440" s="172" t="str">
        <f t="shared" si="443"/>
        <v/>
      </c>
      <c r="AC440" s="172" t="str">
        <f t="shared" si="443"/>
        <v/>
      </c>
      <c r="AD440" s="172" t="str">
        <f t="shared" si="443"/>
        <v/>
      </c>
      <c r="AE440" s="172" t="str">
        <f t="shared" si="443"/>
        <v/>
      </c>
      <c r="AF440" s="172" t="str">
        <f t="shared" si="443"/>
        <v/>
      </c>
      <c r="AG440" s="172" t="str">
        <f t="shared" si="443"/>
        <v/>
      </c>
      <c r="AH440" s="172" t="str">
        <f t="shared" si="443"/>
        <v/>
      </c>
      <c r="AI440" s="172" t="str">
        <f t="shared" si="443"/>
        <v/>
      </c>
      <c r="AJ440" s="172" t="str">
        <f t="shared" si="443"/>
        <v/>
      </c>
      <c r="AK440" s="172" t="str">
        <f t="shared" si="443"/>
        <v/>
      </c>
      <c r="AL440" s="172" t="str">
        <f t="shared" si="443"/>
        <v/>
      </c>
      <c r="AM440" s="172" t="str">
        <f t="shared" si="443"/>
        <v/>
      </c>
      <c r="AN440" s="172" t="str">
        <f t="shared" si="443"/>
        <v/>
      </c>
      <c r="AO440" s="172" t="str">
        <f t="shared" si="443"/>
        <v/>
      </c>
      <c r="AP440" s="172" t="str">
        <f t="shared" si="443"/>
        <v/>
      </c>
      <c r="AQ440" s="172" t="str">
        <f t="shared" si="443"/>
        <v/>
      </c>
      <c r="AR440" s="172" t="str">
        <f t="shared" si="443"/>
        <v/>
      </c>
      <c r="AS440" s="172" t="str">
        <f t="shared" si="443"/>
        <v/>
      </c>
      <c r="AT440" s="173">
        <f>IF(AT$6="","",IF(AT$3="Maior",iferror(VLOOKUP($R440,Capa!$A:$AJ,AT$5,0),0),IF(ISERROR(1/VLOOKUP($R440,Capa!$A:$AJ,AT$5,0)),0,1/VLOOKUP($R440,Capa!$A:$AJ,AT$5,0))))</f>
        <v>-33.33333333</v>
      </c>
      <c r="AU440" s="174">
        <f>IF(AU$6="","",IF(AU$3="Maior",iferror(VLOOKUP($R440,Capa!$A:$AJ,AU$5,0),0),IF(ISERROR(1/VLOOKUP($R440,Capa!$A:$AJ,AU$5,0)),0,1/VLOOKUP($R440,Capa!$A:$AJ,AU$5,0))))</f>
        <v>0</v>
      </c>
      <c r="AV440" s="174" t="str">
        <f>IF(AV$6="","",IF(AV$3="Maior",iferror(VLOOKUP($R440,Capa!$A:$AJ,AV$5,0),0),IF(ISERROR(1/VLOOKUP($R440,Capa!$A:$AJ,AV$5,0)),0,1/VLOOKUP($R440,Capa!$A:$AJ,AV$5,0))))</f>
        <v/>
      </c>
      <c r="AW440" s="174" t="str">
        <f>IF(AW$6="","",IF(AW$3="Maior",iferror(VLOOKUP($R440,Capa!$A:$AJ,AW$5,0),0),IF(ISERROR(1/VLOOKUP($R440,Capa!$A:$AJ,AW$5,0)),0,1/VLOOKUP($R440,Capa!$A:$AJ,AW$5,0))))</f>
        <v/>
      </c>
      <c r="AX440" s="174" t="str">
        <f>IF(AX$6="","",IF(AX$3="Maior",iferror(VLOOKUP($R440,Capa!$A:$AJ,AX$5,0),0),IF(ISERROR(1/VLOOKUP($R440,Capa!$A:$AJ,AX$5,0)),0,1/VLOOKUP($R440,Capa!$A:$AJ,AX$5,0))))</f>
        <v/>
      </c>
      <c r="AY440" s="174" t="str">
        <f>IF(AY$6="","",IF(AY$3="Maior",iferror(VLOOKUP($R440,Capa!$A:$AJ,AY$5,0),0),IF(ISERROR(1/VLOOKUP($R440,Capa!$A:$AJ,AY$5,0)),0,1/VLOOKUP($R440,Capa!$A:$AJ,AY$5,0))))</f>
        <v/>
      </c>
      <c r="AZ440" s="174" t="str">
        <f>IF(AZ$6="","",IF(AZ$3="Maior",iferror(VLOOKUP($R440,Capa!$A:$AJ,AZ$5,0),0),IF(ISERROR(1/VLOOKUP($R440,Capa!$A:$AJ,AZ$5,0)),0,1/VLOOKUP($R440,Capa!$A:$AJ,AZ$5,0))))</f>
        <v/>
      </c>
      <c r="BA440" s="174" t="str">
        <f>IF(BA$6="","",IF(BA$3="Maior",iferror(VLOOKUP($R440,Capa!$A:$AJ,BA$5,0),0),IF(ISERROR(1/VLOOKUP($R440,Capa!$A:$AJ,BA$5,0)),0,1/VLOOKUP($R440,Capa!$A:$AJ,BA$5,0))))</f>
        <v/>
      </c>
      <c r="BB440" s="174" t="str">
        <f>IF(BB$6="","",IF(BB$3="Maior",iferror(VLOOKUP($R440,Capa!$A:$AJ,BB$5,0),0),IF(ISERROR(1/VLOOKUP($R440,Capa!$A:$AJ,BB$5,0)),0,1/VLOOKUP($R440,Capa!$A:$AJ,BB$5,0))))</f>
        <v/>
      </c>
      <c r="BC440" s="174" t="str">
        <f>IF(BC$6="","",IF(BC$3="Maior",iferror(VLOOKUP($R440,Capa!$A:$AJ,BC$5,0),0),IF(ISERROR(1/VLOOKUP($R440,Capa!$A:$AJ,BC$5,0)),0,1/VLOOKUP($R440,Capa!$A:$AJ,BC$5,0))))</f>
        <v/>
      </c>
      <c r="BD440" s="174" t="str">
        <f>IF(BD$6="","",IF(BD$3="Maior",iferror(VLOOKUP($R440,Capa!$A:$AJ,BD$5,0),0),IF(ISERROR(1/VLOOKUP($R440,Capa!$A:$AJ,BD$5,0)),0,1/VLOOKUP($R440,Capa!$A:$AJ,BD$5,0))))</f>
        <v/>
      </c>
      <c r="BE440" s="174" t="str">
        <f>IF(BE$6="","",IF(BE$3="Maior",iferror(VLOOKUP($R440,Capa!$A:$AJ,BE$5,0),0),IF(ISERROR(1/VLOOKUP($R440,Capa!$A:$AJ,BE$5,0)),0,1/VLOOKUP($R440,Capa!$A:$AJ,BE$5,0))))</f>
        <v/>
      </c>
      <c r="BF440" s="174" t="str">
        <f>IF(BF$6="","",IF(BF$3="Maior",iferror(VLOOKUP($R440,Capa!$A:$AJ,BF$5,0),0),IF(ISERROR(1/VLOOKUP($R440,Capa!$A:$AJ,BF$5,0)),0,1/VLOOKUP($R440,Capa!$A:$AJ,BF$5,0))))</f>
        <v/>
      </c>
      <c r="BG440" s="174" t="str">
        <f>IF(BG$6="","",IF(BG$3="Maior",iferror(VLOOKUP($R440,Capa!$A:$AJ,BG$5,0),0),IF(ISERROR(1/VLOOKUP($R440,Capa!$A:$AJ,BG$5,0)),0,1/VLOOKUP($R440,Capa!$A:$AJ,BG$5,0))))</f>
        <v/>
      </c>
      <c r="BH440" s="174" t="str">
        <f>IF(BH$6="","",IF(BH$3="Maior",iferror(VLOOKUP($R440,Capa!$A:$AJ,BH$5,0),0),IF(ISERROR(1/VLOOKUP($R440,Capa!$A:$AJ,BH$5,0)),0,1/VLOOKUP($R440,Capa!$A:$AJ,BH$5,0))))</f>
        <v/>
      </c>
      <c r="BI440" s="174" t="str">
        <f>IF(BI$6="","",IF(BI$3="Maior",iferror(VLOOKUP($R440,Capa!$A:$AJ,BI$5,0),0),IF(ISERROR(1/VLOOKUP($R440,Capa!$A:$AJ,BI$5,0)),0,1/VLOOKUP($R440,Capa!$A:$AJ,BI$5,0))))</f>
        <v/>
      </c>
      <c r="BJ440" s="174" t="str">
        <f>IF(BJ$6="","",IF(BJ$3="Maior",iferror(VLOOKUP($R440,Capa!$A:$AJ,BJ$5,0),0),IF(ISERROR(1/VLOOKUP($R440,Capa!$A:$AJ,BJ$5,0)),0,1/VLOOKUP($R440,Capa!$A:$AJ,BJ$5,0))))</f>
        <v/>
      </c>
      <c r="BK440" s="174" t="str">
        <f>IF(BK$6="","",IF(BK$3="Maior",iferror(VLOOKUP($R440,Capa!$A:$AJ,BK$5,0),0),IF(ISERROR(1/VLOOKUP($R440,Capa!$A:$AJ,BK$5,0)),0,1/VLOOKUP($R440,Capa!$A:$AJ,BK$5,0))))</f>
        <v/>
      </c>
      <c r="BL440" s="174" t="str">
        <f>IF(BL$6="","",IF(BL$3="Maior",iferror(VLOOKUP($R440,Capa!$A:$AJ,BL$5,0),0),IF(ISERROR(1/VLOOKUP($R440,Capa!$A:$AJ,BL$5,0)),0,1/VLOOKUP($R440,Capa!$A:$AJ,BL$5,0))))</f>
        <v/>
      </c>
      <c r="BM440" s="174" t="str">
        <f>IF(BM$6="","",IF(BM$3="Maior",iferror(VLOOKUP($R440,Capa!$A:$AJ,BM$5,0),0),IF(ISERROR(1/VLOOKUP($R440,Capa!$A:$AJ,BM$5,0)),0,1/VLOOKUP($R440,Capa!$A:$AJ,BM$5,0))))</f>
        <v/>
      </c>
      <c r="BN440" s="174" t="str">
        <f>IF(BN$6="","",IF(BN$3="Maior",iferror(VLOOKUP($R440,Capa!$A:$AJ,BN$5,0),0),IF(ISERROR(1/VLOOKUP($R440,Capa!$A:$AJ,BN$5,0)),0,1/VLOOKUP($R440,Capa!$A:$AJ,BN$5,0))))</f>
        <v/>
      </c>
      <c r="BO440" s="174" t="str">
        <f>IF(BO$6="","",IF(BO$3="Maior",iferror(VLOOKUP($R440,Capa!$A:$AJ,BO$5,0),0),IF(ISERROR(1/VLOOKUP($R440,Capa!$A:$AJ,BO$5,0)),0,1/VLOOKUP($R440,Capa!$A:$AJ,BO$5,0))))</f>
        <v/>
      </c>
      <c r="BP440" s="174" t="str">
        <f>IF(BP$6="","",IF(BP$3="Maior",iferror(VLOOKUP($R440,Capa!$A:$AJ,BP$5,0),0),IF(ISERROR(1/VLOOKUP($R440,Capa!$A:$AJ,BP$5,0)),0,1/VLOOKUP($R440,Capa!$A:$AJ,BP$5,0))))</f>
        <v/>
      </c>
      <c r="BQ440" s="174" t="str">
        <f>IF(BQ$6="","",IF(BQ$3="Maior",iferror(VLOOKUP($R440,Capa!$A:$AJ,BQ$5,0),0),IF(ISERROR(1/VLOOKUP($R440,Capa!$A:$AJ,BQ$5,0)),0,1/VLOOKUP($R440,Capa!$A:$AJ,BQ$5,0))))</f>
        <v/>
      </c>
      <c r="BR440" s="175"/>
      <c r="BS440" s="147"/>
    </row>
    <row r="441">
      <c r="H441" s="8">
        <v>435.0</v>
      </c>
      <c r="I441" s="165" t="str">
        <f t="shared" si="6"/>
        <v>CRPG3</v>
      </c>
      <c r="J441" s="166" t="str">
        <f>(VLOOKUP($I441,Capa!$A:$B,2,0))</f>
        <v>Tronox Pigmentos do Brasil SA</v>
      </c>
      <c r="K441" s="167" t="str">
        <f>VLOOKUP(left(I441,4),Setor!A:D,3,0)&amp;" | "&amp;VLOOKUP(left(I441,4),Setor!A:D,4,0)</f>
        <v>Materiais Básicos | Químicos</v>
      </c>
      <c r="L441" s="168">
        <f>(VLOOKUP($I441,Capa!$A:$F,6,0))</f>
        <v>19.35</v>
      </c>
      <c r="M441" s="168">
        <f t="shared" si="7"/>
        <v>706.6</v>
      </c>
      <c r="N441" s="11" t="str">
        <f>IFERROR(__xludf.DUMMYFUNCTION("(VLOOKUP($I441,Capa!$A:$H,7,0))"),"")</f>
        <v/>
      </c>
      <c r="O441" s="169" t="str">
        <f>(VLOOKUP($I441,Capa!$A:$H,8,0))</f>
        <v/>
      </c>
      <c r="P441" s="11" t="str">
        <f>IFERROR(__xludf.DUMMYFUNCTION("(VLOOKUP($I441,Capa!$A:$J,10,0))"),"")</f>
        <v/>
      </c>
      <c r="Q441" s="169" t="str">
        <f>(VLOOKUP($I441,Capa!$A:$K,11,0))</f>
        <v/>
      </c>
      <c r="R441" s="45" t="str">
        <f>'Dados StatusInvest'!A436</f>
        <v>OMGE3</v>
      </c>
      <c r="S441" s="170">
        <f t="shared" si="234"/>
        <v>1115.0115</v>
      </c>
      <c r="T441" s="171">
        <f>VLOOKUP(R441,'Dados StatusInvest'!A:Z,26,0)</f>
        <v>0</v>
      </c>
      <c r="U441" s="172">
        <f t="shared" ref="U441:AS441" si="444">IF(AT441="","", RANK(AT441,AT$7:AT$626,0)+RANK(AT441,AT$7:AT$626,0)/10000)</f>
        <v>110.011</v>
      </c>
      <c r="V441" s="172">
        <f t="shared" si="444"/>
        <v>5.0005</v>
      </c>
      <c r="W441" s="172" t="str">
        <f t="shared" si="444"/>
        <v/>
      </c>
      <c r="X441" s="172" t="str">
        <f t="shared" si="444"/>
        <v/>
      </c>
      <c r="Y441" s="172" t="str">
        <f t="shared" si="444"/>
        <v/>
      </c>
      <c r="Z441" s="172" t="str">
        <f t="shared" si="444"/>
        <v/>
      </c>
      <c r="AA441" s="172" t="str">
        <f t="shared" si="444"/>
        <v/>
      </c>
      <c r="AB441" s="172" t="str">
        <f t="shared" si="444"/>
        <v/>
      </c>
      <c r="AC441" s="172" t="str">
        <f t="shared" si="444"/>
        <v/>
      </c>
      <c r="AD441" s="172" t="str">
        <f t="shared" si="444"/>
        <v/>
      </c>
      <c r="AE441" s="172" t="str">
        <f t="shared" si="444"/>
        <v/>
      </c>
      <c r="AF441" s="172" t="str">
        <f t="shared" si="444"/>
        <v/>
      </c>
      <c r="AG441" s="172" t="str">
        <f t="shared" si="444"/>
        <v/>
      </c>
      <c r="AH441" s="172" t="str">
        <f t="shared" si="444"/>
        <v/>
      </c>
      <c r="AI441" s="172" t="str">
        <f t="shared" si="444"/>
        <v/>
      </c>
      <c r="AJ441" s="172" t="str">
        <f t="shared" si="444"/>
        <v/>
      </c>
      <c r="AK441" s="172" t="str">
        <f t="shared" si="444"/>
        <v/>
      </c>
      <c r="AL441" s="172" t="str">
        <f t="shared" si="444"/>
        <v/>
      </c>
      <c r="AM441" s="172" t="str">
        <f t="shared" si="444"/>
        <v/>
      </c>
      <c r="AN441" s="172" t="str">
        <f t="shared" si="444"/>
        <v/>
      </c>
      <c r="AO441" s="172" t="str">
        <f t="shared" si="444"/>
        <v/>
      </c>
      <c r="AP441" s="172" t="str">
        <f t="shared" si="444"/>
        <v/>
      </c>
      <c r="AQ441" s="172" t="str">
        <f t="shared" si="444"/>
        <v/>
      </c>
      <c r="AR441" s="172" t="str">
        <f t="shared" si="444"/>
        <v/>
      </c>
      <c r="AS441" s="172" t="str">
        <f t="shared" si="444"/>
        <v/>
      </c>
      <c r="AT441" s="173">
        <f>IF(AT$6="","",IF(AT$3="Maior",iferror(VLOOKUP($R441,Capa!$A:$AJ,AT$5,0),0),IF(ISERROR(1/VLOOKUP($R441,Capa!$A:$AJ,AT$5,0)),0,1/VLOOKUP($R441,Capa!$A:$AJ,AT$5,0))))</f>
        <v>-0.0002753213</v>
      </c>
      <c r="AU441" s="174">
        <f>IF(AU$6="","",IF(AU$3="Maior",iferror(VLOOKUP($R441,Capa!$A:$AJ,AU$5,0),0),IF(ISERROR(1/VLOOKUP($R441,Capa!$A:$AJ,AU$5,0)),0,1/VLOOKUP($R441,Capa!$A:$AJ,AU$5,0))))</f>
        <v>90.67</v>
      </c>
      <c r="AV441" s="174" t="str">
        <f>IF(AV$6="","",IF(AV$3="Maior",iferror(VLOOKUP($R441,Capa!$A:$AJ,AV$5,0),0),IF(ISERROR(1/VLOOKUP($R441,Capa!$A:$AJ,AV$5,0)),0,1/VLOOKUP($R441,Capa!$A:$AJ,AV$5,0))))</f>
        <v/>
      </c>
      <c r="AW441" s="174" t="str">
        <f>IF(AW$6="","",IF(AW$3="Maior",iferror(VLOOKUP($R441,Capa!$A:$AJ,AW$5,0),0),IF(ISERROR(1/VLOOKUP($R441,Capa!$A:$AJ,AW$5,0)),0,1/VLOOKUP($R441,Capa!$A:$AJ,AW$5,0))))</f>
        <v/>
      </c>
      <c r="AX441" s="174" t="str">
        <f>IF(AX$6="","",IF(AX$3="Maior",iferror(VLOOKUP($R441,Capa!$A:$AJ,AX$5,0),0),IF(ISERROR(1/VLOOKUP($R441,Capa!$A:$AJ,AX$5,0)),0,1/VLOOKUP($R441,Capa!$A:$AJ,AX$5,0))))</f>
        <v/>
      </c>
      <c r="AY441" s="174" t="str">
        <f>IF(AY$6="","",IF(AY$3="Maior",iferror(VLOOKUP($R441,Capa!$A:$AJ,AY$5,0),0),IF(ISERROR(1/VLOOKUP($R441,Capa!$A:$AJ,AY$5,0)),0,1/VLOOKUP($R441,Capa!$A:$AJ,AY$5,0))))</f>
        <v/>
      </c>
      <c r="AZ441" s="174" t="str">
        <f>IF(AZ$6="","",IF(AZ$3="Maior",iferror(VLOOKUP($R441,Capa!$A:$AJ,AZ$5,0),0),IF(ISERROR(1/VLOOKUP($R441,Capa!$A:$AJ,AZ$5,0)),0,1/VLOOKUP($R441,Capa!$A:$AJ,AZ$5,0))))</f>
        <v/>
      </c>
      <c r="BA441" s="174" t="str">
        <f>IF(BA$6="","",IF(BA$3="Maior",iferror(VLOOKUP($R441,Capa!$A:$AJ,BA$5,0),0),IF(ISERROR(1/VLOOKUP($R441,Capa!$A:$AJ,BA$5,0)),0,1/VLOOKUP($R441,Capa!$A:$AJ,BA$5,0))))</f>
        <v/>
      </c>
      <c r="BB441" s="174" t="str">
        <f>IF(BB$6="","",IF(BB$3="Maior",iferror(VLOOKUP($R441,Capa!$A:$AJ,BB$5,0),0),IF(ISERROR(1/VLOOKUP($R441,Capa!$A:$AJ,BB$5,0)),0,1/VLOOKUP($R441,Capa!$A:$AJ,BB$5,0))))</f>
        <v/>
      </c>
      <c r="BC441" s="174" t="str">
        <f>IF(BC$6="","",IF(BC$3="Maior",iferror(VLOOKUP($R441,Capa!$A:$AJ,BC$5,0),0),IF(ISERROR(1/VLOOKUP($R441,Capa!$A:$AJ,BC$5,0)),0,1/VLOOKUP($R441,Capa!$A:$AJ,BC$5,0))))</f>
        <v/>
      </c>
      <c r="BD441" s="174" t="str">
        <f>IF(BD$6="","",IF(BD$3="Maior",iferror(VLOOKUP($R441,Capa!$A:$AJ,BD$5,0),0),IF(ISERROR(1/VLOOKUP($R441,Capa!$A:$AJ,BD$5,0)),0,1/VLOOKUP($R441,Capa!$A:$AJ,BD$5,0))))</f>
        <v/>
      </c>
      <c r="BE441" s="174" t="str">
        <f>IF(BE$6="","",IF(BE$3="Maior",iferror(VLOOKUP($R441,Capa!$A:$AJ,BE$5,0),0),IF(ISERROR(1/VLOOKUP($R441,Capa!$A:$AJ,BE$5,0)),0,1/VLOOKUP($R441,Capa!$A:$AJ,BE$5,0))))</f>
        <v/>
      </c>
      <c r="BF441" s="174" t="str">
        <f>IF(BF$6="","",IF(BF$3="Maior",iferror(VLOOKUP($R441,Capa!$A:$AJ,BF$5,0),0),IF(ISERROR(1/VLOOKUP($R441,Capa!$A:$AJ,BF$5,0)),0,1/VLOOKUP($R441,Capa!$A:$AJ,BF$5,0))))</f>
        <v/>
      </c>
      <c r="BG441" s="174" t="str">
        <f>IF(BG$6="","",IF(BG$3="Maior",iferror(VLOOKUP($R441,Capa!$A:$AJ,BG$5,0),0),IF(ISERROR(1/VLOOKUP($R441,Capa!$A:$AJ,BG$5,0)),0,1/VLOOKUP($R441,Capa!$A:$AJ,BG$5,0))))</f>
        <v/>
      </c>
      <c r="BH441" s="174" t="str">
        <f>IF(BH$6="","",IF(BH$3="Maior",iferror(VLOOKUP($R441,Capa!$A:$AJ,BH$5,0),0),IF(ISERROR(1/VLOOKUP($R441,Capa!$A:$AJ,BH$5,0)),0,1/VLOOKUP($R441,Capa!$A:$AJ,BH$5,0))))</f>
        <v/>
      </c>
      <c r="BI441" s="174" t="str">
        <f>IF(BI$6="","",IF(BI$3="Maior",iferror(VLOOKUP($R441,Capa!$A:$AJ,BI$5,0),0),IF(ISERROR(1/VLOOKUP($R441,Capa!$A:$AJ,BI$5,0)),0,1/VLOOKUP($R441,Capa!$A:$AJ,BI$5,0))))</f>
        <v/>
      </c>
      <c r="BJ441" s="174" t="str">
        <f>IF(BJ$6="","",IF(BJ$3="Maior",iferror(VLOOKUP($R441,Capa!$A:$AJ,BJ$5,0),0),IF(ISERROR(1/VLOOKUP($R441,Capa!$A:$AJ,BJ$5,0)),0,1/VLOOKUP($R441,Capa!$A:$AJ,BJ$5,0))))</f>
        <v/>
      </c>
      <c r="BK441" s="174" t="str">
        <f>IF(BK$6="","",IF(BK$3="Maior",iferror(VLOOKUP($R441,Capa!$A:$AJ,BK$5,0),0),IF(ISERROR(1/VLOOKUP($R441,Capa!$A:$AJ,BK$5,0)),0,1/VLOOKUP($R441,Capa!$A:$AJ,BK$5,0))))</f>
        <v/>
      </c>
      <c r="BL441" s="174" t="str">
        <f>IF(BL$6="","",IF(BL$3="Maior",iferror(VLOOKUP($R441,Capa!$A:$AJ,BL$5,0),0),IF(ISERROR(1/VLOOKUP($R441,Capa!$A:$AJ,BL$5,0)),0,1/VLOOKUP($R441,Capa!$A:$AJ,BL$5,0))))</f>
        <v/>
      </c>
      <c r="BM441" s="174" t="str">
        <f>IF(BM$6="","",IF(BM$3="Maior",iferror(VLOOKUP($R441,Capa!$A:$AJ,BM$5,0),0),IF(ISERROR(1/VLOOKUP($R441,Capa!$A:$AJ,BM$5,0)),0,1/VLOOKUP($R441,Capa!$A:$AJ,BM$5,0))))</f>
        <v/>
      </c>
      <c r="BN441" s="174" t="str">
        <f>IF(BN$6="","",IF(BN$3="Maior",iferror(VLOOKUP($R441,Capa!$A:$AJ,BN$5,0),0),IF(ISERROR(1/VLOOKUP($R441,Capa!$A:$AJ,BN$5,0)),0,1/VLOOKUP($R441,Capa!$A:$AJ,BN$5,0))))</f>
        <v/>
      </c>
      <c r="BO441" s="174" t="str">
        <f>IF(BO$6="","",IF(BO$3="Maior",iferror(VLOOKUP($R441,Capa!$A:$AJ,BO$5,0),0),IF(ISERROR(1/VLOOKUP($R441,Capa!$A:$AJ,BO$5,0)),0,1/VLOOKUP($R441,Capa!$A:$AJ,BO$5,0))))</f>
        <v/>
      </c>
      <c r="BP441" s="174" t="str">
        <f>IF(BP$6="","",IF(BP$3="Maior",iferror(VLOOKUP($R441,Capa!$A:$AJ,BP$5,0),0),IF(ISERROR(1/VLOOKUP($R441,Capa!$A:$AJ,BP$5,0)),0,1/VLOOKUP($R441,Capa!$A:$AJ,BP$5,0))))</f>
        <v/>
      </c>
      <c r="BQ441" s="174" t="str">
        <f>IF(BQ$6="","",IF(BQ$3="Maior",iferror(VLOOKUP($R441,Capa!$A:$AJ,BQ$5,0),0),IF(ISERROR(1/VLOOKUP($R441,Capa!$A:$AJ,BQ$5,0)),0,1/VLOOKUP($R441,Capa!$A:$AJ,BQ$5,0))))</f>
        <v/>
      </c>
      <c r="BR441" s="175"/>
      <c r="BS441" s="147"/>
    </row>
    <row r="442">
      <c r="H442" s="8">
        <v>436.0</v>
      </c>
      <c r="I442" s="165" t="str">
        <f t="shared" si="6"/>
        <v>CRPG6</v>
      </c>
      <c r="J442" s="166" t="str">
        <f>(VLOOKUP($I442,Capa!$A:$B,2,0))</f>
        <v>Cristal Pigmentos do Brasil Pref Shs B</v>
      </c>
      <c r="K442" s="167" t="str">
        <f>VLOOKUP(left(I442,4),Setor!A:D,3,0)&amp;" | "&amp;VLOOKUP(left(I442,4),Setor!A:D,4,0)</f>
        <v>Materiais Básicos | Químicos</v>
      </c>
      <c r="L442" s="168">
        <f>(VLOOKUP($I442,Capa!$A:$F,6,0))</f>
        <v>19.84</v>
      </c>
      <c r="M442" s="168">
        <f t="shared" si="7"/>
        <v>12718.36</v>
      </c>
      <c r="N442" s="11" t="str">
        <f>IFERROR(__xludf.DUMMYFUNCTION("(VLOOKUP($I442,Capa!$A:$H,7,0))"),"")</f>
        <v/>
      </c>
      <c r="O442" s="169">
        <f>(VLOOKUP($I442,Capa!$A:$H,8,0))</f>
        <v>0.07884719956</v>
      </c>
      <c r="P442" s="11" t="str">
        <f>IFERROR(__xludf.DUMMYFUNCTION("(VLOOKUP($I442,Capa!$A:$J,10,0))"),"")</f>
        <v/>
      </c>
      <c r="Q442" s="169">
        <f>(VLOOKUP($I442,Capa!$A:$K,11,0))</f>
        <v>0.04037755637</v>
      </c>
      <c r="R442" s="45" t="str">
        <f>'Dados StatusInvest'!A437</f>
        <v>ONCO3</v>
      </c>
      <c r="S442" s="170">
        <f t="shared" si="234"/>
        <v>721.0721</v>
      </c>
      <c r="T442" s="171">
        <f>VLOOKUP(R442,'Dados StatusInvest'!A:Z,26,0)</f>
        <v>9970786</v>
      </c>
      <c r="U442" s="172">
        <f t="shared" ref="U442:AS442" si="445">IF(AT442="","", RANK(AT442,AT$7:AT$626,0)+RANK(AT442,AT$7:AT$626,0)/10000)</f>
        <v>454.0454</v>
      </c>
      <c r="V442" s="172">
        <f t="shared" si="445"/>
        <v>267.0267</v>
      </c>
      <c r="W442" s="172" t="str">
        <f t="shared" si="445"/>
        <v/>
      </c>
      <c r="X442" s="172" t="str">
        <f t="shared" si="445"/>
        <v/>
      </c>
      <c r="Y442" s="172" t="str">
        <f t="shared" si="445"/>
        <v/>
      </c>
      <c r="Z442" s="172" t="str">
        <f t="shared" si="445"/>
        <v/>
      </c>
      <c r="AA442" s="172" t="str">
        <f t="shared" si="445"/>
        <v/>
      </c>
      <c r="AB442" s="172" t="str">
        <f t="shared" si="445"/>
        <v/>
      </c>
      <c r="AC442" s="172" t="str">
        <f t="shared" si="445"/>
        <v/>
      </c>
      <c r="AD442" s="172" t="str">
        <f t="shared" si="445"/>
        <v/>
      </c>
      <c r="AE442" s="172" t="str">
        <f t="shared" si="445"/>
        <v/>
      </c>
      <c r="AF442" s="172" t="str">
        <f t="shared" si="445"/>
        <v/>
      </c>
      <c r="AG442" s="172" t="str">
        <f t="shared" si="445"/>
        <v/>
      </c>
      <c r="AH442" s="172" t="str">
        <f t="shared" si="445"/>
        <v/>
      </c>
      <c r="AI442" s="172" t="str">
        <f t="shared" si="445"/>
        <v/>
      </c>
      <c r="AJ442" s="172" t="str">
        <f t="shared" si="445"/>
        <v/>
      </c>
      <c r="AK442" s="172" t="str">
        <f t="shared" si="445"/>
        <v/>
      </c>
      <c r="AL442" s="172" t="str">
        <f t="shared" si="445"/>
        <v/>
      </c>
      <c r="AM442" s="172" t="str">
        <f t="shared" si="445"/>
        <v/>
      </c>
      <c r="AN442" s="172" t="str">
        <f t="shared" si="445"/>
        <v/>
      </c>
      <c r="AO442" s="172" t="str">
        <f t="shared" si="445"/>
        <v/>
      </c>
      <c r="AP442" s="172" t="str">
        <f t="shared" si="445"/>
        <v/>
      </c>
      <c r="AQ442" s="172" t="str">
        <f t="shared" si="445"/>
        <v/>
      </c>
      <c r="AR442" s="172" t="str">
        <f t="shared" si="445"/>
        <v/>
      </c>
      <c r="AS442" s="172" t="str">
        <f t="shared" si="445"/>
        <v/>
      </c>
      <c r="AT442" s="173">
        <f>IF(AT$6="","",IF(AT$3="Maior",iferror(VLOOKUP($R442,Capa!$A:$AJ,AT$5,0),0),IF(ISERROR(1/VLOOKUP($R442,Capa!$A:$AJ,AT$5,0)),0,1/VLOOKUP($R442,Capa!$A:$AJ,AT$5,0))))</f>
        <v>-2.135699031</v>
      </c>
      <c r="AU442" s="174">
        <f>IF(AU$6="","",IF(AU$3="Maior",iferror(VLOOKUP($R442,Capa!$A:$AJ,AU$5,0),0),IF(ISERROR(1/VLOOKUP($R442,Capa!$A:$AJ,AU$5,0)),0,1/VLOOKUP($R442,Capa!$A:$AJ,AU$5,0))))</f>
        <v>0</v>
      </c>
      <c r="AV442" s="174" t="str">
        <f>IF(AV$6="","",IF(AV$3="Maior",iferror(VLOOKUP($R442,Capa!$A:$AJ,AV$5,0),0),IF(ISERROR(1/VLOOKUP($R442,Capa!$A:$AJ,AV$5,0)),0,1/VLOOKUP($R442,Capa!$A:$AJ,AV$5,0))))</f>
        <v/>
      </c>
      <c r="AW442" s="174" t="str">
        <f>IF(AW$6="","",IF(AW$3="Maior",iferror(VLOOKUP($R442,Capa!$A:$AJ,AW$5,0),0),IF(ISERROR(1/VLOOKUP($R442,Capa!$A:$AJ,AW$5,0)),0,1/VLOOKUP($R442,Capa!$A:$AJ,AW$5,0))))</f>
        <v/>
      </c>
      <c r="AX442" s="174" t="str">
        <f>IF(AX$6="","",IF(AX$3="Maior",iferror(VLOOKUP($R442,Capa!$A:$AJ,AX$5,0),0),IF(ISERROR(1/VLOOKUP($R442,Capa!$A:$AJ,AX$5,0)),0,1/VLOOKUP($R442,Capa!$A:$AJ,AX$5,0))))</f>
        <v/>
      </c>
      <c r="AY442" s="174" t="str">
        <f>IF(AY$6="","",IF(AY$3="Maior",iferror(VLOOKUP($R442,Capa!$A:$AJ,AY$5,0),0),IF(ISERROR(1/VLOOKUP($R442,Capa!$A:$AJ,AY$5,0)),0,1/VLOOKUP($R442,Capa!$A:$AJ,AY$5,0))))</f>
        <v/>
      </c>
      <c r="AZ442" s="174" t="str">
        <f>IF(AZ$6="","",IF(AZ$3="Maior",iferror(VLOOKUP($R442,Capa!$A:$AJ,AZ$5,0),0),IF(ISERROR(1/VLOOKUP($R442,Capa!$A:$AJ,AZ$5,0)),0,1/VLOOKUP($R442,Capa!$A:$AJ,AZ$5,0))))</f>
        <v/>
      </c>
      <c r="BA442" s="174" t="str">
        <f>IF(BA$6="","",IF(BA$3="Maior",iferror(VLOOKUP($R442,Capa!$A:$AJ,BA$5,0),0),IF(ISERROR(1/VLOOKUP($R442,Capa!$A:$AJ,BA$5,0)),0,1/VLOOKUP($R442,Capa!$A:$AJ,BA$5,0))))</f>
        <v/>
      </c>
      <c r="BB442" s="174" t="str">
        <f>IF(BB$6="","",IF(BB$3="Maior",iferror(VLOOKUP($R442,Capa!$A:$AJ,BB$5,0),0),IF(ISERROR(1/VLOOKUP($R442,Capa!$A:$AJ,BB$5,0)),0,1/VLOOKUP($R442,Capa!$A:$AJ,BB$5,0))))</f>
        <v/>
      </c>
      <c r="BC442" s="174" t="str">
        <f>IF(BC$6="","",IF(BC$3="Maior",iferror(VLOOKUP($R442,Capa!$A:$AJ,BC$5,0),0),IF(ISERROR(1/VLOOKUP($R442,Capa!$A:$AJ,BC$5,0)),0,1/VLOOKUP($R442,Capa!$A:$AJ,BC$5,0))))</f>
        <v/>
      </c>
      <c r="BD442" s="174" t="str">
        <f>IF(BD$6="","",IF(BD$3="Maior",iferror(VLOOKUP($R442,Capa!$A:$AJ,BD$5,0),0),IF(ISERROR(1/VLOOKUP($R442,Capa!$A:$AJ,BD$5,0)),0,1/VLOOKUP($R442,Capa!$A:$AJ,BD$5,0))))</f>
        <v/>
      </c>
      <c r="BE442" s="174" t="str">
        <f>IF(BE$6="","",IF(BE$3="Maior",iferror(VLOOKUP($R442,Capa!$A:$AJ,BE$5,0),0),IF(ISERROR(1/VLOOKUP($R442,Capa!$A:$AJ,BE$5,0)),0,1/VLOOKUP($R442,Capa!$A:$AJ,BE$5,0))))</f>
        <v/>
      </c>
      <c r="BF442" s="174" t="str">
        <f>IF(BF$6="","",IF(BF$3="Maior",iferror(VLOOKUP($R442,Capa!$A:$AJ,BF$5,0),0),IF(ISERROR(1/VLOOKUP($R442,Capa!$A:$AJ,BF$5,0)),0,1/VLOOKUP($R442,Capa!$A:$AJ,BF$5,0))))</f>
        <v/>
      </c>
      <c r="BG442" s="174" t="str">
        <f>IF(BG$6="","",IF(BG$3="Maior",iferror(VLOOKUP($R442,Capa!$A:$AJ,BG$5,0),0),IF(ISERROR(1/VLOOKUP($R442,Capa!$A:$AJ,BG$5,0)),0,1/VLOOKUP($R442,Capa!$A:$AJ,BG$5,0))))</f>
        <v/>
      </c>
      <c r="BH442" s="174" t="str">
        <f>IF(BH$6="","",IF(BH$3="Maior",iferror(VLOOKUP($R442,Capa!$A:$AJ,BH$5,0),0),IF(ISERROR(1/VLOOKUP($R442,Capa!$A:$AJ,BH$5,0)),0,1/VLOOKUP($R442,Capa!$A:$AJ,BH$5,0))))</f>
        <v/>
      </c>
      <c r="BI442" s="174" t="str">
        <f>IF(BI$6="","",IF(BI$3="Maior",iferror(VLOOKUP($R442,Capa!$A:$AJ,BI$5,0),0),IF(ISERROR(1/VLOOKUP($R442,Capa!$A:$AJ,BI$5,0)),0,1/VLOOKUP($R442,Capa!$A:$AJ,BI$5,0))))</f>
        <v/>
      </c>
      <c r="BJ442" s="174" t="str">
        <f>IF(BJ$6="","",IF(BJ$3="Maior",iferror(VLOOKUP($R442,Capa!$A:$AJ,BJ$5,0),0),IF(ISERROR(1/VLOOKUP($R442,Capa!$A:$AJ,BJ$5,0)),0,1/VLOOKUP($R442,Capa!$A:$AJ,BJ$5,0))))</f>
        <v/>
      </c>
      <c r="BK442" s="174" t="str">
        <f>IF(BK$6="","",IF(BK$3="Maior",iferror(VLOOKUP($R442,Capa!$A:$AJ,BK$5,0),0),IF(ISERROR(1/VLOOKUP($R442,Capa!$A:$AJ,BK$5,0)),0,1/VLOOKUP($R442,Capa!$A:$AJ,BK$5,0))))</f>
        <v/>
      </c>
      <c r="BL442" s="174" t="str">
        <f>IF(BL$6="","",IF(BL$3="Maior",iferror(VLOOKUP($R442,Capa!$A:$AJ,BL$5,0),0),IF(ISERROR(1/VLOOKUP($R442,Capa!$A:$AJ,BL$5,0)),0,1/VLOOKUP($R442,Capa!$A:$AJ,BL$5,0))))</f>
        <v/>
      </c>
      <c r="BM442" s="174" t="str">
        <f>IF(BM$6="","",IF(BM$3="Maior",iferror(VLOOKUP($R442,Capa!$A:$AJ,BM$5,0),0),IF(ISERROR(1/VLOOKUP($R442,Capa!$A:$AJ,BM$5,0)),0,1/VLOOKUP($R442,Capa!$A:$AJ,BM$5,0))))</f>
        <v/>
      </c>
      <c r="BN442" s="174" t="str">
        <f>IF(BN$6="","",IF(BN$3="Maior",iferror(VLOOKUP($R442,Capa!$A:$AJ,BN$5,0),0),IF(ISERROR(1/VLOOKUP($R442,Capa!$A:$AJ,BN$5,0)),0,1/VLOOKUP($R442,Capa!$A:$AJ,BN$5,0))))</f>
        <v/>
      </c>
      <c r="BO442" s="174" t="str">
        <f>IF(BO$6="","",IF(BO$3="Maior",iferror(VLOOKUP($R442,Capa!$A:$AJ,BO$5,0),0),IF(ISERROR(1/VLOOKUP($R442,Capa!$A:$AJ,BO$5,0)),0,1/VLOOKUP($R442,Capa!$A:$AJ,BO$5,0))))</f>
        <v/>
      </c>
      <c r="BP442" s="174" t="str">
        <f>IF(BP$6="","",IF(BP$3="Maior",iferror(VLOOKUP($R442,Capa!$A:$AJ,BP$5,0),0),IF(ISERROR(1/VLOOKUP($R442,Capa!$A:$AJ,BP$5,0)),0,1/VLOOKUP($R442,Capa!$A:$AJ,BP$5,0))))</f>
        <v/>
      </c>
      <c r="BQ442" s="174" t="str">
        <f>IF(BQ$6="","",IF(BQ$3="Maior",iferror(VLOOKUP($R442,Capa!$A:$AJ,BQ$5,0),0),IF(ISERROR(1/VLOOKUP($R442,Capa!$A:$AJ,BQ$5,0)),0,1/VLOOKUP($R442,Capa!$A:$AJ,BQ$5,0))))</f>
        <v/>
      </c>
      <c r="BR442" s="175"/>
      <c r="BS442" s="147"/>
    </row>
    <row r="443">
      <c r="H443" s="8">
        <v>437.0</v>
      </c>
      <c r="I443" s="165" t="str">
        <f t="shared" si="6"/>
        <v>ENMT4</v>
      </c>
      <c r="J443" s="166" t="str">
        <f>(VLOOKUP($I443,Capa!$A:$B,2,0))</f>
        <v>Energisa Mato Grosso Distrbdr de Enrg SA Preference Shares</v>
      </c>
      <c r="K443" s="167" t="str">
        <f>VLOOKUP(left(I443,4),Setor!A:D,3,0)&amp;" | "&amp;VLOOKUP(left(I443,4),Setor!A:D,4,0)</f>
        <v>Utilidade Pública | Energia Elétrica</v>
      </c>
      <c r="L443" s="168">
        <f>(VLOOKUP($I443,Capa!$A:$F,6,0))</f>
        <v>51.99</v>
      </c>
      <c r="M443" s="168">
        <f t="shared" si="7"/>
        <v>6732.17</v>
      </c>
      <c r="N443" s="11" t="str">
        <f>IFERROR(__xludf.DUMMYFUNCTION("(VLOOKUP($I443,Capa!$A:$H,7,0))"),"")</f>
        <v/>
      </c>
      <c r="O443" s="169">
        <f>(VLOOKUP($I443,Capa!$A:$H,8,0))</f>
        <v>0.02970885324</v>
      </c>
      <c r="P443" s="11" t="str">
        <f>IFERROR(__xludf.DUMMYFUNCTION("(VLOOKUP($I443,Capa!$A:$J,10,0))"),"")</f>
        <v/>
      </c>
      <c r="Q443" s="169" t="str">
        <f>(VLOOKUP($I443,Capa!$A:$K,11,0))</f>
        <v/>
      </c>
      <c r="R443" s="45" t="str">
        <f>'Dados StatusInvest'!A438</f>
        <v>OPCT3</v>
      </c>
      <c r="S443" s="170">
        <f t="shared" si="234"/>
        <v>390.039</v>
      </c>
      <c r="T443" s="171">
        <f>VLOOKUP(R443,'Dados StatusInvest'!A:Z,26,0)</f>
        <v>4645977</v>
      </c>
      <c r="U443" s="172">
        <f t="shared" ref="U443:AS443" si="446">IF(AT443="","", RANK(AT443,AT$7:AT$626,0)+RANK(AT443,AT$7:AT$626,0)/10000)</f>
        <v>353.0353</v>
      </c>
      <c r="V443" s="172">
        <f t="shared" si="446"/>
        <v>37.0037</v>
      </c>
      <c r="W443" s="172" t="str">
        <f t="shared" si="446"/>
        <v/>
      </c>
      <c r="X443" s="172" t="str">
        <f t="shared" si="446"/>
        <v/>
      </c>
      <c r="Y443" s="172" t="str">
        <f t="shared" si="446"/>
        <v/>
      </c>
      <c r="Z443" s="172" t="str">
        <f t="shared" si="446"/>
        <v/>
      </c>
      <c r="AA443" s="172" t="str">
        <f t="shared" si="446"/>
        <v/>
      </c>
      <c r="AB443" s="172" t="str">
        <f t="shared" si="446"/>
        <v/>
      </c>
      <c r="AC443" s="172" t="str">
        <f t="shared" si="446"/>
        <v/>
      </c>
      <c r="AD443" s="172" t="str">
        <f t="shared" si="446"/>
        <v/>
      </c>
      <c r="AE443" s="172" t="str">
        <f t="shared" si="446"/>
        <v/>
      </c>
      <c r="AF443" s="172" t="str">
        <f t="shared" si="446"/>
        <v/>
      </c>
      <c r="AG443" s="172" t="str">
        <f t="shared" si="446"/>
        <v/>
      </c>
      <c r="AH443" s="172" t="str">
        <f t="shared" si="446"/>
        <v/>
      </c>
      <c r="AI443" s="172" t="str">
        <f t="shared" si="446"/>
        <v/>
      </c>
      <c r="AJ443" s="172" t="str">
        <f t="shared" si="446"/>
        <v/>
      </c>
      <c r="AK443" s="172" t="str">
        <f t="shared" si="446"/>
        <v/>
      </c>
      <c r="AL443" s="172" t="str">
        <f t="shared" si="446"/>
        <v/>
      </c>
      <c r="AM443" s="172" t="str">
        <f t="shared" si="446"/>
        <v/>
      </c>
      <c r="AN443" s="172" t="str">
        <f t="shared" si="446"/>
        <v/>
      </c>
      <c r="AO443" s="172" t="str">
        <f t="shared" si="446"/>
        <v/>
      </c>
      <c r="AP443" s="172" t="str">
        <f t="shared" si="446"/>
        <v/>
      </c>
      <c r="AQ443" s="172" t="str">
        <f t="shared" si="446"/>
        <v/>
      </c>
      <c r="AR443" s="172" t="str">
        <f t="shared" si="446"/>
        <v/>
      </c>
      <c r="AS443" s="172" t="str">
        <f t="shared" si="446"/>
        <v/>
      </c>
      <c r="AT443" s="173">
        <f>IF(AT$6="","",IF(AT$3="Maior",iferror(VLOOKUP($R443,Capa!$A:$AJ,AT$5,0),0),IF(ISERROR(1/VLOOKUP($R443,Capa!$A:$AJ,AT$5,0)),0,1/VLOOKUP($R443,Capa!$A:$AJ,AT$5,0))))</f>
        <v>-1.018134149</v>
      </c>
      <c r="AU443" s="174">
        <f>IF(AU$6="","",IF(AU$3="Maior",iferror(VLOOKUP($R443,Capa!$A:$AJ,AU$5,0),0),IF(ISERROR(1/VLOOKUP($R443,Capa!$A:$AJ,AU$5,0)),0,1/VLOOKUP($R443,Capa!$A:$AJ,AU$5,0))))</f>
        <v>43.9</v>
      </c>
      <c r="AV443" s="174" t="str">
        <f>IF(AV$6="","",IF(AV$3="Maior",iferror(VLOOKUP($R443,Capa!$A:$AJ,AV$5,0),0),IF(ISERROR(1/VLOOKUP($R443,Capa!$A:$AJ,AV$5,0)),0,1/VLOOKUP($R443,Capa!$A:$AJ,AV$5,0))))</f>
        <v/>
      </c>
      <c r="AW443" s="174" t="str">
        <f>IF(AW$6="","",IF(AW$3="Maior",iferror(VLOOKUP($R443,Capa!$A:$AJ,AW$5,0),0),IF(ISERROR(1/VLOOKUP($R443,Capa!$A:$AJ,AW$5,0)),0,1/VLOOKUP($R443,Capa!$A:$AJ,AW$5,0))))</f>
        <v/>
      </c>
      <c r="AX443" s="174" t="str">
        <f>IF(AX$6="","",IF(AX$3="Maior",iferror(VLOOKUP($R443,Capa!$A:$AJ,AX$5,0),0),IF(ISERROR(1/VLOOKUP($R443,Capa!$A:$AJ,AX$5,0)),0,1/VLOOKUP($R443,Capa!$A:$AJ,AX$5,0))))</f>
        <v/>
      </c>
      <c r="AY443" s="174" t="str">
        <f>IF(AY$6="","",IF(AY$3="Maior",iferror(VLOOKUP($R443,Capa!$A:$AJ,AY$5,0),0),IF(ISERROR(1/VLOOKUP($R443,Capa!$A:$AJ,AY$5,0)),0,1/VLOOKUP($R443,Capa!$A:$AJ,AY$5,0))))</f>
        <v/>
      </c>
      <c r="AZ443" s="174" t="str">
        <f>IF(AZ$6="","",IF(AZ$3="Maior",iferror(VLOOKUP($R443,Capa!$A:$AJ,AZ$5,0),0),IF(ISERROR(1/VLOOKUP($R443,Capa!$A:$AJ,AZ$5,0)),0,1/VLOOKUP($R443,Capa!$A:$AJ,AZ$5,0))))</f>
        <v/>
      </c>
      <c r="BA443" s="174" t="str">
        <f>IF(BA$6="","",IF(BA$3="Maior",iferror(VLOOKUP($R443,Capa!$A:$AJ,BA$5,0),0),IF(ISERROR(1/VLOOKUP($R443,Capa!$A:$AJ,BA$5,0)),0,1/VLOOKUP($R443,Capa!$A:$AJ,BA$5,0))))</f>
        <v/>
      </c>
      <c r="BB443" s="174" t="str">
        <f>IF(BB$6="","",IF(BB$3="Maior",iferror(VLOOKUP($R443,Capa!$A:$AJ,BB$5,0),0),IF(ISERROR(1/VLOOKUP($R443,Capa!$A:$AJ,BB$5,0)),0,1/VLOOKUP($R443,Capa!$A:$AJ,BB$5,0))))</f>
        <v/>
      </c>
      <c r="BC443" s="174" t="str">
        <f>IF(BC$6="","",IF(BC$3="Maior",iferror(VLOOKUP($R443,Capa!$A:$AJ,BC$5,0),0),IF(ISERROR(1/VLOOKUP($R443,Capa!$A:$AJ,BC$5,0)),0,1/VLOOKUP($R443,Capa!$A:$AJ,BC$5,0))))</f>
        <v/>
      </c>
      <c r="BD443" s="174" t="str">
        <f>IF(BD$6="","",IF(BD$3="Maior",iferror(VLOOKUP($R443,Capa!$A:$AJ,BD$5,0),0),IF(ISERROR(1/VLOOKUP($R443,Capa!$A:$AJ,BD$5,0)),0,1/VLOOKUP($R443,Capa!$A:$AJ,BD$5,0))))</f>
        <v/>
      </c>
      <c r="BE443" s="174" t="str">
        <f>IF(BE$6="","",IF(BE$3="Maior",iferror(VLOOKUP($R443,Capa!$A:$AJ,BE$5,0),0),IF(ISERROR(1/VLOOKUP($R443,Capa!$A:$AJ,BE$5,0)),0,1/VLOOKUP($R443,Capa!$A:$AJ,BE$5,0))))</f>
        <v/>
      </c>
      <c r="BF443" s="174" t="str">
        <f>IF(BF$6="","",IF(BF$3="Maior",iferror(VLOOKUP($R443,Capa!$A:$AJ,BF$5,0),0),IF(ISERROR(1/VLOOKUP($R443,Capa!$A:$AJ,BF$5,0)),0,1/VLOOKUP($R443,Capa!$A:$AJ,BF$5,0))))</f>
        <v/>
      </c>
      <c r="BG443" s="174" t="str">
        <f>IF(BG$6="","",IF(BG$3="Maior",iferror(VLOOKUP($R443,Capa!$A:$AJ,BG$5,0),0),IF(ISERROR(1/VLOOKUP($R443,Capa!$A:$AJ,BG$5,0)),0,1/VLOOKUP($R443,Capa!$A:$AJ,BG$5,0))))</f>
        <v/>
      </c>
      <c r="BH443" s="174" t="str">
        <f>IF(BH$6="","",IF(BH$3="Maior",iferror(VLOOKUP($R443,Capa!$A:$AJ,BH$5,0),0),IF(ISERROR(1/VLOOKUP($R443,Capa!$A:$AJ,BH$5,0)),0,1/VLOOKUP($R443,Capa!$A:$AJ,BH$5,0))))</f>
        <v/>
      </c>
      <c r="BI443" s="174" t="str">
        <f>IF(BI$6="","",IF(BI$3="Maior",iferror(VLOOKUP($R443,Capa!$A:$AJ,BI$5,0),0),IF(ISERROR(1/VLOOKUP($R443,Capa!$A:$AJ,BI$5,0)),0,1/VLOOKUP($R443,Capa!$A:$AJ,BI$5,0))))</f>
        <v/>
      </c>
      <c r="BJ443" s="174" t="str">
        <f>IF(BJ$6="","",IF(BJ$3="Maior",iferror(VLOOKUP($R443,Capa!$A:$AJ,BJ$5,0),0),IF(ISERROR(1/VLOOKUP($R443,Capa!$A:$AJ,BJ$5,0)),0,1/VLOOKUP($R443,Capa!$A:$AJ,BJ$5,0))))</f>
        <v/>
      </c>
      <c r="BK443" s="174" t="str">
        <f>IF(BK$6="","",IF(BK$3="Maior",iferror(VLOOKUP($R443,Capa!$A:$AJ,BK$5,0),0),IF(ISERROR(1/VLOOKUP($R443,Capa!$A:$AJ,BK$5,0)),0,1/VLOOKUP($R443,Capa!$A:$AJ,BK$5,0))))</f>
        <v/>
      </c>
      <c r="BL443" s="174" t="str">
        <f>IF(BL$6="","",IF(BL$3="Maior",iferror(VLOOKUP($R443,Capa!$A:$AJ,BL$5,0),0),IF(ISERROR(1/VLOOKUP($R443,Capa!$A:$AJ,BL$5,0)),0,1/VLOOKUP($R443,Capa!$A:$AJ,BL$5,0))))</f>
        <v/>
      </c>
      <c r="BM443" s="174" t="str">
        <f>IF(BM$6="","",IF(BM$3="Maior",iferror(VLOOKUP($R443,Capa!$A:$AJ,BM$5,0),0),IF(ISERROR(1/VLOOKUP($R443,Capa!$A:$AJ,BM$5,0)),0,1/VLOOKUP($R443,Capa!$A:$AJ,BM$5,0))))</f>
        <v/>
      </c>
      <c r="BN443" s="174" t="str">
        <f>IF(BN$6="","",IF(BN$3="Maior",iferror(VLOOKUP($R443,Capa!$A:$AJ,BN$5,0),0),IF(ISERROR(1/VLOOKUP($R443,Capa!$A:$AJ,BN$5,0)),0,1/VLOOKUP($R443,Capa!$A:$AJ,BN$5,0))))</f>
        <v/>
      </c>
      <c r="BO443" s="174" t="str">
        <f>IF(BO$6="","",IF(BO$3="Maior",iferror(VLOOKUP($R443,Capa!$A:$AJ,BO$5,0),0),IF(ISERROR(1/VLOOKUP($R443,Capa!$A:$AJ,BO$5,0)),0,1/VLOOKUP($R443,Capa!$A:$AJ,BO$5,0))))</f>
        <v/>
      </c>
      <c r="BP443" s="174" t="str">
        <f>IF(BP$6="","",IF(BP$3="Maior",iferror(VLOOKUP($R443,Capa!$A:$AJ,BP$5,0),0),IF(ISERROR(1/VLOOKUP($R443,Capa!$A:$AJ,BP$5,0)),0,1/VLOOKUP($R443,Capa!$A:$AJ,BP$5,0))))</f>
        <v/>
      </c>
      <c r="BQ443" s="174" t="str">
        <f>IF(BQ$6="","",IF(BQ$3="Maior",iferror(VLOOKUP($R443,Capa!$A:$AJ,BQ$5,0),0),IF(ISERROR(1/VLOOKUP($R443,Capa!$A:$AJ,BQ$5,0)),0,1/VLOOKUP($R443,Capa!$A:$AJ,BQ$5,0))))</f>
        <v/>
      </c>
      <c r="BR443" s="175"/>
      <c r="BS443" s="147"/>
    </row>
    <row r="444">
      <c r="H444" s="8">
        <v>438.0</v>
      </c>
      <c r="I444" s="165" t="str">
        <f t="shared" si="6"/>
        <v>ENMT3</v>
      </c>
      <c r="J444" s="166" t="str">
        <f>(VLOOKUP($I444,Capa!$A:$B,2,0))</f>
        <v>Energisa Mato Grosso Distrbdr de Enrg SA</v>
      </c>
      <c r="K444" s="167" t="str">
        <f>VLOOKUP(left(I444,4),Setor!A:D,3,0)&amp;" | "&amp;VLOOKUP(left(I444,4),Setor!A:D,4,0)</f>
        <v>Utilidade Pública | Energia Elétrica</v>
      </c>
      <c r="L444" s="168">
        <f>(VLOOKUP($I444,Capa!$A:$F,6,0))</f>
        <v>48.48</v>
      </c>
      <c r="M444" s="168">
        <f t="shared" si="7"/>
        <v>19281.38</v>
      </c>
      <c r="N444" s="11" t="str">
        <f>IFERROR(__xludf.DUMMYFUNCTION("(VLOOKUP($I444,Capa!$A:$H,7,0))"),"")</f>
        <v/>
      </c>
      <c r="O444" s="169">
        <f>(VLOOKUP($I444,Capa!$A:$H,8,0))</f>
        <v>-0.08493771234</v>
      </c>
      <c r="P444" s="11" t="str">
        <f>IFERROR(__xludf.DUMMYFUNCTION("(VLOOKUP($I444,Capa!$A:$J,10,0))"),"")</f>
        <v/>
      </c>
      <c r="Q444" s="169">
        <f>(VLOOKUP($I444,Capa!$A:$K,11,0))</f>
        <v>-0.394</v>
      </c>
      <c r="R444" s="45" t="str">
        <f>'Dados StatusInvest'!A439</f>
        <v>ORVR3</v>
      </c>
      <c r="S444" s="170">
        <f t="shared" si="234"/>
        <v>247.0247</v>
      </c>
      <c r="T444" s="171">
        <f>VLOOKUP(R444,'Dados StatusInvest'!A:Z,26,0)</f>
        <v>44330888</v>
      </c>
      <c r="U444" s="172">
        <f t="shared" ref="U444:AS444" si="447">IF(AT444="","", RANK(AT444,AT$7:AT$626,0)+RANK(AT444,AT$7:AT$626,0)/10000)</f>
        <v>230.023</v>
      </c>
      <c r="V444" s="172">
        <f t="shared" si="447"/>
        <v>17.0017</v>
      </c>
      <c r="W444" s="172" t="str">
        <f t="shared" si="447"/>
        <v/>
      </c>
      <c r="X444" s="172" t="str">
        <f t="shared" si="447"/>
        <v/>
      </c>
      <c r="Y444" s="172" t="str">
        <f t="shared" si="447"/>
        <v/>
      </c>
      <c r="Z444" s="172" t="str">
        <f t="shared" si="447"/>
        <v/>
      </c>
      <c r="AA444" s="172" t="str">
        <f t="shared" si="447"/>
        <v/>
      </c>
      <c r="AB444" s="172" t="str">
        <f t="shared" si="447"/>
        <v/>
      </c>
      <c r="AC444" s="172" t="str">
        <f t="shared" si="447"/>
        <v/>
      </c>
      <c r="AD444" s="172" t="str">
        <f t="shared" si="447"/>
        <v/>
      </c>
      <c r="AE444" s="172" t="str">
        <f t="shared" si="447"/>
        <v/>
      </c>
      <c r="AF444" s="172" t="str">
        <f t="shared" si="447"/>
        <v/>
      </c>
      <c r="AG444" s="172" t="str">
        <f t="shared" si="447"/>
        <v/>
      </c>
      <c r="AH444" s="172" t="str">
        <f t="shared" si="447"/>
        <v/>
      </c>
      <c r="AI444" s="172" t="str">
        <f t="shared" si="447"/>
        <v/>
      </c>
      <c r="AJ444" s="172" t="str">
        <f t="shared" si="447"/>
        <v/>
      </c>
      <c r="AK444" s="172" t="str">
        <f t="shared" si="447"/>
        <v/>
      </c>
      <c r="AL444" s="172" t="str">
        <f t="shared" si="447"/>
        <v/>
      </c>
      <c r="AM444" s="172" t="str">
        <f t="shared" si="447"/>
        <v/>
      </c>
      <c r="AN444" s="172" t="str">
        <f t="shared" si="447"/>
        <v/>
      </c>
      <c r="AO444" s="172" t="str">
        <f t="shared" si="447"/>
        <v/>
      </c>
      <c r="AP444" s="172" t="str">
        <f t="shared" si="447"/>
        <v/>
      </c>
      <c r="AQ444" s="172" t="str">
        <f t="shared" si="447"/>
        <v/>
      </c>
      <c r="AR444" s="172" t="str">
        <f t="shared" si="447"/>
        <v/>
      </c>
      <c r="AS444" s="172" t="str">
        <f t="shared" si="447"/>
        <v/>
      </c>
      <c r="AT444" s="173">
        <f>IF(AT$6="","",IF(AT$3="Maior",iferror(VLOOKUP($R444,Capa!$A:$AJ,AT$5,0),0),IF(ISERROR(1/VLOOKUP($R444,Capa!$A:$AJ,AT$5,0)),0,1/VLOOKUP($R444,Capa!$A:$AJ,AT$5,0))))</f>
        <v>-0.3919839605</v>
      </c>
      <c r="AU444" s="174">
        <f>IF(AU$6="","",IF(AU$3="Maior",iferror(VLOOKUP($R444,Capa!$A:$AJ,AU$5,0),0),IF(ISERROR(1/VLOOKUP($R444,Capa!$A:$AJ,AU$5,0)),0,1/VLOOKUP($R444,Capa!$A:$AJ,AU$5,0))))</f>
        <v>59.79</v>
      </c>
      <c r="AV444" s="174" t="str">
        <f>IF(AV$6="","",IF(AV$3="Maior",iferror(VLOOKUP($R444,Capa!$A:$AJ,AV$5,0),0),IF(ISERROR(1/VLOOKUP($R444,Capa!$A:$AJ,AV$5,0)),0,1/VLOOKUP($R444,Capa!$A:$AJ,AV$5,0))))</f>
        <v/>
      </c>
      <c r="AW444" s="174" t="str">
        <f>IF(AW$6="","",IF(AW$3="Maior",iferror(VLOOKUP($R444,Capa!$A:$AJ,AW$5,0),0),IF(ISERROR(1/VLOOKUP($R444,Capa!$A:$AJ,AW$5,0)),0,1/VLOOKUP($R444,Capa!$A:$AJ,AW$5,0))))</f>
        <v/>
      </c>
      <c r="AX444" s="174" t="str">
        <f>IF(AX$6="","",IF(AX$3="Maior",iferror(VLOOKUP($R444,Capa!$A:$AJ,AX$5,0),0),IF(ISERROR(1/VLOOKUP($R444,Capa!$A:$AJ,AX$5,0)),0,1/VLOOKUP($R444,Capa!$A:$AJ,AX$5,0))))</f>
        <v/>
      </c>
      <c r="AY444" s="174" t="str">
        <f>IF(AY$6="","",IF(AY$3="Maior",iferror(VLOOKUP($R444,Capa!$A:$AJ,AY$5,0),0),IF(ISERROR(1/VLOOKUP($R444,Capa!$A:$AJ,AY$5,0)),0,1/VLOOKUP($R444,Capa!$A:$AJ,AY$5,0))))</f>
        <v/>
      </c>
      <c r="AZ444" s="174" t="str">
        <f>IF(AZ$6="","",IF(AZ$3="Maior",iferror(VLOOKUP($R444,Capa!$A:$AJ,AZ$5,0),0),IF(ISERROR(1/VLOOKUP($R444,Capa!$A:$AJ,AZ$5,0)),0,1/VLOOKUP($R444,Capa!$A:$AJ,AZ$5,0))))</f>
        <v/>
      </c>
      <c r="BA444" s="174" t="str">
        <f>IF(BA$6="","",IF(BA$3="Maior",iferror(VLOOKUP($R444,Capa!$A:$AJ,BA$5,0),0),IF(ISERROR(1/VLOOKUP($R444,Capa!$A:$AJ,BA$5,0)),0,1/VLOOKUP($R444,Capa!$A:$AJ,BA$5,0))))</f>
        <v/>
      </c>
      <c r="BB444" s="174" t="str">
        <f>IF(BB$6="","",IF(BB$3="Maior",iferror(VLOOKUP($R444,Capa!$A:$AJ,BB$5,0),0),IF(ISERROR(1/VLOOKUP($R444,Capa!$A:$AJ,BB$5,0)),0,1/VLOOKUP($R444,Capa!$A:$AJ,BB$5,0))))</f>
        <v/>
      </c>
      <c r="BC444" s="174" t="str">
        <f>IF(BC$6="","",IF(BC$3="Maior",iferror(VLOOKUP($R444,Capa!$A:$AJ,BC$5,0),0),IF(ISERROR(1/VLOOKUP($R444,Capa!$A:$AJ,BC$5,0)),0,1/VLOOKUP($R444,Capa!$A:$AJ,BC$5,0))))</f>
        <v/>
      </c>
      <c r="BD444" s="174" t="str">
        <f>IF(BD$6="","",IF(BD$3="Maior",iferror(VLOOKUP($R444,Capa!$A:$AJ,BD$5,0),0),IF(ISERROR(1/VLOOKUP($R444,Capa!$A:$AJ,BD$5,0)),0,1/VLOOKUP($R444,Capa!$A:$AJ,BD$5,0))))</f>
        <v/>
      </c>
      <c r="BE444" s="174" t="str">
        <f>IF(BE$6="","",IF(BE$3="Maior",iferror(VLOOKUP($R444,Capa!$A:$AJ,BE$5,0),0),IF(ISERROR(1/VLOOKUP($R444,Capa!$A:$AJ,BE$5,0)),0,1/VLOOKUP($R444,Capa!$A:$AJ,BE$5,0))))</f>
        <v/>
      </c>
      <c r="BF444" s="174" t="str">
        <f>IF(BF$6="","",IF(BF$3="Maior",iferror(VLOOKUP($R444,Capa!$A:$AJ,BF$5,0),0),IF(ISERROR(1/VLOOKUP($R444,Capa!$A:$AJ,BF$5,0)),0,1/VLOOKUP($R444,Capa!$A:$AJ,BF$5,0))))</f>
        <v/>
      </c>
      <c r="BG444" s="174" t="str">
        <f>IF(BG$6="","",IF(BG$3="Maior",iferror(VLOOKUP($R444,Capa!$A:$AJ,BG$5,0),0),IF(ISERROR(1/VLOOKUP($R444,Capa!$A:$AJ,BG$5,0)),0,1/VLOOKUP($R444,Capa!$A:$AJ,BG$5,0))))</f>
        <v/>
      </c>
      <c r="BH444" s="174" t="str">
        <f>IF(BH$6="","",IF(BH$3="Maior",iferror(VLOOKUP($R444,Capa!$A:$AJ,BH$5,0),0),IF(ISERROR(1/VLOOKUP($R444,Capa!$A:$AJ,BH$5,0)),0,1/VLOOKUP($R444,Capa!$A:$AJ,BH$5,0))))</f>
        <v/>
      </c>
      <c r="BI444" s="174" t="str">
        <f>IF(BI$6="","",IF(BI$3="Maior",iferror(VLOOKUP($R444,Capa!$A:$AJ,BI$5,0),0),IF(ISERROR(1/VLOOKUP($R444,Capa!$A:$AJ,BI$5,0)),0,1/VLOOKUP($R444,Capa!$A:$AJ,BI$5,0))))</f>
        <v/>
      </c>
      <c r="BJ444" s="174" t="str">
        <f>IF(BJ$6="","",IF(BJ$3="Maior",iferror(VLOOKUP($R444,Capa!$A:$AJ,BJ$5,0),0),IF(ISERROR(1/VLOOKUP($R444,Capa!$A:$AJ,BJ$5,0)),0,1/VLOOKUP($R444,Capa!$A:$AJ,BJ$5,0))))</f>
        <v/>
      </c>
      <c r="BK444" s="174" t="str">
        <f>IF(BK$6="","",IF(BK$3="Maior",iferror(VLOOKUP($R444,Capa!$A:$AJ,BK$5,0),0),IF(ISERROR(1/VLOOKUP($R444,Capa!$A:$AJ,BK$5,0)),0,1/VLOOKUP($R444,Capa!$A:$AJ,BK$5,0))))</f>
        <v/>
      </c>
      <c r="BL444" s="174" t="str">
        <f>IF(BL$6="","",IF(BL$3="Maior",iferror(VLOOKUP($R444,Capa!$A:$AJ,BL$5,0),0),IF(ISERROR(1/VLOOKUP($R444,Capa!$A:$AJ,BL$5,0)),0,1/VLOOKUP($R444,Capa!$A:$AJ,BL$5,0))))</f>
        <v/>
      </c>
      <c r="BM444" s="174" t="str">
        <f>IF(BM$6="","",IF(BM$3="Maior",iferror(VLOOKUP($R444,Capa!$A:$AJ,BM$5,0),0),IF(ISERROR(1/VLOOKUP($R444,Capa!$A:$AJ,BM$5,0)),0,1/VLOOKUP($R444,Capa!$A:$AJ,BM$5,0))))</f>
        <v/>
      </c>
      <c r="BN444" s="174" t="str">
        <f>IF(BN$6="","",IF(BN$3="Maior",iferror(VLOOKUP($R444,Capa!$A:$AJ,BN$5,0),0),IF(ISERROR(1/VLOOKUP($R444,Capa!$A:$AJ,BN$5,0)),0,1/VLOOKUP($R444,Capa!$A:$AJ,BN$5,0))))</f>
        <v/>
      </c>
      <c r="BO444" s="174" t="str">
        <f>IF(BO$6="","",IF(BO$3="Maior",iferror(VLOOKUP($R444,Capa!$A:$AJ,BO$5,0),0),IF(ISERROR(1/VLOOKUP($R444,Capa!$A:$AJ,BO$5,0)),0,1/VLOOKUP($R444,Capa!$A:$AJ,BO$5,0))))</f>
        <v/>
      </c>
      <c r="BP444" s="174" t="str">
        <f>IF(BP$6="","",IF(BP$3="Maior",iferror(VLOOKUP($R444,Capa!$A:$AJ,BP$5,0),0),IF(ISERROR(1/VLOOKUP($R444,Capa!$A:$AJ,BP$5,0)),0,1/VLOOKUP($R444,Capa!$A:$AJ,BP$5,0))))</f>
        <v/>
      </c>
      <c r="BQ444" s="174" t="str">
        <f>IF(BQ$6="","",IF(BQ$3="Maior",iferror(VLOOKUP($R444,Capa!$A:$AJ,BQ$5,0),0),IF(ISERROR(1/VLOOKUP($R444,Capa!$A:$AJ,BQ$5,0)),0,1/VLOOKUP($R444,Capa!$A:$AJ,BQ$5,0))))</f>
        <v/>
      </c>
      <c r="BR444" s="175"/>
      <c r="BS444" s="147"/>
    </row>
    <row r="445">
      <c r="H445" s="8">
        <v>439.0</v>
      </c>
      <c r="I445" s="165" t="str">
        <f t="shared" si="6"/>
        <v>COCE6</v>
      </c>
      <c r="J445" s="166" t="str">
        <f>(VLOOKUP($I445,Capa!$A:$B,2,0))</f>
        <v>Companhia Energetica do Ceara Preference Shares Class B</v>
      </c>
      <c r="K445" s="167" t="str">
        <f>VLOOKUP(left(I445,4),Setor!A:D,3,0)&amp;" | "&amp;VLOOKUP(left(I445,4),Setor!A:D,4,0)</f>
        <v>Utilidade Pública | Energia Elétrica</v>
      </c>
      <c r="L445" s="168">
        <f>(VLOOKUP($I445,Capa!$A:$F,6,0))</f>
        <v>0</v>
      </c>
      <c r="M445" s="168">
        <f t="shared" si="7"/>
        <v>0</v>
      </c>
      <c r="N445" s="11" t="str">
        <f>(VLOOKUP($I445,Capa!$A:$H,7,0))</f>
        <v/>
      </c>
      <c r="O445" s="169" t="str">
        <f>(VLOOKUP($I445,Capa!$A:$H,8,0))</f>
        <v/>
      </c>
      <c r="P445" s="11" t="str">
        <f>(VLOOKUP($I445,Capa!$A:$J,10,0))</f>
        <v/>
      </c>
      <c r="Q445" s="169" t="str">
        <f>(VLOOKUP($I445,Capa!$A:$K,11,0))</f>
        <v/>
      </c>
      <c r="R445" s="45" t="str">
        <f>'Dados StatusInvest'!A440</f>
        <v>OSXB3</v>
      </c>
      <c r="S445" s="170">
        <f t="shared" si="234"/>
        <v>1318.0318</v>
      </c>
      <c r="T445" s="171">
        <f>VLOOKUP(R445,'Dados StatusInvest'!A:Z,26,0)</f>
        <v>10446.11</v>
      </c>
      <c r="U445" s="172">
        <f t="shared" ref="U445:AS445" si="448">IF(AT445="","", RANK(AT445,AT$7:AT$626,0)+RANK(AT445,AT$7:AT$626,0)/10000)</f>
        <v>51.0051</v>
      </c>
      <c r="V445" s="172">
        <f t="shared" si="448"/>
        <v>267.0267</v>
      </c>
      <c r="W445" s="172" t="str">
        <f t="shared" si="448"/>
        <v/>
      </c>
      <c r="X445" s="172" t="str">
        <f t="shared" si="448"/>
        <v/>
      </c>
      <c r="Y445" s="172" t="str">
        <f t="shared" si="448"/>
        <v/>
      </c>
      <c r="Z445" s="172" t="str">
        <f t="shared" si="448"/>
        <v/>
      </c>
      <c r="AA445" s="172" t="str">
        <f t="shared" si="448"/>
        <v/>
      </c>
      <c r="AB445" s="172" t="str">
        <f t="shared" si="448"/>
        <v/>
      </c>
      <c r="AC445" s="172" t="str">
        <f t="shared" si="448"/>
        <v/>
      </c>
      <c r="AD445" s="172" t="str">
        <f t="shared" si="448"/>
        <v/>
      </c>
      <c r="AE445" s="172" t="str">
        <f t="shared" si="448"/>
        <v/>
      </c>
      <c r="AF445" s="172" t="str">
        <f t="shared" si="448"/>
        <v/>
      </c>
      <c r="AG445" s="172" t="str">
        <f t="shared" si="448"/>
        <v/>
      </c>
      <c r="AH445" s="172" t="str">
        <f t="shared" si="448"/>
        <v/>
      </c>
      <c r="AI445" s="172" t="str">
        <f t="shared" si="448"/>
        <v/>
      </c>
      <c r="AJ445" s="172" t="str">
        <f t="shared" si="448"/>
        <v/>
      </c>
      <c r="AK445" s="172" t="str">
        <f t="shared" si="448"/>
        <v/>
      </c>
      <c r="AL445" s="172" t="str">
        <f t="shared" si="448"/>
        <v/>
      </c>
      <c r="AM445" s="172" t="str">
        <f t="shared" si="448"/>
        <v/>
      </c>
      <c r="AN445" s="172" t="str">
        <f t="shared" si="448"/>
        <v/>
      </c>
      <c r="AO445" s="172" t="str">
        <f t="shared" si="448"/>
        <v/>
      </c>
      <c r="AP445" s="172" t="str">
        <f t="shared" si="448"/>
        <v/>
      </c>
      <c r="AQ445" s="172" t="str">
        <f t="shared" si="448"/>
        <v/>
      </c>
      <c r="AR445" s="172" t="str">
        <f t="shared" si="448"/>
        <v/>
      </c>
      <c r="AS445" s="172" t="str">
        <f t="shared" si="448"/>
        <v/>
      </c>
      <c r="AT445" s="173">
        <f>IF(AT$6="","",IF(AT$3="Maior",iferror(VLOOKUP($R445,Capa!$A:$AJ,AT$5,0),0),IF(ISERROR(1/VLOOKUP($R445,Capa!$A:$AJ,AT$5,0)),0,1/VLOOKUP($R445,Capa!$A:$AJ,AT$5,0))))</f>
        <v>0</v>
      </c>
      <c r="AU445" s="174">
        <f>IF(AU$6="","",IF(AU$3="Maior",iferror(VLOOKUP($R445,Capa!$A:$AJ,AU$5,0),0),IF(ISERROR(1/VLOOKUP($R445,Capa!$A:$AJ,AU$5,0)),0,1/VLOOKUP($R445,Capa!$A:$AJ,AU$5,0))))</f>
        <v>0</v>
      </c>
      <c r="AV445" s="174" t="str">
        <f>IF(AV$6="","",IF(AV$3="Maior",iferror(VLOOKUP($R445,Capa!$A:$AJ,AV$5,0),0),IF(ISERROR(1/VLOOKUP($R445,Capa!$A:$AJ,AV$5,0)),0,1/VLOOKUP($R445,Capa!$A:$AJ,AV$5,0))))</f>
        <v/>
      </c>
      <c r="AW445" s="174" t="str">
        <f>IF(AW$6="","",IF(AW$3="Maior",iferror(VLOOKUP($R445,Capa!$A:$AJ,AW$5,0),0),IF(ISERROR(1/VLOOKUP($R445,Capa!$A:$AJ,AW$5,0)),0,1/VLOOKUP($R445,Capa!$A:$AJ,AW$5,0))))</f>
        <v/>
      </c>
      <c r="AX445" s="174" t="str">
        <f>IF(AX$6="","",IF(AX$3="Maior",iferror(VLOOKUP($R445,Capa!$A:$AJ,AX$5,0),0),IF(ISERROR(1/VLOOKUP($R445,Capa!$A:$AJ,AX$5,0)),0,1/VLOOKUP($R445,Capa!$A:$AJ,AX$5,0))))</f>
        <v/>
      </c>
      <c r="AY445" s="174" t="str">
        <f>IF(AY$6="","",IF(AY$3="Maior",iferror(VLOOKUP($R445,Capa!$A:$AJ,AY$5,0),0),IF(ISERROR(1/VLOOKUP($R445,Capa!$A:$AJ,AY$5,0)),0,1/VLOOKUP($R445,Capa!$A:$AJ,AY$5,0))))</f>
        <v/>
      </c>
      <c r="AZ445" s="174" t="str">
        <f>IF(AZ$6="","",IF(AZ$3="Maior",iferror(VLOOKUP($R445,Capa!$A:$AJ,AZ$5,0),0),IF(ISERROR(1/VLOOKUP($R445,Capa!$A:$AJ,AZ$5,0)),0,1/VLOOKUP($R445,Capa!$A:$AJ,AZ$5,0))))</f>
        <v/>
      </c>
      <c r="BA445" s="174" t="str">
        <f>IF(BA$6="","",IF(BA$3="Maior",iferror(VLOOKUP($R445,Capa!$A:$AJ,BA$5,0),0),IF(ISERROR(1/VLOOKUP($R445,Capa!$A:$AJ,BA$5,0)),0,1/VLOOKUP($R445,Capa!$A:$AJ,BA$5,0))))</f>
        <v/>
      </c>
      <c r="BB445" s="174" t="str">
        <f>IF(BB$6="","",IF(BB$3="Maior",iferror(VLOOKUP($R445,Capa!$A:$AJ,BB$5,0),0),IF(ISERROR(1/VLOOKUP($R445,Capa!$A:$AJ,BB$5,0)),0,1/VLOOKUP($R445,Capa!$A:$AJ,BB$5,0))))</f>
        <v/>
      </c>
      <c r="BC445" s="174" t="str">
        <f>IF(BC$6="","",IF(BC$3="Maior",iferror(VLOOKUP($R445,Capa!$A:$AJ,BC$5,0),0),IF(ISERROR(1/VLOOKUP($R445,Capa!$A:$AJ,BC$5,0)),0,1/VLOOKUP($R445,Capa!$A:$AJ,BC$5,0))))</f>
        <v/>
      </c>
      <c r="BD445" s="174" t="str">
        <f>IF(BD$6="","",IF(BD$3="Maior",iferror(VLOOKUP($R445,Capa!$A:$AJ,BD$5,0),0),IF(ISERROR(1/VLOOKUP($R445,Capa!$A:$AJ,BD$5,0)),0,1/VLOOKUP($R445,Capa!$A:$AJ,BD$5,0))))</f>
        <v/>
      </c>
      <c r="BE445" s="174" t="str">
        <f>IF(BE$6="","",IF(BE$3="Maior",iferror(VLOOKUP($R445,Capa!$A:$AJ,BE$5,0),0),IF(ISERROR(1/VLOOKUP($R445,Capa!$A:$AJ,BE$5,0)),0,1/VLOOKUP($R445,Capa!$A:$AJ,BE$5,0))))</f>
        <v/>
      </c>
      <c r="BF445" s="174" t="str">
        <f>IF(BF$6="","",IF(BF$3="Maior",iferror(VLOOKUP($R445,Capa!$A:$AJ,BF$5,0),0),IF(ISERROR(1/VLOOKUP($R445,Capa!$A:$AJ,BF$5,0)),0,1/VLOOKUP($R445,Capa!$A:$AJ,BF$5,0))))</f>
        <v/>
      </c>
      <c r="BG445" s="174" t="str">
        <f>IF(BG$6="","",IF(BG$3="Maior",iferror(VLOOKUP($R445,Capa!$A:$AJ,BG$5,0),0),IF(ISERROR(1/VLOOKUP($R445,Capa!$A:$AJ,BG$5,0)),0,1/VLOOKUP($R445,Capa!$A:$AJ,BG$5,0))))</f>
        <v/>
      </c>
      <c r="BH445" s="174" t="str">
        <f>IF(BH$6="","",IF(BH$3="Maior",iferror(VLOOKUP($R445,Capa!$A:$AJ,BH$5,0),0),IF(ISERROR(1/VLOOKUP($R445,Capa!$A:$AJ,BH$5,0)),0,1/VLOOKUP($R445,Capa!$A:$AJ,BH$5,0))))</f>
        <v/>
      </c>
      <c r="BI445" s="174" t="str">
        <f>IF(BI$6="","",IF(BI$3="Maior",iferror(VLOOKUP($R445,Capa!$A:$AJ,BI$5,0),0),IF(ISERROR(1/VLOOKUP($R445,Capa!$A:$AJ,BI$5,0)),0,1/VLOOKUP($R445,Capa!$A:$AJ,BI$5,0))))</f>
        <v/>
      </c>
      <c r="BJ445" s="174" t="str">
        <f>IF(BJ$6="","",IF(BJ$3="Maior",iferror(VLOOKUP($R445,Capa!$A:$AJ,BJ$5,0),0),IF(ISERROR(1/VLOOKUP($R445,Capa!$A:$AJ,BJ$5,0)),0,1/VLOOKUP($R445,Capa!$A:$AJ,BJ$5,0))))</f>
        <v/>
      </c>
      <c r="BK445" s="174" t="str">
        <f>IF(BK$6="","",IF(BK$3="Maior",iferror(VLOOKUP($R445,Capa!$A:$AJ,BK$5,0),0),IF(ISERROR(1/VLOOKUP($R445,Capa!$A:$AJ,BK$5,0)),0,1/VLOOKUP($R445,Capa!$A:$AJ,BK$5,0))))</f>
        <v/>
      </c>
      <c r="BL445" s="174" t="str">
        <f>IF(BL$6="","",IF(BL$3="Maior",iferror(VLOOKUP($R445,Capa!$A:$AJ,BL$5,0),0),IF(ISERROR(1/VLOOKUP($R445,Capa!$A:$AJ,BL$5,0)),0,1/VLOOKUP($R445,Capa!$A:$AJ,BL$5,0))))</f>
        <v/>
      </c>
      <c r="BM445" s="174" t="str">
        <f>IF(BM$6="","",IF(BM$3="Maior",iferror(VLOOKUP($R445,Capa!$A:$AJ,BM$5,0),0),IF(ISERROR(1/VLOOKUP($R445,Capa!$A:$AJ,BM$5,0)),0,1/VLOOKUP($R445,Capa!$A:$AJ,BM$5,0))))</f>
        <v/>
      </c>
      <c r="BN445" s="174" t="str">
        <f>IF(BN$6="","",IF(BN$3="Maior",iferror(VLOOKUP($R445,Capa!$A:$AJ,BN$5,0),0),IF(ISERROR(1/VLOOKUP($R445,Capa!$A:$AJ,BN$5,0)),0,1/VLOOKUP($R445,Capa!$A:$AJ,BN$5,0))))</f>
        <v/>
      </c>
      <c r="BO445" s="174" t="str">
        <f>IF(BO$6="","",IF(BO$3="Maior",iferror(VLOOKUP($R445,Capa!$A:$AJ,BO$5,0),0),IF(ISERROR(1/VLOOKUP($R445,Capa!$A:$AJ,BO$5,0)),0,1/VLOOKUP($R445,Capa!$A:$AJ,BO$5,0))))</f>
        <v/>
      </c>
      <c r="BP445" s="174" t="str">
        <f>IF(BP$6="","",IF(BP$3="Maior",iferror(VLOOKUP($R445,Capa!$A:$AJ,BP$5,0),0),IF(ISERROR(1/VLOOKUP($R445,Capa!$A:$AJ,BP$5,0)),0,1/VLOOKUP($R445,Capa!$A:$AJ,BP$5,0))))</f>
        <v/>
      </c>
      <c r="BQ445" s="174" t="str">
        <f>IF(BQ$6="","",IF(BQ$3="Maior",iferror(VLOOKUP($R445,Capa!$A:$AJ,BQ$5,0),0),IF(ISERROR(1/VLOOKUP($R445,Capa!$A:$AJ,BQ$5,0)),0,1/VLOOKUP($R445,Capa!$A:$AJ,BQ$5,0))))</f>
        <v/>
      </c>
      <c r="BR445" s="175"/>
      <c r="BS445" s="147"/>
    </row>
    <row r="446">
      <c r="H446" s="8">
        <v>440.0</v>
      </c>
      <c r="I446" s="165" t="str">
        <f t="shared" si="6"/>
        <v>NORD3</v>
      </c>
      <c r="J446" s="166" t="str">
        <f>(VLOOKUP($I446,Capa!$A:$B,2,0))</f>
        <v>Nordon Industrias Metalurgicas SA</v>
      </c>
      <c r="K446" s="167" t="str">
        <f>VLOOKUP(left(I446,4),Setor!A:D,3,0)&amp;" | "&amp;VLOOKUP(left(I446,4),Setor!A:D,4,0)</f>
        <v>Bens Industriais | Máquinas e Equipamentos</v>
      </c>
      <c r="L446" s="168">
        <f>(VLOOKUP($I446,Capa!$A:$F,6,0))</f>
        <v>4.2</v>
      </c>
      <c r="M446" s="168">
        <f t="shared" si="7"/>
        <v>1875.57</v>
      </c>
      <c r="N446" s="11" t="str">
        <f>IFERROR(__xludf.DUMMYFUNCTION("(VLOOKUP($I446,Capa!$A:$H,7,0))"),"")</f>
        <v/>
      </c>
      <c r="O446" s="169">
        <f>(VLOOKUP($I446,Capa!$A:$H,8,0))</f>
        <v>0.07142857143</v>
      </c>
      <c r="P446" s="11" t="str">
        <f>IFERROR(__xludf.DUMMYFUNCTION("(VLOOKUP($I446,Capa!$A:$J,10,0))"),"")</f>
        <v/>
      </c>
      <c r="Q446" s="169">
        <f>(VLOOKUP($I446,Capa!$A:$K,11,0))</f>
        <v>-0.3427230047</v>
      </c>
      <c r="R446" s="45" t="str">
        <f>'Dados StatusInvest'!A441</f>
        <v>PARD3</v>
      </c>
      <c r="S446" s="170">
        <f t="shared" si="234"/>
        <v>1284.0284</v>
      </c>
      <c r="T446" s="171">
        <f>VLOOKUP(R446,'Dados StatusInvest'!A:Z,26,0)</f>
        <v>0</v>
      </c>
      <c r="U446" s="172">
        <f t="shared" ref="U446:AS446" si="449">IF(AT446="","", RANK(AT446,AT$7:AT$626,0)+RANK(AT446,AT$7:AT$626,0)/10000)</f>
        <v>30.003</v>
      </c>
      <c r="V446" s="172">
        <f t="shared" si="449"/>
        <v>254.0254</v>
      </c>
      <c r="W446" s="172" t="str">
        <f t="shared" si="449"/>
        <v/>
      </c>
      <c r="X446" s="172" t="str">
        <f t="shared" si="449"/>
        <v/>
      </c>
      <c r="Y446" s="172" t="str">
        <f t="shared" si="449"/>
        <v/>
      </c>
      <c r="Z446" s="172" t="str">
        <f t="shared" si="449"/>
        <v/>
      </c>
      <c r="AA446" s="172" t="str">
        <f t="shared" si="449"/>
        <v/>
      </c>
      <c r="AB446" s="172" t="str">
        <f t="shared" si="449"/>
        <v/>
      </c>
      <c r="AC446" s="172" t="str">
        <f t="shared" si="449"/>
        <v/>
      </c>
      <c r="AD446" s="172" t="str">
        <f t="shared" si="449"/>
        <v/>
      </c>
      <c r="AE446" s="172" t="str">
        <f t="shared" si="449"/>
        <v/>
      </c>
      <c r="AF446" s="172" t="str">
        <f t="shared" si="449"/>
        <v/>
      </c>
      <c r="AG446" s="172" t="str">
        <f t="shared" si="449"/>
        <v/>
      </c>
      <c r="AH446" s="172" t="str">
        <f t="shared" si="449"/>
        <v/>
      </c>
      <c r="AI446" s="172" t="str">
        <f t="shared" si="449"/>
        <v/>
      </c>
      <c r="AJ446" s="172" t="str">
        <f t="shared" si="449"/>
        <v/>
      </c>
      <c r="AK446" s="172" t="str">
        <f t="shared" si="449"/>
        <v/>
      </c>
      <c r="AL446" s="172" t="str">
        <f t="shared" si="449"/>
        <v/>
      </c>
      <c r="AM446" s="172" t="str">
        <f t="shared" si="449"/>
        <v/>
      </c>
      <c r="AN446" s="172" t="str">
        <f t="shared" si="449"/>
        <v/>
      </c>
      <c r="AO446" s="172" t="str">
        <f t="shared" si="449"/>
        <v/>
      </c>
      <c r="AP446" s="172" t="str">
        <f t="shared" si="449"/>
        <v/>
      </c>
      <c r="AQ446" s="172" t="str">
        <f t="shared" si="449"/>
        <v/>
      </c>
      <c r="AR446" s="172" t="str">
        <f t="shared" si="449"/>
        <v/>
      </c>
      <c r="AS446" s="172" t="str">
        <f t="shared" si="449"/>
        <v/>
      </c>
      <c r="AT446" s="173">
        <f>IF(AT$6="","",IF(AT$3="Maior",iferror(VLOOKUP($R446,Capa!$A:$AJ,AT$5,0),0),IF(ISERROR(1/VLOOKUP($R446,Capa!$A:$AJ,AT$5,0)),0,1/VLOOKUP($R446,Capa!$A:$AJ,AT$5,0))))</f>
        <v>0.01969279244</v>
      </c>
      <c r="AU446" s="174">
        <f>IF(AU$6="","",IF(AU$3="Maior",iferror(VLOOKUP($R446,Capa!$A:$AJ,AU$5,0),0),IF(ISERROR(1/VLOOKUP($R446,Capa!$A:$AJ,AU$5,0)),0,1/VLOOKUP($R446,Capa!$A:$AJ,AU$5,0))))</f>
        <v>2.56</v>
      </c>
      <c r="AV446" s="174" t="str">
        <f>IF(AV$6="","",IF(AV$3="Maior",iferror(VLOOKUP($R446,Capa!$A:$AJ,AV$5,0),0),IF(ISERROR(1/VLOOKUP($R446,Capa!$A:$AJ,AV$5,0)),0,1/VLOOKUP($R446,Capa!$A:$AJ,AV$5,0))))</f>
        <v/>
      </c>
      <c r="AW446" s="174" t="str">
        <f>IF(AW$6="","",IF(AW$3="Maior",iferror(VLOOKUP($R446,Capa!$A:$AJ,AW$5,0),0),IF(ISERROR(1/VLOOKUP($R446,Capa!$A:$AJ,AW$5,0)),0,1/VLOOKUP($R446,Capa!$A:$AJ,AW$5,0))))</f>
        <v/>
      </c>
      <c r="AX446" s="174" t="str">
        <f>IF(AX$6="","",IF(AX$3="Maior",iferror(VLOOKUP($R446,Capa!$A:$AJ,AX$5,0),0),IF(ISERROR(1/VLOOKUP($R446,Capa!$A:$AJ,AX$5,0)),0,1/VLOOKUP($R446,Capa!$A:$AJ,AX$5,0))))</f>
        <v/>
      </c>
      <c r="AY446" s="174" t="str">
        <f>IF(AY$6="","",IF(AY$3="Maior",iferror(VLOOKUP($R446,Capa!$A:$AJ,AY$5,0),0),IF(ISERROR(1/VLOOKUP($R446,Capa!$A:$AJ,AY$5,0)),0,1/VLOOKUP($R446,Capa!$A:$AJ,AY$5,0))))</f>
        <v/>
      </c>
      <c r="AZ446" s="174" t="str">
        <f>IF(AZ$6="","",IF(AZ$3="Maior",iferror(VLOOKUP($R446,Capa!$A:$AJ,AZ$5,0),0),IF(ISERROR(1/VLOOKUP($R446,Capa!$A:$AJ,AZ$5,0)),0,1/VLOOKUP($R446,Capa!$A:$AJ,AZ$5,0))))</f>
        <v/>
      </c>
      <c r="BA446" s="174" t="str">
        <f>IF(BA$6="","",IF(BA$3="Maior",iferror(VLOOKUP($R446,Capa!$A:$AJ,BA$5,0),0),IF(ISERROR(1/VLOOKUP($R446,Capa!$A:$AJ,BA$5,0)),0,1/VLOOKUP($R446,Capa!$A:$AJ,BA$5,0))))</f>
        <v/>
      </c>
      <c r="BB446" s="174" t="str">
        <f>IF(BB$6="","",IF(BB$3="Maior",iferror(VLOOKUP($R446,Capa!$A:$AJ,BB$5,0),0),IF(ISERROR(1/VLOOKUP($R446,Capa!$A:$AJ,BB$5,0)),0,1/VLOOKUP($R446,Capa!$A:$AJ,BB$5,0))))</f>
        <v/>
      </c>
      <c r="BC446" s="174" t="str">
        <f>IF(BC$6="","",IF(BC$3="Maior",iferror(VLOOKUP($R446,Capa!$A:$AJ,BC$5,0),0),IF(ISERROR(1/VLOOKUP($R446,Capa!$A:$AJ,BC$5,0)),0,1/VLOOKUP($R446,Capa!$A:$AJ,BC$5,0))))</f>
        <v/>
      </c>
      <c r="BD446" s="174" t="str">
        <f>IF(BD$6="","",IF(BD$3="Maior",iferror(VLOOKUP($R446,Capa!$A:$AJ,BD$5,0),0),IF(ISERROR(1/VLOOKUP($R446,Capa!$A:$AJ,BD$5,0)),0,1/VLOOKUP($R446,Capa!$A:$AJ,BD$5,0))))</f>
        <v/>
      </c>
      <c r="BE446" s="174" t="str">
        <f>IF(BE$6="","",IF(BE$3="Maior",iferror(VLOOKUP($R446,Capa!$A:$AJ,BE$5,0),0),IF(ISERROR(1/VLOOKUP($R446,Capa!$A:$AJ,BE$5,0)),0,1/VLOOKUP($R446,Capa!$A:$AJ,BE$5,0))))</f>
        <v/>
      </c>
      <c r="BF446" s="174" t="str">
        <f>IF(BF$6="","",IF(BF$3="Maior",iferror(VLOOKUP($R446,Capa!$A:$AJ,BF$5,0),0),IF(ISERROR(1/VLOOKUP($R446,Capa!$A:$AJ,BF$5,0)),0,1/VLOOKUP($R446,Capa!$A:$AJ,BF$5,0))))</f>
        <v/>
      </c>
      <c r="BG446" s="174" t="str">
        <f>IF(BG$6="","",IF(BG$3="Maior",iferror(VLOOKUP($R446,Capa!$A:$AJ,BG$5,0),0),IF(ISERROR(1/VLOOKUP($R446,Capa!$A:$AJ,BG$5,0)),0,1/VLOOKUP($R446,Capa!$A:$AJ,BG$5,0))))</f>
        <v/>
      </c>
      <c r="BH446" s="174" t="str">
        <f>IF(BH$6="","",IF(BH$3="Maior",iferror(VLOOKUP($R446,Capa!$A:$AJ,BH$5,0),0),IF(ISERROR(1/VLOOKUP($R446,Capa!$A:$AJ,BH$5,0)),0,1/VLOOKUP($R446,Capa!$A:$AJ,BH$5,0))))</f>
        <v/>
      </c>
      <c r="BI446" s="174" t="str">
        <f>IF(BI$6="","",IF(BI$3="Maior",iferror(VLOOKUP($R446,Capa!$A:$AJ,BI$5,0),0),IF(ISERROR(1/VLOOKUP($R446,Capa!$A:$AJ,BI$5,0)),0,1/VLOOKUP($R446,Capa!$A:$AJ,BI$5,0))))</f>
        <v/>
      </c>
      <c r="BJ446" s="174" t="str">
        <f>IF(BJ$6="","",IF(BJ$3="Maior",iferror(VLOOKUP($R446,Capa!$A:$AJ,BJ$5,0),0),IF(ISERROR(1/VLOOKUP($R446,Capa!$A:$AJ,BJ$5,0)),0,1/VLOOKUP($R446,Capa!$A:$AJ,BJ$5,0))))</f>
        <v/>
      </c>
      <c r="BK446" s="174" t="str">
        <f>IF(BK$6="","",IF(BK$3="Maior",iferror(VLOOKUP($R446,Capa!$A:$AJ,BK$5,0),0),IF(ISERROR(1/VLOOKUP($R446,Capa!$A:$AJ,BK$5,0)),0,1/VLOOKUP($R446,Capa!$A:$AJ,BK$5,0))))</f>
        <v/>
      </c>
      <c r="BL446" s="174" t="str">
        <f>IF(BL$6="","",IF(BL$3="Maior",iferror(VLOOKUP($R446,Capa!$A:$AJ,BL$5,0),0),IF(ISERROR(1/VLOOKUP($R446,Capa!$A:$AJ,BL$5,0)),0,1/VLOOKUP($R446,Capa!$A:$AJ,BL$5,0))))</f>
        <v/>
      </c>
      <c r="BM446" s="174" t="str">
        <f>IF(BM$6="","",IF(BM$3="Maior",iferror(VLOOKUP($R446,Capa!$A:$AJ,BM$5,0),0),IF(ISERROR(1/VLOOKUP($R446,Capa!$A:$AJ,BM$5,0)),0,1/VLOOKUP($R446,Capa!$A:$AJ,BM$5,0))))</f>
        <v/>
      </c>
      <c r="BN446" s="174" t="str">
        <f>IF(BN$6="","",IF(BN$3="Maior",iferror(VLOOKUP($R446,Capa!$A:$AJ,BN$5,0),0),IF(ISERROR(1/VLOOKUP($R446,Capa!$A:$AJ,BN$5,0)),0,1/VLOOKUP($R446,Capa!$A:$AJ,BN$5,0))))</f>
        <v/>
      </c>
      <c r="BO446" s="174" t="str">
        <f>IF(BO$6="","",IF(BO$3="Maior",iferror(VLOOKUP($R446,Capa!$A:$AJ,BO$5,0),0),IF(ISERROR(1/VLOOKUP($R446,Capa!$A:$AJ,BO$5,0)),0,1/VLOOKUP($R446,Capa!$A:$AJ,BO$5,0))))</f>
        <v/>
      </c>
      <c r="BP446" s="174" t="str">
        <f>IF(BP$6="","",IF(BP$3="Maior",iferror(VLOOKUP($R446,Capa!$A:$AJ,BP$5,0),0),IF(ISERROR(1/VLOOKUP($R446,Capa!$A:$AJ,BP$5,0)),0,1/VLOOKUP($R446,Capa!$A:$AJ,BP$5,0))))</f>
        <v/>
      </c>
      <c r="BQ446" s="174" t="str">
        <f>IF(BQ$6="","",IF(BQ$3="Maior",iferror(VLOOKUP($R446,Capa!$A:$AJ,BQ$5,0),0),IF(ISERROR(1/VLOOKUP($R446,Capa!$A:$AJ,BQ$5,0)),0,1/VLOOKUP($R446,Capa!$A:$AJ,BQ$5,0))))</f>
        <v/>
      </c>
      <c r="BR446" s="175"/>
      <c r="BS446" s="147"/>
    </row>
    <row r="447">
      <c r="H447" s="8">
        <v>441.0</v>
      </c>
      <c r="I447" s="165" t="str">
        <f t="shared" si="6"/>
        <v>KRSA3</v>
      </c>
      <c r="J447" s="166" t="str">
        <f>(VLOOKUP($I447,Capa!$A:$B,2,0))</f>
        <v/>
      </c>
      <c r="K447" s="167" t="str">
        <f>VLOOKUP(left(I447,4),Setor!A:D,3,0)&amp;" | "&amp;VLOOKUP(left(I447,4),Setor!A:D,4,0)</f>
        <v>#N/A</v>
      </c>
      <c r="L447" s="168" t="str">
        <f>(VLOOKUP($I447,Capa!$A:$F,6,0))</f>
        <v/>
      </c>
      <c r="M447" s="168">
        <f t="shared" si="7"/>
        <v>0</v>
      </c>
      <c r="N447" s="11" t="str">
        <f>(VLOOKUP($I447,Capa!$A:$H,7,0))</f>
        <v/>
      </c>
      <c r="O447" s="169" t="str">
        <f>(VLOOKUP($I447,Capa!$A:$H,8,0))</f>
        <v/>
      </c>
      <c r="P447" s="11" t="str">
        <f>(VLOOKUP($I447,Capa!$A:$J,10,0))</f>
        <v/>
      </c>
      <c r="Q447" s="169" t="str">
        <f>(VLOOKUP($I447,Capa!$A:$K,11,0))</f>
        <v/>
      </c>
      <c r="R447" s="45" t="str">
        <f>'Dados StatusInvest'!A442</f>
        <v>PATI3</v>
      </c>
      <c r="S447" s="170">
        <f t="shared" si="234"/>
        <v>1385.0385</v>
      </c>
      <c r="T447" s="171">
        <f>VLOOKUP(R447,'Dados StatusInvest'!A:Z,26,0)</f>
        <v>5901.08</v>
      </c>
      <c r="U447" s="172">
        <f t="shared" ref="U447:AS447" si="450">IF(AT447="","", RANK(AT447,AT$7:AT$626,0)+RANK(AT447,AT$7:AT$626,0)/10000)</f>
        <v>251.0251</v>
      </c>
      <c r="V447" s="172">
        <f t="shared" si="450"/>
        <v>134.0134</v>
      </c>
      <c r="W447" s="172" t="str">
        <f t="shared" si="450"/>
        <v/>
      </c>
      <c r="X447" s="172" t="str">
        <f t="shared" si="450"/>
        <v/>
      </c>
      <c r="Y447" s="172" t="str">
        <f t="shared" si="450"/>
        <v/>
      </c>
      <c r="Z447" s="172" t="str">
        <f t="shared" si="450"/>
        <v/>
      </c>
      <c r="AA447" s="172" t="str">
        <f t="shared" si="450"/>
        <v/>
      </c>
      <c r="AB447" s="172" t="str">
        <f t="shared" si="450"/>
        <v/>
      </c>
      <c r="AC447" s="172" t="str">
        <f t="shared" si="450"/>
        <v/>
      </c>
      <c r="AD447" s="172" t="str">
        <f t="shared" si="450"/>
        <v/>
      </c>
      <c r="AE447" s="172" t="str">
        <f t="shared" si="450"/>
        <v/>
      </c>
      <c r="AF447" s="172" t="str">
        <f t="shared" si="450"/>
        <v/>
      </c>
      <c r="AG447" s="172" t="str">
        <f t="shared" si="450"/>
        <v/>
      </c>
      <c r="AH447" s="172" t="str">
        <f t="shared" si="450"/>
        <v/>
      </c>
      <c r="AI447" s="172" t="str">
        <f t="shared" si="450"/>
        <v/>
      </c>
      <c r="AJ447" s="172" t="str">
        <f t="shared" si="450"/>
        <v/>
      </c>
      <c r="AK447" s="172" t="str">
        <f t="shared" si="450"/>
        <v/>
      </c>
      <c r="AL447" s="172" t="str">
        <f t="shared" si="450"/>
        <v/>
      </c>
      <c r="AM447" s="172" t="str">
        <f t="shared" si="450"/>
        <v/>
      </c>
      <c r="AN447" s="172" t="str">
        <f t="shared" si="450"/>
        <v/>
      </c>
      <c r="AO447" s="172" t="str">
        <f t="shared" si="450"/>
        <v/>
      </c>
      <c r="AP447" s="172" t="str">
        <f t="shared" si="450"/>
        <v/>
      </c>
      <c r="AQ447" s="172" t="str">
        <f t="shared" si="450"/>
        <v/>
      </c>
      <c r="AR447" s="172" t="str">
        <f t="shared" si="450"/>
        <v/>
      </c>
      <c r="AS447" s="172" t="str">
        <f t="shared" si="450"/>
        <v/>
      </c>
      <c r="AT447" s="173">
        <f>IF(AT$6="","",IF(AT$3="Maior",iferror(VLOOKUP($R447,Capa!$A:$AJ,AT$5,0),0),IF(ISERROR(1/VLOOKUP($R447,Capa!$A:$AJ,AT$5,0)),0,1/VLOOKUP($R447,Capa!$A:$AJ,AT$5,0))))</f>
        <v>-0.495049505</v>
      </c>
      <c r="AU447" s="174">
        <f>IF(AU$6="","",IF(AU$3="Maior",iferror(VLOOKUP($R447,Capa!$A:$AJ,AU$5,0),0),IF(ISERROR(1/VLOOKUP($R447,Capa!$A:$AJ,AU$5,0)),0,1/VLOOKUP($R447,Capa!$A:$AJ,AU$5,0))))</f>
        <v>20</v>
      </c>
      <c r="AV447" s="174" t="str">
        <f>IF(AV$6="","",IF(AV$3="Maior",iferror(VLOOKUP($R447,Capa!$A:$AJ,AV$5,0),0),IF(ISERROR(1/VLOOKUP($R447,Capa!$A:$AJ,AV$5,0)),0,1/VLOOKUP($R447,Capa!$A:$AJ,AV$5,0))))</f>
        <v/>
      </c>
      <c r="AW447" s="174" t="str">
        <f>IF(AW$6="","",IF(AW$3="Maior",iferror(VLOOKUP($R447,Capa!$A:$AJ,AW$5,0),0),IF(ISERROR(1/VLOOKUP($R447,Capa!$A:$AJ,AW$5,0)),0,1/VLOOKUP($R447,Capa!$A:$AJ,AW$5,0))))</f>
        <v/>
      </c>
      <c r="AX447" s="174" t="str">
        <f>IF(AX$6="","",IF(AX$3="Maior",iferror(VLOOKUP($R447,Capa!$A:$AJ,AX$5,0),0),IF(ISERROR(1/VLOOKUP($R447,Capa!$A:$AJ,AX$5,0)),0,1/VLOOKUP($R447,Capa!$A:$AJ,AX$5,0))))</f>
        <v/>
      </c>
      <c r="AY447" s="174" t="str">
        <f>IF(AY$6="","",IF(AY$3="Maior",iferror(VLOOKUP($R447,Capa!$A:$AJ,AY$5,0),0),IF(ISERROR(1/VLOOKUP($R447,Capa!$A:$AJ,AY$5,0)),0,1/VLOOKUP($R447,Capa!$A:$AJ,AY$5,0))))</f>
        <v/>
      </c>
      <c r="AZ447" s="174" t="str">
        <f>IF(AZ$6="","",IF(AZ$3="Maior",iferror(VLOOKUP($R447,Capa!$A:$AJ,AZ$5,0),0),IF(ISERROR(1/VLOOKUP($R447,Capa!$A:$AJ,AZ$5,0)),0,1/VLOOKUP($R447,Capa!$A:$AJ,AZ$5,0))))</f>
        <v/>
      </c>
      <c r="BA447" s="174" t="str">
        <f>IF(BA$6="","",IF(BA$3="Maior",iferror(VLOOKUP($R447,Capa!$A:$AJ,BA$5,0),0),IF(ISERROR(1/VLOOKUP($R447,Capa!$A:$AJ,BA$5,0)),0,1/VLOOKUP($R447,Capa!$A:$AJ,BA$5,0))))</f>
        <v/>
      </c>
      <c r="BB447" s="174" t="str">
        <f>IF(BB$6="","",IF(BB$3="Maior",iferror(VLOOKUP($R447,Capa!$A:$AJ,BB$5,0),0),IF(ISERROR(1/VLOOKUP($R447,Capa!$A:$AJ,BB$5,0)),0,1/VLOOKUP($R447,Capa!$A:$AJ,BB$5,0))))</f>
        <v/>
      </c>
      <c r="BC447" s="174" t="str">
        <f>IF(BC$6="","",IF(BC$3="Maior",iferror(VLOOKUP($R447,Capa!$A:$AJ,BC$5,0),0),IF(ISERROR(1/VLOOKUP($R447,Capa!$A:$AJ,BC$5,0)),0,1/VLOOKUP($R447,Capa!$A:$AJ,BC$5,0))))</f>
        <v/>
      </c>
      <c r="BD447" s="174" t="str">
        <f>IF(BD$6="","",IF(BD$3="Maior",iferror(VLOOKUP($R447,Capa!$A:$AJ,BD$5,0),0),IF(ISERROR(1/VLOOKUP($R447,Capa!$A:$AJ,BD$5,0)),0,1/VLOOKUP($R447,Capa!$A:$AJ,BD$5,0))))</f>
        <v/>
      </c>
      <c r="BE447" s="174" t="str">
        <f>IF(BE$6="","",IF(BE$3="Maior",iferror(VLOOKUP($R447,Capa!$A:$AJ,BE$5,0),0),IF(ISERROR(1/VLOOKUP($R447,Capa!$A:$AJ,BE$5,0)),0,1/VLOOKUP($R447,Capa!$A:$AJ,BE$5,0))))</f>
        <v/>
      </c>
      <c r="BF447" s="174" t="str">
        <f>IF(BF$6="","",IF(BF$3="Maior",iferror(VLOOKUP($R447,Capa!$A:$AJ,BF$5,0),0),IF(ISERROR(1/VLOOKUP($R447,Capa!$A:$AJ,BF$5,0)),0,1/VLOOKUP($R447,Capa!$A:$AJ,BF$5,0))))</f>
        <v/>
      </c>
      <c r="BG447" s="174" t="str">
        <f>IF(BG$6="","",IF(BG$3="Maior",iferror(VLOOKUP($R447,Capa!$A:$AJ,BG$5,0),0),IF(ISERROR(1/VLOOKUP($R447,Capa!$A:$AJ,BG$5,0)),0,1/VLOOKUP($R447,Capa!$A:$AJ,BG$5,0))))</f>
        <v/>
      </c>
      <c r="BH447" s="174" t="str">
        <f>IF(BH$6="","",IF(BH$3="Maior",iferror(VLOOKUP($R447,Capa!$A:$AJ,BH$5,0),0),IF(ISERROR(1/VLOOKUP($R447,Capa!$A:$AJ,BH$5,0)),0,1/VLOOKUP($R447,Capa!$A:$AJ,BH$5,0))))</f>
        <v/>
      </c>
      <c r="BI447" s="174" t="str">
        <f>IF(BI$6="","",IF(BI$3="Maior",iferror(VLOOKUP($R447,Capa!$A:$AJ,BI$5,0),0),IF(ISERROR(1/VLOOKUP($R447,Capa!$A:$AJ,BI$5,0)),0,1/VLOOKUP($R447,Capa!$A:$AJ,BI$5,0))))</f>
        <v/>
      </c>
      <c r="BJ447" s="174" t="str">
        <f>IF(BJ$6="","",IF(BJ$3="Maior",iferror(VLOOKUP($R447,Capa!$A:$AJ,BJ$5,0),0),IF(ISERROR(1/VLOOKUP($R447,Capa!$A:$AJ,BJ$5,0)),0,1/VLOOKUP($R447,Capa!$A:$AJ,BJ$5,0))))</f>
        <v/>
      </c>
      <c r="BK447" s="174" t="str">
        <f>IF(BK$6="","",IF(BK$3="Maior",iferror(VLOOKUP($R447,Capa!$A:$AJ,BK$5,0),0),IF(ISERROR(1/VLOOKUP($R447,Capa!$A:$AJ,BK$5,0)),0,1/VLOOKUP($R447,Capa!$A:$AJ,BK$5,0))))</f>
        <v/>
      </c>
      <c r="BL447" s="174" t="str">
        <f>IF(BL$6="","",IF(BL$3="Maior",iferror(VLOOKUP($R447,Capa!$A:$AJ,BL$5,0),0),IF(ISERROR(1/VLOOKUP($R447,Capa!$A:$AJ,BL$5,0)),0,1/VLOOKUP($R447,Capa!$A:$AJ,BL$5,0))))</f>
        <v/>
      </c>
      <c r="BM447" s="174" t="str">
        <f>IF(BM$6="","",IF(BM$3="Maior",iferror(VLOOKUP($R447,Capa!$A:$AJ,BM$5,0),0),IF(ISERROR(1/VLOOKUP($R447,Capa!$A:$AJ,BM$5,0)),0,1/VLOOKUP($R447,Capa!$A:$AJ,BM$5,0))))</f>
        <v/>
      </c>
      <c r="BN447" s="174" t="str">
        <f>IF(BN$6="","",IF(BN$3="Maior",iferror(VLOOKUP($R447,Capa!$A:$AJ,BN$5,0),0),IF(ISERROR(1/VLOOKUP($R447,Capa!$A:$AJ,BN$5,0)),0,1/VLOOKUP($R447,Capa!$A:$AJ,BN$5,0))))</f>
        <v/>
      </c>
      <c r="BO447" s="174" t="str">
        <f>IF(BO$6="","",IF(BO$3="Maior",iferror(VLOOKUP($R447,Capa!$A:$AJ,BO$5,0),0),IF(ISERROR(1/VLOOKUP($R447,Capa!$A:$AJ,BO$5,0)),0,1/VLOOKUP($R447,Capa!$A:$AJ,BO$5,0))))</f>
        <v/>
      </c>
      <c r="BP447" s="174" t="str">
        <f>IF(BP$6="","",IF(BP$3="Maior",iferror(VLOOKUP($R447,Capa!$A:$AJ,BP$5,0),0),IF(ISERROR(1/VLOOKUP($R447,Capa!$A:$AJ,BP$5,0)),0,1/VLOOKUP($R447,Capa!$A:$AJ,BP$5,0))))</f>
        <v/>
      </c>
      <c r="BQ447" s="174" t="str">
        <f>IF(BQ$6="","",IF(BQ$3="Maior",iferror(VLOOKUP($R447,Capa!$A:$AJ,BQ$5,0),0),IF(ISERROR(1/VLOOKUP($R447,Capa!$A:$AJ,BQ$5,0)),0,1/VLOOKUP($R447,Capa!$A:$AJ,BQ$5,0))))</f>
        <v/>
      </c>
      <c r="BR447" s="175"/>
      <c r="BS447" s="147"/>
    </row>
    <row r="448">
      <c r="H448" s="8">
        <v>442.0</v>
      </c>
      <c r="I448" s="165" t="str">
        <f t="shared" si="6"/>
        <v>AHEB5</v>
      </c>
      <c r="J448" s="166" t="str">
        <f>(VLOOKUP($I448,Capa!$A:$B,2,0))</f>
        <v>Sao Paulo Turismo Class Pref Shs Class A</v>
      </c>
      <c r="K448" s="167" t="str">
        <f>VLOOKUP(left(I448,4),Setor!A:D,3,0)&amp;" | "&amp;VLOOKUP(left(I448,4),Setor!A:D,4,0)</f>
        <v>Consumo Cíclico | Viagens e Lazer</v>
      </c>
      <c r="L448" s="168">
        <f>(VLOOKUP($I448,Capa!$A:$F,6,0))</f>
        <v>58</v>
      </c>
      <c r="M448" s="168">
        <f t="shared" si="7"/>
        <v>0</v>
      </c>
      <c r="N448" s="11" t="str">
        <f>(VLOOKUP($I448,Capa!$A:$H,7,0))</f>
        <v/>
      </c>
      <c r="O448" s="169" t="str">
        <f>(VLOOKUP($I448,Capa!$A:$H,8,0))</f>
        <v/>
      </c>
      <c r="P448" s="11" t="str">
        <f>IFERROR(__xludf.DUMMYFUNCTION("(VLOOKUP($I448,Capa!$A:$J,10,0))"),"")</f>
        <v/>
      </c>
      <c r="Q448" s="169" t="str">
        <f>(VLOOKUP($I448,Capa!$A:$K,11,0))</f>
        <v/>
      </c>
      <c r="R448" s="45" t="str">
        <f>'Dados StatusInvest'!A443</f>
        <v>PATI4</v>
      </c>
      <c r="S448" s="170">
        <f t="shared" si="234"/>
        <v>1391.0391</v>
      </c>
      <c r="T448" s="171">
        <f>VLOOKUP(R448,'Dados StatusInvest'!A:Z,26,0)</f>
        <v>850</v>
      </c>
      <c r="U448" s="172">
        <f t="shared" ref="U448:AS448" si="451">IF(AT448="","", RANK(AT448,AT$7:AT$626,0)+RANK(AT448,AT$7:AT$626,0)/10000)</f>
        <v>257.0257</v>
      </c>
      <c r="V448" s="172">
        <f t="shared" si="451"/>
        <v>134.0134</v>
      </c>
      <c r="W448" s="172" t="str">
        <f t="shared" si="451"/>
        <v/>
      </c>
      <c r="X448" s="172" t="str">
        <f t="shared" si="451"/>
        <v/>
      </c>
      <c r="Y448" s="172" t="str">
        <f t="shared" si="451"/>
        <v/>
      </c>
      <c r="Z448" s="172" t="str">
        <f t="shared" si="451"/>
        <v/>
      </c>
      <c r="AA448" s="172" t="str">
        <f t="shared" si="451"/>
        <v/>
      </c>
      <c r="AB448" s="172" t="str">
        <f t="shared" si="451"/>
        <v/>
      </c>
      <c r="AC448" s="172" t="str">
        <f t="shared" si="451"/>
        <v/>
      </c>
      <c r="AD448" s="172" t="str">
        <f t="shared" si="451"/>
        <v/>
      </c>
      <c r="AE448" s="172" t="str">
        <f t="shared" si="451"/>
        <v/>
      </c>
      <c r="AF448" s="172" t="str">
        <f t="shared" si="451"/>
        <v/>
      </c>
      <c r="AG448" s="172" t="str">
        <f t="shared" si="451"/>
        <v/>
      </c>
      <c r="AH448" s="172" t="str">
        <f t="shared" si="451"/>
        <v/>
      </c>
      <c r="AI448" s="172" t="str">
        <f t="shared" si="451"/>
        <v/>
      </c>
      <c r="AJ448" s="172" t="str">
        <f t="shared" si="451"/>
        <v/>
      </c>
      <c r="AK448" s="172" t="str">
        <f t="shared" si="451"/>
        <v/>
      </c>
      <c r="AL448" s="172" t="str">
        <f t="shared" si="451"/>
        <v/>
      </c>
      <c r="AM448" s="172" t="str">
        <f t="shared" si="451"/>
        <v/>
      </c>
      <c r="AN448" s="172" t="str">
        <f t="shared" si="451"/>
        <v/>
      </c>
      <c r="AO448" s="172" t="str">
        <f t="shared" si="451"/>
        <v/>
      </c>
      <c r="AP448" s="172" t="str">
        <f t="shared" si="451"/>
        <v/>
      </c>
      <c r="AQ448" s="172" t="str">
        <f t="shared" si="451"/>
        <v/>
      </c>
      <c r="AR448" s="172" t="str">
        <f t="shared" si="451"/>
        <v/>
      </c>
      <c r="AS448" s="172" t="str">
        <f t="shared" si="451"/>
        <v/>
      </c>
      <c r="AT448" s="173">
        <f>IF(AT$6="","",IF(AT$3="Maior",iferror(VLOOKUP($R448,Capa!$A:$AJ,AT$5,0),0),IF(ISERROR(1/VLOOKUP($R448,Capa!$A:$AJ,AT$5,0)),0,1/VLOOKUP($R448,Capa!$A:$AJ,AT$5,0))))</f>
        <v>-0.518134715</v>
      </c>
      <c r="AU448" s="174">
        <f>IF(AU$6="","",IF(AU$3="Maior",iferror(VLOOKUP($R448,Capa!$A:$AJ,AU$5,0),0),IF(ISERROR(1/VLOOKUP($R448,Capa!$A:$AJ,AU$5,0)),0,1/VLOOKUP($R448,Capa!$A:$AJ,AU$5,0))))</f>
        <v>20</v>
      </c>
      <c r="AV448" s="174" t="str">
        <f>IF(AV$6="","",IF(AV$3="Maior",iferror(VLOOKUP($R448,Capa!$A:$AJ,AV$5,0),0),IF(ISERROR(1/VLOOKUP($R448,Capa!$A:$AJ,AV$5,0)),0,1/VLOOKUP($R448,Capa!$A:$AJ,AV$5,0))))</f>
        <v/>
      </c>
      <c r="AW448" s="174" t="str">
        <f>IF(AW$6="","",IF(AW$3="Maior",iferror(VLOOKUP($R448,Capa!$A:$AJ,AW$5,0),0),IF(ISERROR(1/VLOOKUP($R448,Capa!$A:$AJ,AW$5,0)),0,1/VLOOKUP($R448,Capa!$A:$AJ,AW$5,0))))</f>
        <v/>
      </c>
      <c r="AX448" s="174" t="str">
        <f>IF(AX$6="","",IF(AX$3="Maior",iferror(VLOOKUP($R448,Capa!$A:$AJ,AX$5,0),0),IF(ISERROR(1/VLOOKUP($R448,Capa!$A:$AJ,AX$5,0)),0,1/VLOOKUP($R448,Capa!$A:$AJ,AX$5,0))))</f>
        <v/>
      </c>
      <c r="AY448" s="174" t="str">
        <f>IF(AY$6="","",IF(AY$3="Maior",iferror(VLOOKUP($R448,Capa!$A:$AJ,AY$5,0),0),IF(ISERROR(1/VLOOKUP($R448,Capa!$A:$AJ,AY$5,0)),0,1/VLOOKUP($R448,Capa!$A:$AJ,AY$5,0))))</f>
        <v/>
      </c>
      <c r="AZ448" s="174" t="str">
        <f>IF(AZ$6="","",IF(AZ$3="Maior",iferror(VLOOKUP($R448,Capa!$A:$AJ,AZ$5,0),0),IF(ISERROR(1/VLOOKUP($R448,Capa!$A:$AJ,AZ$5,0)),0,1/VLOOKUP($R448,Capa!$A:$AJ,AZ$5,0))))</f>
        <v/>
      </c>
      <c r="BA448" s="174" t="str">
        <f>IF(BA$6="","",IF(BA$3="Maior",iferror(VLOOKUP($R448,Capa!$A:$AJ,BA$5,0),0),IF(ISERROR(1/VLOOKUP($R448,Capa!$A:$AJ,BA$5,0)),0,1/VLOOKUP($R448,Capa!$A:$AJ,BA$5,0))))</f>
        <v/>
      </c>
      <c r="BB448" s="174" t="str">
        <f>IF(BB$6="","",IF(BB$3="Maior",iferror(VLOOKUP($R448,Capa!$A:$AJ,BB$5,0),0),IF(ISERROR(1/VLOOKUP($R448,Capa!$A:$AJ,BB$5,0)),0,1/VLOOKUP($R448,Capa!$A:$AJ,BB$5,0))))</f>
        <v/>
      </c>
      <c r="BC448" s="174" t="str">
        <f>IF(BC$6="","",IF(BC$3="Maior",iferror(VLOOKUP($R448,Capa!$A:$AJ,BC$5,0),0),IF(ISERROR(1/VLOOKUP($R448,Capa!$A:$AJ,BC$5,0)),0,1/VLOOKUP($R448,Capa!$A:$AJ,BC$5,0))))</f>
        <v/>
      </c>
      <c r="BD448" s="174" t="str">
        <f>IF(BD$6="","",IF(BD$3="Maior",iferror(VLOOKUP($R448,Capa!$A:$AJ,BD$5,0),0),IF(ISERROR(1/VLOOKUP($R448,Capa!$A:$AJ,BD$5,0)),0,1/VLOOKUP($R448,Capa!$A:$AJ,BD$5,0))))</f>
        <v/>
      </c>
      <c r="BE448" s="174" t="str">
        <f>IF(BE$6="","",IF(BE$3="Maior",iferror(VLOOKUP($R448,Capa!$A:$AJ,BE$5,0),0),IF(ISERROR(1/VLOOKUP($R448,Capa!$A:$AJ,BE$5,0)),0,1/VLOOKUP($R448,Capa!$A:$AJ,BE$5,0))))</f>
        <v/>
      </c>
      <c r="BF448" s="174" t="str">
        <f>IF(BF$6="","",IF(BF$3="Maior",iferror(VLOOKUP($R448,Capa!$A:$AJ,BF$5,0),0),IF(ISERROR(1/VLOOKUP($R448,Capa!$A:$AJ,BF$5,0)),0,1/VLOOKUP($R448,Capa!$A:$AJ,BF$5,0))))</f>
        <v/>
      </c>
      <c r="BG448" s="174" t="str">
        <f>IF(BG$6="","",IF(BG$3="Maior",iferror(VLOOKUP($R448,Capa!$A:$AJ,BG$5,0),0),IF(ISERROR(1/VLOOKUP($R448,Capa!$A:$AJ,BG$5,0)),0,1/VLOOKUP($R448,Capa!$A:$AJ,BG$5,0))))</f>
        <v/>
      </c>
      <c r="BH448" s="174" t="str">
        <f>IF(BH$6="","",IF(BH$3="Maior",iferror(VLOOKUP($R448,Capa!$A:$AJ,BH$5,0),0),IF(ISERROR(1/VLOOKUP($R448,Capa!$A:$AJ,BH$5,0)),0,1/VLOOKUP($R448,Capa!$A:$AJ,BH$5,0))))</f>
        <v/>
      </c>
      <c r="BI448" s="174" t="str">
        <f>IF(BI$6="","",IF(BI$3="Maior",iferror(VLOOKUP($R448,Capa!$A:$AJ,BI$5,0),0),IF(ISERROR(1/VLOOKUP($R448,Capa!$A:$AJ,BI$5,0)),0,1/VLOOKUP($R448,Capa!$A:$AJ,BI$5,0))))</f>
        <v/>
      </c>
      <c r="BJ448" s="174" t="str">
        <f>IF(BJ$6="","",IF(BJ$3="Maior",iferror(VLOOKUP($R448,Capa!$A:$AJ,BJ$5,0),0),IF(ISERROR(1/VLOOKUP($R448,Capa!$A:$AJ,BJ$5,0)),0,1/VLOOKUP($R448,Capa!$A:$AJ,BJ$5,0))))</f>
        <v/>
      </c>
      <c r="BK448" s="174" t="str">
        <f>IF(BK$6="","",IF(BK$3="Maior",iferror(VLOOKUP($R448,Capa!$A:$AJ,BK$5,0),0),IF(ISERROR(1/VLOOKUP($R448,Capa!$A:$AJ,BK$5,0)),0,1/VLOOKUP($R448,Capa!$A:$AJ,BK$5,0))))</f>
        <v/>
      </c>
      <c r="BL448" s="174" t="str">
        <f>IF(BL$6="","",IF(BL$3="Maior",iferror(VLOOKUP($R448,Capa!$A:$AJ,BL$5,0),0),IF(ISERROR(1/VLOOKUP($R448,Capa!$A:$AJ,BL$5,0)),0,1/VLOOKUP($R448,Capa!$A:$AJ,BL$5,0))))</f>
        <v/>
      </c>
      <c r="BM448" s="174" t="str">
        <f>IF(BM$6="","",IF(BM$3="Maior",iferror(VLOOKUP($R448,Capa!$A:$AJ,BM$5,0),0),IF(ISERROR(1/VLOOKUP($R448,Capa!$A:$AJ,BM$5,0)),0,1/VLOOKUP($R448,Capa!$A:$AJ,BM$5,0))))</f>
        <v/>
      </c>
      <c r="BN448" s="174" t="str">
        <f>IF(BN$6="","",IF(BN$3="Maior",iferror(VLOOKUP($R448,Capa!$A:$AJ,BN$5,0),0),IF(ISERROR(1/VLOOKUP($R448,Capa!$A:$AJ,BN$5,0)),0,1/VLOOKUP($R448,Capa!$A:$AJ,BN$5,0))))</f>
        <v/>
      </c>
      <c r="BO448" s="174" t="str">
        <f>IF(BO$6="","",IF(BO$3="Maior",iferror(VLOOKUP($R448,Capa!$A:$AJ,BO$5,0),0),IF(ISERROR(1/VLOOKUP($R448,Capa!$A:$AJ,BO$5,0)),0,1/VLOOKUP($R448,Capa!$A:$AJ,BO$5,0))))</f>
        <v/>
      </c>
      <c r="BP448" s="174" t="str">
        <f>IF(BP$6="","",IF(BP$3="Maior",iferror(VLOOKUP($R448,Capa!$A:$AJ,BP$5,0),0),IF(ISERROR(1/VLOOKUP($R448,Capa!$A:$AJ,BP$5,0)),0,1/VLOOKUP($R448,Capa!$A:$AJ,BP$5,0))))</f>
        <v/>
      </c>
      <c r="BQ448" s="174" t="str">
        <f>IF(BQ$6="","",IF(BQ$3="Maior",iferror(VLOOKUP($R448,Capa!$A:$AJ,BQ$5,0),0),IF(ISERROR(1/VLOOKUP($R448,Capa!$A:$AJ,BQ$5,0)),0,1/VLOOKUP($R448,Capa!$A:$AJ,BQ$5,0))))</f>
        <v/>
      </c>
      <c r="BR448" s="175"/>
      <c r="BS448" s="147"/>
    </row>
    <row r="449">
      <c r="H449" s="8">
        <v>443.0</v>
      </c>
      <c r="I449" s="165" t="str">
        <f t="shared" si="6"/>
        <v>MNPR3</v>
      </c>
      <c r="J449" s="166" t="str">
        <f>(VLOOKUP($I449,Capa!$A:$B,2,0))</f>
        <v>Minupar Participacoes SA</v>
      </c>
      <c r="K449" s="167" t="str">
        <f>VLOOKUP(left(I449,4),Setor!A:D,3,0)&amp;" | "&amp;VLOOKUP(left(I449,4),Setor!A:D,4,0)</f>
        <v>Consumo não Cíclico | Alimentos Processados</v>
      </c>
      <c r="L449" s="168">
        <f>(VLOOKUP($I449,Capa!$A:$F,6,0))</f>
        <v>4.07</v>
      </c>
      <c r="M449" s="168">
        <f t="shared" si="7"/>
        <v>92822.95</v>
      </c>
      <c r="N449" s="11" t="str">
        <f>IFERROR(__xludf.DUMMYFUNCTION("(VLOOKUP($I449,Capa!$A:$H,7,0))"),"")</f>
        <v/>
      </c>
      <c r="O449" s="169">
        <f>(VLOOKUP($I449,Capa!$A:$H,8,0))</f>
        <v>-0.05568445476</v>
      </c>
      <c r="P449" s="11" t="str">
        <f>IFERROR(__xludf.DUMMYFUNCTION("(VLOOKUP($I449,Capa!$A:$J,10,0))"),"")</f>
        <v/>
      </c>
      <c r="Q449" s="169">
        <f>(VLOOKUP($I449,Capa!$A:$K,11,0))</f>
        <v>0.4181184669</v>
      </c>
      <c r="R449" s="45" t="str">
        <f>'Dados StatusInvest'!A444</f>
        <v>PCAR3</v>
      </c>
      <c r="S449" s="170">
        <f t="shared" si="234"/>
        <v>846.0846</v>
      </c>
      <c r="T449" s="171">
        <f>VLOOKUP(R449,'Dados StatusInvest'!A:Z,26,0)</f>
        <v>36962425</v>
      </c>
      <c r="U449" s="172">
        <f t="shared" ref="U449:AS449" si="452">IF(AT449="","", RANK(AT449,AT$7:AT$626,0)+RANK(AT449,AT$7:AT$626,0)/10000)</f>
        <v>579.0579</v>
      </c>
      <c r="V449" s="172">
        <f t="shared" si="452"/>
        <v>267.0267</v>
      </c>
      <c r="W449" s="172" t="str">
        <f t="shared" si="452"/>
        <v/>
      </c>
      <c r="X449" s="172" t="str">
        <f t="shared" si="452"/>
        <v/>
      </c>
      <c r="Y449" s="172" t="str">
        <f t="shared" si="452"/>
        <v/>
      </c>
      <c r="Z449" s="172" t="str">
        <f t="shared" si="452"/>
        <v/>
      </c>
      <c r="AA449" s="172" t="str">
        <f t="shared" si="452"/>
        <v/>
      </c>
      <c r="AB449" s="172" t="str">
        <f t="shared" si="452"/>
        <v/>
      </c>
      <c r="AC449" s="172" t="str">
        <f t="shared" si="452"/>
        <v/>
      </c>
      <c r="AD449" s="172" t="str">
        <f t="shared" si="452"/>
        <v/>
      </c>
      <c r="AE449" s="172" t="str">
        <f t="shared" si="452"/>
        <v/>
      </c>
      <c r="AF449" s="172" t="str">
        <f t="shared" si="452"/>
        <v/>
      </c>
      <c r="AG449" s="172" t="str">
        <f t="shared" si="452"/>
        <v/>
      </c>
      <c r="AH449" s="172" t="str">
        <f t="shared" si="452"/>
        <v/>
      </c>
      <c r="AI449" s="172" t="str">
        <f t="shared" si="452"/>
        <v/>
      </c>
      <c r="AJ449" s="172" t="str">
        <f t="shared" si="452"/>
        <v/>
      </c>
      <c r="AK449" s="172" t="str">
        <f t="shared" si="452"/>
        <v/>
      </c>
      <c r="AL449" s="172" t="str">
        <f t="shared" si="452"/>
        <v/>
      </c>
      <c r="AM449" s="172" t="str">
        <f t="shared" si="452"/>
        <v/>
      </c>
      <c r="AN449" s="172" t="str">
        <f t="shared" si="452"/>
        <v/>
      </c>
      <c r="AO449" s="172" t="str">
        <f t="shared" si="452"/>
        <v/>
      </c>
      <c r="AP449" s="172" t="str">
        <f t="shared" si="452"/>
        <v/>
      </c>
      <c r="AQ449" s="172" t="str">
        <f t="shared" si="452"/>
        <v/>
      </c>
      <c r="AR449" s="172" t="str">
        <f t="shared" si="452"/>
        <v/>
      </c>
      <c r="AS449" s="172" t="str">
        <f t="shared" si="452"/>
        <v/>
      </c>
      <c r="AT449" s="173">
        <f>IF(AT$6="","",IF(AT$3="Maior",iferror(VLOOKUP($R449,Capa!$A:$AJ,AT$5,0),0),IF(ISERROR(1/VLOOKUP($R449,Capa!$A:$AJ,AT$5,0)),0,1/VLOOKUP($R449,Capa!$A:$AJ,AT$5,0))))</f>
        <v>-9.090909091</v>
      </c>
      <c r="AU449" s="174">
        <f>IF(AU$6="","",IF(AU$3="Maior",iferror(VLOOKUP($R449,Capa!$A:$AJ,AU$5,0),0),IF(ISERROR(1/VLOOKUP($R449,Capa!$A:$AJ,AU$5,0)),0,1/VLOOKUP($R449,Capa!$A:$AJ,AU$5,0))))</f>
        <v>0</v>
      </c>
      <c r="AV449" s="174" t="str">
        <f>IF(AV$6="","",IF(AV$3="Maior",iferror(VLOOKUP($R449,Capa!$A:$AJ,AV$5,0),0),IF(ISERROR(1/VLOOKUP($R449,Capa!$A:$AJ,AV$5,0)),0,1/VLOOKUP($R449,Capa!$A:$AJ,AV$5,0))))</f>
        <v/>
      </c>
      <c r="AW449" s="174" t="str">
        <f>IF(AW$6="","",IF(AW$3="Maior",iferror(VLOOKUP($R449,Capa!$A:$AJ,AW$5,0),0),IF(ISERROR(1/VLOOKUP($R449,Capa!$A:$AJ,AW$5,0)),0,1/VLOOKUP($R449,Capa!$A:$AJ,AW$5,0))))</f>
        <v/>
      </c>
      <c r="AX449" s="174" t="str">
        <f>IF(AX$6="","",IF(AX$3="Maior",iferror(VLOOKUP($R449,Capa!$A:$AJ,AX$5,0),0),IF(ISERROR(1/VLOOKUP($R449,Capa!$A:$AJ,AX$5,0)),0,1/VLOOKUP($R449,Capa!$A:$AJ,AX$5,0))))</f>
        <v/>
      </c>
      <c r="AY449" s="174" t="str">
        <f>IF(AY$6="","",IF(AY$3="Maior",iferror(VLOOKUP($R449,Capa!$A:$AJ,AY$5,0),0),IF(ISERROR(1/VLOOKUP($R449,Capa!$A:$AJ,AY$5,0)),0,1/VLOOKUP($R449,Capa!$A:$AJ,AY$5,0))))</f>
        <v/>
      </c>
      <c r="AZ449" s="174" t="str">
        <f>IF(AZ$6="","",IF(AZ$3="Maior",iferror(VLOOKUP($R449,Capa!$A:$AJ,AZ$5,0),0),IF(ISERROR(1/VLOOKUP($R449,Capa!$A:$AJ,AZ$5,0)),0,1/VLOOKUP($R449,Capa!$A:$AJ,AZ$5,0))))</f>
        <v/>
      </c>
      <c r="BA449" s="174" t="str">
        <f>IF(BA$6="","",IF(BA$3="Maior",iferror(VLOOKUP($R449,Capa!$A:$AJ,BA$5,0),0),IF(ISERROR(1/VLOOKUP($R449,Capa!$A:$AJ,BA$5,0)),0,1/VLOOKUP($R449,Capa!$A:$AJ,BA$5,0))))</f>
        <v/>
      </c>
      <c r="BB449" s="174" t="str">
        <f>IF(BB$6="","",IF(BB$3="Maior",iferror(VLOOKUP($R449,Capa!$A:$AJ,BB$5,0),0),IF(ISERROR(1/VLOOKUP($R449,Capa!$A:$AJ,BB$5,0)),0,1/VLOOKUP($R449,Capa!$A:$AJ,BB$5,0))))</f>
        <v/>
      </c>
      <c r="BC449" s="174" t="str">
        <f>IF(BC$6="","",IF(BC$3="Maior",iferror(VLOOKUP($R449,Capa!$A:$AJ,BC$5,0),0),IF(ISERROR(1/VLOOKUP($R449,Capa!$A:$AJ,BC$5,0)),0,1/VLOOKUP($R449,Capa!$A:$AJ,BC$5,0))))</f>
        <v/>
      </c>
      <c r="BD449" s="174" t="str">
        <f>IF(BD$6="","",IF(BD$3="Maior",iferror(VLOOKUP($R449,Capa!$A:$AJ,BD$5,0),0),IF(ISERROR(1/VLOOKUP($R449,Capa!$A:$AJ,BD$5,0)),0,1/VLOOKUP($R449,Capa!$A:$AJ,BD$5,0))))</f>
        <v/>
      </c>
      <c r="BE449" s="174" t="str">
        <f>IF(BE$6="","",IF(BE$3="Maior",iferror(VLOOKUP($R449,Capa!$A:$AJ,BE$5,0),0),IF(ISERROR(1/VLOOKUP($R449,Capa!$A:$AJ,BE$5,0)),0,1/VLOOKUP($R449,Capa!$A:$AJ,BE$5,0))))</f>
        <v/>
      </c>
      <c r="BF449" s="174" t="str">
        <f>IF(BF$6="","",IF(BF$3="Maior",iferror(VLOOKUP($R449,Capa!$A:$AJ,BF$5,0),0),IF(ISERROR(1/VLOOKUP($R449,Capa!$A:$AJ,BF$5,0)),0,1/VLOOKUP($R449,Capa!$A:$AJ,BF$5,0))))</f>
        <v/>
      </c>
      <c r="BG449" s="174" t="str">
        <f>IF(BG$6="","",IF(BG$3="Maior",iferror(VLOOKUP($R449,Capa!$A:$AJ,BG$5,0),0),IF(ISERROR(1/VLOOKUP($R449,Capa!$A:$AJ,BG$5,0)),0,1/VLOOKUP($R449,Capa!$A:$AJ,BG$5,0))))</f>
        <v/>
      </c>
      <c r="BH449" s="174" t="str">
        <f>IF(BH$6="","",IF(BH$3="Maior",iferror(VLOOKUP($R449,Capa!$A:$AJ,BH$5,0),0),IF(ISERROR(1/VLOOKUP($R449,Capa!$A:$AJ,BH$5,0)),0,1/VLOOKUP($R449,Capa!$A:$AJ,BH$5,0))))</f>
        <v/>
      </c>
      <c r="BI449" s="174" t="str">
        <f>IF(BI$6="","",IF(BI$3="Maior",iferror(VLOOKUP($R449,Capa!$A:$AJ,BI$5,0),0),IF(ISERROR(1/VLOOKUP($R449,Capa!$A:$AJ,BI$5,0)),0,1/VLOOKUP($R449,Capa!$A:$AJ,BI$5,0))))</f>
        <v/>
      </c>
      <c r="BJ449" s="174" t="str">
        <f>IF(BJ$6="","",IF(BJ$3="Maior",iferror(VLOOKUP($R449,Capa!$A:$AJ,BJ$5,0),0),IF(ISERROR(1/VLOOKUP($R449,Capa!$A:$AJ,BJ$5,0)),0,1/VLOOKUP($R449,Capa!$A:$AJ,BJ$5,0))))</f>
        <v/>
      </c>
      <c r="BK449" s="174" t="str">
        <f>IF(BK$6="","",IF(BK$3="Maior",iferror(VLOOKUP($R449,Capa!$A:$AJ,BK$5,0),0),IF(ISERROR(1/VLOOKUP($R449,Capa!$A:$AJ,BK$5,0)),0,1/VLOOKUP($R449,Capa!$A:$AJ,BK$5,0))))</f>
        <v/>
      </c>
      <c r="BL449" s="174" t="str">
        <f>IF(BL$6="","",IF(BL$3="Maior",iferror(VLOOKUP($R449,Capa!$A:$AJ,BL$5,0),0),IF(ISERROR(1/VLOOKUP($R449,Capa!$A:$AJ,BL$5,0)),0,1/VLOOKUP($R449,Capa!$A:$AJ,BL$5,0))))</f>
        <v/>
      </c>
      <c r="BM449" s="174" t="str">
        <f>IF(BM$6="","",IF(BM$3="Maior",iferror(VLOOKUP($R449,Capa!$A:$AJ,BM$5,0),0),IF(ISERROR(1/VLOOKUP($R449,Capa!$A:$AJ,BM$5,0)),0,1/VLOOKUP($R449,Capa!$A:$AJ,BM$5,0))))</f>
        <v/>
      </c>
      <c r="BN449" s="174" t="str">
        <f>IF(BN$6="","",IF(BN$3="Maior",iferror(VLOOKUP($R449,Capa!$A:$AJ,BN$5,0),0),IF(ISERROR(1/VLOOKUP($R449,Capa!$A:$AJ,BN$5,0)),0,1/VLOOKUP($R449,Capa!$A:$AJ,BN$5,0))))</f>
        <v/>
      </c>
      <c r="BO449" s="174" t="str">
        <f>IF(BO$6="","",IF(BO$3="Maior",iferror(VLOOKUP($R449,Capa!$A:$AJ,BO$5,0),0),IF(ISERROR(1/VLOOKUP($R449,Capa!$A:$AJ,BO$5,0)),0,1/VLOOKUP($R449,Capa!$A:$AJ,BO$5,0))))</f>
        <v/>
      </c>
      <c r="BP449" s="174" t="str">
        <f>IF(BP$6="","",IF(BP$3="Maior",iferror(VLOOKUP($R449,Capa!$A:$AJ,BP$5,0),0),IF(ISERROR(1/VLOOKUP($R449,Capa!$A:$AJ,BP$5,0)),0,1/VLOOKUP($R449,Capa!$A:$AJ,BP$5,0))))</f>
        <v/>
      </c>
      <c r="BQ449" s="174" t="str">
        <f>IF(BQ$6="","",IF(BQ$3="Maior",iferror(VLOOKUP($R449,Capa!$A:$AJ,BQ$5,0),0),IF(ISERROR(1/VLOOKUP($R449,Capa!$A:$AJ,BQ$5,0)),0,1/VLOOKUP($R449,Capa!$A:$AJ,BQ$5,0))))</f>
        <v/>
      </c>
      <c r="BR449" s="175"/>
      <c r="BS449" s="147"/>
    </row>
    <row r="450">
      <c r="H450" s="8">
        <v>444.0</v>
      </c>
      <c r="I450" s="165" t="str">
        <f t="shared" si="6"/>
        <v>AHEB6</v>
      </c>
      <c r="J450" s="166" t="str">
        <f>(VLOOKUP($I450,Capa!$A:$B,2,0))</f>
        <v>Sao Paulo Turismo Class Pref Shs Class B</v>
      </c>
      <c r="K450" s="167" t="str">
        <f>VLOOKUP(left(I450,4),Setor!A:D,3,0)&amp;" | "&amp;VLOOKUP(left(I450,4),Setor!A:D,4,0)</f>
        <v>Consumo Cíclico | Viagens e Lazer</v>
      </c>
      <c r="L450" s="168">
        <f>(VLOOKUP($I450,Capa!$A:$F,6,0))</f>
        <v>55</v>
      </c>
      <c r="M450" s="168">
        <f t="shared" si="7"/>
        <v>5500</v>
      </c>
      <c r="N450" s="11" t="str">
        <f>(VLOOKUP($I450,Capa!$A:$H,7,0))</f>
        <v/>
      </c>
      <c r="O450" s="169" t="str">
        <f>(VLOOKUP($I450,Capa!$A:$H,8,0))</f>
        <v/>
      </c>
      <c r="P450" s="11" t="str">
        <f>IFERROR(__xludf.DUMMYFUNCTION("(VLOOKUP($I450,Capa!$A:$J,10,0))"),"")</f>
        <v/>
      </c>
      <c r="Q450" s="169" t="str">
        <f>(VLOOKUP($I450,Capa!$A:$K,11,0))</f>
        <v/>
      </c>
      <c r="R450" s="45" t="str">
        <f>'Dados StatusInvest'!A445</f>
        <v>PCAR4</v>
      </c>
      <c r="S450" s="170">
        <f t="shared" si="234"/>
        <v>1294.0294</v>
      </c>
      <c r="T450" s="171">
        <f>VLOOKUP(R450,'Dados StatusInvest'!A:Z,26,0)</f>
        <v>0</v>
      </c>
      <c r="U450" s="172">
        <f t="shared" ref="U450:AS450" si="453">IF(AT450="","", RANK(AT450,AT$7:AT$626,0)+RANK(AT450,AT$7:AT$626,0)/10000)</f>
        <v>27.0027</v>
      </c>
      <c r="V450" s="172">
        <f t="shared" si="453"/>
        <v>267.0267</v>
      </c>
      <c r="W450" s="172" t="str">
        <f t="shared" si="453"/>
        <v/>
      </c>
      <c r="X450" s="172" t="str">
        <f t="shared" si="453"/>
        <v/>
      </c>
      <c r="Y450" s="172" t="str">
        <f t="shared" si="453"/>
        <v/>
      </c>
      <c r="Z450" s="172" t="str">
        <f t="shared" si="453"/>
        <v/>
      </c>
      <c r="AA450" s="172" t="str">
        <f t="shared" si="453"/>
        <v/>
      </c>
      <c r="AB450" s="172" t="str">
        <f t="shared" si="453"/>
        <v/>
      </c>
      <c r="AC450" s="172" t="str">
        <f t="shared" si="453"/>
        <v/>
      </c>
      <c r="AD450" s="172" t="str">
        <f t="shared" si="453"/>
        <v/>
      </c>
      <c r="AE450" s="172" t="str">
        <f t="shared" si="453"/>
        <v/>
      </c>
      <c r="AF450" s="172" t="str">
        <f t="shared" si="453"/>
        <v/>
      </c>
      <c r="AG450" s="172" t="str">
        <f t="shared" si="453"/>
        <v/>
      </c>
      <c r="AH450" s="172" t="str">
        <f t="shared" si="453"/>
        <v/>
      </c>
      <c r="AI450" s="172" t="str">
        <f t="shared" si="453"/>
        <v/>
      </c>
      <c r="AJ450" s="172" t="str">
        <f t="shared" si="453"/>
        <v/>
      </c>
      <c r="AK450" s="172" t="str">
        <f t="shared" si="453"/>
        <v/>
      </c>
      <c r="AL450" s="172" t="str">
        <f t="shared" si="453"/>
        <v/>
      </c>
      <c r="AM450" s="172" t="str">
        <f t="shared" si="453"/>
        <v/>
      </c>
      <c r="AN450" s="172" t="str">
        <f t="shared" si="453"/>
        <v/>
      </c>
      <c r="AO450" s="172" t="str">
        <f t="shared" si="453"/>
        <v/>
      </c>
      <c r="AP450" s="172" t="str">
        <f t="shared" si="453"/>
        <v/>
      </c>
      <c r="AQ450" s="172" t="str">
        <f t="shared" si="453"/>
        <v/>
      </c>
      <c r="AR450" s="172" t="str">
        <f t="shared" si="453"/>
        <v/>
      </c>
      <c r="AS450" s="172" t="str">
        <f t="shared" si="453"/>
        <v/>
      </c>
      <c r="AT450" s="173">
        <f>IF(AT$6="","",IF(AT$3="Maior",iferror(VLOOKUP($R450,Capa!$A:$AJ,AT$5,0),0),IF(ISERROR(1/VLOOKUP($R450,Capa!$A:$AJ,AT$5,0)),0,1/VLOOKUP($R450,Capa!$A:$AJ,AT$5,0))))</f>
        <v>0.06779661017</v>
      </c>
      <c r="AU450" s="174">
        <f>IF(AU$6="","",IF(AU$3="Maior",iferror(VLOOKUP($R450,Capa!$A:$AJ,AU$5,0),0),IF(ISERROR(1/VLOOKUP($R450,Capa!$A:$AJ,AU$5,0)),0,1/VLOOKUP($R450,Capa!$A:$AJ,AU$5,0))))</f>
        <v>0</v>
      </c>
      <c r="AV450" s="174" t="str">
        <f>IF(AV$6="","",IF(AV$3="Maior",iferror(VLOOKUP($R450,Capa!$A:$AJ,AV$5,0),0),IF(ISERROR(1/VLOOKUP($R450,Capa!$A:$AJ,AV$5,0)),0,1/VLOOKUP($R450,Capa!$A:$AJ,AV$5,0))))</f>
        <v/>
      </c>
      <c r="AW450" s="174" t="str">
        <f>IF(AW$6="","",IF(AW$3="Maior",iferror(VLOOKUP($R450,Capa!$A:$AJ,AW$5,0),0),IF(ISERROR(1/VLOOKUP($R450,Capa!$A:$AJ,AW$5,0)),0,1/VLOOKUP($R450,Capa!$A:$AJ,AW$5,0))))</f>
        <v/>
      </c>
      <c r="AX450" s="174" t="str">
        <f>IF(AX$6="","",IF(AX$3="Maior",iferror(VLOOKUP($R450,Capa!$A:$AJ,AX$5,0),0),IF(ISERROR(1/VLOOKUP($R450,Capa!$A:$AJ,AX$5,0)),0,1/VLOOKUP($R450,Capa!$A:$AJ,AX$5,0))))</f>
        <v/>
      </c>
      <c r="AY450" s="174" t="str">
        <f>IF(AY$6="","",IF(AY$3="Maior",iferror(VLOOKUP($R450,Capa!$A:$AJ,AY$5,0),0),IF(ISERROR(1/VLOOKUP($R450,Capa!$A:$AJ,AY$5,0)),0,1/VLOOKUP($R450,Capa!$A:$AJ,AY$5,0))))</f>
        <v/>
      </c>
      <c r="AZ450" s="174" t="str">
        <f>IF(AZ$6="","",IF(AZ$3="Maior",iferror(VLOOKUP($R450,Capa!$A:$AJ,AZ$5,0),0),IF(ISERROR(1/VLOOKUP($R450,Capa!$A:$AJ,AZ$5,0)),0,1/VLOOKUP($R450,Capa!$A:$AJ,AZ$5,0))))</f>
        <v/>
      </c>
      <c r="BA450" s="174" t="str">
        <f>IF(BA$6="","",IF(BA$3="Maior",iferror(VLOOKUP($R450,Capa!$A:$AJ,BA$5,0),0),IF(ISERROR(1/VLOOKUP($R450,Capa!$A:$AJ,BA$5,0)),0,1/VLOOKUP($R450,Capa!$A:$AJ,BA$5,0))))</f>
        <v/>
      </c>
      <c r="BB450" s="174" t="str">
        <f>IF(BB$6="","",IF(BB$3="Maior",iferror(VLOOKUP($R450,Capa!$A:$AJ,BB$5,0),0),IF(ISERROR(1/VLOOKUP($R450,Capa!$A:$AJ,BB$5,0)),0,1/VLOOKUP($R450,Capa!$A:$AJ,BB$5,0))))</f>
        <v/>
      </c>
      <c r="BC450" s="174" t="str">
        <f>IF(BC$6="","",IF(BC$3="Maior",iferror(VLOOKUP($R450,Capa!$A:$AJ,BC$5,0),0),IF(ISERROR(1/VLOOKUP($R450,Capa!$A:$AJ,BC$5,0)),0,1/VLOOKUP($R450,Capa!$A:$AJ,BC$5,0))))</f>
        <v/>
      </c>
      <c r="BD450" s="174" t="str">
        <f>IF(BD$6="","",IF(BD$3="Maior",iferror(VLOOKUP($R450,Capa!$A:$AJ,BD$5,0),0),IF(ISERROR(1/VLOOKUP($R450,Capa!$A:$AJ,BD$5,0)),0,1/VLOOKUP($R450,Capa!$A:$AJ,BD$5,0))))</f>
        <v/>
      </c>
      <c r="BE450" s="174" t="str">
        <f>IF(BE$6="","",IF(BE$3="Maior",iferror(VLOOKUP($R450,Capa!$A:$AJ,BE$5,0),0),IF(ISERROR(1/VLOOKUP($R450,Capa!$A:$AJ,BE$5,0)),0,1/VLOOKUP($R450,Capa!$A:$AJ,BE$5,0))))</f>
        <v/>
      </c>
      <c r="BF450" s="174" t="str">
        <f>IF(BF$6="","",IF(BF$3="Maior",iferror(VLOOKUP($R450,Capa!$A:$AJ,BF$5,0),0),IF(ISERROR(1/VLOOKUP($R450,Capa!$A:$AJ,BF$5,0)),0,1/VLOOKUP($R450,Capa!$A:$AJ,BF$5,0))))</f>
        <v/>
      </c>
      <c r="BG450" s="174" t="str">
        <f>IF(BG$6="","",IF(BG$3="Maior",iferror(VLOOKUP($R450,Capa!$A:$AJ,BG$5,0),0),IF(ISERROR(1/VLOOKUP($R450,Capa!$A:$AJ,BG$5,0)),0,1/VLOOKUP($R450,Capa!$A:$AJ,BG$5,0))))</f>
        <v/>
      </c>
      <c r="BH450" s="174" t="str">
        <f>IF(BH$6="","",IF(BH$3="Maior",iferror(VLOOKUP($R450,Capa!$A:$AJ,BH$5,0),0),IF(ISERROR(1/VLOOKUP($R450,Capa!$A:$AJ,BH$5,0)),0,1/VLOOKUP($R450,Capa!$A:$AJ,BH$5,0))))</f>
        <v/>
      </c>
      <c r="BI450" s="174" t="str">
        <f>IF(BI$6="","",IF(BI$3="Maior",iferror(VLOOKUP($R450,Capa!$A:$AJ,BI$5,0),0),IF(ISERROR(1/VLOOKUP($R450,Capa!$A:$AJ,BI$5,0)),0,1/VLOOKUP($R450,Capa!$A:$AJ,BI$5,0))))</f>
        <v/>
      </c>
      <c r="BJ450" s="174" t="str">
        <f>IF(BJ$6="","",IF(BJ$3="Maior",iferror(VLOOKUP($R450,Capa!$A:$AJ,BJ$5,0),0),IF(ISERROR(1/VLOOKUP($R450,Capa!$A:$AJ,BJ$5,0)),0,1/VLOOKUP($R450,Capa!$A:$AJ,BJ$5,0))))</f>
        <v/>
      </c>
      <c r="BK450" s="174" t="str">
        <f>IF(BK$6="","",IF(BK$3="Maior",iferror(VLOOKUP($R450,Capa!$A:$AJ,BK$5,0),0),IF(ISERROR(1/VLOOKUP($R450,Capa!$A:$AJ,BK$5,0)),0,1/VLOOKUP($R450,Capa!$A:$AJ,BK$5,0))))</f>
        <v/>
      </c>
      <c r="BL450" s="174" t="str">
        <f>IF(BL$6="","",IF(BL$3="Maior",iferror(VLOOKUP($R450,Capa!$A:$AJ,BL$5,0),0),IF(ISERROR(1/VLOOKUP($R450,Capa!$A:$AJ,BL$5,0)),0,1/VLOOKUP($R450,Capa!$A:$AJ,BL$5,0))))</f>
        <v/>
      </c>
      <c r="BM450" s="174" t="str">
        <f>IF(BM$6="","",IF(BM$3="Maior",iferror(VLOOKUP($R450,Capa!$A:$AJ,BM$5,0),0),IF(ISERROR(1/VLOOKUP($R450,Capa!$A:$AJ,BM$5,0)),0,1/VLOOKUP($R450,Capa!$A:$AJ,BM$5,0))))</f>
        <v/>
      </c>
      <c r="BN450" s="174" t="str">
        <f>IF(BN$6="","",IF(BN$3="Maior",iferror(VLOOKUP($R450,Capa!$A:$AJ,BN$5,0),0),IF(ISERROR(1/VLOOKUP($R450,Capa!$A:$AJ,BN$5,0)),0,1/VLOOKUP($R450,Capa!$A:$AJ,BN$5,0))))</f>
        <v/>
      </c>
      <c r="BO450" s="174" t="str">
        <f>IF(BO$6="","",IF(BO$3="Maior",iferror(VLOOKUP($R450,Capa!$A:$AJ,BO$5,0),0),IF(ISERROR(1/VLOOKUP($R450,Capa!$A:$AJ,BO$5,0)),0,1/VLOOKUP($R450,Capa!$A:$AJ,BO$5,0))))</f>
        <v/>
      </c>
      <c r="BP450" s="174" t="str">
        <f>IF(BP$6="","",IF(BP$3="Maior",iferror(VLOOKUP($R450,Capa!$A:$AJ,BP$5,0),0),IF(ISERROR(1/VLOOKUP($R450,Capa!$A:$AJ,BP$5,0)),0,1/VLOOKUP($R450,Capa!$A:$AJ,BP$5,0))))</f>
        <v/>
      </c>
      <c r="BQ450" s="174" t="str">
        <f>IF(BQ$6="","",IF(BQ$3="Maior",iferror(VLOOKUP($R450,Capa!$A:$AJ,BQ$5,0),0),IF(ISERROR(1/VLOOKUP($R450,Capa!$A:$AJ,BQ$5,0)),0,1/VLOOKUP($R450,Capa!$A:$AJ,BQ$5,0))))</f>
        <v/>
      </c>
      <c r="BR450" s="175"/>
      <c r="BS450" s="147"/>
    </row>
    <row r="451">
      <c r="H451" s="8">
        <v>445.0</v>
      </c>
      <c r="I451" s="165" t="str">
        <f t="shared" si="6"/>
        <v>AHEB6</v>
      </c>
      <c r="J451" s="166" t="str">
        <f>(VLOOKUP($I451,Capa!$A:$B,2,0))</f>
        <v>Sao Paulo Turismo Class Pref Shs Class B</v>
      </c>
      <c r="K451" s="167" t="str">
        <f>VLOOKUP(left(I451,4),Setor!A:D,3,0)&amp;" | "&amp;VLOOKUP(left(I451,4),Setor!A:D,4,0)</f>
        <v>Consumo Cíclico | Viagens e Lazer</v>
      </c>
      <c r="L451" s="168">
        <f>(VLOOKUP($I451,Capa!$A:$F,6,0))</f>
        <v>55</v>
      </c>
      <c r="M451" s="168">
        <f t="shared" si="7"/>
        <v>5500</v>
      </c>
      <c r="N451" s="11" t="str">
        <f>(VLOOKUP($I451,Capa!$A:$H,7,0))</f>
        <v/>
      </c>
      <c r="O451" s="169" t="str">
        <f>(VLOOKUP($I451,Capa!$A:$H,8,0))</f>
        <v/>
      </c>
      <c r="P451" s="11" t="str">
        <f>IFERROR(__xludf.DUMMYFUNCTION("(VLOOKUP($I451,Capa!$A:$J,10,0))"),"")</f>
        <v/>
      </c>
      <c r="Q451" s="169" t="str">
        <f>(VLOOKUP($I451,Capa!$A:$K,11,0))</f>
        <v/>
      </c>
      <c r="R451" s="45" t="str">
        <f>'Dados StatusInvest'!A446</f>
        <v>PDGR3</v>
      </c>
      <c r="S451" s="170">
        <f t="shared" si="234"/>
        <v>871.0871</v>
      </c>
      <c r="T451" s="171">
        <f>VLOOKUP(R451,'Dados StatusInvest'!A:Z,26,0)</f>
        <v>862953.7</v>
      </c>
      <c r="U451" s="172">
        <f t="shared" ref="U451:AS451" si="454">IF(AT451="","", RANK(AT451,AT$7:AT$626,0)+RANK(AT451,AT$7:AT$626,0)/10000)</f>
        <v>604.0604</v>
      </c>
      <c r="V451" s="172">
        <f t="shared" si="454"/>
        <v>267.0267</v>
      </c>
      <c r="W451" s="172" t="str">
        <f t="shared" si="454"/>
        <v/>
      </c>
      <c r="X451" s="172" t="str">
        <f t="shared" si="454"/>
        <v/>
      </c>
      <c r="Y451" s="172" t="str">
        <f t="shared" si="454"/>
        <v/>
      </c>
      <c r="Z451" s="172" t="str">
        <f t="shared" si="454"/>
        <v/>
      </c>
      <c r="AA451" s="172" t="str">
        <f t="shared" si="454"/>
        <v/>
      </c>
      <c r="AB451" s="172" t="str">
        <f t="shared" si="454"/>
        <v/>
      </c>
      <c r="AC451" s="172" t="str">
        <f t="shared" si="454"/>
        <v/>
      </c>
      <c r="AD451" s="172" t="str">
        <f t="shared" si="454"/>
        <v/>
      </c>
      <c r="AE451" s="172" t="str">
        <f t="shared" si="454"/>
        <v/>
      </c>
      <c r="AF451" s="172" t="str">
        <f t="shared" si="454"/>
        <v/>
      </c>
      <c r="AG451" s="172" t="str">
        <f t="shared" si="454"/>
        <v/>
      </c>
      <c r="AH451" s="172" t="str">
        <f t="shared" si="454"/>
        <v/>
      </c>
      <c r="AI451" s="172" t="str">
        <f t="shared" si="454"/>
        <v/>
      </c>
      <c r="AJ451" s="172" t="str">
        <f t="shared" si="454"/>
        <v/>
      </c>
      <c r="AK451" s="172" t="str">
        <f t="shared" si="454"/>
        <v/>
      </c>
      <c r="AL451" s="172" t="str">
        <f t="shared" si="454"/>
        <v/>
      </c>
      <c r="AM451" s="172" t="str">
        <f t="shared" si="454"/>
        <v/>
      </c>
      <c r="AN451" s="172" t="str">
        <f t="shared" si="454"/>
        <v/>
      </c>
      <c r="AO451" s="172" t="str">
        <f t="shared" si="454"/>
        <v/>
      </c>
      <c r="AP451" s="172" t="str">
        <f t="shared" si="454"/>
        <v/>
      </c>
      <c r="AQ451" s="172" t="str">
        <f t="shared" si="454"/>
        <v/>
      </c>
      <c r="AR451" s="172" t="str">
        <f t="shared" si="454"/>
        <v/>
      </c>
      <c r="AS451" s="172" t="str">
        <f t="shared" si="454"/>
        <v/>
      </c>
      <c r="AT451" s="173">
        <f>IF(AT$6="","",IF(AT$3="Maior",iferror(VLOOKUP($R451,Capa!$A:$AJ,AT$5,0),0),IF(ISERROR(1/VLOOKUP($R451,Capa!$A:$AJ,AT$5,0)),0,1/VLOOKUP($R451,Capa!$A:$AJ,AT$5,0))))</f>
        <v>-25.02628812</v>
      </c>
      <c r="AU451" s="174">
        <f>IF(AU$6="","",IF(AU$3="Maior",iferror(VLOOKUP($R451,Capa!$A:$AJ,AU$5,0),0),IF(ISERROR(1/VLOOKUP($R451,Capa!$A:$AJ,AU$5,0)),0,1/VLOOKUP($R451,Capa!$A:$AJ,AU$5,0))))</f>
        <v>0</v>
      </c>
      <c r="AV451" s="174" t="str">
        <f>IF(AV$6="","",IF(AV$3="Maior",iferror(VLOOKUP($R451,Capa!$A:$AJ,AV$5,0),0),IF(ISERROR(1/VLOOKUP($R451,Capa!$A:$AJ,AV$5,0)),0,1/VLOOKUP($R451,Capa!$A:$AJ,AV$5,0))))</f>
        <v/>
      </c>
      <c r="AW451" s="174" t="str">
        <f>IF(AW$6="","",IF(AW$3="Maior",iferror(VLOOKUP($R451,Capa!$A:$AJ,AW$5,0),0),IF(ISERROR(1/VLOOKUP($R451,Capa!$A:$AJ,AW$5,0)),0,1/VLOOKUP($R451,Capa!$A:$AJ,AW$5,0))))</f>
        <v/>
      </c>
      <c r="AX451" s="174" t="str">
        <f>IF(AX$6="","",IF(AX$3="Maior",iferror(VLOOKUP($R451,Capa!$A:$AJ,AX$5,0),0),IF(ISERROR(1/VLOOKUP($R451,Capa!$A:$AJ,AX$5,0)),0,1/VLOOKUP($R451,Capa!$A:$AJ,AX$5,0))))</f>
        <v/>
      </c>
      <c r="AY451" s="174" t="str">
        <f>IF(AY$6="","",IF(AY$3="Maior",iferror(VLOOKUP($R451,Capa!$A:$AJ,AY$5,0),0),IF(ISERROR(1/VLOOKUP($R451,Capa!$A:$AJ,AY$5,0)),0,1/VLOOKUP($R451,Capa!$A:$AJ,AY$5,0))))</f>
        <v/>
      </c>
      <c r="AZ451" s="174" t="str">
        <f>IF(AZ$6="","",IF(AZ$3="Maior",iferror(VLOOKUP($R451,Capa!$A:$AJ,AZ$5,0),0),IF(ISERROR(1/VLOOKUP($R451,Capa!$A:$AJ,AZ$5,0)),0,1/VLOOKUP($R451,Capa!$A:$AJ,AZ$5,0))))</f>
        <v/>
      </c>
      <c r="BA451" s="174" t="str">
        <f>IF(BA$6="","",IF(BA$3="Maior",iferror(VLOOKUP($R451,Capa!$A:$AJ,BA$5,0),0),IF(ISERROR(1/VLOOKUP($R451,Capa!$A:$AJ,BA$5,0)),0,1/VLOOKUP($R451,Capa!$A:$AJ,BA$5,0))))</f>
        <v/>
      </c>
      <c r="BB451" s="174" t="str">
        <f>IF(BB$6="","",IF(BB$3="Maior",iferror(VLOOKUP($R451,Capa!$A:$AJ,BB$5,0),0),IF(ISERROR(1/VLOOKUP($R451,Capa!$A:$AJ,BB$5,0)),0,1/VLOOKUP($R451,Capa!$A:$AJ,BB$5,0))))</f>
        <v/>
      </c>
      <c r="BC451" s="174" t="str">
        <f>IF(BC$6="","",IF(BC$3="Maior",iferror(VLOOKUP($R451,Capa!$A:$AJ,BC$5,0),0),IF(ISERROR(1/VLOOKUP($R451,Capa!$A:$AJ,BC$5,0)),0,1/VLOOKUP($R451,Capa!$A:$AJ,BC$5,0))))</f>
        <v/>
      </c>
      <c r="BD451" s="174" t="str">
        <f>IF(BD$6="","",IF(BD$3="Maior",iferror(VLOOKUP($R451,Capa!$A:$AJ,BD$5,0),0),IF(ISERROR(1/VLOOKUP($R451,Capa!$A:$AJ,BD$5,0)),0,1/VLOOKUP($R451,Capa!$A:$AJ,BD$5,0))))</f>
        <v/>
      </c>
      <c r="BE451" s="174" t="str">
        <f>IF(BE$6="","",IF(BE$3="Maior",iferror(VLOOKUP($R451,Capa!$A:$AJ,BE$5,0),0),IF(ISERROR(1/VLOOKUP($R451,Capa!$A:$AJ,BE$5,0)),0,1/VLOOKUP($R451,Capa!$A:$AJ,BE$5,0))))</f>
        <v/>
      </c>
      <c r="BF451" s="174" t="str">
        <f>IF(BF$6="","",IF(BF$3="Maior",iferror(VLOOKUP($R451,Capa!$A:$AJ,BF$5,0),0),IF(ISERROR(1/VLOOKUP($R451,Capa!$A:$AJ,BF$5,0)),0,1/VLOOKUP($R451,Capa!$A:$AJ,BF$5,0))))</f>
        <v/>
      </c>
      <c r="BG451" s="174" t="str">
        <f>IF(BG$6="","",IF(BG$3="Maior",iferror(VLOOKUP($R451,Capa!$A:$AJ,BG$5,0),0),IF(ISERROR(1/VLOOKUP($R451,Capa!$A:$AJ,BG$5,0)),0,1/VLOOKUP($R451,Capa!$A:$AJ,BG$5,0))))</f>
        <v/>
      </c>
      <c r="BH451" s="174" t="str">
        <f>IF(BH$6="","",IF(BH$3="Maior",iferror(VLOOKUP($R451,Capa!$A:$AJ,BH$5,0),0),IF(ISERROR(1/VLOOKUP($R451,Capa!$A:$AJ,BH$5,0)),0,1/VLOOKUP($R451,Capa!$A:$AJ,BH$5,0))))</f>
        <v/>
      </c>
      <c r="BI451" s="174" t="str">
        <f>IF(BI$6="","",IF(BI$3="Maior",iferror(VLOOKUP($R451,Capa!$A:$AJ,BI$5,0),0),IF(ISERROR(1/VLOOKUP($R451,Capa!$A:$AJ,BI$5,0)),0,1/VLOOKUP($R451,Capa!$A:$AJ,BI$5,0))))</f>
        <v/>
      </c>
      <c r="BJ451" s="174" t="str">
        <f>IF(BJ$6="","",IF(BJ$3="Maior",iferror(VLOOKUP($R451,Capa!$A:$AJ,BJ$5,0),0),IF(ISERROR(1/VLOOKUP($R451,Capa!$A:$AJ,BJ$5,0)),0,1/VLOOKUP($R451,Capa!$A:$AJ,BJ$5,0))))</f>
        <v/>
      </c>
      <c r="BK451" s="174" t="str">
        <f>IF(BK$6="","",IF(BK$3="Maior",iferror(VLOOKUP($R451,Capa!$A:$AJ,BK$5,0),0),IF(ISERROR(1/VLOOKUP($R451,Capa!$A:$AJ,BK$5,0)),0,1/VLOOKUP($R451,Capa!$A:$AJ,BK$5,0))))</f>
        <v/>
      </c>
      <c r="BL451" s="174" t="str">
        <f>IF(BL$6="","",IF(BL$3="Maior",iferror(VLOOKUP($R451,Capa!$A:$AJ,BL$5,0),0),IF(ISERROR(1/VLOOKUP($R451,Capa!$A:$AJ,BL$5,0)),0,1/VLOOKUP($R451,Capa!$A:$AJ,BL$5,0))))</f>
        <v/>
      </c>
      <c r="BM451" s="174" t="str">
        <f>IF(BM$6="","",IF(BM$3="Maior",iferror(VLOOKUP($R451,Capa!$A:$AJ,BM$5,0),0),IF(ISERROR(1/VLOOKUP($R451,Capa!$A:$AJ,BM$5,0)),0,1/VLOOKUP($R451,Capa!$A:$AJ,BM$5,0))))</f>
        <v/>
      </c>
      <c r="BN451" s="174" t="str">
        <f>IF(BN$6="","",IF(BN$3="Maior",iferror(VLOOKUP($R451,Capa!$A:$AJ,BN$5,0),0),IF(ISERROR(1/VLOOKUP($R451,Capa!$A:$AJ,BN$5,0)),0,1/VLOOKUP($R451,Capa!$A:$AJ,BN$5,0))))</f>
        <v/>
      </c>
      <c r="BO451" s="174" t="str">
        <f>IF(BO$6="","",IF(BO$3="Maior",iferror(VLOOKUP($R451,Capa!$A:$AJ,BO$5,0),0),IF(ISERROR(1/VLOOKUP($R451,Capa!$A:$AJ,BO$5,0)),0,1/VLOOKUP($R451,Capa!$A:$AJ,BO$5,0))))</f>
        <v/>
      </c>
      <c r="BP451" s="174" t="str">
        <f>IF(BP$6="","",IF(BP$3="Maior",iferror(VLOOKUP($R451,Capa!$A:$AJ,BP$5,0),0),IF(ISERROR(1/VLOOKUP($R451,Capa!$A:$AJ,BP$5,0)),0,1/VLOOKUP($R451,Capa!$A:$AJ,BP$5,0))))</f>
        <v/>
      </c>
      <c r="BQ451" s="174" t="str">
        <f>IF(BQ$6="","",IF(BQ$3="Maior",iferror(VLOOKUP($R451,Capa!$A:$AJ,BQ$5,0),0),IF(ISERROR(1/VLOOKUP($R451,Capa!$A:$AJ,BQ$5,0)),0,1/VLOOKUP($R451,Capa!$A:$AJ,BQ$5,0))))</f>
        <v/>
      </c>
      <c r="BR451" s="175"/>
      <c r="BS451" s="147"/>
    </row>
    <row r="452">
      <c r="H452" s="8">
        <v>446.0</v>
      </c>
      <c r="I452" s="165" t="str">
        <f t="shared" si="6"/>
        <v>PDTC3</v>
      </c>
      <c r="J452" s="166" t="str">
        <f>(VLOOKUP($I452,Capa!$A:$B,2,0))</f>
        <v>Padtec Holding SA</v>
      </c>
      <c r="K452" s="167" t="str">
        <f>VLOOKUP(left(I452,4),Setor!A:D,3,0)&amp;" | "&amp;VLOOKUP(left(I452,4),Setor!A:D,4,0)</f>
        <v>Financeiro | Serviços Financeiros Diversos</v>
      </c>
      <c r="L452" s="168">
        <f>(VLOOKUP($I452,Capa!$A:$F,6,0))</f>
        <v>1.49</v>
      </c>
      <c r="M452" s="168">
        <f t="shared" si="7"/>
        <v>128273.6</v>
      </c>
      <c r="N452" s="11" t="str">
        <f>IFERROR(__xludf.DUMMYFUNCTION("(VLOOKUP($I452,Capa!$A:$H,7,0))"),"")</f>
        <v/>
      </c>
      <c r="O452" s="169">
        <f>(VLOOKUP($I452,Capa!$A:$H,8,0))</f>
        <v>0.07194244604</v>
      </c>
      <c r="P452" s="11" t="str">
        <f>IFERROR(__xludf.DUMMYFUNCTION("(VLOOKUP($I452,Capa!$A:$J,10,0))"),"")</f>
        <v/>
      </c>
      <c r="Q452" s="169">
        <f>(VLOOKUP($I452,Capa!$A:$K,11,0))</f>
        <v>0.1732283465</v>
      </c>
      <c r="R452" s="45" t="str">
        <f>'Dados StatusInvest'!A447</f>
        <v>PDTC3</v>
      </c>
      <c r="S452" s="170">
        <f t="shared" si="234"/>
        <v>1576.0576</v>
      </c>
      <c r="T452" s="171">
        <f>VLOOKUP(R452,'Dados StatusInvest'!A:Z,26,0)</f>
        <v>128273.6</v>
      </c>
      <c r="U452" s="172">
        <f t="shared" ref="U452:AS452" si="455">IF(AT452="","", RANK(AT452,AT$7:AT$626,0)+RANK(AT452,AT$7:AT$626,0)/10000)</f>
        <v>470.047</v>
      </c>
      <c r="V452" s="172">
        <f t="shared" si="455"/>
        <v>106.0106</v>
      </c>
      <c r="W452" s="172" t="str">
        <f t="shared" si="455"/>
        <v/>
      </c>
      <c r="X452" s="172" t="str">
        <f t="shared" si="455"/>
        <v/>
      </c>
      <c r="Y452" s="172" t="str">
        <f t="shared" si="455"/>
        <v/>
      </c>
      <c r="Z452" s="172" t="str">
        <f t="shared" si="455"/>
        <v/>
      </c>
      <c r="AA452" s="172" t="str">
        <f t="shared" si="455"/>
        <v/>
      </c>
      <c r="AB452" s="172" t="str">
        <f t="shared" si="455"/>
        <v/>
      </c>
      <c r="AC452" s="172" t="str">
        <f t="shared" si="455"/>
        <v/>
      </c>
      <c r="AD452" s="172" t="str">
        <f t="shared" si="455"/>
        <v/>
      </c>
      <c r="AE452" s="172" t="str">
        <f t="shared" si="455"/>
        <v/>
      </c>
      <c r="AF452" s="172" t="str">
        <f t="shared" si="455"/>
        <v/>
      </c>
      <c r="AG452" s="172" t="str">
        <f t="shared" si="455"/>
        <v/>
      </c>
      <c r="AH452" s="172" t="str">
        <f t="shared" si="455"/>
        <v/>
      </c>
      <c r="AI452" s="172" t="str">
        <f t="shared" si="455"/>
        <v/>
      </c>
      <c r="AJ452" s="172" t="str">
        <f t="shared" si="455"/>
        <v/>
      </c>
      <c r="AK452" s="172" t="str">
        <f t="shared" si="455"/>
        <v/>
      </c>
      <c r="AL452" s="172" t="str">
        <f t="shared" si="455"/>
        <v/>
      </c>
      <c r="AM452" s="172" t="str">
        <f t="shared" si="455"/>
        <v/>
      </c>
      <c r="AN452" s="172" t="str">
        <f t="shared" si="455"/>
        <v/>
      </c>
      <c r="AO452" s="172" t="str">
        <f t="shared" si="455"/>
        <v/>
      </c>
      <c r="AP452" s="172" t="str">
        <f t="shared" si="455"/>
        <v/>
      </c>
      <c r="AQ452" s="172" t="str">
        <f t="shared" si="455"/>
        <v/>
      </c>
      <c r="AR452" s="172" t="str">
        <f t="shared" si="455"/>
        <v/>
      </c>
      <c r="AS452" s="172" t="str">
        <f t="shared" si="455"/>
        <v/>
      </c>
      <c r="AT452" s="173">
        <f>IF(AT$6="","",IF(AT$3="Maior",iferror(VLOOKUP($R452,Capa!$A:$AJ,AT$5,0),0),IF(ISERROR(1/VLOOKUP($R452,Capa!$A:$AJ,AT$5,0)),0,1/VLOOKUP($R452,Capa!$A:$AJ,AT$5,0))))</f>
        <v>-2.362204724</v>
      </c>
      <c r="AU452" s="174">
        <f>IF(AU$6="","",IF(AU$3="Maior",iferror(VLOOKUP($R452,Capa!$A:$AJ,AU$5,0),0),IF(ISERROR(1/VLOOKUP($R452,Capa!$A:$AJ,AU$5,0)),0,1/VLOOKUP($R452,Capa!$A:$AJ,AU$5,0))))</f>
        <v>26.45</v>
      </c>
      <c r="AV452" s="174" t="str">
        <f>IF(AV$6="","",IF(AV$3="Maior",iferror(VLOOKUP($R452,Capa!$A:$AJ,AV$5,0),0),IF(ISERROR(1/VLOOKUP($R452,Capa!$A:$AJ,AV$5,0)),0,1/VLOOKUP($R452,Capa!$A:$AJ,AV$5,0))))</f>
        <v/>
      </c>
      <c r="AW452" s="174" t="str">
        <f>IF(AW$6="","",IF(AW$3="Maior",iferror(VLOOKUP($R452,Capa!$A:$AJ,AW$5,0),0),IF(ISERROR(1/VLOOKUP($R452,Capa!$A:$AJ,AW$5,0)),0,1/VLOOKUP($R452,Capa!$A:$AJ,AW$5,0))))</f>
        <v/>
      </c>
      <c r="AX452" s="174" t="str">
        <f>IF(AX$6="","",IF(AX$3="Maior",iferror(VLOOKUP($R452,Capa!$A:$AJ,AX$5,0),0),IF(ISERROR(1/VLOOKUP($R452,Capa!$A:$AJ,AX$5,0)),0,1/VLOOKUP($R452,Capa!$A:$AJ,AX$5,0))))</f>
        <v/>
      </c>
      <c r="AY452" s="174" t="str">
        <f>IF(AY$6="","",IF(AY$3="Maior",iferror(VLOOKUP($R452,Capa!$A:$AJ,AY$5,0),0),IF(ISERROR(1/VLOOKUP($R452,Capa!$A:$AJ,AY$5,0)),0,1/VLOOKUP($R452,Capa!$A:$AJ,AY$5,0))))</f>
        <v/>
      </c>
      <c r="AZ452" s="174" t="str">
        <f>IF(AZ$6="","",IF(AZ$3="Maior",iferror(VLOOKUP($R452,Capa!$A:$AJ,AZ$5,0),0),IF(ISERROR(1/VLOOKUP($R452,Capa!$A:$AJ,AZ$5,0)),0,1/VLOOKUP($R452,Capa!$A:$AJ,AZ$5,0))))</f>
        <v/>
      </c>
      <c r="BA452" s="174" t="str">
        <f>IF(BA$6="","",IF(BA$3="Maior",iferror(VLOOKUP($R452,Capa!$A:$AJ,BA$5,0),0),IF(ISERROR(1/VLOOKUP($R452,Capa!$A:$AJ,BA$5,0)),0,1/VLOOKUP($R452,Capa!$A:$AJ,BA$5,0))))</f>
        <v/>
      </c>
      <c r="BB452" s="174" t="str">
        <f>IF(BB$6="","",IF(BB$3="Maior",iferror(VLOOKUP($R452,Capa!$A:$AJ,BB$5,0),0),IF(ISERROR(1/VLOOKUP($R452,Capa!$A:$AJ,BB$5,0)),0,1/VLOOKUP($R452,Capa!$A:$AJ,BB$5,0))))</f>
        <v/>
      </c>
      <c r="BC452" s="174" t="str">
        <f>IF(BC$6="","",IF(BC$3="Maior",iferror(VLOOKUP($R452,Capa!$A:$AJ,BC$5,0),0),IF(ISERROR(1/VLOOKUP($R452,Capa!$A:$AJ,BC$5,0)),0,1/VLOOKUP($R452,Capa!$A:$AJ,BC$5,0))))</f>
        <v/>
      </c>
      <c r="BD452" s="174" t="str">
        <f>IF(BD$6="","",IF(BD$3="Maior",iferror(VLOOKUP($R452,Capa!$A:$AJ,BD$5,0),0),IF(ISERROR(1/VLOOKUP($R452,Capa!$A:$AJ,BD$5,0)),0,1/VLOOKUP($R452,Capa!$A:$AJ,BD$5,0))))</f>
        <v/>
      </c>
      <c r="BE452" s="174" t="str">
        <f>IF(BE$6="","",IF(BE$3="Maior",iferror(VLOOKUP($R452,Capa!$A:$AJ,BE$5,0),0),IF(ISERROR(1/VLOOKUP($R452,Capa!$A:$AJ,BE$5,0)),0,1/VLOOKUP($R452,Capa!$A:$AJ,BE$5,0))))</f>
        <v/>
      </c>
      <c r="BF452" s="174" t="str">
        <f>IF(BF$6="","",IF(BF$3="Maior",iferror(VLOOKUP($R452,Capa!$A:$AJ,BF$5,0),0),IF(ISERROR(1/VLOOKUP($R452,Capa!$A:$AJ,BF$5,0)),0,1/VLOOKUP($R452,Capa!$A:$AJ,BF$5,0))))</f>
        <v/>
      </c>
      <c r="BG452" s="174" t="str">
        <f>IF(BG$6="","",IF(BG$3="Maior",iferror(VLOOKUP($R452,Capa!$A:$AJ,BG$5,0),0),IF(ISERROR(1/VLOOKUP($R452,Capa!$A:$AJ,BG$5,0)),0,1/VLOOKUP($R452,Capa!$A:$AJ,BG$5,0))))</f>
        <v/>
      </c>
      <c r="BH452" s="174" t="str">
        <f>IF(BH$6="","",IF(BH$3="Maior",iferror(VLOOKUP($R452,Capa!$A:$AJ,BH$5,0),0),IF(ISERROR(1/VLOOKUP($R452,Capa!$A:$AJ,BH$5,0)),0,1/VLOOKUP($R452,Capa!$A:$AJ,BH$5,0))))</f>
        <v/>
      </c>
      <c r="BI452" s="174" t="str">
        <f>IF(BI$6="","",IF(BI$3="Maior",iferror(VLOOKUP($R452,Capa!$A:$AJ,BI$5,0),0),IF(ISERROR(1/VLOOKUP($R452,Capa!$A:$AJ,BI$5,0)),0,1/VLOOKUP($R452,Capa!$A:$AJ,BI$5,0))))</f>
        <v/>
      </c>
      <c r="BJ452" s="174" t="str">
        <f>IF(BJ$6="","",IF(BJ$3="Maior",iferror(VLOOKUP($R452,Capa!$A:$AJ,BJ$5,0),0),IF(ISERROR(1/VLOOKUP($R452,Capa!$A:$AJ,BJ$5,0)),0,1/VLOOKUP($R452,Capa!$A:$AJ,BJ$5,0))))</f>
        <v/>
      </c>
      <c r="BK452" s="174" t="str">
        <f>IF(BK$6="","",IF(BK$3="Maior",iferror(VLOOKUP($R452,Capa!$A:$AJ,BK$5,0),0),IF(ISERROR(1/VLOOKUP($R452,Capa!$A:$AJ,BK$5,0)),0,1/VLOOKUP($R452,Capa!$A:$AJ,BK$5,0))))</f>
        <v/>
      </c>
      <c r="BL452" s="174" t="str">
        <f>IF(BL$6="","",IF(BL$3="Maior",iferror(VLOOKUP($R452,Capa!$A:$AJ,BL$5,0),0),IF(ISERROR(1/VLOOKUP($R452,Capa!$A:$AJ,BL$5,0)),0,1/VLOOKUP($R452,Capa!$A:$AJ,BL$5,0))))</f>
        <v/>
      </c>
      <c r="BM452" s="174" t="str">
        <f>IF(BM$6="","",IF(BM$3="Maior",iferror(VLOOKUP($R452,Capa!$A:$AJ,BM$5,0),0),IF(ISERROR(1/VLOOKUP($R452,Capa!$A:$AJ,BM$5,0)),0,1/VLOOKUP($R452,Capa!$A:$AJ,BM$5,0))))</f>
        <v/>
      </c>
      <c r="BN452" s="174" t="str">
        <f>IF(BN$6="","",IF(BN$3="Maior",iferror(VLOOKUP($R452,Capa!$A:$AJ,BN$5,0),0),IF(ISERROR(1/VLOOKUP($R452,Capa!$A:$AJ,BN$5,0)),0,1/VLOOKUP($R452,Capa!$A:$AJ,BN$5,0))))</f>
        <v/>
      </c>
      <c r="BO452" s="174" t="str">
        <f>IF(BO$6="","",IF(BO$3="Maior",iferror(VLOOKUP($R452,Capa!$A:$AJ,BO$5,0),0),IF(ISERROR(1/VLOOKUP($R452,Capa!$A:$AJ,BO$5,0)),0,1/VLOOKUP($R452,Capa!$A:$AJ,BO$5,0))))</f>
        <v/>
      </c>
      <c r="BP452" s="174" t="str">
        <f>IF(BP$6="","",IF(BP$3="Maior",iferror(VLOOKUP($R452,Capa!$A:$AJ,BP$5,0),0),IF(ISERROR(1/VLOOKUP($R452,Capa!$A:$AJ,BP$5,0)),0,1/VLOOKUP($R452,Capa!$A:$AJ,BP$5,0))))</f>
        <v/>
      </c>
      <c r="BQ452" s="174" t="str">
        <f>IF(BQ$6="","",IF(BQ$3="Maior",iferror(VLOOKUP($R452,Capa!$A:$AJ,BQ$5,0),0),IF(ISERROR(1/VLOOKUP($R452,Capa!$A:$AJ,BQ$5,0)),0,1/VLOOKUP($R452,Capa!$A:$AJ,BQ$5,0))))</f>
        <v/>
      </c>
      <c r="BR452" s="175"/>
      <c r="BS452" s="147"/>
    </row>
    <row r="453">
      <c r="H453" s="8">
        <v>447.0</v>
      </c>
      <c r="I453" s="165" t="str">
        <f t="shared" si="6"/>
        <v>FIGE3</v>
      </c>
      <c r="J453" s="166" t="str">
        <f>(VLOOKUP($I453,Capa!$A:$B,2,0))</f>
        <v>Investimentos Bemge SA</v>
      </c>
      <c r="K453" s="167" t="str">
        <f>VLOOKUP(left(I453,4),Setor!A:D,3,0)&amp;" | "&amp;VLOOKUP(left(I453,4),Setor!A:D,4,0)</f>
        <v>Outros | Outros</v>
      </c>
      <c r="L453" s="168">
        <f>(VLOOKUP($I453,Capa!$A:$F,6,0))</f>
        <v>21.07</v>
      </c>
      <c r="M453" s="168">
        <f t="shared" si="7"/>
        <v>4214</v>
      </c>
      <c r="N453" s="11" t="str">
        <f>(VLOOKUP($I453,Capa!$A:$H,7,0))</f>
        <v/>
      </c>
      <c r="O453" s="169" t="str">
        <f>(VLOOKUP($I453,Capa!$A:$H,8,0))</f>
        <v/>
      </c>
      <c r="P453" s="11" t="str">
        <f>(VLOOKUP($I453,Capa!$A:$J,10,0))</f>
        <v/>
      </c>
      <c r="Q453" s="169" t="str">
        <f>(VLOOKUP($I453,Capa!$A:$K,11,0))</f>
        <v/>
      </c>
      <c r="R453" s="45" t="str">
        <f>'Dados StatusInvest'!A448</f>
        <v>PEAB3</v>
      </c>
      <c r="S453" s="170">
        <f t="shared" si="234"/>
        <v>1962.0962</v>
      </c>
      <c r="T453" s="171">
        <f>VLOOKUP(R453,'Dados StatusInvest'!A:Z,26,0)</f>
        <v>5620.2</v>
      </c>
      <c r="U453" s="172">
        <f t="shared" ref="U453:AS453" si="456">IF(AT453="","", RANK(AT453,AT$7:AT$626,0)+RANK(AT453,AT$7:AT$626,0)/10000)</f>
        <v>402.0402</v>
      </c>
      <c r="V453" s="172">
        <f t="shared" si="456"/>
        <v>560.056</v>
      </c>
      <c r="W453" s="172" t="str">
        <f t="shared" si="456"/>
        <v/>
      </c>
      <c r="X453" s="172" t="str">
        <f t="shared" si="456"/>
        <v/>
      </c>
      <c r="Y453" s="172" t="str">
        <f t="shared" si="456"/>
        <v/>
      </c>
      <c r="Z453" s="172" t="str">
        <f t="shared" si="456"/>
        <v/>
      </c>
      <c r="AA453" s="172" t="str">
        <f t="shared" si="456"/>
        <v/>
      </c>
      <c r="AB453" s="172" t="str">
        <f t="shared" si="456"/>
        <v/>
      </c>
      <c r="AC453" s="172" t="str">
        <f t="shared" si="456"/>
        <v/>
      </c>
      <c r="AD453" s="172" t="str">
        <f t="shared" si="456"/>
        <v/>
      </c>
      <c r="AE453" s="172" t="str">
        <f t="shared" si="456"/>
        <v/>
      </c>
      <c r="AF453" s="172" t="str">
        <f t="shared" si="456"/>
        <v/>
      </c>
      <c r="AG453" s="172" t="str">
        <f t="shared" si="456"/>
        <v/>
      </c>
      <c r="AH453" s="172" t="str">
        <f t="shared" si="456"/>
        <v/>
      </c>
      <c r="AI453" s="172" t="str">
        <f t="shared" si="456"/>
        <v/>
      </c>
      <c r="AJ453" s="172" t="str">
        <f t="shared" si="456"/>
        <v/>
      </c>
      <c r="AK453" s="172" t="str">
        <f t="shared" si="456"/>
        <v/>
      </c>
      <c r="AL453" s="172" t="str">
        <f t="shared" si="456"/>
        <v/>
      </c>
      <c r="AM453" s="172" t="str">
        <f t="shared" si="456"/>
        <v/>
      </c>
      <c r="AN453" s="172" t="str">
        <f t="shared" si="456"/>
        <v/>
      </c>
      <c r="AO453" s="172" t="str">
        <f t="shared" si="456"/>
        <v/>
      </c>
      <c r="AP453" s="172" t="str">
        <f t="shared" si="456"/>
        <v/>
      </c>
      <c r="AQ453" s="172" t="str">
        <f t="shared" si="456"/>
        <v/>
      </c>
      <c r="AR453" s="172" t="str">
        <f t="shared" si="456"/>
        <v/>
      </c>
      <c r="AS453" s="172" t="str">
        <f t="shared" si="456"/>
        <v/>
      </c>
      <c r="AT453" s="173">
        <f>IF(AT$6="","",IF(AT$3="Maior",iferror(VLOOKUP($R453,Capa!$A:$AJ,AT$5,0),0),IF(ISERROR(1/VLOOKUP($R453,Capa!$A:$AJ,AT$5,0)),0,1/VLOOKUP($R453,Capa!$A:$AJ,AT$5,0))))</f>
        <v>-1.408450704</v>
      </c>
      <c r="AU453" s="174">
        <f>IF(AU$6="","",IF(AU$3="Maior",iferror(VLOOKUP($R453,Capa!$A:$AJ,AU$5,0),0),IF(ISERROR(1/VLOOKUP($R453,Capa!$A:$AJ,AU$5,0)),0,1/VLOOKUP($R453,Capa!$A:$AJ,AU$5,0))))</f>
        <v>-6.41</v>
      </c>
      <c r="AV453" s="174" t="str">
        <f>IF(AV$6="","",IF(AV$3="Maior",iferror(VLOOKUP($R453,Capa!$A:$AJ,AV$5,0),0),IF(ISERROR(1/VLOOKUP($R453,Capa!$A:$AJ,AV$5,0)),0,1/VLOOKUP($R453,Capa!$A:$AJ,AV$5,0))))</f>
        <v/>
      </c>
      <c r="AW453" s="174" t="str">
        <f>IF(AW$6="","",IF(AW$3="Maior",iferror(VLOOKUP($R453,Capa!$A:$AJ,AW$5,0),0),IF(ISERROR(1/VLOOKUP($R453,Capa!$A:$AJ,AW$5,0)),0,1/VLOOKUP($R453,Capa!$A:$AJ,AW$5,0))))</f>
        <v/>
      </c>
      <c r="AX453" s="174" t="str">
        <f>IF(AX$6="","",IF(AX$3="Maior",iferror(VLOOKUP($R453,Capa!$A:$AJ,AX$5,0),0),IF(ISERROR(1/VLOOKUP($R453,Capa!$A:$AJ,AX$5,0)),0,1/VLOOKUP($R453,Capa!$A:$AJ,AX$5,0))))</f>
        <v/>
      </c>
      <c r="AY453" s="174" t="str">
        <f>IF(AY$6="","",IF(AY$3="Maior",iferror(VLOOKUP($R453,Capa!$A:$AJ,AY$5,0),0),IF(ISERROR(1/VLOOKUP($R453,Capa!$A:$AJ,AY$5,0)),0,1/VLOOKUP($R453,Capa!$A:$AJ,AY$5,0))))</f>
        <v/>
      </c>
      <c r="AZ453" s="174" t="str">
        <f>IF(AZ$6="","",IF(AZ$3="Maior",iferror(VLOOKUP($R453,Capa!$A:$AJ,AZ$5,0),0),IF(ISERROR(1/VLOOKUP($R453,Capa!$A:$AJ,AZ$5,0)),0,1/VLOOKUP($R453,Capa!$A:$AJ,AZ$5,0))))</f>
        <v/>
      </c>
      <c r="BA453" s="174" t="str">
        <f>IF(BA$6="","",IF(BA$3="Maior",iferror(VLOOKUP($R453,Capa!$A:$AJ,BA$5,0),0),IF(ISERROR(1/VLOOKUP($R453,Capa!$A:$AJ,BA$5,0)),0,1/VLOOKUP($R453,Capa!$A:$AJ,BA$5,0))))</f>
        <v/>
      </c>
      <c r="BB453" s="174" t="str">
        <f>IF(BB$6="","",IF(BB$3="Maior",iferror(VLOOKUP($R453,Capa!$A:$AJ,BB$5,0),0),IF(ISERROR(1/VLOOKUP($R453,Capa!$A:$AJ,BB$5,0)),0,1/VLOOKUP($R453,Capa!$A:$AJ,BB$5,0))))</f>
        <v/>
      </c>
      <c r="BC453" s="174" t="str">
        <f>IF(BC$6="","",IF(BC$3="Maior",iferror(VLOOKUP($R453,Capa!$A:$AJ,BC$5,0),0),IF(ISERROR(1/VLOOKUP($R453,Capa!$A:$AJ,BC$5,0)),0,1/VLOOKUP($R453,Capa!$A:$AJ,BC$5,0))))</f>
        <v/>
      </c>
      <c r="BD453" s="174" t="str">
        <f>IF(BD$6="","",IF(BD$3="Maior",iferror(VLOOKUP($R453,Capa!$A:$AJ,BD$5,0),0),IF(ISERROR(1/VLOOKUP($R453,Capa!$A:$AJ,BD$5,0)),0,1/VLOOKUP($R453,Capa!$A:$AJ,BD$5,0))))</f>
        <v/>
      </c>
      <c r="BE453" s="174" t="str">
        <f>IF(BE$6="","",IF(BE$3="Maior",iferror(VLOOKUP($R453,Capa!$A:$AJ,BE$5,0),0),IF(ISERROR(1/VLOOKUP($R453,Capa!$A:$AJ,BE$5,0)),0,1/VLOOKUP($R453,Capa!$A:$AJ,BE$5,0))))</f>
        <v/>
      </c>
      <c r="BF453" s="174" t="str">
        <f>IF(BF$6="","",IF(BF$3="Maior",iferror(VLOOKUP($R453,Capa!$A:$AJ,BF$5,0),0),IF(ISERROR(1/VLOOKUP($R453,Capa!$A:$AJ,BF$5,0)),0,1/VLOOKUP($R453,Capa!$A:$AJ,BF$5,0))))</f>
        <v/>
      </c>
      <c r="BG453" s="174" t="str">
        <f>IF(BG$6="","",IF(BG$3="Maior",iferror(VLOOKUP($R453,Capa!$A:$AJ,BG$5,0),0),IF(ISERROR(1/VLOOKUP($R453,Capa!$A:$AJ,BG$5,0)),0,1/VLOOKUP($R453,Capa!$A:$AJ,BG$5,0))))</f>
        <v/>
      </c>
      <c r="BH453" s="174" t="str">
        <f>IF(BH$6="","",IF(BH$3="Maior",iferror(VLOOKUP($R453,Capa!$A:$AJ,BH$5,0),0),IF(ISERROR(1/VLOOKUP($R453,Capa!$A:$AJ,BH$5,0)),0,1/VLOOKUP($R453,Capa!$A:$AJ,BH$5,0))))</f>
        <v/>
      </c>
      <c r="BI453" s="174" t="str">
        <f>IF(BI$6="","",IF(BI$3="Maior",iferror(VLOOKUP($R453,Capa!$A:$AJ,BI$5,0),0),IF(ISERROR(1/VLOOKUP($R453,Capa!$A:$AJ,BI$5,0)),0,1/VLOOKUP($R453,Capa!$A:$AJ,BI$5,0))))</f>
        <v/>
      </c>
      <c r="BJ453" s="174" t="str">
        <f>IF(BJ$6="","",IF(BJ$3="Maior",iferror(VLOOKUP($R453,Capa!$A:$AJ,BJ$5,0),0),IF(ISERROR(1/VLOOKUP($R453,Capa!$A:$AJ,BJ$5,0)),0,1/VLOOKUP($R453,Capa!$A:$AJ,BJ$5,0))))</f>
        <v/>
      </c>
      <c r="BK453" s="174" t="str">
        <f>IF(BK$6="","",IF(BK$3="Maior",iferror(VLOOKUP($R453,Capa!$A:$AJ,BK$5,0),0),IF(ISERROR(1/VLOOKUP($R453,Capa!$A:$AJ,BK$5,0)),0,1/VLOOKUP($R453,Capa!$A:$AJ,BK$5,0))))</f>
        <v/>
      </c>
      <c r="BL453" s="174" t="str">
        <f>IF(BL$6="","",IF(BL$3="Maior",iferror(VLOOKUP($R453,Capa!$A:$AJ,BL$5,0),0),IF(ISERROR(1/VLOOKUP($R453,Capa!$A:$AJ,BL$5,0)),0,1/VLOOKUP($R453,Capa!$A:$AJ,BL$5,0))))</f>
        <v/>
      </c>
      <c r="BM453" s="174" t="str">
        <f>IF(BM$6="","",IF(BM$3="Maior",iferror(VLOOKUP($R453,Capa!$A:$AJ,BM$5,0),0),IF(ISERROR(1/VLOOKUP($R453,Capa!$A:$AJ,BM$5,0)),0,1/VLOOKUP($R453,Capa!$A:$AJ,BM$5,0))))</f>
        <v/>
      </c>
      <c r="BN453" s="174" t="str">
        <f>IF(BN$6="","",IF(BN$3="Maior",iferror(VLOOKUP($R453,Capa!$A:$AJ,BN$5,0),0),IF(ISERROR(1/VLOOKUP($R453,Capa!$A:$AJ,BN$5,0)),0,1/VLOOKUP($R453,Capa!$A:$AJ,BN$5,0))))</f>
        <v/>
      </c>
      <c r="BO453" s="174" t="str">
        <f>IF(BO$6="","",IF(BO$3="Maior",iferror(VLOOKUP($R453,Capa!$A:$AJ,BO$5,0),0),IF(ISERROR(1/VLOOKUP($R453,Capa!$A:$AJ,BO$5,0)),0,1/VLOOKUP($R453,Capa!$A:$AJ,BO$5,0))))</f>
        <v/>
      </c>
      <c r="BP453" s="174" t="str">
        <f>IF(BP$6="","",IF(BP$3="Maior",iferror(VLOOKUP($R453,Capa!$A:$AJ,BP$5,0),0),IF(ISERROR(1/VLOOKUP($R453,Capa!$A:$AJ,BP$5,0)),0,1/VLOOKUP($R453,Capa!$A:$AJ,BP$5,0))))</f>
        <v/>
      </c>
      <c r="BQ453" s="174" t="str">
        <f>IF(BQ$6="","",IF(BQ$3="Maior",iferror(VLOOKUP($R453,Capa!$A:$AJ,BQ$5,0),0),IF(ISERROR(1/VLOOKUP($R453,Capa!$A:$AJ,BQ$5,0)),0,1/VLOOKUP($R453,Capa!$A:$AJ,BQ$5,0))))</f>
        <v/>
      </c>
      <c r="BR453" s="175"/>
      <c r="BS453" s="147"/>
    </row>
    <row r="454">
      <c r="H454" s="8">
        <v>448.0</v>
      </c>
      <c r="I454" s="165" t="str">
        <f t="shared" si="6"/>
        <v>CLSC3</v>
      </c>
      <c r="J454" s="166" t="str">
        <f>(VLOOKUP($I454,Capa!$A:$B,2,0))</f>
        <v>Centrais Eletricas d Snt Ctrn S Clsc</v>
      </c>
      <c r="K454" s="167" t="str">
        <f>VLOOKUP(left(I454,4),Setor!A:D,3,0)&amp;" | "&amp;VLOOKUP(left(I454,4),Setor!A:D,4,0)</f>
        <v>Utilidade Pública | Energia Elétrica</v>
      </c>
      <c r="L454" s="168">
        <f>(VLOOKUP($I454,Capa!$A:$F,6,0))</f>
        <v>131</v>
      </c>
      <c r="M454" s="168">
        <f t="shared" si="7"/>
        <v>32683.86</v>
      </c>
      <c r="N454" s="11" t="str">
        <f>IFERROR(__xludf.DUMMYFUNCTION("(VLOOKUP($I454,Capa!$A:$H,7,0))"),"")</f>
        <v/>
      </c>
      <c r="O454" s="169">
        <f>(VLOOKUP($I454,Capa!$A:$H,8,0))</f>
        <v>0.1293103448</v>
      </c>
      <c r="P454" s="11" t="str">
        <f>IFERROR(__xludf.DUMMYFUNCTION("(VLOOKUP($I454,Capa!$A:$J,10,0))"),"")</f>
        <v/>
      </c>
      <c r="Q454" s="169">
        <f>(VLOOKUP($I454,Capa!$A:$K,11,0))</f>
        <v>0.7015196779</v>
      </c>
      <c r="R454" s="45" t="str">
        <f>'Dados StatusInvest'!A449</f>
        <v>PEAB4</v>
      </c>
      <c r="S454" s="170">
        <f t="shared" si="234"/>
        <v>1966.0966</v>
      </c>
      <c r="T454" s="171">
        <f>VLOOKUP(R454,'Dados StatusInvest'!A:Z,26,0)</f>
        <v>16690.18</v>
      </c>
      <c r="U454" s="172">
        <f t="shared" ref="U454:AS454" si="457">IF(AT454="","", RANK(AT454,AT$7:AT$626,0)+RANK(AT454,AT$7:AT$626,0)/10000)</f>
        <v>406.0406</v>
      </c>
      <c r="V454" s="172">
        <f t="shared" si="457"/>
        <v>560.056</v>
      </c>
      <c r="W454" s="172" t="str">
        <f t="shared" si="457"/>
        <v/>
      </c>
      <c r="X454" s="172" t="str">
        <f t="shared" si="457"/>
        <v/>
      </c>
      <c r="Y454" s="172" t="str">
        <f t="shared" si="457"/>
        <v/>
      </c>
      <c r="Z454" s="172" t="str">
        <f t="shared" si="457"/>
        <v/>
      </c>
      <c r="AA454" s="172" t="str">
        <f t="shared" si="457"/>
        <v/>
      </c>
      <c r="AB454" s="172" t="str">
        <f t="shared" si="457"/>
        <v/>
      </c>
      <c r="AC454" s="172" t="str">
        <f t="shared" si="457"/>
        <v/>
      </c>
      <c r="AD454" s="172" t="str">
        <f t="shared" si="457"/>
        <v/>
      </c>
      <c r="AE454" s="172" t="str">
        <f t="shared" si="457"/>
        <v/>
      </c>
      <c r="AF454" s="172" t="str">
        <f t="shared" si="457"/>
        <v/>
      </c>
      <c r="AG454" s="172" t="str">
        <f t="shared" si="457"/>
        <v/>
      </c>
      <c r="AH454" s="172" t="str">
        <f t="shared" si="457"/>
        <v/>
      </c>
      <c r="AI454" s="172" t="str">
        <f t="shared" si="457"/>
        <v/>
      </c>
      <c r="AJ454" s="172" t="str">
        <f t="shared" si="457"/>
        <v/>
      </c>
      <c r="AK454" s="172" t="str">
        <f t="shared" si="457"/>
        <v/>
      </c>
      <c r="AL454" s="172" t="str">
        <f t="shared" si="457"/>
        <v/>
      </c>
      <c r="AM454" s="172" t="str">
        <f t="shared" si="457"/>
        <v/>
      </c>
      <c r="AN454" s="172" t="str">
        <f t="shared" si="457"/>
        <v/>
      </c>
      <c r="AO454" s="172" t="str">
        <f t="shared" si="457"/>
        <v/>
      </c>
      <c r="AP454" s="172" t="str">
        <f t="shared" si="457"/>
        <v/>
      </c>
      <c r="AQ454" s="172" t="str">
        <f t="shared" si="457"/>
        <v/>
      </c>
      <c r="AR454" s="172" t="str">
        <f t="shared" si="457"/>
        <v/>
      </c>
      <c r="AS454" s="172" t="str">
        <f t="shared" si="457"/>
        <v/>
      </c>
      <c r="AT454" s="173">
        <f>IF(AT$6="","",IF(AT$3="Maior",iferror(VLOOKUP($R454,Capa!$A:$AJ,AT$5,0),0),IF(ISERROR(1/VLOOKUP($R454,Capa!$A:$AJ,AT$5,0)),0,1/VLOOKUP($R454,Capa!$A:$AJ,AT$5,0))))</f>
        <v>-1.428571429</v>
      </c>
      <c r="AU454" s="174">
        <f>IF(AU$6="","",IF(AU$3="Maior",iferror(VLOOKUP($R454,Capa!$A:$AJ,AU$5,0),0),IF(ISERROR(1/VLOOKUP($R454,Capa!$A:$AJ,AU$5,0)),0,1/VLOOKUP($R454,Capa!$A:$AJ,AU$5,0))))</f>
        <v>-6.41</v>
      </c>
      <c r="AV454" s="174" t="str">
        <f>IF(AV$6="","",IF(AV$3="Maior",iferror(VLOOKUP($R454,Capa!$A:$AJ,AV$5,0),0),IF(ISERROR(1/VLOOKUP($R454,Capa!$A:$AJ,AV$5,0)),0,1/VLOOKUP($R454,Capa!$A:$AJ,AV$5,0))))</f>
        <v/>
      </c>
      <c r="AW454" s="174" t="str">
        <f>IF(AW$6="","",IF(AW$3="Maior",iferror(VLOOKUP($R454,Capa!$A:$AJ,AW$5,0),0),IF(ISERROR(1/VLOOKUP($R454,Capa!$A:$AJ,AW$5,0)),0,1/VLOOKUP($R454,Capa!$A:$AJ,AW$5,0))))</f>
        <v/>
      </c>
      <c r="AX454" s="174" t="str">
        <f>IF(AX$6="","",IF(AX$3="Maior",iferror(VLOOKUP($R454,Capa!$A:$AJ,AX$5,0),0),IF(ISERROR(1/VLOOKUP($R454,Capa!$A:$AJ,AX$5,0)),0,1/VLOOKUP($R454,Capa!$A:$AJ,AX$5,0))))</f>
        <v/>
      </c>
      <c r="AY454" s="174" t="str">
        <f>IF(AY$6="","",IF(AY$3="Maior",iferror(VLOOKUP($R454,Capa!$A:$AJ,AY$5,0),0),IF(ISERROR(1/VLOOKUP($R454,Capa!$A:$AJ,AY$5,0)),0,1/VLOOKUP($R454,Capa!$A:$AJ,AY$5,0))))</f>
        <v/>
      </c>
      <c r="AZ454" s="174" t="str">
        <f>IF(AZ$6="","",IF(AZ$3="Maior",iferror(VLOOKUP($R454,Capa!$A:$AJ,AZ$5,0),0),IF(ISERROR(1/VLOOKUP($R454,Capa!$A:$AJ,AZ$5,0)),0,1/VLOOKUP($R454,Capa!$A:$AJ,AZ$5,0))))</f>
        <v/>
      </c>
      <c r="BA454" s="174" t="str">
        <f>IF(BA$6="","",IF(BA$3="Maior",iferror(VLOOKUP($R454,Capa!$A:$AJ,BA$5,0),0),IF(ISERROR(1/VLOOKUP($R454,Capa!$A:$AJ,BA$5,0)),0,1/VLOOKUP($R454,Capa!$A:$AJ,BA$5,0))))</f>
        <v/>
      </c>
      <c r="BB454" s="174" t="str">
        <f>IF(BB$6="","",IF(BB$3="Maior",iferror(VLOOKUP($R454,Capa!$A:$AJ,BB$5,0),0),IF(ISERROR(1/VLOOKUP($R454,Capa!$A:$AJ,BB$5,0)),0,1/VLOOKUP($R454,Capa!$A:$AJ,BB$5,0))))</f>
        <v/>
      </c>
      <c r="BC454" s="174" t="str">
        <f>IF(BC$6="","",IF(BC$3="Maior",iferror(VLOOKUP($R454,Capa!$A:$AJ,BC$5,0),0),IF(ISERROR(1/VLOOKUP($R454,Capa!$A:$AJ,BC$5,0)),0,1/VLOOKUP($R454,Capa!$A:$AJ,BC$5,0))))</f>
        <v/>
      </c>
      <c r="BD454" s="174" t="str">
        <f>IF(BD$6="","",IF(BD$3="Maior",iferror(VLOOKUP($R454,Capa!$A:$AJ,BD$5,0),0),IF(ISERROR(1/VLOOKUP($R454,Capa!$A:$AJ,BD$5,0)),0,1/VLOOKUP($R454,Capa!$A:$AJ,BD$5,0))))</f>
        <v/>
      </c>
      <c r="BE454" s="174" t="str">
        <f>IF(BE$6="","",IF(BE$3="Maior",iferror(VLOOKUP($R454,Capa!$A:$AJ,BE$5,0),0),IF(ISERROR(1/VLOOKUP($R454,Capa!$A:$AJ,BE$5,0)),0,1/VLOOKUP($R454,Capa!$A:$AJ,BE$5,0))))</f>
        <v/>
      </c>
      <c r="BF454" s="174" t="str">
        <f>IF(BF$6="","",IF(BF$3="Maior",iferror(VLOOKUP($R454,Capa!$A:$AJ,BF$5,0),0),IF(ISERROR(1/VLOOKUP($R454,Capa!$A:$AJ,BF$5,0)),0,1/VLOOKUP($R454,Capa!$A:$AJ,BF$5,0))))</f>
        <v/>
      </c>
      <c r="BG454" s="174" t="str">
        <f>IF(BG$6="","",IF(BG$3="Maior",iferror(VLOOKUP($R454,Capa!$A:$AJ,BG$5,0),0),IF(ISERROR(1/VLOOKUP($R454,Capa!$A:$AJ,BG$5,0)),0,1/VLOOKUP($R454,Capa!$A:$AJ,BG$5,0))))</f>
        <v/>
      </c>
      <c r="BH454" s="174" t="str">
        <f>IF(BH$6="","",IF(BH$3="Maior",iferror(VLOOKUP($R454,Capa!$A:$AJ,BH$5,0),0),IF(ISERROR(1/VLOOKUP($R454,Capa!$A:$AJ,BH$5,0)),0,1/VLOOKUP($R454,Capa!$A:$AJ,BH$5,0))))</f>
        <v/>
      </c>
      <c r="BI454" s="174" t="str">
        <f>IF(BI$6="","",IF(BI$3="Maior",iferror(VLOOKUP($R454,Capa!$A:$AJ,BI$5,0),0),IF(ISERROR(1/VLOOKUP($R454,Capa!$A:$AJ,BI$5,0)),0,1/VLOOKUP($R454,Capa!$A:$AJ,BI$5,0))))</f>
        <v/>
      </c>
      <c r="BJ454" s="174" t="str">
        <f>IF(BJ$6="","",IF(BJ$3="Maior",iferror(VLOOKUP($R454,Capa!$A:$AJ,BJ$5,0),0),IF(ISERROR(1/VLOOKUP($R454,Capa!$A:$AJ,BJ$5,0)),0,1/VLOOKUP($R454,Capa!$A:$AJ,BJ$5,0))))</f>
        <v/>
      </c>
      <c r="BK454" s="174" t="str">
        <f>IF(BK$6="","",IF(BK$3="Maior",iferror(VLOOKUP($R454,Capa!$A:$AJ,BK$5,0),0),IF(ISERROR(1/VLOOKUP($R454,Capa!$A:$AJ,BK$5,0)),0,1/VLOOKUP($R454,Capa!$A:$AJ,BK$5,0))))</f>
        <v/>
      </c>
      <c r="BL454" s="174" t="str">
        <f>IF(BL$6="","",IF(BL$3="Maior",iferror(VLOOKUP($R454,Capa!$A:$AJ,BL$5,0),0),IF(ISERROR(1/VLOOKUP($R454,Capa!$A:$AJ,BL$5,0)),0,1/VLOOKUP($R454,Capa!$A:$AJ,BL$5,0))))</f>
        <v/>
      </c>
      <c r="BM454" s="174" t="str">
        <f>IF(BM$6="","",IF(BM$3="Maior",iferror(VLOOKUP($R454,Capa!$A:$AJ,BM$5,0),0),IF(ISERROR(1/VLOOKUP($R454,Capa!$A:$AJ,BM$5,0)),0,1/VLOOKUP($R454,Capa!$A:$AJ,BM$5,0))))</f>
        <v/>
      </c>
      <c r="BN454" s="174" t="str">
        <f>IF(BN$6="","",IF(BN$3="Maior",iferror(VLOOKUP($R454,Capa!$A:$AJ,BN$5,0),0),IF(ISERROR(1/VLOOKUP($R454,Capa!$A:$AJ,BN$5,0)),0,1/VLOOKUP($R454,Capa!$A:$AJ,BN$5,0))))</f>
        <v/>
      </c>
      <c r="BO454" s="174" t="str">
        <f>IF(BO$6="","",IF(BO$3="Maior",iferror(VLOOKUP($R454,Capa!$A:$AJ,BO$5,0),0),IF(ISERROR(1/VLOOKUP($R454,Capa!$A:$AJ,BO$5,0)),0,1/VLOOKUP($R454,Capa!$A:$AJ,BO$5,0))))</f>
        <v/>
      </c>
      <c r="BP454" s="174" t="str">
        <f>IF(BP$6="","",IF(BP$3="Maior",iferror(VLOOKUP($R454,Capa!$A:$AJ,BP$5,0),0),IF(ISERROR(1/VLOOKUP($R454,Capa!$A:$AJ,BP$5,0)),0,1/VLOOKUP($R454,Capa!$A:$AJ,BP$5,0))))</f>
        <v/>
      </c>
      <c r="BQ454" s="174" t="str">
        <f>IF(BQ$6="","",IF(BQ$3="Maior",iferror(VLOOKUP($R454,Capa!$A:$AJ,BQ$5,0),0),IF(ISERROR(1/VLOOKUP($R454,Capa!$A:$AJ,BQ$5,0)),0,1/VLOOKUP($R454,Capa!$A:$AJ,BQ$5,0))))</f>
        <v/>
      </c>
      <c r="BR454" s="175"/>
      <c r="BS454" s="147"/>
    </row>
    <row r="455">
      <c r="H455" s="8">
        <v>449.0</v>
      </c>
      <c r="I455" s="165" t="str">
        <f t="shared" si="6"/>
        <v>CTKA3</v>
      </c>
      <c r="J455" s="166" t="str">
        <f>(VLOOKUP($I455,Capa!$A:$B,2,0))</f>
        <v>Karsten SA</v>
      </c>
      <c r="K455" s="167" t="str">
        <f>VLOOKUP(left(I455,4),Setor!A:D,3,0)&amp;" | "&amp;VLOOKUP(left(I455,4),Setor!A:D,4,0)</f>
        <v>Consumo Cíclico | Tecidos, Vestuário e Calçados</v>
      </c>
      <c r="L455" s="168">
        <f>(VLOOKUP($I455,Capa!$A:$F,6,0))</f>
        <v>50</v>
      </c>
      <c r="M455" s="168">
        <f t="shared" si="7"/>
        <v>1666.67</v>
      </c>
      <c r="N455" s="11" t="str">
        <f>(VLOOKUP($I455,Capa!$A:$H,7,0))</f>
        <v/>
      </c>
      <c r="O455" s="169">
        <f>(VLOOKUP($I455,Capa!$A:$H,8,0))</f>
        <v>0.3831258645</v>
      </c>
      <c r="P455" s="11" t="str">
        <f>IFERROR(__xludf.DUMMYFUNCTION("(VLOOKUP($I455,Capa!$A:$J,10,0))"),"")</f>
        <v/>
      </c>
      <c r="Q455" s="169">
        <f>(VLOOKUP($I455,Capa!$A:$K,11,0))</f>
        <v>0.4667057788</v>
      </c>
      <c r="R455" s="45" t="str">
        <f>'Dados StatusInvest'!A450</f>
        <v>PETR3</v>
      </c>
      <c r="S455" s="170">
        <f t="shared" si="234"/>
        <v>290.029</v>
      </c>
      <c r="T455" s="171">
        <f>VLOOKUP(R455,'Dados StatusInvest'!A:Z,26,0)</f>
        <v>557000000</v>
      </c>
      <c r="U455" s="172">
        <f t="shared" ref="U455:AS455" si="458">IF(AT455="","", RANK(AT455,AT$7:AT$626,0)+RANK(AT455,AT$7:AT$626,0)/10000)</f>
        <v>107.0107</v>
      </c>
      <c r="V455" s="172">
        <f t="shared" si="458"/>
        <v>183.0183</v>
      </c>
      <c r="W455" s="172" t="str">
        <f t="shared" si="458"/>
        <v/>
      </c>
      <c r="X455" s="172" t="str">
        <f t="shared" si="458"/>
        <v/>
      </c>
      <c r="Y455" s="172" t="str">
        <f t="shared" si="458"/>
        <v/>
      </c>
      <c r="Z455" s="172" t="str">
        <f t="shared" si="458"/>
        <v/>
      </c>
      <c r="AA455" s="172" t="str">
        <f t="shared" si="458"/>
        <v/>
      </c>
      <c r="AB455" s="172" t="str">
        <f t="shared" si="458"/>
        <v/>
      </c>
      <c r="AC455" s="172" t="str">
        <f t="shared" si="458"/>
        <v/>
      </c>
      <c r="AD455" s="172" t="str">
        <f t="shared" si="458"/>
        <v/>
      </c>
      <c r="AE455" s="172" t="str">
        <f t="shared" si="458"/>
        <v/>
      </c>
      <c r="AF455" s="172" t="str">
        <f t="shared" si="458"/>
        <v/>
      </c>
      <c r="AG455" s="172" t="str">
        <f t="shared" si="458"/>
        <v/>
      </c>
      <c r="AH455" s="172" t="str">
        <f t="shared" si="458"/>
        <v/>
      </c>
      <c r="AI455" s="172" t="str">
        <f t="shared" si="458"/>
        <v/>
      </c>
      <c r="AJ455" s="172" t="str">
        <f t="shared" si="458"/>
        <v/>
      </c>
      <c r="AK455" s="172" t="str">
        <f t="shared" si="458"/>
        <v/>
      </c>
      <c r="AL455" s="172" t="str">
        <f t="shared" si="458"/>
        <v/>
      </c>
      <c r="AM455" s="172" t="str">
        <f t="shared" si="458"/>
        <v/>
      </c>
      <c r="AN455" s="172" t="str">
        <f t="shared" si="458"/>
        <v/>
      </c>
      <c r="AO455" s="172" t="str">
        <f t="shared" si="458"/>
        <v/>
      </c>
      <c r="AP455" s="172" t="str">
        <f t="shared" si="458"/>
        <v/>
      </c>
      <c r="AQ455" s="172" t="str">
        <f t="shared" si="458"/>
        <v/>
      </c>
      <c r="AR455" s="172" t="str">
        <f t="shared" si="458"/>
        <v/>
      </c>
      <c r="AS455" s="172" t="str">
        <f t="shared" si="458"/>
        <v/>
      </c>
      <c r="AT455" s="173">
        <f>IF(AT$6="","",IF(AT$3="Maior",iferror(VLOOKUP($R455,Capa!$A:$AJ,AT$5,0),0),IF(ISERROR(1/VLOOKUP($R455,Capa!$A:$AJ,AT$5,0)),0,1/VLOOKUP($R455,Capa!$A:$AJ,AT$5,0))))</f>
        <v>-0.0002260853168</v>
      </c>
      <c r="AU455" s="174">
        <f>IF(AU$6="","",IF(AU$3="Maior",iferror(VLOOKUP($R455,Capa!$A:$AJ,AU$5,0),0),IF(ISERROR(1/VLOOKUP($R455,Capa!$A:$AJ,AU$5,0)),0,1/VLOOKUP($R455,Capa!$A:$AJ,AU$5,0))))</f>
        <v>14.07</v>
      </c>
      <c r="AV455" s="174" t="str">
        <f>IF(AV$6="","",IF(AV$3="Maior",iferror(VLOOKUP($R455,Capa!$A:$AJ,AV$5,0),0),IF(ISERROR(1/VLOOKUP($R455,Capa!$A:$AJ,AV$5,0)),0,1/VLOOKUP($R455,Capa!$A:$AJ,AV$5,0))))</f>
        <v/>
      </c>
      <c r="AW455" s="174" t="str">
        <f>IF(AW$6="","",IF(AW$3="Maior",iferror(VLOOKUP($R455,Capa!$A:$AJ,AW$5,0),0),IF(ISERROR(1/VLOOKUP($R455,Capa!$A:$AJ,AW$5,0)),0,1/VLOOKUP($R455,Capa!$A:$AJ,AW$5,0))))</f>
        <v/>
      </c>
      <c r="AX455" s="174" t="str">
        <f>IF(AX$6="","",IF(AX$3="Maior",iferror(VLOOKUP($R455,Capa!$A:$AJ,AX$5,0),0),IF(ISERROR(1/VLOOKUP($R455,Capa!$A:$AJ,AX$5,0)),0,1/VLOOKUP($R455,Capa!$A:$AJ,AX$5,0))))</f>
        <v/>
      </c>
      <c r="AY455" s="174" t="str">
        <f>IF(AY$6="","",IF(AY$3="Maior",iferror(VLOOKUP($R455,Capa!$A:$AJ,AY$5,0),0),IF(ISERROR(1/VLOOKUP($R455,Capa!$A:$AJ,AY$5,0)),0,1/VLOOKUP($R455,Capa!$A:$AJ,AY$5,0))))</f>
        <v/>
      </c>
      <c r="AZ455" s="174" t="str">
        <f>IF(AZ$6="","",IF(AZ$3="Maior",iferror(VLOOKUP($R455,Capa!$A:$AJ,AZ$5,0),0),IF(ISERROR(1/VLOOKUP($R455,Capa!$A:$AJ,AZ$5,0)),0,1/VLOOKUP($R455,Capa!$A:$AJ,AZ$5,0))))</f>
        <v/>
      </c>
      <c r="BA455" s="174" t="str">
        <f>IF(BA$6="","",IF(BA$3="Maior",iferror(VLOOKUP($R455,Capa!$A:$AJ,BA$5,0),0),IF(ISERROR(1/VLOOKUP($R455,Capa!$A:$AJ,BA$5,0)),0,1/VLOOKUP($R455,Capa!$A:$AJ,BA$5,0))))</f>
        <v/>
      </c>
      <c r="BB455" s="174" t="str">
        <f>IF(BB$6="","",IF(BB$3="Maior",iferror(VLOOKUP($R455,Capa!$A:$AJ,BB$5,0),0),IF(ISERROR(1/VLOOKUP($R455,Capa!$A:$AJ,BB$5,0)),0,1/VLOOKUP($R455,Capa!$A:$AJ,BB$5,0))))</f>
        <v/>
      </c>
      <c r="BC455" s="174" t="str">
        <f>IF(BC$6="","",IF(BC$3="Maior",iferror(VLOOKUP($R455,Capa!$A:$AJ,BC$5,0),0),IF(ISERROR(1/VLOOKUP($R455,Capa!$A:$AJ,BC$5,0)),0,1/VLOOKUP($R455,Capa!$A:$AJ,BC$5,0))))</f>
        <v/>
      </c>
      <c r="BD455" s="174" t="str">
        <f>IF(BD$6="","",IF(BD$3="Maior",iferror(VLOOKUP($R455,Capa!$A:$AJ,BD$5,0),0),IF(ISERROR(1/VLOOKUP($R455,Capa!$A:$AJ,BD$5,0)),0,1/VLOOKUP($R455,Capa!$A:$AJ,BD$5,0))))</f>
        <v/>
      </c>
      <c r="BE455" s="174" t="str">
        <f>IF(BE$6="","",IF(BE$3="Maior",iferror(VLOOKUP($R455,Capa!$A:$AJ,BE$5,0),0),IF(ISERROR(1/VLOOKUP($R455,Capa!$A:$AJ,BE$5,0)),0,1/VLOOKUP($R455,Capa!$A:$AJ,BE$5,0))))</f>
        <v/>
      </c>
      <c r="BF455" s="174" t="str">
        <f>IF(BF$6="","",IF(BF$3="Maior",iferror(VLOOKUP($R455,Capa!$A:$AJ,BF$5,0),0),IF(ISERROR(1/VLOOKUP($R455,Capa!$A:$AJ,BF$5,0)),0,1/VLOOKUP($R455,Capa!$A:$AJ,BF$5,0))))</f>
        <v/>
      </c>
      <c r="BG455" s="174" t="str">
        <f>IF(BG$6="","",IF(BG$3="Maior",iferror(VLOOKUP($R455,Capa!$A:$AJ,BG$5,0),0),IF(ISERROR(1/VLOOKUP($R455,Capa!$A:$AJ,BG$5,0)),0,1/VLOOKUP($R455,Capa!$A:$AJ,BG$5,0))))</f>
        <v/>
      </c>
      <c r="BH455" s="174" t="str">
        <f>IF(BH$6="","",IF(BH$3="Maior",iferror(VLOOKUP($R455,Capa!$A:$AJ,BH$5,0),0),IF(ISERROR(1/VLOOKUP($R455,Capa!$A:$AJ,BH$5,0)),0,1/VLOOKUP($R455,Capa!$A:$AJ,BH$5,0))))</f>
        <v/>
      </c>
      <c r="BI455" s="174" t="str">
        <f>IF(BI$6="","",IF(BI$3="Maior",iferror(VLOOKUP($R455,Capa!$A:$AJ,BI$5,0),0),IF(ISERROR(1/VLOOKUP($R455,Capa!$A:$AJ,BI$5,0)),0,1/VLOOKUP($R455,Capa!$A:$AJ,BI$5,0))))</f>
        <v/>
      </c>
      <c r="BJ455" s="174" t="str">
        <f>IF(BJ$6="","",IF(BJ$3="Maior",iferror(VLOOKUP($R455,Capa!$A:$AJ,BJ$5,0),0),IF(ISERROR(1/VLOOKUP($R455,Capa!$A:$AJ,BJ$5,0)),0,1/VLOOKUP($R455,Capa!$A:$AJ,BJ$5,0))))</f>
        <v/>
      </c>
      <c r="BK455" s="174" t="str">
        <f>IF(BK$6="","",IF(BK$3="Maior",iferror(VLOOKUP($R455,Capa!$A:$AJ,BK$5,0),0),IF(ISERROR(1/VLOOKUP($R455,Capa!$A:$AJ,BK$5,0)),0,1/VLOOKUP($R455,Capa!$A:$AJ,BK$5,0))))</f>
        <v/>
      </c>
      <c r="BL455" s="174" t="str">
        <f>IF(BL$6="","",IF(BL$3="Maior",iferror(VLOOKUP($R455,Capa!$A:$AJ,BL$5,0),0),IF(ISERROR(1/VLOOKUP($R455,Capa!$A:$AJ,BL$5,0)),0,1/VLOOKUP($R455,Capa!$A:$AJ,BL$5,0))))</f>
        <v/>
      </c>
      <c r="BM455" s="174" t="str">
        <f>IF(BM$6="","",IF(BM$3="Maior",iferror(VLOOKUP($R455,Capa!$A:$AJ,BM$5,0),0),IF(ISERROR(1/VLOOKUP($R455,Capa!$A:$AJ,BM$5,0)),0,1/VLOOKUP($R455,Capa!$A:$AJ,BM$5,0))))</f>
        <v/>
      </c>
      <c r="BN455" s="174" t="str">
        <f>IF(BN$6="","",IF(BN$3="Maior",iferror(VLOOKUP($R455,Capa!$A:$AJ,BN$5,0),0),IF(ISERROR(1/VLOOKUP($R455,Capa!$A:$AJ,BN$5,0)),0,1/VLOOKUP($R455,Capa!$A:$AJ,BN$5,0))))</f>
        <v/>
      </c>
      <c r="BO455" s="174" t="str">
        <f>IF(BO$6="","",IF(BO$3="Maior",iferror(VLOOKUP($R455,Capa!$A:$AJ,BO$5,0),0),IF(ISERROR(1/VLOOKUP($R455,Capa!$A:$AJ,BO$5,0)),0,1/VLOOKUP($R455,Capa!$A:$AJ,BO$5,0))))</f>
        <v/>
      </c>
      <c r="BP455" s="174" t="str">
        <f>IF(BP$6="","",IF(BP$3="Maior",iferror(VLOOKUP($R455,Capa!$A:$AJ,BP$5,0),0),IF(ISERROR(1/VLOOKUP($R455,Capa!$A:$AJ,BP$5,0)),0,1/VLOOKUP($R455,Capa!$A:$AJ,BP$5,0))))</f>
        <v/>
      </c>
      <c r="BQ455" s="174" t="str">
        <f>IF(BQ$6="","",IF(BQ$3="Maior",iferror(VLOOKUP($R455,Capa!$A:$AJ,BQ$5,0),0),IF(ISERROR(1/VLOOKUP($R455,Capa!$A:$AJ,BQ$5,0)),0,1/VLOOKUP($R455,Capa!$A:$AJ,BQ$5,0))))</f>
        <v/>
      </c>
      <c r="BR455" s="175"/>
      <c r="BS455" s="147"/>
    </row>
    <row r="456">
      <c r="H456" s="8">
        <v>450.0</v>
      </c>
      <c r="I456" s="165" t="str">
        <f t="shared" si="6"/>
        <v>BMEB3</v>
      </c>
      <c r="J456" s="166" t="str">
        <f>(VLOOKUP($I456,Capa!$A:$B,2,0))</f>
        <v>Banco Mercantil do Brasil SA</v>
      </c>
      <c r="K456" s="167" t="str">
        <f>VLOOKUP(left(I456,4),Setor!A:D,3,0)&amp;" | "&amp;VLOOKUP(left(I456,4),Setor!A:D,4,0)</f>
        <v>Financeiro | Intermediários Financeiros</v>
      </c>
      <c r="L456" s="168">
        <f>(VLOOKUP($I456,Capa!$A:$F,6,0))</f>
        <v>57.5</v>
      </c>
      <c r="M456" s="168">
        <f t="shared" si="7"/>
        <v>169413.8</v>
      </c>
      <c r="N456" s="11" t="str">
        <f>IFERROR(__xludf.DUMMYFUNCTION("(VLOOKUP($I456,Capa!$A:$H,7,0))"),"")</f>
        <v/>
      </c>
      <c r="O456" s="169">
        <f>(VLOOKUP($I456,Capa!$A:$H,8,0))</f>
        <v>0.2247071353</v>
      </c>
      <c r="P456" s="11" t="str">
        <f>IFERROR(__xludf.DUMMYFUNCTION("(VLOOKUP($I456,Capa!$A:$J,10,0))"),"")</f>
        <v/>
      </c>
      <c r="Q456" s="169">
        <f>(VLOOKUP($I456,Capa!$A:$K,11,0))</f>
        <v>0.9230769231</v>
      </c>
      <c r="R456" s="45" t="str">
        <f>'Dados StatusInvest'!A451</f>
        <v>PETR4</v>
      </c>
      <c r="S456" s="170">
        <f t="shared" si="234"/>
        <v>658.0658</v>
      </c>
      <c r="T456" s="171">
        <f>VLOOKUP(R456,'Dados StatusInvest'!A:Z,26,0)</f>
        <v>1570000000</v>
      </c>
      <c r="U456" s="172">
        <f t="shared" ref="U456:AS456" si="459">IF(AT456="","", RANK(AT456,AT$7:AT$626,0)+RANK(AT456,AT$7:AT$626,0)/10000)</f>
        <v>475.0475</v>
      </c>
      <c r="V456" s="172">
        <f t="shared" si="459"/>
        <v>183.0183</v>
      </c>
      <c r="W456" s="172" t="str">
        <f t="shared" si="459"/>
        <v/>
      </c>
      <c r="X456" s="172" t="str">
        <f t="shared" si="459"/>
        <v/>
      </c>
      <c r="Y456" s="172" t="str">
        <f t="shared" si="459"/>
        <v/>
      </c>
      <c r="Z456" s="172" t="str">
        <f t="shared" si="459"/>
        <v/>
      </c>
      <c r="AA456" s="172" t="str">
        <f t="shared" si="459"/>
        <v/>
      </c>
      <c r="AB456" s="172" t="str">
        <f t="shared" si="459"/>
        <v/>
      </c>
      <c r="AC456" s="172" t="str">
        <f t="shared" si="459"/>
        <v/>
      </c>
      <c r="AD456" s="172" t="str">
        <f t="shared" si="459"/>
        <v/>
      </c>
      <c r="AE456" s="172" t="str">
        <f t="shared" si="459"/>
        <v/>
      </c>
      <c r="AF456" s="172" t="str">
        <f t="shared" si="459"/>
        <v/>
      </c>
      <c r="AG456" s="172" t="str">
        <f t="shared" si="459"/>
        <v/>
      </c>
      <c r="AH456" s="172" t="str">
        <f t="shared" si="459"/>
        <v/>
      </c>
      <c r="AI456" s="172" t="str">
        <f t="shared" si="459"/>
        <v/>
      </c>
      <c r="AJ456" s="172" t="str">
        <f t="shared" si="459"/>
        <v/>
      </c>
      <c r="AK456" s="172" t="str">
        <f t="shared" si="459"/>
        <v/>
      </c>
      <c r="AL456" s="172" t="str">
        <f t="shared" si="459"/>
        <v/>
      </c>
      <c r="AM456" s="172" t="str">
        <f t="shared" si="459"/>
        <v/>
      </c>
      <c r="AN456" s="172" t="str">
        <f t="shared" si="459"/>
        <v/>
      </c>
      <c r="AO456" s="172" t="str">
        <f t="shared" si="459"/>
        <v/>
      </c>
      <c r="AP456" s="172" t="str">
        <f t="shared" si="459"/>
        <v/>
      </c>
      <c r="AQ456" s="172" t="str">
        <f t="shared" si="459"/>
        <v/>
      </c>
      <c r="AR456" s="172" t="str">
        <f t="shared" si="459"/>
        <v/>
      </c>
      <c r="AS456" s="172" t="str">
        <f t="shared" si="459"/>
        <v/>
      </c>
      <c r="AT456" s="173">
        <f>IF(AT$6="","",IF(AT$3="Maior",iferror(VLOOKUP($R456,Capa!$A:$AJ,AT$5,0),0),IF(ISERROR(1/VLOOKUP($R456,Capa!$A:$AJ,AT$5,0)),0,1/VLOOKUP($R456,Capa!$A:$AJ,AT$5,0))))</f>
        <v>-2.443485117</v>
      </c>
      <c r="AU456" s="174">
        <f>IF(AU$6="","",IF(AU$3="Maior",iferror(VLOOKUP($R456,Capa!$A:$AJ,AU$5,0),0),IF(ISERROR(1/VLOOKUP($R456,Capa!$A:$AJ,AU$5,0)),0,1/VLOOKUP($R456,Capa!$A:$AJ,AU$5,0))))</f>
        <v>14.07</v>
      </c>
      <c r="AV456" s="174" t="str">
        <f>IF(AV$6="","",IF(AV$3="Maior",iferror(VLOOKUP($R456,Capa!$A:$AJ,AV$5,0),0),IF(ISERROR(1/VLOOKUP($R456,Capa!$A:$AJ,AV$5,0)),0,1/VLOOKUP($R456,Capa!$A:$AJ,AV$5,0))))</f>
        <v/>
      </c>
      <c r="AW456" s="174" t="str">
        <f>IF(AW$6="","",IF(AW$3="Maior",iferror(VLOOKUP($R456,Capa!$A:$AJ,AW$5,0),0),IF(ISERROR(1/VLOOKUP($R456,Capa!$A:$AJ,AW$5,0)),0,1/VLOOKUP($R456,Capa!$A:$AJ,AW$5,0))))</f>
        <v/>
      </c>
      <c r="AX456" s="174" t="str">
        <f>IF(AX$6="","",IF(AX$3="Maior",iferror(VLOOKUP($R456,Capa!$A:$AJ,AX$5,0),0),IF(ISERROR(1/VLOOKUP($R456,Capa!$A:$AJ,AX$5,0)),0,1/VLOOKUP($R456,Capa!$A:$AJ,AX$5,0))))</f>
        <v/>
      </c>
      <c r="AY456" s="174" t="str">
        <f>IF(AY$6="","",IF(AY$3="Maior",iferror(VLOOKUP($R456,Capa!$A:$AJ,AY$5,0),0),IF(ISERROR(1/VLOOKUP($R456,Capa!$A:$AJ,AY$5,0)),0,1/VLOOKUP($R456,Capa!$A:$AJ,AY$5,0))))</f>
        <v/>
      </c>
      <c r="AZ456" s="174" t="str">
        <f>IF(AZ$6="","",IF(AZ$3="Maior",iferror(VLOOKUP($R456,Capa!$A:$AJ,AZ$5,0),0),IF(ISERROR(1/VLOOKUP($R456,Capa!$A:$AJ,AZ$5,0)),0,1/VLOOKUP($R456,Capa!$A:$AJ,AZ$5,0))))</f>
        <v/>
      </c>
      <c r="BA456" s="174" t="str">
        <f>IF(BA$6="","",IF(BA$3="Maior",iferror(VLOOKUP($R456,Capa!$A:$AJ,BA$5,0),0),IF(ISERROR(1/VLOOKUP($R456,Capa!$A:$AJ,BA$5,0)),0,1/VLOOKUP($R456,Capa!$A:$AJ,BA$5,0))))</f>
        <v/>
      </c>
      <c r="BB456" s="174" t="str">
        <f>IF(BB$6="","",IF(BB$3="Maior",iferror(VLOOKUP($R456,Capa!$A:$AJ,BB$5,0),0),IF(ISERROR(1/VLOOKUP($R456,Capa!$A:$AJ,BB$5,0)),0,1/VLOOKUP($R456,Capa!$A:$AJ,BB$5,0))))</f>
        <v/>
      </c>
      <c r="BC456" s="174" t="str">
        <f>IF(BC$6="","",IF(BC$3="Maior",iferror(VLOOKUP($R456,Capa!$A:$AJ,BC$5,0),0),IF(ISERROR(1/VLOOKUP($R456,Capa!$A:$AJ,BC$5,0)),0,1/VLOOKUP($R456,Capa!$A:$AJ,BC$5,0))))</f>
        <v/>
      </c>
      <c r="BD456" s="174" t="str">
        <f>IF(BD$6="","",IF(BD$3="Maior",iferror(VLOOKUP($R456,Capa!$A:$AJ,BD$5,0),0),IF(ISERROR(1/VLOOKUP($R456,Capa!$A:$AJ,BD$5,0)),0,1/VLOOKUP($R456,Capa!$A:$AJ,BD$5,0))))</f>
        <v/>
      </c>
      <c r="BE456" s="174" t="str">
        <f>IF(BE$6="","",IF(BE$3="Maior",iferror(VLOOKUP($R456,Capa!$A:$AJ,BE$5,0),0),IF(ISERROR(1/VLOOKUP($R456,Capa!$A:$AJ,BE$5,0)),0,1/VLOOKUP($R456,Capa!$A:$AJ,BE$5,0))))</f>
        <v/>
      </c>
      <c r="BF456" s="174" t="str">
        <f>IF(BF$6="","",IF(BF$3="Maior",iferror(VLOOKUP($R456,Capa!$A:$AJ,BF$5,0),0),IF(ISERROR(1/VLOOKUP($R456,Capa!$A:$AJ,BF$5,0)),0,1/VLOOKUP($R456,Capa!$A:$AJ,BF$5,0))))</f>
        <v/>
      </c>
      <c r="BG456" s="174" t="str">
        <f>IF(BG$6="","",IF(BG$3="Maior",iferror(VLOOKUP($R456,Capa!$A:$AJ,BG$5,0),0),IF(ISERROR(1/VLOOKUP($R456,Capa!$A:$AJ,BG$5,0)),0,1/VLOOKUP($R456,Capa!$A:$AJ,BG$5,0))))</f>
        <v/>
      </c>
      <c r="BH456" s="174" t="str">
        <f>IF(BH$6="","",IF(BH$3="Maior",iferror(VLOOKUP($R456,Capa!$A:$AJ,BH$5,0),0),IF(ISERROR(1/VLOOKUP($R456,Capa!$A:$AJ,BH$5,0)),0,1/VLOOKUP($R456,Capa!$A:$AJ,BH$5,0))))</f>
        <v/>
      </c>
      <c r="BI456" s="174" t="str">
        <f>IF(BI$6="","",IF(BI$3="Maior",iferror(VLOOKUP($R456,Capa!$A:$AJ,BI$5,0),0),IF(ISERROR(1/VLOOKUP($R456,Capa!$A:$AJ,BI$5,0)),0,1/VLOOKUP($R456,Capa!$A:$AJ,BI$5,0))))</f>
        <v/>
      </c>
      <c r="BJ456" s="174" t="str">
        <f>IF(BJ$6="","",IF(BJ$3="Maior",iferror(VLOOKUP($R456,Capa!$A:$AJ,BJ$5,0),0),IF(ISERROR(1/VLOOKUP($R456,Capa!$A:$AJ,BJ$5,0)),0,1/VLOOKUP($R456,Capa!$A:$AJ,BJ$5,0))))</f>
        <v/>
      </c>
      <c r="BK456" s="174" t="str">
        <f>IF(BK$6="","",IF(BK$3="Maior",iferror(VLOOKUP($R456,Capa!$A:$AJ,BK$5,0),0),IF(ISERROR(1/VLOOKUP($R456,Capa!$A:$AJ,BK$5,0)),0,1/VLOOKUP($R456,Capa!$A:$AJ,BK$5,0))))</f>
        <v/>
      </c>
      <c r="BL456" s="174" t="str">
        <f>IF(BL$6="","",IF(BL$3="Maior",iferror(VLOOKUP($R456,Capa!$A:$AJ,BL$5,0),0),IF(ISERROR(1/VLOOKUP($R456,Capa!$A:$AJ,BL$5,0)),0,1/VLOOKUP($R456,Capa!$A:$AJ,BL$5,0))))</f>
        <v/>
      </c>
      <c r="BM456" s="174" t="str">
        <f>IF(BM$6="","",IF(BM$3="Maior",iferror(VLOOKUP($R456,Capa!$A:$AJ,BM$5,0),0),IF(ISERROR(1/VLOOKUP($R456,Capa!$A:$AJ,BM$5,0)),0,1/VLOOKUP($R456,Capa!$A:$AJ,BM$5,0))))</f>
        <v/>
      </c>
      <c r="BN456" s="174" t="str">
        <f>IF(BN$6="","",IF(BN$3="Maior",iferror(VLOOKUP($R456,Capa!$A:$AJ,BN$5,0),0),IF(ISERROR(1/VLOOKUP($R456,Capa!$A:$AJ,BN$5,0)),0,1/VLOOKUP($R456,Capa!$A:$AJ,BN$5,0))))</f>
        <v/>
      </c>
      <c r="BO456" s="174" t="str">
        <f>IF(BO$6="","",IF(BO$3="Maior",iferror(VLOOKUP($R456,Capa!$A:$AJ,BO$5,0),0),IF(ISERROR(1/VLOOKUP($R456,Capa!$A:$AJ,BO$5,0)),0,1/VLOOKUP($R456,Capa!$A:$AJ,BO$5,0))))</f>
        <v/>
      </c>
      <c r="BP456" s="174" t="str">
        <f>IF(BP$6="","",IF(BP$3="Maior",iferror(VLOOKUP($R456,Capa!$A:$AJ,BP$5,0),0),IF(ISERROR(1/VLOOKUP($R456,Capa!$A:$AJ,BP$5,0)),0,1/VLOOKUP($R456,Capa!$A:$AJ,BP$5,0))))</f>
        <v/>
      </c>
      <c r="BQ456" s="174" t="str">
        <f>IF(BQ$6="","",IF(BQ$3="Maior",iferror(VLOOKUP($R456,Capa!$A:$AJ,BQ$5,0),0),IF(ISERROR(1/VLOOKUP($R456,Capa!$A:$AJ,BQ$5,0)),0,1/VLOOKUP($R456,Capa!$A:$AJ,BQ$5,0))))</f>
        <v/>
      </c>
      <c r="BR456" s="175"/>
      <c r="BS456" s="147"/>
    </row>
    <row r="457">
      <c r="H457" s="8">
        <v>451.0</v>
      </c>
      <c r="I457" s="165" t="str">
        <f t="shared" si="6"/>
        <v>BMEB3</v>
      </c>
      <c r="J457" s="166" t="str">
        <f>(VLOOKUP($I457,Capa!$A:$B,2,0))</f>
        <v>Banco Mercantil do Brasil SA</v>
      </c>
      <c r="K457" s="167" t="str">
        <f>VLOOKUP(left(I457,4),Setor!A:D,3,0)&amp;" | "&amp;VLOOKUP(left(I457,4),Setor!A:D,4,0)</f>
        <v>Financeiro | Intermediários Financeiros</v>
      </c>
      <c r="L457" s="168">
        <f>(VLOOKUP($I457,Capa!$A:$F,6,0))</f>
        <v>57.5</v>
      </c>
      <c r="M457" s="168">
        <f t="shared" si="7"/>
        <v>169413.8</v>
      </c>
      <c r="N457" s="11" t="str">
        <f>IFERROR(__xludf.DUMMYFUNCTION("(VLOOKUP($I457,Capa!$A:$H,7,0))"),"")</f>
        <v/>
      </c>
      <c r="O457" s="169">
        <f>(VLOOKUP($I457,Capa!$A:$H,8,0))</f>
        <v>0.2247071353</v>
      </c>
      <c r="P457" s="11" t="str">
        <f>IFERROR(__xludf.DUMMYFUNCTION("(VLOOKUP($I457,Capa!$A:$J,10,0))"),"")</f>
        <v/>
      </c>
      <c r="Q457" s="169">
        <f>(VLOOKUP($I457,Capa!$A:$K,11,0))</f>
        <v>0.9230769231</v>
      </c>
      <c r="R457" s="45" t="str">
        <f>'Dados StatusInvest'!A452</f>
        <v>PETZ3</v>
      </c>
      <c r="S457" s="170">
        <f t="shared" si="234"/>
        <v>806.0806</v>
      </c>
      <c r="T457" s="171">
        <f>VLOOKUP(R457,'Dados StatusInvest'!A:Z,26,0)</f>
        <v>23680881</v>
      </c>
      <c r="U457" s="172">
        <f t="shared" ref="U457:AS457" si="460">IF(AT457="","", RANK(AT457,AT$7:AT$626,0)+RANK(AT457,AT$7:AT$626,0)/10000)</f>
        <v>194.0194</v>
      </c>
      <c r="V457" s="172">
        <f t="shared" si="460"/>
        <v>612.0612</v>
      </c>
      <c r="W457" s="172" t="str">
        <f t="shared" si="460"/>
        <v/>
      </c>
      <c r="X457" s="172" t="str">
        <f t="shared" si="460"/>
        <v/>
      </c>
      <c r="Y457" s="172" t="str">
        <f t="shared" si="460"/>
        <v/>
      </c>
      <c r="Z457" s="172" t="str">
        <f t="shared" si="460"/>
        <v/>
      </c>
      <c r="AA457" s="172" t="str">
        <f t="shared" si="460"/>
        <v/>
      </c>
      <c r="AB457" s="172" t="str">
        <f t="shared" si="460"/>
        <v/>
      </c>
      <c r="AC457" s="172" t="str">
        <f t="shared" si="460"/>
        <v/>
      </c>
      <c r="AD457" s="172" t="str">
        <f t="shared" si="460"/>
        <v/>
      </c>
      <c r="AE457" s="172" t="str">
        <f t="shared" si="460"/>
        <v/>
      </c>
      <c r="AF457" s="172" t="str">
        <f t="shared" si="460"/>
        <v/>
      </c>
      <c r="AG457" s="172" t="str">
        <f t="shared" si="460"/>
        <v/>
      </c>
      <c r="AH457" s="172" t="str">
        <f t="shared" si="460"/>
        <v/>
      </c>
      <c r="AI457" s="172" t="str">
        <f t="shared" si="460"/>
        <v/>
      </c>
      <c r="AJ457" s="172" t="str">
        <f t="shared" si="460"/>
        <v/>
      </c>
      <c r="AK457" s="172" t="str">
        <f t="shared" si="460"/>
        <v/>
      </c>
      <c r="AL457" s="172" t="str">
        <f t="shared" si="460"/>
        <v/>
      </c>
      <c r="AM457" s="172" t="str">
        <f t="shared" si="460"/>
        <v/>
      </c>
      <c r="AN457" s="172" t="str">
        <f t="shared" si="460"/>
        <v/>
      </c>
      <c r="AO457" s="172" t="str">
        <f t="shared" si="460"/>
        <v/>
      </c>
      <c r="AP457" s="172" t="str">
        <f t="shared" si="460"/>
        <v/>
      </c>
      <c r="AQ457" s="172" t="str">
        <f t="shared" si="460"/>
        <v/>
      </c>
      <c r="AR457" s="172" t="str">
        <f t="shared" si="460"/>
        <v/>
      </c>
      <c r="AS457" s="172" t="str">
        <f t="shared" si="460"/>
        <v/>
      </c>
      <c r="AT457" s="173">
        <f>IF(AT$6="","",IF(AT$3="Maior",iferror(VLOOKUP($R457,Capa!$A:$AJ,AT$5,0),0),IF(ISERROR(1/VLOOKUP($R457,Capa!$A:$AJ,AT$5,0)),0,1/VLOOKUP($R457,Capa!$A:$AJ,AT$5,0))))</f>
        <v>-0.2538071066</v>
      </c>
      <c r="AU457" s="174">
        <f>IF(AU$6="","",IF(AU$3="Maior",iferror(VLOOKUP($R457,Capa!$A:$AJ,AU$5,0),0),IF(ISERROR(1/VLOOKUP($R457,Capa!$A:$AJ,AU$5,0)),0,1/VLOOKUP($R457,Capa!$A:$AJ,AU$5,0))))</f>
        <v>-31.16</v>
      </c>
      <c r="AV457" s="174" t="str">
        <f>IF(AV$6="","",IF(AV$3="Maior",iferror(VLOOKUP($R457,Capa!$A:$AJ,AV$5,0),0),IF(ISERROR(1/VLOOKUP($R457,Capa!$A:$AJ,AV$5,0)),0,1/VLOOKUP($R457,Capa!$A:$AJ,AV$5,0))))</f>
        <v/>
      </c>
      <c r="AW457" s="174" t="str">
        <f>IF(AW$6="","",IF(AW$3="Maior",iferror(VLOOKUP($R457,Capa!$A:$AJ,AW$5,0),0),IF(ISERROR(1/VLOOKUP($R457,Capa!$A:$AJ,AW$5,0)),0,1/VLOOKUP($R457,Capa!$A:$AJ,AW$5,0))))</f>
        <v/>
      </c>
      <c r="AX457" s="174" t="str">
        <f>IF(AX$6="","",IF(AX$3="Maior",iferror(VLOOKUP($R457,Capa!$A:$AJ,AX$5,0),0),IF(ISERROR(1/VLOOKUP($R457,Capa!$A:$AJ,AX$5,0)),0,1/VLOOKUP($R457,Capa!$A:$AJ,AX$5,0))))</f>
        <v/>
      </c>
      <c r="AY457" s="174" t="str">
        <f>IF(AY$6="","",IF(AY$3="Maior",iferror(VLOOKUP($R457,Capa!$A:$AJ,AY$5,0),0),IF(ISERROR(1/VLOOKUP($R457,Capa!$A:$AJ,AY$5,0)),0,1/VLOOKUP($R457,Capa!$A:$AJ,AY$5,0))))</f>
        <v/>
      </c>
      <c r="AZ457" s="174" t="str">
        <f>IF(AZ$6="","",IF(AZ$3="Maior",iferror(VLOOKUP($R457,Capa!$A:$AJ,AZ$5,0),0),IF(ISERROR(1/VLOOKUP($R457,Capa!$A:$AJ,AZ$5,0)),0,1/VLOOKUP($R457,Capa!$A:$AJ,AZ$5,0))))</f>
        <v/>
      </c>
      <c r="BA457" s="174" t="str">
        <f>IF(BA$6="","",IF(BA$3="Maior",iferror(VLOOKUP($R457,Capa!$A:$AJ,BA$5,0),0),IF(ISERROR(1/VLOOKUP($R457,Capa!$A:$AJ,BA$5,0)),0,1/VLOOKUP($R457,Capa!$A:$AJ,BA$5,0))))</f>
        <v/>
      </c>
      <c r="BB457" s="174" t="str">
        <f>IF(BB$6="","",IF(BB$3="Maior",iferror(VLOOKUP($R457,Capa!$A:$AJ,BB$5,0),0),IF(ISERROR(1/VLOOKUP($R457,Capa!$A:$AJ,BB$5,0)),0,1/VLOOKUP($R457,Capa!$A:$AJ,BB$5,0))))</f>
        <v/>
      </c>
      <c r="BC457" s="174" t="str">
        <f>IF(BC$6="","",IF(BC$3="Maior",iferror(VLOOKUP($R457,Capa!$A:$AJ,BC$5,0),0),IF(ISERROR(1/VLOOKUP($R457,Capa!$A:$AJ,BC$5,0)),0,1/VLOOKUP($R457,Capa!$A:$AJ,BC$5,0))))</f>
        <v/>
      </c>
      <c r="BD457" s="174" t="str">
        <f>IF(BD$6="","",IF(BD$3="Maior",iferror(VLOOKUP($R457,Capa!$A:$AJ,BD$5,0),0),IF(ISERROR(1/VLOOKUP($R457,Capa!$A:$AJ,BD$5,0)),0,1/VLOOKUP($R457,Capa!$A:$AJ,BD$5,0))))</f>
        <v/>
      </c>
      <c r="BE457" s="174" t="str">
        <f>IF(BE$6="","",IF(BE$3="Maior",iferror(VLOOKUP($R457,Capa!$A:$AJ,BE$5,0),0),IF(ISERROR(1/VLOOKUP($R457,Capa!$A:$AJ,BE$5,0)),0,1/VLOOKUP($R457,Capa!$A:$AJ,BE$5,0))))</f>
        <v/>
      </c>
      <c r="BF457" s="174" t="str">
        <f>IF(BF$6="","",IF(BF$3="Maior",iferror(VLOOKUP($R457,Capa!$A:$AJ,BF$5,0),0),IF(ISERROR(1/VLOOKUP($R457,Capa!$A:$AJ,BF$5,0)),0,1/VLOOKUP($R457,Capa!$A:$AJ,BF$5,0))))</f>
        <v/>
      </c>
      <c r="BG457" s="174" t="str">
        <f>IF(BG$6="","",IF(BG$3="Maior",iferror(VLOOKUP($R457,Capa!$A:$AJ,BG$5,0),0),IF(ISERROR(1/VLOOKUP($R457,Capa!$A:$AJ,BG$5,0)),0,1/VLOOKUP($R457,Capa!$A:$AJ,BG$5,0))))</f>
        <v/>
      </c>
      <c r="BH457" s="174" t="str">
        <f>IF(BH$6="","",IF(BH$3="Maior",iferror(VLOOKUP($R457,Capa!$A:$AJ,BH$5,0),0),IF(ISERROR(1/VLOOKUP($R457,Capa!$A:$AJ,BH$5,0)),0,1/VLOOKUP($R457,Capa!$A:$AJ,BH$5,0))))</f>
        <v/>
      </c>
      <c r="BI457" s="174" t="str">
        <f>IF(BI$6="","",IF(BI$3="Maior",iferror(VLOOKUP($R457,Capa!$A:$AJ,BI$5,0),0),IF(ISERROR(1/VLOOKUP($R457,Capa!$A:$AJ,BI$5,0)),0,1/VLOOKUP($R457,Capa!$A:$AJ,BI$5,0))))</f>
        <v/>
      </c>
      <c r="BJ457" s="174" t="str">
        <f>IF(BJ$6="","",IF(BJ$3="Maior",iferror(VLOOKUP($R457,Capa!$A:$AJ,BJ$5,0),0),IF(ISERROR(1/VLOOKUP($R457,Capa!$A:$AJ,BJ$5,0)),0,1/VLOOKUP($R457,Capa!$A:$AJ,BJ$5,0))))</f>
        <v/>
      </c>
      <c r="BK457" s="174" t="str">
        <f>IF(BK$6="","",IF(BK$3="Maior",iferror(VLOOKUP($R457,Capa!$A:$AJ,BK$5,0),0),IF(ISERROR(1/VLOOKUP($R457,Capa!$A:$AJ,BK$5,0)),0,1/VLOOKUP($R457,Capa!$A:$AJ,BK$5,0))))</f>
        <v/>
      </c>
      <c r="BL457" s="174" t="str">
        <f>IF(BL$6="","",IF(BL$3="Maior",iferror(VLOOKUP($R457,Capa!$A:$AJ,BL$5,0),0),IF(ISERROR(1/VLOOKUP($R457,Capa!$A:$AJ,BL$5,0)),0,1/VLOOKUP($R457,Capa!$A:$AJ,BL$5,0))))</f>
        <v/>
      </c>
      <c r="BM457" s="174" t="str">
        <f>IF(BM$6="","",IF(BM$3="Maior",iferror(VLOOKUP($R457,Capa!$A:$AJ,BM$5,0),0),IF(ISERROR(1/VLOOKUP($R457,Capa!$A:$AJ,BM$5,0)),0,1/VLOOKUP($R457,Capa!$A:$AJ,BM$5,0))))</f>
        <v/>
      </c>
      <c r="BN457" s="174" t="str">
        <f>IF(BN$6="","",IF(BN$3="Maior",iferror(VLOOKUP($R457,Capa!$A:$AJ,BN$5,0),0),IF(ISERROR(1/VLOOKUP($R457,Capa!$A:$AJ,BN$5,0)),0,1/VLOOKUP($R457,Capa!$A:$AJ,BN$5,0))))</f>
        <v/>
      </c>
      <c r="BO457" s="174" t="str">
        <f>IF(BO$6="","",IF(BO$3="Maior",iferror(VLOOKUP($R457,Capa!$A:$AJ,BO$5,0),0),IF(ISERROR(1/VLOOKUP($R457,Capa!$A:$AJ,BO$5,0)),0,1/VLOOKUP($R457,Capa!$A:$AJ,BO$5,0))))</f>
        <v/>
      </c>
      <c r="BP457" s="174" t="str">
        <f>IF(BP$6="","",IF(BP$3="Maior",iferror(VLOOKUP($R457,Capa!$A:$AJ,BP$5,0),0),IF(ISERROR(1/VLOOKUP($R457,Capa!$A:$AJ,BP$5,0)),0,1/VLOOKUP($R457,Capa!$A:$AJ,BP$5,0))))</f>
        <v/>
      </c>
      <c r="BQ457" s="174" t="str">
        <f>IF(BQ$6="","",IF(BQ$3="Maior",iferror(VLOOKUP($R457,Capa!$A:$AJ,BQ$5,0),0),IF(ISERROR(1/VLOOKUP($R457,Capa!$A:$AJ,BQ$5,0)),0,1/VLOOKUP($R457,Capa!$A:$AJ,BQ$5,0))))</f>
        <v/>
      </c>
      <c r="BR457" s="175"/>
      <c r="BS457" s="147"/>
    </row>
    <row r="458">
      <c r="H458" s="8">
        <v>452.0</v>
      </c>
      <c r="I458" s="165" t="str">
        <f t="shared" si="6"/>
        <v>ENJU3</v>
      </c>
      <c r="J458" s="166" t="str">
        <f>(VLOOKUP($I458,Capa!$A:$B,2,0))</f>
        <v>Enjoei SA</v>
      </c>
      <c r="K458" s="167" t="str">
        <f>VLOOKUP(left(I458,4),Setor!A:D,3,0)&amp;" | "&amp;VLOOKUP(left(I458,4),Setor!A:D,4,0)</f>
        <v>Tecnologia da Informação | Programas e Serviços</v>
      </c>
      <c r="L458" s="168">
        <f>(VLOOKUP($I458,Capa!$A:$F,6,0))</f>
        <v>1.07</v>
      </c>
      <c r="M458" s="168">
        <f t="shared" si="7"/>
        <v>443470.3</v>
      </c>
      <c r="N458" s="11" t="str">
        <f>IFERROR(__xludf.DUMMYFUNCTION("(VLOOKUP($I458,Capa!$A:$H,7,0))"),"")</f>
        <v/>
      </c>
      <c r="O458" s="169">
        <f>(VLOOKUP($I458,Capa!$A:$H,8,0))</f>
        <v>0.03883495146</v>
      </c>
      <c r="P458" s="11" t="str">
        <f>IFERROR(__xludf.DUMMYFUNCTION("(VLOOKUP($I458,Capa!$A:$J,10,0))"),"")</f>
        <v/>
      </c>
      <c r="Q458" s="169">
        <f>(VLOOKUP($I458,Capa!$A:$K,11,0))</f>
        <v>-0.1705426357</v>
      </c>
      <c r="R458" s="45" t="str">
        <f>'Dados StatusInvest'!A453</f>
        <v>PFRM3</v>
      </c>
      <c r="S458" s="170">
        <f t="shared" si="234"/>
        <v>443.0443</v>
      </c>
      <c r="T458" s="171">
        <f>VLOOKUP(R458,'Dados StatusInvest'!A:Z,26,0)</f>
        <v>2113426</v>
      </c>
      <c r="U458" s="172">
        <f t="shared" ref="U458:AS458" si="461">IF(AT458="","", RANK(AT458,AT$7:AT$626,0)+RANK(AT458,AT$7:AT$626,0)/10000)</f>
        <v>423.0423</v>
      </c>
      <c r="V458" s="172">
        <f t="shared" si="461"/>
        <v>20.002</v>
      </c>
      <c r="W458" s="172" t="str">
        <f t="shared" si="461"/>
        <v/>
      </c>
      <c r="X458" s="172" t="str">
        <f t="shared" si="461"/>
        <v/>
      </c>
      <c r="Y458" s="172" t="str">
        <f t="shared" si="461"/>
        <v/>
      </c>
      <c r="Z458" s="172" t="str">
        <f t="shared" si="461"/>
        <v/>
      </c>
      <c r="AA458" s="172" t="str">
        <f t="shared" si="461"/>
        <v/>
      </c>
      <c r="AB458" s="172" t="str">
        <f t="shared" si="461"/>
        <v/>
      </c>
      <c r="AC458" s="172" t="str">
        <f t="shared" si="461"/>
        <v/>
      </c>
      <c r="AD458" s="172" t="str">
        <f t="shared" si="461"/>
        <v/>
      </c>
      <c r="AE458" s="172" t="str">
        <f t="shared" si="461"/>
        <v/>
      </c>
      <c r="AF458" s="172" t="str">
        <f t="shared" si="461"/>
        <v/>
      </c>
      <c r="AG458" s="172" t="str">
        <f t="shared" si="461"/>
        <v/>
      </c>
      <c r="AH458" s="172" t="str">
        <f t="shared" si="461"/>
        <v/>
      </c>
      <c r="AI458" s="172" t="str">
        <f t="shared" si="461"/>
        <v/>
      </c>
      <c r="AJ458" s="172" t="str">
        <f t="shared" si="461"/>
        <v/>
      </c>
      <c r="AK458" s="172" t="str">
        <f t="shared" si="461"/>
        <v/>
      </c>
      <c r="AL458" s="172" t="str">
        <f t="shared" si="461"/>
        <v/>
      </c>
      <c r="AM458" s="172" t="str">
        <f t="shared" si="461"/>
        <v/>
      </c>
      <c r="AN458" s="172" t="str">
        <f t="shared" si="461"/>
        <v/>
      </c>
      <c r="AO458" s="172" t="str">
        <f t="shared" si="461"/>
        <v/>
      </c>
      <c r="AP458" s="172" t="str">
        <f t="shared" si="461"/>
        <v/>
      </c>
      <c r="AQ458" s="172" t="str">
        <f t="shared" si="461"/>
        <v/>
      </c>
      <c r="AR458" s="172" t="str">
        <f t="shared" si="461"/>
        <v/>
      </c>
      <c r="AS458" s="172" t="str">
        <f t="shared" si="461"/>
        <v/>
      </c>
      <c r="AT458" s="173">
        <f>IF(AT$6="","",IF(AT$3="Maior",iferror(VLOOKUP($R458,Capa!$A:$AJ,AT$5,0),0),IF(ISERROR(1/VLOOKUP($R458,Capa!$A:$AJ,AT$5,0)),0,1/VLOOKUP($R458,Capa!$A:$AJ,AT$5,0))))</f>
        <v>-1.536016949</v>
      </c>
      <c r="AU458" s="174">
        <f>IF(AU$6="","",IF(AU$3="Maior",iferror(VLOOKUP($R458,Capa!$A:$AJ,AU$5,0),0),IF(ISERROR(1/VLOOKUP($R458,Capa!$A:$AJ,AU$5,0)),0,1/VLOOKUP($R458,Capa!$A:$AJ,AU$5,0))))</f>
        <v>57.39</v>
      </c>
      <c r="AV458" s="174" t="str">
        <f>IF(AV$6="","",IF(AV$3="Maior",iferror(VLOOKUP($R458,Capa!$A:$AJ,AV$5,0),0),IF(ISERROR(1/VLOOKUP($R458,Capa!$A:$AJ,AV$5,0)),0,1/VLOOKUP($R458,Capa!$A:$AJ,AV$5,0))))</f>
        <v/>
      </c>
      <c r="AW458" s="174" t="str">
        <f>IF(AW$6="","",IF(AW$3="Maior",iferror(VLOOKUP($R458,Capa!$A:$AJ,AW$5,0),0),IF(ISERROR(1/VLOOKUP($R458,Capa!$A:$AJ,AW$5,0)),0,1/VLOOKUP($R458,Capa!$A:$AJ,AW$5,0))))</f>
        <v/>
      </c>
      <c r="AX458" s="174" t="str">
        <f>IF(AX$6="","",IF(AX$3="Maior",iferror(VLOOKUP($R458,Capa!$A:$AJ,AX$5,0),0),IF(ISERROR(1/VLOOKUP($R458,Capa!$A:$AJ,AX$5,0)),0,1/VLOOKUP($R458,Capa!$A:$AJ,AX$5,0))))</f>
        <v/>
      </c>
      <c r="AY458" s="174" t="str">
        <f>IF(AY$6="","",IF(AY$3="Maior",iferror(VLOOKUP($R458,Capa!$A:$AJ,AY$5,0),0),IF(ISERROR(1/VLOOKUP($R458,Capa!$A:$AJ,AY$5,0)),0,1/VLOOKUP($R458,Capa!$A:$AJ,AY$5,0))))</f>
        <v/>
      </c>
      <c r="AZ458" s="174" t="str">
        <f>IF(AZ$6="","",IF(AZ$3="Maior",iferror(VLOOKUP($R458,Capa!$A:$AJ,AZ$5,0),0),IF(ISERROR(1/VLOOKUP($R458,Capa!$A:$AJ,AZ$5,0)),0,1/VLOOKUP($R458,Capa!$A:$AJ,AZ$5,0))))</f>
        <v/>
      </c>
      <c r="BA458" s="174" t="str">
        <f>IF(BA$6="","",IF(BA$3="Maior",iferror(VLOOKUP($R458,Capa!$A:$AJ,BA$5,0),0),IF(ISERROR(1/VLOOKUP($R458,Capa!$A:$AJ,BA$5,0)),0,1/VLOOKUP($R458,Capa!$A:$AJ,BA$5,0))))</f>
        <v/>
      </c>
      <c r="BB458" s="174" t="str">
        <f>IF(BB$6="","",IF(BB$3="Maior",iferror(VLOOKUP($R458,Capa!$A:$AJ,BB$5,0),0),IF(ISERROR(1/VLOOKUP($R458,Capa!$A:$AJ,BB$5,0)),0,1/VLOOKUP($R458,Capa!$A:$AJ,BB$5,0))))</f>
        <v/>
      </c>
      <c r="BC458" s="174" t="str">
        <f>IF(BC$6="","",IF(BC$3="Maior",iferror(VLOOKUP($R458,Capa!$A:$AJ,BC$5,0),0),IF(ISERROR(1/VLOOKUP($R458,Capa!$A:$AJ,BC$5,0)),0,1/VLOOKUP($R458,Capa!$A:$AJ,BC$5,0))))</f>
        <v/>
      </c>
      <c r="BD458" s="174" t="str">
        <f>IF(BD$6="","",IF(BD$3="Maior",iferror(VLOOKUP($R458,Capa!$A:$AJ,BD$5,0),0),IF(ISERROR(1/VLOOKUP($R458,Capa!$A:$AJ,BD$5,0)),0,1/VLOOKUP($R458,Capa!$A:$AJ,BD$5,0))))</f>
        <v/>
      </c>
      <c r="BE458" s="174" t="str">
        <f>IF(BE$6="","",IF(BE$3="Maior",iferror(VLOOKUP($R458,Capa!$A:$AJ,BE$5,0),0),IF(ISERROR(1/VLOOKUP($R458,Capa!$A:$AJ,BE$5,0)),0,1/VLOOKUP($R458,Capa!$A:$AJ,BE$5,0))))</f>
        <v/>
      </c>
      <c r="BF458" s="174" t="str">
        <f>IF(BF$6="","",IF(BF$3="Maior",iferror(VLOOKUP($R458,Capa!$A:$AJ,BF$5,0),0),IF(ISERROR(1/VLOOKUP($R458,Capa!$A:$AJ,BF$5,0)),0,1/VLOOKUP($R458,Capa!$A:$AJ,BF$5,0))))</f>
        <v/>
      </c>
      <c r="BG458" s="174" t="str">
        <f>IF(BG$6="","",IF(BG$3="Maior",iferror(VLOOKUP($R458,Capa!$A:$AJ,BG$5,0),0),IF(ISERROR(1/VLOOKUP($R458,Capa!$A:$AJ,BG$5,0)),0,1/VLOOKUP($R458,Capa!$A:$AJ,BG$5,0))))</f>
        <v/>
      </c>
      <c r="BH458" s="174" t="str">
        <f>IF(BH$6="","",IF(BH$3="Maior",iferror(VLOOKUP($R458,Capa!$A:$AJ,BH$5,0),0),IF(ISERROR(1/VLOOKUP($R458,Capa!$A:$AJ,BH$5,0)),0,1/VLOOKUP($R458,Capa!$A:$AJ,BH$5,0))))</f>
        <v/>
      </c>
      <c r="BI458" s="174" t="str">
        <f>IF(BI$6="","",IF(BI$3="Maior",iferror(VLOOKUP($R458,Capa!$A:$AJ,BI$5,0),0),IF(ISERROR(1/VLOOKUP($R458,Capa!$A:$AJ,BI$5,0)),0,1/VLOOKUP($R458,Capa!$A:$AJ,BI$5,0))))</f>
        <v/>
      </c>
      <c r="BJ458" s="174" t="str">
        <f>IF(BJ$6="","",IF(BJ$3="Maior",iferror(VLOOKUP($R458,Capa!$A:$AJ,BJ$5,0),0),IF(ISERROR(1/VLOOKUP($R458,Capa!$A:$AJ,BJ$5,0)),0,1/VLOOKUP($R458,Capa!$A:$AJ,BJ$5,0))))</f>
        <v/>
      </c>
      <c r="BK458" s="174" t="str">
        <f>IF(BK$6="","",IF(BK$3="Maior",iferror(VLOOKUP($R458,Capa!$A:$AJ,BK$5,0),0),IF(ISERROR(1/VLOOKUP($R458,Capa!$A:$AJ,BK$5,0)),0,1/VLOOKUP($R458,Capa!$A:$AJ,BK$5,0))))</f>
        <v/>
      </c>
      <c r="BL458" s="174" t="str">
        <f>IF(BL$6="","",IF(BL$3="Maior",iferror(VLOOKUP($R458,Capa!$A:$AJ,BL$5,0),0),IF(ISERROR(1/VLOOKUP($R458,Capa!$A:$AJ,BL$5,0)),0,1/VLOOKUP($R458,Capa!$A:$AJ,BL$5,0))))</f>
        <v/>
      </c>
      <c r="BM458" s="174" t="str">
        <f>IF(BM$6="","",IF(BM$3="Maior",iferror(VLOOKUP($R458,Capa!$A:$AJ,BM$5,0),0),IF(ISERROR(1/VLOOKUP($R458,Capa!$A:$AJ,BM$5,0)),0,1/VLOOKUP($R458,Capa!$A:$AJ,BM$5,0))))</f>
        <v/>
      </c>
      <c r="BN458" s="174" t="str">
        <f>IF(BN$6="","",IF(BN$3="Maior",iferror(VLOOKUP($R458,Capa!$A:$AJ,BN$5,0),0),IF(ISERROR(1/VLOOKUP($R458,Capa!$A:$AJ,BN$5,0)),0,1/VLOOKUP($R458,Capa!$A:$AJ,BN$5,0))))</f>
        <v/>
      </c>
      <c r="BO458" s="174" t="str">
        <f>IF(BO$6="","",IF(BO$3="Maior",iferror(VLOOKUP($R458,Capa!$A:$AJ,BO$5,0),0),IF(ISERROR(1/VLOOKUP($R458,Capa!$A:$AJ,BO$5,0)),0,1/VLOOKUP($R458,Capa!$A:$AJ,BO$5,0))))</f>
        <v/>
      </c>
      <c r="BP458" s="174" t="str">
        <f>IF(BP$6="","",IF(BP$3="Maior",iferror(VLOOKUP($R458,Capa!$A:$AJ,BP$5,0),0),IF(ISERROR(1/VLOOKUP($R458,Capa!$A:$AJ,BP$5,0)),0,1/VLOOKUP($R458,Capa!$A:$AJ,BP$5,0))))</f>
        <v/>
      </c>
      <c r="BQ458" s="174" t="str">
        <f>IF(BQ$6="","",IF(BQ$3="Maior",iferror(VLOOKUP($R458,Capa!$A:$AJ,BQ$5,0),0),IF(ISERROR(1/VLOOKUP($R458,Capa!$A:$AJ,BQ$5,0)),0,1/VLOOKUP($R458,Capa!$A:$AJ,BQ$5,0))))</f>
        <v/>
      </c>
      <c r="BR458" s="175"/>
      <c r="BS458" s="147"/>
    </row>
    <row r="459">
      <c r="H459" s="8">
        <v>453.0</v>
      </c>
      <c r="I459" s="165" t="str">
        <f t="shared" si="6"/>
        <v>IGBR3</v>
      </c>
      <c r="J459" s="166" t="str">
        <f>(VLOOKUP($I459,Capa!$A:$B,2,0))</f>
        <v/>
      </c>
      <c r="K459" s="167" t="str">
        <f>VLOOKUP(left(I459,4),Setor!A:D,3,0)&amp;" | "&amp;VLOOKUP(left(I459,4),Setor!A:D,4,0)</f>
        <v>Financeiro | Exploração de Imóveis</v>
      </c>
      <c r="L459" s="168" t="str">
        <f>(VLOOKUP($I459,Capa!$A:$F,6,0))</f>
        <v/>
      </c>
      <c r="M459" s="168">
        <f t="shared" si="7"/>
        <v>0</v>
      </c>
      <c r="N459" s="11" t="str">
        <f>(VLOOKUP($I459,Capa!$A:$H,7,0))</f>
        <v/>
      </c>
      <c r="O459" s="169" t="str">
        <f>(VLOOKUP($I459,Capa!$A:$H,8,0))</f>
        <v/>
      </c>
      <c r="P459" s="11" t="str">
        <f>(VLOOKUP($I459,Capa!$A:$J,10,0))</f>
        <v/>
      </c>
      <c r="Q459" s="169" t="str">
        <f>(VLOOKUP($I459,Capa!$A:$K,11,0))</f>
        <v/>
      </c>
      <c r="R459" s="45" t="str">
        <f>'Dados StatusInvest'!A454</f>
        <v>PGMN3</v>
      </c>
      <c r="S459" s="170">
        <f t="shared" si="234"/>
        <v>584.0584</v>
      </c>
      <c r="T459" s="171">
        <f>VLOOKUP(R459,'Dados StatusInvest'!A:Z,26,0)</f>
        <v>38878065</v>
      </c>
      <c r="U459" s="172">
        <f t="shared" ref="U459:AS459" si="462">IF(AT459="","", RANK(AT459,AT$7:AT$626,0)+RANK(AT459,AT$7:AT$626,0)/10000)</f>
        <v>317.0317</v>
      </c>
      <c r="V459" s="172">
        <f t="shared" si="462"/>
        <v>267.0267</v>
      </c>
      <c r="W459" s="172" t="str">
        <f t="shared" si="462"/>
        <v/>
      </c>
      <c r="X459" s="172" t="str">
        <f t="shared" si="462"/>
        <v/>
      </c>
      <c r="Y459" s="172" t="str">
        <f t="shared" si="462"/>
        <v/>
      </c>
      <c r="Z459" s="172" t="str">
        <f t="shared" si="462"/>
        <v/>
      </c>
      <c r="AA459" s="172" t="str">
        <f t="shared" si="462"/>
        <v/>
      </c>
      <c r="AB459" s="172" t="str">
        <f t="shared" si="462"/>
        <v/>
      </c>
      <c r="AC459" s="172" t="str">
        <f t="shared" si="462"/>
        <v/>
      </c>
      <c r="AD459" s="172" t="str">
        <f t="shared" si="462"/>
        <v/>
      </c>
      <c r="AE459" s="172" t="str">
        <f t="shared" si="462"/>
        <v/>
      </c>
      <c r="AF459" s="172" t="str">
        <f t="shared" si="462"/>
        <v/>
      </c>
      <c r="AG459" s="172" t="str">
        <f t="shared" si="462"/>
        <v/>
      </c>
      <c r="AH459" s="172" t="str">
        <f t="shared" si="462"/>
        <v/>
      </c>
      <c r="AI459" s="172" t="str">
        <f t="shared" si="462"/>
        <v/>
      </c>
      <c r="AJ459" s="172" t="str">
        <f t="shared" si="462"/>
        <v/>
      </c>
      <c r="AK459" s="172" t="str">
        <f t="shared" si="462"/>
        <v/>
      </c>
      <c r="AL459" s="172" t="str">
        <f t="shared" si="462"/>
        <v/>
      </c>
      <c r="AM459" s="172" t="str">
        <f t="shared" si="462"/>
        <v/>
      </c>
      <c r="AN459" s="172" t="str">
        <f t="shared" si="462"/>
        <v/>
      </c>
      <c r="AO459" s="172" t="str">
        <f t="shared" si="462"/>
        <v/>
      </c>
      <c r="AP459" s="172" t="str">
        <f t="shared" si="462"/>
        <v/>
      </c>
      <c r="AQ459" s="172" t="str">
        <f t="shared" si="462"/>
        <v/>
      </c>
      <c r="AR459" s="172" t="str">
        <f t="shared" si="462"/>
        <v/>
      </c>
      <c r="AS459" s="172" t="str">
        <f t="shared" si="462"/>
        <v/>
      </c>
      <c r="AT459" s="173">
        <f>IF(AT$6="","",IF(AT$3="Maior",iferror(VLOOKUP($R459,Capa!$A:$AJ,AT$5,0),0),IF(ISERROR(1/VLOOKUP($R459,Capa!$A:$AJ,AT$5,0)),0,1/VLOOKUP($R459,Capa!$A:$AJ,AT$5,0))))</f>
        <v>-0.7774089171</v>
      </c>
      <c r="AU459" s="174">
        <f>IF(AU$6="","",IF(AU$3="Maior",iferror(VLOOKUP($R459,Capa!$A:$AJ,AU$5,0),0),IF(ISERROR(1/VLOOKUP($R459,Capa!$A:$AJ,AU$5,0)),0,1/VLOOKUP($R459,Capa!$A:$AJ,AU$5,0))))</f>
        <v>0</v>
      </c>
      <c r="AV459" s="174" t="str">
        <f>IF(AV$6="","",IF(AV$3="Maior",iferror(VLOOKUP($R459,Capa!$A:$AJ,AV$5,0),0),IF(ISERROR(1/VLOOKUP($R459,Capa!$A:$AJ,AV$5,0)),0,1/VLOOKUP($R459,Capa!$A:$AJ,AV$5,0))))</f>
        <v/>
      </c>
      <c r="AW459" s="174" t="str">
        <f>IF(AW$6="","",IF(AW$3="Maior",iferror(VLOOKUP($R459,Capa!$A:$AJ,AW$5,0),0),IF(ISERROR(1/VLOOKUP($R459,Capa!$A:$AJ,AW$5,0)),0,1/VLOOKUP($R459,Capa!$A:$AJ,AW$5,0))))</f>
        <v/>
      </c>
      <c r="AX459" s="174" t="str">
        <f>IF(AX$6="","",IF(AX$3="Maior",iferror(VLOOKUP($R459,Capa!$A:$AJ,AX$5,0),0),IF(ISERROR(1/VLOOKUP($R459,Capa!$A:$AJ,AX$5,0)),0,1/VLOOKUP($R459,Capa!$A:$AJ,AX$5,0))))</f>
        <v/>
      </c>
      <c r="AY459" s="174" t="str">
        <f>IF(AY$6="","",IF(AY$3="Maior",iferror(VLOOKUP($R459,Capa!$A:$AJ,AY$5,0),0),IF(ISERROR(1/VLOOKUP($R459,Capa!$A:$AJ,AY$5,0)),0,1/VLOOKUP($R459,Capa!$A:$AJ,AY$5,0))))</f>
        <v/>
      </c>
      <c r="AZ459" s="174" t="str">
        <f>IF(AZ$6="","",IF(AZ$3="Maior",iferror(VLOOKUP($R459,Capa!$A:$AJ,AZ$5,0),0),IF(ISERROR(1/VLOOKUP($R459,Capa!$A:$AJ,AZ$5,0)),0,1/VLOOKUP($R459,Capa!$A:$AJ,AZ$5,0))))</f>
        <v/>
      </c>
      <c r="BA459" s="174" t="str">
        <f>IF(BA$6="","",IF(BA$3="Maior",iferror(VLOOKUP($R459,Capa!$A:$AJ,BA$5,0),0),IF(ISERROR(1/VLOOKUP($R459,Capa!$A:$AJ,BA$5,0)),0,1/VLOOKUP($R459,Capa!$A:$AJ,BA$5,0))))</f>
        <v/>
      </c>
      <c r="BB459" s="174" t="str">
        <f>IF(BB$6="","",IF(BB$3="Maior",iferror(VLOOKUP($R459,Capa!$A:$AJ,BB$5,0),0),IF(ISERROR(1/VLOOKUP($R459,Capa!$A:$AJ,BB$5,0)),0,1/VLOOKUP($R459,Capa!$A:$AJ,BB$5,0))))</f>
        <v/>
      </c>
      <c r="BC459" s="174" t="str">
        <f>IF(BC$6="","",IF(BC$3="Maior",iferror(VLOOKUP($R459,Capa!$A:$AJ,BC$5,0),0),IF(ISERROR(1/VLOOKUP($R459,Capa!$A:$AJ,BC$5,0)),0,1/VLOOKUP($R459,Capa!$A:$AJ,BC$5,0))))</f>
        <v/>
      </c>
      <c r="BD459" s="174" t="str">
        <f>IF(BD$6="","",IF(BD$3="Maior",iferror(VLOOKUP($R459,Capa!$A:$AJ,BD$5,0),0),IF(ISERROR(1/VLOOKUP($R459,Capa!$A:$AJ,BD$5,0)),0,1/VLOOKUP($R459,Capa!$A:$AJ,BD$5,0))))</f>
        <v/>
      </c>
      <c r="BE459" s="174" t="str">
        <f>IF(BE$6="","",IF(BE$3="Maior",iferror(VLOOKUP($R459,Capa!$A:$AJ,BE$5,0),0),IF(ISERROR(1/VLOOKUP($R459,Capa!$A:$AJ,BE$5,0)),0,1/VLOOKUP($R459,Capa!$A:$AJ,BE$5,0))))</f>
        <v/>
      </c>
      <c r="BF459" s="174" t="str">
        <f>IF(BF$6="","",IF(BF$3="Maior",iferror(VLOOKUP($R459,Capa!$A:$AJ,BF$5,0),0),IF(ISERROR(1/VLOOKUP($R459,Capa!$A:$AJ,BF$5,0)),0,1/VLOOKUP($R459,Capa!$A:$AJ,BF$5,0))))</f>
        <v/>
      </c>
      <c r="BG459" s="174" t="str">
        <f>IF(BG$6="","",IF(BG$3="Maior",iferror(VLOOKUP($R459,Capa!$A:$AJ,BG$5,0),0),IF(ISERROR(1/VLOOKUP($R459,Capa!$A:$AJ,BG$5,0)),0,1/VLOOKUP($R459,Capa!$A:$AJ,BG$5,0))))</f>
        <v/>
      </c>
      <c r="BH459" s="174" t="str">
        <f>IF(BH$6="","",IF(BH$3="Maior",iferror(VLOOKUP($R459,Capa!$A:$AJ,BH$5,0),0),IF(ISERROR(1/VLOOKUP($R459,Capa!$A:$AJ,BH$5,0)),0,1/VLOOKUP($R459,Capa!$A:$AJ,BH$5,0))))</f>
        <v/>
      </c>
      <c r="BI459" s="174" t="str">
        <f>IF(BI$6="","",IF(BI$3="Maior",iferror(VLOOKUP($R459,Capa!$A:$AJ,BI$5,0),0),IF(ISERROR(1/VLOOKUP($R459,Capa!$A:$AJ,BI$5,0)),0,1/VLOOKUP($R459,Capa!$A:$AJ,BI$5,0))))</f>
        <v/>
      </c>
      <c r="BJ459" s="174" t="str">
        <f>IF(BJ$6="","",IF(BJ$3="Maior",iferror(VLOOKUP($R459,Capa!$A:$AJ,BJ$5,0),0),IF(ISERROR(1/VLOOKUP($R459,Capa!$A:$AJ,BJ$5,0)),0,1/VLOOKUP($R459,Capa!$A:$AJ,BJ$5,0))))</f>
        <v/>
      </c>
      <c r="BK459" s="174" t="str">
        <f>IF(BK$6="","",IF(BK$3="Maior",iferror(VLOOKUP($R459,Capa!$A:$AJ,BK$5,0),0),IF(ISERROR(1/VLOOKUP($R459,Capa!$A:$AJ,BK$5,0)),0,1/VLOOKUP($R459,Capa!$A:$AJ,BK$5,0))))</f>
        <v/>
      </c>
      <c r="BL459" s="174" t="str">
        <f>IF(BL$6="","",IF(BL$3="Maior",iferror(VLOOKUP($R459,Capa!$A:$AJ,BL$5,0),0),IF(ISERROR(1/VLOOKUP($R459,Capa!$A:$AJ,BL$5,0)),0,1/VLOOKUP($R459,Capa!$A:$AJ,BL$5,0))))</f>
        <v/>
      </c>
      <c r="BM459" s="174" t="str">
        <f>IF(BM$6="","",IF(BM$3="Maior",iferror(VLOOKUP($R459,Capa!$A:$AJ,BM$5,0),0),IF(ISERROR(1/VLOOKUP($R459,Capa!$A:$AJ,BM$5,0)),0,1/VLOOKUP($R459,Capa!$A:$AJ,BM$5,0))))</f>
        <v/>
      </c>
      <c r="BN459" s="174" t="str">
        <f>IF(BN$6="","",IF(BN$3="Maior",iferror(VLOOKUP($R459,Capa!$A:$AJ,BN$5,0),0),IF(ISERROR(1/VLOOKUP($R459,Capa!$A:$AJ,BN$5,0)),0,1/VLOOKUP($R459,Capa!$A:$AJ,BN$5,0))))</f>
        <v/>
      </c>
      <c r="BO459" s="174" t="str">
        <f>IF(BO$6="","",IF(BO$3="Maior",iferror(VLOOKUP($R459,Capa!$A:$AJ,BO$5,0),0),IF(ISERROR(1/VLOOKUP($R459,Capa!$A:$AJ,BO$5,0)),0,1/VLOOKUP($R459,Capa!$A:$AJ,BO$5,0))))</f>
        <v/>
      </c>
      <c r="BP459" s="174" t="str">
        <f>IF(BP$6="","",IF(BP$3="Maior",iferror(VLOOKUP($R459,Capa!$A:$AJ,BP$5,0),0),IF(ISERROR(1/VLOOKUP($R459,Capa!$A:$AJ,BP$5,0)),0,1/VLOOKUP($R459,Capa!$A:$AJ,BP$5,0))))</f>
        <v/>
      </c>
      <c r="BQ459" s="174" t="str">
        <f>IF(BQ$6="","",IF(BQ$3="Maior",iferror(VLOOKUP($R459,Capa!$A:$AJ,BQ$5,0),0),IF(ISERROR(1/VLOOKUP($R459,Capa!$A:$AJ,BQ$5,0)),0,1/VLOOKUP($R459,Capa!$A:$AJ,BQ$5,0))))</f>
        <v/>
      </c>
      <c r="BR459" s="175"/>
      <c r="BS459" s="147"/>
    </row>
    <row r="460">
      <c r="H460" s="8">
        <v>454.0</v>
      </c>
      <c r="I460" s="165" t="str">
        <f t="shared" si="6"/>
        <v>IGBR3</v>
      </c>
      <c r="J460" s="166" t="str">
        <f>(VLOOKUP($I460,Capa!$A:$B,2,0))</f>
        <v/>
      </c>
      <c r="K460" s="167" t="str">
        <f>VLOOKUP(left(I460,4),Setor!A:D,3,0)&amp;" | "&amp;VLOOKUP(left(I460,4),Setor!A:D,4,0)</f>
        <v>Financeiro | Exploração de Imóveis</v>
      </c>
      <c r="L460" s="168" t="str">
        <f>(VLOOKUP($I460,Capa!$A:$F,6,0))</f>
        <v/>
      </c>
      <c r="M460" s="168">
        <f t="shared" si="7"/>
        <v>0</v>
      </c>
      <c r="N460" s="11" t="str">
        <f>(VLOOKUP($I460,Capa!$A:$H,7,0))</f>
        <v/>
      </c>
      <c r="O460" s="169" t="str">
        <f>(VLOOKUP($I460,Capa!$A:$H,8,0))</f>
        <v/>
      </c>
      <c r="P460" s="11" t="str">
        <f>(VLOOKUP($I460,Capa!$A:$J,10,0))</f>
        <v/>
      </c>
      <c r="Q460" s="169" t="str">
        <f>(VLOOKUP($I460,Capa!$A:$K,11,0))</f>
        <v/>
      </c>
      <c r="R460" s="45" t="str">
        <f>'Dados StatusInvest'!A455</f>
        <v>PINE3</v>
      </c>
      <c r="S460" s="170">
        <f t="shared" si="234"/>
        <v>1858.0858</v>
      </c>
      <c r="T460" s="171">
        <f>VLOOKUP(R460,'Dados StatusInvest'!A:Z,26,0)</f>
        <v>182060.4</v>
      </c>
      <c r="U460" s="172">
        <f t="shared" ref="U460:AS460" si="463">IF(AT460="","", RANK(AT460,AT$7:AT$626,0)+RANK(AT460,AT$7:AT$626,0)/10000)</f>
        <v>591.0591</v>
      </c>
      <c r="V460" s="172">
        <f t="shared" si="463"/>
        <v>267.0267</v>
      </c>
      <c r="W460" s="172" t="str">
        <f t="shared" si="463"/>
        <v/>
      </c>
      <c r="X460" s="172" t="str">
        <f t="shared" si="463"/>
        <v/>
      </c>
      <c r="Y460" s="172" t="str">
        <f t="shared" si="463"/>
        <v/>
      </c>
      <c r="Z460" s="172" t="str">
        <f t="shared" si="463"/>
        <v/>
      </c>
      <c r="AA460" s="172" t="str">
        <f t="shared" si="463"/>
        <v/>
      </c>
      <c r="AB460" s="172" t="str">
        <f t="shared" si="463"/>
        <v/>
      </c>
      <c r="AC460" s="172" t="str">
        <f t="shared" si="463"/>
        <v/>
      </c>
      <c r="AD460" s="172" t="str">
        <f t="shared" si="463"/>
        <v/>
      </c>
      <c r="AE460" s="172" t="str">
        <f t="shared" si="463"/>
        <v/>
      </c>
      <c r="AF460" s="172" t="str">
        <f t="shared" si="463"/>
        <v/>
      </c>
      <c r="AG460" s="172" t="str">
        <f t="shared" si="463"/>
        <v/>
      </c>
      <c r="AH460" s="172" t="str">
        <f t="shared" si="463"/>
        <v/>
      </c>
      <c r="AI460" s="172" t="str">
        <f t="shared" si="463"/>
        <v/>
      </c>
      <c r="AJ460" s="172" t="str">
        <f t="shared" si="463"/>
        <v/>
      </c>
      <c r="AK460" s="172" t="str">
        <f t="shared" si="463"/>
        <v/>
      </c>
      <c r="AL460" s="172" t="str">
        <f t="shared" si="463"/>
        <v/>
      </c>
      <c r="AM460" s="172" t="str">
        <f t="shared" si="463"/>
        <v/>
      </c>
      <c r="AN460" s="172" t="str">
        <f t="shared" si="463"/>
        <v/>
      </c>
      <c r="AO460" s="172" t="str">
        <f t="shared" si="463"/>
        <v/>
      </c>
      <c r="AP460" s="172" t="str">
        <f t="shared" si="463"/>
        <v/>
      </c>
      <c r="AQ460" s="172" t="str">
        <f t="shared" si="463"/>
        <v/>
      </c>
      <c r="AR460" s="172" t="str">
        <f t="shared" si="463"/>
        <v/>
      </c>
      <c r="AS460" s="172" t="str">
        <f t="shared" si="463"/>
        <v/>
      </c>
      <c r="AT460" s="173">
        <f>IF(AT$6="","",IF(AT$3="Maior",iferror(VLOOKUP($R460,Capa!$A:$AJ,AT$5,0),0),IF(ISERROR(1/VLOOKUP($R460,Capa!$A:$AJ,AT$5,0)),0,1/VLOOKUP($R460,Capa!$A:$AJ,AT$5,0))))</f>
        <v>-12.55025002</v>
      </c>
      <c r="AU460" s="174">
        <f>IF(AU$6="","",IF(AU$3="Maior",iferror(VLOOKUP($R460,Capa!$A:$AJ,AU$5,0),0),IF(ISERROR(1/VLOOKUP($R460,Capa!$A:$AJ,AU$5,0)),0,1/VLOOKUP($R460,Capa!$A:$AJ,AU$5,0))))</f>
        <v>0</v>
      </c>
      <c r="AV460" s="174" t="str">
        <f>IF(AV$6="","",IF(AV$3="Maior",iferror(VLOOKUP($R460,Capa!$A:$AJ,AV$5,0),0),IF(ISERROR(1/VLOOKUP($R460,Capa!$A:$AJ,AV$5,0)),0,1/VLOOKUP($R460,Capa!$A:$AJ,AV$5,0))))</f>
        <v/>
      </c>
      <c r="AW460" s="174" t="str">
        <f>IF(AW$6="","",IF(AW$3="Maior",iferror(VLOOKUP($R460,Capa!$A:$AJ,AW$5,0),0),IF(ISERROR(1/VLOOKUP($R460,Capa!$A:$AJ,AW$5,0)),0,1/VLOOKUP($R460,Capa!$A:$AJ,AW$5,0))))</f>
        <v/>
      </c>
      <c r="AX460" s="174" t="str">
        <f>IF(AX$6="","",IF(AX$3="Maior",iferror(VLOOKUP($R460,Capa!$A:$AJ,AX$5,0),0),IF(ISERROR(1/VLOOKUP($R460,Capa!$A:$AJ,AX$5,0)),0,1/VLOOKUP($R460,Capa!$A:$AJ,AX$5,0))))</f>
        <v/>
      </c>
      <c r="AY460" s="174" t="str">
        <f>IF(AY$6="","",IF(AY$3="Maior",iferror(VLOOKUP($R460,Capa!$A:$AJ,AY$5,0),0),IF(ISERROR(1/VLOOKUP($R460,Capa!$A:$AJ,AY$5,0)),0,1/VLOOKUP($R460,Capa!$A:$AJ,AY$5,0))))</f>
        <v/>
      </c>
      <c r="AZ460" s="174" t="str">
        <f>IF(AZ$6="","",IF(AZ$3="Maior",iferror(VLOOKUP($R460,Capa!$A:$AJ,AZ$5,0),0),IF(ISERROR(1/VLOOKUP($R460,Capa!$A:$AJ,AZ$5,0)),0,1/VLOOKUP($R460,Capa!$A:$AJ,AZ$5,0))))</f>
        <v/>
      </c>
      <c r="BA460" s="174" t="str">
        <f>IF(BA$6="","",IF(BA$3="Maior",iferror(VLOOKUP($R460,Capa!$A:$AJ,BA$5,0),0),IF(ISERROR(1/VLOOKUP($R460,Capa!$A:$AJ,BA$5,0)),0,1/VLOOKUP($R460,Capa!$A:$AJ,BA$5,0))))</f>
        <v/>
      </c>
      <c r="BB460" s="174" t="str">
        <f>IF(BB$6="","",IF(BB$3="Maior",iferror(VLOOKUP($R460,Capa!$A:$AJ,BB$5,0),0),IF(ISERROR(1/VLOOKUP($R460,Capa!$A:$AJ,BB$5,0)),0,1/VLOOKUP($R460,Capa!$A:$AJ,BB$5,0))))</f>
        <v/>
      </c>
      <c r="BC460" s="174" t="str">
        <f>IF(BC$6="","",IF(BC$3="Maior",iferror(VLOOKUP($R460,Capa!$A:$AJ,BC$5,0),0),IF(ISERROR(1/VLOOKUP($R460,Capa!$A:$AJ,BC$5,0)),0,1/VLOOKUP($R460,Capa!$A:$AJ,BC$5,0))))</f>
        <v/>
      </c>
      <c r="BD460" s="174" t="str">
        <f>IF(BD$6="","",IF(BD$3="Maior",iferror(VLOOKUP($R460,Capa!$A:$AJ,BD$5,0),0),IF(ISERROR(1/VLOOKUP($R460,Capa!$A:$AJ,BD$5,0)),0,1/VLOOKUP($R460,Capa!$A:$AJ,BD$5,0))))</f>
        <v/>
      </c>
      <c r="BE460" s="174" t="str">
        <f>IF(BE$6="","",IF(BE$3="Maior",iferror(VLOOKUP($R460,Capa!$A:$AJ,BE$5,0),0),IF(ISERROR(1/VLOOKUP($R460,Capa!$A:$AJ,BE$5,0)),0,1/VLOOKUP($R460,Capa!$A:$AJ,BE$5,0))))</f>
        <v/>
      </c>
      <c r="BF460" s="174" t="str">
        <f>IF(BF$6="","",IF(BF$3="Maior",iferror(VLOOKUP($R460,Capa!$A:$AJ,BF$5,0),0),IF(ISERROR(1/VLOOKUP($R460,Capa!$A:$AJ,BF$5,0)),0,1/VLOOKUP($R460,Capa!$A:$AJ,BF$5,0))))</f>
        <v/>
      </c>
      <c r="BG460" s="174" t="str">
        <f>IF(BG$6="","",IF(BG$3="Maior",iferror(VLOOKUP($R460,Capa!$A:$AJ,BG$5,0),0),IF(ISERROR(1/VLOOKUP($R460,Capa!$A:$AJ,BG$5,0)),0,1/VLOOKUP($R460,Capa!$A:$AJ,BG$5,0))))</f>
        <v/>
      </c>
      <c r="BH460" s="174" t="str">
        <f>IF(BH$6="","",IF(BH$3="Maior",iferror(VLOOKUP($R460,Capa!$A:$AJ,BH$5,0),0),IF(ISERROR(1/VLOOKUP($R460,Capa!$A:$AJ,BH$5,0)),0,1/VLOOKUP($R460,Capa!$A:$AJ,BH$5,0))))</f>
        <v/>
      </c>
      <c r="BI460" s="174" t="str">
        <f>IF(BI$6="","",IF(BI$3="Maior",iferror(VLOOKUP($R460,Capa!$A:$AJ,BI$5,0),0),IF(ISERROR(1/VLOOKUP($R460,Capa!$A:$AJ,BI$5,0)),0,1/VLOOKUP($R460,Capa!$A:$AJ,BI$5,0))))</f>
        <v/>
      </c>
      <c r="BJ460" s="174" t="str">
        <f>IF(BJ$6="","",IF(BJ$3="Maior",iferror(VLOOKUP($R460,Capa!$A:$AJ,BJ$5,0),0),IF(ISERROR(1/VLOOKUP($R460,Capa!$A:$AJ,BJ$5,0)),0,1/VLOOKUP($R460,Capa!$A:$AJ,BJ$5,0))))</f>
        <v/>
      </c>
      <c r="BK460" s="174" t="str">
        <f>IF(BK$6="","",IF(BK$3="Maior",iferror(VLOOKUP($R460,Capa!$A:$AJ,BK$5,0),0),IF(ISERROR(1/VLOOKUP($R460,Capa!$A:$AJ,BK$5,0)),0,1/VLOOKUP($R460,Capa!$A:$AJ,BK$5,0))))</f>
        <v/>
      </c>
      <c r="BL460" s="174" t="str">
        <f>IF(BL$6="","",IF(BL$3="Maior",iferror(VLOOKUP($R460,Capa!$A:$AJ,BL$5,0),0),IF(ISERROR(1/VLOOKUP($R460,Capa!$A:$AJ,BL$5,0)),0,1/VLOOKUP($R460,Capa!$A:$AJ,BL$5,0))))</f>
        <v/>
      </c>
      <c r="BM460" s="174" t="str">
        <f>IF(BM$6="","",IF(BM$3="Maior",iferror(VLOOKUP($R460,Capa!$A:$AJ,BM$5,0),0),IF(ISERROR(1/VLOOKUP($R460,Capa!$A:$AJ,BM$5,0)),0,1/VLOOKUP($R460,Capa!$A:$AJ,BM$5,0))))</f>
        <v/>
      </c>
      <c r="BN460" s="174" t="str">
        <f>IF(BN$6="","",IF(BN$3="Maior",iferror(VLOOKUP($R460,Capa!$A:$AJ,BN$5,0),0),IF(ISERROR(1/VLOOKUP($R460,Capa!$A:$AJ,BN$5,0)),0,1/VLOOKUP($R460,Capa!$A:$AJ,BN$5,0))))</f>
        <v/>
      </c>
      <c r="BO460" s="174" t="str">
        <f>IF(BO$6="","",IF(BO$3="Maior",iferror(VLOOKUP($R460,Capa!$A:$AJ,BO$5,0),0),IF(ISERROR(1/VLOOKUP($R460,Capa!$A:$AJ,BO$5,0)),0,1/VLOOKUP($R460,Capa!$A:$AJ,BO$5,0))))</f>
        <v/>
      </c>
      <c r="BP460" s="174" t="str">
        <f>IF(BP$6="","",IF(BP$3="Maior",iferror(VLOOKUP($R460,Capa!$A:$AJ,BP$5,0),0),IF(ISERROR(1/VLOOKUP($R460,Capa!$A:$AJ,BP$5,0)),0,1/VLOOKUP($R460,Capa!$A:$AJ,BP$5,0))))</f>
        <v/>
      </c>
      <c r="BQ460" s="174" t="str">
        <f>IF(BQ$6="","",IF(BQ$3="Maior",iferror(VLOOKUP($R460,Capa!$A:$AJ,BQ$5,0),0),IF(ISERROR(1/VLOOKUP($R460,Capa!$A:$AJ,BQ$5,0)),0,1/VLOOKUP($R460,Capa!$A:$AJ,BQ$5,0))))</f>
        <v/>
      </c>
      <c r="BR460" s="175"/>
      <c r="BS460" s="147"/>
    </row>
    <row r="461">
      <c r="H461" s="8">
        <v>455.0</v>
      </c>
      <c r="I461" s="165" t="str">
        <f t="shared" si="6"/>
        <v>AXIA5</v>
      </c>
      <c r="J461" s="166" t="str">
        <f>(VLOOKUP($I461,Capa!$A:$B,2,0))</f>
        <v>Centrais Eletricas Brasilrs SA - Eltrbrs Preference Shares Class A</v>
      </c>
      <c r="K461" s="167" t="str">
        <f>VLOOKUP(left(I461,4),Setor!A:D,3,0)&amp;" | "&amp;VLOOKUP(left(I461,4),Setor!A:D,4,0)</f>
        <v>#N/A</v>
      </c>
      <c r="L461" s="168">
        <f>(VLOOKUP($I461,Capa!$A:$F,6,0))</f>
        <v>79</v>
      </c>
      <c r="M461" s="168">
        <f t="shared" si="7"/>
        <v>31051</v>
      </c>
      <c r="N461" s="11" t="str">
        <f>IFERROR(__xludf.DUMMYFUNCTION("(VLOOKUP($I461,Capa!$A:$H,7,0))"),"")</f>
        <v/>
      </c>
      <c r="O461" s="169" t="str">
        <f>(VLOOKUP($I461,Capa!$A:$H,8,0))</f>
        <v/>
      </c>
      <c r="P461" s="11" t="str">
        <f>IFERROR(__xludf.DUMMYFUNCTION("(VLOOKUP($I461,Capa!$A:$J,10,0))"),"")</f>
        <v/>
      </c>
      <c r="Q461" s="169" t="str">
        <f>(VLOOKUP($I461,Capa!$A:$K,11,0))</f>
        <v/>
      </c>
      <c r="R461" s="45" t="str">
        <f>'Dados StatusInvest'!A456</f>
        <v>PINE4</v>
      </c>
      <c r="S461" s="170">
        <f t="shared" si="234"/>
        <v>862.0862</v>
      </c>
      <c r="T461" s="171">
        <f>VLOOKUP(R461,'Dados StatusInvest'!A:Z,26,0)</f>
        <v>6497650</v>
      </c>
      <c r="U461" s="172">
        <f t="shared" ref="U461:AS461" si="464">IF(AT461="","", RANK(AT461,AT$7:AT$626,0)+RANK(AT461,AT$7:AT$626,0)/10000)</f>
        <v>595.0595</v>
      </c>
      <c r="V461" s="172">
        <f t="shared" si="464"/>
        <v>267.0267</v>
      </c>
      <c r="W461" s="172" t="str">
        <f t="shared" si="464"/>
        <v/>
      </c>
      <c r="X461" s="172" t="str">
        <f t="shared" si="464"/>
        <v/>
      </c>
      <c r="Y461" s="172" t="str">
        <f t="shared" si="464"/>
        <v/>
      </c>
      <c r="Z461" s="172" t="str">
        <f t="shared" si="464"/>
        <v/>
      </c>
      <c r="AA461" s="172" t="str">
        <f t="shared" si="464"/>
        <v/>
      </c>
      <c r="AB461" s="172" t="str">
        <f t="shared" si="464"/>
        <v/>
      </c>
      <c r="AC461" s="172" t="str">
        <f t="shared" si="464"/>
        <v/>
      </c>
      <c r="AD461" s="172" t="str">
        <f t="shared" si="464"/>
        <v/>
      </c>
      <c r="AE461" s="172" t="str">
        <f t="shared" si="464"/>
        <v/>
      </c>
      <c r="AF461" s="172" t="str">
        <f t="shared" si="464"/>
        <v/>
      </c>
      <c r="AG461" s="172" t="str">
        <f t="shared" si="464"/>
        <v/>
      </c>
      <c r="AH461" s="172" t="str">
        <f t="shared" si="464"/>
        <v/>
      </c>
      <c r="AI461" s="172" t="str">
        <f t="shared" si="464"/>
        <v/>
      </c>
      <c r="AJ461" s="172" t="str">
        <f t="shared" si="464"/>
        <v/>
      </c>
      <c r="AK461" s="172" t="str">
        <f t="shared" si="464"/>
        <v/>
      </c>
      <c r="AL461" s="172" t="str">
        <f t="shared" si="464"/>
        <v/>
      </c>
      <c r="AM461" s="172" t="str">
        <f t="shared" si="464"/>
        <v/>
      </c>
      <c r="AN461" s="172" t="str">
        <f t="shared" si="464"/>
        <v/>
      </c>
      <c r="AO461" s="172" t="str">
        <f t="shared" si="464"/>
        <v/>
      </c>
      <c r="AP461" s="172" t="str">
        <f t="shared" si="464"/>
        <v/>
      </c>
      <c r="AQ461" s="172" t="str">
        <f t="shared" si="464"/>
        <v/>
      </c>
      <c r="AR461" s="172" t="str">
        <f t="shared" si="464"/>
        <v/>
      </c>
      <c r="AS461" s="172" t="str">
        <f t="shared" si="464"/>
        <v/>
      </c>
      <c r="AT461" s="173">
        <f>IF(AT$6="","",IF(AT$3="Maior",iferror(VLOOKUP($R461,Capa!$A:$AJ,AT$5,0),0),IF(ISERROR(1/VLOOKUP($R461,Capa!$A:$AJ,AT$5,0)),0,1/VLOOKUP($R461,Capa!$A:$AJ,AT$5,0))))</f>
        <v>-16.65601432</v>
      </c>
      <c r="AU461" s="174">
        <f>IF(AU$6="","",IF(AU$3="Maior",iferror(VLOOKUP($R461,Capa!$A:$AJ,AU$5,0),0),IF(ISERROR(1/VLOOKUP($R461,Capa!$A:$AJ,AU$5,0)),0,1/VLOOKUP($R461,Capa!$A:$AJ,AU$5,0))))</f>
        <v>0</v>
      </c>
      <c r="AV461" s="174" t="str">
        <f>IF(AV$6="","",IF(AV$3="Maior",iferror(VLOOKUP($R461,Capa!$A:$AJ,AV$5,0),0),IF(ISERROR(1/VLOOKUP($R461,Capa!$A:$AJ,AV$5,0)),0,1/VLOOKUP($R461,Capa!$A:$AJ,AV$5,0))))</f>
        <v/>
      </c>
      <c r="AW461" s="174" t="str">
        <f>IF(AW$6="","",IF(AW$3="Maior",iferror(VLOOKUP($R461,Capa!$A:$AJ,AW$5,0),0),IF(ISERROR(1/VLOOKUP($R461,Capa!$A:$AJ,AW$5,0)),0,1/VLOOKUP($R461,Capa!$A:$AJ,AW$5,0))))</f>
        <v/>
      </c>
      <c r="AX461" s="174" t="str">
        <f>IF(AX$6="","",IF(AX$3="Maior",iferror(VLOOKUP($R461,Capa!$A:$AJ,AX$5,0),0),IF(ISERROR(1/VLOOKUP($R461,Capa!$A:$AJ,AX$5,0)),0,1/VLOOKUP($R461,Capa!$A:$AJ,AX$5,0))))</f>
        <v/>
      </c>
      <c r="AY461" s="174" t="str">
        <f>IF(AY$6="","",IF(AY$3="Maior",iferror(VLOOKUP($R461,Capa!$A:$AJ,AY$5,0),0),IF(ISERROR(1/VLOOKUP($R461,Capa!$A:$AJ,AY$5,0)),0,1/VLOOKUP($R461,Capa!$A:$AJ,AY$5,0))))</f>
        <v/>
      </c>
      <c r="AZ461" s="174" t="str">
        <f>IF(AZ$6="","",IF(AZ$3="Maior",iferror(VLOOKUP($R461,Capa!$A:$AJ,AZ$5,0),0),IF(ISERROR(1/VLOOKUP($R461,Capa!$A:$AJ,AZ$5,0)),0,1/VLOOKUP($R461,Capa!$A:$AJ,AZ$5,0))))</f>
        <v/>
      </c>
      <c r="BA461" s="174" t="str">
        <f>IF(BA$6="","",IF(BA$3="Maior",iferror(VLOOKUP($R461,Capa!$A:$AJ,BA$5,0),0),IF(ISERROR(1/VLOOKUP($R461,Capa!$A:$AJ,BA$5,0)),0,1/VLOOKUP($R461,Capa!$A:$AJ,BA$5,0))))</f>
        <v/>
      </c>
      <c r="BB461" s="174" t="str">
        <f>IF(BB$6="","",IF(BB$3="Maior",iferror(VLOOKUP($R461,Capa!$A:$AJ,BB$5,0),0),IF(ISERROR(1/VLOOKUP($R461,Capa!$A:$AJ,BB$5,0)),0,1/VLOOKUP($R461,Capa!$A:$AJ,BB$5,0))))</f>
        <v/>
      </c>
      <c r="BC461" s="174" t="str">
        <f>IF(BC$6="","",IF(BC$3="Maior",iferror(VLOOKUP($R461,Capa!$A:$AJ,BC$5,0),0),IF(ISERROR(1/VLOOKUP($R461,Capa!$A:$AJ,BC$5,0)),0,1/VLOOKUP($R461,Capa!$A:$AJ,BC$5,0))))</f>
        <v/>
      </c>
      <c r="BD461" s="174" t="str">
        <f>IF(BD$6="","",IF(BD$3="Maior",iferror(VLOOKUP($R461,Capa!$A:$AJ,BD$5,0),0),IF(ISERROR(1/VLOOKUP($R461,Capa!$A:$AJ,BD$5,0)),0,1/VLOOKUP($R461,Capa!$A:$AJ,BD$5,0))))</f>
        <v/>
      </c>
      <c r="BE461" s="174" t="str">
        <f>IF(BE$6="","",IF(BE$3="Maior",iferror(VLOOKUP($R461,Capa!$A:$AJ,BE$5,0),0),IF(ISERROR(1/VLOOKUP($R461,Capa!$A:$AJ,BE$5,0)),0,1/VLOOKUP($R461,Capa!$A:$AJ,BE$5,0))))</f>
        <v/>
      </c>
      <c r="BF461" s="174" t="str">
        <f>IF(BF$6="","",IF(BF$3="Maior",iferror(VLOOKUP($R461,Capa!$A:$AJ,BF$5,0),0),IF(ISERROR(1/VLOOKUP($R461,Capa!$A:$AJ,BF$5,0)),0,1/VLOOKUP($R461,Capa!$A:$AJ,BF$5,0))))</f>
        <v/>
      </c>
      <c r="BG461" s="174" t="str">
        <f>IF(BG$6="","",IF(BG$3="Maior",iferror(VLOOKUP($R461,Capa!$A:$AJ,BG$5,0),0),IF(ISERROR(1/VLOOKUP($R461,Capa!$A:$AJ,BG$5,0)),0,1/VLOOKUP($R461,Capa!$A:$AJ,BG$5,0))))</f>
        <v/>
      </c>
      <c r="BH461" s="174" t="str">
        <f>IF(BH$6="","",IF(BH$3="Maior",iferror(VLOOKUP($R461,Capa!$A:$AJ,BH$5,0),0),IF(ISERROR(1/VLOOKUP($R461,Capa!$A:$AJ,BH$5,0)),0,1/VLOOKUP($R461,Capa!$A:$AJ,BH$5,0))))</f>
        <v/>
      </c>
      <c r="BI461" s="174" t="str">
        <f>IF(BI$6="","",IF(BI$3="Maior",iferror(VLOOKUP($R461,Capa!$A:$AJ,BI$5,0),0),IF(ISERROR(1/VLOOKUP($R461,Capa!$A:$AJ,BI$5,0)),0,1/VLOOKUP($R461,Capa!$A:$AJ,BI$5,0))))</f>
        <v/>
      </c>
      <c r="BJ461" s="174" t="str">
        <f>IF(BJ$6="","",IF(BJ$3="Maior",iferror(VLOOKUP($R461,Capa!$A:$AJ,BJ$5,0),0),IF(ISERROR(1/VLOOKUP($R461,Capa!$A:$AJ,BJ$5,0)),0,1/VLOOKUP($R461,Capa!$A:$AJ,BJ$5,0))))</f>
        <v/>
      </c>
      <c r="BK461" s="174" t="str">
        <f>IF(BK$6="","",IF(BK$3="Maior",iferror(VLOOKUP($R461,Capa!$A:$AJ,BK$5,0),0),IF(ISERROR(1/VLOOKUP($R461,Capa!$A:$AJ,BK$5,0)),0,1/VLOOKUP($R461,Capa!$A:$AJ,BK$5,0))))</f>
        <v/>
      </c>
      <c r="BL461" s="174" t="str">
        <f>IF(BL$6="","",IF(BL$3="Maior",iferror(VLOOKUP($R461,Capa!$A:$AJ,BL$5,0),0),IF(ISERROR(1/VLOOKUP($R461,Capa!$A:$AJ,BL$5,0)),0,1/VLOOKUP($R461,Capa!$A:$AJ,BL$5,0))))</f>
        <v/>
      </c>
      <c r="BM461" s="174" t="str">
        <f>IF(BM$6="","",IF(BM$3="Maior",iferror(VLOOKUP($R461,Capa!$A:$AJ,BM$5,0),0),IF(ISERROR(1/VLOOKUP($R461,Capa!$A:$AJ,BM$5,0)),0,1/VLOOKUP($R461,Capa!$A:$AJ,BM$5,0))))</f>
        <v/>
      </c>
      <c r="BN461" s="174" t="str">
        <f>IF(BN$6="","",IF(BN$3="Maior",iferror(VLOOKUP($R461,Capa!$A:$AJ,BN$5,0),0),IF(ISERROR(1/VLOOKUP($R461,Capa!$A:$AJ,BN$5,0)),0,1/VLOOKUP($R461,Capa!$A:$AJ,BN$5,0))))</f>
        <v/>
      </c>
      <c r="BO461" s="174" t="str">
        <f>IF(BO$6="","",IF(BO$3="Maior",iferror(VLOOKUP($R461,Capa!$A:$AJ,BO$5,0),0),IF(ISERROR(1/VLOOKUP($R461,Capa!$A:$AJ,BO$5,0)),0,1/VLOOKUP($R461,Capa!$A:$AJ,BO$5,0))))</f>
        <v/>
      </c>
      <c r="BP461" s="174" t="str">
        <f>IF(BP$6="","",IF(BP$3="Maior",iferror(VLOOKUP($R461,Capa!$A:$AJ,BP$5,0),0),IF(ISERROR(1/VLOOKUP($R461,Capa!$A:$AJ,BP$5,0)),0,1/VLOOKUP($R461,Capa!$A:$AJ,BP$5,0))))</f>
        <v/>
      </c>
      <c r="BQ461" s="174" t="str">
        <f>IF(BQ$6="","",IF(BQ$3="Maior",iferror(VLOOKUP($R461,Capa!$A:$AJ,BQ$5,0),0),IF(ISERROR(1/VLOOKUP($R461,Capa!$A:$AJ,BQ$5,0)),0,1/VLOOKUP($R461,Capa!$A:$AJ,BQ$5,0))))</f>
        <v/>
      </c>
      <c r="BR461" s="175"/>
      <c r="BS461" s="147"/>
    </row>
    <row r="462">
      <c r="H462" s="8">
        <v>456.0</v>
      </c>
      <c r="I462" s="165" t="str">
        <f t="shared" si="6"/>
        <v>AGXY3</v>
      </c>
      <c r="J462" s="166" t="str">
        <f>(VLOOKUP($I462,Capa!$A:$B,2,0))</f>
        <v>Agrogalaxy Participacoes SA em Recupera</v>
      </c>
      <c r="K462" s="167" t="str">
        <f>VLOOKUP(left(I462,4),Setor!A:D,3,0)&amp;" | "&amp;VLOOKUP(left(I462,4),Setor!A:D,4,0)</f>
        <v>#N/A</v>
      </c>
      <c r="L462" s="168">
        <f>(VLOOKUP($I462,Capa!$A:$F,6,0))</f>
        <v>2.45</v>
      </c>
      <c r="M462" s="168">
        <f t="shared" si="7"/>
        <v>118357.5</v>
      </c>
      <c r="N462" s="11" t="str">
        <f>IFERROR(__xludf.DUMMYFUNCTION("(VLOOKUP($I462,Capa!$A:$H,7,0))"),"")</f>
        <v/>
      </c>
      <c r="O462" s="169">
        <f>(VLOOKUP($I462,Capa!$A:$H,8,0))</f>
        <v>-0.3844221106</v>
      </c>
      <c r="P462" s="11" t="str">
        <f>IFERROR(__xludf.DUMMYFUNCTION("(VLOOKUP($I462,Capa!$A:$J,10,0))"),"")</f>
        <v/>
      </c>
      <c r="Q462" s="169">
        <f>(VLOOKUP($I462,Capa!$A:$K,11,0))</f>
        <v>-0.7447916667</v>
      </c>
      <c r="R462" s="45" t="str">
        <f>'Dados StatusInvest'!A457</f>
        <v>PLAS3</v>
      </c>
      <c r="S462" s="170">
        <f t="shared" si="234"/>
        <v>1834.0834</v>
      </c>
      <c r="T462" s="171">
        <f>VLOOKUP(R462,'Dados StatusInvest'!A:Z,26,0)</f>
        <v>2066.24</v>
      </c>
      <c r="U462" s="172">
        <f t="shared" ref="U462:AS462" si="465">IF(AT462="","", RANK(AT462,AT$7:AT$626,0)+RANK(AT462,AT$7:AT$626,0)/10000)</f>
        <v>567.0567</v>
      </c>
      <c r="V462" s="172">
        <f t="shared" si="465"/>
        <v>267.0267</v>
      </c>
      <c r="W462" s="172" t="str">
        <f t="shared" si="465"/>
        <v/>
      </c>
      <c r="X462" s="172" t="str">
        <f t="shared" si="465"/>
        <v/>
      </c>
      <c r="Y462" s="172" t="str">
        <f t="shared" si="465"/>
        <v/>
      </c>
      <c r="Z462" s="172" t="str">
        <f t="shared" si="465"/>
        <v/>
      </c>
      <c r="AA462" s="172" t="str">
        <f t="shared" si="465"/>
        <v/>
      </c>
      <c r="AB462" s="172" t="str">
        <f t="shared" si="465"/>
        <v/>
      </c>
      <c r="AC462" s="172" t="str">
        <f t="shared" si="465"/>
        <v/>
      </c>
      <c r="AD462" s="172" t="str">
        <f t="shared" si="465"/>
        <v/>
      </c>
      <c r="AE462" s="172" t="str">
        <f t="shared" si="465"/>
        <v/>
      </c>
      <c r="AF462" s="172" t="str">
        <f t="shared" si="465"/>
        <v/>
      </c>
      <c r="AG462" s="172" t="str">
        <f t="shared" si="465"/>
        <v/>
      </c>
      <c r="AH462" s="172" t="str">
        <f t="shared" si="465"/>
        <v/>
      </c>
      <c r="AI462" s="172" t="str">
        <f t="shared" si="465"/>
        <v/>
      </c>
      <c r="AJ462" s="172" t="str">
        <f t="shared" si="465"/>
        <v/>
      </c>
      <c r="AK462" s="172" t="str">
        <f t="shared" si="465"/>
        <v/>
      </c>
      <c r="AL462" s="172" t="str">
        <f t="shared" si="465"/>
        <v/>
      </c>
      <c r="AM462" s="172" t="str">
        <f t="shared" si="465"/>
        <v/>
      </c>
      <c r="AN462" s="172" t="str">
        <f t="shared" si="465"/>
        <v/>
      </c>
      <c r="AO462" s="172" t="str">
        <f t="shared" si="465"/>
        <v/>
      </c>
      <c r="AP462" s="172" t="str">
        <f t="shared" si="465"/>
        <v/>
      </c>
      <c r="AQ462" s="172" t="str">
        <f t="shared" si="465"/>
        <v/>
      </c>
      <c r="AR462" s="172" t="str">
        <f t="shared" si="465"/>
        <v/>
      </c>
      <c r="AS462" s="172" t="str">
        <f t="shared" si="465"/>
        <v/>
      </c>
      <c r="AT462" s="173">
        <f>IF(AT$6="","",IF(AT$3="Maior",iferror(VLOOKUP($R462,Capa!$A:$AJ,AT$5,0),0),IF(ISERROR(1/VLOOKUP($R462,Capa!$A:$AJ,AT$5,0)),0,1/VLOOKUP($R462,Capa!$A:$AJ,AT$5,0))))</f>
        <v>-7.510339123</v>
      </c>
      <c r="AU462" s="174">
        <f>IF(AU$6="","",IF(AU$3="Maior",iferror(VLOOKUP($R462,Capa!$A:$AJ,AU$5,0),0),IF(ISERROR(1/VLOOKUP($R462,Capa!$A:$AJ,AU$5,0)),0,1/VLOOKUP($R462,Capa!$A:$AJ,AU$5,0))))</f>
        <v>0</v>
      </c>
      <c r="AV462" s="174" t="str">
        <f>IF(AV$6="","",IF(AV$3="Maior",iferror(VLOOKUP($R462,Capa!$A:$AJ,AV$5,0),0),IF(ISERROR(1/VLOOKUP($R462,Capa!$A:$AJ,AV$5,0)),0,1/VLOOKUP($R462,Capa!$A:$AJ,AV$5,0))))</f>
        <v/>
      </c>
      <c r="AW462" s="174" t="str">
        <f>IF(AW$6="","",IF(AW$3="Maior",iferror(VLOOKUP($R462,Capa!$A:$AJ,AW$5,0),0),IF(ISERROR(1/VLOOKUP($R462,Capa!$A:$AJ,AW$5,0)),0,1/VLOOKUP($R462,Capa!$A:$AJ,AW$5,0))))</f>
        <v/>
      </c>
      <c r="AX462" s="174" t="str">
        <f>IF(AX$6="","",IF(AX$3="Maior",iferror(VLOOKUP($R462,Capa!$A:$AJ,AX$5,0),0),IF(ISERROR(1/VLOOKUP($R462,Capa!$A:$AJ,AX$5,0)),0,1/VLOOKUP($R462,Capa!$A:$AJ,AX$5,0))))</f>
        <v/>
      </c>
      <c r="AY462" s="174" t="str">
        <f>IF(AY$6="","",IF(AY$3="Maior",iferror(VLOOKUP($R462,Capa!$A:$AJ,AY$5,0),0),IF(ISERROR(1/VLOOKUP($R462,Capa!$A:$AJ,AY$5,0)),0,1/VLOOKUP($R462,Capa!$A:$AJ,AY$5,0))))</f>
        <v/>
      </c>
      <c r="AZ462" s="174" t="str">
        <f>IF(AZ$6="","",IF(AZ$3="Maior",iferror(VLOOKUP($R462,Capa!$A:$AJ,AZ$5,0),0),IF(ISERROR(1/VLOOKUP($R462,Capa!$A:$AJ,AZ$5,0)),0,1/VLOOKUP($R462,Capa!$A:$AJ,AZ$5,0))))</f>
        <v/>
      </c>
      <c r="BA462" s="174" t="str">
        <f>IF(BA$6="","",IF(BA$3="Maior",iferror(VLOOKUP($R462,Capa!$A:$AJ,BA$5,0),0),IF(ISERROR(1/VLOOKUP($R462,Capa!$A:$AJ,BA$5,0)),0,1/VLOOKUP($R462,Capa!$A:$AJ,BA$5,0))))</f>
        <v/>
      </c>
      <c r="BB462" s="174" t="str">
        <f>IF(BB$6="","",IF(BB$3="Maior",iferror(VLOOKUP($R462,Capa!$A:$AJ,BB$5,0),0),IF(ISERROR(1/VLOOKUP($R462,Capa!$A:$AJ,BB$5,0)),0,1/VLOOKUP($R462,Capa!$A:$AJ,BB$5,0))))</f>
        <v/>
      </c>
      <c r="BC462" s="174" t="str">
        <f>IF(BC$6="","",IF(BC$3="Maior",iferror(VLOOKUP($R462,Capa!$A:$AJ,BC$5,0),0),IF(ISERROR(1/VLOOKUP($R462,Capa!$A:$AJ,BC$5,0)),0,1/VLOOKUP($R462,Capa!$A:$AJ,BC$5,0))))</f>
        <v/>
      </c>
      <c r="BD462" s="174" t="str">
        <f>IF(BD$6="","",IF(BD$3="Maior",iferror(VLOOKUP($R462,Capa!$A:$AJ,BD$5,0),0),IF(ISERROR(1/VLOOKUP($R462,Capa!$A:$AJ,BD$5,0)),0,1/VLOOKUP($R462,Capa!$A:$AJ,BD$5,0))))</f>
        <v/>
      </c>
      <c r="BE462" s="174" t="str">
        <f>IF(BE$6="","",IF(BE$3="Maior",iferror(VLOOKUP($R462,Capa!$A:$AJ,BE$5,0),0),IF(ISERROR(1/VLOOKUP($R462,Capa!$A:$AJ,BE$5,0)),0,1/VLOOKUP($R462,Capa!$A:$AJ,BE$5,0))))</f>
        <v/>
      </c>
      <c r="BF462" s="174" t="str">
        <f>IF(BF$6="","",IF(BF$3="Maior",iferror(VLOOKUP($R462,Capa!$A:$AJ,BF$5,0),0),IF(ISERROR(1/VLOOKUP($R462,Capa!$A:$AJ,BF$5,0)),0,1/VLOOKUP($R462,Capa!$A:$AJ,BF$5,0))))</f>
        <v/>
      </c>
      <c r="BG462" s="174" t="str">
        <f>IF(BG$6="","",IF(BG$3="Maior",iferror(VLOOKUP($R462,Capa!$A:$AJ,BG$5,0),0),IF(ISERROR(1/VLOOKUP($R462,Capa!$A:$AJ,BG$5,0)),0,1/VLOOKUP($R462,Capa!$A:$AJ,BG$5,0))))</f>
        <v/>
      </c>
      <c r="BH462" s="174" t="str">
        <f>IF(BH$6="","",IF(BH$3="Maior",iferror(VLOOKUP($R462,Capa!$A:$AJ,BH$5,0),0),IF(ISERROR(1/VLOOKUP($R462,Capa!$A:$AJ,BH$5,0)),0,1/VLOOKUP($R462,Capa!$A:$AJ,BH$5,0))))</f>
        <v/>
      </c>
      <c r="BI462" s="174" t="str">
        <f>IF(BI$6="","",IF(BI$3="Maior",iferror(VLOOKUP($R462,Capa!$A:$AJ,BI$5,0),0),IF(ISERROR(1/VLOOKUP($R462,Capa!$A:$AJ,BI$5,0)),0,1/VLOOKUP($R462,Capa!$A:$AJ,BI$5,0))))</f>
        <v/>
      </c>
      <c r="BJ462" s="174" t="str">
        <f>IF(BJ$6="","",IF(BJ$3="Maior",iferror(VLOOKUP($R462,Capa!$A:$AJ,BJ$5,0),0),IF(ISERROR(1/VLOOKUP($R462,Capa!$A:$AJ,BJ$5,0)),0,1/VLOOKUP($R462,Capa!$A:$AJ,BJ$5,0))))</f>
        <v/>
      </c>
      <c r="BK462" s="174" t="str">
        <f>IF(BK$6="","",IF(BK$3="Maior",iferror(VLOOKUP($R462,Capa!$A:$AJ,BK$5,0),0),IF(ISERROR(1/VLOOKUP($R462,Capa!$A:$AJ,BK$5,0)),0,1/VLOOKUP($R462,Capa!$A:$AJ,BK$5,0))))</f>
        <v/>
      </c>
      <c r="BL462" s="174" t="str">
        <f>IF(BL$6="","",IF(BL$3="Maior",iferror(VLOOKUP($R462,Capa!$A:$AJ,BL$5,0),0),IF(ISERROR(1/VLOOKUP($R462,Capa!$A:$AJ,BL$5,0)),0,1/VLOOKUP($R462,Capa!$A:$AJ,BL$5,0))))</f>
        <v/>
      </c>
      <c r="BM462" s="174" t="str">
        <f>IF(BM$6="","",IF(BM$3="Maior",iferror(VLOOKUP($R462,Capa!$A:$AJ,BM$5,0),0),IF(ISERROR(1/VLOOKUP($R462,Capa!$A:$AJ,BM$5,0)),0,1/VLOOKUP($R462,Capa!$A:$AJ,BM$5,0))))</f>
        <v/>
      </c>
      <c r="BN462" s="174" t="str">
        <f>IF(BN$6="","",IF(BN$3="Maior",iferror(VLOOKUP($R462,Capa!$A:$AJ,BN$5,0),0),IF(ISERROR(1/VLOOKUP($R462,Capa!$A:$AJ,BN$5,0)),0,1/VLOOKUP($R462,Capa!$A:$AJ,BN$5,0))))</f>
        <v/>
      </c>
      <c r="BO462" s="174" t="str">
        <f>IF(BO$6="","",IF(BO$3="Maior",iferror(VLOOKUP($R462,Capa!$A:$AJ,BO$5,0),0),IF(ISERROR(1/VLOOKUP($R462,Capa!$A:$AJ,BO$5,0)),0,1/VLOOKUP($R462,Capa!$A:$AJ,BO$5,0))))</f>
        <v/>
      </c>
      <c r="BP462" s="174" t="str">
        <f>IF(BP$6="","",IF(BP$3="Maior",iferror(VLOOKUP($R462,Capa!$A:$AJ,BP$5,0),0),IF(ISERROR(1/VLOOKUP($R462,Capa!$A:$AJ,BP$5,0)),0,1/VLOOKUP($R462,Capa!$A:$AJ,BP$5,0))))</f>
        <v/>
      </c>
      <c r="BQ462" s="174" t="str">
        <f>IF(BQ$6="","",IF(BQ$3="Maior",iferror(VLOOKUP($R462,Capa!$A:$AJ,BQ$5,0),0),IF(ISERROR(1/VLOOKUP($R462,Capa!$A:$AJ,BQ$5,0)),0,1/VLOOKUP($R462,Capa!$A:$AJ,BQ$5,0))))</f>
        <v/>
      </c>
      <c r="BR462" s="175"/>
      <c r="BS462" s="147"/>
    </row>
    <row r="463">
      <c r="H463" s="8">
        <v>457.0</v>
      </c>
      <c r="I463" s="165" t="str">
        <f t="shared" si="6"/>
        <v>GPIV33</v>
      </c>
      <c r="J463" s="166" t="str">
        <f>(VLOOKUP($I463,Capa!$A:$B,2,0))</f>
        <v/>
      </c>
      <c r="K463" s="167" t="str">
        <f>VLOOKUP(left(I463,4),Setor!A:D,3,0)&amp;" | "&amp;VLOOKUP(left(I463,4),Setor!A:D,4,0)</f>
        <v>Financeiro | Serviços Financeiros Diversos</v>
      </c>
      <c r="L463" s="168" t="str">
        <f>(VLOOKUP($I463,Capa!$A:$F,6,0))</f>
        <v/>
      </c>
      <c r="M463" s="168">
        <f t="shared" si="7"/>
        <v>308564</v>
      </c>
      <c r="N463" s="11" t="str">
        <f>(VLOOKUP($I463,Capa!$A:$H,7,0))</f>
        <v/>
      </c>
      <c r="O463" s="169" t="str">
        <f>(VLOOKUP($I463,Capa!$A:$H,8,0))</f>
        <v/>
      </c>
      <c r="P463" s="11" t="str">
        <f>(VLOOKUP($I463,Capa!$A:$J,10,0))</f>
        <v/>
      </c>
      <c r="Q463" s="169" t="str">
        <f>(VLOOKUP($I463,Capa!$A:$K,11,0))</f>
        <v/>
      </c>
      <c r="R463" s="45" t="str">
        <f>'Dados StatusInvest'!A458</f>
        <v>PLPL3</v>
      </c>
      <c r="S463" s="170">
        <f t="shared" si="234"/>
        <v>277.0277</v>
      </c>
      <c r="T463" s="171">
        <f>VLOOKUP(R463,'Dados StatusInvest'!A:Z,26,0)</f>
        <v>31612355</v>
      </c>
      <c r="U463" s="172">
        <f t="shared" ref="U463:AS463" si="466">IF(AT463="","", RANK(AT463,AT$7:AT$626,0)+RANK(AT463,AT$7:AT$626,0)/10000)</f>
        <v>164.0164</v>
      </c>
      <c r="V463" s="172">
        <f t="shared" si="466"/>
        <v>113.0113</v>
      </c>
      <c r="W463" s="172" t="str">
        <f t="shared" si="466"/>
        <v/>
      </c>
      <c r="X463" s="172" t="str">
        <f t="shared" si="466"/>
        <v/>
      </c>
      <c r="Y463" s="172" t="str">
        <f t="shared" si="466"/>
        <v/>
      </c>
      <c r="Z463" s="172" t="str">
        <f t="shared" si="466"/>
        <v/>
      </c>
      <c r="AA463" s="172" t="str">
        <f t="shared" si="466"/>
        <v/>
      </c>
      <c r="AB463" s="172" t="str">
        <f t="shared" si="466"/>
        <v/>
      </c>
      <c r="AC463" s="172" t="str">
        <f t="shared" si="466"/>
        <v/>
      </c>
      <c r="AD463" s="172" t="str">
        <f t="shared" si="466"/>
        <v/>
      </c>
      <c r="AE463" s="172" t="str">
        <f t="shared" si="466"/>
        <v/>
      </c>
      <c r="AF463" s="172" t="str">
        <f t="shared" si="466"/>
        <v/>
      </c>
      <c r="AG463" s="172" t="str">
        <f t="shared" si="466"/>
        <v/>
      </c>
      <c r="AH463" s="172" t="str">
        <f t="shared" si="466"/>
        <v/>
      </c>
      <c r="AI463" s="172" t="str">
        <f t="shared" si="466"/>
        <v/>
      </c>
      <c r="AJ463" s="172" t="str">
        <f t="shared" si="466"/>
        <v/>
      </c>
      <c r="AK463" s="172" t="str">
        <f t="shared" si="466"/>
        <v/>
      </c>
      <c r="AL463" s="172" t="str">
        <f t="shared" si="466"/>
        <v/>
      </c>
      <c r="AM463" s="172" t="str">
        <f t="shared" si="466"/>
        <v/>
      </c>
      <c r="AN463" s="172" t="str">
        <f t="shared" si="466"/>
        <v/>
      </c>
      <c r="AO463" s="172" t="str">
        <f t="shared" si="466"/>
        <v/>
      </c>
      <c r="AP463" s="172" t="str">
        <f t="shared" si="466"/>
        <v/>
      </c>
      <c r="AQ463" s="172" t="str">
        <f t="shared" si="466"/>
        <v/>
      </c>
      <c r="AR463" s="172" t="str">
        <f t="shared" si="466"/>
        <v/>
      </c>
      <c r="AS463" s="172" t="str">
        <f t="shared" si="466"/>
        <v/>
      </c>
      <c r="AT463" s="173">
        <f>IF(AT$6="","",IF(AT$3="Maior",iferror(VLOOKUP($R463,Capa!$A:$AJ,AT$5,0),0),IF(ISERROR(1/VLOOKUP($R463,Capa!$A:$AJ,AT$5,0)),0,1/VLOOKUP($R463,Capa!$A:$AJ,AT$5,0))))</f>
        <v>-0.1576628751</v>
      </c>
      <c r="AU463" s="174">
        <f>IF(AU$6="","",IF(AU$3="Maior",iferror(VLOOKUP($R463,Capa!$A:$AJ,AU$5,0),0),IF(ISERROR(1/VLOOKUP($R463,Capa!$A:$AJ,AU$5,0)),0,1/VLOOKUP($R463,Capa!$A:$AJ,AU$5,0))))</f>
        <v>25.34</v>
      </c>
      <c r="AV463" s="174" t="str">
        <f>IF(AV$6="","",IF(AV$3="Maior",iferror(VLOOKUP($R463,Capa!$A:$AJ,AV$5,0),0),IF(ISERROR(1/VLOOKUP($R463,Capa!$A:$AJ,AV$5,0)),0,1/VLOOKUP($R463,Capa!$A:$AJ,AV$5,0))))</f>
        <v/>
      </c>
      <c r="AW463" s="174" t="str">
        <f>IF(AW$6="","",IF(AW$3="Maior",iferror(VLOOKUP($R463,Capa!$A:$AJ,AW$5,0),0),IF(ISERROR(1/VLOOKUP($R463,Capa!$A:$AJ,AW$5,0)),0,1/VLOOKUP($R463,Capa!$A:$AJ,AW$5,0))))</f>
        <v/>
      </c>
      <c r="AX463" s="174" t="str">
        <f>IF(AX$6="","",IF(AX$3="Maior",iferror(VLOOKUP($R463,Capa!$A:$AJ,AX$5,0),0),IF(ISERROR(1/VLOOKUP($R463,Capa!$A:$AJ,AX$5,0)),0,1/VLOOKUP($R463,Capa!$A:$AJ,AX$5,0))))</f>
        <v/>
      </c>
      <c r="AY463" s="174" t="str">
        <f>IF(AY$6="","",IF(AY$3="Maior",iferror(VLOOKUP($R463,Capa!$A:$AJ,AY$5,0),0),IF(ISERROR(1/VLOOKUP($R463,Capa!$A:$AJ,AY$5,0)),0,1/VLOOKUP($R463,Capa!$A:$AJ,AY$5,0))))</f>
        <v/>
      </c>
      <c r="AZ463" s="174" t="str">
        <f>IF(AZ$6="","",IF(AZ$3="Maior",iferror(VLOOKUP($R463,Capa!$A:$AJ,AZ$5,0),0),IF(ISERROR(1/VLOOKUP($R463,Capa!$A:$AJ,AZ$5,0)),0,1/VLOOKUP($R463,Capa!$A:$AJ,AZ$5,0))))</f>
        <v/>
      </c>
      <c r="BA463" s="174" t="str">
        <f>IF(BA$6="","",IF(BA$3="Maior",iferror(VLOOKUP($R463,Capa!$A:$AJ,BA$5,0),0),IF(ISERROR(1/VLOOKUP($R463,Capa!$A:$AJ,BA$5,0)),0,1/VLOOKUP($R463,Capa!$A:$AJ,BA$5,0))))</f>
        <v/>
      </c>
      <c r="BB463" s="174" t="str">
        <f>IF(BB$6="","",IF(BB$3="Maior",iferror(VLOOKUP($R463,Capa!$A:$AJ,BB$5,0),0),IF(ISERROR(1/VLOOKUP($R463,Capa!$A:$AJ,BB$5,0)),0,1/VLOOKUP($R463,Capa!$A:$AJ,BB$5,0))))</f>
        <v/>
      </c>
      <c r="BC463" s="174" t="str">
        <f>IF(BC$6="","",IF(BC$3="Maior",iferror(VLOOKUP($R463,Capa!$A:$AJ,BC$5,0),0),IF(ISERROR(1/VLOOKUP($R463,Capa!$A:$AJ,BC$5,0)),0,1/VLOOKUP($R463,Capa!$A:$AJ,BC$5,0))))</f>
        <v/>
      </c>
      <c r="BD463" s="174" t="str">
        <f>IF(BD$6="","",IF(BD$3="Maior",iferror(VLOOKUP($R463,Capa!$A:$AJ,BD$5,0),0),IF(ISERROR(1/VLOOKUP($R463,Capa!$A:$AJ,BD$5,0)),0,1/VLOOKUP($R463,Capa!$A:$AJ,BD$5,0))))</f>
        <v/>
      </c>
      <c r="BE463" s="174" t="str">
        <f>IF(BE$6="","",IF(BE$3="Maior",iferror(VLOOKUP($R463,Capa!$A:$AJ,BE$5,0),0),IF(ISERROR(1/VLOOKUP($R463,Capa!$A:$AJ,BE$5,0)),0,1/VLOOKUP($R463,Capa!$A:$AJ,BE$5,0))))</f>
        <v/>
      </c>
      <c r="BF463" s="174" t="str">
        <f>IF(BF$6="","",IF(BF$3="Maior",iferror(VLOOKUP($R463,Capa!$A:$AJ,BF$5,0),0),IF(ISERROR(1/VLOOKUP($R463,Capa!$A:$AJ,BF$5,0)),0,1/VLOOKUP($R463,Capa!$A:$AJ,BF$5,0))))</f>
        <v/>
      </c>
      <c r="BG463" s="174" t="str">
        <f>IF(BG$6="","",IF(BG$3="Maior",iferror(VLOOKUP($R463,Capa!$A:$AJ,BG$5,0),0),IF(ISERROR(1/VLOOKUP($R463,Capa!$A:$AJ,BG$5,0)),0,1/VLOOKUP($R463,Capa!$A:$AJ,BG$5,0))))</f>
        <v/>
      </c>
      <c r="BH463" s="174" t="str">
        <f>IF(BH$6="","",IF(BH$3="Maior",iferror(VLOOKUP($R463,Capa!$A:$AJ,BH$5,0),0),IF(ISERROR(1/VLOOKUP($R463,Capa!$A:$AJ,BH$5,0)),0,1/VLOOKUP($R463,Capa!$A:$AJ,BH$5,0))))</f>
        <v/>
      </c>
      <c r="BI463" s="174" t="str">
        <f>IF(BI$6="","",IF(BI$3="Maior",iferror(VLOOKUP($R463,Capa!$A:$AJ,BI$5,0),0),IF(ISERROR(1/VLOOKUP($R463,Capa!$A:$AJ,BI$5,0)),0,1/VLOOKUP($R463,Capa!$A:$AJ,BI$5,0))))</f>
        <v/>
      </c>
      <c r="BJ463" s="174" t="str">
        <f>IF(BJ$6="","",IF(BJ$3="Maior",iferror(VLOOKUP($R463,Capa!$A:$AJ,BJ$5,0),0),IF(ISERROR(1/VLOOKUP($R463,Capa!$A:$AJ,BJ$5,0)),0,1/VLOOKUP($R463,Capa!$A:$AJ,BJ$5,0))))</f>
        <v/>
      </c>
      <c r="BK463" s="174" t="str">
        <f>IF(BK$6="","",IF(BK$3="Maior",iferror(VLOOKUP($R463,Capa!$A:$AJ,BK$5,0),0),IF(ISERROR(1/VLOOKUP($R463,Capa!$A:$AJ,BK$5,0)),0,1/VLOOKUP($R463,Capa!$A:$AJ,BK$5,0))))</f>
        <v/>
      </c>
      <c r="BL463" s="174" t="str">
        <f>IF(BL$6="","",IF(BL$3="Maior",iferror(VLOOKUP($R463,Capa!$A:$AJ,BL$5,0),0),IF(ISERROR(1/VLOOKUP($R463,Capa!$A:$AJ,BL$5,0)),0,1/VLOOKUP($R463,Capa!$A:$AJ,BL$5,0))))</f>
        <v/>
      </c>
      <c r="BM463" s="174" t="str">
        <f>IF(BM$6="","",IF(BM$3="Maior",iferror(VLOOKUP($R463,Capa!$A:$AJ,BM$5,0),0),IF(ISERROR(1/VLOOKUP($R463,Capa!$A:$AJ,BM$5,0)),0,1/VLOOKUP($R463,Capa!$A:$AJ,BM$5,0))))</f>
        <v/>
      </c>
      <c r="BN463" s="174" t="str">
        <f>IF(BN$6="","",IF(BN$3="Maior",iferror(VLOOKUP($R463,Capa!$A:$AJ,BN$5,0),0),IF(ISERROR(1/VLOOKUP($R463,Capa!$A:$AJ,BN$5,0)),0,1/VLOOKUP($R463,Capa!$A:$AJ,BN$5,0))))</f>
        <v/>
      </c>
      <c r="BO463" s="174" t="str">
        <f>IF(BO$6="","",IF(BO$3="Maior",iferror(VLOOKUP($R463,Capa!$A:$AJ,BO$5,0),0),IF(ISERROR(1/VLOOKUP($R463,Capa!$A:$AJ,BO$5,0)),0,1/VLOOKUP($R463,Capa!$A:$AJ,BO$5,0))))</f>
        <v/>
      </c>
      <c r="BP463" s="174" t="str">
        <f>IF(BP$6="","",IF(BP$3="Maior",iferror(VLOOKUP($R463,Capa!$A:$AJ,BP$5,0),0),IF(ISERROR(1/VLOOKUP($R463,Capa!$A:$AJ,BP$5,0)),0,1/VLOOKUP($R463,Capa!$A:$AJ,BP$5,0))))</f>
        <v/>
      </c>
      <c r="BQ463" s="174" t="str">
        <f>IF(BQ$6="","",IF(BQ$3="Maior",iferror(VLOOKUP($R463,Capa!$A:$AJ,BQ$5,0),0),IF(ISERROR(1/VLOOKUP($R463,Capa!$A:$AJ,BQ$5,0)),0,1/VLOOKUP($R463,Capa!$A:$AJ,BQ$5,0))))</f>
        <v/>
      </c>
      <c r="BR463" s="175"/>
      <c r="BS463" s="147"/>
    </row>
    <row r="464">
      <c r="H464" s="8">
        <v>458.0</v>
      </c>
      <c r="I464" s="165" t="str">
        <f t="shared" si="6"/>
        <v>TRAD3</v>
      </c>
      <c r="J464" s="166" t="str">
        <f>(VLOOKUP($I464,Capa!$A:$B,2,0))</f>
        <v>Tc SA</v>
      </c>
      <c r="K464" s="167" t="str">
        <f>VLOOKUP(left(I464,4),Setor!A:D,3,0)&amp;" | "&amp;VLOOKUP(left(I464,4),Setor!A:D,4,0)</f>
        <v>#N/A</v>
      </c>
      <c r="L464" s="168">
        <f>(VLOOKUP($I464,Capa!$A:$F,6,0))</f>
        <v>2.94</v>
      </c>
      <c r="M464" s="168">
        <f t="shared" si="7"/>
        <v>78874.62</v>
      </c>
      <c r="N464" s="177" t="str">
        <f>IFERROR(__xludf.DUMMYFUNCTION("(VLOOKUP($I464,Capa!$A:$H,7,0))"),"")</f>
        <v/>
      </c>
      <c r="O464" s="169">
        <f>(VLOOKUP($I464,Capa!$A:$H,8,0))</f>
        <v>-0.1833333333</v>
      </c>
      <c r="P464" s="169" t="str">
        <f>IFERROR(__xludf.DUMMYFUNCTION("(VLOOKUP($I464,Capa!$A:$J,10,0))"),"")</f>
        <v/>
      </c>
      <c r="Q464" s="169">
        <f>(VLOOKUP($I464,Capa!$A:$K,11,0))</f>
        <v>-0.4410646388</v>
      </c>
      <c r="R464" s="45" t="str">
        <f>'Dados StatusInvest'!A459</f>
        <v>PMAM3</v>
      </c>
      <c r="S464" s="170">
        <f t="shared" si="234"/>
        <v>857.0857</v>
      </c>
      <c r="T464" s="171">
        <f>VLOOKUP(R464,'Dados StatusInvest'!A:Z,26,0)</f>
        <v>3162417</v>
      </c>
      <c r="U464" s="172">
        <f t="shared" ref="U464:AS464" si="467">IF(AT464="","", RANK(AT464,AT$7:AT$626,0)+RANK(AT464,AT$7:AT$626,0)/10000)</f>
        <v>590.059</v>
      </c>
      <c r="V464" s="172">
        <f t="shared" si="467"/>
        <v>267.0267</v>
      </c>
      <c r="W464" s="172" t="str">
        <f t="shared" si="467"/>
        <v/>
      </c>
      <c r="X464" s="172" t="str">
        <f t="shared" si="467"/>
        <v/>
      </c>
      <c r="Y464" s="172" t="str">
        <f t="shared" si="467"/>
        <v/>
      </c>
      <c r="Z464" s="172" t="str">
        <f t="shared" si="467"/>
        <v/>
      </c>
      <c r="AA464" s="172" t="str">
        <f t="shared" si="467"/>
        <v/>
      </c>
      <c r="AB464" s="172" t="str">
        <f t="shared" si="467"/>
        <v/>
      </c>
      <c r="AC464" s="172" t="str">
        <f t="shared" si="467"/>
        <v/>
      </c>
      <c r="AD464" s="172" t="str">
        <f t="shared" si="467"/>
        <v/>
      </c>
      <c r="AE464" s="172" t="str">
        <f t="shared" si="467"/>
        <v/>
      </c>
      <c r="AF464" s="172" t="str">
        <f t="shared" si="467"/>
        <v/>
      </c>
      <c r="AG464" s="172" t="str">
        <f t="shared" si="467"/>
        <v/>
      </c>
      <c r="AH464" s="172" t="str">
        <f t="shared" si="467"/>
        <v/>
      </c>
      <c r="AI464" s="172" t="str">
        <f t="shared" si="467"/>
        <v/>
      </c>
      <c r="AJ464" s="172" t="str">
        <f t="shared" si="467"/>
        <v/>
      </c>
      <c r="AK464" s="172" t="str">
        <f t="shared" si="467"/>
        <v/>
      </c>
      <c r="AL464" s="172" t="str">
        <f t="shared" si="467"/>
        <v/>
      </c>
      <c r="AM464" s="172" t="str">
        <f t="shared" si="467"/>
        <v/>
      </c>
      <c r="AN464" s="172" t="str">
        <f t="shared" si="467"/>
        <v/>
      </c>
      <c r="AO464" s="172" t="str">
        <f t="shared" si="467"/>
        <v/>
      </c>
      <c r="AP464" s="172" t="str">
        <f t="shared" si="467"/>
        <v/>
      </c>
      <c r="AQ464" s="172" t="str">
        <f t="shared" si="467"/>
        <v/>
      </c>
      <c r="AR464" s="172" t="str">
        <f t="shared" si="467"/>
        <v/>
      </c>
      <c r="AS464" s="172" t="str">
        <f t="shared" si="467"/>
        <v/>
      </c>
      <c r="AT464" s="173">
        <f>IF(AT$6="","",IF(AT$3="Maior",iferror(VLOOKUP($R464,Capa!$A:$AJ,AT$5,0),0),IF(ISERROR(1/VLOOKUP($R464,Capa!$A:$AJ,AT$5,0)),0,1/VLOOKUP($R464,Capa!$A:$AJ,AT$5,0))))</f>
        <v>-12.54355401</v>
      </c>
      <c r="AU464" s="174">
        <f>IF(AU$6="","",IF(AU$3="Maior",iferror(VLOOKUP($R464,Capa!$A:$AJ,AU$5,0),0),IF(ISERROR(1/VLOOKUP($R464,Capa!$A:$AJ,AU$5,0)),0,1/VLOOKUP($R464,Capa!$A:$AJ,AU$5,0))))</f>
        <v>0</v>
      </c>
      <c r="AV464" s="174" t="str">
        <f>IF(AV$6="","",IF(AV$3="Maior",iferror(VLOOKUP($R464,Capa!$A:$AJ,AV$5,0),0),IF(ISERROR(1/VLOOKUP($R464,Capa!$A:$AJ,AV$5,0)),0,1/VLOOKUP($R464,Capa!$A:$AJ,AV$5,0))))</f>
        <v/>
      </c>
      <c r="AW464" s="174" t="str">
        <f>IF(AW$6="","",IF(AW$3="Maior",iferror(VLOOKUP($R464,Capa!$A:$AJ,AW$5,0),0),IF(ISERROR(1/VLOOKUP($R464,Capa!$A:$AJ,AW$5,0)),0,1/VLOOKUP($R464,Capa!$A:$AJ,AW$5,0))))</f>
        <v/>
      </c>
      <c r="AX464" s="174" t="str">
        <f>IF(AX$6="","",IF(AX$3="Maior",iferror(VLOOKUP($R464,Capa!$A:$AJ,AX$5,0),0),IF(ISERROR(1/VLOOKUP($R464,Capa!$A:$AJ,AX$5,0)),0,1/VLOOKUP($R464,Capa!$A:$AJ,AX$5,0))))</f>
        <v/>
      </c>
      <c r="AY464" s="174" t="str">
        <f>IF(AY$6="","",IF(AY$3="Maior",iferror(VLOOKUP($R464,Capa!$A:$AJ,AY$5,0),0),IF(ISERROR(1/VLOOKUP($R464,Capa!$A:$AJ,AY$5,0)),0,1/VLOOKUP($R464,Capa!$A:$AJ,AY$5,0))))</f>
        <v/>
      </c>
      <c r="AZ464" s="174" t="str">
        <f>IF(AZ$6="","",IF(AZ$3="Maior",iferror(VLOOKUP($R464,Capa!$A:$AJ,AZ$5,0),0),IF(ISERROR(1/VLOOKUP($R464,Capa!$A:$AJ,AZ$5,0)),0,1/VLOOKUP($R464,Capa!$A:$AJ,AZ$5,0))))</f>
        <v/>
      </c>
      <c r="BA464" s="174" t="str">
        <f>IF(BA$6="","",IF(BA$3="Maior",iferror(VLOOKUP($R464,Capa!$A:$AJ,BA$5,0),0),IF(ISERROR(1/VLOOKUP($R464,Capa!$A:$AJ,BA$5,0)),0,1/VLOOKUP($R464,Capa!$A:$AJ,BA$5,0))))</f>
        <v/>
      </c>
      <c r="BB464" s="174" t="str">
        <f>IF(BB$6="","",IF(BB$3="Maior",iferror(VLOOKUP($R464,Capa!$A:$AJ,BB$5,0),0),IF(ISERROR(1/VLOOKUP($R464,Capa!$A:$AJ,BB$5,0)),0,1/VLOOKUP($R464,Capa!$A:$AJ,BB$5,0))))</f>
        <v/>
      </c>
      <c r="BC464" s="174" t="str">
        <f>IF(BC$6="","",IF(BC$3="Maior",iferror(VLOOKUP($R464,Capa!$A:$AJ,BC$5,0),0),IF(ISERROR(1/VLOOKUP($R464,Capa!$A:$AJ,BC$5,0)),0,1/VLOOKUP($R464,Capa!$A:$AJ,BC$5,0))))</f>
        <v/>
      </c>
      <c r="BD464" s="174" t="str">
        <f>IF(BD$6="","",IF(BD$3="Maior",iferror(VLOOKUP($R464,Capa!$A:$AJ,BD$5,0),0),IF(ISERROR(1/VLOOKUP($R464,Capa!$A:$AJ,BD$5,0)),0,1/VLOOKUP($R464,Capa!$A:$AJ,BD$5,0))))</f>
        <v/>
      </c>
      <c r="BE464" s="174" t="str">
        <f>IF(BE$6="","",IF(BE$3="Maior",iferror(VLOOKUP($R464,Capa!$A:$AJ,BE$5,0),0),IF(ISERROR(1/VLOOKUP($R464,Capa!$A:$AJ,BE$5,0)),0,1/VLOOKUP($R464,Capa!$A:$AJ,BE$5,0))))</f>
        <v/>
      </c>
      <c r="BF464" s="174" t="str">
        <f>IF(BF$6="","",IF(BF$3="Maior",iferror(VLOOKUP($R464,Capa!$A:$AJ,BF$5,0),0),IF(ISERROR(1/VLOOKUP($R464,Capa!$A:$AJ,BF$5,0)),0,1/VLOOKUP($R464,Capa!$A:$AJ,BF$5,0))))</f>
        <v/>
      </c>
      <c r="BG464" s="174" t="str">
        <f>IF(BG$6="","",IF(BG$3="Maior",iferror(VLOOKUP($R464,Capa!$A:$AJ,BG$5,0),0),IF(ISERROR(1/VLOOKUP($R464,Capa!$A:$AJ,BG$5,0)),0,1/VLOOKUP($R464,Capa!$A:$AJ,BG$5,0))))</f>
        <v/>
      </c>
      <c r="BH464" s="174" t="str">
        <f>IF(BH$6="","",IF(BH$3="Maior",iferror(VLOOKUP($R464,Capa!$A:$AJ,BH$5,0),0),IF(ISERROR(1/VLOOKUP($R464,Capa!$A:$AJ,BH$5,0)),0,1/VLOOKUP($R464,Capa!$A:$AJ,BH$5,0))))</f>
        <v/>
      </c>
      <c r="BI464" s="174" t="str">
        <f>IF(BI$6="","",IF(BI$3="Maior",iferror(VLOOKUP($R464,Capa!$A:$AJ,BI$5,0),0),IF(ISERROR(1/VLOOKUP($R464,Capa!$A:$AJ,BI$5,0)),0,1/VLOOKUP($R464,Capa!$A:$AJ,BI$5,0))))</f>
        <v/>
      </c>
      <c r="BJ464" s="174" t="str">
        <f>IF(BJ$6="","",IF(BJ$3="Maior",iferror(VLOOKUP($R464,Capa!$A:$AJ,BJ$5,0),0),IF(ISERROR(1/VLOOKUP($R464,Capa!$A:$AJ,BJ$5,0)),0,1/VLOOKUP($R464,Capa!$A:$AJ,BJ$5,0))))</f>
        <v/>
      </c>
      <c r="BK464" s="174" t="str">
        <f>IF(BK$6="","",IF(BK$3="Maior",iferror(VLOOKUP($R464,Capa!$A:$AJ,BK$5,0),0),IF(ISERROR(1/VLOOKUP($R464,Capa!$A:$AJ,BK$5,0)),0,1/VLOOKUP($R464,Capa!$A:$AJ,BK$5,0))))</f>
        <v/>
      </c>
      <c r="BL464" s="174" t="str">
        <f>IF(BL$6="","",IF(BL$3="Maior",iferror(VLOOKUP($R464,Capa!$A:$AJ,BL$5,0),0),IF(ISERROR(1/VLOOKUP($R464,Capa!$A:$AJ,BL$5,0)),0,1/VLOOKUP($R464,Capa!$A:$AJ,BL$5,0))))</f>
        <v/>
      </c>
      <c r="BM464" s="174" t="str">
        <f>IF(BM$6="","",IF(BM$3="Maior",iferror(VLOOKUP($R464,Capa!$A:$AJ,BM$5,0),0),IF(ISERROR(1/VLOOKUP($R464,Capa!$A:$AJ,BM$5,0)),0,1/VLOOKUP($R464,Capa!$A:$AJ,BM$5,0))))</f>
        <v/>
      </c>
      <c r="BN464" s="174" t="str">
        <f>IF(BN$6="","",IF(BN$3="Maior",iferror(VLOOKUP($R464,Capa!$A:$AJ,BN$5,0),0),IF(ISERROR(1/VLOOKUP($R464,Capa!$A:$AJ,BN$5,0)),0,1/VLOOKUP($R464,Capa!$A:$AJ,BN$5,0))))</f>
        <v/>
      </c>
      <c r="BO464" s="174" t="str">
        <f>IF(BO$6="","",IF(BO$3="Maior",iferror(VLOOKUP($R464,Capa!$A:$AJ,BO$5,0),0),IF(ISERROR(1/VLOOKUP($R464,Capa!$A:$AJ,BO$5,0)),0,1/VLOOKUP($R464,Capa!$A:$AJ,BO$5,0))))</f>
        <v/>
      </c>
      <c r="BP464" s="174" t="str">
        <f>IF(BP$6="","",IF(BP$3="Maior",iferror(VLOOKUP($R464,Capa!$A:$AJ,BP$5,0),0),IF(ISERROR(1/VLOOKUP($R464,Capa!$A:$AJ,BP$5,0)),0,1/VLOOKUP($R464,Capa!$A:$AJ,BP$5,0))))</f>
        <v/>
      </c>
      <c r="BQ464" s="174" t="str">
        <f>IF(BQ$6="","",IF(BQ$3="Maior",iferror(VLOOKUP($R464,Capa!$A:$AJ,BQ$5,0),0),IF(ISERROR(1/VLOOKUP($R464,Capa!$A:$AJ,BQ$5,0)),0,1/VLOOKUP($R464,Capa!$A:$AJ,BQ$5,0))))</f>
        <v/>
      </c>
      <c r="BR464" s="175"/>
      <c r="BS464" s="147"/>
    </row>
    <row r="465">
      <c r="H465" s="8">
        <v>459.0</v>
      </c>
      <c r="I465" s="165" t="str">
        <f t="shared" si="6"/>
        <v>LPSB3</v>
      </c>
      <c r="J465" s="166" t="str">
        <f>(VLOOKUP($I465,Capa!$A:$B,2,0))</f>
        <v>LPS Brasil Consultoria de Imoveis SA</v>
      </c>
      <c r="K465" s="167" t="str">
        <f>VLOOKUP(left(I465,4),Setor!A:D,3,0)&amp;" | "&amp;VLOOKUP(left(I465,4),Setor!A:D,4,0)</f>
        <v>Financeiro | Exploração de Imóveis</v>
      </c>
      <c r="L465" s="168">
        <f>(VLOOKUP($I465,Capa!$A:$F,6,0))</f>
        <v>1.84</v>
      </c>
      <c r="M465" s="168">
        <f t="shared" si="7"/>
        <v>430064.2</v>
      </c>
      <c r="N465" s="11" t="str">
        <f>IFERROR(__xludf.DUMMYFUNCTION("(VLOOKUP($I465,Capa!$A:$H,7,0))"),"")</f>
        <v/>
      </c>
      <c r="O465" s="169">
        <f>(VLOOKUP($I465,Capa!$A:$H,8,0))</f>
        <v>0.15</v>
      </c>
      <c r="P465" s="11" t="str">
        <f>IFERROR(__xludf.DUMMYFUNCTION("(VLOOKUP($I465,Capa!$A:$J,10,0))"),"")</f>
        <v/>
      </c>
      <c r="Q465" s="169">
        <f>(VLOOKUP($I465,Capa!$A:$K,11,0))</f>
        <v>0.4488188976</v>
      </c>
      <c r="R465" s="45" t="str">
        <f>'Dados StatusInvest'!A460</f>
        <v>PNVL3</v>
      </c>
      <c r="S465" s="170">
        <f t="shared" si="234"/>
        <v>502.0502</v>
      </c>
      <c r="T465" s="171">
        <f>VLOOKUP(R465,'Dados StatusInvest'!A:Z,26,0)</f>
        <v>12591551</v>
      </c>
      <c r="U465" s="172">
        <f t="shared" ref="U465:AS465" si="468">IF(AT465="","", RANK(AT465,AT$7:AT$626,0)+RANK(AT465,AT$7:AT$626,0)/10000)</f>
        <v>280.028</v>
      </c>
      <c r="V465" s="172">
        <f t="shared" si="468"/>
        <v>222.0222</v>
      </c>
      <c r="W465" s="172" t="str">
        <f t="shared" si="468"/>
        <v/>
      </c>
      <c r="X465" s="172" t="str">
        <f t="shared" si="468"/>
        <v/>
      </c>
      <c r="Y465" s="172" t="str">
        <f t="shared" si="468"/>
        <v/>
      </c>
      <c r="Z465" s="172" t="str">
        <f t="shared" si="468"/>
        <v/>
      </c>
      <c r="AA465" s="172" t="str">
        <f t="shared" si="468"/>
        <v/>
      </c>
      <c r="AB465" s="172" t="str">
        <f t="shared" si="468"/>
        <v/>
      </c>
      <c r="AC465" s="172" t="str">
        <f t="shared" si="468"/>
        <v/>
      </c>
      <c r="AD465" s="172" t="str">
        <f t="shared" si="468"/>
        <v/>
      </c>
      <c r="AE465" s="172" t="str">
        <f t="shared" si="468"/>
        <v/>
      </c>
      <c r="AF465" s="172" t="str">
        <f t="shared" si="468"/>
        <v/>
      </c>
      <c r="AG465" s="172" t="str">
        <f t="shared" si="468"/>
        <v/>
      </c>
      <c r="AH465" s="172" t="str">
        <f t="shared" si="468"/>
        <v/>
      </c>
      <c r="AI465" s="172" t="str">
        <f t="shared" si="468"/>
        <v/>
      </c>
      <c r="AJ465" s="172" t="str">
        <f t="shared" si="468"/>
        <v/>
      </c>
      <c r="AK465" s="172" t="str">
        <f t="shared" si="468"/>
        <v/>
      </c>
      <c r="AL465" s="172" t="str">
        <f t="shared" si="468"/>
        <v/>
      </c>
      <c r="AM465" s="172" t="str">
        <f t="shared" si="468"/>
        <v/>
      </c>
      <c r="AN465" s="172" t="str">
        <f t="shared" si="468"/>
        <v/>
      </c>
      <c r="AO465" s="172" t="str">
        <f t="shared" si="468"/>
        <v/>
      </c>
      <c r="AP465" s="172" t="str">
        <f t="shared" si="468"/>
        <v/>
      </c>
      <c r="AQ465" s="172" t="str">
        <f t="shared" si="468"/>
        <v/>
      </c>
      <c r="AR465" s="172" t="str">
        <f t="shared" si="468"/>
        <v/>
      </c>
      <c r="AS465" s="172" t="str">
        <f t="shared" si="468"/>
        <v/>
      </c>
      <c r="AT465" s="173">
        <f>IF(AT$6="","",IF(AT$3="Maior",iferror(VLOOKUP($R465,Capa!$A:$AJ,AT$5,0),0),IF(ISERROR(1/VLOOKUP($R465,Capa!$A:$AJ,AT$5,0)),0,1/VLOOKUP($R465,Capa!$A:$AJ,AT$5,0))))</f>
        <v>-0.6024096386</v>
      </c>
      <c r="AU465" s="174">
        <f>IF(AU$6="","",IF(AU$3="Maior",iferror(VLOOKUP($R465,Capa!$A:$AJ,AU$5,0),0),IF(ISERROR(1/VLOOKUP($R465,Capa!$A:$AJ,AU$5,0)),0,1/VLOOKUP($R465,Capa!$A:$AJ,AU$5,0))))</f>
        <v>8.01</v>
      </c>
      <c r="AV465" s="174" t="str">
        <f>IF(AV$6="","",IF(AV$3="Maior",iferror(VLOOKUP($R465,Capa!$A:$AJ,AV$5,0),0),IF(ISERROR(1/VLOOKUP($R465,Capa!$A:$AJ,AV$5,0)),0,1/VLOOKUP($R465,Capa!$A:$AJ,AV$5,0))))</f>
        <v/>
      </c>
      <c r="AW465" s="174" t="str">
        <f>IF(AW$6="","",IF(AW$3="Maior",iferror(VLOOKUP($R465,Capa!$A:$AJ,AW$5,0),0),IF(ISERROR(1/VLOOKUP($R465,Capa!$A:$AJ,AW$5,0)),0,1/VLOOKUP($R465,Capa!$A:$AJ,AW$5,0))))</f>
        <v/>
      </c>
      <c r="AX465" s="174" t="str">
        <f>IF(AX$6="","",IF(AX$3="Maior",iferror(VLOOKUP($R465,Capa!$A:$AJ,AX$5,0),0),IF(ISERROR(1/VLOOKUP($R465,Capa!$A:$AJ,AX$5,0)),0,1/VLOOKUP($R465,Capa!$A:$AJ,AX$5,0))))</f>
        <v/>
      </c>
      <c r="AY465" s="174" t="str">
        <f>IF(AY$6="","",IF(AY$3="Maior",iferror(VLOOKUP($R465,Capa!$A:$AJ,AY$5,0),0),IF(ISERROR(1/VLOOKUP($R465,Capa!$A:$AJ,AY$5,0)),0,1/VLOOKUP($R465,Capa!$A:$AJ,AY$5,0))))</f>
        <v/>
      </c>
      <c r="AZ465" s="174" t="str">
        <f>IF(AZ$6="","",IF(AZ$3="Maior",iferror(VLOOKUP($R465,Capa!$A:$AJ,AZ$5,0),0),IF(ISERROR(1/VLOOKUP($R465,Capa!$A:$AJ,AZ$5,0)),0,1/VLOOKUP($R465,Capa!$A:$AJ,AZ$5,0))))</f>
        <v/>
      </c>
      <c r="BA465" s="174" t="str">
        <f>IF(BA$6="","",IF(BA$3="Maior",iferror(VLOOKUP($R465,Capa!$A:$AJ,BA$5,0),0),IF(ISERROR(1/VLOOKUP($R465,Capa!$A:$AJ,BA$5,0)),0,1/VLOOKUP($R465,Capa!$A:$AJ,BA$5,0))))</f>
        <v/>
      </c>
      <c r="BB465" s="174" t="str">
        <f>IF(BB$6="","",IF(BB$3="Maior",iferror(VLOOKUP($R465,Capa!$A:$AJ,BB$5,0),0),IF(ISERROR(1/VLOOKUP($R465,Capa!$A:$AJ,BB$5,0)),0,1/VLOOKUP($R465,Capa!$A:$AJ,BB$5,0))))</f>
        <v/>
      </c>
      <c r="BC465" s="174" t="str">
        <f>IF(BC$6="","",IF(BC$3="Maior",iferror(VLOOKUP($R465,Capa!$A:$AJ,BC$5,0),0),IF(ISERROR(1/VLOOKUP($R465,Capa!$A:$AJ,BC$5,0)),0,1/VLOOKUP($R465,Capa!$A:$AJ,BC$5,0))))</f>
        <v/>
      </c>
      <c r="BD465" s="174" t="str">
        <f>IF(BD$6="","",IF(BD$3="Maior",iferror(VLOOKUP($R465,Capa!$A:$AJ,BD$5,0),0),IF(ISERROR(1/VLOOKUP($R465,Capa!$A:$AJ,BD$5,0)),0,1/VLOOKUP($R465,Capa!$A:$AJ,BD$5,0))))</f>
        <v/>
      </c>
      <c r="BE465" s="174" t="str">
        <f>IF(BE$6="","",IF(BE$3="Maior",iferror(VLOOKUP($R465,Capa!$A:$AJ,BE$5,0),0),IF(ISERROR(1/VLOOKUP($R465,Capa!$A:$AJ,BE$5,0)),0,1/VLOOKUP($R465,Capa!$A:$AJ,BE$5,0))))</f>
        <v/>
      </c>
      <c r="BF465" s="174" t="str">
        <f>IF(BF$6="","",IF(BF$3="Maior",iferror(VLOOKUP($R465,Capa!$A:$AJ,BF$5,0),0),IF(ISERROR(1/VLOOKUP($R465,Capa!$A:$AJ,BF$5,0)),0,1/VLOOKUP($R465,Capa!$A:$AJ,BF$5,0))))</f>
        <v/>
      </c>
      <c r="BG465" s="174" t="str">
        <f>IF(BG$6="","",IF(BG$3="Maior",iferror(VLOOKUP($R465,Capa!$A:$AJ,BG$5,0),0),IF(ISERROR(1/VLOOKUP($R465,Capa!$A:$AJ,BG$5,0)),0,1/VLOOKUP($R465,Capa!$A:$AJ,BG$5,0))))</f>
        <v/>
      </c>
      <c r="BH465" s="174" t="str">
        <f>IF(BH$6="","",IF(BH$3="Maior",iferror(VLOOKUP($R465,Capa!$A:$AJ,BH$5,0),0),IF(ISERROR(1/VLOOKUP($R465,Capa!$A:$AJ,BH$5,0)),0,1/VLOOKUP($R465,Capa!$A:$AJ,BH$5,0))))</f>
        <v/>
      </c>
      <c r="BI465" s="174" t="str">
        <f>IF(BI$6="","",IF(BI$3="Maior",iferror(VLOOKUP($R465,Capa!$A:$AJ,BI$5,0),0),IF(ISERROR(1/VLOOKUP($R465,Capa!$A:$AJ,BI$5,0)),0,1/VLOOKUP($R465,Capa!$A:$AJ,BI$5,0))))</f>
        <v/>
      </c>
      <c r="BJ465" s="174" t="str">
        <f>IF(BJ$6="","",IF(BJ$3="Maior",iferror(VLOOKUP($R465,Capa!$A:$AJ,BJ$5,0),0),IF(ISERROR(1/VLOOKUP($R465,Capa!$A:$AJ,BJ$5,0)),0,1/VLOOKUP($R465,Capa!$A:$AJ,BJ$5,0))))</f>
        <v/>
      </c>
      <c r="BK465" s="174" t="str">
        <f>IF(BK$6="","",IF(BK$3="Maior",iferror(VLOOKUP($R465,Capa!$A:$AJ,BK$5,0),0),IF(ISERROR(1/VLOOKUP($R465,Capa!$A:$AJ,BK$5,0)),0,1/VLOOKUP($R465,Capa!$A:$AJ,BK$5,0))))</f>
        <v/>
      </c>
      <c r="BL465" s="174" t="str">
        <f>IF(BL$6="","",IF(BL$3="Maior",iferror(VLOOKUP($R465,Capa!$A:$AJ,BL$5,0),0),IF(ISERROR(1/VLOOKUP($R465,Capa!$A:$AJ,BL$5,0)),0,1/VLOOKUP($R465,Capa!$A:$AJ,BL$5,0))))</f>
        <v/>
      </c>
      <c r="BM465" s="174" t="str">
        <f>IF(BM$6="","",IF(BM$3="Maior",iferror(VLOOKUP($R465,Capa!$A:$AJ,BM$5,0),0),IF(ISERROR(1/VLOOKUP($R465,Capa!$A:$AJ,BM$5,0)),0,1/VLOOKUP($R465,Capa!$A:$AJ,BM$5,0))))</f>
        <v/>
      </c>
      <c r="BN465" s="174" t="str">
        <f>IF(BN$6="","",IF(BN$3="Maior",iferror(VLOOKUP($R465,Capa!$A:$AJ,BN$5,0),0),IF(ISERROR(1/VLOOKUP($R465,Capa!$A:$AJ,BN$5,0)),0,1/VLOOKUP($R465,Capa!$A:$AJ,BN$5,0))))</f>
        <v/>
      </c>
      <c r="BO465" s="174" t="str">
        <f>IF(BO$6="","",IF(BO$3="Maior",iferror(VLOOKUP($R465,Capa!$A:$AJ,BO$5,0),0),IF(ISERROR(1/VLOOKUP($R465,Capa!$A:$AJ,BO$5,0)),0,1/VLOOKUP($R465,Capa!$A:$AJ,BO$5,0))))</f>
        <v/>
      </c>
      <c r="BP465" s="174" t="str">
        <f>IF(BP$6="","",IF(BP$3="Maior",iferror(VLOOKUP($R465,Capa!$A:$AJ,BP$5,0),0),IF(ISERROR(1/VLOOKUP($R465,Capa!$A:$AJ,BP$5,0)),0,1/VLOOKUP($R465,Capa!$A:$AJ,BP$5,0))))</f>
        <v/>
      </c>
      <c r="BQ465" s="174" t="str">
        <f>IF(BQ$6="","",IF(BQ$3="Maior",iferror(VLOOKUP($R465,Capa!$A:$AJ,BQ$5,0),0),IF(ISERROR(1/VLOOKUP($R465,Capa!$A:$AJ,BQ$5,0)),0,1/VLOOKUP($R465,Capa!$A:$AJ,BQ$5,0))))</f>
        <v/>
      </c>
      <c r="BR465" s="175"/>
      <c r="BS465" s="147"/>
    </row>
    <row r="466">
      <c r="H466" s="8">
        <v>460.0</v>
      </c>
      <c r="I466" s="165" t="str">
        <f t="shared" si="6"/>
        <v>LAND3</v>
      </c>
      <c r="J466" s="166" t="str">
        <f>(VLOOKUP($I466,Capa!$A:$B,2,0))</f>
        <v>Terra Santa Propriedades Agricolas SA</v>
      </c>
      <c r="K466" s="167" t="str">
        <f>VLOOKUP(left(I466,4),Setor!A:D,3,0)&amp;" | "&amp;VLOOKUP(left(I466,4),Setor!A:D,4,0)</f>
        <v>#N/A</v>
      </c>
      <c r="L466" s="168">
        <f>(VLOOKUP($I466,Capa!$A:$F,6,0))</f>
        <v>8.45</v>
      </c>
      <c r="M466" s="168">
        <f t="shared" si="7"/>
        <v>394016.4</v>
      </c>
      <c r="N466" s="11" t="str">
        <f>IFERROR(__xludf.DUMMYFUNCTION("(VLOOKUP($I466,Capa!$A:$H,7,0))"),"")</f>
        <v/>
      </c>
      <c r="O466" s="169">
        <f>(VLOOKUP($I466,Capa!$A:$H,8,0))</f>
        <v>-0.004711425206</v>
      </c>
      <c r="P466" s="11" t="str">
        <f>IFERROR(__xludf.DUMMYFUNCTION("(VLOOKUP($I466,Capa!$A:$J,10,0))"),"")</f>
        <v/>
      </c>
      <c r="Q466" s="169">
        <f>(VLOOKUP($I466,Capa!$A:$K,11,0))</f>
        <v>-0.4437129691</v>
      </c>
      <c r="R466" s="45" t="str">
        <f>'Dados StatusInvest'!A461</f>
        <v>PNVL4</v>
      </c>
      <c r="S466" s="170">
        <f t="shared" si="234"/>
        <v>1400.04</v>
      </c>
      <c r="T466" s="171">
        <f>VLOOKUP(R466,'Dados StatusInvest'!A:Z,26,0)</f>
        <v>0</v>
      </c>
      <c r="U466" s="172">
        <f t="shared" ref="U466:AS466" si="469">IF(AT466="","", RANK(AT466,AT$7:AT$626,0)+RANK(AT466,AT$7:AT$626,0)/10000)</f>
        <v>178.0178</v>
      </c>
      <c r="V466" s="172">
        <f t="shared" si="469"/>
        <v>222.0222</v>
      </c>
      <c r="W466" s="172" t="str">
        <f t="shared" si="469"/>
        <v/>
      </c>
      <c r="X466" s="172" t="str">
        <f t="shared" si="469"/>
        <v/>
      </c>
      <c r="Y466" s="172" t="str">
        <f t="shared" si="469"/>
        <v/>
      </c>
      <c r="Z466" s="172" t="str">
        <f t="shared" si="469"/>
        <v/>
      </c>
      <c r="AA466" s="172" t="str">
        <f t="shared" si="469"/>
        <v/>
      </c>
      <c r="AB466" s="172" t="str">
        <f t="shared" si="469"/>
        <v/>
      </c>
      <c r="AC466" s="172" t="str">
        <f t="shared" si="469"/>
        <v/>
      </c>
      <c r="AD466" s="172" t="str">
        <f t="shared" si="469"/>
        <v/>
      </c>
      <c r="AE466" s="172" t="str">
        <f t="shared" si="469"/>
        <v/>
      </c>
      <c r="AF466" s="172" t="str">
        <f t="shared" si="469"/>
        <v/>
      </c>
      <c r="AG466" s="172" t="str">
        <f t="shared" si="469"/>
        <v/>
      </c>
      <c r="AH466" s="172" t="str">
        <f t="shared" si="469"/>
        <v/>
      </c>
      <c r="AI466" s="172" t="str">
        <f t="shared" si="469"/>
        <v/>
      </c>
      <c r="AJ466" s="172" t="str">
        <f t="shared" si="469"/>
        <v/>
      </c>
      <c r="AK466" s="172" t="str">
        <f t="shared" si="469"/>
        <v/>
      </c>
      <c r="AL466" s="172" t="str">
        <f t="shared" si="469"/>
        <v/>
      </c>
      <c r="AM466" s="172" t="str">
        <f t="shared" si="469"/>
        <v/>
      </c>
      <c r="AN466" s="172" t="str">
        <f t="shared" si="469"/>
        <v/>
      </c>
      <c r="AO466" s="172" t="str">
        <f t="shared" si="469"/>
        <v/>
      </c>
      <c r="AP466" s="172" t="str">
        <f t="shared" si="469"/>
        <v/>
      </c>
      <c r="AQ466" s="172" t="str">
        <f t="shared" si="469"/>
        <v/>
      </c>
      <c r="AR466" s="172" t="str">
        <f t="shared" si="469"/>
        <v/>
      </c>
      <c r="AS466" s="172" t="str">
        <f t="shared" si="469"/>
        <v/>
      </c>
      <c r="AT466" s="173">
        <f>IF(AT$6="","",IF(AT$3="Maior",iferror(VLOOKUP($R466,Capa!$A:$AJ,AT$5,0),0),IF(ISERROR(1/VLOOKUP($R466,Capa!$A:$AJ,AT$5,0)),0,1/VLOOKUP($R466,Capa!$A:$AJ,AT$5,0))))</f>
        <v>-0.2132196162</v>
      </c>
      <c r="AU466" s="174">
        <f>IF(AU$6="","",IF(AU$3="Maior",iferror(VLOOKUP($R466,Capa!$A:$AJ,AU$5,0),0),IF(ISERROR(1/VLOOKUP($R466,Capa!$A:$AJ,AU$5,0)),0,1/VLOOKUP($R466,Capa!$A:$AJ,AU$5,0))))</f>
        <v>8.01</v>
      </c>
      <c r="AV466" s="174" t="str">
        <f>IF(AV$6="","",IF(AV$3="Maior",iferror(VLOOKUP($R466,Capa!$A:$AJ,AV$5,0),0),IF(ISERROR(1/VLOOKUP($R466,Capa!$A:$AJ,AV$5,0)),0,1/VLOOKUP($R466,Capa!$A:$AJ,AV$5,0))))</f>
        <v/>
      </c>
      <c r="AW466" s="174" t="str">
        <f>IF(AW$6="","",IF(AW$3="Maior",iferror(VLOOKUP($R466,Capa!$A:$AJ,AW$5,0),0),IF(ISERROR(1/VLOOKUP($R466,Capa!$A:$AJ,AW$5,0)),0,1/VLOOKUP($R466,Capa!$A:$AJ,AW$5,0))))</f>
        <v/>
      </c>
      <c r="AX466" s="174" t="str">
        <f>IF(AX$6="","",IF(AX$3="Maior",iferror(VLOOKUP($R466,Capa!$A:$AJ,AX$5,0),0),IF(ISERROR(1/VLOOKUP($R466,Capa!$A:$AJ,AX$5,0)),0,1/VLOOKUP($R466,Capa!$A:$AJ,AX$5,0))))</f>
        <v/>
      </c>
      <c r="AY466" s="174" t="str">
        <f>IF(AY$6="","",IF(AY$3="Maior",iferror(VLOOKUP($R466,Capa!$A:$AJ,AY$5,0),0),IF(ISERROR(1/VLOOKUP($R466,Capa!$A:$AJ,AY$5,0)),0,1/VLOOKUP($R466,Capa!$A:$AJ,AY$5,0))))</f>
        <v/>
      </c>
      <c r="AZ466" s="174" t="str">
        <f>IF(AZ$6="","",IF(AZ$3="Maior",iferror(VLOOKUP($R466,Capa!$A:$AJ,AZ$5,0),0),IF(ISERROR(1/VLOOKUP($R466,Capa!$A:$AJ,AZ$5,0)),0,1/VLOOKUP($R466,Capa!$A:$AJ,AZ$5,0))))</f>
        <v/>
      </c>
      <c r="BA466" s="174" t="str">
        <f>IF(BA$6="","",IF(BA$3="Maior",iferror(VLOOKUP($R466,Capa!$A:$AJ,BA$5,0),0),IF(ISERROR(1/VLOOKUP($R466,Capa!$A:$AJ,BA$5,0)),0,1/VLOOKUP($R466,Capa!$A:$AJ,BA$5,0))))</f>
        <v/>
      </c>
      <c r="BB466" s="174" t="str">
        <f>IF(BB$6="","",IF(BB$3="Maior",iferror(VLOOKUP($R466,Capa!$A:$AJ,BB$5,0),0),IF(ISERROR(1/VLOOKUP($R466,Capa!$A:$AJ,BB$5,0)),0,1/VLOOKUP($R466,Capa!$A:$AJ,BB$5,0))))</f>
        <v/>
      </c>
      <c r="BC466" s="174" t="str">
        <f>IF(BC$6="","",IF(BC$3="Maior",iferror(VLOOKUP($R466,Capa!$A:$AJ,BC$5,0),0),IF(ISERROR(1/VLOOKUP($R466,Capa!$A:$AJ,BC$5,0)),0,1/VLOOKUP($R466,Capa!$A:$AJ,BC$5,0))))</f>
        <v/>
      </c>
      <c r="BD466" s="174" t="str">
        <f>IF(BD$6="","",IF(BD$3="Maior",iferror(VLOOKUP($R466,Capa!$A:$AJ,BD$5,0),0),IF(ISERROR(1/VLOOKUP($R466,Capa!$A:$AJ,BD$5,0)),0,1/VLOOKUP($R466,Capa!$A:$AJ,BD$5,0))))</f>
        <v/>
      </c>
      <c r="BE466" s="174" t="str">
        <f>IF(BE$6="","",IF(BE$3="Maior",iferror(VLOOKUP($R466,Capa!$A:$AJ,BE$5,0),0),IF(ISERROR(1/VLOOKUP($R466,Capa!$A:$AJ,BE$5,0)),0,1/VLOOKUP($R466,Capa!$A:$AJ,BE$5,0))))</f>
        <v/>
      </c>
      <c r="BF466" s="174" t="str">
        <f>IF(BF$6="","",IF(BF$3="Maior",iferror(VLOOKUP($R466,Capa!$A:$AJ,BF$5,0),0),IF(ISERROR(1/VLOOKUP($R466,Capa!$A:$AJ,BF$5,0)),0,1/VLOOKUP($R466,Capa!$A:$AJ,BF$5,0))))</f>
        <v/>
      </c>
      <c r="BG466" s="174" t="str">
        <f>IF(BG$6="","",IF(BG$3="Maior",iferror(VLOOKUP($R466,Capa!$A:$AJ,BG$5,0),0),IF(ISERROR(1/VLOOKUP($R466,Capa!$A:$AJ,BG$5,0)),0,1/VLOOKUP($R466,Capa!$A:$AJ,BG$5,0))))</f>
        <v/>
      </c>
      <c r="BH466" s="174" t="str">
        <f>IF(BH$6="","",IF(BH$3="Maior",iferror(VLOOKUP($R466,Capa!$A:$AJ,BH$5,0),0),IF(ISERROR(1/VLOOKUP($R466,Capa!$A:$AJ,BH$5,0)),0,1/VLOOKUP($R466,Capa!$A:$AJ,BH$5,0))))</f>
        <v/>
      </c>
      <c r="BI466" s="174" t="str">
        <f>IF(BI$6="","",IF(BI$3="Maior",iferror(VLOOKUP($R466,Capa!$A:$AJ,BI$5,0),0),IF(ISERROR(1/VLOOKUP($R466,Capa!$A:$AJ,BI$5,0)),0,1/VLOOKUP($R466,Capa!$A:$AJ,BI$5,0))))</f>
        <v/>
      </c>
      <c r="BJ466" s="174" t="str">
        <f>IF(BJ$6="","",IF(BJ$3="Maior",iferror(VLOOKUP($R466,Capa!$A:$AJ,BJ$5,0),0),IF(ISERROR(1/VLOOKUP($R466,Capa!$A:$AJ,BJ$5,0)),0,1/VLOOKUP($R466,Capa!$A:$AJ,BJ$5,0))))</f>
        <v/>
      </c>
      <c r="BK466" s="174" t="str">
        <f>IF(BK$6="","",IF(BK$3="Maior",iferror(VLOOKUP($R466,Capa!$A:$AJ,BK$5,0),0),IF(ISERROR(1/VLOOKUP($R466,Capa!$A:$AJ,BK$5,0)),0,1/VLOOKUP($R466,Capa!$A:$AJ,BK$5,0))))</f>
        <v/>
      </c>
      <c r="BL466" s="174" t="str">
        <f>IF(BL$6="","",IF(BL$3="Maior",iferror(VLOOKUP($R466,Capa!$A:$AJ,BL$5,0),0),IF(ISERROR(1/VLOOKUP($R466,Capa!$A:$AJ,BL$5,0)),0,1/VLOOKUP($R466,Capa!$A:$AJ,BL$5,0))))</f>
        <v/>
      </c>
      <c r="BM466" s="174" t="str">
        <f>IF(BM$6="","",IF(BM$3="Maior",iferror(VLOOKUP($R466,Capa!$A:$AJ,BM$5,0),0),IF(ISERROR(1/VLOOKUP($R466,Capa!$A:$AJ,BM$5,0)),0,1/VLOOKUP($R466,Capa!$A:$AJ,BM$5,0))))</f>
        <v/>
      </c>
      <c r="BN466" s="174" t="str">
        <f>IF(BN$6="","",IF(BN$3="Maior",iferror(VLOOKUP($R466,Capa!$A:$AJ,BN$5,0),0),IF(ISERROR(1/VLOOKUP($R466,Capa!$A:$AJ,BN$5,0)),0,1/VLOOKUP($R466,Capa!$A:$AJ,BN$5,0))))</f>
        <v/>
      </c>
      <c r="BO466" s="174" t="str">
        <f>IF(BO$6="","",IF(BO$3="Maior",iferror(VLOOKUP($R466,Capa!$A:$AJ,BO$5,0),0),IF(ISERROR(1/VLOOKUP($R466,Capa!$A:$AJ,BO$5,0)),0,1/VLOOKUP($R466,Capa!$A:$AJ,BO$5,0))))</f>
        <v/>
      </c>
      <c r="BP466" s="174" t="str">
        <f>IF(BP$6="","",IF(BP$3="Maior",iferror(VLOOKUP($R466,Capa!$A:$AJ,BP$5,0),0),IF(ISERROR(1/VLOOKUP($R466,Capa!$A:$AJ,BP$5,0)),0,1/VLOOKUP($R466,Capa!$A:$AJ,BP$5,0))))</f>
        <v/>
      </c>
      <c r="BQ466" s="174" t="str">
        <f>IF(BQ$6="","",IF(BQ$3="Maior",iferror(VLOOKUP($R466,Capa!$A:$AJ,BQ$5,0),0),IF(ISERROR(1/VLOOKUP($R466,Capa!$A:$AJ,BQ$5,0)),0,1/VLOOKUP($R466,Capa!$A:$AJ,BQ$5,0))))</f>
        <v/>
      </c>
      <c r="BR466" s="175"/>
      <c r="BS466" s="147"/>
    </row>
    <row r="467">
      <c r="H467" s="8">
        <v>461.0</v>
      </c>
      <c r="I467" s="165" t="str">
        <f t="shared" si="6"/>
        <v>BPAC5</v>
      </c>
      <c r="J467" s="166" t="str">
        <f>(VLOOKUP($I467,Capa!$A:$B,2,0))</f>
        <v>Banco BTG Pactual SA Preference Shares Class A</v>
      </c>
      <c r="K467" s="167" t="str">
        <f>VLOOKUP(left(I467,4),Setor!A:D,3,0)&amp;" | "&amp;VLOOKUP(left(I467,4),Setor!A:D,4,0)</f>
        <v>Financeiro | Intermediários Financeiros</v>
      </c>
      <c r="L467" s="168">
        <f>(VLOOKUP($I467,Capa!$A:$F,6,0))</f>
        <v>11.5</v>
      </c>
      <c r="M467" s="168">
        <f t="shared" si="7"/>
        <v>152157.7</v>
      </c>
      <c r="N467" s="11" t="str">
        <f>IFERROR(__xludf.DUMMYFUNCTION("(VLOOKUP($I467,Capa!$A:$H,7,0))"),"")</f>
        <v/>
      </c>
      <c r="O467" s="169">
        <f>(VLOOKUP($I467,Capa!$A:$H,8,0))</f>
        <v>0.02770330652</v>
      </c>
      <c r="P467" s="11" t="str">
        <f>IFERROR(__xludf.DUMMYFUNCTION("(VLOOKUP($I467,Capa!$A:$J,10,0))"),"")</f>
        <v/>
      </c>
      <c r="Q467" s="169">
        <f>(VLOOKUP($I467,Capa!$A:$K,11,0))</f>
        <v>0.4041514042</v>
      </c>
      <c r="R467" s="45" t="str">
        <f>'Dados StatusInvest'!A462</f>
        <v>POMO3</v>
      </c>
      <c r="S467" s="170">
        <f t="shared" si="234"/>
        <v>284.0284</v>
      </c>
      <c r="T467" s="171">
        <f>VLOOKUP(R467,'Dados StatusInvest'!A:Z,26,0)</f>
        <v>4419178</v>
      </c>
      <c r="U467" s="172">
        <f t="shared" ref="U467:AS467" si="470">IF(AT467="","", RANK(AT467,AT$7:AT$626,0)+RANK(AT467,AT$7:AT$626,0)/10000)</f>
        <v>246.0246</v>
      </c>
      <c r="V467" s="172">
        <f t="shared" si="470"/>
        <v>38.0038</v>
      </c>
      <c r="W467" s="172" t="str">
        <f t="shared" si="470"/>
        <v/>
      </c>
      <c r="X467" s="172" t="str">
        <f t="shared" si="470"/>
        <v/>
      </c>
      <c r="Y467" s="172" t="str">
        <f t="shared" si="470"/>
        <v/>
      </c>
      <c r="Z467" s="172" t="str">
        <f t="shared" si="470"/>
        <v/>
      </c>
      <c r="AA467" s="172" t="str">
        <f t="shared" si="470"/>
        <v/>
      </c>
      <c r="AB467" s="172" t="str">
        <f t="shared" si="470"/>
        <v/>
      </c>
      <c r="AC467" s="172" t="str">
        <f t="shared" si="470"/>
        <v/>
      </c>
      <c r="AD467" s="172" t="str">
        <f t="shared" si="470"/>
        <v/>
      </c>
      <c r="AE467" s="172" t="str">
        <f t="shared" si="470"/>
        <v/>
      </c>
      <c r="AF467" s="172" t="str">
        <f t="shared" si="470"/>
        <v/>
      </c>
      <c r="AG467" s="172" t="str">
        <f t="shared" si="470"/>
        <v/>
      </c>
      <c r="AH467" s="172" t="str">
        <f t="shared" si="470"/>
        <v/>
      </c>
      <c r="AI467" s="172" t="str">
        <f t="shared" si="470"/>
        <v/>
      </c>
      <c r="AJ467" s="172" t="str">
        <f t="shared" si="470"/>
        <v/>
      </c>
      <c r="AK467" s="172" t="str">
        <f t="shared" si="470"/>
        <v/>
      </c>
      <c r="AL467" s="172" t="str">
        <f t="shared" si="470"/>
        <v/>
      </c>
      <c r="AM467" s="172" t="str">
        <f t="shared" si="470"/>
        <v/>
      </c>
      <c r="AN467" s="172" t="str">
        <f t="shared" si="470"/>
        <v/>
      </c>
      <c r="AO467" s="172" t="str">
        <f t="shared" si="470"/>
        <v/>
      </c>
      <c r="AP467" s="172" t="str">
        <f t="shared" si="470"/>
        <v/>
      </c>
      <c r="AQ467" s="172" t="str">
        <f t="shared" si="470"/>
        <v/>
      </c>
      <c r="AR467" s="172" t="str">
        <f t="shared" si="470"/>
        <v/>
      </c>
      <c r="AS467" s="172" t="str">
        <f t="shared" si="470"/>
        <v/>
      </c>
      <c r="AT467" s="173">
        <f>IF(AT$6="","",IF(AT$3="Maior",iferror(VLOOKUP($R467,Capa!$A:$AJ,AT$5,0),0),IF(ISERROR(1/VLOOKUP($R467,Capa!$A:$AJ,AT$5,0)),0,1/VLOOKUP($R467,Capa!$A:$AJ,AT$5,0))))</f>
        <v>-0.464334028</v>
      </c>
      <c r="AU467" s="174">
        <f>IF(AU$6="","",IF(AU$3="Maior",iferror(VLOOKUP($R467,Capa!$A:$AJ,AU$5,0),0),IF(ISERROR(1/VLOOKUP($R467,Capa!$A:$AJ,AU$5,0)),0,1/VLOOKUP($R467,Capa!$A:$AJ,AU$5,0))))</f>
        <v>42.97</v>
      </c>
      <c r="AV467" s="174" t="str">
        <f>IF(AV$6="","",IF(AV$3="Maior",iferror(VLOOKUP($R467,Capa!$A:$AJ,AV$5,0),0),IF(ISERROR(1/VLOOKUP($R467,Capa!$A:$AJ,AV$5,0)),0,1/VLOOKUP($R467,Capa!$A:$AJ,AV$5,0))))</f>
        <v/>
      </c>
      <c r="AW467" s="174" t="str">
        <f>IF(AW$6="","",IF(AW$3="Maior",iferror(VLOOKUP($R467,Capa!$A:$AJ,AW$5,0),0),IF(ISERROR(1/VLOOKUP($R467,Capa!$A:$AJ,AW$5,0)),0,1/VLOOKUP($R467,Capa!$A:$AJ,AW$5,0))))</f>
        <v/>
      </c>
      <c r="AX467" s="174" t="str">
        <f>IF(AX$6="","",IF(AX$3="Maior",iferror(VLOOKUP($R467,Capa!$A:$AJ,AX$5,0),0),IF(ISERROR(1/VLOOKUP($R467,Capa!$A:$AJ,AX$5,0)),0,1/VLOOKUP($R467,Capa!$A:$AJ,AX$5,0))))</f>
        <v/>
      </c>
      <c r="AY467" s="174" t="str">
        <f>IF(AY$6="","",IF(AY$3="Maior",iferror(VLOOKUP($R467,Capa!$A:$AJ,AY$5,0),0),IF(ISERROR(1/VLOOKUP($R467,Capa!$A:$AJ,AY$5,0)),0,1/VLOOKUP($R467,Capa!$A:$AJ,AY$5,0))))</f>
        <v/>
      </c>
      <c r="AZ467" s="174" t="str">
        <f>IF(AZ$6="","",IF(AZ$3="Maior",iferror(VLOOKUP($R467,Capa!$A:$AJ,AZ$5,0),0),IF(ISERROR(1/VLOOKUP($R467,Capa!$A:$AJ,AZ$5,0)),0,1/VLOOKUP($R467,Capa!$A:$AJ,AZ$5,0))))</f>
        <v/>
      </c>
      <c r="BA467" s="174" t="str">
        <f>IF(BA$6="","",IF(BA$3="Maior",iferror(VLOOKUP($R467,Capa!$A:$AJ,BA$5,0),0),IF(ISERROR(1/VLOOKUP($R467,Capa!$A:$AJ,BA$5,0)),0,1/VLOOKUP($R467,Capa!$A:$AJ,BA$5,0))))</f>
        <v/>
      </c>
      <c r="BB467" s="174" t="str">
        <f>IF(BB$6="","",IF(BB$3="Maior",iferror(VLOOKUP($R467,Capa!$A:$AJ,BB$5,0),0),IF(ISERROR(1/VLOOKUP($R467,Capa!$A:$AJ,BB$5,0)),0,1/VLOOKUP($R467,Capa!$A:$AJ,BB$5,0))))</f>
        <v/>
      </c>
      <c r="BC467" s="174" t="str">
        <f>IF(BC$6="","",IF(BC$3="Maior",iferror(VLOOKUP($R467,Capa!$A:$AJ,BC$5,0),0),IF(ISERROR(1/VLOOKUP($R467,Capa!$A:$AJ,BC$5,0)),0,1/VLOOKUP($R467,Capa!$A:$AJ,BC$5,0))))</f>
        <v/>
      </c>
      <c r="BD467" s="174" t="str">
        <f>IF(BD$6="","",IF(BD$3="Maior",iferror(VLOOKUP($R467,Capa!$A:$AJ,BD$5,0),0),IF(ISERROR(1/VLOOKUP($R467,Capa!$A:$AJ,BD$5,0)),0,1/VLOOKUP($R467,Capa!$A:$AJ,BD$5,0))))</f>
        <v/>
      </c>
      <c r="BE467" s="174" t="str">
        <f>IF(BE$6="","",IF(BE$3="Maior",iferror(VLOOKUP($R467,Capa!$A:$AJ,BE$5,0),0),IF(ISERROR(1/VLOOKUP($R467,Capa!$A:$AJ,BE$5,0)),0,1/VLOOKUP($R467,Capa!$A:$AJ,BE$5,0))))</f>
        <v/>
      </c>
      <c r="BF467" s="174" t="str">
        <f>IF(BF$6="","",IF(BF$3="Maior",iferror(VLOOKUP($R467,Capa!$A:$AJ,BF$5,0),0),IF(ISERROR(1/VLOOKUP($R467,Capa!$A:$AJ,BF$5,0)),0,1/VLOOKUP($R467,Capa!$A:$AJ,BF$5,0))))</f>
        <v/>
      </c>
      <c r="BG467" s="174" t="str">
        <f>IF(BG$6="","",IF(BG$3="Maior",iferror(VLOOKUP($R467,Capa!$A:$AJ,BG$5,0),0),IF(ISERROR(1/VLOOKUP($R467,Capa!$A:$AJ,BG$5,0)),0,1/VLOOKUP($R467,Capa!$A:$AJ,BG$5,0))))</f>
        <v/>
      </c>
      <c r="BH467" s="174" t="str">
        <f>IF(BH$6="","",IF(BH$3="Maior",iferror(VLOOKUP($R467,Capa!$A:$AJ,BH$5,0),0),IF(ISERROR(1/VLOOKUP($R467,Capa!$A:$AJ,BH$5,0)),0,1/VLOOKUP($R467,Capa!$A:$AJ,BH$5,0))))</f>
        <v/>
      </c>
      <c r="BI467" s="174" t="str">
        <f>IF(BI$6="","",IF(BI$3="Maior",iferror(VLOOKUP($R467,Capa!$A:$AJ,BI$5,0),0),IF(ISERROR(1/VLOOKUP($R467,Capa!$A:$AJ,BI$5,0)),0,1/VLOOKUP($R467,Capa!$A:$AJ,BI$5,0))))</f>
        <v/>
      </c>
      <c r="BJ467" s="174" t="str">
        <f>IF(BJ$6="","",IF(BJ$3="Maior",iferror(VLOOKUP($R467,Capa!$A:$AJ,BJ$5,0),0),IF(ISERROR(1/VLOOKUP($R467,Capa!$A:$AJ,BJ$5,0)),0,1/VLOOKUP($R467,Capa!$A:$AJ,BJ$5,0))))</f>
        <v/>
      </c>
      <c r="BK467" s="174" t="str">
        <f>IF(BK$6="","",IF(BK$3="Maior",iferror(VLOOKUP($R467,Capa!$A:$AJ,BK$5,0),0),IF(ISERROR(1/VLOOKUP($R467,Capa!$A:$AJ,BK$5,0)),0,1/VLOOKUP($R467,Capa!$A:$AJ,BK$5,0))))</f>
        <v/>
      </c>
      <c r="BL467" s="174" t="str">
        <f>IF(BL$6="","",IF(BL$3="Maior",iferror(VLOOKUP($R467,Capa!$A:$AJ,BL$5,0),0),IF(ISERROR(1/VLOOKUP($R467,Capa!$A:$AJ,BL$5,0)),0,1/VLOOKUP($R467,Capa!$A:$AJ,BL$5,0))))</f>
        <v/>
      </c>
      <c r="BM467" s="174" t="str">
        <f>IF(BM$6="","",IF(BM$3="Maior",iferror(VLOOKUP($R467,Capa!$A:$AJ,BM$5,0),0),IF(ISERROR(1/VLOOKUP($R467,Capa!$A:$AJ,BM$5,0)),0,1/VLOOKUP($R467,Capa!$A:$AJ,BM$5,0))))</f>
        <v/>
      </c>
      <c r="BN467" s="174" t="str">
        <f>IF(BN$6="","",IF(BN$3="Maior",iferror(VLOOKUP($R467,Capa!$A:$AJ,BN$5,0),0),IF(ISERROR(1/VLOOKUP($R467,Capa!$A:$AJ,BN$5,0)),0,1/VLOOKUP($R467,Capa!$A:$AJ,BN$5,0))))</f>
        <v/>
      </c>
      <c r="BO467" s="174" t="str">
        <f>IF(BO$6="","",IF(BO$3="Maior",iferror(VLOOKUP($R467,Capa!$A:$AJ,BO$5,0),0),IF(ISERROR(1/VLOOKUP($R467,Capa!$A:$AJ,BO$5,0)),0,1/VLOOKUP($R467,Capa!$A:$AJ,BO$5,0))))</f>
        <v/>
      </c>
      <c r="BP467" s="174" t="str">
        <f>IF(BP$6="","",IF(BP$3="Maior",iferror(VLOOKUP($R467,Capa!$A:$AJ,BP$5,0),0),IF(ISERROR(1/VLOOKUP($R467,Capa!$A:$AJ,BP$5,0)),0,1/VLOOKUP($R467,Capa!$A:$AJ,BP$5,0))))</f>
        <v/>
      </c>
      <c r="BQ467" s="174" t="str">
        <f>IF(BQ$6="","",IF(BQ$3="Maior",iferror(VLOOKUP($R467,Capa!$A:$AJ,BQ$5,0),0),IF(ISERROR(1/VLOOKUP($R467,Capa!$A:$AJ,BQ$5,0)),0,1/VLOOKUP($R467,Capa!$A:$AJ,BQ$5,0))))</f>
        <v/>
      </c>
      <c r="BR467" s="175"/>
      <c r="BS467" s="147"/>
    </row>
    <row r="468">
      <c r="H468" s="8">
        <v>462.0</v>
      </c>
      <c r="I468" s="165" t="str">
        <f t="shared" si="6"/>
        <v>NRTQ3</v>
      </c>
      <c r="J468" s="166" t="str">
        <f>(VLOOKUP($I468,Capa!$A:$B,2,0))</f>
        <v/>
      </c>
      <c r="K468" s="167" t="str">
        <f>VLOOKUP(left(I468,4),Setor!A:D,3,0)&amp;" | "&amp;VLOOKUP(left(I468,4),Setor!A:D,4,0)</f>
        <v>Saúde | Medicamentos e Outros Produtos</v>
      </c>
      <c r="L468" s="168" t="str">
        <f>(VLOOKUP($I468,Capa!$A:$F,6,0))</f>
        <v/>
      </c>
      <c r="M468" s="168">
        <f t="shared" si="7"/>
        <v>0</v>
      </c>
      <c r="N468" s="11" t="str">
        <f>(VLOOKUP($I468,Capa!$A:$H,7,0))</f>
        <v/>
      </c>
      <c r="O468" s="169" t="str">
        <f>(VLOOKUP($I468,Capa!$A:$H,8,0))</f>
        <v/>
      </c>
      <c r="P468" s="11" t="str">
        <f>(VLOOKUP($I468,Capa!$A:$J,10,0))</f>
        <v/>
      </c>
      <c r="Q468" s="169" t="str">
        <f>(VLOOKUP($I468,Capa!$A:$K,11,0))</f>
        <v/>
      </c>
      <c r="R468" s="45" t="str">
        <f>'Dados StatusInvest'!A463</f>
        <v>POMO4</v>
      </c>
      <c r="S468" s="170">
        <f t="shared" si="234"/>
        <v>279.0279</v>
      </c>
      <c r="T468" s="171">
        <f>VLOOKUP(R468,'Dados StatusInvest'!A:Z,26,0)</f>
        <v>70129994</v>
      </c>
      <c r="U468" s="172">
        <f t="shared" ref="U468:AS468" si="471">IF(AT468="","", RANK(AT468,AT$7:AT$626,0)+RANK(AT468,AT$7:AT$626,0)/10000)</f>
        <v>241.0241</v>
      </c>
      <c r="V468" s="172">
        <f t="shared" si="471"/>
        <v>38.0038</v>
      </c>
      <c r="W468" s="172" t="str">
        <f t="shared" si="471"/>
        <v/>
      </c>
      <c r="X468" s="172" t="str">
        <f t="shared" si="471"/>
        <v/>
      </c>
      <c r="Y468" s="172" t="str">
        <f t="shared" si="471"/>
        <v/>
      </c>
      <c r="Z468" s="172" t="str">
        <f t="shared" si="471"/>
        <v/>
      </c>
      <c r="AA468" s="172" t="str">
        <f t="shared" si="471"/>
        <v/>
      </c>
      <c r="AB468" s="172" t="str">
        <f t="shared" si="471"/>
        <v/>
      </c>
      <c r="AC468" s="172" t="str">
        <f t="shared" si="471"/>
        <v/>
      </c>
      <c r="AD468" s="172" t="str">
        <f t="shared" si="471"/>
        <v/>
      </c>
      <c r="AE468" s="172" t="str">
        <f t="shared" si="471"/>
        <v/>
      </c>
      <c r="AF468" s="172" t="str">
        <f t="shared" si="471"/>
        <v/>
      </c>
      <c r="AG468" s="172" t="str">
        <f t="shared" si="471"/>
        <v/>
      </c>
      <c r="AH468" s="172" t="str">
        <f t="shared" si="471"/>
        <v/>
      </c>
      <c r="AI468" s="172" t="str">
        <f t="shared" si="471"/>
        <v/>
      </c>
      <c r="AJ468" s="172" t="str">
        <f t="shared" si="471"/>
        <v/>
      </c>
      <c r="AK468" s="172" t="str">
        <f t="shared" si="471"/>
        <v/>
      </c>
      <c r="AL468" s="172" t="str">
        <f t="shared" si="471"/>
        <v/>
      </c>
      <c r="AM468" s="172" t="str">
        <f t="shared" si="471"/>
        <v/>
      </c>
      <c r="AN468" s="172" t="str">
        <f t="shared" si="471"/>
        <v/>
      </c>
      <c r="AO468" s="172" t="str">
        <f t="shared" si="471"/>
        <v/>
      </c>
      <c r="AP468" s="172" t="str">
        <f t="shared" si="471"/>
        <v/>
      </c>
      <c r="AQ468" s="172" t="str">
        <f t="shared" si="471"/>
        <v/>
      </c>
      <c r="AR468" s="172" t="str">
        <f t="shared" si="471"/>
        <v/>
      </c>
      <c r="AS468" s="172" t="str">
        <f t="shared" si="471"/>
        <v/>
      </c>
      <c r="AT468" s="173">
        <f>IF(AT$6="","",IF(AT$3="Maior",iferror(VLOOKUP($R468,Capa!$A:$AJ,AT$5,0),0),IF(ISERROR(1/VLOOKUP($R468,Capa!$A:$AJ,AT$5,0)),0,1/VLOOKUP($R468,Capa!$A:$AJ,AT$5,0))))</f>
        <v>-0.4544315778</v>
      </c>
      <c r="AU468" s="174">
        <f>IF(AU$6="","",IF(AU$3="Maior",iferror(VLOOKUP($R468,Capa!$A:$AJ,AU$5,0),0),IF(ISERROR(1/VLOOKUP($R468,Capa!$A:$AJ,AU$5,0)),0,1/VLOOKUP($R468,Capa!$A:$AJ,AU$5,0))))</f>
        <v>42.97</v>
      </c>
      <c r="AV468" s="174" t="str">
        <f>IF(AV$6="","",IF(AV$3="Maior",iferror(VLOOKUP($R468,Capa!$A:$AJ,AV$5,0),0),IF(ISERROR(1/VLOOKUP($R468,Capa!$A:$AJ,AV$5,0)),0,1/VLOOKUP($R468,Capa!$A:$AJ,AV$5,0))))</f>
        <v/>
      </c>
      <c r="AW468" s="174" t="str">
        <f>IF(AW$6="","",IF(AW$3="Maior",iferror(VLOOKUP($R468,Capa!$A:$AJ,AW$5,0),0),IF(ISERROR(1/VLOOKUP($R468,Capa!$A:$AJ,AW$5,0)),0,1/VLOOKUP($R468,Capa!$A:$AJ,AW$5,0))))</f>
        <v/>
      </c>
      <c r="AX468" s="174" t="str">
        <f>IF(AX$6="","",IF(AX$3="Maior",iferror(VLOOKUP($R468,Capa!$A:$AJ,AX$5,0),0),IF(ISERROR(1/VLOOKUP($R468,Capa!$A:$AJ,AX$5,0)),0,1/VLOOKUP($R468,Capa!$A:$AJ,AX$5,0))))</f>
        <v/>
      </c>
      <c r="AY468" s="174" t="str">
        <f>IF(AY$6="","",IF(AY$3="Maior",iferror(VLOOKUP($R468,Capa!$A:$AJ,AY$5,0),0),IF(ISERROR(1/VLOOKUP($R468,Capa!$A:$AJ,AY$5,0)),0,1/VLOOKUP($R468,Capa!$A:$AJ,AY$5,0))))</f>
        <v/>
      </c>
      <c r="AZ468" s="174" t="str">
        <f>IF(AZ$6="","",IF(AZ$3="Maior",iferror(VLOOKUP($R468,Capa!$A:$AJ,AZ$5,0),0),IF(ISERROR(1/VLOOKUP($R468,Capa!$A:$AJ,AZ$5,0)),0,1/VLOOKUP($R468,Capa!$A:$AJ,AZ$5,0))))</f>
        <v/>
      </c>
      <c r="BA468" s="174" t="str">
        <f>IF(BA$6="","",IF(BA$3="Maior",iferror(VLOOKUP($R468,Capa!$A:$AJ,BA$5,0),0),IF(ISERROR(1/VLOOKUP($R468,Capa!$A:$AJ,BA$5,0)),0,1/VLOOKUP($R468,Capa!$A:$AJ,BA$5,0))))</f>
        <v/>
      </c>
      <c r="BB468" s="174" t="str">
        <f>IF(BB$6="","",IF(BB$3="Maior",iferror(VLOOKUP($R468,Capa!$A:$AJ,BB$5,0),0),IF(ISERROR(1/VLOOKUP($R468,Capa!$A:$AJ,BB$5,0)),0,1/VLOOKUP($R468,Capa!$A:$AJ,BB$5,0))))</f>
        <v/>
      </c>
      <c r="BC468" s="174" t="str">
        <f>IF(BC$6="","",IF(BC$3="Maior",iferror(VLOOKUP($R468,Capa!$A:$AJ,BC$5,0),0),IF(ISERROR(1/VLOOKUP($R468,Capa!$A:$AJ,BC$5,0)),0,1/VLOOKUP($R468,Capa!$A:$AJ,BC$5,0))))</f>
        <v/>
      </c>
      <c r="BD468" s="174" t="str">
        <f>IF(BD$6="","",IF(BD$3="Maior",iferror(VLOOKUP($R468,Capa!$A:$AJ,BD$5,0),0),IF(ISERROR(1/VLOOKUP($R468,Capa!$A:$AJ,BD$5,0)),0,1/VLOOKUP($R468,Capa!$A:$AJ,BD$5,0))))</f>
        <v/>
      </c>
      <c r="BE468" s="174" t="str">
        <f>IF(BE$6="","",IF(BE$3="Maior",iferror(VLOOKUP($R468,Capa!$A:$AJ,BE$5,0),0),IF(ISERROR(1/VLOOKUP($R468,Capa!$A:$AJ,BE$5,0)),0,1/VLOOKUP($R468,Capa!$A:$AJ,BE$5,0))))</f>
        <v/>
      </c>
      <c r="BF468" s="174" t="str">
        <f>IF(BF$6="","",IF(BF$3="Maior",iferror(VLOOKUP($R468,Capa!$A:$AJ,BF$5,0),0),IF(ISERROR(1/VLOOKUP($R468,Capa!$A:$AJ,BF$5,0)),0,1/VLOOKUP($R468,Capa!$A:$AJ,BF$5,0))))</f>
        <v/>
      </c>
      <c r="BG468" s="174" t="str">
        <f>IF(BG$6="","",IF(BG$3="Maior",iferror(VLOOKUP($R468,Capa!$A:$AJ,BG$5,0),0),IF(ISERROR(1/VLOOKUP($R468,Capa!$A:$AJ,BG$5,0)),0,1/VLOOKUP($R468,Capa!$A:$AJ,BG$5,0))))</f>
        <v/>
      </c>
      <c r="BH468" s="174" t="str">
        <f>IF(BH$6="","",IF(BH$3="Maior",iferror(VLOOKUP($R468,Capa!$A:$AJ,BH$5,0),0),IF(ISERROR(1/VLOOKUP($R468,Capa!$A:$AJ,BH$5,0)),0,1/VLOOKUP($R468,Capa!$A:$AJ,BH$5,0))))</f>
        <v/>
      </c>
      <c r="BI468" s="174" t="str">
        <f>IF(BI$6="","",IF(BI$3="Maior",iferror(VLOOKUP($R468,Capa!$A:$AJ,BI$5,0),0),IF(ISERROR(1/VLOOKUP($R468,Capa!$A:$AJ,BI$5,0)),0,1/VLOOKUP($R468,Capa!$A:$AJ,BI$5,0))))</f>
        <v/>
      </c>
      <c r="BJ468" s="174" t="str">
        <f>IF(BJ$6="","",IF(BJ$3="Maior",iferror(VLOOKUP($R468,Capa!$A:$AJ,BJ$5,0),0),IF(ISERROR(1/VLOOKUP($R468,Capa!$A:$AJ,BJ$5,0)),0,1/VLOOKUP($R468,Capa!$A:$AJ,BJ$5,0))))</f>
        <v/>
      </c>
      <c r="BK468" s="174" t="str">
        <f>IF(BK$6="","",IF(BK$3="Maior",iferror(VLOOKUP($R468,Capa!$A:$AJ,BK$5,0),0),IF(ISERROR(1/VLOOKUP($R468,Capa!$A:$AJ,BK$5,0)),0,1/VLOOKUP($R468,Capa!$A:$AJ,BK$5,0))))</f>
        <v/>
      </c>
      <c r="BL468" s="174" t="str">
        <f>IF(BL$6="","",IF(BL$3="Maior",iferror(VLOOKUP($R468,Capa!$A:$AJ,BL$5,0),0),IF(ISERROR(1/VLOOKUP($R468,Capa!$A:$AJ,BL$5,0)),0,1/VLOOKUP($R468,Capa!$A:$AJ,BL$5,0))))</f>
        <v/>
      </c>
      <c r="BM468" s="174" t="str">
        <f>IF(BM$6="","",IF(BM$3="Maior",iferror(VLOOKUP($R468,Capa!$A:$AJ,BM$5,0),0),IF(ISERROR(1/VLOOKUP($R468,Capa!$A:$AJ,BM$5,0)),0,1/VLOOKUP($R468,Capa!$A:$AJ,BM$5,0))))</f>
        <v/>
      </c>
      <c r="BN468" s="174" t="str">
        <f>IF(BN$6="","",IF(BN$3="Maior",iferror(VLOOKUP($R468,Capa!$A:$AJ,BN$5,0),0),IF(ISERROR(1/VLOOKUP($R468,Capa!$A:$AJ,BN$5,0)),0,1/VLOOKUP($R468,Capa!$A:$AJ,BN$5,0))))</f>
        <v/>
      </c>
      <c r="BO468" s="174" t="str">
        <f>IF(BO$6="","",IF(BO$3="Maior",iferror(VLOOKUP($R468,Capa!$A:$AJ,BO$5,0),0),IF(ISERROR(1/VLOOKUP($R468,Capa!$A:$AJ,BO$5,0)),0,1/VLOOKUP($R468,Capa!$A:$AJ,BO$5,0))))</f>
        <v/>
      </c>
      <c r="BP468" s="174" t="str">
        <f>IF(BP$6="","",IF(BP$3="Maior",iferror(VLOOKUP($R468,Capa!$A:$AJ,BP$5,0),0),IF(ISERROR(1/VLOOKUP($R468,Capa!$A:$AJ,BP$5,0)),0,1/VLOOKUP($R468,Capa!$A:$AJ,BP$5,0))))</f>
        <v/>
      </c>
      <c r="BQ468" s="174" t="str">
        <f>IF(BQ$6="","",IF(BQ$3="Maior",iferror(VLOOKUP($R468,Capa!$A:$AJ,BQ$5,0),0),IF(ISERROR(1/VLOOKUP($R468,Capa!$A:$AJ,BQ$5,0)),0,1/VLOOKUP($R468,Capa!$A:$AJ,BQ$5,0))))</f>
        <v/>
      </c>
      <c r="BR468" s="175"/>
      <c r="BS468" s="147"/>
    </row>
    <row r="469">
      <c r="H469" s="8">
        <v>463.0</v>
      </c>
      <c r="I469" s="165" t="str">
        <f t="shared" si="6"/>
        <v>CEEB3</v>
      </c>
      <c r="J469" s="166" t="str">
        <f>(VLOOKUP($I469,Capa!$A:$B,2,0))</f>
        <v>Companhia de ltrcdd d std d Bh Clb</v>
      </c>
      <c r="K469" s="167" t="str">
        <f>VLOOKUP(left(I469,4),Setor!A:D,3,0)&amp;" | "&amp;VLOOKUP(left(I469,4),Setor!A:D,4,0)</f>
        <v>Utilidade Pública | Energia Elétrica</v>
      </c>
      <c r="L469" s="168">
        <f>(VLOOKUP($I469,Capa!$A:$F,6,0))</f>
        <v>45.55</v>
      </c>
      <c r="M469" s="168">
        <f t="shared" si="7"/>
        <v>27837.9</v>
      </c>
      <c r="N469" s="11" t="str">
        <f>IFERROR(__xludf.DUMMYFUNCTION("(VLOOKUP($I469,Capa!$A:$H,7,0))"),"")</f>
        <v/>
      </c>
      <c r="O469" s="169">
        <f>(VLOOKUP($I469,Capa!$A:$H,8,0))</f>
        <v>0.04019182462</v>
      </c>
      <c r="P469" s="11" t="str">
        <f>IFERROR(__xludf.DUMMYFUNCTION("(VLOOKUP($I469,Capa!$A:$J,10,0))"),"")</f>
        <v/>
      </c>
      <c r="Q469" s="169">
        <f>(VLOOKUP($I469,Capa!$A:$K,11,0))</f>
        <v>0.2024815206</v>
      </c>
      <c r="R469" s="45" t="str">
        <f>'Dados StatusInvest'!A464</f>
        <v>PORT3</v>
      </c>
      <c r="S469" s="170">
        <f t="shared" si="234"/>
        <v>76.0076</v>
      </c>
      <c r="T469" s="171">
        <f>VLOOKUP(R469,'Dados StatusInvest'!A:Z,26,0)</f>
        <v>1155515</v>
      </c>
      <c r="U469" s="172">
        <f t="shared" ref="U469:AS469" si="472">IF(AT469="","", RANK(AT469,AT$7:AT$626,0)+RANK(AT469,AT$7:AT$626,0)/10000)</f>
        <v>34.0034</v>
      </c>
      <c r="V469" s="172">
        <f t="shared" si="472"/>
        <v>42.0042</v>
      </c>
      <c r="W469" s="172" t="str">
        <f t="shared" si="472"/>
        <v/>
      </c>
      <c r="X469" s="172" t="str">
        <f t="shared" si="472"/>
        <v/>
      </c>
      <c r="Y469" s="172" t="str">
        <f t="shared" si="472"/>
        <v/>
      </c>
      <c r="Z469" s="172" t="str">
        <f t="shared" si="472"/>
        <v/>
      </c>
      <c r="AA469" s="172" t="str">
        <f t="shared" si="472"/>
        <v/>
      </c>
      <c r="AB469" s="172" t="str">
        <f t="shared" si="472"/>
        <v/>
      </c>
      <c r="AC469" s="172" t="str">
        <f t="shared" si="472"/>
        <v/>
      </c>
      <c r="AD469" s="172" t="str">
        <f t="shared" si="472"/>
        <v/>
      </c>
      <c r="AE469" s="172" t="str">
        <f t="shared" si="472"/>
        <v/>
      </c>
      <c r="AF469" s="172" t="str">
        <f t="shared" si="472"/>
        <v/>
      </c>
      <c r="AG469" s="172" t="str">
        <f t="shared" si="472"/>
        <v/>
      </c>
      <c r="AH469" s="172" t="str">
        <f t="shared" si="472"/>
        <v/>
      </c>
      <c r="AI469" s="172" t="str">
        <f t="shared" si="472"/>
        <v/>
      </c>
      <c r="AJ469" s="172" t="str">
        <f t="shared" si="472"/>
        <v/>
      </c>
      <c r="AK469" s="172" t="str">
        <f t="shared" si="472"/>
        <v/>
      </c>
      <c r="AL469" s="172" t="str">
        <f t="shared" si="472"/>
        <v/>
      </c>
      <c r="AM469" s="172" t="str">
        <f t="shared" si="472"/>
        <v/>
      </c>
      <c r="AN469" s="172" t="str">
        <f t="shared" si="472"/>
        <v/>
      </c>
      <c r="AO469" s="172" t="str">
        <f t="shared" si="472"/>
        <v/>
      </c>
      <c r="AP469" s="172" t="str">
        <f t="shared" si="472"/>
        <v/>
      </c>
      <c r="AQ469" s="172" t="str">
        <f t="shared" si="472"/>
        <v/>
      </c>
      <c r="AR469" s="172" t="str">
        <f t="shared" si="472"/>
        <v/>
      </c>
      <c r="AS469" s="172" t="str">
        <f t="shared" si="472"/>
        <v/>
      </c>
      <c r="AT469" s="173">
        <f>IF(AT$6="","",IF(AT$3="Maior",iferror(VLOOKUP($R469,Capa!$A:$AJ,AT$5,0),0),IF(ISERROR(1/VLOOKUP($R469,Capa!$A:$AJ,AT$5,0)),0,1/VLOOKUP($R469,Capa!$A:$AJ,AT$5,0))))</f>
        <v>0.003352891869</v>
      </c>
      <c r="AU469" s="174">
        <f>IF(AU$6="","",IF(AU$3="Maior",iferror(VLOOKUP($R469,Capa!$A:$AJ,AU$5,0),0),IF(ISERROR(1/VLOOKUP($R469,Capa!$A:$AJ,AU$5,0)),0,1/VLOOKUP($R469,Capa!$A:$AJ,AU$5,0))))</f>
        <v>42.19</v>
      </c>
      <c r="AV469" s="174" t="str">
        <f>IF(AV$6="","",IF(AV$3="Maior",iferror(VLOOKUP($R469,Capa!$A:$AJ,AV$5,0),0),IF(ISERROR(1/VLOOKUP($R469,Capa!$A:$AJ,AV$5,0)),0,1/VLOOKUP($R469,Capa!$A:$AJ,AV$5,0))))</f>
        <v/>
      </c>
      <c r="AW469" s="174" t="str">
        <f>IF(AW$6="","",IF(AW$3="Maior",iferror(VLOOKUP($R469,Capa!$A:$AJ,AW$5,0),0),IF(ISERROR(1/VLOOKUP($R469,Capa!$A:$AJ,AW$5,0)),0,1/VLOOKUP($R469,Capa!$A:$AJ,AW$5,0))))</f>
        <v/>
      </c>
      <c r="AX469" s="174" t="str">
        <f>IF(AX$6="","",IF(AX$3="Maior",iferror(VLOOKUP($R469,Capa!$A:$AJ,AX$5,0),0),IF(ISERROR(1/VLOOKUP($R469,Capa!$A:$AJ,AX$5,0)),0,1/VLOOKUP($R469,Capa!$A:$AJ,AX$5,0))))</f>
        <v/>
      </c>
      <c r="AY469" s="174" t="str">
        <f>IF(AY$6="","",IF(AY$3="Maior",iferror(VLOOKUP($R469,Capa!$A:$AJ,AY$5,0),0),IF(ISERROR(1/VLOOKUP($R469,Capa!$A:$AJ,AY$5,0)),0,1/VLOOKUP($R469,Capa!$A:$AJ,AY$5,0))))</f>
        <v/>
      </c>
      <c r="AZ469" s="174" t="str">
        <f>IF(AZ$6="","",IF(AZ$3="Maior",iferror(VLOOKUP($R469,Capa!$A:$AJ,AZ$5,0),0),IF(ISERROR(1/VLOOKUP($R469,Capa!$A:$AJ,AZ$5,0)),0,1/VLOOKUP($R469,Capa!$A:$AJ,AZ$5,0))))</f>
        <v/>
      </c>
      <c r="BA469" s="174" t="str">
        <f>IF(BA$6="","",IF(BA$3="Maior",iferror(VLOOKUP($R469,Capa!$A:$AJ,BA$5,0),0),IF(ISERROR(1/VLOOKUP($R469,Capa!$A:$AJ,BA$5,0)),0,1/VLOOKUP($R469,Capa!$A:$AJ,BA$5,0))))</f>
        <v/>
      </c>
      <c r="BB469" s="174" t="str">
        <f>IF(BB$6="","",IF(BB$3="Maior",iferror(VLOOKUP($R469,Capa!$A:$AJ,BB$5,0),0),IF(ISERROR(1/VLOOKUP($R469,Capa!$A:$AJ,BB$5,0)),0,1/VLOOKUP($R469,Capa!$A:$AJ,BB$5,0))))</f>
        <v/>
      </c>
      <c r="BC469" s="174" t="str">
        <f>IF(BC$6="","",IF(BC$3="Maior",iferror(VLOOKUP($R469,Capa!$A:$AJ,BC$5,0),0),IF(ISERROR(1/VLOOKUP($R469,Capa!$A:$AJ,BC$5,0)),0,1/VLOOKUP($R469,Capa!$A:$AJ,BC$5,0))))</f>
        <v/>
      </c>
      <c r="BD469" s="174" t="str">
        <f>IF(BD$6="","",IF(BD$3="Maior",iferror(VLOOKUP($R469,Capa!$A:$AJ,BD$5,0),0),IF(ISERROR(1/VLOOKUP($R469,Capa!$A:$AJ,BD$5,0)),0,1/VLOOKUP($R469,Capa!$A:$AJ,BD$5,0))))</f>
        <v/>
      </c>
      <c r="BE469" s="174" t="str">
        <f>IF(BE$6="","",IF(BE$3="Maior",iferror(VLOOKUP($R469,Capa!$A:$AJ,BE$5,0),0),IF(ISERROR(1/VLOOKUP($R469,Capa!$A:$AJ,BE$5,0)),0,1/VLOOKUP($R469,Capa!$A:$AJ,BE$5,0))))</f>
        <v/>
      </c>
      <c r="BF469" s="174" t="str">
        <f>IF(BF$6="","",IF(BF$3="Maior",iferror(VLOOKUP($R469,Capa!$A:$AJ,BF$5,0),0),IF(ISERROR(1/VLOOKUP($R469,Capa!$A:$AJ,BF$5,0)),0,1/VLOOKUP($R469,Capa!$A:$AJ,BF$5,0))))</f>
        <v/>
      </c>
      <c r="BG469" s="174" t="str">
        <f>IF(BG$6="","",IF(BG$3="Maior",iferror(VLOOKUP($R469,Capa!$A:$AJ,BG$5,0),0),IF(ISERROR(1/VLOOKUP($R469,Capa!$A:$AJ,BG$5,0)),0,1/VLOOKUP($R469,Capa!$A:$AJ,BG$5,0))))</f>
        <v/>
      </c>
      <c r="BH469" s="174" t="str">
        <f>IF(BH$6="","",IF(BH$3="Maior",iferror(VLOOKUP($R469,Capa!$A:$AJ,BH$5,0),0),IF(ISERROR(1/VLOOKUP($R469,Capa!$A:$AJ,BH$5,0)),0,1/VLOOKUP($R469,Capa!$A:$AJ,BH$5,0))))</f>
        <v/>
      </c>
      <c r="BI469" s="174" t="str">
        <f>IF(BI$6="","",IF(BI$3="Maior",iferror(VLOOKUP($R469,Capa!$A:$AJ,BI$5,0),0),IF(ISERROR(1/VLOOKUP($R469,Capa!$A:$AJ,BI$5,0)),0,1/VLOOKUP($R469,Capa!$A:$AJ,BI$5,0))))</f>
        <v/>
      </c>
      <c r="BJ469" s="174" t="str">
        <f>IF(BJ$6="","",IF(BJ$3="Maior",iferror(VLOOKUP($R469,Capa!$A:$AJ,BJ$5,0),0),IF(ISERROR(1/VLOOKUP($R469,Capa!$A:$AJ,BJ$5,0)),0,1/VLOOKUP($R469,Capa!$A:$AJ,BJ$5,0))))</f>
        <v/>
      </c>
      <c r="BK469" s="174" t="str">
        <f>IF(BK$6="","",IF(BK$3="Maior",iferror(VLOOKUP($R469,Capa!$A:$AJ,BK$5,0),0),IF(ISERROR(1/VLOOKUP($R469,Capa!$A:$AJ,BK$5,0)),0,1/VLOOKUP($R469,Capa!$A:$AJ,BK$5,0))))</f>
        <v/>
      </c>
      <c r="BL469" s="174" t="str">
        <f>IF(BL$6="","",IF(BL$3="Maior",iferror(VLOOKUP($R469,Capa!$A:$AJ,BL$5,0),0),IF(ISERROR(1/VLOOKUP($R469,Capa!$A:$AJ,BL$5,0)),0,1/VLOOKUP($R469,Capa!$A:$AJ,BL$5,0))))</f>
        <v/>
      </c>
      <c r="BM469" s="174" t="str">
        <f>IF(BM$6="","",IF(BM$3="Maior",iferror(VLOOKUP($R469,Capa!$A:$AJ,BM$5,0),0),IF(ISERROR(1/VLOOKUP($R469,Capa!$A:$AJ,BM$5,0)),0,1/VLOOKUP($R469,Capa!$A:$AJ,BM$5,0))))</f>
        <v/>
      </c>
      <c r="BN469" s="174" t="str">
        <f>IF(BN$6="","",IF(BN$3="Maior",iferror(VLOOKUP($R469,Capa!$A:$AJ,BN$5,0),0),IF(ISERROR(1/VLOOKUP($R469,Capa!$A:$AJ,BN$5,0)),0,1/VLOOKUP($R469,Capa!$A:$AJ,BN$5,0))))</f>
        <v/>
      </c>
      <c r="BO469" s="174" t="str">
        <f>IF(BO$6="","",IF(BO$3="Maior",iferror(VLOOKUP($R469,Capa!$A:$AJ,BO$5,0),0),IF(ISERROR(1/VLOOKUP($R469,Capa!$A:$AJ,BO$5,0)),0,1/VLOOKUP($R469,Capa!$A:$AJ,BO$5,0))))</f>
        <v/>
      </c>
      <c r="BP469" s="174" t="str">
        <f>IF(BP$6="","",IF(BP$3="Maior",iferror(VLOOKUP($R469,Capa!$A:$AJ,BP$5,0),0),IF(ISERROR(1/VLOOKUP($R469,Capa!$A:$AJ,BP$5,0)),0,1/VLOOKUP($R469,Capa!$A:$AJ,BP$5,0))))</f>
        <v/>
      </c>
      <c r="BQ469" s="174" t="str">
        <f>IF(BQ$6="","",IF(BQ$3="Maior",iferror(VLOOKUP($R469,Capa!$A:$AJ,BQ$5,0),0),IF(ISERROR(1/VLOOKUP($R469,Capa!$A:$AJ,BQ$5,0)),0,1/VLOOKUP($R469,Capa!$A:$AJ,BQ$5,0))))</f>
        <v/>
      </c>
      <c r="BR469" s="175"/>
      <c r="BS469" s="147"/>
    </row>
    <row r="470">
      <c r="H470" s="8">
        <v>464.0</v>
      </c>
      <c r="I470" s="165" t="str">
        <f t="shared" si="6"/>
        <v>PTNT3</v>
      </c>
      <c r="J470" s="166" t="str">
        <f>(VLOOKUP($I470,Capa!$A:$B,2,0))</f>
        <v>Pettenati SA Industria Textil</v>
      </c>
      <c r="K470" s="167" t="str">
        <f>VLOOKUP(left(I470,4),Setor!A:D,3,0)&amp;" | "&amp;VLOOKUP(left(I470,4),Setor!A:D,4,0)</f>
        <v>Consumo Cíclico | Tecidos, Vestuário e Calçados</v>
      </c>
      <c r="L470" s="168">
        <f>(VLOOKUP($I470,Capa!$A:$F,6,0))</f>
        <v>8.44</v>
      </c>
      <c r="M470" s="168">
        <f t="shared" si="7"/>
        <v>21160.16</v>
      </c>
      <c r="N470" s="11" t="str">
        <f>IFERROR(__xludf.DUMMYFUNCTION("(VLOOKUP($I470,Capa!$A:$H,7,0))"),"")</f>
        <v/>
      </c>
      <c r="O470" s="169">
        <f>(VLOOKUP($I470,Capa!$A:$H,8,0))</f>
        <v>0.0193236715</v>
      </c>
      <c r="P470" s="11" t="str">
        <f>IFERROR(__xludf.DUMMYFUNCTION("(VLOOKUP($I470,Capa!$A:$J,10,0))"),"")</f>
        <v/>
      </c>
      <c r="Q470" s="169">
        <f>(VLOOKUP($I470,Capa!$A:$K,11,0))</f>
        <v>-0.06843267108</v>
      </c>
      <c r="R470" s="45" t="str">
        <f>'Dados StatusInvest'!A465</f>
        <v>POSI3</v>
      </c>
      <c r="S470" s="170">
        <f t="shared" si="234"/>
        <v>747.0747</v>
      </c>
      <c r="T470" s="171">
        <f>VLOOKUP(R470,'Dados StatusInvest'!A:Z,26,0)</f>
        <v>6662684</v>
      </c>
      <c r="U470" s="172">
        <f t="shared" ref="U470:AS470" si="473">IF(AT470="","", RANK(AT470,AT$7:AT$626,0)+RANK(AT470,AT$7:AT$626,0)/10000)</f>
        <v>480.048</v>
      </c>
      <c r="V470" s="172">
        <f t="shared" si="473"/>
        <v>267.0267</v>
      </c>
      <c r="W470" s="172" t="str">
        <f t="shared" si="473"/>
        <v/>
      </c>
      <c r="X470" s="172" t="str">
        <f t="shared" si="473"/>
        <v/>
      </c>
      <c r="Y470" s="172" t="str">
        <f t="shared" si="473"/>
        <v/>
      </c>
      <c r="Z470" s="172" t="str">
        <f t="shared" si="473"/>
        <v/>
      </c>
      <c r="AA470" s="172" t="str">
        <f t="shared" si="473"/>
        <v/>
      </c>
      <c r="AB470" s="172" t="str">
        <f t="shared" si="473"/>
        <v/>
      </c>
      <c r="AC470" s="172" t="str">
        <f t="shared" si="473"/>
        <v/>
      </c>
      <c r="AD470" s="172" t="str">
        <f t="shared" si="473"/>
        <v/>
      </c>
      <c r="AE470" s="172" t="str">
        <f t="shared" si="473"/>
        <v/>
      </c>
      <c r="AF470" s="172" t="str">
        <f t="shared" si="473"/>
        <v/>
      </c>
      <c r="AG470" s="172" t="str">
        <f t="shared" si="473"/>
        <v/>
      </c>
      <c r="AH470" s="172" t="str">
        <f t="shared" si="473"/>
        <v/>
      </c>
      <c r="AI470" s="172" t="str">
        <f t="shared" si="473"/>
        <v/>
      </c>
      <c r="AJ470" s="172" t="str">
        <f t="shared" si="473"/>
        <v/>
      </c>
      <c r="AK470" s="172" t="str">
        <f t="shared" si="473"/>
        <v/>
      </c>
      <c r="AL470" s="172" t="str">
        <f t="shared" si="473"/>
        <v/>
      </c>
      <c r="AM470" s="172" t="str">
        <f t="shared" si="473"/>
        <v/>
      </c>
      <c r="AN470" s="172" t="str">
        <f t="shared" si="473"/>
        <v/>
      </c>
      <c r="AO470" s="172" t="str">
        <f t="shared" si="473"/>
        <v/>
      </c>
      <c r="AP470" s="172" t="str">
        <f t="shared" si="473"/>
        <v/>
      </c>
      <c r="AQ470" s="172" t="str">
        <f t="shared" si="473"/>
        <v/>
      </c>
      <c r="AR470" s="172" t="str">
        <f t="shared" si="473"/>
        <v/>
      </c>
      <c r="AS470" s="172" t="str">
        <f t="shared" si="473"/>
        <v/>
      </c>
      <c r="AT470" s="173">
        <f>IF(AT$6="","",IF(AT$3="Maior",iferror(VLOOKUP($R470,Capa!$A:$AJ,AT$5,0),0),IF(ISERROR(1/VLOOKUP($R470,Capa!$A:$AJ,AT$5,0)),0,1/VLOOKUP($R470,Capa!$A:$AJ,AT$5,0))))</f>
        <v>-2.623376623</v>
      </c>
      <c r="AU470" s="174">
        <f>IF(AU$6="","",IF(AU$3="Maior",iferror(VLOOKUP($R470,Capa!$A:$AJ,AU$5,0),0),IF(ISERROR(1/VLOOKUP($R470,Capa!$A:$AJ,AU$5,0)),0,1/VLOOKUP($R470,Capa!$A:$AJ,AU$5,0))))</f>
        <v>0</v>
      </c>
      <c r="AV470" s="174" t="str">
        <f>IF(AV$6="","",IF(AV$3="Maior",iferror(VLOOKUP($R470,Capa!$A:$AJ,AV$5,0),0),IF(ISERROR(1/VLOOKUP($R470,Capa!$A:$AJ,AV$5,0)),0,1/VLOOKUP($R470,Capa!$A:$AJ,AV$5,0))))</f>
        <v/>
      </c>
      <c r="AW470" s="174" t="str">
        <f>IF(AW$6="","",IF(AW$3="Maior",iferror(VLOOKUP($R470,Capa!$A:$AJ,AW$5,0),0),IF(ISERROR(1/VLOOKUP($R470,Capa!$A:$AJ,AW$5,0)),0,1/VLOOKUP($R470,Capa!$A:$AJ,AW$5,0))))</f>
        <v/>
      </c>
      <c r="AX470" s="174" t="str">
        <f>IF(AX$6="","",IF(AX$3="Maior",iferror(VLOOKUP($R470,Capa!$A:$AJ,AX$5,0),0),IF(ISERROR(1/VLOOKUP($R470,Capa!$A:$AJ,AX$5,0)),0,1/VLOOKUP($R470,Capa!$A:$AJ,AX$5,0))))</f>
        <v/>
      </c>
      <c r="AY470" s="174" t="str">
        <f>IF(AY$6="","",IF(AY$3="Maior",iferror(VLOOKUP($R470,Capa!$A:$AJ,AY$5,0),0),IF(ISERROR(1/VLOOKUP($R470,Capa!$A:$AJ,AY$5,0)),0,1/VLOOKUP($R470,Capa!$A:$AJ,AY$5,0))))</f>
        <v/>
      </c>
      <c r="AZ470" s="174" t="str">
        <f>IF(AZ$6="","",IF(AZ$3="Maior",iferror(VLOOKUP($R470,Capa!$A:$AJ,AZ$5,0),0),IF(ISERROR(1/VLOOKUP($R470,Capa!$A:$AJ,AZ$5,0)),0,1/VLOOKUP($R470,Capa!$A:$AJ,AZ$5,0))))</f>
        <v/>
      </c>
      <c r="BA470" s="174" t="str">
        <f>IF(BA$6="","",IF(BA$3="Maior",iferror(VLOOKUP($R470,Capa!$A:$AJ,BA$5,0),0),IF(ISERROR(1/VLOOKUP($R470,Capa!$A:$AJ,BA$5,0)),0,1/VLOOKUP($R470,Capa!$A:$AJ,BA$5,0))))</f>
        <v/>
      </c>
      <c r="BB470" s="174" t="str">
        <f>IF(BB$6="","",IF(BB$3="Maior",iferror(VLOOKUP($R470,Capa!$A:$AJ,BB$5,0),0),IF(ISERROR(1/VLOOKUP($R470,Capa!$A:$AJ,BB$5,0)),0,1/VLOOKUP($R470,Capa!$A:$AJ,BB$5,0))))</f>
        <v/>
      </c>
      <c r="BC470" s="174" t="str">
        <f>IF(BC$6="","",IF(BC$3="Maior",iferror(VLOOKUP($R470,Capa!$A:$AJ,BC$5,0),0),IF(ISERROR(1/VLOOKUP($R470,Capa!$A:$AJ,BC$5,0)),0,1/VLOOKUP($R470,Capa!$A:$AJ,BC$5,0))))</f>
        <v/>
      </c>
      <c r="BD470" s="174" t="str">
        <f>IF(BD$6="","",IF(BD$3="Maior",iferror(VLOOKUP($R470,Capa!$A:$AJ,BD$5,0),0),IF(ISERROR(1/VLOOKUP($R470,Capa!$A:$AJ,BD$5,0)),0,1/VLOOKUP($R470,Capa!$A:$AJ,BD$5,0))))</f>
        <v/>
      </c>
      <c r="BE470" s="174" t="str">
        <f>IF(BE$6="","",IF(BE$3="Maior",iferror(VLOOKUP($R470,Capa!$A:$AJ,BE$5,0),0),IF(ISERROR(1/VLOOKUP($R470,Capa!$A:$AJ,BE$5,0)),0,1/VLOOKUP($R470,Capa!$A:$AJ,BE$5,0))))</f>
        <v/>
      </c>
      <c r="BF470" s="174" t="str">
        <f>IF(BF$6="","",IF(BF$3="Maior",iferror(VLOOKUP($R470,Capa!$A:$AJ,BF$5,0),0),IF(ISERROR(1/VLOOKUP($R470,Capa!$A:$AJ,BF$5,0)),0,1/VLOOKUP($R470,Capa!$A:$AJ,BF$5,0))))</f>
        <v/>
      </c>
      <c r="BG470" s="174" t="str">
        <f>IF(BG$6="","",IF(BG$3="Maior",iferror(VLOOKUP($R470,Capa!$A:$AJ,BG$5,0),0),IF(ISERROR(1/VLOOKUP($R470,Capa!$A:$AJ,BG$5,0)),0,1/VLOOKUP($R470,Capa!$A:$AJ,BG$5,0))))</f>
        <v/>
      </c>
      <c r="BH470" s="174" t="str">
        <f>IF(BH$6="","",IF(BH$3="Maior",iferror(VLOOKUP($R470,Capa!$A:$AJ,BH$5,0),0),IF(ISERROR(1/VLOOKUP($R470,Capa!$A:$AJ,BH$5,0)),0,1/VLOOKUP($R470,Capa!$A:$AJ,BH$5,0))))</f>
        <v/>
      </c>
      <c r="BI470" s="174" t="str">
        <f>IF(BI$6="","",IF(BI$3="Maior",iferror(VLOOKUP($R470,Capa!$A:$AJ,BI$5,0),0),IF(ISERROR(1/VLOOKUP($R470,Capa!$A:$AJ,BI$5,0)),0,1/VLOOKUP($R470,Capa!$A:$AJ,BI$5,0))))</f>
        <v/>
      </c>
      <c r="BJ470" s="174" t="str">
        <f>IF(BJ$6="","",IF(BJ$3="Maior",iferror(VLOOKUP($R470,Capa!$A:$AJ,BJ$5,0),0),IF(ISERROR(1/VLOOKUP($R470,Capa!$A:$AJ,BJ$5,0)),0,1/VLOOKUP($R470,Capa!$A:$AJ,BJ$5,0))))</f>
        <v/>
      </c>
      <c r="BK470" s="174" t="str">
        <f>IF(BK$6="","",IF(BK$3="Maior",iferror(VLOOKUP($R470,Capa!$A:$AJ,BK$5,0),0),IF(ISERROR(1/VLOOKUP($R470,Capa!$A:$AJ,BK$5,0)),0,1/VLOOKUP($R470,Capa!$A:$AJ,BK$5,0))))</f>
        <v/>
      </c>
      <c r="BL470" s="174" t="str">
        <f>IF(BL$6="","",IF(BL$3="Maior",iferror(VLOOKUP($R470,Capa!$A:$AJ,BL$5,0),0),IF(ISERROR(1/VLOOKUP($R470,Capa!$A:$AJ,BL$5,0)),0,1/VLOOKUP($R470,Capa!$A:$AJ,BL$5,0))))</f>
        <v/>
      </c>
      <c r="BM470" s="174" t="str">
        <f>IF(BM$6="","",IF(BM$3="Maior",iferror(VLOOKUP($R470,Capa!$A:$AJ,BM$5,0),0),IF(ISERROR(1/VLOOKUP($R470,Capa!$A:$AJ,BM$5,0)),0,1/VLOOKUP($R470,Capa!$A:$AJ,BM$5,0))))</f>
        <v/>
      </c>
      <c r="BN470" s="174" t="str">
        <f>IF(BN$6="","",IF(BN$3="Maior",iferror(VLOOKUP($R470,Capa!$A:$AJ,BN$5,0),0),IF(ISERROR(1/VLOOKUP($R470,Capa!$A:$AJ,BN$5,0)),0,1/VLOOKUP($R470,Capa!$A:$AJ,BN$5,0))))</f>
        <v/>
      </c>
      <c r="BO470" s="174" t="str">
        <f>IF(BO$6="","",IF(BO$3="Maior",iferror(VLOOKUP($R470,Capa!$A:$AJ,BO$5,0),0),IF(ISERROR(1/VLOOKUP($R470,Capa!$A:$AJ,BO$5,0)),0,1/VLOOKUP($R470,Capa!$A:$AJ,BO$5,0))))</f>
        <v/>
      </c>
      <c r="BP470" s="174" t="str">
        <f>IF(BP$6="","",IF(BP$3="Maior",iferror(VLOOKUP($R470,Capa!$A:$AJ,BP$5,0),0),IF(ISERROR(1/VLOOKUP($R470,Capa!$A:$AJ,BP$5,0)),0,1/VLOOKUP($R470,Capa!$A:$AJ,BP$5,0))))</f>
        <v/>
      </c>
      <c r="BQ470" s="174" t="str">
        <f>IF(BQ$6="","",IF(BQ$3="Maior",iferror(VLOOKUP($R470,Capa!$A:$AJ,BQ$5,0),0),IF(ISERROR(1/VLOOKUP($R470,Capa!$A:$AJ,BQ$5,0)),0,1/VLOOKUP($R470,Capa!$A:$AJ,BQ$5,0))))</f>
        <v/>
      </c>
      <c r="BR470" s="175"/>
      <c r="BS470" s="147"/>
    </row>
    <row r="471">
      <c r="H471" s="8">
        <v>465.0</v>
      </c>
      <c r="I471" s="165" t="str">
        <f t="shared" si="6"/>
        <v>ISAE3</v>
      </c>
      <c r="J471" s="166" t="str">
        <f>(VLOOKUP($I471,Capa!$A:$B,2,0))</f>
        <v>ISA Energia Brasil SA</v>
      </c>
      <c r="K471" s="167" t="str">
        <f>VLOOKUP(left(I471,4),Setor!A:D,3,0)&amp;" | "&amp;VLOOKUP(left(I471,4),Setor!A:D,4,0)</f>
        <v>#N/A</v>
      </c>
      <c r="L471" s="168">
        <f>(VLOOKUP($I471,Capa!$A:$F,6,0))</f>
        <v>35.27</v>
      </c>
      <c r="M471" s="168">
        <f t="shared" si="7"/>
        <v>148320.7</v>
      </c>
      <c r="N471" s="11" t="str">
        <f>IFERROR(__xludf.DUMMYFUNCTION("(VLOOKUP($I471,Capa!$A:$H,7,0))"),"")</f>
        <v/>
      </c>
      <c r="O471" s="169">
        <f>(VLOOKUP($I471,Capa!$A:$H,8,0))</f>
        <v>0.02827988338</v>
      </c>
      <c r="P471" s="11" t="str">
        <f>IFERROR(__xludf.DUMMYFUNCTION("(VLOOKUP($I471,Capa!$A:$J,10,0))"),"")</f>
        <v/>
      </c>
      <c r="Q471" s="169">
        <f>(VLOOKUP($I471,Capa!$A:$K,11,0))</f>
        <v>0.1133207071</v>
      </c>
      <c r="R471" s="45" t="str">
        <f>'Dados StatusInvest'!A466</f>
        <v>POWE3</v>
      </c>
      <c r="S471" s="170">
        <f t="shared" si="234"/>
        <v>1424.0424</v>
      </c>
      <c r="T471" s="171">
        <f>VLOOKUP(R471,'Dados StatusInvest'!A:Z,26,0)</f>
        <v>0</v>
      </c>
      <c r="U471" s="172">
        <f t="shared" ref="U471:AS471" si="474">IF(AT471="","", RANK(AT471,AT$7:AT$626,0)+RANK(AT471,AT$7:AT$626,0)/10000)</f>
        <v>157.0157</v>
      </c>
      <c r="V471" s="172">
        <f t="shared" si="474"/>
        <v>267.0267</v>
      </c>
      <c r="W471" s="172" t="str">
        <f t="shared" si="474"/>
        <v/>
      </c>
      <c r="X471" s="172" t="str">
        <f t="shared" si="474"/>
        <v/>
      </c>
      <c r="Y471" s="172" t="str">
        <f t="shared" si="474"/>
        <v/>
      </c>
      <c r="Z471" s="172" t="str">
        <f t="shared" si="474"/>
        <v/>
      </c>
      <c r="AA471" s="172" t="str">
        <f t="shared" si="474"/>
        <v/>
      </c>
      <c r="AB471" s="172" t="str">
        <f t="shared" si="474"/>
        <v/>
      </c>
      <c r="AC471" s="172" t="str">
        <f t="shared" si="474"/>
        <v/>
      </c>
      <c r="AD471" s="172" t="str">
        <f t="shared" si="474"/>
        <v/>
      </c>
      <c r="AE471" s="172" t="str">
        <f t="shared" si="474"/>
        <v/>
      </c>
      <c r="AF471" s="172" t="str">
        <f t="shared" si="474"/>
        <v/>
      </c>
      <c r="AG471" s="172" t="str">
        <f t="shared" si="474"/>
        <v/>
      </c>
      <c r="AH471" s="172" t="str">
        <f t="shared" si="474"/>
        <v/>
      </c>
      <c r="AI471" s="172" t="str">
        <f t="shared" si="474"/>
        <v/>
      </c>
      <c r="AJ471" s="172" t="str">
        <f t="shared" si="474"/>
        <v/>
      </c>
      <c r="AK471" s="172" t="str">
        <f t="shared" si="474"/>
        <v/>
      </c>
      <c r="AL471" s="172" t="str">
        <f t="shared" si="474"/>
        <v/>
      </c>
      <c r="AM471" s="172" t="str">
        <f t="shared" si="474"/>
        <v/>
      </c>
      <c r="AN471" s="172" t="str">
        <f t="shared" si="474"/>
        <v/>
      </c>
      <c r="AO471" s="172" t="str">
        <f t="shared" si="474"/>
        <v/>
      </c>
      <c r="AP471" s="172" t="str">
        <f t="shared" si="474"/>
        <v/>
      </c>
      <c r="AQ471" s="172" t="str">
        <f t="shared" si="474"/>
        <v/>
      </c>
      <c r="AR471" s="172" t="str">
        <f t="shared" si="474"/>
        <v/>
      </c>
      <c r="AS471" s="172" t="str">
        <f t="shared" si="474"/>
        <v/>
      </c>
      <c r="AT471" s="173">
        <f>IF(AT$6="","",IF(AT$3="Maior",iferror(VLOOKUP($R471,Capa!$A:$AJ,AT$5,0),0),IF(ISERROR(1/VLOOKUP($R471,Capa!$A:$AJ,AT$5,0)),0,1/VLOOKUP($R471,Capa!$A:$AJ,AT$5,0))))</f>
        <v>-0.1367989056</v>
      </c>
      <c r="AU471" s="174">
        <f>IF(AU$6="","",IF(AU$3="Maior",iferror(VLOOKUP($R471,Capa!$A:$AJ,AU$5,0),0),IF(ISERROR(1/VLOOKUP($R471,Capa!$A:$AJ,AU$5,0)),0,1/VLOOKUP($R471,Capa!$A:$AJ,AU$5,0))))</f>
        <v>0</v>
      </c>
      <c r="AV471" s="174" t="str">
        <f>IF(AV$6="","",IF(AV$3="Maior",iferror(VLOOKUP($R471,Capa!$A:$AJ,AV$5,0),0),IF(ISERROR(1/VLOOKUP($R471,Capa!$A:$AJ,AV$5,0)),0,1/VLOOKUP($R471,Capa!$A:$AJ,AV$5,0))))</f>
        <v/>
      </c>
      <c r="AW471" s="174" t="str">
        <f>IF(AW$6="","",IF(AW$3="Maior",iferror(VLOOKUP($R471,Capa!$A:$AJ,AW$5,0),0),IF(ISERROR(1/VLOOKUP($R471,Capa!$A:$AJ,AW$5,0)),0,1/VLOOKUP($R471,Capa!$A:$AJ,AW$5,0))))</f>
        <v/>
      </c>
      <c r="AX471" s="174" t="str">
        <f>IF(AX$6="","",IF(AX$3="Maior",iferror(VLOOKUP($R471,Capa!$A:$AJ,AX$5,0),0),IF(ISERROR(1/VLOOKUP($R471,Capa!$A:$AJ,AX$5,0)),0,1/VLOOKUP($R471,Capa!$A:$AJ,AX$5,0))))</f>
        <v/>
      </c>
      <c r="AY471" s="174" t="str">
        <f>IF(AY$6="","",IF(AY$3="Maior",iferror(VLOOKUP($R471,Capa!$A:$AJ,AY$5,0),0),IF(ISERROR(1/VLOOKUP($R471,Capa!$A:$AJ,AY$5,0)),0,1/VLOOKUP($R471,Capa!$A:$AJ,AY$5,0))))</f>
        <v/>
      </c>
      <c r="AZ471" s="174" t="str">
        <f>IF(AZ$6="","",IF(AZ$3="Maior",iferror(VLOOKUP($R471,Capa!$A:$AJ,AZ$5,0),0),IF(ISERROR(1/VLOOKUP($R471,Capa!$A:$AJ,AZ$5,0)),0,1/VLOOKUP($R471,Capa!$A:$AJ,AZ$5,0))))</f>
        <v/>
      </c>
      <c r="BA471" s="174" t="str">
        <f>IF(BA$6="","",IF(BA$3="Maior",iferror(VLOOKUP($R471,Capa!$A:$AJ,BA$5,0),0),IF(ISERROR(1/VLOOKUP($R471,Capa!$A:$AJ,BA$5,0)),0,1/VLOOKUP($R471,Capa!$A:$AJ,BA$5,0))))</f>
        <v/>
      </c>
      <c r="BB471" s="174" t="str">
        <f>IF(BB$6="","",IF(BB$3="Maior",iferror(VLOOKUP($R471,Capa!$A:$AJ,BB$5,0),0),IF(ISERROR(1/VLOOKUP($R471,Capa!$A:$AJ,BB$5,0)),0,1/VLOOKUP($R471,Capa!$A:$AJ,BB$5,0))))</f>
        <v/>
      </c>
      <c r="BC471" s="174" t="str">
        <f>IF(BC$6="","",IF(BC$3="Maior",iferror(VLOOKUP($R471,Capa!$A:$AJ,BC$5,0),0),IF(ISERROR(1/VLOOKUP($R471,Capa!$A:$AJ,BC$5,0)),0,1/VLOOKUP($R471,Capa!$A:$AJ,BC$5,0))))</f>
        <v/>
      </c>
      <c r="BD471" s="174" t="str">
        <f>IF(BD$6="","",IF(BD$3="Maior",iferror(VLOOKUP($R471,Capa!$A:$AJ,BD$5,0),0),IF(ISERROR(1/VLOOKUP($R471,Capa!$A:$AJ,BD$5,0)),0,1/VLOOKUP($R471,Capa!$A:$AJ,BD$5,0))))</f>
        <v/>
      </c>
      <c r="BE471" s="174" t="str">
        <f>IF(BE$6="","",IF(BE$3="Maior",iferror(VLOOKUP($R471,Capa!$A:$AJ,BE$5,0),0),IF(ISERROR(1/VLOOKUP($R471,Capa!$A:$AJ,BE$5,0)),0,1/VLOOKUP($R471,Capa!$A:$AJ,BE$5,0))))</f>
        <v/>
      </c>
      <c r="BF471" s="174" t="str">
        <f>IF(BF$6="","",IF(BF$3="Maior",iferror(VLOOKUP($R471,Capa!$A:$AJ,BF$5,0),0),IF(ISERROR(1/VLOOKUP($R471,Capa!$A:$AJ,BF$5,0)),0,1/VLOOKUP($R471,Capa!$A:$AJ,BF$5,0))))</f>
        <v/>
      </c>
      <c r="BG471" s="174" t="str">
        <f>IF(BG$6="","",IF(BG$3="Maior",iferror(VLOOKUP($R471,Capa!$A:$AJ,BG$5,0),0),IF(ISERROR(1/VLOOKUP($R471,Capa!$A:$AJ,BG$5,0)),0,1/VLOOKUP($R471,Capa!$A:$AJ,BG$5,0))))</f>
        <v/>
      </c>
      <c r="BH471" s="174" t="str">
        <f>IF(BH$6="","",IF(BH$3="Maior",iferror(VLOOKUP($R471,Capa!$A:$AJ,BH$5,0),0),IF(ISERROR(1/VLOOKUP($R471,Capa!$A:$AJ,BH$5,0)),0,1/VLOOKUP($R471,Capa!$A:$AJ,BH$5,0))))</f>
        <v/>
      </c>
      <c r="BI471" s="174" t="str">
        <f>IF(BI$6="","",IF(BI$3="Maior",iferror(VLOOKUP($R471,Capa!$A:$AJ,BI$5,0),0),IF(ISERROR(1/VLOOKUP($R471,Capa!$A:$AJ,BI$5,0)),0,1/VLOOKUP($R471,Capa!$A:$AJ,BI$5,0))))</f>
        <v/>
      </c>
      <c r="BJ471" s="174" t="str">
        <f>IF(BJ$6="","",IF(BJ$3="Maior",iferror(VLOOKUP($R471,Capa!$A:$AJ,BJ$5,0),0),IF(ISERROR(1/VLOOKUP($R471,Capa!$A:$AJ,BJ$5,0)),0,1/VLOOKUP($R471,Capa!$A:$AJ,BJ$5,0))))</f>
        <v/>
      </c>
      <c r="BK471" s="174" t="str">
        <f>IF(BK$6="","",IF(BK$3="Maior",iferror(VLOOKUP($R471,Capa!$A:$AJ,BK$5,0),0),IF(ISERROR(1/VLOOKUP($R471,Capa!$A:$AJ,BK$5,0)),0,1/VLOOKUP($R471,Capa!$A:$AJ,BK$5,0))))</f>
        <v/>
      </c>
      <c r="BL471" s="174" t="str">
        <f>IF(BL$6="","",IF(BL$3="Maior",iferror(VLOOKUP($R471,Capa!$A:$AJ,BL$5,0),0),IF(ISERROR(1/VLOOKUP($R471,Capa!$A:$AJ,BL$5,0)),0,1/VLOOKUP($R471,Capa!$A:$AJ,BL$5,0))))</f>
        <v/>
      </c>
      <c r="BM471" s="174" t="str">
        <f>IF(BM$6="","",IF(BM$3="Maior",iferror(VLOOKUP($R471,Capa!$A:$AJ,BM$5,0),0),IF(ISERROR(1/VLOOKUP($R471,Capa!$A:$AJ,BM$5,0)),0,1/VLOOKUP($R471,Capa!$A:$AJ,BM$5,0))))</f>
        <v/>
      </c>
      <c r="BN471" s="174" t="str">
        <f>IF(BN$6="","",IF(BN$3="Maior",iferror(VLOOKUP($R471,Capa!$A:$AJ,BN$5,0),0),IF(ISERROR(1/VLOOKUP($R471,Capa!$A:$AJ,BN$5,0)),0,1/VLOOKUP($R471,Capa!$A:$AJ,BN$5,0))))</f>
        <v/>
      </c>
      <c r="BO471" s="174" t="str">
        <f>IF(BO$6="","",IF(BO$3="Maior",iferror(VLOOKUP($R471,Capa!$A:$AJ,BO$5,0),0),IF(ISERROR(1/VLOOKUP($R471,Capa!$A:$AJ,BO$5,0)),0,1/VLOOKUP($R471,Capa!$A:$AJ,BO$5,0))))</f>
        <v/>
      </c>
      <c r="BP471" s="174" t="str">
        <f>IF(BP$6="","",IF(BP$3="Maior",iferror(VLOOKUP($R471,Capa!$A:$AJ,BP$5,0),0),IF(ISERROR(1/VLOOKUP($R471,Capa!$A:$AJ,BP$5,0)),0,1/VLOOKUP($R471,Capa!$A:$AJ,BP$5,0))))</f>
        <v/>
      </c>
      <c r="BQ471" s="174" t="str">
        <f>IF(BQ$6="","",IF(BQ$3="Maior",iferror(VLOOKUP($R471,Capa!$A:$AJ,BQ$5,0),0),IF(ISERROR(1/VLOOKUP($R471,Capa!$A:$AJ,BQ$5,0)),0,1/VLOOKUP($R471,Capa!$A:$AJ,BQ$5,0))))</f>
        <v/>
      </c>
      <c r="BR471" s="175"/>
      <c r="BS471" s="147"/>
    </row>
    <row r="472">
      <c r="H472" s="8">
        <v>466.0</v>
      </c>
      <c r="I472" s="165" t="str">
        <f t="shared" si="6"/>
        <v>PTNT4</v>
      </c>
      <c r="J472" s="166" t="str">
        <f>(VLOOKUP($I472,Capa!$A:$B,2,0))</f>
        <v>Pettenati SA Industria Textil Preference Shares</v>
      </c>
      <c r="K472" s="167" t="str">
        <f>VLOOKUP(left(I472,4),Setor!A:D,3,0)&amp;" | "&amp;VLOOKUP(left(I472,4),Setor!A:D,4,0)</f>
        <v>Consumo Cíclico | Tecidos, Vestuário e Calçados</v>
      </c>
      <c r="L472" s="168">
        <f>(VLOOKUP($I472,Capa!$A:$F,6,0))</f>
        <v>8.45</v>
      </c>
      <c r="M472" s="168">
        <f t="shared" si="7"/>
        <v>254005.9</v>
      </c>
      <c r="N472" s="11" t="str">
        <f>IFERROR(__xludf.DUMMYFUNCTION("(VLOOKUP($I472,Capa!$A:$H,7,0))"),"")</f>
        <v/>
      </c>
      <c r="O472" s="169">
        <f>(VLOOKUP($I472,Capa!$A:$H,8,0))</f>
        <v>0.04320987654</v>
      </c>
      <c r="P472" s="11" t="str">
        <f>IFERROR(__xludf.DUMMYFUNCTION("(VLOOKUP($I472,Capa!$A:$J,10,0))"),"")</f>
        <v/>
      </c>
      <c r="Q472" s="169">
        <f>(VLOOKUP($I472,Capa!$A:$K,11,0))</f>
        <v>0.1434370771</v>
      </c>
      <c r="R472" s="45" t="str">
        <f>'Dados StatusInvest'!A467</f>
        <v>PPAR3</v>
      </c>
      <c r="S472" s="170">
        <f t="shared" si="234"/>
        <v>1441.0441</v>
      </c>
      <c r="T472" s="171">
        <f>VLOOKUP(R472,'Dados StatusInvest'!A:Z,26,0)</f>
        <v>0</v>
      </c>
      <c r="U472" s="172">
        <f t="shared" ref="U472:AS472" si="475">IF(AT472="","", RANK(AT472,AT$7:AT$626,0)+RANK(AT472,AT$7:AT$626,0)/10000)</f>
        <v>385.0385</v>
      </c>
      <c r="V472" s="172">
        <f t="shared" si="475"/>
        <v>56.0056</v>
      </c>
      <c r="W472" s="172" t="str">
        <f t="shared" si="475"/>
        <v/>
      </c>
      <c r="X472" s="172" t="str">
        <f t="shared" si="475"/>
        <v/>
      </c>
      <c r="Y472" s="172" t="str">
        <f t="shared" si="475"/>
        <v/>
      </c>
      <c r="Z472" s="172" t="str">
        <f t="shared" si="475"/>
        <v/>
      </c>
      <c r="AA472" s="172" t="str">
        <f t="shared" si="475"/>
        <v/>
      </c>
      <c r="AB472" s="172" t="str">
        <f t="shared" si="475"/>
        <v/>
      </c>
      <c r="AC472" s="172" t="str">
        <f t="shared" si="475"/>
        <v/>
      </c>
      <c r="AD472" s="172" t="str">
        <f t="shared" si="475"/>
        <v/>
      </c>
      <c r="AE472" s="172" t="str">
        <f t="shared" si="475"/>
        <v/>
      </c>
      <c r="AF472" s="172" t="str">
        <f t="shared" si="475"/>
        <v/>
      </c>
      <c r="AG472" s="172" t="str">
        <f t="shared" si="475"/>
        <v/>
      </c>
      <c r="AH472" s="172" t="str">
        <f t="shared" si="475"/>
        <v/>
      </c>
      <c r="AI472" s="172" t="str">
        <f t="shared" si="475"/>
        <v/>
      </c>
      <c r="AJ472" s="172" t="str">
        <f t="shared" si="475"/>
        <v/>
      </c>
      <c r="AK472" s="172" t="str">
        <f t="shared" si="475"/>
        <v/>
      </c>
      <c r="AL472" s="172" t="str">
        <f t="shared" si="475"/>
        <v/>
      </c>
      <c r="AM472" s="172" t="str">
        <f t="shared" si="475"/>
        <v/>
      </c>
      <c r="AN472" s="172" t="str">
        <f t="shared" si="475"/>
        <v/>
      </c>
      <c r="AO472" s="172" t="str">
        <f t="shared" si="475"/>
        <v/>
      </c>
      <c r="AP472" s="172" t="str">
        <f t="shared" si="475"/>
        <v/>
      </c>
      <c r="AQ472" s="172" t="str">
        <f t="shared" si="475"/>
        <v/>
      </c>
      <c r="AR472" s="172" t="str">
        <f t="shared" si="475"/>
        <v/>
      </c>
      <c r="AS472" s="172" t="str">
        <f t="shared" si="475"/>
        <v/>
      </c>
      <c r="AT472" s="173">
        <f>IF(AT$6="","",IF(AT$3="Maior",iferror(VLOOKUP($R472,Capa!$A:$AJ,AT$5,0),0),IF(ISERROR(1/VLOOKUP($R472,Capa!$A:$AJ,AT$5,0)),0,1/VLOOKUP($R472,Capa!$A:$AJ,AT$5,0))))</f>
        <v>-1.219512195</v>
      </c>
      <c r="AU472" s="174">
        <f>IF(AU$6="","",IF(AU$3="Maior",iferror(VLOOKUP($R472,Capa!$A:$AJ,AU$5,0),0),IF(ISERROR(1/VLOOKUP($R472,Capa!$A:$AJ,AU$5,0)),0,1/VLOOKUP($R472,Capa!$A:$AJ,AU$5,0))))</f>
        <v>35.18</v>
      </c>
      <c r="AV472" s="174" t="str">
        <f>IF(AV$6="","",IF(AV$3="Maior",iferror(VLOOKUP($R472,Capa!$A:$AJ,AV$5,0),0),IF(ISERROR(1/VLOOKUP($R472,Capa!$A:$AJ,AV$5,0)),0,1/VLOOKUP($R472,Capa!$A:$AJ,AV$5,0))))</f>
        <v/>
      </c>
      <c r="AW472" s="174" t="str">
        <f>IF(AW$6="","",IF(AW$3="Maior",iferror(VLOOKUP($R472,Capa!$A:$AJ,AW$5,0),0),IF(ISERROR(1/VLOOKUP($R472,Capa!$A:$AJ,AW$5,0)),0,1/VLOOKUP($R472,Capa!$A:$AJ,AW$5,0))))</f>
        <v/>
      </c>
      <c r="AX472" s="174" t="str">
        <f>IF(AX$6="","",IF(AX$3="Maior",iferror(VLOOKUP($R472,Capa!$A:$AJ,AX$5,0),0),IF(ISERROR(1/VLOOKUP($R472,Capa!$A:$AJ,AX$5,0)),0,1/VLOOKUP($R472,Capa!$A:$AJ,AX$5,0))))</f>
        <v/>
      </c>
      <c r="AY472" s="174" t="str">
        <f>IF(AY$6="","",IF(AY$3="Maior",iferror(VLOOKUP($R472,Capa!$A:$AJ,AY$5,0),0),IF(ISERROR(1/VLOOKUP($R472,Capa!$A:$AJ,AY$5,0)),0,1/VLOOKUP($R472,Capa!$A:$AJ,AY$5,0))))</f>
        <v/>
      </c>
      <c r="AZ472" s="174" t="str">
        <f>IF(AZ$6="","",IF(AZ$3="Maior",iferror(VLOOKUP($R472,Capa!$A:$AJ,AZ$5,0),0),IF(ISERROR(1/VLOOKUP($R472,Capa!$A:$AJ,AZ$5,0)),0,1/VLOOKUP($R472,Capa!$A:$AJ,AZ$5,0))))</f>
        <v/>
      </c>
      <c r="BA472" s="174" t="str">
        <f>IF(BA$6="","",IF(BA$3="Maior",iferror(VLOOKUP($R472,Capa!$A:$AJ,BA$5,0),0),IF(ISERROR(1/VLOOKUP($R472,Capa!$A:$AJ,BA$5,0)),0,1/VLOOKUP($R472,Capa!$A:$AJ,BA$5,0))))</f>
        <v/>
      </c>
      <c r="BB472" s="174" t="str">
        <f>IF(BB$6="","",IF(BB$3="Maior",iferror(VLOOKUP($R472,Capa!$A:$AJ,BB$5,0),0),IF(ISERROR(1/VLOOKUP($R472,Capa!$A:$AJ,BB$5,0)),0,1/VLOOKUP($R472,Capa!$A:$AJ,BB$5,0))))</f>
        <v/>
      </c>
      <c r="BC472" s="174" t="str">
        <f>IF(BC$6="","",IF(BC$3="Maior",iferror(VLOOKUP($R472,Capa!$A:$AJ,BC$5,0),0),IF(ISERROR(1/VLOOKUP($R472,Capa!$A:$AJ,BC$5,0)),0,1/VLOOKUP($R472,Capa!$A:$AJ,BC$5,0))))</f>
        <v/>
      </c>
      <c r="BD472" s="174" t="str">
        <f>IF(BD$6="","",IF(BD$3="Maior",iferror(VLOOKUP($R472,Capa!$A:$AJ,BD$5,0),0),IF(ISERROR(1/VLOOKUP($R472,Capa!$A:$AJ,BD$5,0)),0,1/VLOOKUP($R472,Capa!$A:$AJ,BD$5,0))))</f>
        <v/>
      </c>
      <c r="BE472" s="174" t="str">
        <f>IF(BE$6="","",IF(BE$3="Maior",iferror(VLOOKUP($R472,Capa!$A:$AJ,BE$5,0),0),IF(ISERROR(1/VLOOKUP($R472,Capa!$A:$AJ,BE$5,0)),0,1/VLOOKUP($R472,Capa!$A:$AJ,BE$5,0))))</f>
        <v/>
      </c>
      <c r="BF472" s="174" t="str">
        <f>IF(BF$6="","",IF(BF$3="Maior",iferror(VLOOKUP($R472,Capa!$A:$AJ,BF$5,0),0),IF(ISERROR(1/VLOOKUP($R472,Capa!$A:$AJ,BF$5,0)),0,1/VLOOKUP($R472,Capa!$A:$AJ,BF$5,0))))</f>
        <v/>
      </c>
      <c r="BG472" s="174" t="str">
        <f>IF(BG$6="","",IF(BG$3="Maior",iferror(VLOOKUP($R472,Capa!$A:$AJ,BG$5,0),0),IF(ISERROR(1/VLOOKUP($R472,Capa!$A:$AJ,BG$5,0)),0,1/VLOOKUP($R472,Capa!$A:$AJ,BG$5,0))))</f>
        <v/>
      </c>
      <c r="BH472" s="174" t="str">
        <f>IF(BH$6="","",IF(BH$3="Maior",iferror(VLOOKUP($R472,Capa!$A:$AJ,BH$5,0),0),IF(ISERROR(1/VLOOKUP($R472,Capa!$A:$AJ,BH$5,0)),0,1/VLOOKUP($R472,Capa!$A:$AJ,BH$5,0))))</f>
        <v/>
      </c>
      <c r="BI472" s="174" t="str">
        <f>IF(BI$6="","",IF(BI$3="Maior",iferror(VLOOKUP($R472,Capa!$A:$AJ,BI$5,0),0),IF(ISERROR(1/VLOOKUP($R472,Capa!$A:$AJ,BI$5,0)),0,1/VLOOKUP($R472,Capa!$A:$AJ,BI$5,0))))</f>
        <v/>
      </c>
      <c r="BJ472" s="174" t="str">
        <f>IF(BJ$6="","",IF(BJ$3="Maior",iferror(VLOOKUP($R472,Capa!$A:$AJ,BJ$5,0),0),IF(ISERROR(1/VLOOKUP($R472,Capa!$A:$AJ,BJ$5,0)),0,1/VLOOKUP($R472,Capa!$A:$AJ,BJ$5,0))))</f>
        <v/>
      </c>
      <c r="BK472" s="174" t="str">
        <f>IF(BK$6="","",IF(BK$3="Maior",iferror(VLOOKUP($R472,Capa!$A:$AJ,BK$5,0),0),IF(ISERROR(1/VLOOKUP($R472,Capa!$A:$AJ,BK$5,0)),0,1/VLOOKUP($R472,Capa!$A:$AJ,BK$5,0))))</f>
        <v/>
      </c>
      <c r="BL472" s="174" t="str">
        <f>IF(BL$6="","",IF(BL$3="Maior",iferror(VLOOKUP($R472,Capa!$A:$AJ,BL$5,0),0),IF(ISERROR(1/VLOOKUP($R472,Capa!$A:$AJ,BL$5,0)),0,1/VLOOKUP($R472,Capa!$A:$AJ,BL$5,0))))</f>
        <v/>
      </c>
      <c r="BM472" s="174" t="str">
        <f>IF(BM$6="","",IF(BM$3="Maior",iferror(VLOOKUP($R472,Capa!$A:$AJ,BM$5,0),0),IF(ISERROR(1/VLOOKUP($R472,Capa!$A:$AJ,BM$5,0)),0,1/VLOOKUP($R472,Capa!$A:$AJ,BM$5,0))))</f>
        <v/>
      </c>
      <c r="BN472" s="174" t="str">
        <f>IF(BN$6="","",IF(BN$3="Maior",iferror(VLOOKUP($R472,Capa!$A:$AJ,BN$5,0),0),IF(ISERROR(1/VLOOKUP($R472,Capa!$A:$AJ,BN$5,0)),0,1/VLOOKUP($R472,Capa!$A:$AJ,BN$5,0))))</f>
        <v/>
      </c>
      <c r="BO472" s="174" t="str">
        <f>IF(BO$6="","",IF(BO$3="Maior",iferror(VLOOKUP($R472,Capa!$A:$AJ,BO$5,0),0),IF(ISERROR(1/VLOOKUP($R472,Capa!$A:$AJ,BO$5,0)),0,1/VLOOKUP($R472,Capa!$A:$AJ,BO$5,0))))</f>
        <v/>
      </c>
      <c r="BP472" s="174" t="str">
        <f>IF(BP$6="","",IF(BP$3="Maior",iferror(VLOOKUP($R472,Capa!$A:$AJ,BP$5,0),0),IF(ISERROR(1/VLOOKUP($R472,Capa!$A:$AJ,BP$5,0)),0,1/VLOOKUP($R472,Capa!$A:$AJ,BP$5,0))))</f>
        <v/>
      </c>
      <c r="BQ472" s="174" t="str">
        <f>IF(BQ$6="","",IF(BQ$3="Maior",iferror(VLOOKUP($R472,Capa!$A:$AJ,BQ$5,0),0),IF(ISERROR(1/VLOOKUP($R472,Capa!$A:$AJ,BQ$5,0)),0,1/VLOOKUP($R472,Capa!$A:$AJ,BQ$5,0))))</f>
        <v/>
      </c>
      <c r="BR472" s="175"/>
      <c r="BS472" s="147"/>
    </row>
    <row r="473">
      <c r="H473" s="8">
        <v>467.0</v>
      </c>
      <c r="I473" s="165" t="str">
        <f t="shared" si="6"/>
        <v>BMIN3</v>
      </c>
      <c r="J473" s="166" t="str">
        <f>(VLOOKUP($I473,Capa!$A:$B,2,0))</f>
        <v>Banco Mercantil de Investimentos SA</v>
      </c>
      <c r="K473" s="167" t="str">
        <f>VLOOKUP(left(I473,4),Setor!A:D,3,0)&amp;" | "&amp;VLOOKUP(left(I473,4),Setor!A:D,4,0)</f>
        <v>Financeiro | Intermediários Financeiros</v>
      </c>
      <c r="L473" s="168">
        <f>(VLOOKUP($I473,Capa!$A:$F,6,0))</f>
        <v>22.99</v>
      </c>
      <c r="M473" s="168">
        <f t="shared" si="7"/>
        <v>2299</v>
      </c>
      <c r="N473" s="11" t="str">
        <f>IFERROR(__xludf.DUMMYFUNCTION("(VLOOKUP($I473,Capa!$A:$H,7,0))"),"")</f>
        <v/>
      </c>
      <c r="O473" s="169" t="str">
        <f>(VLOOKUP($I473,Capa!$A:$H,8,0))</f>
        <v/>
      </c>
      <c r="P473" s="11" t="str">
        <f>IFERROR(__xludf.DUMMYFUNCTION("(VLOOKUP($I473,Capa!$A:$J,10,0))"),"")</f>
        <v/>
      </c>
      <c r="Q473" s="169">
        <f>(VLOOKUP($I473,Capa!$A:$K,11,0))</f>
        <v>0.2772222222</v>
      </c>
      <c r="R473" s="45" t="str">
        <f>'Dados StatusInvest'!A468</f>
        <v>PPAR4</v>
      </c>
      <c r="S473" s="170">
        <f t="shared" si="234"/>
        <v>1107.0107</v>
      </c>
      <c r="T473" s="171">
        <f>VLOOKUP(R473,'Dados StatusInvest'!A:Z,26,0)</f>
        <v>0</v>
      </c>
      <c r="U473" s="172">
        <f t="shared" ref="U473:AS473" si="476">IF(AT473="","", RANK(AT473,AT$7:AT$626,0)+RANK(AT473,AT$7:AT$626,0)/10000)</f>
        <v>51.0051</v>
      </c>
      <c r="V473" s="172">
        <f t="shared" si="476"/>
        <v>56.0056</v>
      </c>
      <c r="W473" s="172" t="str">
        <f t="shared" si="476"/>
        <v/>
      </c>
      <c r="X473" s="172" t="str">
        <f t="shared" si="476"/>
        <v/>
      </c>
      <c r="Y473" s="172" t="str">
        <f t="shared" si="476"/>
        <v/>
      </c>
      <c r="Z473" s="172" t="str">
        <f t="shared" si="476"/>
        <v/>
      </c>
      <c r="AA473" s="172" t="str">
        <f t="shared" si="476"/>
        <v/>
      </c>
      <c r="AB473" s="172" t="str">
        <f t="shared" si="476"/>
        <v/>
      </c>
      <c r="AC473" s="172" t="str">
        <f t="shared" si="476"/>
        <v/>
      </c>
      <c r="AD473" s="172" t="str">
        <f t="shared" si="476"/>
        <v/>
      </c>
      <c r="AE473" s="172" t="str">
        <f t="shared" si="476"/>
        <v/>
      </c>
      <c r="AF473" s="172" t="str">
        <f t="shared" si="476"/>
        <v/>
      </c>
      <c r="AG473" s="172" t="str">
        <f t="shared" si="476"/>
        <v/>
      </c>
      <c r="AH473" s="172" t="str">
        <f t="shared" si="476"/>
        <v/>
      </c>
      <c r="AI473" s="172" t="str">
        <f t="shared" si="476"/>
        <v/>
      </c>
      <c r="AJ473" s="172" t="str">
        <f t="shared" si="476"/>
        <v/>
      </c>
      <c r="AK473" s="172" t="str">
        <f t="shared" si="476"/>
        <v/>
      </c>
      <c r="AL473" s="172" t="str">
        <f t="shared" si="476"/>
        <v/>
      </c>
      <c r="AM473" s="172" t="str">
        <f t="shared" si="476"/>
        <v/>
      </c>
      <c r="AN473" s="172" t="str">
        <f t="shared" si="476"/>
        <v/>
      </c>
      <c r="AO473" s="172" t="str">
        <f t="shared" si="476"/>
        <v/>
      </c>
      <c r="AP473" s="172" t="str">
        <f t="shared" si="476"/>
        <v/>
      </c>
      <c r="AQ473" s="172" t="str">
        <f t="shared" si="476"/>
        <v/>
      </c>
      <c r="AR473" s="172" t="str">
        <f t="shared" si="476"/>
        <v/>
      </c>
      <c r="AS473" s="172" t="str">
        <f t="shared" si="476"/>
        <v/>
      </c>
      <c r="AT473" s="173">
        <f>IF(AT$6="","",IF(AT$3="Maior",iferror(VLOOKUP($R473,Capa!$A:$AJ,AT$5,0),0),IF(ISERROR(1/VLOOKUP($R473,Capa!$A:$AJ,AT$5,0)),0,1/VLOOKUP($R473,Capa!$A:$AJ,AT$5,0))))</f>
        <v>0</v>
      </c>
      <c r="AU473" s="174">
        <f>IF(AU$6="","",IF(AU$3="Maior",iferror(VLOOKUP($R473,Capa!$A:$AJ,AU$5,0),0),IF(ISERROR(1/VLOOKUP($R473,Capa!$A:$AJ,AU$5,0)),0,1/VLOOKUP($R473,Capa!$A:$AJ,AU$5,0))))</f>
        <v>35.18</v>
      </c>
      <c r="AV473" s="174" t="str">
        <f>IF(AV$6="","",IF(AV$3="Maior",iferror(VLOOKUP($R473,Capa!$A:$AJ,AV$5,0),0),IF(ISERROR(1/VLOOKUP($R473,Capa!$A:$AJ,AV$5,0)),0,1/VLOOKUP($R473,Capa!$A:$AJ,AV$5,0))))</f>
        <v/>
      </c>
      <c r="AW473" s="174" t="str">
        <f>IF(AW$6="","",IF(AW$3="Maior",iferror(VLOOKUP($R473,Capa!$A:$AJ,AW$5,0),0),IF(ISERROR(1/VLOOKUP($R473,Capa!$A:$AJ,AW$5,0)),0,1/VLOOKUP($R473,Capa!$A:$AJ,AW$5,0))))</f>
        <v/>
      </c>
      <c r="AX473" s="174" t="str">
        <f>IF(AX$6="","",IF(AX$3="Maior",iferror(VLOOKUP($R473,Capa!$A:$AJ,AX$5,0),0),IF(ISERROR(1/VLOOKUP($R473,Capa!$A:$AJ,AX$5,0)),0,1/VLOOKUP($R473,Capa!$A:$AJ,AX$5,0))))</f>
        <v/>
      </c>
      <c r="AY473" s="174" t="str">
        <f>IF(AY$6="","",IF(AY$3="Maior",iferror(VLOOKUP($R473,Capa!$A:$AJ,AY$5,0),0),IF(ISERROR(1/VLOOKUP($R473,Capa!$A:$AJ,AY$5,0)),0,1/VLOOKUP($R473,Capa!$A:$AJ,AY$5,0))))</f>
        <v/>
      </c>
      <c r="AZ473" s="174" t="str">
        <f>IF(AZ$6="","",IF(AZ$3="Maior",iferror(VLOOKUP($R473,Capa!$A:$AJ,AZ$5,0),0),IF(ISERROR(1/VLOOKUP($R473,Capa!$A:$AJ,AZ$5,0)),0,1/VLOOKUP($R473,Capa!$A:$AJ,AZ$5,0))))</f>
        <v/>
      </c>
      <c r="BA473" s="174" t="str">
        <f>IF(BA$6="","",IF(BA$3="Maior",iferror(VLOOKUP($R473,Capa!$A:$AJ,BA$5,0),0),IF(ISERROR(1/VLOOKUP($R473,Capa!$A:$AJ,BA$5,0)),0,1/VLOOKUP($R473,Capa!$A:$AJ,BA$5,0))))</f>
        <v/>
      </c>
      <c r="BB473" s="174" t="str">
        <f>IF(BB$6="","",IF(BB$3="Maior",iferror(VLOOKUP($R473,Capa!$A:$AJ,BB$5,0),0),IF(ISERROR(1/VLOOKUP($R473,Capa!$A:$AJ,BB$5,0)),0,1/VLOOKUP($R473,Capa!$A:$AJ,BB$5,0))))</f>
        <v/>
      </c>
      <c r="BC473" s="174" t="str">
        <f>IF(BC$6="","",IF(BC$3="Maior",iferror(VLOOKUP($R473,Capa!$A:$AJ,BC$5,0),0),IF(ISERROR(1/VLOOKUP($R473,Capa!$A:$AJ,BC$5,0)),0,1/VLOOKUP($R473,Capa!$A:$AJ,BC$5,0))))</f>
        <v/>
      </c>
      <c r="BD473" s="174" t="str">
        <f>IF(BD$6="","",IF(BD$3="Maior",iferror(VLOOKUP($R473,Capa!$A:$AJ,BD$5,0),0),IF(ISERROR(1/VLOOKUP($R473,Capa!$A:$AJ,BD$5,0)),0,1/VLOOKUP($R473,Capa!$A:$AJ,BD$5,0))))</f>
        <v/>
      </c>
      <c r="BE473" s="174" t="str">
        <f>IF(BE$6="","",IF(BE$3="Maior",iferror(VLOOKUP($R473,Capa!$A:$AJ,BE$5,0),0),IF(ISERROR(1/VLOOKUP($R473,Capa!$A:$AJ,BE$5,0)),0,1/VLOOKUP($R473,Capa!$A:$AJ,BE$5,0))))</f>
        <v/>
      </c>
      <c r="BF473" s="174" t="str">
        <f>IF(BF$6="","",IF(BF$3="Maior",iferror(VLOOKUP($R473,Capa!$A:$AJ,BF$5,0),0),IF(ISERROR(1/VLOOKUP($R473,Capa!$A:$AJ,BF$5,0)),0,1/VLOOKUP($R473,Capa!$A:$AJ,BF$5,0))))</f>
        <v/>
      </c>
      <c r="BG473" s="174" t="str">
        <f>IF(BG$6="","",IF(BG$3="Maior",iferror(VLOOKUP($R473,Capa!$A:$AJ,BG$5,0),0),IF(ISERROR(1/VLOOKUP($R473,Capa!$A:$AJ,BG$5,0)),0,1/VLOOKUP($R473,Capa!$A:$AJ,BG$5,0))))</f>
        <v/>
      </c>
      <c r="BH473" s="174" t="str">
        <f>IF(BH$6="","",IF(BH$3="Maior",iferror(VLOOKUP($R473,Capa!$A:$AJ,BH$5,0),0),IF(ISERROR(1/VLOOKUP($R473,Capa!$A:$AJ,BH$5,0)),0,1/VLOOKUP($R473,Capa!$A:$AJ,BH$5,0))))</f>
        <v/>
      </c>
      <c r="BI473" s="174" t="str">
        <f>IF(BI$6="","",IF(BI$3="Maior",iferror(VLOOKUP($R473,Capa!$A:$AJ,BI$5,0),0),IF(ISERROR(1/VLOOKUP($R473,Capa!$A:$AJ,BI$5,0)),0,1/VLOOKUP($R473,Capa!$A:$AJ,BI$5,0))))</f>
        <v/>
      </c>
      <c r="BJ473" s="174" t="str">
        <f>IF(BJ$6="","",IF(BJ$3="Maior",iferror(VLOOKUP($R473,Capa!$A:$AJ,BJ$5,0),0),IF(ISERROR(1/VLOOKUP($R473,Capa!$A:$AJ,BJ$5,0)),0,1/VLOOKUP($R473,Capa!$A:$AJ,BJ$5,0))))</f>
        <v/>
      </c>
      <c r="BK473" s="174" t="str">
        <f>IF(BK$6="","",IF(BK$3="Maior",iferror(VLOOKUP($R473,Capa!$A:$AJ,BK$5,0),0),IF(ISERROR(1/VLOOKUP($R473,Capa!$A:$AJ,BK$5,0)),0,1/VLOOKUP($R473,Capa!$A:$AJ,BK$5,0))))</f>
        <v/>
      </c>
      <c r="BL473" s="174" t="str">
        <f>IF(BL$6="","",IF(BL$3="Maior",iferror(VLOOKUP($R473,Capa!$A:$AJ,BL$5,0),0),IF(ISERROR(1/VLOOKUP($R473,Capa!$A:$AJ,BL$5,0)),0,1/VLOOKUP($R473,Capa!$A:$AJ,BL$5,0))))</f>
        <v/>
      </c>
      <c r="BM473" s="174" t="str">
        <f>IF(BM$6="","",IF(BM$3="Maior",iferror(VLOOKUP($R473,Capa!$A:$AJ,BM$5,0),0),IF(ISERROR(1/VLOOKUP($R473,Capa!$A:$AJ,BM$5,0)),0,1/VLOOKUP($R473,Capa!$A:$AJ,BM$5,0))))</f>
        <v/>
      </c>
      <c r="BN473" s="174" t="str">
        <f>IF(BN$6="","",IF(BN$3="Maior",iferror(VLOOKUP($R473,Capa!$A:$AJ,BN$5,0),0),IF(ISERROR(1/VLOOKUP($R473,Capa!$A:$AJ,BN$5,0)),0,1/VLOOKUP($R473,Capa!$A:$AJ,BN$5,0))))</f>
        <v/>
      </c>
      <c r="BO473" s="174" t="str">
        <f>IF(BO$6="","",IF(BO$3="Maior",iferror(VLOOKUP($R473,Capa!$A:$AJ,BO$5,0),0),IF(ISERROR(1/VLOOKUP($R473,Capa!$A:$AJ,BO$5,0)),0,1/VLOOKUP($R473,Capa!$A:$AJ,BO$5,0))))</f>
        <v/>
      </c>
      <c r="BP473" s="174" t="str">
        <f>IF(BP$6="","",IF(BP$3="Maior",iferror(VLOOKUP($R473,Capa!$A:$AJ,BP$5,0),0),IF(ISERROR(1/VLOOKUP($R473,Capa!$A:$AJ,BP$5,0)),0,1/VLOOKUP($R473,Capa!$A:$AJ,BP$5,0))))</f>
        <v/>
      </c>
      <c r="BQ473" s="174" t="str">
        <f>IF(BQ$6="","",IF(BQ$3="Maior",iferror(VLOOKUP($R473,Capa!$A:$AJ,BQ$5,0),0),IF(ISERROR(1/VLOOKUP($R473,Capa!$A:$AJ,BQ$5,0)),0,1/VLOOKUP($R473,Capa!$A:$AJ,BQ$5,0))))</f>
        <v/>
      </c>
      <c r="BR473" s="175"/>
      <c r="BS473" s="147"/>
    </row>
    <row r="474">
      <c r="H474" s="8">
        <v>468.0</v>
      </c>
      <c r="I474" s="165" t="str">
        <f t="shared" si="6"/>
        <v>BMIN4</v>
      </c>
      <c r="J474" s="166" t="str">
        <f>(VLOOKUP($I474,Capa!$A:$B,2,0))</f>
        <v>Banco Mercantil de Investimentos SA Preference Shares</v>
      </c>
      <c r="K474" s="167" t="str">
        <f>VLOOKUP(left(I474,4),Setor!A:D,3,0)&amp;" | "&amp;VLOOKUP(left(I474,4),Setor!A:D,4,0)</f>
        <v>Financeiro | Intermediários Financeiros</v>
      </c>
      <c r="L474" s="168">
        <f>(VLOOKUP($I474,Capa!$A:$F,6,0))</f>
        <v>19.05</v>
      </c>
      <c r="M474" s="168">
        <f t="shared" si="7"/>
        <v>3498.5</v>
      </c>
      <c r="N474" s="11" t="str">
        <f>IFERROR(__xludf.DUMMYFUNCTION("(VLOOKUP($I474,Capa!$A:$H,7,0))"),"")</f>
        <v/>
      </c>
      <c r="O474" s="169">
        <f>(VLOOKUP($I474,Capa!$A:$H,8,0))</f>
        <v>0.01329787234</v>
      </c>
      <c r="P474" s="11" t="str">
        <f>IFERROR(__xludf.DUMMYFUNCTION("(VLOOKUP($I474,Capa!$A:$J,10,0))"),"")</f>
        <v/>
      </c>
      <c r="Q474" s="169">
        <f>(VLOOKUP($I474,Capa!$A:$K,11,0))</f>
        <v>0.1644254279</v>
      </c>
      <c r="R474" s="45" t="str">
        <f>'Dados StatusInvest'!A469</f>
        <v>PPLA11</v>
      </c>
      <c r="S474" s="170">
        <f t="shared" si="234"/>
        <v>1384.0384</v>
      </c>
      <c r="T474" s="171">
        <f>VLOOKUP(R474,'Dados StatusInvest'!A:Z,26,0)</f>
        <v>1872.24</v>
      </c>
      <c r="U474" s="172">
        <f t="shared" ref="U474:AS474" si="477">IF(AT474="","", RANK(AT474,AT$7:AT$626,0)+RANK(AT474,AT$7:AT$626,0)/10000)</f>
        <v>117.0117</v>
      </c>
      <c r="V474" s="172">
        <f t="shared" si="477"/>
        <v>267.0267</v>
      </c>
      <c r="W474" s="172" t="str">
        <f t="shared" si="477"/>
        <v/>
      </c>
      <c r="X474" s="172" t="str">
        <f t="shared" si="477"/>
        <v/>
      </c>
      <c r="Y474" s="172" t="str">
        <f t="shared" si="477"/>
        <v/>
      </c>
      <c r="Z474" s="172" t="str">
        <f t="shared" si="477"/>
        <v/>
      </c>
      <c r="AA474" s="172" t="str">
        <f t="shared" si="477"/>
        <v/>
      </c>
      <c r="AB474" s="172" t="str">
        <f t="shared" si="477"/>
        <v/>
      </c>
      <c r="AC474" s="172" t="str">
        <f t="shared" si="477"/>
        <v/>
      </c>
      <c r="AD474" s="172" t="str">
        <f t="shared" si="477"/>
        <v/>
      </c>
      <c r="AE474" s="172" t="str">
        <f t="shared" si="477"/>
        <v/>
      </c>
      <c r="AF474" s="172" t="str">
        <f t="shared" si="477"/>
        <v/>
      </c>
      <c r="AG474" s="172" t="str">
        <f t="shared" si="477"/>
        <v/>
      </c>
      <c r="AH474" s="172" t="str">
        <f t="shared" si="477"/>
        <v/>
      </c>
      <c r="AI474" s="172" t="str">
        <f t="shared" si="477"/>
        <v/>
      </c>
      <c r="AJ474" s="172" t="str">
        <f t="shared" si="477"/>
        <v/>
      </c>
      <c r="AK474" s="172" t="str">
        <f t="shared" si="477"/>
        <v/>
      </c>
      <c r="AL474" s="172" t="str">
        <f t="shared" si="477"/>
        <v/>
      </c>
      <c r="AM474" s="172" t="str">
        <f t="shared" si="477"/>
        <v/>
      </c>
      <c r="AN474" s="172" t="str">
        <f t="shared" si="477"/>
        <v/>
      </c>
      <c r="AO474" s="172" t="str">
        <f t="shared" si="477"/>
        <v/>
      </c>
      <c r="AP474" s="172" t="str">
        <f t="shared" si="477"/>
        <v/>
      </c>
      <c r="AQ474" s="172" t="str">
        <f t="shared" si="477"/>
        <v/>
      </c>
      <c r="AR474" s="172" t="str">
        <f t="shared" si="477"/>
        <v/>
      </c>
      <c r="AS474" s="172" t="str">
        <f t="shared" si="477"/>
        <v/>
      </c>
      <c r="AT474" s="173">
        <f>IF(AT$6="","",IF(AT$3="Maior",iferror(VLOOKUP($R474,Capa!$A:$AJ,AT$5,0),0),IF(ISERROR(1/VLOOKUP($R474,Capa!$A:$AJ,AT$5,0)),0,1/VLOOKUP($R474,Capa!$A:$AJ,AT$5,0))))</f>
        <v>-0.006966213863</v>
      </c>
      <c r="AU474" s="174">
        <f>IF(AU$6="","",IF(AU$3="Maior",iferror(VLOOKUP($R474,Capa!$A:$AJ,AU$5,0),0),IF(ISERROR(1/VLOOKUP($R474,Capa!$A:$AJ,AU$5,0)),0,1/VLOOKUP($R474,Capa!$A:$AJ,AU$5,0))))</f>
        <v>0</v>
      </c>
      <c r="AV474" s="174" t="str">
        <f>IF(AV$6="","",IF(AV$3="Maior",iferror(VLOOKUP($R474,Capa!$A:$AJ,AV$5,0),0),IF(ISERROR(1/VLOOKUP($R474,Capa!$A:$AJ,AV$5,0)),0,1/VLOOKUP($R474,Capa!$A:$AJ,AV$5,0))))</f>
        <v/>
      </c>
      <c r="AW474" s="174" t="str">
        <f>IF(AW$6="","",IF(AW$3="Maior",iferror(VLOOKUP($R474,Capa!$A:$AJ,AW$5,0),0),IF(ISERROR(1/VLOOKUP($R474,Capa!$A:$AJ,AW$5,0)),0,1/VLOOKUP($R474,Capa!$A:$AJ,AW$5,0))))</f>
        <v/>
      </c>
      <c r="AX474" s="174" t="str">
        <f>IF(AX$6="","",IF(AX$3="Maior",iferror(VLOOKUP($R474,Capa!$A:$AJ,AX$5,0),0),IF(ISERROR(1/VLOOKUP($R474,Capa!$A:$AJ,AX$5,0)),0,1/VLOOKUP($R474,Capa!$A:$AJ,AX$5,0))))</f>
        <v/>
      </c>
      <c r="AY474" s="174" t="str">
        <f>IF(AY$6="","",IF(AY$3="Maior",iferror(VLOOKUP($R474,Capa!$A:$AJ,AY$5,0),0),IF(ISERROR(1/VLOOKUP($R474,Capa!$A:$AJ,AY$5,0)),0,1/VLOOKUP($R474,Capa!$A:$AJ,AY$5,0))))</f>
        <v/>
      </c>
      <c r="AZ474" s="174" t="str">
        <f>IF(AZ$6="","",IF(AZ$3="Maior",iferror(VLOOKUP($R474,Capa!$A:$AJ,AZ$5,0),0),IF(ISERROR(1/VLOOKUP($R474,Capa!$A:$AJ,AZ$5,0)),0,1/VLOOKUP($R474,Capa!$A:$AJ,AZ$5,0))))</f>
        <v/>
      </c>
      <c r="BA474" s="174" t="str">
        <f>IF(BA$6="","",IF(BA$3="Maior",iferror(VLOOKUP($R474,Capa!$A:$AJ,BA$5,0),0),IF(ISERROR(1/VLOOKUP($R474,Capa!$A:$AJ,BA$5,0)),0,1/VLOOKUP($R474,Capa!$A:$AJ,BA$5,0))))</f>
        <v/>
      </c>
      <c r="BB474" s="174" t="str">
        <f>IF(BB$6="","",IF(BB$3="Maior",iferror(VLOOKUP($R474,Capa!$A:$AJ,BB$5,0),0),IF(ISERROR(1/VLOOKUP($R474,Capa!$A:$AJ,BB$5,0)),0,1/VLOOKUP($R474,Capa!$A:$AJ,BB$5,0))))</f>
        <v/>
      </c>
      <c r="BC474" s="174" t="str">
        <f>IF(BC$6="","",IF(BC$3="Maior",iferror(VLOOKUP($R474,Capa!$A:$AJ,BC$5,0),0),IF(ISERROR(1/VLOOKUP($R474,Capa!$A:$AJ,BC$5,0)),0,1/VLOOKUP($R474,Capa!$A:$AJ,BC$5,0))))</f>
        <v/>
      </c>
      <c r="BD474" s="174" t="str">
        <f>IF(BD$6="","",IF(BD$3="Maior",iferror(VLOOKUP($R474,Capa!$A:$AJ,BD$5,0),0),IF(ISERROR(1/VLOOKUP($R474,Capa!$A:$AJ,BD$5,0)),0,1/VLOOKUP($R474,Capa!$A:$AJ,BD$5,0))))</f>
        <v/>
      </c>
      <c r="BE474" s="174" t="str">
        <f>IF(BE$6="","",IF(BE$3="Maior",iferror(VLOOKUP($R474,Capa!$A:$AJ,BE$5,0),0),IF(ISERROR(1/VLOOKUP($R474,Capa!$A:$AJ,BE$5,0)),0,1/VLOOKUP($R474,Capa!$A:$AJ,BE$5,0))))</f>
        <v/>
      </c>
      <c r="BF474" s="174" t="str">
        <f>IF(BF$6="","",IF(BF$3="Maior",iferror(VLOOKUP($R474,Capa!$A:$AJ,BF$5,0),0),IF(ISERROR(1/VLOOKUP($R474,Capa!$A:$AJ,BF$5,0)),0,1/VLOOKUP($R474,Capa!$A:$AJ,BF$5,0))))</f>
        <v/>
      </c>
      <c r="BG474" s="174" t="str">
        <f>IF(BG$6="","",IF(BG$3="Maior",iferror(VLOOKUP($R474,Capa!$A:$AJ,BG$5,0),0),IF(ISERROR(1/VLOOKUP($R474,Capa!$A:$AJ,BG$5,0)),0,1/VLOOKUP($R474,Capa!$A:$AJ,BG$5,0))))</f>
        <v/>
      </c>
      <c r="BH474" s="174" t="str">
        <f>IF(BH$6="","",IF(BH$3="Maior",iferror(VLOOKUP($R474,Capa!$A:$AJ,BH$5,0),0),IF(ISERROR(1/VLOOKUP($R474,Capa!$A:$AJ,BH$5,0)),0,1/VLOOKUP($R474,Capa!$A:$AJ,BH$5,0))))</f>
        <v/>
      </c>
      <c r="BI474" s="174" t="str">
        <f>IF(BI$6="","",IF(BI$3="Maior",iferror(VLOOKUP($R474,Capa!$A:$AJ,BI$5,0),0),IF(ISERROR(1/VLOOKUP($R474,Capa!$A:$AJ,BI$5,0)),0,1/VLOOKUP($R474,Capa!$A:$AJ,BI$5,0))))</f>
        <v/>
      </c>
      <c r="BJ474" s="174" t="str">
        <f>IF(BJ$6="","",IF(BJ$3="Maior",iferror(VLOOKUP($R474,Capa!$A:$AJ,BJ$5,0),0),IF(ISERROR(1/VLOOKUP($R474,Capa!$A:$AJ,BJ$5,0)),0,1/VLOOKUP($R474,Capa!$A:$AJ,BJ$5,0))))</f>
        <v/>
      </c>
      <c r="BK474" s="174" t="str">
        <f>IF(BK$6="","",IF(BK$3="Maior",iferror(VLOOKUP($R474,Capa!$A:$AJ,BK$5,0),0),IF(ISERROR(1/VLOOKUP($R474,Capa!$A:$AJ,BK$5,0)),0,1/VLOOKUP($R474,Capa!$A:$AJ,BK$5,0))))</f>
        <v/>
      </c>
      <c r="BL474" s="174" t="str">
        <f>IF(BL$6="","",IF(BL$3="Maior",iferror(VLOOKUP($R474,Capa!$A:$AJ,BL$5,0),0),IF(ISERROR(1/VLOOKUP($R474,Capa!$A:$AJ,BL$5,0)),0,1/VLOOKUP($R474,Capa!$A:$AJ,BL$5,0))))</f>
        <v/>
      </c>
      <c r="BM474" s="174" t="str">
        <f>IF(BM$6="","",IF(BM$3="Maior",iferror(VLOOKUP($R474,Capa!$A:$AJ,BM$5,0),0),IF(ISERROR(1/VLOOKUP($R474,Capa!$A:$AJ,BM$5,0)),0,1/VLOOKUP($R474,Capa!$A:$AJ,BM$5,0))))</f>
        <v/>
      </c>
      <c r="BN474" s="174" t="str">
        <f>IF(BN$6="","",IF(BN$3="Maior",iferror(VLOOKUP($R474,Capa!$A:$AJ,BN$5,0),0),IF(ISERROR(1/VLOOKUP($R474,Capa!$A:$AJ,BN$5,0)),0,1/VLOOKUP($R474,Capa!$A:$AJ,BN$5,0))))</f>
        <v/>
      </c>
      <c r="BO474" s="174" t="str">
        <f>IF(BO$6="","",IF(BO$3="Maior",iferror(VLOOKUP($R474,Capa!$A:$AJ,BO$5,0),0),IF(ISERROR(1/VLOOKUP($R474,Capa!$A:$AJ,BO$5,0)),0,1/VLOOKUP($R474,Capa!$A:$AJ,BO$5,0))))</f>
        <v/>
      </c>
      <c r="BP474" s="174" t="str">
        <f>IF(BP$6="","",IF(BP$3="Maior",iferror(VLOOKUP($R474,Capa!$A:$AJ,BP$5,0),0),IF(ISERROR(1/VLOOKUP($R474,Capa!$A:$AJ,BP$5,0)),0,1/VLOOKUP($R474,Capa!$A:$AJ,BP$5,0))))</f>
        <v/>
      </c>
      <c r="BQ474" s="174" t="str">
        <f>IF(BQ$6="","",IF(BQ$3="Maior",iferror(VLOOKUP($R474,Capa!$A:$AJ,BQ$5,0),0),IF(ISERROR(1/VLOOKUP($R474,Capa!$A:$AJ,BQ$5,0)),0,1/VLOOKUP($R474,Capa!$A:$AJ,BQ$5,0))))</f>
        <v/>
      </c>
      <c r="BR474" s="175"/>
      <c r="BS474" s="147"/>
    </row>
    <row r="475">
      <c r="H475" s="8">
        <v>469.0</v>
      </c>
      <c r="I475" s="165" t="str">
        <f t="shared" si="6"/>
        <v>CEEB5</v>
      </c>
      <c r="J475" s="166" t="str">
        <f>(VLOOKUP($I475,Capa!$A:$B,2,0))</f>
        <v>Companhia de ltrcdd d std d Bh Clb Preference Shares Class A</v>
      </c>
      <c r="K475" s="167" t="str">
        <f>VLOOKUP(left(I475,4),Setor!A:D,3,0)&amp;" | "&amp;VLOOKUP(left(I475,4),Setor!A:D,4,0)</f>
        <v>Utilidade Pública | Energia Elétrica</v>
      </c>
      <c r="L475" s="168">
        <f>(VLOOKUP($I475,Capa!$A:$F,6,0))</f>
        <v>37</v>
      </c>
      <c r="M475" s="168">
        <f t="shared" si="7"/>
        <v>7400</v>
      </c>
      <c r="N475" s="11" t="str">
        <f>(VLOOKUP($I475,Capa!$A:$H,7,0))</f>
        <v/>
      </c>
      <c r="O475" s="169">
        <f>(VLOOKUP($I475,Capa!$A:$H,8,0))</f>
        <v>-0.02631578947</v>
      </c>
      <c r="P475" s="11" t="str">
        <f>IFERROR(__xludf.DUMMYFUNCTION("(VLOOKUP($I475,Capa!$A:$J,10,0))"),"")</f>
        <v/>
      </c>
      <c r="Q475" s="169" t="str">
        <f>(VLOOKUP($I475,Capa!$A:$K,11,0))</f>
        <v/>
      </c>
      <c r="R475" s="45" t="str">
        <f>'Dados StatusInvest'!A470</f>
        <v>PRIO3</v>
      </c>
      <c r="S475" s="170">
        <f t="shared" si="234"/>
        <v>52.0052</v>
      </c>
      <c r="T475" s="171">
        <f>VLOOKUP(R475,'Dados StatusInvest'!A:Z,26,0)</f>
        <v>581000000</v>
      </c>
      <c r="U475" s="172">
        <f t="shared" ref="U475:AS475" si="478">IF(AT475="","", RANK(AT475,AT$7:AT$626,0)+RANK(AT475,AT$7:AT$626,0)/10000)</f>
        <v>42.0042</v>
      </c>
      <c r="V475" s="172">
        <f t="shared" si="478"/>
        <v>10.001</v>
      </c>
      <c r="W475" s="172" t="str">
        <f t="shared" si="478"/>
        <v/>
      </c>
      <c r="X475" s="172" t="str">
        <f t="shared" si="478"/>
        <v/>
      </c>
      <c r="Y475" s="172" t="str">
        <f t="shared" si="478"/>
        <v/>
      </c>
      <c r="Z475" s="172" t="str">
        <f t="shared" si="478"/>
        <v/>
      </c>
      <c r="AA475" s="172" t="str">
        <f t="shared" si="478"/>
        <v/>
      </c>
      <c r="AB475" s="172" t="str">
        <f t="shared" si="478"/>
        <v/>
      </c>
      <c r="AC475" s="172" t="str">
        <f t="shared" si="478"/>
        <v/>
      </c>
      <c r="AD475" s="172" t="str">
        <f t="shared" si="478"/>
        <v/>
      </c>
      <c r="AE475" s="172" t="str">
        <f t="shared" si="478"/>
        <v/>
      </c>
      <c r="AF475" s="172" t="str">
        <f t="shared" si="478"/>
        <v/>
      </c>
      <c r="AG475" s="172" t="str">
        <f t="shared" si="478"/>
        <v/>
      </c>
      <c r="AH475" s="172" t="str">
        <f t="shared" si="478"/>
        <v/>
      </c>
      <c r="AI475" s="172" t="str">
        <f t="shared" si="478"/>
        <v/>
      </c>
      <c r="AJ475" s="172" t="str">
        <f t="shared" si="478"/>
        <v/>
      </c>
      <c r="AK475" s="172" t="str">
        <f t="shared" si="478"/>
        <v/>
      </c>
      <c r="AL475" s="172" t="str">
        <f t="shared" si="478"/>
        <v/>
      </c>
      <c r="AM475" s="172" t="str">
        <f t="shared" si="478"/>
        <v/>
      </c>
      <c r="AN475" s="172" t="str">
        <f t="shared" si="478"/>
        <v/>
      </c>
      <c r="AO475" s="172" t="str">
        <f t="shared" si="478"/>
        <v/>
      </c>
      <c r="AP475" s="172" t="str">
        <f t="shared" si="478"/>
        <v/>
      </c>
      <c r="AQ475" s="172" t="str">
        <f t="shared" si="478"/>
        <v/>
      </c>
      <c r="AR475" s="172" t="str">
        <f t="shared" si="478"/>
        <v/>
      </c>
      <c r="AS475" s="172" t="str">
        <f t="shared" si="478"/>
        <v/>
      </c>
      <c r="AT475" s="173">
        <f>IF(AT$6="","",IF(AT$3="Maior",iferror(VLOOKUP($R475,Capa!$A:$AJ,AT$5,0),0),IF(ISERROR(1/VLOOKUP($R475,Capa!$A:$AJ,AT$5,0)),0,1/VLOOKUP($R475,Capa!$A:$AJ,AT$5,0))))</f>
        <v>0.001116528707</v>
      </c>
      <c r="AU475" s="174">
        <f>IF(AU$6="","",IF(AU$3="Maior",iferror(VLOOKUP($R475,Capa!$A:$AJ,AU$5,0),0),IF(ISERROR(1/VLOOKUP($R475,Capa!$A:$AJ,AU$5,0)),0,1/VLOOKUP($R475,Capa!$A:$AJ,AU$5,0))))</f>
        <v>73.69</v>
      </c>
      <c r="AV475" s="174" t="str">
        <f>IF(AV$6="","",IF(AV$3="Maior",iferror(VLOOKUP($R475,Capa!$A:$AJ,AV$5,0),0),IF(ISERROR(1/VLOOKUP($R475,Capa!$A:$AJ,AV$5,0)),0,1/VLOOKUP($R475,Capa!$A:$AJ,AV$5,0))))</f>
        <v/>
      </c>
      <c r="AW475" s="174" t="str">
        <f>IF(AW$6="","",IF(AW$3="Maior",iferror(VLOOKUP($R475,Capa!$A:$AJ,AW$5,0),0),IF(ISERROR(1/VLOOKUP($R475,Capa!$A:$AJ,AW$5,0)),0,1/VLOOKUP($R475,Capa!$A:$AJ,AW$5,0))))</f>
        <v/>
      </c>
      <c r="AX475" s="174" t="str">
        <f>IF(AX$6="","",IF(AX$3="Maior",iferror(VLOOKUP($R475,Capa!$A:$AJ,AX$5,0),0),IF(ISERROR(1/VLOOKUP($R475,Capa!$A:$AJ,AX$5,0)),0,1/VLOOKUP($R475,Capa!$A:$AJ,AX$5,0))))</f>
        <v/>
      </c>
      <c r="AY475" s="174" t="str">
        <f>IF(AY$6="","",IF(AY$3="Maior",iferror(VLOOKUP($R475,Capa!$A:$AJ,AY$5,0),0),IF(ISERROR(1/VLOOKUP($R475,Capa!$A:$AJ,AY$5,0)),0,1/VLOOKUP($R475,Capa!$A:$AJ,AY$5,0))))</f>
        <v/>
      </c>
      <c r="AZ475" s="174" t="str">
        <f>IF(AZ$6="","",IF(AZ$3="Maior",iferror(VLOOKUP($R475,Capa!$A:$AJ,AZ$5,0),0),IF(ISERROR(1/VLOOKUP($R475,Capa!$A:$AJ,AZ$5,0)),0,1/VLOOKUP($R475,Capa!$A:$AJ,AZ$5,0))))</f>
        <v/>
      </c>
      <c r="BA475" s="174" t="str">
        <f>IF(BA$6="","",IF(BA$3="Maior",iferror(VLOOKUP($R475,Capa!$A:$AJ,BA$5,0),0),IF(ISERROR(1/VLOOKUP($R475,Capa!$A:$AJ,BA$5,0)),0,1/VLOOKUP($R475,Capa!$A:$AJ,BA$5,0))))</f>
        <v/>
      </c>
      <c r="BB475" s="174" t="str">
        <f>IF(BB$6="","",IF(BB$3="Maior",iferror(VLOOKUP($R475,Capa!$A:$AJ,BB$5,0),0),IF(ISERROR(1/VLOOKUP($R475,Capa!$A:$AJ,BB$5,0)),0,1/VLOOKUP($R475,Capa!$A:$AJ,BB$5,0))))</f>
        <v/>
      </c>
      <c r="BC475" s="174" t="str">
        <f>IF(BC$6="","",IF(BC$3="Maior",iferror(VLOOKUP($R475,Capa!$A:$AJ,BC$5,0),0),IF(ISERROR(1/VLOOKUP($R475,Capa!$A:$AJ,BC$5,0)),0,1/VLOOKUP($R475,Capa!$A:$AJ,BC$5,0))))</f>
        <v/>
      </c>
      <c r="BD475" s="174" t="str">
        <f>IF(BD$6="","",IF(BD$3="Maior",iferror(VLOOKUP($R475,Capa!$A:$AJ,BD$5,0),0),IF(ISERROR(1/VLOOKUP($R475,Capa!$A:$AJ,BD$5,0)),0,1/VLOOKUP($R475,Capa!$A:$AJ,BD$5,0))))</f>
        <v/>
      </c>
      <c r="BE475" s="174" t="str">
        <f>IF(BE$6="","",IF(BE$3="Maior",iferror(VLOOKUP($R475,Capa!$A:$AJ,BE$5,0),0),IF(ISERROR(1/VLOOKUP($R475,Capa!$A:$AJ,BE$5,0)),0,1/VLOOKUP($R475,Capa!$A:$AJ,BE$5,0))))</f>
        <v/>
      </c>
      <c r="BF475" s="174" t="str">
        <f>IF(BF$6="","",IF(BF$3="Maior",iferror(VLOOKUP($R475,Capa!$A:$AJ,BF$5,0),0),IF(ISERROR(1/VLOOKUP($R475,Capa!$A:$AJ,BF$5,0)),0,1/VLOOKUP($R475,Capa!$A:$AJ,BF$5,0))))</f>
        <v/>
      </c>
      <c r="BG475" s="174" t="str">
        <f>IF(BG$6="","",IF(BG$3="Maior",iferror(VLOOKUP($R475,Capa!$A:$AJ,BG$5,0),0),IF(ISERROR(1/VLOOKUP($R475,Capa!$A:$AJ,BG$5,0)),0,1/VLOOKUP($R475,Capa!$A:$AJ,BG$5,0))))</f>
        <v/>
      </c>
      <c r="BH475" s="174" t="str">
        <f>IF(BH$6="","",IF(BH$3="Maior",iferror(VLOOKUP($R475,Capa!$A:$AJ,BH$5,0),0),IF(ISERROR(1/VLOOKUP($R475,Capa!$A:$AJ,BH$5,0)),0,1/VLOOKUP($R475,Capa!$A:$AJ,BH$5,0))))</f>
        <v/>
      </c>
      <c r="BI475" s="174" t="str">
        <f>IF(BI$6="","",IF(BI$3="Maior",iferror(VLOOKUP($R475,Capa!$A:$AJ,BI$5,0),0),IF(ISERROR(1/VLOOKUP($R475,Capa!$A:$AJ,BI$5,0)),0,1/VLOOKUP($R475,Capa!$A:$AJ,BI$5,0))))</f>
        <v/>
      </c>
      <c r="BJ475" s="174" t="str">
        <f>IF(BJ$6="","",IF(BJ$3="Maior",iferror(VLOOKUP($R475,Capa!$A:$AJ,BJ$5,0),0),IF(ISERROR(1/VLOOKUP($R475,Capa!$A:$AJ,BJ$5,0)),0,1/VLOOKUP($R475,Capa!$A:$AJ,BJ$5,0))))</f>
        <v/>
      </c>
      <c r="BK475" s="174" t="str">
        <f>IF(BK$6="","",IF(BK$3="Maior",iferror(VLOOKUP($R475,Capa!$A:$AJ,BK$5,0),0),IF(ISERROR(1/VLOOKUP($R475,Capa!$A:$AJ,BK$5,0)),0,1/VLOOKUP($R475,Capa!$A:$AJ,BK$5,0))))</f>
        <v/>
      </c>
      <c r="BL475" s="174" t="str">
        <f>IF(BL$6="","",IF(BL$3="Maior",iferror(VLOOKUP($R475,Capa!$A:$AJ,BL$5,0),0),IF(ISERROR(1/VLOOKUP($R475,Capa!$A:$AJ,BL$5,0)),0,1/VLOOKUP($R475,Capa!$A:$AJ,BL$5,0))))</f>
        <v/>
      </c>
      <c r="BM475" s="174" t="str">
        <f>IF(BM$6="","",IF(BM$3="Maior",iferror(VLOOKUP($R475,Capa!$A:$AJ,BM$5,0),0),IF(ISERROR(1/VLOOKUP($R475,Capa!$A:$AJ,BM$5,0)),0,1/VLOOKUP($R475,Capa!$A:$AJ,BM$5,0))))</f>
        <v/>
      </c>
      <c r="BN475" s="174" t="str">
        <f>IF(BN$6="","",IF(BN$3="Maior",iferror(VLOOKUP($R475,Capa!$A:$AJ,BN$5,0),0),IF(ISERROR(1/VLOOKUP($R475,Capa!$A:$AJ,BN$5,0)),0,1/VLOOKUP($R475,Capa!$A:$AJ,BN$5,0))))</f>
        <v/>
      </c>
      <c r="BO475" s="174" t="str">
        <f>IF(BO$6="","",IF(BO$3="Maior",iferror(VLOOKUP($R475,Capa!$A:$AJ,BO$5,0),0),IF(ISERROR(1/VLOOKUP($R475,Capa!$A:$AJ,BO$5,0)),0,1/VLOOKUP($R475,Capa!$A:$AJ,BO$5,0))))</f>
        <v/>
      </c>
      <c r="BP475" s="174" t="str">
        <f>IF(BP$6="","",IF(BP$3="Maior",iferror(VLOOKUP($R475,Capa!$A:$AJ,BP$5,0),0),IF(ISERROR(1/VLOOKUP($R475,Capa!$A:$AJ,BP$5,0)),0,1/VLOOKUP($R475,Capa!$A:$AJ,BP$5,0))))</f>
        <v/>
      </c>
      <c r="BQ475" s="174" t="str">
        <f>IF(BQ$6="","",IF(BQ$3="Maior",iferror(VLOOKUP($R475,Capa!$A:$AJ,BQ$5,0),0),IF(ISERROR(1/VLOOKUP($R475,Capa!$A:$AJ,BQ$5,0)),0,1/VLOOKUP($R475,Capa!$A:$AJ,BQ$5,0))))</f>
        <v/>
      </c>
      <c r="BR475" s="175"/>
      <c r="BS475" s="147"/>
    </row>
    <row r="476">
      <c r="H476" s="8">
        <v>470.0</v>
      </c>
      <c r="I476" s="165" t="str">
        <f t="shared" si="6"/>
        <v>BPHA3</v>
      </c>
      <c r="J476" s="166" t="str">
        <f>(VLOOKUP($I476,Capa!$A:$B,2,0))</f>
        <v/>
      </c>
      <c r="K476" s="167" t="str">
        <f>VLOOKUP(left(I476,4),Setor!A:D,3,0)&amp;" | "&amp;VLOOKUP(left(I476,4),Setor!A:D,4,0)</f>
        <v>#N/A</v>
      </c>
      <c r="L476" s="168" t="str">
        <f>(VLOOKUP($I476,Capa!$A:$F,6,0))</f>
        <v/>
      </c>
      <c r="M476" s="168">
        <f t="shared" si="7"/>
        <v>0</v>
      </c>
      <c r="N476" s="11" t="str">
        <f>(VLOOKUP($I476,Capa!$A:$H,7,0))</f>
        <v/>
      </c>
      <c r="O476" s="169" t="str">
        <f>(VLOOKUP($I476,Capa!$A:$H,8,0))</f>
        <v/>
      </c>
      <c r="P476" s="11" t="str">
        <f>(VLOOKUP($I476,Capa!$A:$J,10,0))</f>
        <v/>
      </c>
      <c r="Q476" s="169" t="str">
        <f>(VLOOKUP($I476,Capa!$A:$K,11,0))</f>
        <v/>
      </c>
      <c r="R476" s="45" t="str">
        <f>'Dados StatusInvest'!A471</f>
        <v>PRNR3</v>
      </c>
      <c r="S476" s="170">
        <f t="shared" si="234"/>
        <v>522.0522</v>
      </c>
      <c r="T476" s="171">
        <f>VLOOKUP(R476,'Dados StatusInvest'!A:Z,26,0)</f>
        <v>9836445</v>
      </c>
      <c r="U476" s="172">
        <f t="shared" ref="U476:AS476" si="479">IF(AT476="","", RANK(AT476,AT$7:AT$626,0)+RANK(AT476,AT$7:AT$626,0)/10000)</f>
        <v>255.0255</v>
      </c>
      <c r="V476" s="172">
        <f t="shared" si="479"/>
        <v>267.0267</v>
      </c>
      <c r="W476" s="172" t="str">
        <f t="shared" si="479"/>
        <v/>
      </c>
      <c r="X476" s="172" t="str">
        <f t="shared" si="479"/>
        <v/>
      </c>
      <c r="Y476" s="172" t="str">
        <f t="shared" si="479"/>
        <v/>
      </c>
      <c r="Z476" s="172" t="str">
        <f t="shared" si="479"/>
        <v/>
      </c>
      <c r="AA476" s="172" t="str">
        <f t="shared" si="479"/>
        <v/>
      </c>
      <c r="AB476" s="172" t="str">
        <f t="shared" si="479"/>
        <v/>
      </c>
      <c r="AC476" s="172" t="str">
        <f t="shared" si="479"/>
        <v/>
      </c>
      <c r="AD476" s="172" t="str">
        <f t="shared" si="479"/>
        <v/>
      </c>
      <c r="AE476" s="172" t="str">
        <f t="shared" si="479"/>
        <v/>
      </c>
      <c r="AF476" s="172" t="str">
        <f t="shared" si="479"/>
        <v/>
      </c>
      <c r="AG476" s="172" t="str">
        <f t="shared" si="479"/>
        <v/>
      </c>
      <c r="AH476" s="172" t="str">
        <f t="shared" si="479"/>
        <v/>
      </c>
      <c r="AI476" s="172" t="str">
        <f t="shared" si="479"/>
        <v/>
      </c>
      <c r="AJ476" s="172" t="str">
        <f t="shared" si="479"/>
        <v/>
      </c>
      <c r="AK476" s="172" t="str">
        <f t="shared" si="479"/>
        <v/>
      </c>
      <c r="AL476" s="172" t="str">
        <f t="shared" si="479"/>
        <v/>
      </c>
      <c r="AM476" s="172" t="str">
        <f t="shared" si="479"/>
        <v/>
      </c>
      <c r="AN476" s="172" t="str">
        <f t="shared" si="479"/>
        <v/>
      </c>
      <c r="AO476" s="172" t="str">
        <f t="shared" si="479"/>
        <v/>
      </c>
      <c r="AP476" s="172" t="str">
        <f t="shared" si="479"/>
        <v/>
      </c>
      <c r="AQ476" s="172" t="str">
        <f t="shared" si="479"/>
        <v/>
      </c>
      <c r="AR476" s="172" t="str">
        <f t="shared" si="479"/>
        <v/>
      </c>
      <c r="AS476" s="172" t="str">
        <f t="shared" si="479"/>
        <v/>
      </c>
      <c r="AT476" s="173">
        <f>IF(AT$6="","",IF(AT$3="Maior",iferror(VLOOKUP($R476,Capa!$A:$AJ,AT$5,0),0),IF(ISERROR(1/VLOOKUP($R476,Capa!$A:$AJ,AT$5,0)),0,1/VLOOKUP($R476,Capa!$A:$AJ,AT$5,0))))</f>
        <v>-0.5102040816</v>
      </c>
      <c r="AU476" s="174">
        <f>IF(AU$6="","",IF(AU$3="Maior",iferror(VLOOKUP($R476,Capa!$A:$AJ,AU$5,0),0),IF(ISERROR(1/VLOOKUP($R476,Capa!$A:$AJ,AU$5,0)),0,1/VLOOKUP($R476,Capa!$A:$AJ,AU$5,0))))</f>
        <v>0</v>
      </c>
      <c r="AV476" s="174" t="str">
        <f>IF(AV$6="","",IF(AV$3="Maior",iferror(VLOOKUP($R476,Capa!$A:$AJ,AV$5,0),0),IF(ISERROR(1/VLOOKUP($R476,Capa!$A:$AJ,AV$5,0)),0,1/VLOOKUP($R476,Capa!$A:$AJ,AV$5,0))))</f>
        <v/>
      </c>
      <c r="AW476" s="174" t="str">
        <f>IF(AW$6="","",IF(AW$3="Maior",iferror(VLOOKUP($R476,Capa!$A:$AJ,AW$5,0),0),IF(ISERROR(1/VLOOKUP($R476,Capa!$A:$AJ,AW$5,0)),0,1/VLOOKUP($R476,Capa!$A:$AJ,AW$5,0))))</f>
        <v/>
      </c>
      <c r="AX476" s="174" t="str">
        <f>IF(AX$6="","",IF(AX$3="Maior",iferror(VLOOKUP($R476,Capa!$A:$AJ,AX$5,0),0),IF(ISERROR(1/VLOOKUP($R476,Capa!$A:$AJ,AX$5,0)),0,1/VLOOKUP($R476,Capa!$A:$AJ,AX$5,0))))</f>
        <v/>
      </c>
      <c r="AY476" s="174" t="str">
        <f>IF(AY$6="","",IF(AY$3="Maior",iferror(VLOOKUP($R476,Capa!$A:$AJ,AY$5,0),0),IF(ISERROR(1/VLOOKUP($R476,Capa!$A:$AJ,AY$5,0)),0,1/VLOOKUP($R476,Capa!$A:$AJ,AY$5,0))))</f>
        <v/>
      </c>
      <c r="AZ476" s="174" t="str">
        <f>IF(AZ$6="","",IF(AZ$3="Maior",iferror(VLOOKUP($R476,Capa!$A:$AJ,AZ$5,0),0),IF(ISERROR(1/VLOOKUP($R476,Capa!$A:$AJ,AZ$5,0)),0,1/VLOOKUP($R476,Capa!$A:$AJ,AZ$5,0))))</f>
        <v/>
      </c>
      <c r="BA476" s="174" t="str">
        <f>IF(BA$6="","",IF(BA$3="Maior",iferror(VLOOKUP($R476,Capa!$A:$AJ,BA$5,0),0),IF(ISERROR(1/VLOOKUP($R476,Capa!$A:$AJ,BA$5,0)),0,1/VLOOKUP($R476,Capa!$A:$AJ,BA$5,0))))</f>
        <v/>
      </c>
      <c r="BB476" s="174" t="str">
        <f>IF(BB$6="","",IF(BB$3="Maior",iferror(VLOOKUP($R476,Capa!$A:$AJ,BB$5,0),0),IF(ISERROR(1/VLOOKUP($R476,Capa!$A:$AJ,BB$5,0)),0,1/VLOOKUP($R476,Capa!$A:$AJ,BB$5,0))))</f>
        <v/>
      </c>
      <c r="BC476" s="174" t="str">
        <f>IF(BC$6="","",IF(BC$3="Maior",iferror(VLOOKUP($R476,Capa!$A:$AJ,BC$5,0),0),IF(ISERROR(1/VLOOKUP($R476,Capa!$A:$AJ,BC$5,0)),0,1/VLOOKUP($R476,Capa!$A:$AJ,BC$5,0))))</f>
        <v/>
      </c>
      <c r="BD476" s="174" t="str">
        <f>IF(BD$6="","",IF(BD$3="Maior",iferror(VLOOKUP($R476,Capa!$A:$AJ,BD$5,0),0),IF(ISERROR(1/VLOOKUP($R476,Capa!$A:$AJ,BD$5,0)),0,1/VLOOKUP($R476,Capa!$A:$AJ,BD$5,0))))</f>
        <v/>
      </c>
      <c r="BE476" s="174" t="str">
        <f>IF(BE$6="","",IF(BE$3="Maior",iferror(VLOOKUP($R476,Capa!$A:$AJ,BE$5,0),0),IF(ISERROR(1/VLOOKUP($R476,Capa!$A:$AJ,BE$5,0)),0,1/VLOOKUP($R476,Capa!$A:$AJ,BE$5,0))))</f>
        <v/>
      </c>
      <c r="BF476" s="174" t="str">
        <f>IF(BF$6="","",IF(BF$3="Maior",iferror(VLOOKUP($R476,Capa!$A:$AJ,BF$5,0),0),IF(ISERROR(1/VLOOKUP($R476,Capa!$A:$AJ,BF$5,0)),0,1/VLOOKUP($R476,Capa!$A:$AJ,BF$5,0))))</f>
        <v/>
      </c>
      <c r="BG476" s="174" t="str">
        <f>IF(BG$6="","",IF(BG$3="Maior",iferror(VLOOKUP($R476,Capa!$A:$AJ,BG$5,0),0),IF(ISERROR(1/VLOOKUP($R476,Capa!$A:$AJ,BG$5,0)),0,1/VLOOKUP($R476,Capa!$A:$AJ,BG$5,0))))</f>
        <v/>
      </c>
      <c r="BH476" s="174" t="str">
        <f>IF(BH$6="","",IF(BH$3="Maior",iferror(VLOOKUP($R476,Capa!$A:$AJ,BH$5,0),0),IF(ISERROR(1/VLOOKUP($R476,Capa!$A:$AJ,BH$5,0)),0,1/VLOOKUP($R476,Capa!$A:$AJ,BH$5,0))))</f>
        <v/>
      </c>
      <c r="BI476" s="174" t="str">
        <f>IF(BI$6="","",IF(BI$3="Maior",iferror(VLOOKUP($R476,Capa!$A:$AJ,BI$5,0),0),IF(ISERROR(1/VLOOKUP($R476,Capa!$A:$AJ,BI$5,0)),0,1/VLOOKUP($R476,Capa!$A:$AJ,BI$5,0))))</f>
        <v/>
      </c>
      <c r="BJ476" s="174" t="str">
        <f>IF(BJ$6="","",IF(BJ$3="Maior",iferror(VLOOKUP($R476,Capa!$A:$AJ,BJ$5,0),0),IF(ISERROR(1/VLOOKUP($R476,Capa!$A:$AJ,BJ$5,0)),0,1/VLOOKUP($R476,Capa!$A:$AJ,BJ$5,0))))</f>
        <v/>
      </c>
      <c r="BK476" s="174" t="str">
        <f>IF(BK$6="","",IF(BK$3="Maior",iferror(VLOOKUP($R476,Capa!$A:$AJ,BK$5,0),0),IF(ISERROR(1/VLOOKUP($R476,Capa!$A:$AJ,BK$5,0)),0,1/VLOOKUP($R476,Capa!$A:$AJ,BK$5,0))))</f>
        <v/>
      </c>
      <c r="BL476" s="174" t="str">
        <f>IF(BL$6="","",IF(BL$3="Maior",iferror(VLOOKUP($R476,Capa!$A:$AJ,BL$5,0),0),IF(ISERROR(1/VLOOKUP($R476,Capa!$A:$AJ,BL$5,0)),0,1/VLOOKUP($R476,Capa!$A:$AJ,BL$5,0))))</f>
        <v/>
      </c>
      <c r="BM476" s="174" t="str">
        <f>IF(BM$6="","",IF(BM$3="Maior",iferror(VLOOKUP($R476,Capa!$A:$AJ,BM$5,0),0),IF(ISERROR(1/VLOOKUP($R476,Capa!$A:$AJ,BM$5,0)),0,1/VLOOKUP($R476,Capa!$A:$AJ,BM$5,0))))</f>
        <v/>
      </c>
      <c r="BN476" s="174" t="str">
        <f>IF(BN$6="","",IF(BN$3="Maior",iferror(VLOOKUP($R476,Capa!$A:$AJ,BN$5,0),0),IF(ISERROR(1/VLOOKUP($R476,Capa!$A:$AJ,BN$5,0)),0,1/VLOOKUP($R476,Capa!$A:$AJ,BN$5,0))))</f>
        <v/>
      </c>
      <c r="BO476" s="174" t="str">
        <f>IF(BO$6="","",IF(BO$3="Maior",iferror(VLOOKUP($R476,Capa!$A:$AJ,BO$5,0),0),IF(ISERROR(1/VLOOKUP($R476,Capa!$A:$AJ,BO$5,0)),0,1/VLOOKUP($R476,Capa!$A:$AJ,BO$5,0))))</f>
        <v/>
      </c>
      <c r="BP476" s="174" t="str">
        <f>IF(BP$6="","",IF(BP$3="Maior",iferror(VLOOKUP($R476,Capa!$A:$AJ,BP$5,0),0),IF(ISERROR(1/VLOOKUP($R476,Capa!$A:$AJ,BP$5,0)),0,1/VLOOKUP($R476,Capa!$A:$AJ,BP$5,0))))</f>
        <v/>
      </c>
      <c r="BQ476" s="174" t="str">
        <f>IF(BQ$6="","",IF(BQ$3="Maior",iferror(VLOOKUP($R476,Capa!$A:$AJ,BQ$5,0),0),IF(ISERROR(1/VLOOKUP($R476,Capa!$A:$AJ,BQ$5,0)),0,1/VLOOKUP($R476,Capa!$A:$AJ,BQ$5,0))))</f>
        <v/>
      </c>
      <c r="BR476" s="175"/>
      <c r="BS476" s="147"/>
    </row>
    <row r="477">
      <c r="H477" s="8">
        <v>471.0</v>
      </c>
      <c r="I477" s="165" t="str">
        <f t="shared" si="6"/>
        <v>IDVL4</v>
      </c>
      <c r="J477" s="166" t="str">
        <f>(VLOOKUP($I477,Capa!$A:$B,2,0))</f>
        <v/>
      </c>
      <c r="K477" s="167" t="str">
        <f>VLOOKUP(left(I477,4),Setor!A:D,3,0)&amp;" | "&amp;VLOOKUP(left(I477,4),Setor!A:D,4,0)</f>
        <v>Financeiro | Intermediários Financeiros</v>
      </c>
      <c r="L477" s="168" t="str">
        <f>(VLOOKUP($I477,Capa!$A:$F,6,0))</f>
        <v/>
      </c>
      <c r="M477" s="168">
        <f t="shared" si="7"/>
        <v>0</v>
      </c>
      <c r="N477" s="11" t="str">
        <f>(VLOOKUP($I477,Capa!$A:$H,7,0))</f>
        <v/>
      </c>
      <c r="O477" s="169" t="str">
        <f>(VLOOKUP($I477,Capa!$A:$H,8,0))</f>
        <v/>
      </c>
      <c r="P477" s="11" t="str">
        <f>(VLOOKUP($I477,Capa!$A:$J,10,0))</f>
        <v/>
      </c>
      <c r="Q477" s="169" t="str">
        <f>(VLOOKUP($I477,Capa!$A:$K,11,0))</f>
        <v/>
      </c>
      <c r="R477" s="45" t="str">
        <f>'Dados StatusInvest'!A472</f>
        <v>PSSA3</v>
      </c>
      <c r="S477" s="170">
        <f t="shared" si="234"/>
        <v>471.0471</v>
      </c>
      <c r="T477" s="171">
        <f>VLOOKUP(R477,'Dados StatusInvest'!A:Z,26,0)</f>
        <v>119000000</v>
      </c>
      <c r="U477" s="172">
        <f t="shared" ref="U477:AS477" si="480">IF(AT477="","", RANK(AT477,AT$7:AT$626,0)+RANK(AT477,AT$7:AT$626,0)/10000)</f>
        <v>298.0298</v>
      </c>
      <c r="V477" s="172">
        <f t="shared" si="480"/>
        <v>173.0173</v>
      </c>
      <c r="W477" s="172" t="str">
        <f t="shared" si="480"/>
        <v/>
      </c>
      <c r="X477" s="172" t="str">
        <f t="shared" si="480"/>
        <v/>
      </c>
      <c r="Y477" s="172" t="str">
        <f t="shared" si="480"/>
        <v/>
      </c>
      <c r="Z477" s="172" t="str">
        <f t="shared" si="480"/>
        <v/>
      </c>
      <c r="AA477" s="172" t="str">
        <f t="shared" si="480"/>
        <v/>
      </c>
      <c r="AB477" s="172" t="str">
        <f t="shared" si="480"/>
        <v/>
      </c>
      <c r="AC477" s="172" t="str">
        <f t="shared" si="480"/>
        <v/>
      </c>
      <c r="AD477" s="172" t="str">
        <f t="shared" si="480"/>
        <v/>
      </c>
      <c r="AE477" s="172" t="str">
        <f t="shared" si="480"/>
        <v/>
      </c>
      <c r="AF477" s="172" t="str">
        <f t="shared" si="480"/>
        <v/>
      </c>
      <c r="AG477" s="172" t="str">
        <f t="shared" si="480"/>
        <v/>
      </c>
      <c r="AH477" s="172" t="str">
        <f t="shared" si="480"/>
        <v/>
      </c>
      <c r="AI477" s="172" t="str">
        <f t="shared" si="480"/>
        <v/>
      </c>
      <c r="AJ477" s="172" t="str">
        <f t="shared" si="480"/>
        <v/>
      </c>
      <c r="AK477" s="172" t="str">
        <f t="shared" si="480"/>
        <v/>
      </c>
      <c r="AL477" s="172" t="str">
        <f t="shared" si="480"/>
        <v/>
      </c>
      <c r="AM477" s="172" t="str">
        <f t="shared" si="480"/>
        <v/>
      </c>
      <c r="AN477" s="172" t="str">
        <f t="shared" si="480"/>
        <v/>
      </c>
      <c r="AO477" s="172" t="str">
        <f t="shared" si="480"/>
        <v/>
      </c>
      <c r="AP477" s="172" t="str">
        <f t="shared" si="480"/>
        <v/>
      </c>
      <c r="AQ477" s="172" t="str">
        <f t="shared" si="480"/>
        <v/>
      </c>
      <c r="AR477" s="172" t="str">
        <f t="shared" si="480"/>
        <v/>
      </c>
      <c r="AS477" s="172" t="str">
        <f t="shared" si="480"/>
        <v/>
      </c>
      <c r="AT477" s="173">
        <f>IF(AT$6="","",IF(AT$3="Maior",iferror(VLOOKUP($R477,Capa!$A:$AJ,AT$5,0),0),IF(ISERROR(1/VLOOKUP($R477,Capa!$A:$AJ,AT$5,0)),0,1/VLOOKUP($R477,Capa!$A:$AJ,AT$5,0))))</f>
        <v>-0.6402304435</v>
      </c>
      <c r="AU477" s="174">
        <f>IF(AU$6="","",IF(AU$3="Maior",iferror(VLOOKUP($R477,Capa!$A:$AJ,AU$5,0),0),IF(ISERROR(1/VLOOKUP($R477,Capa!$A:$AJ,AU$5,0)),0,1/VLOOKUP($R477,Capa!$A:$AJ,AU$5,0))))</f>
        <v>14.9</v>
      </c>
      <c r="AV477" s="174" t="str">
        <f>IF(AV$6="","",IF(AV$3="Maior",iferror(VLOOKUP($R477,Capa!$A:$AJ,AV$5,0),0),IF(ISERROR(1/VLOOKUP($R477,Capa!$A:$AJ,AV$5,0)),0,1/VLOOKUP($R477,Capa!$A:$AJ,AV$5,0))))</f>
        <v/>
      </c>
      <c r="AW477" s="174" t="str">
        <f>IF(AW$6="","",IF(AW$3="Maior",iferror(VLOOKUP($R477,Capa!$A:$AJ,AW$5,0),0),IF(ISERROR(1/VLOOKUP($R477,Capa!$A:$AJ,AW$5,0)),0,1/VLOOKUP($R477,Capa!$A:$AJ,AW$5,0))))</f>
        <v/>
      </c>
      <c r="AX477" s="174" t="str">
        <f>IF(AX$6="","",IF(AX$3="Maior",iferror(VLOOKUP($R477,Capa!$A:$AJ,AX$5,0),0),IF(ISERROR(1/VLOOKUP($R477,Capa!$A:$AJ,AX$5,0)),0,1/VLOOKUP($R477,Capa!$A:$AJ,AX$5,0))))</f>
        <v/>
      </c>
      <c r="AY477" s="174" t="str">
        <f>IF(AY$6="","",IF(AY$3="Maior",iferror(VLOOKUP($R477,Capa!$A:$AJ,AY$5,0),0),IF(ISERROR(1/VLOOKUP($R477,Capa!$A:$AJ,AY$5,0)),0,1/VLOOKUP($R477,Capa!$A:$AJ,AY$5,0))))</f>
        <v/>
      </c>
      <c r="AZ477" s="174" t="str">
        <f>IF(AZ$6="","",IF(AZ$3="Maior",iferror(VLOOKUP($R477,Capa!$A:$AJ,AZ$5,0),0),IF(ISERROR(1/VLOOKUP($R477,Capa!$A:$AJ,AZ$5,0)),0,1/VLOOKUP($R477,Capa!$A:$AJ,AZ$5,0))))</f>
        <v/>
      </c>
      <c r="BA477" s="174" t="str">
        <f>IF(BA$6="","",IF(BA$3="Maior",iferror(VLOOKUP($R477,Capa!$A:$AJ,BA$5,0),0),IF(ISERROR(1/VLOOKUP($R477,Capa!$A:$AJ,BA$5,0)),0,1/VLOOKUP($R477,Capa!$A:$AJ,BA$5,0))))</f>
        <v/>
      </c>
      <c r="BB477" s="174" t="str">
        <f>IF(BB$6="","",IF(BB$3="Maior",iferror(VLOOKUP($R477,Capa!$A:$AJ,BB$5,0),0),IF(ISERROR(1/VLOOKUP($R477,Capa!$A:$AJ,BB$5,0)),0,1/VLOOKUP($R477,Capa!$A:$AJ,BB$5,0))))</f>
        <v/>
      </c>
      <c r="BC477" s="174" t="str">
        <f>IF(BC$6="","",IF(BC$3="Maior",iferror(VLOOKUP($R477,Capa!$A:$AJ,BC$5,0),0),IF(ISERROR(1/VLOOKUP($R477,Capa!$A:$AJ,BC$5,0)),0,1/VLOOKUP($R477,Capa!$A:$AJ,BC$5,0))))</f>
        <v/>
      </c>
      <c r="BD477" s="174" t="str">
        <f>IF(BD$6="","",IF(BD$3="Maior",iferror(VLOOKUP($R477,Capa!$A:$AJ,BD$5,0),0),IF(ISERROR(1/VLOOKUP($R477,Capa!$A:$AJ,BD$5,0)),0,1/VLOOKUP($R477,Capa!$A:$AJ,BD$5,0))))</f>
        <v/>
      </c>
      <c r="BE477" s="174" t="str">
        <f>IF(BE$6="","",IF(BE$3="Maior",iferror(VLOOKUP($R477,Capa!$A:$AJ,BE$5,0),0),IF(ISERROR(1/VLOOKUP($R477,Capa!$A:$AJ,BE$5,0)),0,1/VLOOKUP($R477,Capa!$A:$AJ,BE$5,0))))</f>
        <v/>
      </c>
      <c r="BF477" s="174" t="str">
        <f>IF(BF$6="","",IF(BF$3="Maior",iferror(VLOOKUP($R477,Capa!$A:$AJ,BF$5,0),0),IF(ISERROR(1/VLOOKUP($R477,Capa!$A:$AJ,BF$5,0)),0,1/VLOOKUP($R477,Capa!$A:$AJ,BF$5,0))))</f>
        <v/>
      </c>
      <c r="BG477" s="174" t="str">
        <f>IF(BG$6="","",IF(BG$3="Maior",iferror(VLOOKUP($R477,Capa!$A:$AJ,BG$5,0),0),IF(ISERROR(1/VLOOKUP($R477,Capa!$A:$AJ,BG$5,0)),0,1/VLOOKUP($R477,Capa!$A:$AJ,BG$5,0))))</f>
        <v/>
      </c>
      <c r="BH477" s="174" t="str">
        <f>IF(BH$6="","",IF(BH$3="Maior",iferror(VLOOKUP($R477,Capa!$A:$AJ,BH$5,0),0),IF(ISERROR(1/VLOOKUP($R477,Capa!$A:$AJ,BH$5,0)),0,1/VLOOKUP($R477,Capa!$A:$AJ,BH$5,0))))</f>
        <v/>
      </c>
      <c r="BI477" s="174" t="str">
        <f>IF(BI$6="","",IF(BI$3="Maior",iferror(VLOOKUP($R477,Capa!$A:$AJ,BI$5,0),0),IF(ISERROR(1/VLOOKUP($R477,Capa!$A:$AJ,BI$5,0)),0,1/VLOOKUP($R477,Capa!$A:$AJ,BI$5,0))))</f>
        <v/>
      </c>
      <c r="BJ477" s="174" t="str">
        <f>IF(BJ$6="","",IF(BJ$3="Maior",iferror(VLOOKUP($R477,Capa!$A:$AJ,BJ$5,0),0),IF(ISERROR(1/VLOOKUP($R477,Capa!$A:$AJ,BJ$5,0)),0,1/VLOOKUP($R477,Capa!$A:$AJ,BJ$5,0))))</f>
        <v/>
      </c>
      <c r="BK477" s="174" t="str">
        <f>IF(BK$6="","",IF(BK$3="Maior",iferror(VLOOKUP($R477,Capa!$A:$AJ,BK$5,0),0),IF(ISERROR(1/VLOOKUP($R477,Capa!$A:$AJ,BK$5,0)),0,1/VLOOKUP($R477,Capa!$A:$AJ,BK$5,0))))</f>
        <v/>
      </c>
      <c r="BL477" s="174" t="str">
        <f>IF(BL$6="","",IF(BL$3="Maior",iferror(VLOOKUP($R477,Capa!$A:$AJ,BL$5,0),0),IF(ISERROR(1/VLOOKUP($R477,Capa!$A:$AJ,BL$5,0)),0,1/VLOOKUP($R477,Capa!$A:$AJ,BL$5,0))))</f>
        <v/>
      </c>
      <c r="BM477" s="174" t="str">
        <f>IF(BM$6="","",IF(BM$3="Maior",iferror(VLOOKUP($R477,Capa!$A:$AJ,BM$5,0),0),IF(ISERROR(1/VLOOKUP($R477,Capa!$A:$AJ,BM$5,0)),0,1/VLOOKUP($R477,Capa!$A:$AJ,BM$5,0))))</f>
        <v/>
      </c>
      <c r="BN477" s="174" t="str">
        <f>IF(BN$6="","",IF(BN$3="Maior",iferror(VLOOKUP($R477,Capa!$A:$AJ,BN$5,0),0),IF(ISERROR(1/VLOOKUP($R477,Capa!$A:$AJ,BN$5,0)),0,1/VLOOKUP($R477,Capa!$A:$AJ,BN$5,0))))</f>
        <v/>
      </c>
      <c r="BO477" s="174" t="str">
        <f>IF(BO$6="","",IF(BO$3="Maior",iferror(VLOOKUP($R477,Capa!$A:$AJ,BO$5,0),0),IF(ISERROR(1/VLOOKUP($R477,Capa!$A:$AJ,BO$5,0)),0,1/VLOOKUP($R477,Capa!$A:$AJ,BO$5,0))))</f>
        <v/>
      </c>
      <c r="BP477" s="174" t="str">
        <f>IF(BP$6="","",IF(BP$3="Maior",iferror(VLOOKUP($R477,Capa!$A:$AJ,BP$5,0),0),IF(ISERROR(1/VLOOKUP($R477,Capa!$A:$AJ,BP$5,0)),0,1/VLOOKUP($R477,Capa!$A:$AJ,BP$5,0))))</f>
        <v/>
      </c>
      <c r="BQ477" s="174" t="str">
        <f>IF(BQ$6="","",IF(BQ$3="Maior",iferror(VLOOKUP($R477,Capa!$A:$AJ,BQ$5,0),0),IF(ISERROR(1/VLOOKUP($R477,Capa!$A:$AJ,BQ$5,0)),0,1/VLOOKUP($R477,Capa!$A:$AJ,BQ$5,0))))</f>
        <v/>
      </c>
      <c r="BR477" s="175"/>
      <c r="BS477" s="147"/>
    </row>
    <row r="478">
      <c r="H478" s="8">
        <v>472.0</v>
      </c>
      <c r="I478" s="165" t="str">
        <f t="shared" si="6"/>
        <v>CATA3</v>
      </c>
      <c r="J478" s="166" t="str">
        <f>(VLOOKUP($I478,Capa!$A:$B,2,0))</f>
        <v>Companhia Industrial Cataguases</v>
      </c>
      <c r="K478" s="167" t="str">
        <f>VLOOKUP(left(I478,4),Setor!A:D,3,0)&amp;" | "&amp;VLOOKUP(left(I478,4),Setor!A:D,4,0)</f>
        <v>Consumo Cíclico | Tecidos, Vestuário e Calçados</v>
      </c>
      <c r="L478" s="168">
        <f>(VLOOKUP($I478,Capa!$A:$F,6,0))</f>
        <v>0</v>
      </c>
      <c r="M478" s="168">
        <f t="shared" si="7"/>
        <v>0</v>
      </c>
      <c r="N478" s="11" t="str">
        <f>(VLOOKUP($I478,Capa!$A:$H,7,0))</f>
        <v/>
      </c>
      <c r="O478" s="169" t="str">
        <f>(VLOOKUP($I478,Capa!$A:$H,8,0))</f>
        <v/>
      </c>
      <c r="P478" s="11" t="str">
        <f>(VLOOKUP($I478,Capa!$A:$J,10,0))</f>
        <v/>
      </c>
      <c r="Q478" s="169" t="str">
        <f>(VLOOKUP($I478,Capa!$A:$K,11,0))</f>
        <v/>
      </c>
      <c r="R478" s="45" t="str">
        <f>'Dados StatusInvest'!A473</f>
        <v>PTBL3</v>
      </c>
      <c r="S478" s="170">
        <f t="shared" si="234"/>
        <v>801.0801</v>
      </c>
      <c r="T478" s="171">
        <f>VLOOKUP(R478,'Dados StatusInvest'!A:Z,26,0)</f>
        <v>887835.4</v>
      </c>
      <c r="U478" s="172">
        <f t="shared" ref="U478:AS478" si="481">IF(AT478="","", RANK(AT478,AT$7:AT$626,0)+RANK(AT478,AT$7:AT$626,0)/10000)</f>
        <v>534.0534</v>
      </c>
      <c r="V478" s="172">
        <f t="shared" si="481"/>
        <v>267.0267</v>
      </c>
      <c r="W478" s="172" t="str">
        <f t="shared" si="481"/>
        <v/>
      </c>
      <c r="X478" s="172" t="str">
        <f t="shared" si="481"/>
        <v/>
      </c>
      <c r="Y478" s="172" t="str">
        <f t="shared" si="481"/>
        <v/>
      </c>
      <c r="Z478" s="172" t="str">
        <f t="shared" si="481"/>
        <v/>
      </c>
      <c r="AA478" s="172" t="str">
        <f t="shared" si="481"/>
        <v/>
      </c>
      <c r="AB478" s="172" t="str">
        <f t="shared" si="481"/>
        <v/>
      </c>
      <c r="AC478" s="172" t="str">
        <f t="shared" si="481"/>
        <v/>
      </c>
      <c r="AD478" s="172" t="str">
        <f t="shared" si="481"/>
        <v/>
      </c>
      <c r="AE478" s="172" t="str">
        <f t="shared" si="481"/>
        <v/>
      </c>
      <c r="AF478" s="172" t="str">
        <f t="shared" si="481"/>
        <v/>
      </c>
      <c r="AG478" s="172" t="str">
        <f t="shared" si="481"/>
        <v/>
      </c>
      <c r="AH478" s="172" t="str">
        <f t="shared" si="481"/>
        <v/>
      </c>
      <c r="AI478" s="172" t="str">
        <f t="shared" si="481"/>
        <v/>
      </c>
      <c r="AJ478" s="172" t="str">
        <f t="shared" si="481"/>
        <v/>
      </c>
      <c r="AK478" s="172" t="str">
        <f t="shared" si="481"/>
        <v/>
      </c>
      <c r="AL478" s="172" t="str">
        <f t="shared" si="481"/>
        <v/>
      </c>
      <c r="AM478" s="172" t="str">
        <f t="shared" si="481"/>
        <v/>
      </c>
      <c r="AN478" s="172" t="str">
        <f t="shared" si="481"/>
        <v/>
      </c>
      <c r="AO478" s="172" t="str">
        <f t="shared" si="481"/>
        <v/>
      </c>
      <c r="AP478" s="172" t="str">
        <f t="shared" si="481"/>
        <v/>
      </c>
      <c r="AQ478" s="172" t="str">
        <f t="shared" si="481"/>
        <v/>
      </c>
      <c r="AR478" s="172" t="str">
        <f t="shared" si="481"/>
        <v/>
      </c>
      <c r="AS478" s="172" t="str">
        <f t="shared" si="481"/>
        <v/>
      </c>
      <c r="AT478" s="173">
        <f>IF(AT$6="","",IF(AT$3="Maior",iferror(VLOOKUP($R478,Capa!$A:$AJ,AT$5,0),0),IF(ISERROR(1/VLOOKUP($R478,Capa!$A:$AJ,AT$5,0)),0,1/VLOOKUP($R478,Capa!$A:$AJ,AT$5,0))))</f>
        <v>-4.46919692</v>
      </c>
      <c r="AU478" s="174">
        <f>IF(AU$6="","",IF(AU$3="Maior",iferror(VLOOKUP($R478,Capa!$A:$AJ,AU$5,0),0),IF(ISERROR(1/VLOOKUP($R478,Capa!$A:$AJ,AU$5,0)),0,1/VLOOKUP($R478,Capa!$A:$AJ,AU$5,0))))</f>
        <v>0</v>
      </c>
      <c r="AV478" s="174" t="str">
        <f>IF(AV$6="","",IF(AV$3="Maior",iferror(VLOOKUP($R478,Capa!$A:$AJ,AV$5,0),0),IF(ISERROR(1/VLOOKUP($R478,Capa!$A:$AJ,AV$5,0)),0,1/VLOOKUP($R478,Capa!$A:$AJ,AV$5,0))))</f>
        <v/>
      </c>
      <c r="AW478" s="174" t="str">
        <f>IF(AW$6="","",IF(AW$3="Maior",iferror(VLOOKUP($R478,Capa!$A:$AJ,AW$5,0),0),IF(ISERROR(1/VLOOKUP($R478,Capa!$A:$AJ,AW$5,0)),0,1/VLOOKUP($R478,Capa!$A:$AJ,AW$5,0))))</f>
        <v/>
      </c>
      <c r="AX478" s="174" t="str">
        <f>IF(AX$6="","",IF(AX$3="Maior",iferror(VLOOKUP($R478,Capa!$A:$AJ,AX$5,0),0),IF(ISERROR(1/VLOOKUP($R478,Capa!$A:$AJ,AX$5,0)),0,1/VLOOKUP($R478,Capa!$A:$AJ,AX$5,0))))</f>
        <v/>
      </c>
      <c r="AY478" s="174" t="str">
        <f>IF(AY$6="","",IF(AY$3="Maior",iferror(VLOOKUP($R478,Capa!$A:$AJ,AY$5,0),0),IF(ISERROR(1/VLOOKUP($R478,Capa!$A:$AJ,AY$5,0)),0,1/VLOOKUP($R478,Capa!$A:$AJ,AY$5,0))))</f>
        <v/>
      </c>
      <c r="AZ478" s="174" t="str">
        <f>IF(AZ$6="","",IF(AZ$3="Maior",iferror(VLOOKUP($R478,Capa!$A:$AJ,AZ$5,0),0),IF(ISERROR(1/VLOOKUP($R478,Capa!$A:$AJ,AZ$5,0)),0,1/VLOOKUP($R478,Capa!$A:$AJ,AZ$5,0))))</f>
        <v/>
      </c>
      <c r="BA478" s="174" t="str">
        <f>IF(BA$6="","",IF(BA$3="Maior",iferror(VLOOKUP($R478,Capa!$A:$AJ,BA$5,0),0),IF(ISERROR(1/VLOOKUP($R478,Capa!$A:$AJ,BA$5,0)),0,1/VLOOKUP($R478,Capa!$A:$AJ,BA$5,0))))</f>
        <v/>
      </c>
      <c r="BB478" s="174" t="str">
        <f>IF(BB$6="","",IF(BB$3="Maior",iferror(VLOOKUP($R478,Capa!$A:$AJ,BB$5,0),0),IF(ISERROR(1/VLOOKUP($R478,Capa!$A:$AJ,BB$5,0)),0,1/VLOOKUP($R478,Capa!$A:$AJ,BB$5,0))))</f>
        <v/>
      </c>
      <c r="BC478" s="174" t="str">
        <f>IF(BC$6="","",IF(BC$3="Maior",iferror(VLOOKUP($R478,Capa!$A:$AJ,BC$5,0),0),IF(ISERROR(1/VLOOKUP($R478,Capa!$A:$AJ,BC$5,0)),0,1/VLOOKUP($R478,Capa!$A:$AJ,BC$5,0))))</f>
        <v/>
      </c>
      <c r="BD478" s="174" t="str">
        <f>IF(BD$6="","",IF(BD$3="Maior",iferror(VLOOKUP($R478,Capa!$A:$AJ,BD$5,0),0),IF(ISERROR(1/VLOOKUP($R478,Capa!$A:$AJ,BD$5,0)),0,1/VLOOKUP($R478,Capa!$A:$AJ,BD$5,0))))</f>
        <v/>
      </c>
      <c r="BE478" s="174" t="str">
        <f>IF(BE$6="","",IF(BE$3="Maior",iferror(VLOOKUP($R478,Capa!$A:$AJ,BE$5,0),0),IF(ISERROR(1/VLOOKUP($R478,Capa!$A:$AJ,BE$5,0)),0,1/VLOOKUP($R478,Capa!$A:$AJ,BE$5,0))))</f>
        <v/>
      </c>
      <c r="BF478" s="174" t="str">
        <f>IF(BF$6="","",IF(BF$3="Maior",iferror(VLOOKUP($R478,Capa!$A:$AJ,BF$5,0),0),IF(ISERROR(1/VLOOKUP($R478,Capa!$A:$AJ,BF$5,0)),0,1/VLOOKUP($R478,Capa!$A:$AJ,BF$5,0))))</f>
        <v/>
      </c>
      <c r="BG478" s="174" t="str">
        <f>IF(BG$6="","",IF(BG$3="Maior",iferror(VLOOKUP($R478,Capa!$A:$AJ,BG$5,0),0),IF(ISERROR(1/VLOOKUP($R478,Capa!$A:$AJ,BG$5,0)),0,1/VLOOKUP($R478,Capa!$A:$AJ,BG$5,0))))</f>
        <v/>
      </c>
      <c r="BH478" s="174" t="str">
        <f>IF(BH$6="","",IF(BH$3="Maior",iferror(VLOOKUP($R478,Capa!$A:$AJ,BH$5,0),0),IF(ISERROR(1/VLOOKUP($R478,Capa!$A:$AJ,BH$5,0)),0,1/VLOOKUP($R478,Capa!$A:$AJ,BH$5,0))))</f>
        <v/>
      </c>
      <c r="BI478" s="174" t="str">
        <f>IF(BI$6="","",IF(BI$3="Maior",iferror(VLOOKUP($R478,Capa!$A:$AJ,BI$5,0),0),IF(ISERROR(1/VLOOKUP($R478,Capa!$A:$AJ,BI$5,0)),0,1/VLOOKUP($R478,Capa!$A:$AJ,BI$5,0))))</f>
        <v/>
      </c>
      <c r="BJ478" s="174" t="str">
        <f>IF(BJ$6="","",IF(BJ$3="Maior",iferror(VLOOKUP($R478,Capa!$A:$AJ,BJ$5,0),0),IF(ISERROR(1/VLOOKUP($R478,Capa!$A:$AJ,BJ$5,0)),0,1/VLOOKUP($R478,Capa!$A:$AJ,BJ$5,0))))</f>
        <v/>
      </c>
      <c r="BK478" s="174" t="str">
        <f>IF(BK$6="","",IF(BK$3="Maior",iferror(VLOOKUP($R478,Capa!$A:$AJ,BK$5,0),0),IF(ISERROR(1/VLOOKUP($R478,Capa!$A:$AJ,BK$5,0)),0,1/VLOOKUP($R478,Capa!$A:$AJ,BK$5,0))))</f>
        <v/>
      </c>
      <c r="BL478" s="174" t="str">
        <f>IF(BL$6="","",IF(BL$3="Maior",iferror(VLOOKUP($R478,Capa!$A:$AJ,BL$5,0),0),IF(ISERROR(1/VLOOKUP($R478,Capa!$A:$AJ,BL$5,0)),0,1/VLOOKUP($R478,Capa!$A:$AJ,BL$5,0))))</f>
        <v/>
      </c>
      <c r="BM478" s="174" t="str">
        <f>IF(BM$6="","",IF(BM$3="Maior",iferror(VLOOKUP($R478,Capa!$A:$AJ,BM$5,0),0),IF(ISERROR(1/VLOOKUP($R478,Capa!$A:$AJ,BM$5,0)),0,1/VLOOKUP($R478,Capa!$A:$AJ,BM$5,0))))</f>
        <v/>
      </c>
      <c r="BN478" s="174" t="str">
        <f>IF(BN$6="","",IF(BN$3="Maior",iferror(VLOOKUP($R478,Capa!$A:$AJ,BN$5,0),0),IF(ISERROR(1/VLOOKUP($R478,Capa!$A:$AJ,BN$5,0)),0,1/VLOOKUP($R478,Capa!$A:$AJ,BN$5,0))))</f>
        <v/>
      </c>
      <c r="BO478" s="174" t="str">
        <f>IF(BO$6="","",IF(BO$3="Maior",iferror(VLOOKUP($R478,Capa!$A:$AJ,BO$5,0),0),IF(ISERROR(1/VLOOKUP($R478,Capa!$A:$AJ,BO$5,0)),0,1/VLOOKUP($R478,Capa!$A:$AJ,BO$5,0))))</f>
        <v/>
      </c>
      <c r="BP478" s="174" t="str">
        <f>IF(BP$6="","",IF(BP$3="Maior",iferror(VLOOKUP($R478,Capa!$A:$AJ,BP$5,0),0),IF(ISERROR(1/VLOOKUP($R478,Capa!$A:$AJ,BP$5,0)),0,1/VLOOKUP($R478,Capa!$A:$AJ,BP$5,0))))</f>
        <v/>
      </c>
      <c r="BQ478" s="174" t="str">
        <f>IF(BQ$6="","",IF(BQ$3="Maior",iferror(VLOOKUP($R478,Capa!$A:$AJ,BQ$5,0),0),IF(ISERROR(1/VLOOKUP($R478,Capa!$A:$AJ,BQ$5,0)),0,1/VLOOKUP($R478,Capa!$A:$AJ,BQ$5,0))))</f>
        <v/>
      </c>
      <c r="BR478" s="175"/>
      <c r="BS478" s="147"/>
    </row>
    <row r="479">
      <c r="H479" s="8">
        <v>473.0</v>
      </c>
      <c r="I479" s="165" t="str">
        <f t="shared" si="6"/>
        <v>BOBR4</v>
      </c>
      <c r="J479" s="166" t="str">
        <f>(VLOOKUP($I479,Capa!$A:$B,2,0))</f>
        <v>Bombril SA Preference Shares</v>
      </c>
      <c r="K479" s="167" t="str">
        <f>VLOOKUP(left(I479,4),Setor!A:D,3,0)&amp;" | "&amp;VLOOKUP(left(I479,4),Setor!A:D,4,0)</f>
        <v>Consumo não Cíclico | Produtos de Uso Pessoal e de Limpeza</v>
      </c>
      <c r="L479" s="168">
        <f>(VLOOKUP($I479,Capa!$A:$F,6,0))</f>
        <v>1.22</v>
      </c>
      <c r="M479" s="168">
        <f t="shared" si="7"/>
        <v>20796.38</v>
      </c>
      <c r="N479" s="11" t="str">
        <f>IFERROR(__xludf.DUMMYFUNCTION("(VLOOKUP($I479,Capa!$A:$H,7,0))"),"")</f>
        <v/>
      </c>
      <c r="O479" s="169">
        <f>(VLOOKUP($I479,Capa!$A:$H,8,0))</f>
        <v>-0.03937007874</v>
      </c>
      <c r="P479" s="11" t="str">
        <f>IFERROR(__xludf.DUMMYFUNCTION("(VLOOKUP($I479,Capa!$A:$J,10,0))"),"")</f>
        <v/>
      </c>
      <c r="Q479" s="169">
        <f>(VLOOKUP($I479,Capa!$A:$K,11,0))</f>
        <v>-0.2823529412</v>
      </c>
      <c r="R479" s="45" t="str">
        <f>'Dados StatusInvest'!A474</f>
        <v>PTCA11</v>
      </c>
      <c r="S479" s="170">
        <f t="shared" si="234"/>
        <v>1165.0165</v>
      </c>
      <c r="T479" s="171">
        <f>VLOOKUP(R479,'Dados StatusInvest'!A:Z,26,0)</f>
        <v>0</v>
      </c>
      <c r="U479" s="172">
        <f t="shared" ref="U479:AS479" si="482">IF(AT479="","", RANK(AT479,AT$7:AT$626,0)+RANK(AT479,AT$7:AT$626,0)/10000)</f>
        <v>51.0051</v>
      </c>
      <c r="V479" s="172">
        <f t="shared" si="482"/>
        <v>114.0114</v>
      </c>
      <c r="W479" s="172" t="str">
        <f t="shared" si="482"/>
        <v/>
      </c>
      <c r="X479" s="172" t="str">
        <f t="shared" si="482"/>
        <v/>
      </c>
      <c r="Y479" s="172" t="str">
        <f t="shared" si="482"/>
        <v/>
      </c>
      <c r="Z479" s="172" t="str">
        <f t="shared" si="482"/>
        <v/>
      </c>
      <c r="AA479" s="172" t="str">
        <f t="shared" si="482"/>
        <v/>
      </c>
      <c r="AB479" s="172" t="str">
        <f t="shared" si="482"/>
        <v/>
      </c>
      <c r="AC479" s="172" t="str">
        <f t="shared" si="482"/>
        <v/>
      </c>
      <c r="AD479" s="172" t="str">
        <f t="shared" si="482"/>
        <v/>
      </c>
      <c r="AE479" s="172" t="str">
        <f t="shared" si="482"/>
        <v/>
      </c>
      <c r="AF479" s="172" t="str">
        <f t="shared" si="482"/>
        <v/>
      </c>
      <c r="AG479" s="172" t="str">
        <f t="shared" si="482"/>
        <v/>
      </c>
      <c r="AH479" s="172" t="str">
        <f t="shared" si="482"/>
        <v/>
      </c>
      <c r="AI479" s="172" t="str">
        <f t="shared" si="482"/>
        <v/>
      </c>
      <c r="AJ479" s="172" t="str">
        <f t="shared" si="482"/>
        <v/>
      </c>
      <c r="AK479" s="172" t="str">
        <f t="shared" si="482"/>
        <v/>
      </c>
      <c r="AL479" s="172" t="str">
        <f t="shared" si="482"/>
        <v/>
      </c>
      <c r="AM479" s="172" t="str">
        <f t="shared" si="482"/>
        <v/>
      </c>
      <c r="AN479" s="172" t="str">
        <f t="shared" si="482"/>
        <v/>
      </c>
      <c r="AO479" s="172" t="str">
        <f t="shared" si="482"/>
        <v/>
      </c>
      <c r="AP479" s="172" t="str">
        <f t="shared" si="482"/>
        <v/>
      </c>
      <c r="AQ479" s="172" t="str">
        <f t="shared" si="482"/>
        <v/>
      </c>
      <c r="AR479" s="172" t="str">
        <f t="shared" si="482"/>
        <v/>
      </c>
      <c r="AS479" s="172" t="str">
        <f t="shared" si="482"/>
        <v/>
      </c>
      <c r="AT479" s="173">
        <f>IF(AT$6="","",IF(AT$3="Maior",iferror(VLOOKUP($R479,Capa!$A:$AJ,AT$5,0),0),IF(ISERROR(1/VLOOKUP($R479,Capa!$A:$AJ,AT$5,0)),0,1/VLOOKUP($R479,Capa!$A:$AJ,AT$5,0))))</f>
        <v>0</v>
      </c>
      <c r="AU479" s="174">
        <f>IF(AU$6="","",IF(AU$3="Maior",iferror(VLOOKUP($R479,Capa!$A:$AJ,AU$5,0),0),IF(ISERROR(1/VLOOKUP($R479,Capa!$A:$AJ,AU$5,0)),0,1/VLOOKUP($R479,Capa!$A:$AJ,AU$5,0))))</f>
        <v>24.8</v>
      </c>
      <c r="AV479" s="174" t="str">
        <f>IF(AV$6="","",IF(AV$3="Maior",iferror(VLOOKUP($R479,Capa!$A:$AJ,AV$5,0),0),IF(ISERROR(1/VLOOKUP($R479,Capa!$A:$AJ,AV$5,0)),0,1/VLOOKUP($R479,Capa!$A:$AJ,AV$5,0))))</f>
        <v/>
      </c>
      <c r="AW479" s="174" t="str">
        <f>IF(AW$6="","",IF(AW$3="Maior",iferror(VLOOKUP($R479,Capa!$A:$AJ,AW$5,0),0),IF(ISERROR(1/VLOOKUP($R479,Capa!$A:$AJ,AW$5,0)),0,1/VLOOKUP($R479,Capa!$A:$AJ,AW$5,0))))</f>
        <v/>
      </c>
      <c r="AX479" s="174" t="str">
        <f>IF(AX$6="","",IF(AX$3="Maior",iferror(VLOOKUP($R479,Capa!$A:$AJ,AX$5,0),0),IF(ISERROR(1/VLOOKUP($R479,Capa!$A:$AJ,AX$5,0)),0,1/VLOOKUP($R479,Capa!$A:$AJ,AX$5,0))))</f>
        <v/>
      </c>
      <c r="AY479" s="174" t="str">
        <f>IF(AY$6="","",IF(AY$3="Maior",iferror(VLOOKUP($R479,Capa!$A:$AJ,AY$5,0),0),IF(ISERROR(1/VLOOKUP($R479,Capa!$A:$AJ,AY$5,0)),0,1/VLOOKUP($R479,Capa!$A:$AJ,AY$5,0))))</f>
        <v/>
      </c>
      <c r="AZ479" s="174" t="str">
        <f>IF(AZ$6="","",IF(AZ$3="Maior",iferror(VLOOKUP($R479,Capa!$A:$AJ,AZ$5,0),0),IF(ISERROR(1/VLOOKUP($R479,Capa!$A:$AJ,AZ$5,0)),0,1/VLOOKUP($R479,Capa!$A:$AJ,AZ$5,0))))</f>
        <v/>
      </c>
      <c r="BA479" s="174" t="str">
        <f>IF(BA$6="","",IF(BA$3="Maior",iferror(VLOOKUP($R479,Capa!$A:$AJ,BA$5,0),0),IF(ISERROR(1/VLOOKUP($R479,Capa!$A:$AJ,BA$5,0)),0,1/VLOOKUP($R479,Capa!$A:$AJ,BA$5,0))))</f>
        <v/>
      </c>
      <c r="BB479" s="174" t="str">
        <f>IF(BB$6="","",IF(BB$3="Maior",iferror(VLOOKUP($R479,Capa!$A:$AJ,BB$5,0),0),IF(ISERROR(1/VLOOKUP($R479,Capa!$A:$AJ,BB$5,0)),0,1/VLOOKUP($R479,Capa!$A:$AJ,BB$5,0))))</f>
        <v/>
      </c>
      <c r="BC479" s="174" t="str">
        <f>IF(BC$6="","",IF(BC$3="Maior",iferror(VLOOKUP($R479,Capa!$A:$AJ,BC$5,0),0),IF(ISERROR(1/VLOOKUP($R479,Capa!$A:$AJ,BC$5,0)),0,1/VLOOKUP($R479,Capa!$A:$AJ,BC$5,0))))</f>
        <v/>
      </c>
      <c r="BD479" s="174" t="str">
        <f>IF(BD$6="","",IF(BD$3="Maior",iferror(VLOOKUP($R479,Capa!$A:$AJ,BD$5,0),0),IF(ISERROR(1/VLOOKUP($R479,Capa!$A:$AJ,BD$5,0)),0,1/VLOOKUP($R479,Capa!$A:$AJ,BD$5,0))))</f>
        <v/>
      </c>
      <c r="BE479" s="174" t="str">
        <f>IF(BE$6="","",IF(BE$3="Maior",iferror(VLOOKUP($R479,Capa!$A:$AJ,BE$5,0),0),IF(ISERROR(1/VLOOKUP($R479,Capa!$A:$AJ,BE$5,0)),0,1/VLOOKUP($R479,Capa!$A:$AJ,BE$5,0))))</f>
        <v/>
      </c>
      <c r="BF479" s="174" t="str">
        <f>IF(BF$6="","",IF(BF$3="Maior",iferror(VLOOKUP($R479,Capa!$A:$AJ,BF$5,0),0),IF(ISERROR(1/VLOOKUP($R479,Capa!$A:$AJ,BF$5,0)),0,1/VLOOKUP($R479,Capa!$A:$AJ,BF$5,0))))</f>
        <v/>
      </c>
      <c r="BG479" s="174" t="str">
        <f>IF(BG$6="","",IF(BG$3="Maior",iferror(VLOOKUP($R479,Capa!$A:$AJ,BG$5,0),0),IF(ISERROR(1/VLOOKUP($R479,Capa!$A:$AJ,BG$5,0)),0,1/VLOOKUP($R479,Capa!$A:$AJ,BG$5,0))))</f>
        <v/>
      </c>
      <c r="BH479" s="174" t="str">
        <f>IF(BH$6="","",IF(BH$3="Maior",iferror(VLOOKUP($R479,Capa!$A:$AJ,BH$5,0),0),IF(ISERROR(1/VLOOKUP($R479,Capa!$A:$AJ,BH$5,0)),0,1/VLOOKUP($R479,Capa!$A:$AJ,BH$5,0))))</f>
        <v/>
      </c>
      <c r="BI479" s="174" t="str">
        <f>IF(BI$6="","",IF(BI$3="Maior",iferror(VLOOKUP($R479,Capa!$A:$AJ,BI$5,0),0),IF(ISERROR(1/VLOOKUP($R479,Capa!$A:$AJ,BI$5,0)),0,1/VLOOKUP($R479,Capa!$A:$AJ,BI$5,0))))</f>
        <v/>
      </c>
      <c r="BJ479" s="174" t="str">
        <f>IF(BJ$6="","",IF(BJ$3="Maior",iferror(VLOOKUP($R479,Capa!$A:$AJ,BJ$5,0),0),IF(ISERROR(1/VLOOKUP($R479,Capa!$A:$AJ,BJ$5,0)),0,1/VLOOKUP($R479,Capa!$A:$AJ,BJ$5,0))))</f>
        <v/>
      </c>
      <c r="BK479" s="174" t="str">
        <f>IF(BK$6="","",IF(BK$3="Maior",iferror(VLOOKUP($R479,Capa!$A:$AJ,BK$5,0),0),IF(ISERROR(1/VLOOKUP($R479,Capa!$A:$AJ,BK$5,0)),0,1/VLOOKUP($R479,Capa!$A:$AJ,BK$5,0))))</f>
        <v/>
      </c>
      <c r="BL479" s="174" t="str">
        <f>IF(BL$6="","",IF(BL$3="Maior",iferror(VLOOKUP($R479,Capa!$A:$AJ,BL$5,0),0),IF(ISERROR(1/VLOOKUP($R479,Capa!$A:$AJ,BL$5,0)),0,1/VLOOKUP($R479,Capa!$A:$AJ,BL$5,0))))</f>
        <v/>
      </c>
      <c r="BM479" s="174" t="str">
        <f>IF(BM$6="","",IF(BM$3="Maior",iferror(VLOOKUP($R479,Capa!$A:$AJ,BM$5,0),0),IF(ISERROR(1/VLOOKUP($R479,Capa!$A:$AJ,BM$5,0)),0,1/VLOOKUP($R479,Capa!$A:$AJ,BM$5,0))))</f>
        <v/>
      </c>
      <c r="BN479" s="174" t="str">
        <f>IF(BN$6="","",IF(BN$3="Maior",iferror(VLOOKUP($R479,Capa!$A:$AJ,BN$5,0),0),IF(ISERROR(1/VLOOKUP($R479,Capa!$A:$AJ,BN$5,0)),0,1/VLOOKUP($R479,Capa!$A:$AJ,BN$5,0))))</f>
        <v/>
      </c>
      <c r="BO479" s="174" t="str">
        <f>IF(BO$6="","",IF(BO$3="Maior",iferror(VLOOKUP($R479,Capa!$A:$AJ,BO$5,0),0),IF(ISERROR(1/VLOOKUP($R479,Capa!$A:$AJ,BO$5,0)),0,1/VLOOKUP($R479,Capa!$A:$AJ,BO$5,0))))</f>
        <v/>
      </c>
      <c r="BP479" s="174" t="str">
        <f>IF(BP$6="","",IF(BP$3="Maior",iferror(VLOOKUP($R479,Capa!$A:$AJ,BP$5,0),0),IF(ISERROR(1/VLOOKUP($R479,Capa!$A:$AJ,BP$5,0)),0,1/VLOOKUP($R479,Capa!$A:$AJ,BP$5,0))))</f>
        <v/>
      </c>
      <c r="BQ479" s="174" t="str">
        <f>IF(BQ$6="","",IF(BQ$3="Maior",iferror(VLOOKUP($R479,Capa!$A:$AJ,BQ$5,0),0),IF(ISERROR(1/VLOOKUP($R479,Capa!$A:$AJ,BQ$5,0)),0,1/VLOOKUP($R479,Capa!$A:$AJ,BQ$5,0))))</f>
        <v/>
      </c>
      <c r="BR479" s="175"/>
      <c r="BS479" s="147"/>
    </row>
    <row r="480">
      <c r="H480" s="8">
        <v>474.0</v>
      </c>
      <c r="I480" s="165" t="str">
        <f t="shared" si="6"/>
        <v>BOBR4</v>
      </c>
      <c r="J480" s="166" t="str">
        <f>(VLOOKUP($I480,Capa!$A:$B,2,0))</f>
        <v>Bombril SA Preference Shares</v>
      </c>
      <c r="K480" s="167" t="str">
        <f>VLOOKUP(left(I480,4),Setor!A:D,3,0)&amp;" | "&amp;VLOOKUP(left(I480,4),Setor!A:D,4,0)</f>
        <v>Consumo não Cíclico | Produtos de Uso Pessoal e de Limpeza</v>
      </c>
      <c r="L480" s="168">
        <f>(VLOOKUP($I480,Capa!$A:$F,6,0))</f>
        <v>1.22</v>
      </c>
      <c r="M480" s="168">
        <f t="shared" si="7"/>
        <v>20796.38</v>
      </c>
      <c r="N480" s="11" t="str">
        <f>IFERROR(__xludf.DUMMYFUNCTION("(VLOOKUP($I480,Capa!$A:$H,7,0))"),"")</f>
        <v/>
      </c>
      <c r="O480" s="169">
        <f>(VLOOKUP($I480,Capa!$A:$H,8,0))</f>
        <v>-0.03937007874</v>
      </c>
      <c r="P480" s="11" t="str">
        <f>IFERROR(__xludf.DUMMYFUNCTION("(VLOOKUP($I480,Capa!$A:$J,10,0))"),"")</f>
        <v/>
      </c>
      <c r="Q480" s="169">
        <f>(VLOOKUP($I480,Capa!$A:$K,11,0))</f>
        <v>-0.2823529412</v>
      </c>
      <c r="R480" s="45" t="str">
        <f>'Dados StatusInvest'!A475</f>
        <v>PTCA3</v>
      </c>
      <c r="S480" s="170">
        <f t="shared" si="234"/>
        <v>1165.0165</v>
      </c>
      <c r="T480" s="171">
        <f>VLOOKUP(R480,'Dados StatusInvest'!A:Z,26,0)</f>
        <v>0</v>
      </c>
      <c r="U480" s="172">
        <f t="shared" ref="U480:AS480" si="483">IF(AT480="","", RANK(AT480,AT$7:AT$626,0)+RANK(AT480,AT$7:AT$626,0)/10000)</f>
        <v>51.0051</v>
      </c>
      <c r="V480" s="172">
        <f t="shared" si="483"/>
        <v>114.0114</v>
      </c>
      <c r="W480" s="172" t="str">
        <f t="shared" si="483"/>
        <v/>
      </c>
      <c r="X480" s="172" t="str">
        <f t="shared" si="483"/>
        <v/>
      </c>
      <c r="Y480" s="172" t="str">
        <f t="shared" si="483"/>
        <v/>
      </c>
      <c r="Z480" s="172" t="str">
        <f t="shared" si="483"/>
        <v/>
      </c>
      <c r="AA480" s="172" t="str">
        <f t="shared" si="483"/>
        <v/>
      </c>
      <c r="AB480" s="172" t="str">
        <f t="shared" si="483"/>
        <v/>
      </c>
      <c r="AC480" s="172" t="str">
        <f t="shared" si="483"/>
        <v/>
      </c>
      <c r="AD480" s="172" t="str">
        <f t="shared" si="483"/>
        <v/>
      </c>
      <c r="AE480" s="172" t="str">
        <f t="shared" si="483"/>
        <v/>
      </c>
      <c r="AF480" s="172" t="str">
        <f t="shared" si="483"/>
        <v/>
      </c>
      <c r="AG480" s="172" t="str">
        <f t="shared" si="483"/>
        <v/>
      </c>
      <c r="AH480" s="172" t="str">
        <f t="shared" si="483"/>
        <v/>
      </c>
      <c r="AI480" s="172" t="str">
        <f t="shared" si="483"/>
        <v/>
      </c>
      <c r="AJ480" s="172" t="str">
        <f t="shared" si="483"/>
        <v/>
      </c>
      <c r="AK480" s="172" t="str">
        <f t="shared" si="483"/>
        <v/>
      </c>
      <c r="AL480" s="172" t="str">
        <f t="shared" si="483"/>
        <v/>
      </c>
      <c r="AM480" s="172" t="str">
        <f t="shared" si="483"/>
        <v/>
      </c>
      <c r="AN480" s="172" t="str">
        <f t="shared" si="483"/>
        <v/>
      </c>
      <c r="AO480" s="172" t="str">
        <f t="shared" si="483"/>
        <v/>
      </c>
      <c r="AP480" s="172" t="str">
        <f t="shared" si="483"/>
        <v/>
      </c>
      <c r="AQ480" s="172" t="str">
        <f t="shared" si="483"/>
        <v/>
      </c>
      <c r="AR480" s="172" t="str">
        <f t="shared" si="483"/>
        <v/>
      </c>
      <c r="AS480" s="172" t="str">
        <f t="shared" si="483"/>
        <v/>
      </c>
      <c r="AT480" s="173">
        <f>IF(AT$6="","",IF(AT$3="Maior",iferror(VLOOKUP($R480,Capa!$A:$AJ,AT$5,0),0),IF(ISERROR(1/VLOOKUP($R480,Capa!$A:$AJ,AT$5,0)),0,1/VLOOKUP($R480,Capa!$A:$AJ,AT$5,0))))</f>
        <v>0</v>
      </c>
      <c r="AU480" s="174">
        <f>IF(AU$6="","",IF(AU$3="Maior",iferror(VLOOKUP($R480,Capa!$A:$AJ,AU$5,0),0),IF(ISERROR(1/VLOOKUP($R480,Capa!$A:$AJ,AU$5,0)),0,1/VLOOKUP($R480,Capa!$A:$AJ,AU$5,0))))</f>
        <v>24.8</v>
      </c>
      <c r="AV480" s="174" t="str">
        <f>IF(AV$6="","",IF(AV$3="Maior",iferror(VLOOKUP($R480,Capa!$A:$AJ,AV$5,0),0),IF(ISERROR(1/VLOOKUP($R480,Capa!$A:$AJ,AV$5,0)),0,1/VLOOKUP($R480,Capa!$A:$AJ,AV$5,0))))</f>
        <v/>
      </c>
      <c r="AW480" s="174" t="str">
        <f>IF(AW$6="","",IF(AW$3="Maior",iferror(VLOOKUP($R480,Capa!$A:$AJ,AW$5,0),0),IF(ISERROR(1/VLOOKUP($R480,Capa!$A:$AJ,AW$5,0)),0,1/VLOOKUP($R480,Capa!$A:$AJ,AW$5,0))))</f>
        <v/>
      </c>
      <c r="AX480" s="174" t="str">
        <f>IF(AX$6="","",IF(AX$3="Maior",iferror(VLOOKUP($R480,Capa!$A:$AJ,AX$5,0),0),IF(ISERROR(1/VLOOKUP($R480,Capa!$A:$AJ,AX$5,0)),0,1/VLOOKUP($R480,Capa!$A:$AJ,AX$5,0))))</f>
        <v/>
      </c>
      <c r="AY480" s="174" t="str">
        <f>IF(AY$6="","",IF(AY$3="Maior",iferror(VLOOKUP($R480,Capa!$A:$AJ,AY$5,0),0),IF(ISERROR(1/VLOOKUP($R480,Capa!$A:$AJ,AY$5,0)),0,1/VLOOKUP($R480,Capa!$A:$AJ,AY$5,0))))</f>
        <v/>
      </c>
      <c r="AZ480" s="174" t="str">
        <f>IF(AZ$6="","",IF(AZ$3="Maior",iferror(VLOOKUP($R480,Capa!$A:$AJ,AZ$5,0),0),IF(ISERROR(1/VLOOKUP($R480,Capa!$A:$AJ,AZ$5,0)),0,1/VLOOKUP($R480,Capa!$A:$AJ,AZ$5,0))))</f>
        <v/>
      </c>
      <c r="BA480" s="174" t="str">
        <f>IF(BA$6="","",IF(BA$3="Maior",iferror(VLOOKUP($R480,Capa!$A:$AJ,BA$5,0),0),IF(ISERROR(1/VLOOKUP($R480,Capa!$A:$AJ,BA$5,0)),0,1/VLOOKUP($R480,Capa!$A:$AJ,BA$5,0))))</f>
        <v/>
      </c>
      <c r="BB480" s="174" t="str">
        <f>IF(BB$6="","",IF(BB$3="Maior",iferror(VLOOKUP($R480,Capa!$A:$AJ,BB$5,0),0),IF(ISERROR(1/VLOOKUP($R480,Capa!$A:$AJ,BB$5,0)),0,1/VLOOKUP($R480,Capa!$A:$AJ,BB$5,0))))</f>
        <v/>
      </c>
      <c r="BC480" s="174" t="str">
        <f>IF(BC$6="","",IF(BC$3="Maior",iferror(VLOOKUP($R480,Capa!$A:$AJ,BC$5,0),0),IF(ISERROR(1/VLOOKUP($R480,Capa!$A:$AJ,BC$5,0)),0,1/VLOOKUP($R480,Capa!$A:$AJ,BC$5,0))))</f>
        <v/>
      </c>
      <c r="BD480" s="174" t="str">
        <f>IF(BD$6="","",IF(BD$3="Maior",iferror(VLOOKUP($R480,Capa!$A:$AJ,BD$5,0),0),IF(ISERROR(1/VLOOKUP($R480,Capa!$A:$AJ,BD$5,0)),0,1/VLOOKUP($R480,Capa!$A:$AJ,BD$5,0))))</f>
        <v/>
      </c>
      <c r="BE480" s="174" t="str">
        <f>IF(BE$6="","",IF(BE$3="Maior",iferror(VLOOKUP($R480,Capa!$A:$AJ,BE$5,0),0),IF(ISERROR(1/VLOOKUP($R480,Capa!$A:$AJ,BE$5,0)),0,1/VLOOKUP($R480,Capa!$A:$AJ,BE$5,0))))</f>
        <v/>
      </c>
      <c r="BF480" s="174" t="str">
        <f>IF(BF$6="","",IF(BF$3="Maior",iferror(VLOOKUP($R480,Capa!$A:$AJ,BF$5,0),0),IF(ISERROR(1/VLOOKUP($R480,Capa!$A:$AJ,BF$5,0)),0,1/VLOOKUP($R480,Capa!$A:$AJ,BF$5,0))))</f>
        <v/>
      </c>
      <c r="BG480" s="174" t="str">
        <f>IF(BG$6="","",IF(BG$3="Maior",iferror(VLOOKUP($R480,Capa!$A:$AJ,BG$5,0),0),IF(ISERROR(1/VLOOKUP($R480,Capa!$A:$AJ,BG$5,0)),0,1/VLOOKUP($R480,Capa!$A:$AJ,BG$5,0))))</f>
        <v/>
      </c>
      <c r="BH480" s="174" t="str">
        <f>IF(BH$6="","",IF(BH$3="Maior",iferror(VLOOKUP($R480,Capa!$A:$AJ,BH$5,0),0),IF(ISERROR(1/VLOOKUP($R480,Capa!$A:$AJ,BH$5,0)),0,1/VLOOKUP($R480,Capa!$A:$AJ,BH$5,0))))</f>
        <v/>
      </c>
      <c r="BI480" s="174" t="str">
        <f>IF(BI$6="","",IF(BI$3="Maior",iferror(VLOOKUP($R480,Capa!$A:$AJ,BI$5,0),0),IF(ISERROR(1/VLOOKUP($R480,Capa!$A:$AJ,BI$5,0)),0,1/VLOOKUP($R480,Capa!$A:$AJ,BI$5,0))))</f>
        <v/>
      </c>
      <c r="BJ480" s="174" t="str">
        <f>IF(BJ$6="","",IF(BJ$3="Maior",iferror(VLOOKUP($R480,Capa!$A:$AJ,BJ$5,0),0),IF(ISERROR(1/VLOOKUP($R480,Capa!$A:$AJ,BJ$5,0)),0,1/VLOOKUP($R480,Capa!$A:$AJ,BJ$5,0))))</f>
        <v/>
      </c>
      <c r="BK480" s="174" t="str">
        <f>IF(BK$6="","",IF(BK$3="Maior",iferror(VLOOKUP($R480,Capa!$A:$AJ,BK$5,0),0),IF(ISERROR(1/VLOOKUP($R480,Capa!$A:$AJ,BK$5,0)),0,1/VLOOKUP($R480,Capa!$A:$AJ,BK$5,0))))</f>
        <v/>
      </c>
      <c r="BL480" s="174" t="str">
        <f>IF(BL$6="","",IF(BL$3="Maior",iferror(VLOOKUP($R480,Capa!$A:$AJ,BL$5,0),0),IF(ISERROR(1/VLOOKUP($R480,Capa!$A:$AJ,BL$5,0)),0,1/VLOOKUP($R480,Capa!$A:$AJ,BL$5,0))))</f>
        <v/>
      </c>
      <c r="BM480" s="174" t="str">
        <f>IF(BM$6="","",IF(BM$3="Maior",iferror(VLOOKUP($R480,Capa!$A:$AJ,BM$5,0),0),IF(ISERROR(1/VLOOKUP($R480,Capa!$A:$AJ,BM$5,0)),0,1/VLOOKUP($R480,Capa!$A:$AJ,BM$5,0))))</f>
        <v/>
      </c>
      <c r="BN480" s="174" t="str">
        <f>IF(BN$6="","",IF(BN$3="Maior",iferror(VLOOKUP($R480,Capa!$A:$AJ,BN$5,0),0),IF(ISERROR(1/VLOOKUP($R480,Capa!$A:$AJ,BN$5,0)),0,1/VLOOKUP($R480,Capa!$A:$AJ,BN$5,0))))</f>
        <v/>
      </c>
      <c r="BO480" s="174" t="str">
        <f>IF(BO$6="","",IF(BO$3="Maior",iferror(VLOOKUP($R480,Capa!$A:$AJ,BO$5,0),0),IF(ISERROR(1/VLOOKUP($R480,Capa!$A:$AJ,BO$5,0)),0,1/VLOOKUP($R480,Capa!$A:$AJ,BO$5,0))))</f>
        <v/>
      </c>
      <c r="BP480" s="174" t="str">
        <f>IF(BP$6="","",IF(BP$3="Maior",iferror(VLOOKUP($R480,Capa!$A:$AJ,BP$5,0),0),IF(ISERROR(1/VLOOKUP($R480,Capa!$A:$AJ,BP$5,0)),0,1/VLOOKUP($R480,Capa!$A:$AJ,BP$5,0))))</f>
        <v/>
      </c>
      <c r="BQ480" s="174" t="str">
        <f>IF(BQ$6="","",IF(BQ$3="Maior",iferror(VLOOKUP($R480,Capa!$A:$AJ,BQ$5,0),0),IF(ISERROR(1/VLOOKUP($R480,Capa!$A:$AJ,BQ$5,0)),0,1/VLOOKUP($R480,Capa!$A:$AJ,BQ$5,0))))</f>
        <v/>
      </c>
      <c r="BR480" s="175"/>
      <c r="BS480" s="147"/>
    </row>
    <row r="481">
      <c r="H481" s="8">
        <v>475.0</v>
      </c>
      <c r="I481" s="165" t="str">
        <f t="shared" si="6"/>
        <v>BOBR4</v>
      </c>
      <c r="J481" s="166" t="str">
        <f>(VLOOKUP($I481,Capa!$A:$B,2,0))</f>
        <v>Bombril SA Preference Shares</v>
      </c>
      <c r="K481" s="167" t="str">
        <f>VLOOKUP(left(I481,4),Setor!A:D,3,0)&amp;" | "&amp;VLOOKUP(left(I481,4),Setor!A:D,4,0)</f>
        <v>Consumo não Cíclico | Produtos de Uso Pessoal e de Limpeza</v>
      </c>
      <c r="L481" s="168">
        <f>(VLOOKUP($I481,Capa!$A:$F,6,0))</f>
        <v>1.22</v>
      </c>
      <c r="M481" s="168">
        <f t="shared" si="7"/>
        <v>20796.38</v>
      </c>
      <c r="N481" s="11" t="str">
        <f>IFERROR(__xludf.DUMMYFUNCTION("(VLOOKUP($I481,Capa!$A:$H,7,0))"),"")</f>
        <v/>
      </c>
      <c r="O481" s="169">
        <f>(VLOOKUP($I481,Capa!$A:$H,8,0))</f>
        <v>-0.03937007874</v>
      </c>
      <c r="P481" s="11" t="str">
        <f>IFERROR(__xludf.DUMMYFUNCTION("(VLOOKUP($I481,Capa!$A:$J,10,0))"),"")</f>
        <v/>
      </c>
      <c r="Q481" s="169">
        <f>(VLOOKUP($I481,Capa!$A:$K,11,0))</f>
        <v>-0.2823529412</v>
      </c>
      <c r="R481" s="45" t="str">
        <f>'Dados StatusInvest'!A476</f>
        <v>PTNT3</v>
      </c>
      <c r="S481" s="170">
        <f t="shared" si="234"/>
        <v>1635.0635</v>
      </c>
      <c r="T481" s="171">
        <f>VLOOKUP(R481,'Dados StatusInvest'!A:Z,26,0)</f>
        <v>21160.16</v>
      </c>
      <c r="U481" s="172">
        <f t="shared" ref="U481:AS481" si="484">IF(AT481="","", RANK(AT481,AT$7:AT$626,0)+RANK(AT481,AT$7:AT$626,0)/10000)</f>
        <v>368.0368</v>
      </c>
      <c r="V481" s="172">
        <f t="shared" si="484"/>
        <v>267.0267</v>
      </c>
      <c r="W481" s="172" t="str">
        <f t="shared" si="484"/>
        <v/>
      </c>
      <c r="X481" s="172" t="str">
        <f t="shared" si="484"/>
        <v/>
      </c>
      <c r="Y481" s="172" t="str">
        <f t="shared" si="484"/>
        <v/>
      </c>
      <c r="Z481" s="172" t="str">
        <f t="shared" si="484"/>
        <v/>
      </c>
      <c r="AA481" s="172" t="str">
        <f t="shared" si="484"/>
        <v/>
      </c>
      <c r="AB481" s="172" t="str">
        <f t="shared" si="484"/>
        <v/>
      </c>
      <c r="AC481" s="172" t="str">
        <f t="shared" si="484"/>
        <v/>
      </c>
      <c r="AD481" s="172" t="str">
        <f t="shared" si="484"/>
        <v/>
      </c>
      <c r="AE481" s="172" t="str">
        <f t="shared" si="484"/>
        <v/>
      </c>
      <c r="AF481" s="172" t="str">
        <f t="shared" si="484"/>
        <v/>
      </c>
      <c r="AG481" s="172" t="str">
        <f t="shared" si="484"/>
        <v/>
      </c>
      <c r="AH481" s="172" t="str">
        <f t="shared" si="484"/>
        <v/>
      </c>
      <c r="AI481" s="172" t="str">
        <f t="shared" si="484"/>
        <v/>
      </c>
      <c r="AJ481" s="172" t="str">
        <f t="shared" si="484"/>
        <v/>
      </c>
      <c r="AK481" s="172" t="str">
        <f t="shared" si="484"/>
        <v/>
      </c>
      <c r="AL481" s="172" t="str">
        <f t="shared" si="484"/>
        <v/>
      </c>
      <c r="AM481" s="172" t="str">
        <f t="shared" si="484"/>
        <v/>
      </c>
      <c r="AN481" s="172" t="str">
        <f t="shared" si="484"/>
        <v/>
      </c>
      <c r="AO481" s="172" t="str">
        <f t="shared" si="484"/>
        <v/>
      </c>
      <c r="AP481" s="172" t="str">
        <f t="shared" si="484"/>
        <v/>
      </c>
      <c r="AQ481" s="172" t="str">
        <f t="shared" si="484"/>
        <v/>
      </c>
      <c r="AR481" s="172" t="str">
        <f t="shared" si="484"/>
        <v/>
      </c>
      <c r="AS481" s="172" t="str">
        <f t="shared" si="484"/>
        <v/>
      </c>
      <c r="AT481" s="173">
        <f>IF(AT$6="","",IF(AT$3="Maior",iferror(VLOOKUP($R481,Capa!$A:$AJ,AT$5,0),0),IF(ISERROR(1/VLOOKUP($R481,Capa!$A:$AJ,AT$5,0)),0,1/VLOOKUP($R481,Capa!$A:$AJ,AT$5,0))))</f>
        <v>-1.123595506</v>
      </c>
      <c r="AU481" s="174">
        <f>IF(AU$6="","",IF(AU$3="Maior",iferror(VLOOKUP($R481,Capa!$A:$AJ,AU$5,0),0),IF(ISERROR(1/VLOOKUP($R481,Capa!$A:$AJ,AU$5,0)),0,1/VLOOKUP($R481,Capa!$A:$AJ,AU$5,0))))</f>
        <v>0</v>
      </c>
      <c r="AV481" s="174" t="str">
        <f>IF(AV$6="","",IF(AV$3="Maior",iferror(VLOOKUP($R481,Capa!$A:$AJ,AV$5,0),0),IF(ISERROR(1/VLOOKUP($R481,Capa!$A:$AJ,AV$5,0)),0,1/VLOOKUP($R481,Capa!$A:$AJ,AV$5,0))))</f>
        <v/>
      </c>
      <c r="AW481" s="174" t="str">
        <f>IF(AW$6="","",IF(AW$3="Maior",iferror(VLOOKUP($R481,Capa!$A:$AJ,AW$5,0),0),IF(ISERROR(1/VLOOKUP($R481,Capa!$A:$AJ,AW$5,0)),0,1/VLOOKUP($R481,Capa!$A:$AJ,AW$5,0))))</f>
        <v/>
      </c>
      <c r="AX481" s="174" t="str">
        <f>IF(AX$6="","",IF(AX$3="Maior",iferror(VLOOKUP($R481,Capa!$A:$AJ,AX$5,0),0),IF(ISERROR(1/VLOOKUP($R481,Capa!$A:$AJ,AX$5,0)),0,1/VLOOKUP($R481,Capa!$A:$AJ,AX$5,0))))</f>
        <v/>
      </c>
      <c r="AY481" s="174" t="str">
        <f>IF(AY$6="","",IF(AY$3="Maior",iferror(VLOOKUP($R481,Capa!$A:$AJ,AY$5,0),0),IF(ISERROR(1/VLOOKUP($R481,Capa!$A:$AJ,AY$5,0)),0,1/VLOOKUP($R481,Capa!$A:$AJ,AY$5,0))))</f>
        <v/>
      </c>
      <c r="AZ481" s="174" t="str">
        <f>IF(AZ$6="","",IF(AZ$3="Maior",iferror(VLOOKUP($R481,Capa!$A:$AJ,AZ$5,0),0),IF(ISERROR(1/VLOOKUP($R481,Capa!$A:$AJ,AZ$5,0)),0,1/VLOOKUP($R481,Capa!$A:$AJ,AZ$5,0))))</f>
        <v/>
      </c>
      <c r="BA481" s="174" t="str">
        <f>IF(BA$6="","",IF(BA$3="Maior",iferror(VLOOKUP($R481,Capa!$A:$AJ,BA$5,0),0),IF(ISERROR(1/VLOOKUP($R481,Capa!$A:$AJ,BA$5,0)),0,1/VLOOKUP($R481,Capa!$A:$AJ,BA$5,0))))</f>
        <v/>
      </c>
      <c r="BB481" s="174" t="str">
        <f>IF(BB$6="","",IF(BB$3="Maior",iferror(VLOOKUP($R481,Capa!$A:$AJ,BB$5,0),0),IF(ISERROR(1/VLOOKUP($R481,Capa!$A:$AJ,BB$5,0)),0,1/VLOOKUP($R481,Capa!$A:$AJ,BB$5,0))))</f>
        <v/>
      </c>
      <c r="BC481" s="174" t="str">
        <f>IF(BC$6="","",IF(BC$3="Maior",iferror(VLOOKUP($R481,Capa!$A:$AJ,BC$5,0),0),IF(ISERROR(1/VLOOKUP($R481,Capa!$A:$AJ,BC$5,0)),0,1/VLOOKUP($R481,Capa!$A:$AJ,BC$5,0))))</f>
        <v/>
      </c>
      <c r="BD481" s="174" t="str">
        <f>IF(BD$6="","",IF(BD$3="Maior",iferror(VLOOKUP($R481,Capa!$A:$AJ,BD$5,0),0),IF(ISERROR(1/VLOOKUP($R481,Capa!$A:$AJ,BD$5,0)),0,1/VLOOKUP($R481,Capa!$A:$AJ,BD$5,0))))</f>
        <v/>
      </c>
      <c r="BE481" s="174" t="str">
        <f>IF(BE$6="","",IF(BE$3="Maior",iferror(VLOOKUP($R481,Capa!$A:$AJ,BE$5,0),0),IF(ISERROR(1/VLOOKUP($R481,Capa!$A:$AJ,BE$5,0)),0,1/VLOOKUP($R481,Capa!$A:$AJ,BE$5,0))))</f>
        <v/>
      </c>
      <c r="BF481" s="174" t="str">
        <f>IF(BF$6="","",IF(BF$3="Maior",iferror(VLOOKUP($R481,Capa!$A:$AJ,BF$5,0),0),IF(ISERROR(1/VLOOKUP($R481,Capa!$A:$AJ,BF$5,0)),0,1/VLOOKUP($R481,Capa!$A:$AJ,BF$5,0))))</f>
        <v/>
      </c>
      <c r="BG481" s="174" t="str">
        <f>IF(BG$6="","",IF(BG$3="Maior",iferror(VLOOKUP($R481,Capa!$A:$AJ,BG$5,0),0),IF(ISERROR(1/VLOOKUP($R481,Capa!$A:$AJ,BG$5,0)),0,1/VLOOKUP($R481,Capa!$A:$AJ,BG$5,0))))</f>
        <v/>
      </c>
      <c r="BH481" s="174" t="str">
        <f>IF(BH$6="","",IF(BH$3="Maior",iferror(VLOOKUP($R481,Capa!$A:$AJ,BH$5,0),0),IF(ISERROR(1/VLOOKUP($R481,Capa!$A:$AJ,BH$5,0)),0,1/VLOOKUP($R481,Capa!$A:$AJ,BH$5,0))))</f>
        <v/>
      </c>
      <c r="BI481" s="174" t="str">
        <f>IF(BI$6="","",IF(BI$3="Maior",iferror(VLOOKUP($R481,Capa!$A:$AJ,BI$5,0),0),IF(ISERROR(1/VLOOKUP($R481,Capa!$A:$AJ,BI$5,0)),0,1/VLOOKUP($R481,Capa!$A:$AJ,BI$5,0))))</f>
        <v/>
      </c>
      <c r="BJ481" s="174" t="str">
        <f>IF(BJ$6="","",IF(BJ$3="Maior",iferror(VLOOKUP($R481,Capa!$A:$AJ,BJ$5,0),0),IF(ISERROR(1/VLOOKUP($R481,Capa!$A:$AJ,BJ$5,0)),0,1/VLOOKUP($R481,Capa!$A:$AJ,BJ$5,0))))</f>
        <v/>
      </c>
      <c r="BK481" s="174" t="str">
        <f>IF(BK$6="","",IF(BK$3="Maior",iferror(VLOOKUP($R481,Capa!$A:$AJ,BK$5,0),0),IF(ISERROR(1/VLOOKUP($R481,Capa!$A:$AJ,BK$5,0)),0,1/VLOOKUP($R481,Capa!$A:$AJ,BK$5,0))))</f>
        <v/>
      </c>
      <c r="BL481" s="174" t="str">
        <f>IF(BL$6="","",IF(BL$3="Maior",iferror(VLOOKUP($R481,Capa!$A:$AJ,BL$5,0),0),IF(ISERROR(1/VLOOKUP($R481,Capa!$A:$AJ,BL$5,0)),0,1/VLOOKUP($R481,Capa!$A:$AJ,BL$5,0))))</f>
        <v/>
      </c>
      <c r="BM481" s="174" t="str">
        <f>IF(BM$6="","",IF(BM$3="Maior",iferror(VLOOKUP($R481,Capa!$A:$AJ,BM$5,0),0),IF(ISERROR(1/VLOOKUP($R481,Capa!$A:$AJ,BM$5,0)),0,1/VLOOKUP($R481,Capa!$A:$AJ,BM$5,0))))</f>
        <v/>
      </c>
      <c r="BN481" s="174" t="str">
        <f>IF(BN$6="","",IF(BN$3="Maior",iferror(VLOOKUP($R481,Capa!$A:$AJ,BN$5,0),0),IF(ISERROR(1/VLOOKUP($R481,Capa!$A:$AJ,BN$5,0)),0,1/VLOOKUP($R481,Capa!$A:$AJ,BN$5,0))))</f>
        <v/>
      </c>
      <c r="BO481" s="174" t="str">
        <f>IF(BO$6="","",IF(BO$3="Maior",iferror(VLOOKUP($R481,Capa!$A:$AJ,BO$5,0),0),IF(ISERROR(1/VLOOKUP($R481,Capa!$A:$AJ,BO$5,0)),0,1/VLOOKUP($R481,Capa!$A:$AJ,BO$5,0))))</f>
        <v/>
      </c>
      <c r="BP481" s="174" t="str">
        <f>IF(BP$6="","",IF(BP$3="Maior",iferror(VLOOKUP($R481,Capa!$A:$AJ,BP$5,0),0),IF(ISERROR(1/VLOOKUP($R481,Capa!$A:$AJ,BP$5,0)),0,1/VLOOKUP($R481,Capa!$A:$AJ,BP$5,0))))</f>
        <v/>
      </c>
      <c r="BQ481" s="174" t="str">
        <f>IF(BQ$6="","",IF(BQ$3="Maior",iferror(VLOOKUP($R481,Capa!$A:$AJ,BQ$5,0),0),IF(ISERROR(1/VLOOKUP($R481,Capa!$A:$AJ,BQ$5,0)),0,1/VLOOKUP($R481,Capa!$A:$AJ,BQ$5,0))))</f>
        <v/>
      </c>
      <c r="BR481" s="175"/>
      <c r="BS481" s="147"/>
    </row>
    <row r="482">
      <c r="H482" s="8">
        <v>476.0</v>
      </c>
      <c r="I482" s="165" t="str">
        <f t="shared" si="6"/>
        <v>BTTL4</v>
      </c>
      <c r="J482" s="166" t="str">
        <f>(VLOOKUP($I482,Capa!$A:$B,2,0))</f>
        <v/>
      </c>
      <c r="K482" s="167" t="str">
        <f>VLOOKUP(left(I482,4),Setor!A:D,3,0)&amp;" | "&amp;VLOOKUP(left(I482,4),Setor!A:D,4,0)</f>
        <v>Bens Industriais | Comércio</v>
      </c>
      <c r="L482" s="168" t="str">
        <f>(VLOOKUP($I482,Capa!$A:$F,6,0))</f>
        <v/>
      </c>
      <c r="M482" s="168">
        <f t="shared" si="7"/>
        <v>0</v>
      </c>
      <c r="N482" s="11" t="str">
        <f>(VLOOKUP($I482,Capa!$A:$H,7,0))</f>
        <v/>
      </c>
      <c r="O482" s="169" t="str">
        <f>(VLOOKUP($I482,Capa!$A:$H,8,0))</f>
        <v/>
      </c>
      <c r="P482" s="11" t="str">
        <f>(VLOOKUP($I482,Capa!$A:$J,10,0))</f>
        <v/>
      </c>
      <c r="Q482" s="169" t="str">
        <f>(VLOOKUP($I482,Capa!$A:$K,11,0))</f>
        <v/>
      </c>
      <c r="R482" s="45" t="str">
        <f>'Dados StatusInvest'!A477</f>
        <v>PTNT4</v>
      </c>
      <c r="S482" s="170">
        <f t="shared" si="234"/>
        <v>1639.0639</v>
      </c>
      <c r="T482" s="171">
        <f>VLOOKUP(R482,'Dados StatusInvest'!A:Z,26,0)</f>
        <v>254005.9</v>
      </c>
      <c r="U482" s="172">
        <f t="shared" ref="U482:AS482" si="485">IF(AT482="","", RANK(AT482,AT$7:AT$626,0)+RANK(AT482,AT$7:AT$626,0)/10000)</f>
        <v>372.0372</v>
      </c>
      <c r="V482" s="172">
        <f t="shared" si="485"/>
        <v>267.0267</v>
      </c>
      <c r="W482" s="172" t="str">
        <f t="shared" si="485"/>
        <v/>
      </c>
      <c r="X482" s="172" t="str">
        <f t="shared" si="485"/>
        <v/>
      </c>
      <c r="Y482" s="172" t="str">
        <f t="shared" si="485"/>
        <v/>
      </c>
      <c r="Z482" s="172" t="str">
        <f t="shared" si="485"/>
        <v/>
      </c>
      <c r="AA482" s="172" t="str">
        <f t="shared" si="485"/>
        <v/>
      </c>
      <c r="AB482" s="172" t="str">
        <f t="shared" si="485"/>
        <v/>
      </c>
      <c r="AC482" s="172" t="str">
        <f t="shared" si="485"/>
        <v/>
      </c>
      <c r="AD482" s="172" t="str">
        <f t="shared" si="485"/>
        <v/>
      </c>
      <c r="AE482" s="172" t="str">
        <f t="shared" si="485"/>
        <v/>
      </c>
      <c r="AF482" s="172" t="str">
        <f t="shared" si="485"/>
        <v/>
      </c>
      <c r="AG482" s="172" t="str">
        <f t="shared" si="485"/>
        <v/>
      </c>
      <c r="AH482" s="172" t="str">
        <f t="shared" si="485"/>
        <v/>
      </c>
      <c r="AI482" s="172" t="str">
        <f t="shared" si="485"/>
        <v/>
      </c>
      <c r="AJ482" s="172" t="str">
        <f t="shared" si="485"/>
        <v/>
      </c>
      <c r="AK482" s="172" t="str">
        <f t="shared" si="485"/>
        <v/>
      </c>
      <c r="AL482" s="172" t="str">
        <f t="shared" si="485"/>
        <v/>
      </c>
      <c r="AM482" s="172" t="str">
        <f t="shared" si="485"/>
        <v/>
      </c>
      <c r="AN482" s="172" t="str">
        <f t="shared" si="485"/>
        <v/>
      </c>
      <c r="AO482" s="172" t="str">
        <f t="shared" si="485"/>
        <v/>
      </c>
      <c r="AP482" s="172" t="str">
        <f t="shared" si="485"/>
        <v/>
      </c>
      <c r="AQ482" s="172" t="str">
        <f t="shared" si="485"/>
        <v/>
      </c>
      <c r="AR482" s="172" t="str">
        <f t="shared" si="485"/>
        <v/>
      </c>
      <c r="AS482" s="172" t="str">
        <f t="shared" si="485"/>
        <v/>
      </c>
      <c r="AT482" s="173">
        <f>IF(AT$6="","",IF(AT$3="Maior",iferror(VLOOKUP($R482,Capa!$A:$AJ,AT$5,0),0),IF(ISERROR(1/VLOOKUP($R482,Capa!$A:$AJ,AT$5,0)),0,1/VLOOKUP($R482,Capa!$A:$AJ,AT$5,0))))</f>
        <v>-1.132609722</v>
      </c>
      <c r="AU482" s="174">
        <f>IF(AU$6="","",IF(AU$3="Maior",iferror(VLOOKUP($R482,Capa!$A:$AJ,AU$5,0),0),IF(ISERROR(1/VLOOKUP($R482,Capa!$A:$AJ,AU$5,0)),0,1/VLOOKUP($R482,Capa!$A:$AJ,AU$5,0))))</f>
        <v>0</v>
      </c>
      <c r="AV482" s="174" t="str">
        <f>IF(AV$6="","",IF(AV$3="Maior",iferror(VLOOKUP($R482,Capa!$A:$AJ,AV$5,0),0),IF(ISERROR(1/VLOOKUP($R482,Capa!$A:$AJ,AV$5,0)),0,1/VLOOKUP($R482,Capa!$A:$AJ,AV$5,0))))</f>
        <v/>
      </c>
      <c r="AW482" s="174" t="str">
        <f>IF(AW$6="","",IF(AW$3="Maior",iferror(VLOOKUP($R482,Capa!$A:$AJ,AW$5,0),0),IF(ISERROR(1/VLOOKUP($R482,Capa!$A:$AJ,AW$5,0)),0,1/VLOOKUP($R482,Capa!$A:$AJ,AW$5,0))))</f>
        <v/>
      </c>
      <c r="AX482" s="174" t="str">
        <f>IF(AX$6="","",IF(AX$3="Maior",iferror(VLOOKUP($R482,Capa!$A:$AJ,AX$5,0),0),IF(ISERROR(1/VLOOKUP($R482,Capa!$A:$AJ,AX$5,0)),0,1/VLOOKUP($R482,Capa!$A:$AJ,AX$5,0))))</f>
        <v/>
      </c>
      <c r="AY482" s="174" t="str">
        <f>IF(AY$6="","",IF(AY$3="Maior",iferror(VLOOKUP($R482,Capa!$A:$AJ,AY$5,0),0),IF(ISERROR(1/VLOOKUP($R482,Capa!$A:$AJ,AY$5,0)),0,1/VLOOKUP($R482,Capa!$A:$AJ,AY$5,0))))</f>
        <v/>
      </c>
      <c r="AZ482" s="174" t="str">
        <f>IF(AZ$6="","",IF(AZ$3="Maior",iferror(VLOOKUP($R482,Capa!$A:$AJ,AZ$5,0),0),IF(ISERROR(1/VLOOKUP($R482,Capa!$A:$AJ,AZ$5,0)),0,1/VLOOKUP($R482,Capa!$A:$AJ,AZ$5,0))))</f>
        <v/>
      </c>
      <c r="BA482" s="174" t="str">
        <f>IF(BA$6="","",IF(BA$3="Maior",iferror(VLOOKUP($R482,Capa!$A:$AJ,BA$5,0),0),IF(ISERROR(1/VLOOKUP($R482,Capa!$A:$AJ,BA$5,0)),0,1/VLOOKUP($R482,Capa!$A:$AJ,BA$5,0))))</f>
        <v/>
      </c>
      <c r="BB482" s="174" t="str">
        <f>IF(BB$6="","",IF(BB$3="Maior",iferror(VLOOKUP($R482,Capa!$A:$AJ,BB$5,0),0),IF(ISERROR(1/VLOOKUP($R482,Capa!$A:$AJ,BB$5,0)),0,1/VLOOKUP($R482,Capa!$A:$AJ,BB$5,0))))</f>
        <v/>
      </c>
      <c r="BC482" s="174" t="str">
        <f>IF(BC$6="","",IF(BC$3="Maior",iferror(VLOOKUP($R482,Capa!$A:$AJ,BC$5,0),0),IF(ISERROR(1/VLOOKUP($R482,Capa!$A:$AJ,BC$5,0)),0,1/VLOOKUP($R482,Capa!$A:$AJ,BC$5,0))))</f>
        <v/>
      </c>
      <c r="BD482" s="174" t="str">
        <f>IF(BD$6="","",IF(BD$3="Maior",iferror(VLOOKUP($R482,Capa!$A:$AJ,BD$5,0),0),IF(ISERROR(1/VLOOKUP($R482,Capa!$A:$AJ,BD$5,0)),0,1/VLOOKUP($R482,Capa!$A:$AJ,BD$5,0))))</f>
        <v/>
      </c>
      <c r="BE482" s="174" t="str">
        <f>IF(BE$6="","",IF(BE$3="Maior",iferror(VLOOKUP($R482,Capa!$A:$AJ,BE$5,0),0),IF(ISERROR(1/VLOOKUP($R482,Capa!$A:$AJ,BE$5,0)),0,1/VLOOKUP($R482,Capa!$A:$AJ,BE$5,0))))</f>
        <v/>
      </c>
      <c r="BF482" s="174" t="str">
        <f>IF(BF$6="","",IF(BF$3="Maior",iferror(VLOOKUP($R482,Capa!$A:$AJ,BF$5,0),0),IF(ISERROR(1/VLOOKUP($R482,Capa!$A:$AJ,BF$5,0)),0,1/VLOOKUP($R482,Capa!$A:$AJ,BF$5,0))))</f>
        <v/>
      </c>
      <c r="BG482" s="174" t="str">
        <f>IF(BG$6="","",IF(BG$3="Maior",iferror(VLOOKUP($R482,Capa!$A:$AJ,BG$5,0),0),IF(ISERROR(1/VLOOKUP($R482,Capa!$A:$AJ,BG$5,0)),0,1/VLOOKUP($R482,Capa!$A:$AJ,BG$5,0))))</f>
        <v/>
      </c>
      <c r="BH482" s="174" t="str">
        <f>IF(BH$6="","",IF(BH$3="Maior",iferror(VLOOKUP($R482,Capa!$A:$AJ,BH$5,0),0),IF(ISERROR(1/VLOOKUP($R482,Capa!$A:$AJ,BH$5,0)),0,1/VLOOKUP($R482,Capa!$A:$AJ,BH$5,0))))</f>
        <v/>
      </c>
      <c r="BI482" s="174" t="str">
        <f>IF(BI$6="","",IF(BI$3="Maior",iferror(VLOOKUP($R482,Capa!$A:$AJ,BI$5,0),0),IF(ISERROR(1/VLOOKUP($R482,Capa!$A:$AJ,BI$5,0)),0,1/VLOOKUP($R482,Capa!$A:$AJ,BI$5,0))))</f>
        <v/>
      </c>
      <c r="BJ482" s="174" t="str">
        <f>IF(BJ$6="","",IF(BJ$3="Maior",iferror(VLOOKUP($R482,Capa!$A:$AJ,BJ$5,0),0),IF(ISERROR(1/VLOOKUP($R482,Capa!$A:$AJ,BJ$5,0)),0,1/VLOOKUP($R482,Capa!$A:$AJ,BJ$5,0))))</f>
        <v/>
      </c>
      <c r="BK482" s="174" t="str">
        <f>IF(BK$6="","",IF(BK$3="Maior",iferror(VLOOKUP($R482,Capa!$A:$AJ,BK$5,0),0),IF(ISERROR(1/VLOOKUP($R482,Capa!$A:$AJ,BK$5,0)),0,1/VLOOKUP($R482,Capa!$A:$AJ,BK$5,0))))</f>
        <v/>
      </c>
      <c r="BL482" s="174" t="str">
        <f>IF(BL$6="","",IF(BL$3="Maior",iferror(VLOOKUP($R482,Capa!$A:$AJ,BL$5,0),0),IF(ISERROR(1/VLOOKUP($R482,Capa!$A:$AJ,BL$5,0)),0,1/VLOOKUP($R482,Capa!$A:$AJ,BL$5,0))))</f>
        <v/>
      </c>
      <c r="BM482" s="174" t="str">
        <f>IF(BM$6="","",IF(BM$3="Maior",iferror(VLOOKUP($R482,Capa!$A:$AJ,BM$5,0),0),IF(ISERROR(1/VLOOKUP($R482,Capa!$A:$AJ,BM$5,0)),0,1/VLOOKUP($R482,Capa!$A:$AJ,BM$5,0))))</f>
        <v/>
      </c>
      <c r="BN482" s="174" t="str">
        <f>IF(BN$6="","",IF(BN$3="Maior",iferror(VLOOKUP($R482,Capa!$A:$AJ,BN$5,0),0),IF(ISERROR(1/VLOOKUP($R482,Capa!$A:$AJ,BN$5,0)),0,1/VLOOKUP($R482,Capa!$A:$AJ,BN$5,0))))</f>
        <v/>
      </c>
      <c r="BO482" s="174" t="str">
        <f>IF(BO$6="","",IF(BO$3="Maior",iferror(VLOOKUP($R482,Capa!$A:$AJ,BO$5,0),0),IF(ISERROR(1/VLOOKUP($R482,Capa!$A:$AJ,BO$5,0)),0,1/VLOOKUP($R482,Capa!$A:$AJ,BO$5,0))))</f>
        <v/>
      </c>
      <c r="BP482" s="174" t="str">
        <f>IF(BP$6="","",IF(BP$3="Maior",iferror(VLOOKUP($R482,Capa!$A:$AJ,BP$5,0),0),IF(ISERROR(1/VLOOKUP($R482,Capa!$A:$AJ,BP$5,0)),0,1/VLOOKUP($R482,Capa!$A:$AJ,BP$5,0))))</f>
        <v/>
      </c>
      <c r="BQ482" s="174" t="str">
        <f>IF(BQ$6="","",IF(BQ$3="Maior",iferror(VLOOKUP($R482,Capa!$A:$AJ,BQ$5,0),0),IF(ISERROR(1/VLOOKUP($R482,Capa!$A:$AJ,BQ$5,0)),0,1/VLOOKUP($R482,Capa!$A:$AJ,BQ$5,0))))</f>
        <v/>
      </c>
      <c r="BR482" s="175"/>
      <c r="BS482" s="147"/>
    </row>
    <row r="483">
      <c r="H483" s="8">
        <v>477.0</v>
      </c>
      <c r="I483" s="165" t="str">
        <f t="shared" si="6"/>
        <v>BTTL4</v>
      </c>
      <c r="J483" s="166" t="str">
        <f>(VLOOKUP($I483,Capa!$A:$B,2,0))</f>
        <v/>
      </c>
      <c r="K483" s="167" t="str">
        <f>VLOOKUP(left(I483,4),Setor!A:D,3,0)&amp;" | "&amp;VLOOKUP(left(I483,4),Setor!A:D,4,0)</f>
        <v>Bens Industriais | Comércio</v>
      </c>
      <c r="L483" s="168" t="str">
        <f>(VLOOKUP($I483,Capa!$A:$F,6,0))</f>
        <v/>
      </c>
      <c r="M483" s="168">
        <f t="shared" si="7"/>
        <v>0</v>
      </c>
      <c r="N483" s="11" t="str">
        <f>(VLOOKUP($I483,Capa!$A:$H,7,0))</f>
        <v/>
      </c>
      <c r="O483" s="169" t="str">
        <f>(VLOOKUP($I483,Capa!$A:$H,8,0))</f>
        <v/>
      </c>
      <c r="P483" s="11" t="str">
        <f>(VLOOKUP($I483,Capa!$A:$J,10,0))</f>
        <v/>
      </c>
      <c r="Q483" s="169" t="str">
        <f>(VLOOKUP($I483,Capa!$A:$K,11,0))</f>
        <v/>
      </c>
      <c r="R483" s="45" t="str">
        <f>'Dados StatusInvest'!A478</f>
        <v>QUAL3</v>
      </c>
      <c r="S483" s="170">
        <f t="shared" si="234"/>
        <v>1170.117</v>
      </c>
      <c r="T483" s="171">
        <f>VLOOKUP(R483,'Dados StatusInvest'!A:Z,26,0)</f>
        <v>8377166</v>
      </c>
      <c r="U483" s="172">
        <f t="shared" ref="U483:AS483" si="486">IF(AT483="","", RANK(AT483,AT$7:AT$626,0)+RANK(AT483,AT$7:AT$626,0)/10000)</f>
        <v>550.055</v>
      </c>
      <c r="V483" s="172">
        <f t="shared" si="486"/>
        <v>620.062</v>
      </c>
      <c r="W483" s="172" t="str">
        <f t="shared" si="486"/>
        <v/>
      </c>
      <c r="X483" s="172" t="str">
        <f t="shared" si="486"/>
        <v/>
      </c>
      <c r="Y483" s="172" t="str">
        <f t="shared" si="486"/>
        <v/>
      </c>
      <c r="Z483" s="172" t="str">
        <f t="shared" si="486"/>
        <v/>
      </c>
      <c r="AA483" s="172" t="str">
        <f t="shared" si="486"/>
        <v/>
      </c>
      <c r="AB483" s="172" t="str">
        <f t="shared" si="486"/>
        <v/>
      </c>
      <c r="AC483" s="172" t="str">
        <f t="shared" si="486"/>
        <v/>
      </c>
      <c r="AD483" s="172" t="str">
        <f t="shared" si="486"/>
        <v/>
      </c>
      <c r="AE483" s="172" t="str">
        <f t="shared" si="486"/>
        <v/>
      </c>
      <c r="AF483" s="172" t="str">
        <f t="shared" si="486"/>
        <v/>
      </c>
      <c r="AG483" s="172" t="str">
        <f t="shared" si="486"/>
        <v/>
      </c>
      <c r="AH483" s="172" t="str">
        <f t="shared" si="486"/>
        <v/>
      </c>
      <c r="AI483" s="172" t="str">
        <f t="shared" si="486"/>
        <v/>
      </c>
      <c r="AJ483" s="172" t="str">
        <f t="shared" si="486"/>
        <v/>
      </c>
      <c r="AK483" s="172" t="str">
        <f t="shared" si="486"/>
        <v/>
      </c>
      <c r="AL483" s="172" t="str">
        <f t="shared" si="486"/>
        <v/>
      </c>
      <c r="AM483" s="172" t="str">
        <f t="shared" si="486"/>
        <v/>
      </c>
      <c r="AN483" s="172" t="str">
        <f t="shared" si="486"/>
        <v/>
      </c>
      <c r="AO483" s="172" t="str">
        <f t="shared" si="486"/>
        <v/>
      </c>
      <c r="AP483" s="172" t="str">
        <f t="shared" si="486"/>
        <v/>
      </c>
      <c r="AQ483" s="172" t="str">
        <f t="shared" si="486"/>
        <v/>
      </c>
      <c r="AR483" s="172" t="str">
        <f t="shared" si="486"/>
        <v/>
      </c>
      <c r="AS483" s="172" t="str">
        <f t="shared" si="486"/>
        <v/>
      </c>
      <c r="AT483" s="173">
        <f>IF(AT$6="","",IF(AT$3="Maior",iferror(VLOOKUP($R483,Capa!$A:$AJ,AT$5,0),0),IF(ISERROR(1/VLOOKUP($R483,Capa!$A:$AJ,AT$5,0)),0,1/VLOOKUP($R483,Capa!$A:$AJ,AT$5,0))))</f>
        <v>-5.812387792</v>
      </c>
      <c r="AU483" s="174">
        <f>IF(AU$6="","",IF(AU$3="Maior",iferror(VLOOKUP($R483,Capa!$A:$AJ,AU$5,0),0),IF(ISERROR(1/VLOOKUP($R483,Capa!$A:$AJ,AU$5,0)),0,1/VLOOKUP($R483,Capa!$A:$AJ,AU$5,0))))</f>
        <v>-52.24</v>
      </c>
      <c r="AV483" s="174" t="str">
        <f>IF(AV$6="","",IF(AV$3="Maior",iferror(VLOOKUP($R483,Capa!$A:$AJ,AV$5,0),0),IF(ISERROR(1/VLOOKUP($R483,Capa!$A:$AJ,AV$5,0)),0,1/VLOOKUP($R483,Capa!$A:$AJ,AV$5,0))))</f>
        <v/>
      </c>
      <c r="AW483" s="174" t="str">
        <f>IF(AW$6="","",IF(AW$3="Maior",iferror(VLOOKUP($R483,Capa!$A:$AJ,AW$5,0),0),IF(ISERROR(1/VLOOKUP($R483,Capa!$A:$AJ,AW$5,0)),0,1/VLOOKUP($R483,Capa!$A:$AJ,AW$5,0))))</f>
        <v/>
      </c>
      <c r="AX483" s="174" t="str">
        <f>IF(AX$6="","",IF(AX$3="Maior",iferror(VLOOKUP($R483,Capa!$A:$AJ,AX$5,0),0),IF(ISERROR(1/VLOOKUP($R483,Capa!$A:$AJ,AX$5,0)),0,1/VLOOKUP($R483,Capa!$A:$AJ,AX$5,0))))</f>
        <v/>
      </c>
      <c r="AY483" s="174" t="str">
        <f>IF(AY$6="","",IF(AY$3="Maior",iferror(VLOOKUP($R483,Capa!$A:$AJ,AY$5,0),0),IF(ISERROR(1/VLOOKUP($R483,Capa!$A:$AJ,AY$5,0)),0,1/VLOOKUP($R483,Capa!$A:$AJ,AY$5,0))))</f>
        <v/>
      </c>
      <c r="AZ483" s="174" t="str">
        <f>IF(AZ$6="","",IF(AZ$3="Maior",iferror(VLOOKUP($R483,Capa!$A:$AJ,AZ$5,0),0),IF(ISERROR(1/VLOOKUP($R483,Capa!$A:$AJ,AZ$5,0)),0,1/VLOOKUP($R483,Capa!$A:$AJ,AZ$5,0))))</f>
        <v/>
      </c>
      <c r="BA483" s="174" t="str">
        <f>IF(BA$6="","",IF(BA$3="Maior",iferror(VLOOKUP($R483,Capa!$A:$AJ,BA$5,0),0),IF(ISERROR(1/VLOOKUP($R483,Capa!$A:$AJ,BA$5,0)),0,1/VLOOKUP($R483,Capa!$A:$AJ,BA$5,0))))</f>
        <v/>
      </c>
      <c r="BB483" s="174" t="str">
        <f>IF(BB$6="","",IF(BB$3="Maior",iferror(VLOOKUP($R483,Capa!$A:$AJ,BB$5,0),0),IF(ISERROR(1/VLOOKUP($R483,Capa!$A:$AJ,BB$5,0)),0,1/VLOOKUP($R483,Capa!$A:$AJ,BB$5,0))))</f>
        <v/>
      </c>
      <c r="BC483" s="174" t="str">
        <f>IF(BC$6="","",IF(BC$3="Maior",iferror(VLOOKUP($R483,Capa!$A:$AJ,BC$5,0),0),IF(ISERROR(1/VLOOKUP($R483,Capa!$A:$AJ,BC$5,0)),0,1/VLOOKUP($R483,Capa!$A:$AJ,BC$5,0))))</f>
        <v/>
      </c>
      <c r="BD483" s="174" t="str">
        <f>IF(BD$6="","",IF(BD$3="Maior",iferror(VLOOKUP($R483,Capa!$A:$AJ,BD$5,0),0),IF(ISERROR(1/VLOOKUP($R483,Capa!$A:$AJ,BD$5,0)),0,1/VLOOKUP($R483,Capa!$A:$AJ,BD$5,0))))</f>
        <v/>
      </c>
      <c r="BE483" s="174" t="str">
        <f>IF(BE$6="","",IF(BE$3="Maior",iferror(VLOOKUP($R483,Capa!$A:$AJ,BE$5,0),0),IF(ISERROR(1/VLOOKUP($R483,Capa!$A:$AJ,BE$5,0)),0,1/VLOOKUP($R483,Capa!$A:$AJ,BE$5,0))))</f>
        <v/>
      </c>
      <c r="BF483" s="174" t="str">
        <f>IF(BF$6="","",IF(BF$3="Maior",iferror(VLOOKUP($R483,Capa!$A:$AJ,BF$5,0),0),IF(ISERROR(1/VLOOKUP($R483,Capa!$A:$AJ,BF$5,0)),0,1/VLOOKUP($R483,Capa!$A:$AJ,BF$5,0))))</f>
        <v/>
      </c>
      <c r="BG483" s="174" t="str">
        <f>IF(BG$6="","",IF(BG$3="Maior",iferror(VLOOKUP($R483,Capa!$A:$AJ,BG$5,0),0),IF(ISERROR(1/VLOOKUP($R483,Capa!$A:$AJ,BG$5,0)),0,1/VLOOKUP($R483,Capa!$A:$AJ,BG$5,0))))</f>
        <v/>
      </c>
      <c r="BH483" s="174" t="str">
        <f>IF(BH$6="","",IF(BH$3="Maior",iferror(VLOOKUP($R483,Capa!$A:$AJ,BH$5,0),0),IF(ISERROR(1/VLOOKUP($R483,Capa!$A:$AJ,BH$5,0)),0,1/VLOOKUP($R483,Capa!$A:$AJ,BH$5,0))))</f>
        <v/>
      </c>
      <c r="BI483" s="174" t="str">
        <f>IF(BI$6="","",IF(BI$3="Maior",iferror(VLOOKUP($R483,Capa!$A:$AJ,BI$5,0),0),IF(ISERROR(1/VLOOKUP($R483,Capa!$A:$AJ,BI$5,0)),0,1/VLOOKUP($R483,Capa!$A:$AJ,BI$5,0))))</f>
        <v/>
      </c>
      <c r="BJ483" s="174" t="str">
        <f>IF(BJ$6="","",IF(BJ$3="Maior",iferror(VLOOKUP($R483,Capa!$A:$AJ,BJ$5,0),0),IF(ISERROR(1/VLOOKUP($R483,Capa!$A:$AJ,BJ$5,0)),0,1/VLOOKUP($R483,Capa!$A:$AJ,BJ$5,0))))</f>
        <v/>
      </c>
      <c r="BK483" s="174" t="str">
        <f>IF(BK$6="","",IF(BK$3="Maior",iferror(VLOOKUP($R483,Capa!$A:$AJ,BK$5,0),0),IF(ISERROR(1/VLOOKUP($R483,Capa!$A:$AJ,BK$5,0)),0,1/VLOOKUP($R483,Capa!$A:$AJ,BK$5,0))))</f>
        <v/>
      </c>
      <c r="BL483" s="174" t="str">
        <f>IF(BL$6="","",IF(BL$3="Maior",iferror(VLOOKUP($R483,Capa!$A:$AJ,BL$5,0),0),IF(ISERROR(1/VLOOKUP($R483,Capa!$A:$AJ,BL$5,0)),0,1/VLOOKUP($R483,Capa!$A:$AJ,BL$5,0))))</f>
        <v/>
      </c>
      <c r="BM483" s="174" t="str">
        <f>IF(BM$6="","",IF(BM$3="Maior",iferror(VLOOKUP($R483,Capa!$A:$AJ,BM$5,0),0),IF(ISERROR(1/VLOOKUP($R483,Capa!$A:$AJ,BM$5,0)),0,1/VLOOKUP($R483,Capa!$A:$AJ,BM$5,0))))</f>
        <v/>
      </c>
      <c r="BN483" s="174" t="str">
        <f>IF(BN$6="","",IF(BN$3="Maior",iferror(VLOOKUP($R483,Capa!$A:$AJ,BN$5,0),0),IF(ISERROR(1/VLOOKUP($R483,Capa!$A:$AJ,BN$5,0)),0,1/VLOOKUP($R483,Capa!$A:$AJ,BN$5,0))))</f>
        <v/>
      </c>
      <c r="BO483" s="174" t="str">
        <f>IF(BO$6="","",IF(BO$3="Maior",iferror(VLOOKUP($R483,Capa!$A:$AJ,BO$5,0),0),IF(ISERROR(1/VLOOKUP($R483,Capa!$A:$AJ,BO$5,0)),0,1/VLOOKUP($R483,Capa!$A:$AJ,BO$5,0))))</f>
        <v/>
      </c>
      <c r="BP483" s="174" t="str">
        <f>IF(BP$6="","",IF(BP$3="Maior",iferror(VLOOKUP($R483,Capa!$A:$AJ,BP$5,0),0),IF(ISERROR(1/VLOOKUP($R483,Capa!$A:$AJ,BP$5,0)),0,1/VLOOKUP($R483,Capa!$A:$AJ,BP$5,0))))</f>
        <v/>
      </c>
      <c r="BQ483" s="174" t="str">
        <f>IF(BQ$6="","",IF(BQ$3="Maior",iferror(VLOOKUP($R483,Capa!$A:$AJ,BQ$5,0),0),IF(ISERROR(1/VLOOKUP($R483,Capa!$A:$AJ,BQ$5,0)),0,1/VLOOKUP($R483,Capa!$A:$AJ,BQ$5,0))))</f>
        <v/>
      </c>
      <c r="BR483" s="175"/>
      <c r="BS483" s="147"/>
    </row>
    <row r="484">
      <c r="H484" s="8">
        <v>478.0</v>
      </c>
      <c r="I484" s="165" t="str">
        <f t="shared" si="6"/>
        <v>CORR4</v>
      </c>
      <c r="J484" s="166" t="str">
        <f>(VLOOKUP($I484,Capa!$A:$B,2,0))</f>
        <v/>
      </c>
      <c r="K484" s="167" t="str">
        <f>VLOOKUP(left(I484,4),Setor!A:D,3,0)&amp;" | "&amp;VLOOKUP(left(I484,4),Setor!A:D,4,0)</f>
        <v>Financeiro | Exploração de Imóveis</v>
      </c>
      <c r="L484" s="168" t="str">
        <f>(VLOOKUP($I484,Capa!$A:$F,6,0))</f>
        <v/>
      </c>
      <c r="M484" s="168">
        <f t="shared" si="7"/>
        <v>0</v>
      </c>
      <c r="N484" s="11" t="str">
        <f>(VLOOKUP($I484,Capa!$A:$H,7,0))</f>
        <v/>
      </c>
      <c r="O484" s="169" t="str">
        <f>(VLOOKUP($I484,Capa!$A:$H,8,0))</f>
        <v/>
      </c>
      <c r="P484" s="11" t="str">
        <f>(VLOOKUP($I484,Capa!$A:$J,10,0))</f>
        <v/>
      </c>
      <c r="Q484" s="169" t="str">
        <f>(VLOOKUP($I484,Capa!$A:$K,11,0))</f>
        <v/>
      </c>
      <c r="R484" s="45" t="str">
        <f>'Dados StatusInvest'!A479</f>
        <v>QUSW3</v>
      </c>
      <c r="S484" s="170">
        <f t="shared" si="234"/>
        <v>1063.0063</v>
      </c>
      <c r="T484" s="171">
        <f>VLOOKUP(R484,'Dados StatusInvest'!A:Z,26,0)</f>
        <v>0</v>
      </c>
      <c r="U484" s="172">
        <f t="shared" ref="U484:AS484" si="487">IF(AT484="","", RANK(AT484,AT$7:AT$626,0)+RANK(AT484,AT$7:AT$626,0)/10000)</f>
        <v>51.0051</v>
      </c>
      <c r="V484" s="172">
        <f t="shared" si="487"/>
        <v>12.0012</v>
      </c>
      <c r="W484" s="172" t="str">
        <f t="shared" si="487"/>
        <v/>
      </c>
      <c r="X484" s="172" t="str">
        <f t="shared" si="487"/>
        <v/>
      </c>
      <c r="Y484" s="172" t="str">
        <f t="shared" si="487"/>
        <v/>
      </c>
      <c r="Z484" s="172" t="str">
        <f t="shared" si="487"/>
        <v/>
      </c>
      <c r="AA484" s="172" t="str">
        <f t="shared" si="487"/>
        <v/>
      </c>
      <c r="AB484" s="172" t="str">
        <f t="shared" si="487"/>
        <v/>
      </c>
      <c r="AC484" s="172" t="str">
        <f t="shared" si="487"/>
        <v/>
      </c>
      <c r="AD484" s="172" t="str">
        <f t="shared" si="487"/>
        <v/>
      </c>
      <c r="AE484" s="172" t="str">
        <f t="shared" si="487"/>
        <v/>
      </c>
      <c r="AF484" s="172" t="str">
        <f t="shared" si="487"/>
        <v/>
      </c>
      <c r="AG484" s="172" t="str">
        <f t="shared" si="487"/>
        <v/>
      </c>
      <c r="AH484" s="172" t="str">
        <f t="shared" si="487"/>
        <v/>
      </c>
      <c r="AI484" s="172" t="str">
        <f t="shared" si="487"/>
        <v/>
      </c>
      <c r="AJ484" s="172" t="str">
        <f t="shared" si="487"/>
        <v/>
      </c>
      <c r="AK484" s="172" t="str">
        <f t="shared" si="487"/>
        <v/>
      </c>
      <c r="AL484" s="172" t="str">
        <f t="shared" si="487"/>
        <v/>
      </c>
      <c r="AM484" s="172" t="str">
        <f t="shared" si="487"/>
        <v/>
      </c>
      <c r="AN484" s="172" t="str">
        <f t="shared" si="487"/>
        <v/>
      </c>
      <c r="AO484" s="172" t="str">
        <f t="shared" si="487"/>
        <v/>
      </c>
      <c r="AP484" s="172" t="str">
        <f t="shared" si="487"/>
        <v/>
      </c>
      <c r="AQ484" s="172" t="str">
        <f t="shared" si="487"/>
        <v/>
      </c>
      <c r="AR484" s="172" t="str">
        <f t="shared" si="487"/>
        <v/>
      </c>
      <c r="AS484" s="172" t="str">
        <f t="shared" si="487"/>
        <v/>
      </c>
      <c r="AT484" s="173">
        <f>IF(AT$6="","",IF(AT$3="Maior",iferror(VLOOKUP($R484,Capa!$A:$AJ,AT$5,0),0),IF(ISERROR(1/VLOOKUP($R484,Capa!$A:$AJ,AT$5,0)),0,1/VLOOKUP($R484,Capa!$A:$AJ,AT$5,0))))</f>
        <v>0</v>
      </c>
      <c r="AU484" s="174">
        <f>IF(AU$6="","",IF(AU$3="Maior",iferror(VLOOKUP($R484,Capa!$A:$AJ,AU$5,0),0),IF(ISERROR(1/VLOOKUP($R484,Capa!$A:$AJ,AU$5,0)),0,1/VLOOKUP($R484,Capa!$A:$AJ,AU$5,0))))</f>
        <v>66.13</v>
      </c>
      <c r="AV484" s="174" t="str">
        <f>IF(AV$6="","",IF(AV$3="Maior",iferror(VLOOKUP($R484,Capa!$A:$AJ,AV$5,0),0),IF(ISERROR(1/VLOOKUP($R484,Capa!$A:$AJ,AV$5,0)),0,1/VLOOKUP($R484,Capa!$A:$AJ,AV$5,0))))</f>
        <v/>
      </c>
      <c r="AW484" s="174" t="str">
        <f>IF(AW$6="","",IF(AW$3="Maior",iferror(VLOOKUP($R484,Capa!$A:$AJ,AW$5,0),0),IF(ISERROR(1/VLOOKUP($R484,Capa!$A:$AJ,AW$5,0)),0,1/VLOOKUP($R484,Capa!$A:$AJ,AW$5,0))))</f>
        <v/>
      </c>
      <c r="AX484" s="174" t="str">
        <f>IF(AX$6="","",IF(AX$3="Maior",iferror(VLOOKUP($R484,Capa!$A:$AJ,AX$5,0),0),IF(ISERROR(1/VLOOKUP($R484,Capa!$A:$AJ,AX$5,0)),0,1/VLOOKUP($R484,Capa!$A:$AJ,AX$5,0))))</f>
        <v/>
      </c>
      <c r="AY484" s="174" t="str">
        <f>IF(AY$6="","",IF(AY$3="Maior",iferror(VLOOKUP($R484,Capa!$A:$AJ,AY$5,0),0),IF(ISERROR(1/VLOOKUP($R484,Capa!$A:$AJ,AY$5,0)),0,1/VLOOKUP($R484,Capa!$A:$AJ,AY$5,0))))</f>
        <v/>
      </c>
      <c r="AZ484" s="174" t="str">
        <f>IF(AZ$6="","",IF(AZ$3="Maior",iferror(VLOOKUP($R484,Capa!$A:$AJ,AZ$5,0),0),IF(ISERROR(1/VLOOKUP($R484,Capa!$A:$AJ,AZ$5,0)),0,1/VLOOKUP($R484,Capa!$A:$AJ,AZ$5,0))))</f>
        <v/>
      </c>
      <c r="BA484" s="174" t="str">
        <f>IF(BA$6="","",IF(BA$3="Maior",iferror(VLOOKUP($R484,Capa!$A:$AJ,BA$5,0),0),IF(ISERROR(1/VLOOKUP($R484,Capa!$A:$AJ,BA$5,0)),0,1/VLOOKUP($R484,Capa!$A:$AJ,BA$5,0))))</f>
        <v/>
      </c>
      <c r="BB484" s="174" t="str">
        <f>IF(BB$6="","",IF(BB$3="Maior",iferror(VLOOKUP($R484,Capa!$A:$AJ,BB$5,0),0),IF(ISERROR(1/VLOOKUP($R484,Capa!$A:$AJ,BB$5,0)),0,1/VLOOKUP($R484,Capa!$A:$AJ,BB$5,0))))</f>
        <v/>
      </c>
      <c r="BC484" s="174" t="str">
        <f>IF(BC$6="","",IF(BC$3="Maior",iferror(VLOOKUP($R484,Capa!$A:$AJ,BC$5,0),0),IF(ISERROR(1/VLOOKUP($R484,Capa!$A:$AJ,BC$5,0)),0,1/VLOOKUP($R484,Capa!$A:$AJ,BC$5,0))))</f>
        <v/>
      </c>
      <c r="BD484" s="174" t="str">
        <f>IF(BD$6="","",IF(BD$3="Maior",iferror(VLOOKUP($R484,Capa!$A:$AJ,BD$5,0),0),IF(ISERROR(1/VLOOKUP($R484,Capa!$A:$AJ,BD$5,0)),0,1/VLOOKUP($R484,Capa!$A:$AJ,BD$5,0))))</f>
        <v/>
      </c>
      <c r="BE484" s="174" t="str">
        <f>IF(BE$6="","",IF(BE$3="Maior",iferror(VLOOKUP($R484,Capa!$A:$AJ,BE$5,0),0),IF(ISERROR(1/VLOOKUP($R484,Capa!$A:$AJ,BE$5,0)),0,1/VLOOKUP($R484,Capa!$A:$AJ,BE$5,0))))</f>
        <v/>
      </c>
      <c r="BF484" s="174" t="str">
        <f>IF(BF$6="","",IF(BF$3="Maior",iferror(VLOOKUP($R484,Capa!$A:$AJ,BF$5,0),0),IF(ISERROR(1/VLOOKUP($R484,Capa!$A:$AJ,BF$5,0)),0,1/VLOOKUP($R484,Capa!$A:$AJ,BF$5,0))))</f>
        <v/>
      </c>
      <c r="BG484" s="174" t="str">
        <f>IF(BG$6="","",IF(BG$3="Maior",iferror(VLOOKUP($R484,Capa!$A:$AJ,BG$5,0),0),IF(ISERROR(1/VLOOKUP($R484,Capa!$A:$AJ,BG$5,0)),0,1/VLOOKUP($R484,Capa!$A:$AJ,BG$5,0))))</f>
        <v/>
      </c>
      <c r="BH484" s="174" t="str">
        <f>IF(BH$6="","",IF(BH$3="Maior",iferror(VLOOKUP($R484,Capa!$A:$AJ,BH$5,0),0),IF(ISERROR(1/VLOOKUP($R484,Capa!$A:$AJ,BH$5,0)),0,1/VLOOKUP($R484,Capa!$A:$AJ,BH$5,0))))</f>
        <v/>
      </c>
      <c r="BI484" s="174" t="str">
        <f>IF(BI$6="","",IF(BI$3="Maior",iferror(VLOOKUP($R484,Capa!$A:$AJ,BI$5,0),0),IF(ISERROR(1/VLOOKUP($R484,Capa!$A:$AJ,BI$5,0)),0,1/VLOOKUP($R484,Capa!$A:$AJ,BI$5,0))))</f>
        <v/>
      </c>
      <c r="BJ484" s="174" t="str">
        <f>IF(BJ$6="","",IF(BJ$3="Maior",iferror(VLOOKUP($R484,Capa!$A:$AJ,BJ$5,0),0),IF(ISERROR(1/VLOOKUP($R484,Capa!$A:$AJ,BJ$5,0)),0,1/VLOOKUP($R484,Capa!$A:$AJ,BJ$5,0))))</f>
        <v/>
      </c>
      <c r="BK484" s="174" t="str">
        <f>IF(BK$6="","",IF(BK$3="Maior",iferror(VLOOKUP($R484,Capa!$A:$AJ,BK$5,0),0),IF(ISERROR(1/VLOOKUP($R484,Capa!$A:$AJ,BK$5,0)),0,1/VLOOKUP($R484,Capa!$A:$AJ,BK$5,0))))</f>
        <v/>
      </c>
      <c r="BL484" s="174" t="str">
        <f>IF(BL$6="","",IF(BL$3="Maior",iferror(VLOOKUP($R484,Capa!$A:$AJ,BL$5,0),0),IF(ISERROR(1/VLOOKUP($R484,Capa!$A:$AJ,BL$5,0)),0,1/VLOOKUP($R484,Capa!$A:$AJ,BL$5,0))))</f>
        <v/>
      </c>
      <c r="BM484" s="174" t="str">
        <f>IF(BM$6="","",IF(BM$3="Maior",iferror(VLOOKUP($R484,Capa!$A:$AJ,BM$5,0),0),IF(ISERROR(1/VLOOKUP($R484,Capa!$A:$AJ,BM$5,0)),0,1/VLOOKUP($R484,Capa!$A:$AJ,BM$5,0))))</f>
        <v/>
      </c>
      <c r="BN484" s="174" t="str">
        <f>IF(BN$6="","",IF(BN$3="Maior",iferror(VLOOKUP($R484,Capa!$A:$AJ,BN$5,0),0),IF(ISERROR(1/VLOOKUP($R484,Capa!$A:$AJ,BN$5,0)),0,1/VLOOKUP($R484,Capa!$A:$AJ,BN$5,0))))</f>
        <v/>
      </c>
      <c r="BO484" s="174" t="str">
        <f>IF(BO$6="","",IF(BO$3="Maior",iferror(VLOOKUP($R484,Capa!$A:$AJ,BO$5,0),0),IF(ISERROR(1/VLOOKUP($R484,Capa!$A:$AJ,BO$5,0)),0,1/VLOOKUP($R484,Capa!$A:$AJ,BO$5,0))))</f>
        <v/>
      </c>
      <c r="BP484" s="174" t="str">
        <f>IF(BP$6="","",IF(BP$3="Maior",iferror(VLOOKUP($R484,Capa!$A:$AJ,BP$5,0),0),IF(ISERROR(1/VLOOKUP($R484,Capa!$A:$AJ,BP$5,0)),0,1/VLOOKUP($R484,Capa!$A:$AJ,BP$5,0))))</f>
        <v/>
      </c>
      <c r="BQ484" s="174" t="str">
        <f>IF(BQ$6="","",IF(BQ$3="Maior",iferror(VLOOKUP($R484,Capa!$A:$AJ,BQ$5,0),0),IF(ISERROR(1/VLOOKUP($R484,Capa!$A:$AJ,BQ$5,0)),0,1/VLOOKUP($R484,Capa!$A:$AJ,BQ$5,0))))</f>
        <v/>
      </c>
      <c r="BR484" s="175"/>
      <c r="BS484" s="147"/>
    </row>
    <row r="485">
      <c r="H485" s="8">
        <v>479.0</v>
      </c>
      <c r="I485" s="165" t="str">
        <f t="shared" si="6"/>
        <v>CESP3</v>
      </c>
      <c r="J485" s="166" t="str">
        <f>(VLOOKUP($I485,Capa!$A:$B,2,0))</f>
        <v/>
      </c>
      <c r="K485" s="167" t="str">
        <f>VLOOKUP(left(I485,4),Setor!A:D,3,0)&amp;" | "&amp;VLOOKUP(left(I485,4),Setor!A:D,4,0)</f>
        <v>Utilidade Pública | Energia Elétrica</v>
      </c>
      <c r="L485" s="168" t="str">
        <f>(VLOOKUP($I485,Capa!$A:$F,6,0))</f>
        <v/>
      </c>
      <c r="M485" s="168">
        <f t="shared" si="7"/>
        <v>0</v>
      </c>
      <c r="N485" s="11" t="str">
        <f>(VLOOKUP($I485,Capa!$A:$H,7,0))</f>
        <v/>
      </c>
      <c r="O485" s="169" t="str">
        <f>(VLOOKUP($I485,Capa!$A:$H,8,0))</f>
        <v/>
      </c>
      <c r="P485" s="11" t="str">
        <f>(VLOOKUP($I485,Capa!$A:$J,10,0))</f>
        <v/>
      </c>
      <c r="Q485" s="169" t="str">
        <f>(VLOOKUP($I485,Capa!$A:$K,11,0))</f>
        <v/>
      </c>
      <c r="R485" s="45" t="str">
        <f>'Dados StatusInvest'!A480</f>
        <v>QVQP3B</v>
      </c>
      <c r="S485" s="170">
        <f t="shared" si="234"/>
        <v>1371.0371</v>
      </c>
      <c r="T485" s="171">
        <f>VLOOKUP(R485,'Dados StatusInvest'!A:Z,26,0)</f>
        <v>0</v>
      </c>
      <c r="U485" s="172">
        <f t="shared" ref="U485:AS485" si="488">IF(AT485="","", RANK(AT485,AT$7:AT$626,0)+RANK(AT485,AT$7:AT$626,0)/10000)</f>
        <v>104.0104</v>
      </c>
      <c r="V485" s="172">
        <f t="shared" si="488"/>
        <v>267.0267</v>
      </c>
      <c r="W485" s="172" t="str">
        <f t="shared" si="488"/>
        <v/>
      </c>
      <c r="X485" s="172" t="str">
        <f t="shared" si="488"/>
        <v/>
      </c>
      <c r="Y485" s="172" t="str">
        <f t="shared" si="488"/>
        <v/>
      </c>
      <c r="Z485" s="172" t="str">
        <f t="shared" si="488"/>
        <v/>
      </c>
      <c r="AA485" s="172" t="str">
        <f t="shared" si="488"/>
        <v/>
      </c>
      <c r="AB485" s="172" t="str">
        <f t="shared" si="488"/>
        <v/>
      </c>
      <c r="AC485" s="172" t="str">
        <f t="shared" si="488"/>
        <v/>
      </c>
      <c r="AD485" s="172" t="str">
        <f t="shared" si="488"/>
        <v/>
      </c>
      <c r="AE485" s="172" t="str">
        <f t="shared" si="488"/>
        <v/>
      </c>
      <c r="AF485" s="172" t="str">
        <f t="shared" si="488"/>
        <v/>
      </c>
      <c r="AG485" s="172" t="str">
        <f t="shared" si="488"/>
        <v/>
      </c>
      <c r="AH485" s="172" t="str">
        <f t="shared" si="488"/>
        <v/>
      </c>
      <c r="AI485" s="172" t="str">
        <f t="shared" si="488"/>
        <v/>
      </c>
      <c r="AJ485" s="172" t="str">
        <f t="shared" si="488"/>
        <v/>
      </c>
      <c r="AK485" s="172" t="str">
        <f t="shared" si="488"/>
        <v/>
      </c>
      <c r="AL485" s="172" t="str">
        <f t="shared" si="488"/>
        <v/>
      </c>
      <c r="AM485" s="172" t="str">
        <f t="shared" si="488"/>
        <v/>
      </c>
      <c r="AN485" s="172" t="str">
        <f t="shared" si="488"/>
        <v/>
      </c>
      <c r="AO485" s="172" t="str">
        <f t="shared" si="488"/>
        <v/>
      </c>
      <c r="AP485" s="172" t="str">
        <f t="shared" si="488"/>
        <v/>
      </c>
      <c r="AQ485" s="172" t="str">
        <f t="shared" si="488"/>
        <v/>
      </c>
      <c r="AR485" s="172" t="str">
        <f t="shared" si="488"/>
        <v/>
      </c>
      <c r="AS485" s="172" t="str">
        <f t="shared" si="488"/>
        <v/>
      </c>
      <c r="AT485" s="173">
        <f>IF(AT$6="","",IF(AT$3="Maior",iferror(VLOOKUP($R485,Capa!$A:$AJ,AT$5,0),0),IF(ISERROR(1/VLOOKUP($R485,Capa!$A:$AJ,AT$5,0)),0,1/VLOOKUP($R485,Capa!$A:$AJ,AT$5,0))))</f>
        <v>-0.000009961300348</v>
      </c>
      <c r="AU485" s="174">
        <f>IF(AU$6="","",IF(AU$3="Maior",iferror(VLOOKUP($R485,Capa!$A:$AJ,AU$5,0),0),IF(ISERROR(1/VLOOKUP($R485,Capa!$A:$AJ,AU$5,0)),0,1/VLOOKUP($R485,Capa!$A:$AJ,AU$5,0))))</f>
        <v>0</v>
      </c>
      <c r="AV485" s="174" t="str">
        <f>IF(AV$6="","",IF(AV$3="Maior",iferror(VLOOKUP($R485,Capa!$A:$AJ,AV$5,0),0),IF(ISERROR(1/VLOOKUP($R485,Capa!$A:$AJ,AV$5,0)),0,1/VLOOKUP($R485,Capa!$A:$AJ,AV$5,0))))</f>
        <v/>
      </c>
      <c r="AW485" s="174" t="str">
        <f>IF(AW$6="","",IF(AW$3="Maior",iferror(VLOOKUP($R485,Capa!$A:$AJ,AW$5,0),0),IF(ISERROR(1/VLOOKUP($R485,Capa!$A:$AJ,AW$5,0)),0,1/VLOOKUP($R485,Capa!$A:$AJ,AW$5,0))))</f>
        <v/>
      </c>
      <c r="AX485" s="174" t="str">
        <f>IF(AX$6="","",IF(AX$3="Maior",iferror(VLOOKUP($R485,Capa!$A:$AJ,AX$5,0),0),IF(ISERROR(1/VLOOKUP($R485,Capa!$A:$AJ,AX$5,0)),0,1/VLOOKUP($R485,Capa!$A:$AJ,AX$5,0))))</f>
        <v/>
      </c>
      <c r="AY485" s="174" t="str">
        <f>IF(AY$6="","",IF(AY$3="Maior",iferror(VLOOKUP($R485,Capa!$A:$AJ,AY$5,0),0),IF(ISERROR(1/VLOOKUP($R485,Capa!$A:$AJ,AY$5,0)),0,1/VLOOKUP($R485,Capa!$A:$AJ,AY$5,0))))</f>
        <v/>
      </c>
      <c r="AZ485" s="174" t="str">
        <f>IF(AZ$6="","",IF(AZ$3="Maior",iferror(VLOOKUP($R485,Capa!$A:$AJ,AZ$5,0),0),IF(ISERROR(1/VLOOKUP($R485,Capa!$A:$AJ,AZ$5,0)),0,1/VLOOKUP($R485,Capa!$A:$AJ,AZ$5,0))))</f>
        <v/>
      </c>
      <c r="BA485" s="174" t="str">
        <f>IF(BA$6="","",IF(BA$3="Maior",iferror(VLOOKUP($R485,Capa!$A:$AJ,BA$5,0),0),IF(ISERROR(1/VLOOKUP($R485,Capa!$A:$AJ,BA$5,0)),0,1/VLOOKUP($R485,Capa!$A:$AJ,BA$5,0))))</f>
        <v/>
      </c>
      <c r="BB485" s="174" t="str">
        <f>IF(BB$6="","",IF(BB$3="Maior",iferror(VLOOKUP($R485,Capa!$A:$AJ,BB$5,0),0),IF(ISERROR(1/VLOOKUP($R485,Capa!$A:$AJ,BB$5,0)),0,1/VLOOKUP($R485,Capa!$A:$AJ,BB$5,0))))</f>
        <v/>
      </c>
      <c r="BC485" s="174" t="str">
        <f>IF(BC$6="","",IF(BC$3="Maior",iferror(VLOOKUP($R485,Capa!$A:$AJ,BC$5,0),0),IF(ISERROR(1/VLOOKUP($R485,Capa!$A:$AJ,BC$5,0)),0,1/VLOOKUP($R485,Capa!$A:$AJ,BC$5,0))))</f>
        <v/>
      </c>
      <c r="BD485" s="174" t="str">
        <f>IF(BD$6="","",IF(BD$3="Maior",iferror(VLOOKUP($R485,Capa!$A:$AJ,BD$5,0),0),IF(ISERROR(1/VLOOKUP($R485,Capa!$A:$AJ,BD$5,0)),0,1/VLOOKUP($R485,Capa!$A:$AJ,BD$5,0))))</f>
        <v/>
      </c>
      <c r="BE485" s="174" t="str">
        <f>IF(BE$6="","",IF(BE$3="Maior",iferror(VLOOKUP($R485,Capa!$A:$AJ,BE$5,0),0),IF(ISERROR(1/VLOOKUP($R485,Capa!$A:$AJ,BE$5,0)),0,1/VLOOKUP($R485,Capa!$A:$AJ,BE$5,0))))</f>
        <v/>
      </c>
      <c r="BF485" s="174" t="str">
        <f>IF(BF$6="","",IF(BF$3="Maior",iferror(VLOOKUP($R485,Capa!$A:$AJ,BF$5,0),0),IF(ISERROR(1/VLOOKUP($R485,Capa!$A:$AJ,BF$5,0)),0,1/VLOOKUP($R485,Capa!$A:$AJ,BF$5,0))))</f>
        <v/>
      </c>
      <c r="BG485" s="174" t="str">
        <f>IF(BG$6="","",IF(BG$3="Maior",iferror(VLOOKUP($R485,Capa!$A:$AJ,BG$5,0),0),IF(ISERROR(1/VLOOKUP($R485,Capa!$A:$AJ,BG$5,0)),0,1/VLOOKUP($R485,Capa!$A:$AJ,BG$5,0))))</f>
        <v/>
      </c>
      <c r="BH485" s="174" t="str">
        <f>IF(BH$6="","",IF(BH$3="Maior",iferror(VLOOKUP($R485,Capa!$A:$AJ,BH$5,0),0),IF(ISERROR(1/VLOOKUP($R485,Capa!$A:$AJ,BH$5,0)),0,1/VLOOKUP($R485,Capa!$A:$AJ,BH$5,0))))</f>
        <v/>
      </c>
      <c r="BI485" s="174" t="str">
        <f>IF(BI$6="","",IF(BI$3="Maior",iferror(VLOOKUP($R485,Capa!$A:$AJ,BI$5,0),0),IF(ISERROR(1/VLOOKUP($R485,Capa!$A:$AJ,BI$5,0)),0,1/VLOOKUP($R485,Capa!$A:$AJ,BI$5,0))))</f>
        <v/>
      </c>
      <c r="BJ485" s="174" t="str">
        <f>IF(BJ$6="","",IF(BJ$3="Maior",iferror(VLOOKUP($R485,Capa!$A:$AJ,BJ$5,0),0),IF(ISERROR(1/VLOOKUP($R485,Capa!$A:$AJ,BJ$5,0)),0,1/VLOOKUP($R485,Capa!$A:$AJ,BJ$5,0))))</f>
        <v/>
      </c>
      <c r="BK485" s="174" t="str">
        <f>IF(BK$6="","",IF(BK$3="Maior",iferror(VLOOKUP($R485,Capa!$A:$AJ,BK$5,0),0),IF(ISERROR(1/VLOOKUP($R485,Capa!$A:$AJ,BK$5,0)),0,1/VLOOKUP($R485,Capa!$A:$AJ,BK$5,0))))</f>
        <v/>
      </c>
      <c r="BL485" s="174" t="str">
        <f>IF(BL$6="","",IF(BL$3="Maior",iferror(VLOOKUP($R485,Capa!$A:$AJ,BL$5,0),0),IF(ISERROR(1/VLOOKUP($R485,Capa!$A:$AJ,BL$5,0)),0,1/VLOOKUP($R485,Capa!$A:$AJ,BL$5,0))))</f>
        <v/>
      </c>
      <c r="BM485" s="174" t="str">
        <f>IF(BM$6="","",IF(BM$3="Maior",iferror(VLOOKUP($R485,Capa!$A:$AJ,BM$5,0),0),IF(ISERROR(1/VLOOKUP($R485,Capa!$A:$AJ,BM$5,0)),0,1/VLOOKUP($R485,Capa!$A:$AJ,BM$5,0))))</f>
        <v/>
      </c>
      <c r="BN485" s="174" t="str">
        <f>IF(BN$6="","",IF(BN$3="Maior",iferror(VLOOKUP($R485,Capa!$A:$AJ,BN$5,0),0),IF(ISERROR(1/VLOOKUP($R485,Capa!$A:$AJ,BN$5,0)),0,1/VLOOKUP($R485,Capa!$A:$AJ,BN$5,0))))</f>
        <v/>
      </c>
      <c r="BO485" s="174" t="str">
        <f>IF(BO$6="","",IF(BO$3="Maior",iferror(VLOOKUP($R485,Capa!$A:$AJ,BO$5,0),0),IF(ISERROR(1/VLOOKUP($R485,Capa!$A:$AJ,BO$5,0)),0,1/VLOOKUP($R485,Capa!$A:$AJ,BO$5,0))))</f>
        <v/>
      </c>
      <c r="BP485" s="174" t="str">
        <f>IF(BP$6="","",IF(BP$3="Maior",iferror(VLOOKUP($R485,Capa!$A:$AJ,BP$5,0),0),IF(ISERROR(1/VLOOKUP($R485,Capa!$A:$AJ,BP$5,0)),0,1/VLOOKUP($R485,Capa!$A:$AJ,BP$5,0))))</f>
        <v/>
      </c>
      <c r="BQ485" s="174" t="str">
        <f>IF(BQ$6="","",IF(BQ$3="Maior",iferror(VLOOKUP($R485,Capa!$A:$AJ,BQ$5,0),0),IF(ISERROR(1/VLOOKUP($R485,Capa!$A:$AJ,BQ$5,0)),0,1/VLOOKUP($R485,Capa!$A:$AJ,BQ$5,0))))</f>
        <v/>
      </c>
      <c r="BR485" s="175"/>
      <c r="BS485" s="147"/>
    </row>
    <row r="486">
      <c r="H486" s="8">
        <v>480.0</v>
      </c>
      <c r="I486" s="165" t="str">
        <f t="shared" si="6"/>
        <v>CESP3</v>
      </c>
      <c r="J486" s="166" t="str">
        <f>(VLOOKUP($I486,Capa!$A:$B,2,0))</f>
        <v/>
      </c>
      <c r="K486" s="167" t="str">
        <f>VLOOKUP(left(I486,4),Setor!A:D,3,0)&amp;" | "&amp;VLOOKUP(left(I486,4),Setor!A:D,4,0)</f>
        <v>Utilidade Pública | Energia Elétrica</v>
      </c>
      <c r="L486" s="168" t="str">
        <f>(VLOOKUP($I486,Capa!$A:$F,6,0))</f>
        <v/>
      </c>
      <c r="M486" s="168">
        <f t="shared" si="7"/>
        <v>0</v>
      </c>
      <c r="N486" s="11" t="str">
        <f>(VLOOKUP($I486,Capa!$A:$H,7,0))</f>
        <v/>
      </c>
      <c r="O486" s="169" t="str">
        <f>(VLOOKUP($I486,Capa!$A:$H,8,0))</f>
        <v/>
      </c>
      <c r="P486" s="11" t="str">
        <f>(VLOOKUP($I486,Capa!$A:$J,10,0))</f>
        <v/>
      </c>
      <c r="Q486" s="169" t="str">
        <f>(VLOOKUP($I486,Capa!$A:$K,11,0))</f>
        <v/>
      </c>
      <c r="R486" s="45" t="str">
        <f>'Dados StatusInvest'!A481</f>
        <v>RADL3</v>
      </c>
      <c r="S486" s="170">
        <f t="shared" si="234"/>
        <v>369.0369</v>
      </c>
      <c r="T486" s="171">
        <f>VLOOKUP(R486,'Dados StatusInvest'!A:Z,26,0)</f>
        <v>276000000</v>
      </c>
      <c r="U486" s="172">
        <f t="shared" ref="U486:AS486" si="489">IF(AT486="","", RANK(AT486,AT$7:AT$626,0)+RANK(AT486,AT$7:AT$626,0)/10000)</f>
        <v>175.0175</v>
      </c>
      <c r="V486" s="172">
        <f t="shared" si="489"/>
        <v>194.0194</v>
      </c>
      <c r="W486" s="172" t="str">
        <f t="shared" si="489"/>
        <v/>
      </c>
      <c r="X486" s="172" t="str">
        <f t="shared" si="489"/>
        <v/>
      </c>
      <c r="Y486" s="172" t="str">
        <f t="shared" si="489"/>
        <v/>
      </c>
      <c r="Z486" s="172" t="str">
        <f t="shared" si="489"/>
        <v/>
      </c>
      <c r="AA486" s="172" t="str">
        <f t="shared" si="489"/>
        <v/>
      </c>
      <c r="AB486" s="172" t="str">
        <f t="shared" si="489"/>
        <v/>
      </c>
      <c r="AC486" s="172" t="str">
        <f t="shared" si="489"/>
        <v/>
      </c>
      <c r="AD486" s="172" t="str">
        <f t="shared" si="489"/>
        <v/>
      </c>
      <c r="AE486" s="172" t="str">
        <f t="shared" si="489"/>
        <v/>
      </c>
      <c r="AF486" s="172" t="str">
        <f t="shared" si="489"/>
        <v/>
      </c>
      <c r="AG486" s="172" t="str">
        <f t="shared" si="489"/>
        <v/>
      </c>
      <c r="AH486" s="172" t="str">
        <f t="shared" si="489"/>
        <v/>
      </c>
      <c r="AI486" s="172" t="str">
        <f t="shared" si="489"/>
        <v/>
      </c>
      <c r="AJ486" s="172" t="str">
        <f t="shared" si="489"/>
        <v/>
      </c>
      <c r="AK486" s="172" t="str">
        <f t="shared" si="489"/>
        <v/>
      </c>
      <c r="AL486" s="172" t="str">
        <f t="shared" si="489"/>
        <v/>
      </c>
      <c r="AM486" s="172" t="str">
        <f t="shared" si="489"/>
        <v/>
      </c>
      <c r="AN486" s="172" t="str">
        <f t="shared" si="489"/>
        <v/>
      </c>
      <c r="AO486" s="172" t="str">
        <f t="shared" si="489"/>
        <v/>
      </c>
      <c r="AP486" s="172" t="str">
        <f t="shared" si="489"/>
        <v/>
      </c>
      <c r="AQ486" s="172" t="str">
        <f t="shared" si="489"/>
        <v/>
      </c>
      <c r="AR486" s="172" t="str">
        <f t="shared" si="489"/>
        <v/>
      </c>
      <c r="AS486" s="172" t="str">
        <f t="shared" si="489"/>
        <v/>
      </c>
      <c r="AT486" s="173">
        <f>IF(AT$6="","",IF(AT$3="Maior",iferror(VLOOKUP($R486,Capa!$A:$AJ,AT$5,0),0),IF(ISERROR(1/VLOOKUP($R486,Capa!$A:$AJ,AT$5,0)),0,1/VLOOKUP($R486,Capa!$A:$AJ,AT$5,0))))</f>
        <v>-0.2092240805</v>
      </c>
      <c r="AU486" s="174">
        <f>IF(AU$6="","",IF(AU$3="Maior",iferror(VLOOKUP($R486,Capa!$A:$AJ,AU$5,0),0),IF(ISERROR(1/VLOOKUP($R486,Capa!$A:$AJ,AU$5,0)),0,1/VLOOKUP($R486,Capa!$A:$AJ,AU$5,0))))</f>
        <v>11.69</v>
      </c>
      <c r="AV486" s="174" t="str">
        <f>IF(AV$6="","",IF(AV$3="Maior",iferror(VLOOKUP($R486,Capa!$A:$AJ,AV$5,0),0),IF(ISERROR(1/VLOOKUP($R486,Capa!$A:$AJ,AV$5,0)),0,1/VLOOKUP($R486,Capa!$A:$AJ,AV$5,0))))</f>
        <v/>
      </c>
      <c r="AW486" s="174" t="str">
        <f>IF(AW$6="","",IF(AW$3="Maior",iferror(VLOOKUP($R486,Capa!$A:$AJ,AW$5,0),0),IF(ISERROR(1/VLOOKUP($R486,Capa!$A:$AJ,AW$5,0)),0,1/VLOOKUP($R486,Capa!$A:$AJ,AW$5,0))))</f>
        <v/>
      </c>
      <c r="AX486" s="174" t="str">
        <f>IF(AX$6="","",IF(AX$3="Maior",iferror(VLOOKUP($R486,Capa!$A:$AJ,AX$5,0),0),IF(ISERROR(1/VLOOKUP($R486,Capa!$A:$AJ,AX$5,0)),0,1/VLOOKUP($R486,Capa!$A:$AJ,AX$5,0))))</f>
        <v/>
      </c>
      <c r="AY486" s="174" t="str">
        <f>IF(AY$6="","",IF(AY$3="Maior",iferror(VLOOKUP($R486,Capa!$A:$AJ,AY$5,0),0),IF(ISERROR(1/VLOOKUP($R486,Capa!$A:$AJ,AY$5,0)),0,1/VLOOKUP($R486,Capa!$A:$AJ,AY$5,0))))</f>
        <v/>
      </c>
      <c r="AZ486" s="174" t="str">
        <f>IF(AZ$6="","",IF(AZ$3="Maior",iferror(VLOOKUP($R486,Capa!$A:$AJ,AZ$5,0),0),IF(ISERROR(1/VLOOKUP($R486,Capa!$A:$AJ,AZ$5,0)),0,1/VLOOKUP($R486,Capa!$A:$AJ,AZ$5,0))))</f>
        <v/>
      </c>
      <c r="BA486" s="174" t="str">
        <f>IF(BA$6="","",IF(BA$3="Maior",iferror(VLOOKUP($R486,Capa!$A:$AJ,BA$5,0),0),IF(ISERROR(1/VLOOKUP($R486,Capa!$A:$AJ,BA$5,0)),0,1/VLOOKUP($R486,Capa!$A:$AJ,BA$5,0))))</f>
        <v/>
      </c>
      <c r="BB486" s="174" t="str">
        <f>IF(BB$6="","",IF(BB$3="Maior",iferror(VLOOKUP($R486,Capa!$A:$AJ,BB$5,0),0),IF(ISERROR(1/VLOOKUP($R486,Capa!$A:$AJ,BB$5,0)),0,1/VLOOKUP($R486,Capa!$A:$AJ,BB$5,0))))</f>
        <v/>
      </c>
      <c r="BC486" s="174" t="str">
        <f>IF(BC$6="","",IF(BC$3="Maior",iferror(VLOOKUP($R486,Capa!$A:$AJ,BC$5,0),0),IF(ISERROR(1/VLOOKUP($R486,Capa!$A:$AJ,BC$5,0)),0,1/VLOOKUP($R486,Capa!$A:$AJ,BC$5,0))))</f>
        <v/>
      </c>
      <c r="BD486" s="174" t="str">
        <f>IF(BD$6="","",IF(BD$3="Maior",iferror(VLOOKUP($R486,Capa!$A:$AJ,BD$5,0),0),IF(ISERROR(1/VLOOKUP($R486,Capa!$A:$AJ,BD$5,0)),0,1/VLOOKUP($R486,Capa!$A:$AJ,BD$5,0))))</f>
        <v/>
      </c>
      <c r="BE486" s="174" t="str">
        <f>IF(BE$6="","",IF(BE$3="Maior",iferror(VLOOKUP($R486,Capa!$A:$AJ,BE$5,0),0),IF(ISERROR(1/VLOOKUP($R486,Capa!$A:$AJ,BE$5,0)),0,1/VLOOKUP($R486,Capa!$A:$AJ,BE$5,0))))</f>
        <v/>
      </c>
      <c r="BF486" s="174" t="str">
        <f>IF(BF$6="","",IF(BF$3="Maior",iferror(VLOOKUP($R486,Capa!$A:$AJ,BF$5,0),0),IF(ISERROR(1/VLOOKUP($R486,Capa!$A:$AJ,BF$5,0)),0,1/VLOOKUP($R486,Capa!$A:$AJ,BF$5,0))))</f>
        <v/>
      </c>
      <c r="BG486" s="174" t="str">
        <f>IF(BG$6="","",IF(BG$3="Maior",iferror(VLOOKUP($R486,Capa!$A:$AJ,BG$5,0),0),IF(ISERROR(1/VLOOKUP($R486,Capa!$A:$AJ,BG$5,0)),0,1/VLOOKUP($R486,Capa!$A:$AJ,BG$5,0))))</f>
        <v/>
      </c>
      <c r="BH486" s="174" t="str">
        <f>IF(BH$6="","",IF(BH$3="Maior",iferror(VLOOKUP($R486,Capa!$A:$AJ,BH$5,0),0),IF(ISERROR(1/VLOOKUP($R486,Capa!$A:$AJ,BH$5,0)),0,1/VLOOKUP($R486,Capa!$A:$AJ,BH$5,0))))</f>
        <v/>
      </c>
      <c r="BI486" s="174" t="str">
        <f>IF(BI$6="","",IF(BI$3="Maior",iferror(VLOOKUP($R486,Capa!$A:$AJ,BI$5,0),0),IF(ISERROR(1/VLOOKUP($R486,Capa!$A:$AJ,BI$5,0)),0,1/VLOOKUP($R486,Capa!$A:$AJ,BI$5,0))))</f>
        <v/>
      </c>
      <c r="BJ486" s="174" t="str">
        <f>IF(BJ$6="","",IF(BJ$3="Maior",iferror(VLOOKUP($R486,Capa!$A:$AJ,BJ$5,0),0),IF(ISERROR(1/VLOOKUP($R486,Capa!$A:$AJ,BJ$5,0)),0,1/VLOOKUP($R486,Capa!$A:$AJ,BJ$5,0))))</f>
        <v/>
      </c>
      <c r="BK486" s="174" t="str">
        <f>IF(BK$6="","",IF(BK$3="Maior",iferror(VLOOKUP($R486,Capa!$A:$AJ,BK$5,0),0),IF(ISERROR(1/VLOOKUP($R486,Capa!$A:$AJ,BK$5,0)),0,1/VLOOKUP($R486,Capa!$A:$AJ,BK$5,0))))</f>
        <v/>
      </c>
      <c r="BL486" s="174" t="str">
        <f>IF(BL$6="","",IF(BL$3="Maior",iferror(VLOOKUP($R486,Capa!$A:$AJ,BL$5,0),0),IF(ISERROR(1/VLOOKUP($R486,Capa!$A:$AJ,BL$5,0)),0,1/VLOOKUP($R486,Capa!$A:$AJ,BL$5,0))))</f>
        <v/>
      </c>
      <c r="BM486" s="174" t="str">
        <f>IF(BM$6="","",IF(BM$3="Maior",iferror(VLOOKUP($R486,Capa!$A:$AJ,BM$5,0),0),IF(ISERROR(1/VLOOKUP($R486,Capa!$A:$AJ,BM$5,0)),0,1/VLOOKUP($R486,Capa!$A:$AJ,BM$5,0))))</f>
        <v/>
      </c>
      <c r="BN486" s="174" t="str">
        <f>IF(BN$6="","",IF(BN$3="Maior",iferror(VLOOKUP($R486,Capa!$A:$AJ,BN$5,0),0),IF(ISERROR(1/VLOOKUP($R486,Capa!$A:$AJ,BN$5,0)),0,1/VLOOKUP($R486,Capa!$A:$AJ,BN$5,0))))</f>
        <v/>
      </c>
      <c r="BO486" s="174" t="str">
        <f>IF(BO$6="","",IF(BO$3="Maior",iferror(VLOOKUP($R486,Capa!$A:$AJ,BO$5,0),0),IF(ISERROR(1/VLOOKUP($R486,Capa!$A:$AJ,BO$5,0)),0,1/VLOOKUP($R486,Capa!$A:$AJ,BO$5,0))))</f>
        <v/>
      </c>
      <c r="BP486" s="174" t="str">
        <f>IF(BP$6="","",IF(BP$3="Maior",iferror(VLOOKUP($R486,Capa!$A:$AJ,BP$5,0),0),IF(ISERROR(1/VLOOKUP($R486,Capa!$A:$AJ,BP$5,0)),0,1/VLOOKUP($R486,Capa!$A:$AJ,BP$5,0))))</f>
        <v/>
      </c>
      <c r="BQ486" s="174" t="str">
        <f>IF(BQ$6="","",IF(BQ$3="Maior",iferror(VLOOKUP($R486,Capa!$A:$AJ,BQ$5,0),0),IF(ISERROR(1/VLOOKUP($R486,Capa!$A:$AJ,BQ$5,0)),0,1/VLOOKUP($R486,Capa!$A:$AJ,BQ$5,0))))</f>
        <v/>
      </c>
      <c r="BR486" s="175"/>
      <c r="BS486" s="147"/>
    </row>
    <row r="487">
      <c r="H487" s="8">
        <v>481.0</v>
      </c>
      <c r="I487" s="165" t="str">
        <f t="shared" si="6"/>
        <v>CESP6</v>
      </c>
      <c r="J487" s="166" t="str">
        <f>(VLOOKUP($I487,Capa!$A:$B,2,0))</f>
        <v/>
      </c>
      <c r="K487" s="167" t="str">
        <f>VLOOKUP(left(I487,4),Setor!A:D,3,0)&amp;" | "&amp;VLOOKUP(left(I487,4),Setor!A:D,4,0)</f>
        <v>Utilidade Pública | Energia Elétrica</v>
      </c>
      <c r="L487" s="168" t="str">
        <f>(VLOOKUP($I487,Capa!$A:$F,6,0))</f>
        <v/>
      </c>
      <c r="M487" s="168">
        <f t="shared" si="7"/>
        <v>0</v>
      </c>
      <c r="N487" s="11" t="str">
        <f>(VLOOKUP($I487,Capa!$A:$H,7,0))</f>
        <v/>
      </c>
      <c r="O487" s="169" t="str">
        <f>(VLOOKUP($I487,Capa!$A:$H,8,0))</f>
        <v/>
      </c>
      <c r="P487" s="11" t="str">
        <f>(VLOOKUP($I487,Capa!$A:$J,10,0))</f>
        <v/>
      </c>
      <c r="Q487" s="169" t="str">
        <f>(VLOOKUP($I487,Capa!$A:$K,11,0))</f>
        <v/>
      </c>
      <c r="R487" s="45" t="str">
        <f>'Dados StatusInvest'!A482</f>
        <v>RAIL3</v>
      </c>
      <c r="S487" s="170">
        <f t="shared" si="234"/>
        <v>975.0975</v>
      </c>
      <c r="T487" s="171">
        <f>VLOOKUP(R487,'Dados StatusInvest'!A:Z,26,0)</f>
        <v>202000000</v>
      </c>
      <c r="U487" s="172">
        <f t="shared" ref="U487:AS487" si="490">IF(AT487="","", RANK(AT487,AT$7:AT$626,0)+RANK(AT487,AT$7:AT$626,0)/10000)</f>
        <v>393.0393</v>
      </c>
      <c r="V487" s="172">
        <f t="shared" si="490"/>
        <v>582.0582</v>
      </c>
      <c r="W487" s="172" t="str">
        <f t="shared" si="490"/>
        <v/>
      </c>
      <c r="X487" s="172" t="str">
        <f t="shared" si="490"/>
        <v/>
      </c>
      <c r="Y487" s="172" t="str">
        <f t="shared" si="490"/>
        <v/>
      </c>
      <c r="Z487" s="172" t="str">
        <f t="shared" si="490"/>
        <v/>
      </c>
      <c r="AA487" s="172" t="str">
        <f t="shared" si="490"/>
        <v/>
      </c>
      <c r="AB487" s="172" t="str">
        <f t="shared" si="490"/>
        <v/>
      </c>
      <c r="AC487" s="172" t="str">
        <f t="shared" si="490"/>
        <v/>
      </c>
      <c r="AD487" s="172" t="str">
        <f t="shared" si="490"/>
        <v/>
      </c>
      <c r="AE487" s="172" t="str">
        <f t="shared" si="490"/>
        <v/>
      </c>
      <c r="AF487" s="172" t="str">
        <f t="shared" si="490"/>
        <v/>
      </c>
      <c r="AG487" s="172" t="str">
        <f t="shared" si="490"/>
        <v/>
      </c>
      <c r="AH487" s="172" t="str">
        <f t="shared" si="490"/>
        <v/>
      </c>
      <c r="AI487" s="172" t="str">
        <f t="shared" si="490"/>
        <v/>
      </c>
      <c r="AJ487" s="172" t="str">
        <f t="shared" si="490"/>
        <v/>
      </c>
      <c r="AK487" s="172" t="str">
        <f t="shared" si="490"/>
        <v/>
      </c>
      <c r="AL487" s="172" t="str">
        <f t="shared" si="490"/>
        <v/>
      </c>
      <c r="AM487" s="172" t="str">
        <f t="shared" si="490"/>
        <v/>
      </c>
      <c r="AN487" s="172" t="str">
        <f t="shared" si="490"/>
        <v/>
      </c>
      <c r="AO487" s="172" t="str">
        <f t="shared" si="490"/>
        <v/>
      </c>
      <c r="AP487" s="172" t="str">
        <f t="shared" si="490"/>
        <v/>
      </c>
      <c r="AQ487" s="172" t="str">
        <f t="shared" si="490"/>
        <v/>
      </c>
      <c r="AR487" s="172" t="str">
        <f t="shared" si="490"/>
        <v/>
      </c>
      <c r="AS487" s="172" t="str">
        <f t="shared" si="490"/>
        <v/>
      </c>
      <c r="AT487" s="173">
        <f>IF(AT$6="","",IF(AT$3="Maior",iferror(VLOOKUP($R487,Capa!$A:$AJ,AT$5,0),0),IF(ISERROR(1/VLOOKUP($R487,Capa!$A:$AJ,AT$5,0)),0,1/VLOOKUP($R487,Capa!$A:$AJ,AT$5,0))))</f>
        <v>-1.304716809</v>
      </c>
      <c r="AU487" s="174">
        <f>IF(AU$6="","",IF(AU$3="Maior",iferror(VLOOKUP($R487,Capa!$A:$AJ,AU$5,0),0),IF(ISERROR(1/VLOOKUP($R487,Capa!$A:$AJ,AU$5,0)),0,1/VLOOKUP($R487,Capa!$A:$AJ,AU$5,0))))</f>
        <v>-13.65</v>
      </c>
      <c r="AV487" s="174" t="str">
        <f>IF(AV$6="","",IF(AV$3="Maior",iferror(VLOOKUP($R487,Capa!$A:$AJ,AV$5,0),0),IF(ISERROR(1/VLOOKUP($R487,Capa!$A:$AJ,AV$5,0)),0,1/VLOOKUP($R487,Capa!$A:$AJ,AV$5,0))))</f>
        <v/>
      </c>
      <c r="AW487" s="174" t="str">
        <f>IF(AW$6="","",IF(AW$3="Maior",iferror(VLOOKUP($R487,Capa!$A:$AJ,AW$5,0),0),IF(ISERROR(1/VLOOKUP($R487,Capa!$A:$AJ,AW$5,0)),0,1/VLOOKUP($R487,Capa!$A:$AJ,AW$5,0))))</f>
        <v/>
      </c>
      <c r="AX487" s="174" t="str">
        <f>IF(AX$6="","",IF(AX$3="Maior",iferror(VLOOKUP($R487,Capa!$A:$AJ,AX$5,0),0),IF(ISERROR(1/VLOOKUP($R487,Capa!$A:$AJ,AX$5,0)),0,1/VLOOKUP($R487,Capa!$A:$AJ,AX$5,0))))</f>
        <v/>
      </c>
      <c r="AY487" s="174" t="str">
        <f>IF(AY$6="","",IF(AY$3="Maior",iferror(VLOOKUP($R487,Capa!$A:$AJ,AY$5,0),0),IF(ISERROR(1/VLOOKUP($R487,Capa!$A:$AJ,AY$5,0)),0,1/VLOOKUP($R487,Capa!$A:$AJ,AY$5,0))))</f>
        <v/>
      </c>
      <c r="AZ487" s="174" t="str">
        <f>IF(AZ$6="","",IF(AZ$3="Maior",iferror(VLOOKUP($R487,Capa!$A:$AJ,AZ$5,0),0),IF(ISERROR(1/VLOOKUP($R487,Capa!$A:$AJ,AZ$5,0)),0,1/VLOOKUP($R487,Capa!$A:$AJ,AZ$5,0))))</f>
        <v/>
      </c>
      <c r="BA487" s="174" t="str">
        <f>IF(BA$6="","",IF(BA$3="Maior",iferror(VLOOKUP($R487,Capa!$A:$AJ,BA$5,0),0),IF(ISERROR(1/VLOOKUP($R487,Capa!$A:$AJ,BA$5,0)),0,1/VLOOKUP($R487,Capa!$A:$AJ,BA$5,0))))</f>
        <v/>
      </c>
      <c r="BB487" s="174" t="str">
        <f>IF(BB$6="","",IF(BB$3="Maior",iferror(VLOOKUP($R487,Capa!$A:$AJ,BB$5,0),0),IF(ISERROR(1/VLOOKUP($R487,Capa!$A:$AJ,BB$5,0)),0,1/VLOOKUP($R487,Capa!$A:$AJ,BB$5,0))))</f>
        <v/>
      </c>
      <c r="BC487" s="174" t="str">
        <f>IF(BC$6="","",IF(BC$3="Maior",iferror(VLOOKUP($R487,Capa!$A:$AJ,BC$5,0),0),IF(ISERROR(1/VLOOKUP($R487,Capa!$A:$AJ,BC$5,0)),0,1/VLOOKUP($R487,Capa!$A:$AJ,BC$5,0))))</f>
        <v/>
      </c>
      <c r="BD487" s="174" t="str">
        <f>IF(BD$6="","",IF(BD$3="Maior",iferror(VLOOKUP($R487,Capa!$A:$AJ,BD$5,0),0),IF(ISERROR(1/VLOOKUP($R487,Capa!$A:$AJ,BD$5,0)),0,1/VLOOKUP($R487,Capa!$A:$AJ,BD$5,0))))</f>
        <v/>
      </c>
      <c r="BE487" s="174" t="str">
        <f>IF(BE$6="","",IF(BE$3="Maior",iferror(VLOOKUP($R487,Capa!$A:$AJ,BE$5,0),0),IF(ISERROR(1/VLOOKUP($R487,Capa!$A:$AJ,BE$5,0)),0,1/VLOOKUP($R487,Capa!$A:$AJ,BE$5,0))))</f>
        <v/>
      </c>
      <c r="BF487" s="174" t="str">
        <f>IF(BF$6="","",IF(BF$3="Maior",iferror(VLOOKUP($R487,Capa!$A:$AJ,BF$5,0),0),IF(ISERROR(1/VLOOKUP($R487,Capa!$A:$AJ,BF$5,0)),0,1/VLOOKUP($R487,Capa!$A:$AJ,BF$5,0))))</f>
        <v/>
      </c>
      <c r="BG487" s="174" t="str">
        <f>IF(BG$6="","",IF(BG$3="Maior",iferror(VLOOKUP($R487,Capa!$A:$AJ,BG$5,0),0),IF(ISERROR(1/VLOOKUP($R487,Capa!$A:$AJ,BG$5,0)),0,1/VLOOKUP($R487,Capa!$A:$AJ,BG$5,0))))</f>
        <v/>
      </c>
      <c r="BH487" s="174" t="str">
        <f>IF(BH$6="","",IF(BH$3="Maior",iferror(VLOOKUP($R487,Capa!$A:$AJ,BH$5,0),0),IF(ISERROR(1/VLOOKUP($R487,Capa!$A:$AJ,BH$5,0)),0,1/VLOOKUP($R487,Capa!$A:$AJ,BH$5,0))))</f>
        <v/>
      </c>
      <c r="BI487" s="174" t="str">
        <f>IF(BI$6="","",IF(BI$3="Maior",iferror(VLOOKUP($R487,Capa!$A:$AJ,BI$5,0),0),IF(ISERROR(1/VLOOKUP($R487,Capa!$A:$AJ,BI$5,0)),0,1/VLOOKUP($R487,Capa!$A:$AJ,BI$5,0))))</f>
        <v/>
      </c>
      <c r="BJ487" s="174" t="str">
        <f>IF(BJ$6="","",IF(BJ$3="Maior",iferror(VLOOKUP($R487,Capa!$A:$AJ,BJ$5,0),0),IF(ISERROR(1/VLOOKUP($R487,Capa!$A:$AJ,BJ$5,0)),0,1/VLOOKUP($R487,Capa!$A:$AJ,BJ$5,0))))</f>
        <v/>
      </c>
      <c r="BK487" s="174" t="str">
        <f>IF(BK$6="","",IF(BK$3="Maior",iferror(VLOOKUP($R487,Capa!$A:$AJ,BK$5,0),0),IF(ISERROR(1/VLOOKUP($R487,Capa!$A:$AJ,BK$5,0)),0,1/VLOOKUP($R487,Capa!$A:$AJ,BK$5,0))))</f>
        <v/>
      </c>
      <c r="BL487" s="174" t="str">
        <f>IF(BL$6="","",IF(BL$3="Maior",iferror(VLOOKUP($R487,Capa!$A:$AJ,BL$5,0),0),IF(ISERROR(1/VLOOKUP($R487,Capa!$A:$AJ,BL$5,0)),0,1/VLOOKUP($R487,Capa!$A:$AJ,BL$5,0))))</f>
        <v/>
      </c>
      <c r="BM487" s="174" t="str">
        <f>IF(BM$6="","",IF(BM$3="Maior",iferror(VLOOKUP($R487,Capa!$A:$AJ,BM$5,0),0),IF(ISERROR(1/VLOOKUP($R487,Capa!$A:$AJ,BM$5,0)),0,1/VLOOKUP($R487,Capa!$A:$AJ,BM$5,0))))</f>
        <v/>
      </c>
      <c r="BN487" s="174" t="str">
        <f>IF(BN$6="","",IF(BN$3="Maior",iferror(VLOOKUP($R487,Capa!$A:$AJ,BN$5,0),0),IF(ISERROR(1/VLOOKUP($R487,Capa!$A:$AJ,BN$5,0)),0,1/VLOOKUP($R487,Capa!$A:$AJ,BN$5,0))))</f>
        <v/>
      </c>
      <c r="BO487" s="174" t="str">
        <f>IF(BO$6="","",IF(BO$3="Maior",iferror(VLOOKUP($R487,Capa!$A:$AJ,BO$5,0),0),IF(ISERROR(1/VLOOKUP($R487,Capa!$A:$AJ,BO$5,0)),0,1/VLOOKUP($R487,Capa!$A:$AJ,BO$5,0))))</f>
        <v/>
      </c>
      <c r="BP487" s="174" t="str">
        <f>IF(BP$6="","",IF(BP$3="Maior",iferror(VLOOKUP($R487,Capa!$A:$AJ,BP$5,0),0),IF(ISERROR(1/VLOOKUP($R487,Capa!$A:$AJ,BP$5,0)),0,1/VLOOKUP($R487,Capa!$A:$AJ,BP$5,0))))</f>
        <v/>
      </c>
      <c r="BQ487" s="174" t="str">
        <f>IF(BQ$6="","",IF(BQ$3="Maior",iferror(VLOOKUP($R487,Capa!$A:$AJ,BQ$5,0),0),IF(ISERROR(1/VLOOKUP($R487,Capa!$A:$AJ,BQ$5,0)),0,1/VLOOKUP($R487,Capa!$A:$AJ,BQ$5,0))))</f>
        <v/>
      </c>
      <c r="BR487" s="175"/>
      <c r="BS487" s="147"/>
    </row>
    <row r="488">
      <c r="H488" s="8">
        <v>482.0</v>
      </c>
      <c r="I488" s="165" t="str">
        <f t="shared" si="6"/>
        <v>CESP5</v>
      </c>
      <c r="J488" s="166" t="str">
        <f>(VLOOKUP($I488,Capa!$A:$B,2,0))</f>
        <v/>
      </c>
      <c r="K488" s="167" t="str">
        <f>VLOOKUP(left(I488,4),Setor!A:D,3,0)&amp;" | "&amp;VLOOKUP(left(I488,4),Setor!A:D,4,0)</f>
        <v>Utilidade Pública | Energia Elétrica</v>
      </c>
      <c r="L488" s="168" t="str">
        <f>(VLOOKUP($I488,Capa!$A:$F,6,0))</f>
        <v/>
      </c>
      <c r="M488" s="168">
        <f t="shared" si="7"/>
        <v>0</v>
      </c>
      <c r="N488" s="11" t="str">
        <f>(VLOOKUP($I488,Capa!$A:$H,7,0))</f>
        <v/>
      </c>
      <c r="O488" s="169" t="str">
        <f>(VLOOKUP($I488,Capa!$A:$H,8,0))</f>
        <v/>
      </c>
      <c r="P488" s="11" t="str">
        <f>(VLOOKUP($I488,Capa!$A:$J,10,0))</f>
        <v/>
      </c>
      <c r="Q488" s="169" t="str">
        <f>(VLOOKUP($I488,Capa!$A:$K,11,0))</f>
        <v/>
      </c>
      <c r="R488" s="45" t="str">
        <f>'Dados StatusInvest'!A483</f>
        <v>RAIZ4</v>
      </c>
      <c r="S488" s="170">
        <f t="shared" si="234"/>
        <v>851.0851</v>
      </c>
      <c r="T488" s="171">
        <f>VLOOKUP(R488,'Dados StatusInvest'!A:Z,26,0)</f>
        <v>43964509</v>
      </c>
      <c r="U488" s="172">
        <f t="shared" ref="U488:AS488" si="491">IF(AT488="","", RANK(AT488,AT$7:AT$626,0)+RANK(AT488,AT$7:AT$626,0)/10000)</f>
        <v>584.0584</v>
      </c>
      <c r="V488" s="172">
        <f t="shared" si="491"/>
        <v>267.0267</v>
      </c>
      <c r="W488" s="172" t="str">
        <f t="shared" si="491"/>
        <v/>
      </c>
      <c r="X488" s="172" t="str">
        <f t="shared" si="491"/>
        <v/>
      </c>
      <c r="Y488" s="172" t="str">
        <f t="shared" si="491"/>
        <v/>
      </c>
      <c r="Z488" s="172" t="str">
        <f t="shared" si="491"/>
        <v/>
      </c>
      <c r="AA488" s="172" t="str">
        <f t="shared" si="491"/>
        <v/>
      </c>
      <c r="AB488" s="172" t="str">
        <f t="shared" si="491"/>
        <v/>
      </c>
      <c r="AC488" s="172" t="str">
        <f t="shared" si="491"/>
        <v/>
      </c>
      <c r="AD488" s="172" t="str">
        <f t="shared" si="491"/>
        <v/>
      </c>
      <c r="AE488" s="172" t="str">
        <f t="shared" si="491"/>
        <v/>
      </c>
      <c r="AF488" s="172" t="str">
        <f t="shared" si="491"/>
        <v/>
      </c>
      <c r="AG488" s="172" t="str">
        <f t="shared" si="491"/>
        <v/>
      </c>
      <c r="AH488" s="172" t="str">
        <f t="shared" si="491"/>
        <v/>
      </c>
      <c r="AI488" s="172" t="str">
        <f t="shared" si="491"/>
        <v/>
      </c>
      <c r="AJ488" s="172" t="str">
        <f t="shared" si="491"/>
        <v/>
      </c>
      <c r="AK488" s="172" t="str">
        <f t="shared" si="491"/>
        <v/>
      </c>
      <c r="AL488" s="172" t="str">
        <f t="shared" si="491"/>
        <v/>
      </c>
      <c r="AM488" s="172" t="str">
        <f t="shared" si="491"/>
        <v/>
      </c>
      <c r="AN488" s="172" t="str">
        <f t="shared" si="491"/>
        <v/>
      </c>
      <c r="AO488" s="172" t="str">
        <f t="shared" si="491"/>
        <v/>
      </c>
      <c r="AP488" s="172" t="str">
        <f t="shared" si="491"/>
        <v/>
      </c>
      <c r="AQ488" s="172" t="str">
        <f t="shared" si="491"/>
        <v/>
      </c>
      <c r="AR488" s="172" t="str">
        <f t="shared" si="491"/>
        <v/>
      </c>
      <c r="AS488" s="172" t="str">
        <f t="shared" si="491"/>
        <v/>
      </c>
      <c r="AT488" s="173">
        <f>IF(AT$6="","",IF(AT$3="Maior",iferror(VLOOKUP($R488,Capa!$A:$AJ,AT$5,0),0),IF(ISERROR(1/VLOOKUP($R488,Capa!$A:$AJ,AT$5,0)),0,1/VLOOKUP($R488,Capa!$A:$AJ,AT$5,0))))</f>
        <v>-9.967845659</v>
      </c>
      <c r="AU488" s="174">
        <f>IF(AU$6="","",IF(AU$3="Maior",iferror(VLOOKUP($R488,Capa!$A:$AJ,AU$5,0),0),IF(ISERROR(1/VLOOKUP($R488,Capa!$A:$AJ,AU$5,0)),0,1/VLOOKUP($R488,Capa!$A:$AJ,AU$5,0))))</f>
        <v>0</v>
      </c>
      <c r="AV488" s="174" t="str">
        <f>IF(AV$6="","",IF(AV$3="Maior",iferror(VLOOKUP($R488,Capa!$A:$AJ,AV$5,0),0),IF(ISERROR(1/VLOOKUP($R488,Capa!$A:$AJ,AV$5,0)),0,1/VLOOKUP($R488,Capa!$A:$AJ,AV$5,0))))</f>
        <v/>
      </c>
      <c r="AW488" s="174" t="str">
        <f>IF(AW$6="","",IF(AW$3="Maior",iferror(VLOOKUP($R488,Capa!$A:$AJ,AW$5,0),0),IF(ISERROR(1/VLOOKUP($R488,Capa!$A:$AJ,AW$5,0)),0,1/VLOOKUP($R488,Capa!$A:$AJ,AW$5,0))))</f>
        <v/>
      </c>
      <c r="AX488" s="174" t="str">
        <f>IF(AX$6="","",IF(AX$3="Maior",iferror(VLOOKUP($R488,Capa!$A:$AJ,AX$5,0),0),IF(ISERROR(1/VLOOKUP($R488,Capa!$A:$AJ,AX$5,0)),0,1/VLOOKUP($R488,Capa!$A:$AJ,AX$5,0))))</f>
        <v/>
      </c>
      <c r="AY488" s="174" t="str">
        <f>IF(AY$6="","",IF(AY$3="Maior",iferror(VLOOKUP($R488,Capa!$A:$AJ,AY$5,0),0),IF(ISERROR(1/VLOOKUP($R488,Capa!$A:$AJ,AY$5,0)),0,1/VLOOKUP($R488,Capa!$A:$AJ,AY$5,0))))</f>
        <v/>
      </c>
      <c r="AZ488" s="174" t="str">
        <f>IF(AZ$6="","",IF(AZ$3="Maior",iferror(VLOOKUP($R488,Capa!$A:$AJ,AZ$5,0),0),IF(ISERROR(1/VLOOKUP($R488,Capa!$A:$AJ,AZ$5,0)),0,1/VLOOKUP($R488,Capa!$A:$AJ,AZ$5,0))))</f>
        <v/>
      </c>
      <c r="BA488" s="174" t="str">
        <f>IF(BA$6="","",IF(BA$3="Maior",iferror(VLOOKUP($R488,Capa!$A:$AJ,BA$5,0),0),IF(ISERROR(1/VLOOKUP($R488,Capa!$A:$AJ,BA$5,0)),0,1/VLOOKUP($R488,Capa!$A:$AJ,BA$5,0))))</f>
        <v/>
      </c>
      <c r="BB488" s="174" t="str">
        <f>IF(BB$6="","",IF(BB$3="Maior",iferror(VLOOKUP($R488,Capa!$A:$AJ,BB$5,0),0),IF(ISERROR(1/VLOOKUP($R488,Capa!$A:$AJ,BB$5,0)),0,1/VLOOKUP($R488,Capa!$A:$AJ,BB$5,0))))</f>
        <v/>
      </c>
      <c r="BC488" s="174" t="str">
        <f>IF(BC$6="","",IF(BC$3="Maior",iferror(VLOOKUP($R488,Capa!$A:$AJ,BC$5,0),0),IF(ISERROR(1/VLOOKUP($R488,Capa!$A:$AJ,BC$5,0)),0,1/VLOOKUP($R488,Capa!$A:$AJ,BC$5,0))))</f>
        <v/>
      </c>
      <c r="BD488" s="174" t="str">
        <f>IF(BD$6="","",IF(BD$3="Maior",iferror(VLOOKUP($R488,Capa!$A:$AJ,BD$5,0),0),IF(ISERROR(1/VLOOKUP($R488,Capa!$A:$AJ,BD$5,0)),0,1/VLOOKUP($R488,Capa!$A:$AJ,BD$5,0))))</f>
        <v/>
      </c>
      <c r="BE488" s="174" t="str">
        <f>IF(BE$6="","",IF(BE$3="Maior",iferror(VLOOKUP($R488,Capa!$A:$AJ,BE$5,0),0),IF(ISERROR(1/VLOOKUP($R488,Capa!$A:$AJ,BE$5,0)),0,1/VLOOKUP($R488,Capa!$A:$AJ,BE$5,0))))</f>
        <v/>
      </c>
      <c r="BF488" s="174" t="str">
        <f>IF(BF$6="","",IF(BF$3="Maior",iferror(VLOOKUP($R488,Capa!$A:$AJ,BF$5,0),0),IF(ISERROR(1/VLOOKUP($R488,Capa!$A:$AJ,BF$5,0)),0,1/VLOOKUP($R488,Capa!$A:$AJ,BF$5,0))))</f>
        <v/>
      </c>
      <c r="BG488" s="174" t="str">
        <f>IF(BG$6="","",IF(BG$3="Maior",iferror(VLOOKUP($R488,Capa!$A:$AJ,BG$5,0),0),IF(ISERROR(1/VLOOKUP($R488,Capa!$A:$AJ,BG$5,0)),0,1/VLOOKUP($R488,Capa!$A:$AJ,BG$5,0))))</f>
        <v/>
      </c>
      <c r="BH488" s="174" t="str">
        <f>IF(BH$6="","",IF(BH$3="Maior",iferror(VLOOKUP($R488,Capa!$A:$AJ,BH$5,0),0),IF(ISERROR(1/VLOOKUP($R488,Capa!$A:$AJ,BH$5,0)),0,1/VLOOKUP($R488,Capa!$A:$AJ,BH$5,0))))</f>
        <v/>
      </c>
      <c r="BI488" s="174" t="str">
        <f>IF(BI$6="","",IF(BI$3="Maior",iferror(VLOOKUP($R488,Capa!$A:$AJ,BI$5,0),0),IF(ISERROR(1/VLOOKUP($R488,Capa!$A:$AJ,BI$5,0)),0,1/VLOOKUP($R488,Capa!$A:$AJ,BI$5,0))))</f>
        <v/>
      </c>
      <c r="BJ488" s="174" t="str">
        <f>IF(BJ$6="","",IF(BJ$3="Maior",iferror(VLOOKUP($R488,Capa!$A:$AJ,BJ$5,0),0),IF(ISERROR(1/VLOOKUP($R488,Capa!$A:$AJ,BJ$5,0)),0,1/VLOOKUP($R488,Capa!$A:$AJ,BJ$5,0))))</f>
        <v/>
      </c>
      <c r="BK488" s="174" t="str">
        <f>IF(BK$6="","",IF(BK$3="Maior",iferror(VLOOKUP($R488,Capa!$A:$AJ,BK$5,0),0),IF(ISERROR(1/VLOOKUP($R488,Capa!$A:$AJ,BK$5,0)),0,1/VLOOKUP($R488,Capa!$A:$AJ,BK$5,0))))</f>
        <v/>
      </c>
      <c r="BL488" s="174" t="str">
        <f>IF(BL$6="","",IF(BL$3="Maior",iferror(VLOOKUP($R488,Capa!$A:$AJ,BL$5,0),0),IF(ISERROR(1/VLOOKUP($R488,Capa!$A:$AJ,BL$5,0)),0,1/VLOOKUP($R488,Capa!$A:$AJ,BL$5,0))))</f>
        <v/>
      </c>
      <c r="BM488" s="174" t="str">
        <f>IF(BM$6="","",IF(BM$3="Maior",iferror(VLOOKUP($R488,Capa!$A:$AJ,BM$5,0),0),IF(ISERROR(1/VLOOKUP($R488,Capa!$A:$AJ,BM$5,0)),0,1/VLOOKUP($R488,Capa!$A:$AJ,BM$5,0))))</f>
        <v/>
      </c>
      <c r="BN488" s="174" t="str">
        <f>IF(BN$6="","",IF(BN$3="Maior",iferror(VLOOKUP($R488,Capa!$A:$AJ,BN$5,0),0),IF(ISERROR(1/VLOOKUP($R488,Capa!$A:$AJ,BN$5,0)),0,1/VLOOKUP($R488,Capa!$A:$AJ,BN$5,0))))</f>
        <v/>
      </c>
      <c r="BO488" s="174" t="str">
        <f>IF(BO$6="","",IF(BO$3="Maior",iferror(VLOOKUP($R488,Capa!$A:$AJ,BO$5,0),0),IF(ISERROR(1/VLOOKUP($R488,Capa!$A:$AJ,BO$5,0)),0,1/VLOOKUP($R488,Capa!$A:$AJ,BO$5,0))))</f>
        <v/>
      </c>
      <c r="BP488" s="174" t="str">
        <f>IF(BP$6="","",IF(BP$3="Maior",iferror(VLOOKUP($R488,Capa!$A:$AJ,BP$5,0),0),IF(ISERROR(1/VLOOKUP($R488,Capa!$A:$AJ,BP$5,0)),0,1/VLOOKUP($R488,Capa!$A:$AJ,BP$5,0))))</f>
        <v/>
      </c>
      <c r="BQ488" s="174" t="str">
        <f>IF(BQ$6="","",IF(BQ$3="Maior",iferror(VLOOKUP($R488,Capa!$A:$AJ,BQ$5,0),0),IF(ISERROR(1/VLOOKUP($R488,Capa!$A:$AJ,BQ$5,0)),0,1/VLOOKUP($R488,Capa!$A:$AJ,BQ$5,0))))</f>
        <v/>
      </c>
      <c r="BR488" s="175"/>
      <c r="BS488" s="147"/>
    </row>
    <row r="489">
      <c r="H489" s="8">
        <v>483.0</v>
      </c>
      <c r="I489" s="165" t="str">
        <f t="shared" si="6"/>
        <v>CESP5</v>
      </c>
      <c r="J489" s="166" t="str">
        <f>(VLOOKUP($I489,Capa!$A:$B,2,0))</f>
        <v/>
      </c>
      <c r="K489" s="167" t="str">
        <f>VLOOKUP(left(I489,4),Setor!A:D,3,0)&amp;" | "&amp;VLOOKUP(left(I489,4),Setor!A:D,4,0)</f>
        <v>Utilidade Pública | Energia Elétrica</v>
      </c>
      <c r="L489" s="168" t="str">
        <f>(VLOOKUP($I489,Capa!$A:$F,6,0))</f>
        <v/>
      </c>
      <c r="M489" s="168">
        <f t="shared" si="7"/>
        <v>0</v>
      </c>
      <c r="N489" s="11" t="str">
        <f>(VLOOKUP($I489,Capa!$A:$H,7,0))</f>
        <v/>
      </c>
      <c r="O489" s="169" t="str">
        <f>(VLOOKUP($I489,Capa!$A:$H,8,0))</f>
        <v/>
      </c>
      <c r="P489" s="11" t="str">
        <f>(VLOOKUP($I489,Capa!$A:$J,10,0))</f>
        <v/>
      </c>
      <c r="Q489" s="169" t="str">
        <f>(VLOOKUP($I489,Capa!$A:$K,11,0))</f>
        <v/>
      </c>
      <c r="R489" s="45" t="str">
        <f>'Dados StatusInvest'!A484</f>
        <v>RANI3</v>
      </c>
      <c r="S489" s="170">
        <f t="shared" si="234"/>
        <v>632.0632</v>
      </c>
      <c r="T489" s="171">
        <f>VLOOKUP(R489,'Dados StatusInvest'!A:Z,26,0)</f>
        <v>6159140</v>
      </c>
      <c r="U489" s="172">
        <f t="shared" ref="U489:AS489" si="492">IF(AT489="","", RANK(AT489,AT$7:AT$626,0)+RANK(AT489,AT$7:AT$626,0)/10000)</f>
        <v>365.0365</v>
      </c>
      <c r="V489" s="172">
        <f t="shared" si="492"/>
        <v>267.0267</v>
      </c>
      <c r="W489" s="172" t="str">
        <f t="shared" si="492"/>
        <v/>
      </c>
      <c r="X489" s="172" t="str">
        <f t="shared" si="492"/>
        <v/>
      </c>
      <c r="Y489" s="172" t="str">
        <f t="shared" si="492"/>
        <v/>
      </c>
      <c r="Z489" s="172" t="str">
        <f t="shared" si="492"/>
        <v/>
      </c>
      <c r="AA489" s="172" t="str">
        <f t="shared" si="492"/>
        <v/>
      </c>
      <c r="AB489" s="172" t="str">
        <f t="shared" si="492"/>
        <v/>
      </c>
      <c r="AC489" s="172" t="str">
        <f t="shared" si="492"/>
        <v/>
      </c>
      <c r="AD489" s="172" t="str">
        <f t="shared" si="492"/>
        <v/>
      </c>
      <c r="AE489" s="172" t="str">
        <f t="shared" si="492"/>
        <v/>
      </c>
      <c r="AF489" s="172" t="str">
        <f t="shared" si="492"/>
        <v/>
      </c>
      <c r="AG489" s="172" t="str">
        <f t="shared" si="492"/>
        <v/>
      </c>
      <c r="AH489" s="172" t="str">
        <f t="shared" si="492"/>
        <v/>
      </c>
      <c r="AI489" s="172" t="str">
        <f t="shared" si="492"/>
        <v/>
      </c>
      <c r="AJ489" s="172" t="str">
        <f t="shared" si="492"/>
        <v/>
      </c>
      <c r="AK489" s="172" t="str">
        <f t="shared" si="492"/>
        <v/>
      </c>
      <c r="AL489" s="172" t="str">
        <f t="shared" si="492"/>
        <v/>
      </c>
      <c r="AM489" s="172" t="str">
        <f t="shared" si="492"/>
        <v/>
      </c>
      <c r="AN489" s="172" t="str">
        <f t="shared" si="492"/>
        <v/>
      </c>
      <c r="AO489" s="172" t="str">
        <f t="shared" si="492"/>
        <v/>
      </c>
      <c r="AP489" s="172" t="str">
        <f t="shared" si="492"/>
        <v/>
      </c>
      <c r="AQ489" s="172" t="str">
        <f t="shared" si="492"/>
        <v/>
      </c>
      <c r="AR489" s="172" t="str">
        <f t="shared" si="492"/>
        <v/>
      </c>
      <c r="AS489" s="172" t="str">
        <f t="shared" si="492"/>
        <v/>
      </c>
      <c r="AT489" s="173">
        <f>IF(AT$6="","",IF(AT$3="Maior",iferror(VLOOKUP($R489,Capa!$A:$AJ,AT$5,0),0),IF(ISERROR(1/VLOOKUP($R489,Capa!$A:$AJ,AT$5,0)),0,1/VLOOKUP($R489,Capa!$A:$AJ,AT$5,0))))</f>
        <v>-1.103099128</v>
      </c>
      <c r="AU489" s="174">
        <f>IF(AU$6="","",IF(AU$3="Maior",iferror(VLOOKUP($R489,Capa!$A:$AJ,AU$5,0),0),IF(ISERROR(1/VLOOKUP($R489,Capa!$A:$AJ,AU$5,0)),0,1/VLOOKUP($R489,Capa!$A:$AJ,AU$5,0))))</f>
        <v>0</v>
      </c>
      <c r="AV489" s="174" t="str">
        <f>IF(AV$6="","",IF(AV$3="Maior",iferror(VLOOKUP($R489,Capa!$A:$AJ,AV$5,0),0),IF(ISERROR(1/VLOOKUP($R489,Capa!$A:$AJ,AV$5,0)),0,1/VLOOKUP($R489,Capa!$A:$AJ,AV$5,0))))</f>
        <v/>
      </c>
      <c r="AW489" s="174" t="str">
        <f>IF(AW$6="","",IF(AW$3="Maior",iferror(VLOOKUP($R489,Capa!$A:$AJ,AW$5,0),0),IF(ISERROR(1/VLOOKUP($R489,Capa!$A:$AJ,AW$5,0)),0,1/VLOOKUP($R489,Capa!$A:$AJ,AW$5,0))))</f>
        <v/>
      </c>
      <c r="AX489" s="174" t="str">
        <f>IF(AX$6="","",IF(AX$3="Maior",iferror(VLOOKUP($R489,Capa!$A:$AJ,AX$5,0),0),IF(ISERROR(1/VLOOKUP($R489,Capa!$A:$AJ,AX$5,0)),0,1/VLOOKUP($R489,Capa!$A:$AJ,AX$5,0))))</f>
        <v/>
      </c>
      <c r="AY489" s="174" t="str">
        <f>IF(AY$6="","",IF(AY$3="Maior",iferror(VLOOKUP($R489,Capa!$A:$AJ,AY$5,0),0),IF(ISERROR(1/VLOOKUP($R489,Capa!$A:$AJ,AY$5,0)),0,1/VLOOKUP($R489,Capa!$A:$AJ,AY$5,0))))</f>
        <v/>
      </c>
      <c r="AZ489" s="174" t="str">
        <f>IF(AZ$6="","",IF(AZ$3="Maior",iferror(VLOOKUP($R489,Capa!$A:$AJ,AZ$5,0),0),IF(ISERROR(1/VLOOKUP($R489,Capa!$A:$AJ,AZ$5,0)),0,1/VLOOKUP($R489,Capa!$A:$AJ,AZ$5,0))))</f>
        <v/>
      </c>
      <c r="BA489" s="174" t="str">
        <f>IF(BA$6="","",IF(BA$3="Maior",iferror(VLOOKUP($R489,Capa!$A:$AJ,BA$5,0),0),IF(ISERROR(1/VLOOKUP($R489,Capa!$A:$AJ,BA$5,0)),0,1/VLOOKUP($R489,Capa!$A:$AJ,BA$5,0))))</f>
        <v/>
      </c>
      <c r="BB489" s="174" t="str">
        <f>IF(BB$6="","",IF(BB$3="Maior",iferror(VLOOKUP($R489,Capa!$A:$AJ,BB$5,0),0),IF(ISERROR(1/VLOOKUP($R489,Capa!$A:$AJ,BB$5,0)),0,1/VLOOKUP($R489,Capa!$A:$AJ,BB$5,0))))</f>
        <v/>
      </c>
      <c r="BC489" s="174" t="str">
        <f>IF(BC$6="","",IF(BC$3="Maior",iferror(VLOOKUP($R489,Capa!$A:$AJ,BC$5,0),0),IF(ISERROR(1/VLOOKUP($R489,Capa!$A:$AJ,BC$5,0)),0,1/VLOOKUP($R489,Capa!$A:$AJ,BC$5,0))))</f>
        <v/>
      </c>
      <c r="BD489" s="174" t="str">
        <f>IF(BD$6="","",IF(BD$3="Maior",iferror(VLOOKUP($R489,Capa!$A:$AJ,BD$5,0),0),IF(ISERROR(1/VLOOKUP($R489,Capa!$A:$AJ,BD$5,0)),0,1/VLOOKUP($R489,Capa!$A:$AJ,BD$5,0))))</f>
        <v/>
      </c>
      <c r="BE489" s="174" t="str">
        <f>IF(BE$6="","",IF(BE$3="Maior",iferror(VLOOKUP($R489,Capa!$A:$AJ,BE$5,0),0),IF(ISERROR(1/VLOOKUP($R489,Capa!$A:$AJ,BE$5,0)),0,1/VLOOKUP($R489,Capa!$A:$AJ,BE$5,0))))</f>
        <v/>
      </c>
      <c r="BF489" s="174" t="str">
        <f>IF(BF$6="","",IF(BF$3="Maior",iferror(VLOOKUP($R489,Capa!$A:$AJ,BF$5,0),0),IF(ISERROR(1/VLOOKUP($R489,Capa!$A:$AJ,BF$5,0)),0,1/VLOOKUP($R489,Capa!$A:$AJ,BF$5,0))))</f>
        <v/>
      </c>
      <c r="BG489" s="174" t="str">
        <f>IF(BG$6="","",IF(BG$3="Maior",iferror(VLOOKUP($R489,Capa!$A:$AJ,BG$5,0),0),IF(ISERROR(1/VLOOKUP($R489,Capa!$A:$AJ,BG$5,0)),0,1/VLOOKUP($R489,Capa!$A:$AJ,BG$5,0))))</f>
        <v/>
      </c>
      <c r="BH489" s="174" t="str">
        <f>IF(BH$6="","",IF(BH$3="Maior",iferror(VLOOKUP($R489,Capa!$A:$AJ,BH$5,0),0),IF(ISERROR(1/VLOOKUP($R489,Capa!$A:$AJ,BH$5,0)),0,1/VLOOKUP($R489,Capa!$A:$AJ,BH$5,0))))</f>
        <v/>
      </c>
      <c r="BI489" s="174" t="str">
        <f>IF(BI$6="","",IF(BI$3="Maior",iferror(VLOOKUP($R489,Capa!$A:$AJ,BI$5,0),0),IF(ISERROR(1/VLOOKUP($R489,Capa!$A:$AJ,BI$5,0)),0,1/VLOOKUP($R489,Capa!$A:$AJ,BI$5,0))))</f>
        <v/>
      </c>
      <c r="BJ489" s="174" t="str">
        <f>IF(BJ$6="","",IF(BJ$3="Maior",iferror(VLOOKUP($R489,Capa!$A:$AJ,BJ$5,0),0),IF(ISERROR(1/VLOOKUP($R489,Capa!$A:$AJ,BJ$5,0)),0,1/VLOOKUP($R489,Capa!$A:$AJ,BJ$5,0))))</f>
        <v/>
      </c>
      <c r="BK489" s="174" t="str">
        <f>IF(BK$6="","",IF(BK$3="Maior",iferror(VLOOKUP($R489,Capa!$A:$AJ,BK$5,0),0),IF(ISERROR(1/VLOOKUP($R489,Capa!$A:$AJ,BK$5,0)),0,1/VLOOKUP($R489,Capa!$A:$AJ,BK$5,0))))</f>
        <v/>
      </c>
      <c r="BL489" s="174" t="str">
        <f>IF(BL$6="","",IF(BL$3="Maior",iferror(VLOOKUP($R489,Capa!$A:$AJ,BL$5,0),0),IF(ISERROR(1/VLOOKUP($R489,Capa!$A:$AJ,BL$5,0)),0,1/VLOOKUP($R489,Capa!$A:$AJ,BL$5,0))))</f>
        <v/>
      </c>
      <c r="BM489" s="174" t="str">
        <f>IF(BM$6="","",IF(BM$3="Maior",iferror(VLOOKUP($R489,Capa!$A:$AJ,BM$5,0),0),IF(ISERROR(1/VLOOKUP($R489,Capa!$A:$AJ,BM$5,0)),0,1/VLOOKUP($R489,Capa!$A:$AJ,BM$5,0))))</f>
        <v/>
      </c>
      <c r="BN489" s="174" t="str">
        <f>IF(BN$6="","",IF(BN$3="Maior",iferror(VLOOKUP($R489,Capa!$A:$AJ,BN$5,0),0),IF(ISERROR(1/VLOOKUP($R489,Capa!$A:$AJ,BN$5,0)),0,1/VLOOKUP($R489,Capa!$A:$AJ,BN$5,0))))</f>
        <v/>
      </c>
      <c r="BO489" s="174" t="str">
        <f>IF(BO$6="","",IF(BO$3="Maior",iferror(VLOOKUP($R489,Capa!$A:$AJ,BO$5,0),0),IF(ISERROR(1/VLOOKUP($R489,Capa!$A:$AJ,BO$5,0)),0,1/VLOOKUP($R489,Capa!$A:$AJ,BO$5,0))))</f>
        <v/>
      </c>
      <c r="BP489" s="174" t="str">
        <f>IF(BP$6="","",IF(BP$3="Maior",iferror(VLOOKUP($R489,Capa!$A:$AJ,BP$5,0),0),IF(ISERROR(1/VLOOKUP($R489,Capa!$A:$AJ,BP$5,0)),0,1/VLOOKUP($R489,Capa!$A:$AJ,BP$5,0))))</f>
        <v/>
      </c>
      <c r="BQ489" s="174" t="str">
        <f>IF(BQ$6="","",IF(BQ$3="Maior",iferror(VLOOKUP($R489,Capa!$A:$AJ,BQ$5,0),0),IF(ISERROR(1/VLOOKUP($R489,Capa!$A:$AJ,BQ$5,0)),0,1/VLOOKUP($R489,Capa!$A:$AJ,BQ$5,0))))</f>
        <v/>
      </c>
      <c r="BR489" s="175"/>
      <c r="BS489" s="147"/>
    </row>
    <row r="490">
      <c r="H490" s="8">
        <v>484.0</v>
      </c>
      <c r="I490" s="165" t="str">
        <f t="shared" si="6"/>
        <v>AHEB3</v>
      </c>
      <c r="J490" s="166" t="str">
        <f>(VLOOKUP($I490,Capa!$A:$B,2,0))</f>
        <v>Sao Paulo Turismo SA</v>
      </c>
      <c r="K490" s="167" t="str">
        <f>VLOOKUP(left(I490,4),Setor!A:D,3,0)&amp;" | "&amp;VLOOKUP(left(I490,4),Setor!A:D,4,0)</f>
        <v>Consumo Cíclico | Viagens e Lazer</v>
      </c>
      <c r="L490" s="168">
        <f>(VLOOKUP($I490,Capa!$A:$F,6,0))</f>
        <v>25</v>
      </c>
      <c r="M490" s="168">
        <f t="shared" si="7"/>
        <v>2100</v>
      </c>
      <c r="N490" s="11" t="str">
        <f>IFERROR(__xludf.DUMMYFUNCTION("(VLOOKUP($I490,Capa!$A:$H,7,0))"),"")</f>
        <v/>
      </c>
      <c r="O490" s="169">
        <f>(VLOOKUP($I490,Capa!$A:$H,8,0))</f>
        <v>0.04166666667</v>
      </c>
      <c r="P490" s="11" t="str">
        <f>IFERROR(__xludf.DUMMYFUNCTION("(VLOOKUP($I490,Capa!$A:$J,10,0))"),"")</f>
        <v/>
      </c>
      <c r="Q490" s="169" t="str">
        <f>(VLOOKUP($I490,Capa!$A:$K,11,0))</f>
        <v/>
      </c>
      <c r="R490" s="45" t="str">
        <f>'Dados StatusInvest'!A485</f>
        <v>RANI4</v>
      </c>
      <c r="S490" s="170">
        <f t="shared" si="234"/>
        <v>1517.0517</v>
      </c>
      <c r="T490" s="171">
        <f>VLOOKUP(R490,'Dados StatusInvest'!A:Z,26,0)</f>
        <v>0</v>
      </c>
      <c r="U490" s="172">
        <f t="shared" ref="U490:AS490" si="493">IF(AT490="","", RANK(AT490,AT$7:AT$626,0)+RANK(AT490,AT$7:AT$626,0)/10000)</f>
        <v>250.025</v>
      </c>
      <c r="V490" s="172">
        <f t="shared" si="493"/>
        <v>267.0267</v>
      </c>
      <c r="W490" s="172" t="str">
        <f t="shared" si="493"/>
        <v/>
      </c>
      <c r="X490" s="172" t="str">
        <f t="shared" si="493"/>
        <v/>
      </c>
      <c r="Y490" s="172" t="str">
        <f t="shared" si="493"/>
        <v/>
      </c>
      <c r="Z490" s="172" t="str">
        <f t="shared" si="493"/>
        <v/>
      </c>
      <c r="AA490" s="172" t="str">
        <f t="shared" si="493"/>
        <v/>
      </c>
      <c r="AB490" s="172" t="str">
        <f t="shared" si="493"/>
        <v/>
      </c>
      <c r="AC490" s="172" t="str">
        <f t="shared" si="493"/>
        <v/>
      </c>
      <c r="AD490" s="172" t="str">
        <f t="shared" si="493"/>
        <v/>
      </c>
      <c r="AE490" s="172" t="str">
        <f t="shared" si="493"/>
        <v/>
      </c>
      <c r="AF490" s="172" t="str">
        <f t="shared" si="493"/>
        <v/>
      </c>
      <c r="AG490" s="172" t="str">
        <f t="shared" si="493"/>
        <v/>
      </c>
      <c r="AH490" s="172" t="str">
        <f t="shared" si="493"/>
        <v/>
      </c>
      <c r="AI490" s="172" t="str">
        <f t="shared" si="493"/>
        <v/>
      </c>
      <c r="AJ490" s="172" t="str">
        <f t="shared" si="493"/>
        <v/>
      </c>
      <c r="AK490" s="172" t="str">
        <f t="shared" si="493"/>
        <v/>
      </c>
      <c r="AL490" s="172" t="str">
        <f t="shared" si="493"/>
        <v/>
      </c>
      <c r="AM490" s="172" t="str">
        <f t="shared" si="493"/>
        <v/>
      </c>
      <c r="AN490" s="172" t="str">
        <f t="shared" si="493"/>
        <v/>
      </c>
      <c r="AO490" s="172" t="str">
        <f t="shared" si="493"/>
        <v/>
      </c>
      <c r="AP490" s="172" t="str">
        <f t="shared" si="493"/>
        <v/>
      </c>
      <c r="AQ490" s="172" t="str">
        <f t="shared" si="493"/>
        <v/>
      </c>
      <c r="AR490" s="172" t="str">
        <f t="shared" si="493"/>
        <v/>
      </c>
      <c r="AS490" s="172" t="str">
        <f t="shared" si="493"/>
        <v/>
      </c>
      <c r="AT490" s="173">
        <f>IF(AT$6="","",IF(AT$3="Maior",iferror(VLOOKUP($R490,Capa!$A:$AJ,AT$5,0),0),IF(ISERROR(1/VLOOKUP($R490,Capa!$A:$AJ,AT$5,0)),0,1/VLOOKUP($R490,Capa!$A:$AJ,AT$5,0))))</f>
        <v>-0.487804878</v>
      </c>
      <c r="AU490" s="174">
        <f>IF(AU$6="","",IF(AU$3="Maior",iferror(VLOOKUP($R490,Capa!$A:$AJ,AU$5,0),0),IF(ISERROR(1/VLOOKUP($R490,Capa!$A:$AJ,AU$5,0)),0,1/VLOOKUP($R490,Capa!$A:$AJ,AU$5,0))))</f>
        <v>0</v>
      </c>
      <c r="AV490" s="174" t="str">
        <f>IF(AV$6="","",IF(AV$3="Maior",iferror(VLOOKUP($R490,Capa!$A:$AJ,AV$5,0),0),IF(ISERROR(1/VLOOKUP($R490,Capa!$A:$AJ,AV$5,0)),0,1/VLOOKUP($R490,Capa!$A:$AJ,AV$5,0))))</f>
        <v/>
      </c>
      <c r="AW490" s="174" t="str">
        <f>IF(AW$6="","",IF(AW$3="Maior",iferror(VLOOKUP($R490,Capa!$A:$AJ,AW$5,0),0),IF(ISERROR(1/VLOOKUP($R490,Capa!$A:$AJ,AW$5,0)),0,1/VLOOKUP($R490,Capa!$A:$AJ,AW$5,0))))</f>
        <v/>
      </c>
      <c r="AX490" s="174" t="str">
        <f>IF(AX$6="","",IF(AX$3="Maior",iferror(VLOOKUP($R490,Capa!$A:$AJ,AX$5,0),0),IF(ISERROR(1/VLOOKUP($R490,Capa!$A:$AJ,AX$5,0)),0,1/VLOOKUP($R490,Capa!$A:$AJ,AX$5,0))))</f>
        <v/>
      </c>
      <c r="AY490" s="174" t="str">
        <f>IF(AY$6="","",IF(AY$3="Maior",iferror(VLOOKUP($R490,Capa!$A:$AJ,AY$5,0),0),IF(ISERROR(1/VLOOKUP($R490,Capa!$A:$AJ,AY$5,0)),0,1/VLOOKUP($R490,Capa!$A:$AJ,AY$5,0))))</f>
        <v/>
      </c>
      <c r="AZ490" s="174" t="str">
        <f>IF(AZ$6="","",IF(AZ$3="Maior",iferror(VLOOKUP($R490,Capa!$A:$AJ,AZ$5,0),0),IF(ISERROR(1/VLOOKUP($R490,Capa!$A:$AJ,AZ$5,0)),0,1/VLOOKUP($R490,Capa!$A:$AJ,AZ$5,0))))</f>
        <v/>
      </c>
      <c r="BA490" s="174" t="str">
        <f>IF(BA$6="","",IF(BA$3="Maior",iferror(VLOOKUP($R490,Capa!$A:$AJ,BA$5,0),0),IF(ISERROR(1/VLOOKUP($R490,Capa!$A:$AJ,BA$5,0)),0,1/VLOOKUP($R490,Capa!$A:$AJ,BA$5,0))))</f>
        <v/>
      </c>
      <c r="BB490" s="174" t="str">
        <f>IF(BB$6="","",IF(BB$3="Maior",iferror(VLOOKUP($R490,Capa!$A:$AJ,BB$5,0),0),IF(ISERROR(1/VLOOKUP($R490,Capa!$A:$AJ,BB$5,0)),0,1/VLOOKUP($R490,Capa!$A:$AJ,BB$5,0))))</f>
        <v/>
      </c>
      <c r="BC490" s="174" t="str">
        <f>IF(BC$6="","",IF(BC$3="Maior",iferror(VLOOKUP($R490,Capa!$A:$AJ,BC$5,0),0),IF(ISERROR(1/VLOOKUP($R490,Capa!$A:$AJ,BC$5,0)),0,1/VLOOKUP($R490,Capa!$A:$AJ,BC$5,0))))</f>
        <v/>
      </c>
      <c r="BD490" s="174" t="str">
        <f>IF(BD$6="","",IF(BD$3="Maior",iferror(VLOOKUP($R490,Capa!$A:$AJ,BD$5,0),0),IF(ISERROR(1/VLOOKUP($R490,Capa!$A:$AJ,BD$5,0)),0,1/VLOOKUP($R490,Capa!$A:$AJ,BD$5,0))))</f>
        <v/>
      </c>
      <c r="BE490" s="174" t="str">
        <f>IF(BE$6="","",IF(BE$3="Maior",iferror(VLOOKUP($R490,Capa!$A:$AJ,BE$5,0),0),IF(ISERROR(1/VLOOKUP($R490,Capa!$A:$AJ,BE$5,0)),0,1/VLOOKUP($R490,Capa!$A:$AJ,BE$5,0))))</f>
        <v/>
      </c>
      <c r="BF490" s="174" t="str">
        <f>IF(BF$6="","",IF(BF$3="Maior",iferror(VLOOKUP($R490,Capa!$A:$AJ,BF$5,0),0),IF(ISERROR(1/VLOOKUP($R490,Capa!$A:$AJ,BF$5,0)),0,1/VLOOKUP($R490,Capa!$A:$AJ,BF$5,0))))</f>
        <v/>
      </c>
      <c r="BG490" s="174" t="str">
        <f>IF(BG$6="","",IF(BG$3="Maior",iferror(VLOOKUP($R490,Capa!$A:$AJ,BG$5,0),0),IF(ISERROR(1/VLOOKUP($R490,Capa!$A:$AJ,BG$5,0)),0,1/VLOOKUP($R490,Capa!$A:$AJ,BG$5,0))))</f>
        <v/>
      </c>
      <c r="BH490" s="174" t="str">
        <f>IF(BH$6="","",IF(BH$3="Maior",iferror(VLOOKUP($R490,Capa!$A:$AJ,BH$5,0),0),IF(ISERROR(1/VLOOKUP($R490,Capa!$A:$AJ,BH$5,0)),0,1/VLOOKUP($R490,Capa!$A:$AJ,BH$5,0))))</f>
        <v/>
      </c>
      <c r="BI490" s="174" t="str">
        <f>IF(BI$6="","",IF(BI$3="Maior",iferror(VLOOKUP($R490,Capa!$A:$AJ,BI$5,0),0),IF(ISERROR(1/VLOOKUP($R490,Capa!$A:$AJ,BI$5,0)),0,1/VLOOKUP($R490,Capa!$A:$AJ,BI$5,0))))</f>
        <v/>
      </c>
      <c r="BJ490" s="174" t="str">
        <f>IF(BJ$6="","",IF(BJ$3="Maior",iferror(VLOOKUP($R490,Capa!$A:$AJ,BJ$5,0),0),IF(ISERROR(1/VLOOKUP($R490,Capa!$A:$AJ,BJ$5,0)),0,1/VLOOKUP($R490,Capa!$A:$AJ,BJ$5,0))))</f>
        <v/>
      </c>
      <c r="BK490" s="174" t="str">
        <f>IF(BK$6="","",IF(BK$3="Maior",iferror(VLOOKUP($R490,Capa!$A:$AJ,BK$5,0),0),IF(ISERROR(1/VLOOKUP($R490,Capa!$A:$AJ,BK$5,0)),0,1/VLOOKUP($R490,Capa!$A:$AJ,BK$5,0))))</f>
        <v/>
      </c>
      <c r="BL490" s="174" t="str">
        <f>IF(BL$6="","",IF(BL$3="Maior",iferror(VLOOKUP($R490,Capa!$A:$AJ,BL$5,0),0),IF(ISERROR(1/VLOOKUP($R490,Capa!$A:$AJ,BL$5,0)),0,1/VLOOKUP($R490,Capa!$A:$AJ,BL$5,0))))</f>
        <v/>
      </c>
      <c r="BM490" s="174" t="str">
        <f>IF(BM$6="","",IF(BM$3="Maior",iferror(VLOOKUP($R490,Capa!$A:$AJ,BM$5,0),0),IF(ISERROR(1/VLOOKUP($R490,Capa!$A:$AJ,BM$5,0)),0,1/VLOOKUP($R490,Capa!$A:$AJ,BM$5,0))))</f>
        <v/>
      </c>
      <c r="BN490" s="174" t="str">
        <f>IF(BN$6="","",IF(BN$3="Maior",iferror(VLOOKUP($R490,Capa!$A:$AJ,BN$5,0),0),IF(ISERROR(1/VLOOKUP($R490,Capa!$A:$AJ,BN$5,0)),0,1/VLOOKUP($R490,Capa!$A:$AJ,BN$5,0))))</f>
        <v/>
      </c>
      <c r="BO490" s="174" t="str">
        <f>IF(BO$6="","",IF(BO$3="Maior",iferror(VLOOKUP($R490,Capa!$A:$AJ,BO$5,0),0),IF(ISERROR(1/VLOOKUP($R490,Capa!$A:$AJ,BO$5,0)),0,1/VLOOKUP($R490,Capa!$A:$AJ,BO$5,0))))</f>
        <v/>
      </c>
      <c r="BP490" s="174" t="str">
        <f>IF(BP$6="","",IF(BP$3="Maior",iferror(VLOOKUP($R490,Capa!$A:$AJ,BP$5,0),0),IF(ISERROR(1/VLOOKUP($R490,Capa!$A:$AJ,BP$5,0)),0,1/VLOOKUP($R490,Capa!$A:$AJ,BP$5,0))))</f>
        <v/>
      </c>
      <c r="BQ490" s="174" t="str">
        <f>IF(BQ$6="","",IF(BQ$3="Maior",iferror(VLOOKUP($R490,Capa!$A:$AJ,BQ$5,0),0),IF(ISERROR(1/VLOOKUP($R490,Capa!$A:$AJ,BQ$5,0)),0,1/VLOOKUP($R490,Capa!$A:$AJ,BQ$5,0))))</f>
        <v/>
      </c>
      <c r="BR490" s="175"/>
      <c r="BS490" s="147"/>
    </row>
    <row r="491">
      <c r="H491" s="8">
        <v>485.0</v>
      </c>
      <c r="I491" s="165" t="str">
        <f t="shared" si="6"/>
        <v>TELB3</v>
      </c>
      <c r="J491" s="166" t="str">
        <f>(VLOOKUP($I491,Capa!$A:$B,2,0))</f>
        <v>Telecomunicacoes Brasileiras SA - TELBRS</v>
      </c>
      <c r="K491" s="167" t="str">
        <f>VLOOKUP(left(I491,4),Setor!A:D,3,0)&amp;" | "&amp;VLOOKUP(left(I491,4),Setor!A:D,4,0)</f>
        <v>Comunicações | Telecomunicações</v>
      </c>
      <c r="L491" s="168">
        <f>(VLOOKUP($I491,Capa!$A:$F,6,0))</f>
        <v>12.8</v>
      </c>
      <c r="M491" s="168">
        <f t="shared" si="7"/>
        <v>16653.12</v>
      </c>
      <c r="N491" s="177" t="str">
        <f>IFERROR(__xludf.DUMMYFUNCTION("(VLOOKUP($I491,Capa!$A:$H,7,0))"),"")</f>
        <v/>
      </c>
      <c r="O491" s="169">
        <f>(VLOOKUP($I491,Capa!$A:$H,8,0))</f>
        <v>0.1840888067</v>
      </c>
      <c r="P491" s="169" t="str">
        <f>IFERROR(__xludf.DUMMYFUNCTION("(VLOOKUP($I491,Capa!$A:$J,10,0))"),"")</f>
        <v/>
      </c>
      <c r="Q491" s="169">
        <f>(VLOOKUP($I491,Capa!$A:$K,11,0))</f>
        <v>-0.06227106227</v>
      </c>
      <c r="R491" s="45" t="str">
        <f>'Dados StatusInvest'!A486</f>
        <v>RAPT3</v>
      </c>
      <c r="S491" s="170">
        <f t="shared" si="234"/>
        <v>2099.1099</v>
      </c>
      <c r="T491" s="171">
        <f>VLOOKUP(R491,'Dados StatusInvest'!A:Z,26,0)</f>
        <v>105623.1</v>
      </c>
      <c r="U491" s="172">
        <f t="shared" ref="U491:AS491" si="494">IF(AT491="","", RANK(AT491,AT$7:AT$626,0)+RANK(AT491,AT$7:AT$626,0)/10000)</f>
        <v>510.051</v>
      </c>
      <c r="V491" s="172">
        <f t="shared" si="494"/>
        <v>589.0589</v>
      </c>
      <c r="W491" s="172" t="str">
        <f t="shared" si="494"/>
        <v/>
      </c>
      <c r="X491" s="172" t="str">
        <f t="shared" si="494"/>
        <v/>
      </c>
      <c r="Y491" s="172" t="str">
        <f t="shared" si="494"/>
        <v/>
      </c>
      <c r="Z491" s="172" t="str">
        <f t="shared" si="494"/>
        <v/>
      </c>
      <c r="AA491" s="172" t="str">
        <f t="shared" si="494"/>
        <v/>
      </c>
      <c r="AB491" s="172" t="str">
        <f t="shared" si="494"/>
        <v/>
      </c>
      <c r="AC491" s="172" t="str">
        <f t="shared" si="494"/>
        <v/>
      </c>
      <c r="AD491" s="172" t="str">
        <f t="shared" si="494"/>
        <v/>
      </c>
      <c r="AE491" s="172" t="str">
        <f t="shared" si="494"/>
        <v/>
      </c>
      <c r="AF491" s="172" t="str">
        <f t="shared" si="494"/>
        <v/>
      </c>
      <c r="AG491" s="172" t="str">
        <f t="shared" si="494"/>
        <v/>
      </c>
      <c r="AH491" s="172" t="str">
        <f t="shared" si="494"/>
        <v/>
      </c>
      <c r="AI491" s="172" t="str">
        <f t="shared" si="494"/>
        <v/>
      </c>
      <c r="AJ491" s="172" t="str">
        <f t="shared" si="494"/>
        <v/>
      </c>
      <c r="AK491" s="172" t="str">
        <f t="shared" si="494"/>
        <v/>
      </c>
      <c r="AL491" s="172" t="str">
        <f t="shared" si="494"/>
        <v/>
      </c>
      <c r="AM491" s="172" t="str">
        <f t="shared" si="494"/>
        <v/>
      </c>
      <c r="AN491" s="172" t="str">
        <f t="shared" si="494"/>
        <v/>
      </c>
      <c r="AO491" s="172" t="str">
        <f t="shared" si="494"/>
        <v/>
      </c>
      <c r="AP491" s="172" t="str">
        <f t="shared" si="494"/>
        <v/>
      </c>
      <c r="AQ491" s="172" t="str">
        <f t="shared" si="494"/>
        <v/>
      </c>
      <c r="AR491" s="172" t="str">
        <f t="shared" si="494"/>
        <v/>
      </c>
      <c r="AS491" s="172" t="str">
        <f t="shared" si="494"/>
        <v/>
      </c>
      <c r="AT491" s="173">
        <f>IF(AT$6="","",IF(AT$3="Maior",iferror(VLOOKUP($R491,Capa!$A:$AJ,AT$5,0),0),IF(ISERROR(1/VLOOKUP($R491,Capa!$A:$AJ,AT$5,0)),0,1/VLOOKUP($R491,Capa!$A:$AJ,AT$5,0))))</f>
        <v>-3.610910505</v>
      </c>
      <c r="AU491" s="174">
        <f>IF(AU$6="","",IF(AU$3="Maior",iferror(VLOOKUP($R491,Capa!$A:$AJ,AU$5,0),0),IF(ISERROR(1/VLOOKUP($R491,Capa!$A:$AJ,AU$5,0)),0,1/VLOOKUP($R491,Capa!$A:$AJ,AU$5,0))))</f>
        <v>-16.86</v>
      </c>
      <c r="AV491" s="174" t="str">
        <f>IF(AV$6="","",IF(AV$3="Maior",iferror(VLOOKUP($R491,Capa!$A:$AJ,AV$5,0),0),IF(ISERROR(1/VLOOKUP($R491,Capa!$A:$AJ,AV$5,0)),0,1/VLOOKUP($R491,Capa!$A:$AJ,AV$5,0))))</f>
        <v/>
      </c>
      <c r="AW491" s="174" t="str">
        <f>IF(AW$6="","",IF(AW$3="Maior",iferror(VLOOKUP($R491,Capa!$A:$AJ,AW$5,0),0),IF(ISERROR(1/VLOOKUP($R491,Capa!$A:$AJ,AW$5,0)),0,1/VLOOKUP($R491,Capa!$A:$AJ,AW$5,0))))</f>
        <v/>
      </c>
      <c r="AX491" s="174" t="str">
        <f>IF(AX$6="","",IF(AX$3="Maior",iferror(VLOOKUP($R491,Capa!$A:$AJ,AX$5,0),0),IF(ISERROR(1/VLOOKUP($R491,Capa!$A:$AJ,AX$5,0)),0,1/VLOOKUP($R491,Capa!$A:$AJ,AX$5,0))))</f>
        <v/>
      </c>
      <c r="AY491" s="174" t="str">
        <f>IF(AY$6="","",IF(AY$3="Maior",iferror(VLOOKUP($R491,Capa!$A:$AJ,AY$5,0),0),IF(ISERROR(1/VLOOKUP($R491,Capa!$A:$AJ,AY$5,0)),0,1/VLOOKUP($R491,Capa!$A:$AJ,AY$5,0))))</f>
        <v/>
      </c>
      <c r="AZ491" s="174" t="str">
        <f>IF(AZ$6="","",IF(AZ$3="Maior",iferror(VLOOKUP($R491,Capa!$A:$AJ,AZ$5,0),0),IF(ISERROR(1/VLOOKUP($R491,Capa!$A:$AJ,AZ$5,0)),0,1/VLOOKUP($R491,Capa!$A:$AJ,AZ$5,0))))</f>
        <v/>
      </c>
      <c r="BA491" s="174" t="str">
        <f>IF(BA$6="","",IF(BA$3="Maior",iferror(VLOOKUP($R491,Capa!$A:$AJ,BA$5,0),0),IF(ISERROR(1/VLOOKUP($R491,Capa!$A:$AJ,BA$5,0)),0,1/VLOOKUP($R491,Capa!$A:$AJ,BA$5,0))))</f>
        <v/>
      </c>
      <c r="BB491" s="174" t="str">
        <f>IF(BB$6="","",IF(BB$3="Maior",iferror(VLOOKUP($R491,Capa!$A:$AJ,BB$5,0),0),IF(ISERROR(1/VLOOKUP($R491,Capa!$A:$AJ,BB$5,0)),0,1/VLOOKUP($R491,Capa!$A:$AJ,BB$5,0))))</f>
        <v/>
      </c>
      <c r="BC491" s="174" t="str">
        <f>IF(BC$6="","",IF(BC$3="Maior",iferror(VLOOKUP($R491,Capa!$A:$AJ,BC$5,0),0),IF(ISERROR(1/VLOOKUP($R491,Capa!$A:$AJ,BC$5,0)),0,1/VLOOKUP($R491,Capa!$A:$AJ,BC$5,0))))</f>
        <v/>
      </c>
      <c r="BD491" s="174" t="str">
        <f>IF(BD$6="","",IF(BD$3="Maior",iferror(VLOOKUP($R491,Capa!$A:$AJ,BD$5,0),0),IF(ISERROR(1/VLOOKUP($R491,Capa!$A:$AJ,BD$5,0)),0,1/VLOOKUP($R491,Capa!$A:$AJ,BD$5,0))))</f>
        <v/>
      </c>
      <c r="BE491" s="174" t="str">
        <f>IF(BE$6="","",IF(BE$3="Maior",iferror(VLOOKUP($R491,Capa!$A:$AJ,BE$5,0),0),IF(ISERROR(1/VLOOKUP($R491,Capa!$A:$AJ,BE$5,0)),0,1/VLOOKUP($R491,Capa!$A:$AJ,BE$5,0))))</f>
        <v/>
      </c>
      <c r="BF491" s="174" t="str">
        <f>IF(BF$6="","",IF(BF$3="Maior",iferror(VLOOKUP($R491,Capa!$A:$AJ,BF$5,0),0),IF(ISERROR(1/VLOOKUP($R491,Capa!$A:$AJ,BF$5,0)),0,1/VLOOKUP($R491,Capa!$A:$AJ,BF$5,0))))</f>
        <v/>
      </c>
      <c r="BG491" s="174" t="str">
        <f>IF(BG$6="","",IF(BG$3="Maior",iferror(VLOOKUP($R491,Capa!$A:$AJ,BG$5,0),0),IF(ISERROR(1/VLOOKUP($R491,Capa!$A:$AJ,BG$5,0)),0,1/VLOOKUP($R491,Capa!$A:$AJ,BG$5,0))))</f>
        <v/>
      </c>
      <c r="BH491" s="174" t="str">
        <f>IF(BH$6="","",IF(BH$3="Maior",iferror(VLOOKUP($R491,Capa!$A:$AJ,BH$5,0),0),IF(ISERROR(1/VLOOKUP($R491,Capa!$A:$AJ,BH$5,0)),0,1/VLOOKUP($R491,Capa!$A:$AJ,BH$5,0))))</f>
        <v/>
      </c>
      <c r="BI491" s="174" t="str">
        <f>IF(BI$6="","",IF(BI$3="Maior",iferror(VLOOKUP($R491,Capa!$A:$AJ,BI$5,0),0),IF(ISERROR(1/VLOOKUP($R491,Capa!$A:$AJ,BI$5,0)),0,1/VLOOKUP($R491,Capa!$A:$AJ,BI$5,0))))</f>
        <v/>
      </c>
      <c r="BJ491" s="174" t="str">
        <f>IF(BJ$6="","",IF(BJ$3="Maior",iferror(VLOOKUP($R491,Capa!$A:$AJ,BJ$5,0),0),IF(ISERROR(1/VLOOKUP($R491,Capa!$A:$AJ,BJ$5,0)),0,1/VLOOKUP($R491,Capa!$A:$AJ,BJ$5,0))))</f>
        <v/>
      </c>
      <c r="BK491" s="174" t="str">
        <f>IF(BK$6="","",IF(BK$3="Maior",iferror(VLOOKUP($R491,Capa!$A:$AJ,BK$5,0),0),IF(ISERROR(1/VLOOKUP($R491,Capa!$A:$AJ,BK$5,0)),0,1/VLOOKUP($R491,Capa!$A:$AJ,BK$5,0))))</f>
        <v/>
      </c>
      <c r="BL491" s="174" t="str">
        <f>IF(BL$6="","",IF(BL$3="Maior",iferror(VLOOKUP($R491,Capa!$A:$AJ,BL$5,0),0),IF(ISERROR(1/VLOOKUP($R491,Capa!$A:$AJ,BL$5,0)),0,1/VLOOKUP($R491,Capa!$A:$AJ,BL$5,0))))</f>
        <v/>
      </c>
      <c r="BM491" s="174" t="str">
        <f>IF(BM$6="","",IF(BM$3="Maior",iferror(VLOOKUP($R491,Capa!$A:$AJ,BM$5,0),0),IF(ISERROR(1/VLOOKUP($R491,Capa!$A:$AJ,BM$5,0)),0,1/VLOOKUP($R491,Capa!$A:$AJ,BM$5,0))))</f>
        <v/>
      </c>
      <c r="BN491" s="174" t="str">
        <f>IF(BN$6="","",IF(BN$3="Maior",iferror(VLOOKUP($R491,Capa!$A:$AJ,BN$5,0),0),IF(ISERROR(1/VLOOKUP($R491,Capa!$A:$AJ,BN$5,0)),0,1/VLOOKUP($R491,Capa!$A:$AJ,BN$5,0))))</f>
        <v/>
      </c>
      <c r="BO491" s="174" t="str">
        <f>IF(BO$6="","",IF(BO$3="Maior",iferror(VLOOKUP($R491,Capa!$A:$AJ,BO$5,0),0),IF(ISERROR(1/VLOOKUP($R491,Capa!$A:$AJ,BO$5,0)),0,1/VLOOKUP($R491,Capa!$A:$AJ,BO$5,0))))</f>
        <v/>
      </c>
      <c r="BP491" s="174" t="str">
        <f>IF(BP$6="","",IF(BP$3="Maior",iferror(VLOOKUP($R491,Capa!$A:$AJ,BP$5,0),0),IF(ISERROR(1/VLOOKUP($R491,Capa!$A:$AJ,BP$5,0)),0,1/VLOOKUP($R491,Capa!$A:$AJ,BP$5,0))))</f>
        <v/>
      </c>
      <c r="BQ491" s="174" t="str">
        <f>IF(BQ$6="","",IF(BQ$3="Maior",iferror(VLOOKUP($R491,Capa!$A:$AJ,BQ$5,0),0),IF(ISERROR(1/VLOOKUP($R491,Capa!$A:$AJ,BQ$5,0)),0,1/VLOOKUP($R491,Capa!$A:$AJ,BQ$5,0))))</f>
        <v/>
      </c>
      <c r="BR491" s="175"/>
      <c r="BS491" s="147"/>
    </row>
    <row r="492">
      <c r="H492" s="8">
        <v>486.0</v>
      </c>
      <c r="I492" s="165" t="str">
        <f t="shared" si="6"/>
        <v>ALUP3</v>
      </c>
      <c r="J492" s="166" t="str">
        <f>(VLOOKUP($I492,Capa!$A:$B,2,0))</f>
        <v>Alupar Investimento SA</v>
      </c>
      <c r="K492" s="167" t="str">
        <f>VLOOKUP(left(I492,4),Setor!A:D,3,0)&amp;" | "&amp;VLOOKUP(left(I492,4),Setor!A:D,4,0)</f>
        <v>Utilidade Pública | Energia Elétrica</v>
      </c>
      <c r="L492" s="168">
        <f>(VLOOKUP($I492,Capa!$A:$F,6,0))</f>
        <v>13.28</v>
      </c>
      <c r="M492" s="168">
        <f t="shared" si="7"/>
        <v>120061.5</v>
      </c>
      <c r="N492" s="11" t="str">
        <f>IFERROR(__xludf.DUMMYFUNCTION("(VLOOKUP($I492,Capa!$A:$H,7,0))"),"")</f>
        <v/>
      </c>
      <c r="O492" s="169">
        <f>(VLOOKUP($I492,Capa!$A:$H,8,0))</f>
        <v>0.09031198686</v>
      </c>
      <c r="P492" s="11" t="str">
        <f>IFERROR(__xludf.DUMMYFUNCTION("(VLOOKUP($I492,Capa!$A:$J,10,0))"),"")</f>
        <v/>
      </c>
      <c r="Q492" s="169">
        <f>(VLOOKUP($I492,Capa!$A:$K,11,0))</f>
        <v>0.4157782516</v>
      </c>
      <c r="R492" s="45" t="str">
        <f>'Dados StatusInvest'!A487</f>
        <v>RAPT4</v>
      </c>
      <c r="S492" s="170">
        <f t="shared" si="234"/>
        <v>1101.1101</v>
      </c>
      <c r="T492" s="171">
        <f>VLOOKUP(R492,'Dados StatusInvest'!A:Z,26,0)</f>
        <v>32680537</v>
      </c>
      <c r="U492" s="172">
        <f t="shared" ref="U492:AS492" si="495">IF(AT492="","", RANK(AT492,AT$7:AT$626,0)+RANK(AT492,AT$7:AT$626,0)/10000)</f>
        <v>512.0512</v>
      </c>
      <c r="V492" s="172">
        <f t="shared" si="495"/>
        <v>589.0589</v>
      </c>
      <c r="W492" s="172" t="str">
        <f t="shared" si="495"/>
        <v/>
      </c>
      <c r="X492" s="172" t="str">
        <f t="shared" si="495"/>
        <v/>
      </c>
      <c r="Y492" s="172" t="str">
        <f t="shared" si="495"/>
        <v/>
      </c>
      <c r="Z492" s="172" t="str">
        <f t="shared" si="495"/>
        <v/>
      </c>
      <c r="AA492" s="172" t="str">
        <f t="shared" si="495"/>
        <v/>
      </c>
      <c r="AB492" s="172" t="str">
        <f t="shared" si="495"/>
        <v/>
      </c>
      <c r="AC492" s="172" t="str">
        <f t="shared" si="495"/>
        <v/>
      </c>
      <c r="AD492" s="172" t="str">
        <f t="shared" si="495"/>
        <v/>
      </c>
      <c r="AE492" s="172" t="str">
        <f t="shared" si="495"/>
        <v/>
      </c>
      <c r="AF492" s="172" t="str">
        <f t="shared" si="495"/>
        <v/>
      </c>
      <c r="AG492" s="172" t="str">
        <f t="shared" si="495"/>
        <v/>
      </c>
      <c r="AH492" s="172" t="str">
        <f t="shared" si="495"/>
        <v/>
      </c>
      <c r="AI492" s="172" t="str">
        <f t="shared" si="495"/>
        <v/>
      </c>
      <c r="AJ492" s="172" t="str">
        <f t="shared" si="495"/>
        <v/>
      </c>
      <c r="AK492" s="172" t="str">
        <f t="shared" si="495"/>
        <v/>
      </c>
      <c r="AL492" s="172" t="str">
        <f t="shared" si="495"/>
        <v/>
      </c>
      <c r="AM492" s="172" t="str">
        <f t="shared" si="495"/>
        <v/>
      </c>
      <c r="AN492" s="172" t="str">
        <f t="shared" si="495"/>
        <v/>
      </c>
      <c r="AO492" s="172" t="str">
        <f t="shared" si="495"/>
        <v/>
      </c>
      <c r="AP492" s="172" t="str">
        <f t="shared" si="495"/>
        <v/>
      </c>
      <c r="AQ492" s="172" t="str">
        <f t="shared" si="495"/>
        <v/>
      </c>
      <c r="AR492" s="172" t="str">
        <f t="shared" si="495"/>
        <v/>
      </c>
      <c r="AS492" s="172" t="str">
        <f t="shared" si="495"/>
        <v/>
      </c>
      <c r="AT492" s="173">
        <f>IF(AT$6="","",IF(AT$3="Maior",iferror(VLOOKUP($R492,Capa!$A:$AJ,AT$5,0),0),IF(ISERROR(1/VLOOKUP($R492,Capa!$A:$AJ,AT$5,0)),0,1/VLOOKUP($R492,Capa!$A:$AJ,AT$5,0))))</f>
        <v>-3.617785142</v>
      </c>
      <c r="AU492" s="174">
        <f>IF(AU$6="","",IF(AU$3="Maior",iferror(VLOOKUP($R492,Capa!$A:$AJ,AU$5,0),0),IF(ISERROR(1/VLOOKUP($R492,Capa!$A:$AJ,AU$5,0)),0,1/VLOOKUP($R492,Capa!$A:$AJ,AU$5,0))))</f>
        <v>-16.86</v>
      </c>
      <c r="AV492" s="174" t="str">
        <f>IF(AV$6="","",IF(AV$3="Maior",iferror(VLOOKUP($R492,Capa!$A:$AJ,AV$5,0),0),IF(ISERROR(1/VLOOKUP($R492,Capa!$A:$AJ,AV$5,0)),0,1/VLOOKUP($R492,Capa!$A:$AJ,AV$5,0))))</f>
        <v/>
      </c>
      <c r="AW492" s="174" t="str">
        <f>IF(AW$6="","",IF(AW$3="Maior",iferror(VLOOKUP($R492,Capa!$A:$AJ,AW$5,0),0),IF(ISERROR(1/VLOOKUP($R492,Capa!$A:$AJ,AW$5,0)),0,1/VLOOKUP($R492,Capa!$A:$AJ,AW$5,0))))</f>
        <v/>
      </c>
      <c r="AX492" s="174" t="str">
        <f>IF(AX$6="","",IF(AX$3="Maior",iferror(VLOOKUP($R492,Capa!$A:$AJ,AX$5,0),0),IF(ISERROR(1/VLOOKUP($R492,Capa!$A:$AJ,AX$5,0)),0,1/VLOOKUP($R492,Capa!$A:$AJ,AX$5,0))))</f>
        <v/>
      </c>
      <c r="AY492" s="174" t="str">
        <f>IF(AY$6="","",IF(AY$3="Maior",iferror(VLOOKUP($R492,Capa!$A:$AJ,AY$5,0),0),IF(ISERROR(1/VLOOKUP($R492,Capa!$A:$AJ,AY$5,0)),0,1/VLOOKUP($R492,Capa!$A:$AJ,AY$5,0))))</f>
        <v/>
      </c>
      <c r="AZ492" s="174" t="str">
        <f>IF(AZ$6="","",IF(AZ$3="Maior",iferror(VLOOKUP($R492,Capa!$A:$AJ,AZ$5,0),0),IF(ISERROR(1/VLOOKUP($R492,Capa!$A:$AJ,AZ$5,0)),0,1/VLOOKUP($R492,Capa!$A:$AJ,AZ$5,0))))</f>
        <v/>
      </c>
      <c r="BA492" s="174" t="str">
        <f>IF(BA$6="","",IF(BA$3="Maior",iferror(VLOOKUP($R492,Capa!$A:$AJ,BA$5,0),0),IF(ISERROR(1/VLOOKUP($R492,Capa!$A:$AJ,BA$5,0)),0,1/VLOOKUP($R492,Capa!$A:$AJ,BA$5,0))))</f>
        <v/>
      </c>
      <c r="BB492" s="174" t="str">
        <f>IF(BB$6="","",IF(BB$3="Maior",iferror(VLOOKUP($R492,Capa!$A:$AJ,BB$5,0),0),IF(ISERROR(1/VLOOKUP($R492,Capa!$A:$AJ,BB$5,0)),0,1/VLOOKUP($R492,Capa!$A:$AJ,BB$5,0))))</f>
        <v/>
      </c>
      <c r="BC492" s="174" t="str">
        <f>IF(BC$6="","",IF(BC$3="Maior",iferror(VLOOKUP($R492,Capa!$A:$AJ,BC$5,0),0),IF(ISERROR(1/VLOOKUP($R492,Capa!$A:$AJ,BC$5,0)),0,1/VLOOKUP($R492,Capa!$A:$AJ,BC$5,0))))</f>
        <v/>
      </c>
      <c r="BD492" s="174" t="str">
        <f>IF(BD$6="","",IF(BD$3="Maior",iferror(VLOOKUP($R492,Capa!$A:$AJ,BD$5,0),0),IF(ISERROR(1/VLOOKUP($R492,Capa!$A:$AJ,BD$5,0)),0,1/VLOOKUP($R492,Capa!$A:$AJ,BD$5,0))))</f>
        <v/>
      </c>
      <c r="BE492" s="174" t="str">
        <f>IF(BE$6="","",IF(BE$3="Maior",iferror(VLOOKUP($R492,Capa!$A:$AJ,BE$5,0),0),IF(ISERROR(1/VLOOKUP($R492,Capa!$A:$AJ,BE$5,0)),0,1/VLOOKUP($R492,Capa!$A:$AJ,BE$5,0))))</f>
        <v/>
      </c>
      <c r="BF492" s="174" t="str">
        <f>IF(BF$6="","",IF(BF$3="Maior",iferror(VLOOKUP($R492,Capa!$A:$AJ,BF$5,0),0),IF(ISERROR(1/VLOOKUP($R492,Capa!$A:$AJ,BF$5,0)),0,1/VLOOKUP($R492,Capa!$A:$AJ,BF$5,0))))</f>
        <v/>
      </c>
      <c r="BG492" s="174" t="str">
        <f>IF(BG$6="","",IF(BG$3="Maior",iferror(VLOOKUP($R492,Capa!$A:$AJ,BG$5,0),0),IF(ISERROR(1/VLOOKUP($R492,Capa!$A:$AJ,BG$5,0)),0,1/VLOOKUP($R492,Capa!$A:$AJ,BG$5,0))))</f>
        <v/>
      </c>
      <c r="BH492" s="174" t="str">
        <f>IF(BH$6="","",IF(BH$3="Maior",iferror(VLOOKUP($R492,Capa!$A:$AJ,BH$5,0),0),IF(ISERROR(1/VLOOKUP($R492,Capa!$A:$AJ,BH$5,0)),0,1/VLOOKUP($R492,Capa!$A:$AJ,BH$5,0))))</f>
        <v/>
      </c>
      <c r="BI492" s="174" t="str">
        <f>IF(BI$6="","",IF(BI$3="Maior",iferror(VLOOKUP($R492,Capa!$A:$AJ,BI$5,0),0),IF(ISERROR(1/VLOOKUP($R492,Capa!$A:$AJ,BI$5,0)),0,1/VLOOKUP($R492,Capa!$A:$AJ,BI$5,0))))</f>
        <v/>
      </c>
      <c r="BJ492" s="174" t="str">
        <f>IF(BJ$6="","",IF(BJ$3="Maior",iferror(VLOOKUP($R492,Capa!$A:$AJ,BJ$5,0),0),IF(ISERROR(1/VLOOKUP($R492,Capa!$A:$AJ,BJ$5,0)),0,1/VLOOKUP($R492,Capa!$A:$AJ,BJ$5,0))))</f>
        <v/>
      </c>
      <c r="BK492" s="174" t="str">
        <f>IF(BK$6="","",IF(BK$3="Maior",iferror(VLOOKUP($R492,Capa!$A:$AJ,BK$5,0),0),IF(ISERROR(1/VLOOKUP($R492,Capa!$A:$AJ,BK$5,0)),0,1/VLOOKUP($R492,Capa!$A:$AJ,BK$5,0))))</f>
        <v/>
      </c>
      <c r="BL492" s="174" t="str">
        <f>IF(BL$6="","",IF(BL$3="Maior",iferror(VLOOKUP($R492,Capa!$A:$AJ,BL$5,0),0),IF(ISERROR(1/VLOOKUP($R492,Capa!$A:$AJ,BL$5,0)),0,1/VLOOKUP($R492,Capa!$A:$AJ,BL$5,0))))</f>
        <v/>
      </c>
      <c r="BM492" s="174" t="str">
        <f>IF(BM$6="","",IF(BM$3="Maior",iferror(VLOOKUP($R492,Capa!$A:$AJ,BM$5,0),0),IF(ISERROR(1/VLOOKUP($R492,Capa!$A:$AJ,BM$5,0)),0,1/VLOOKUP($R492,Capa!$A:$AJ,BM$5,0))))</f>
        <v/>
      </c>
      <c r="BN492" s="174" t="str">
        <f>IF(BN$6="","",IF(BN$3="Maior",iferror(VLOOKUP($R492,Capa!$A:$AJ,BN$5,0),0),IF(ISERROR(1/VLOOKUP($R492,Capa!$A:$AJ,BN$5,0)),0,1/VLOOKUP($R492,Capa!$A:$AJ,BN$5,0))))</f>
        <v/>
      </c>
      <c r="BO492" s="174" t="str">
        <f>IF(BO$6="","",IF(BO$3="Maior",iferror(VLOOKUP($R492,Capa!$A:$AJ,BO$5,0),0),IF(ISERROR(1/VLOOKUP($R492,Capa!$A:$AJ,BO$5,0)),0,1/VLOOKUP($R492,Capa!$A:$AJ,BO$5,0))))</f>
        <v/>
      </c>
      <c r="BP492" s="174" t="str">
        <f>IF(BP$6="","",IF(BP$3="Maior",iferror(VLOOKUP($R492,Capa!$A:$AJ,BP$5,0),0),IF(ISERROR(1/VLOOKUP($R492,Capa!$A:$AJ,BP$5,0)),0,1/VLOOKUP($R492,Capa!$A:$AJ,BP$5,0))))</f>
        <v/>
      </c>
      <c r="BQ492" s="174" t="str">
        <f>IF(BQ$6="","",IF(BQ$3="Maior",iferror(VLOOKUP($R492,Capa!$A:$AJ,BQ$5,0),0),IF(ISERROR(1/VLOOKUP($R492,Capa!$A:$AJ,BQ$5,0)),0,1/VLOOKUP($R492,Capa!$A:$AJ,BQ$5,0))))</f>
        <v/>
      </c>
      <c r="BR492" s="175"/>
      <c r="BS492" s="147"/>
    </row>
    <row r="493">
      <c r="H493" s="8">
        <v>487.0</v>
      </c>
      <c r="I493" s="165" t="str">
        <f t="shared" si="6"/>
        <v>IDVL3</v>
      </c>
      <c r="J493" s="166" t="str">
        <f>(VLOOKUP($I493,Capa!$A:$B,2,0))</f>
        <v/>
      </c>
      <c r="K493" s="167" t="str">
        <f>VLOOKUP(left(I493,4),Setor!A:D,3,0)&amp;" | "&amp;VLOOKUP(left(I493,4),Setor!A:D,4,0)</f>
        <v>Financeiro | Intermediários Financeiros</v>
      </c>
      <c r="L493" s="168" t="str">
        <f>(VLOOKUP($I493,Capa!$A:$F,6,0))</f>
        <v/>
      </c>
      <c r="M493" s="168">
        <f t="shared" si="7"/>
        <v>0</v>
      </c>
      <c r="N493" s="11" t="str">
        <f>(VLOOKUP($I493,Capa!$A:$H,7,0))</f>
        <v/>
      </c>
      <c r="O493" s="169" t="str">
        <f>(VLOOKUP($I493,Capa!$A:$H,8,0))</f>
        <v/>
      </c>
      <c r="P493" s="11" t="str">
        <f>(VLOOKUP($I493,Capa!$A:$J,10,0))</f>
        <v/>
      </c>
      <c r="Q493" s="169" t="str">
        <f>(VLOOKUP($I493,Capa!$A:$K,11,0))</f>
        <v/>
      </c>
      <c r="R493" s="45" t="str">
        <f>'Dados StatusInvest'!A488</f>
        <v>RCSL3</v>
      </c>
      <c r="S493" s="170">
        <f t="shared" si="234"/>
        <v>463.0463</v>
      </c>
      <c r="T493" s="171">
        <f>VLOOKUP(R493,'Dados StatusInvest'!A:Z,26,0)</f>
        <v>1245132</v>
      </c>
      <c r="U493" s="172">
        <f t="shared" ref="U493:AS493" si="496">IF(AT493="","", RANK(AT493,AT$7:AT$626,0)+RANK(AT493,AT$7:AT$626,0)/10000)</f>
        <v>196.0196</v>
      </c>
      <c r="V493" s="172">
        <f t="shared" si="496"/>
        <v>267.0267</v>
      </c>
      <c r="W493" s="172" t="str">
        <f t="shared" si="496"/>
        <v/>
      </c>
      <c r="X493" s="172" t="str">
        <f t="shared" si="496"/>
        <v/>
      </c>
      <c r="Y493" s="172" t="str">
        <f t="shared" si="496"/>
        <v/>
      </c>
      <c r="Z493" s="172" t="str">
        <f t="shared" si="496"/>
        <v/>
      </c>
      <c r="AA493" s="172" t="str">
        <f t="shared" si="496"/>
        <v/>
      </c>
      <c r="AB493" s="172" t="str">
        <f t="shared" si="496"/>
        <v/>
      </c>
      <c r="AC493" s="172" t="str">
        <f t="shared" si="496"/>
        <v/>
      </c>
      <c r="AD493" s="172" t="str">
        <f t="shared" si="496"/>
        <v/>
      </c>
      <c r="AE493" s="172" t="str">
        <f t="shared" si="496"/>
        <v/>
      </c>
      <c r="AF493" s="172" t="str">
        <f t="shared" si="496"/>
        <v/>
      </c>
      <c r="AG493" s="172" t="str">
        <f t="shared" si="496"/>
        <v/>
      </c>
      <c r="AH493" s="172" t="str">
        <f t="shared" si="496"/>
        <v/>
      </c>
      <c r="AI493" s="172" t="str">
        <f t="shared" si="496"/>
        <v/>
      </c>
      <c r="AJ493" s="172" t="str">
        <f t="shared" si="496"/>
        <v/>
      </c>
      <c r="AK493" s="172" t="str">
        <f t="shared" si="496"/>
        <v/>
      </c>
      <c r="AL493" s="172" t="str">
        <f t="shared" si="496"/>
        <v/>
      </c>
      <c r="AM493" s="172" t="str">
        <f t="shared" si="496"/>
        <v/>
      </c>
      <c r="AN493" s="172" t="str">
        <f t="shared" si="496"/>
        <v/>
      </c>
      <c r="AO493" s="172" t="str">
        <f t="shared" si="496"/>
        <v/>
      </c>
      <c r="AP493" s="172" t="str">
        <f t="shared" si="496"/>
        <v/>
      </c>
      <c r="AQ493" s="172" t="str">
        <f t="shared" si="496"/>
        <v/>
      </c>
      <c r="AR493" s="172" t="str">
        <f t="shared" si="496"/>
        <v/>
      </c>
      <c r="AS493" s="172" t="str">
        <f t="shared" si="496"/>
        <v/>
      </c>
      <c r="AT493" s="173">
        <f>IF(AT$6="","",IF(AT$3="Maior",iferror(VLOOKUP($R493,Capa!$A:$AJ,AT$5,0),0),IF(ISERROR(1/VLOOKUP($R493,Capa!$A:$AJ,AT$5,0)),0,1/VLOOKUP($R493,Capa!$A:$AJ,AT$5,0))))</f>
        <v>-0.2599247951</v>
      </c>
      <c r="AU493" s="174">
        <f>IF(AU$6="","",IF(AU$3="Maior",iferror(VLOOKUP($R493,Capa!$A:$AJ,AU$5,0),0),IF(ISERROR(1/VLOOKUP($R493,Capa!$A:$AJ,AU$5,0)),0,1/VLOOKUP($R493,Capa!$A:$AJ,AU$5,0))))</f>
        <v>0</v>
      </c>
      <c r="AV493" s="174" t="str">
        <f>IF(AV$6="","",IF(AV$3="Maior",iferror(VLOOKUP($R493,Capa!$A:$AJ,AV$5,0),0),IF(ISERROR(1/VLOOKUP($R493,Capa!$A:$AJ,AV$5,0)),0,1/VLOOKUP($R493,Capa!$A:$AJ,AV$5,0))))</f>
        <v/>
      </c>
      <c r="AW493" s="174" t="str">
        <f>IF(AW$6="","",IF(AW$3="Maior",iferror(VLOOKUP($R493,Capa!$A:$AJ,AW$5,0),0),IF(ISERROR(1/VLOOKUP($R493,Capa!$A:$AJ,AW$5,0)),0,1/VLOOKUP($R493,Capa!$A:$AJ,AW$5,0))))</f>
        <v/>
      </c>
      <c r="AX493" s="174" t="str">
        <f>IF(AX$6="","",IF(AX$3="Maior",iferror(VLOOKUP($R493,Capa!$A:$AJ,AX$5,0),0),IF(ISERROR(1/VLOOKUP($R493,Capa!$A:$AJ,AX$5,0)),0,1/VLOOKUP($R493,Capa!$A:$AJ,AX$5,0))))</f>
        <v/>
      </c>
      <c r="AY493" s="174" t="str">
        <f>IF(AY$6="","",IF(AY$3="Maior",iferror(VLOOKUP($R493,Capa!$A:$AJ,AY$5,0),0),IF(ISERROR(1/VLOOKUP($R493,Capa!$A:$AJ,AY$5,0)),0,1/VLOOKUP($R493,Capa!$A:$AJ,AY$5,0))))</f>
        <v/>
      </c>
      <c r="AZ493" s="174" t="str">
        <f>IF(AZ$6="","",IF(AZ$3="Maior",iferror(VLOOKUP($R493,Capa!$A:$AJ,AZ$5,0),0),IF(ISERROR(1/VLOOKUP($R493,Capa!$A:$AJ,AZ$5,0)),0,1/VLOOKUP($R493,Capa!$A:$AJ,AZ$5,0))))</f>
        <v/>
      </c>
      <c r="BA493" s="174" t="str">
        <f>IF(BA$6="","",IF(BA$3="Maior",iferror(VLOOKUP($R493,Capa!$A:$AJ,BA$5,0),0),IF(ISERROR(1/VLOOKUP($R493,Capa!$A:$AJ,BA$5,0)),0,1/VLOOKUP($R493,Capa!$A:$AJ,BA$5,0))))</f>
        <v/>
      </c>
      <c r="BB493" s="174" t="str">
        <f>IF(BB$6="","",IF(BB$3="Maior",iferror(VLOOKUP($R493,Capa!$A:$AJ,BB$5,0),0),IF(ISERROR(1/VLOOKUP($R493,Capa!$A:$AJ,BB$5,0)),0,1/VLOOKUP($R493,Capa!$A:$AJ,BB$5,0))))</f>
        <v/>
      </c>
      <c r="BC493" s="174" t="str">
        <f>IF(BC$6="","",IF(BC$3="Maior",iferror(VLOOKUP($R493,Capa!$A:$AJ,BC$5,0),0),IF(ISERROR(1/VLOOKUP($R493,Capa!$A:$AJ,BC$5,0)),0,1/VLOOKUP($R493,Capa!$A:$AJ,BC$5,0))))</f>
        <v/>
      </c>
      <c r="BD493" s="174" t="str">
        <f>IF(BD$6="","",IF(BD$3="Maior",iferror(VLOOKUP($R493,Capa!$A:$AJ,BD$5,0),0),IF(ISERROR(1/VLOOKUP($R493,Capa!$A:$AJ,BD$5,0)),0,1/VLOOKUP($R493,Capa!$A:$AJ,BD$5,0))))</f>
        <v/>
      </c>
      <c r="BE493" s="174" t="str">
        <f>IF(BE$6="","",IF(BE$3="Maior",iferror(VLOOKUP($R493,Capa!$A:$AJ,BE$5,0),0),IF(ISERROR(1/VLOOKUP($R493,Capa!$A:$AJ,BE$5,0)),0,1/VLOOKUP($R493,Capa!$A:$AJ,BE$5,0))))</f>
        <v/>
      </c>
      <c r="BF493" s="174" t="str">
        <f>IF(BF$6="","",IF(BF$3="Maior",iferror(VLOOKUP($R493,Capa!$A:$AJ,BF$5,0),0),IF(ISERROR(1/VLOOKUP($R493,Capa!$A:$AJ,BF$5,0)),0,1/VLOOKUP($R493,Capa!$A:$AJ,BF$5,0))))</f>
        <v/>
      </c>
      <c r="BG493" s="174" t="str">
        <f>IF(BG$6="","",IF(BG$3="Maior",iferror(VLOOKUP($R493,Capa!$A:$AJ,BG$5,0),0),IF(ISERROR(1/VLOOKUP($R493,Capa!$A:$AJ,BG$5,0)),0,1/VLOOKUP($R493,Capa!$A:$AJ,BG$5,0))))</f>
        <v/>
      </c>
      <c r="BH493" s="174" t="str">
        <f>IF(BH$6="","",IF(BH$3="Maior",iferror(VLOOKUP($R493,Capa!$A:$AJ,BH$5,0),0),IF(ISERROR(1/VLOOKUP($R493,Capa!$A:$AJ,BH$5,0)),0,1/VLOOKUP($R493,Capa!$A:$AJ,BH$5,0))))</f>
        <v/>
      </c>
      <c r="BI493" s="174" t="str">
        <f>IF(BI$6="","",IF(BI$3="Maior",iferror(VLOOKUP($R493,Capa!$A:$AJ,BI$5,0),0),IF(ISERROR(1/VLOOKUP($R493,Capa!$A:$AJ,BI$5,0)),0,1/VLOOKUP($R493,Capa!$A:$AJ,BI$5,0))))</f>
        <v/>
      </c>
      <c r="BJ493" s="174" t="str">
        <f>IF(BJ$6="","",IF(BJ$3="Maior",iferror(VLOOKUP($R493,Capa!$A:$AJ,BJ$5,0),0),IF(ISERROR(1/VLOOKUP($R493,Capa!$A:$AJ,BJ$5,0)),0,1/VLOOKUP($R493,Capa!$A:$AJ,BJ$5,0))))</f>
        <v/>
      </c>
      <c r="BK493" s="174" t="str">
        <f>IF(BK$6="","",IF(BK$3="Maior",iferror(VLOOKUP($R493,Capa!$A:$AJ,BK$5,0),0),IF(ISERROR(1/VLOOKUP($R493,Capa!$A:$AJ,BK$5,0)),0,1/VLOOKUP($R493,Capa!$A:$AJ,BK$5,0))))</f>
        <v/>
      </c>
      <c r="BL493" s="174" t="str">
        <f>IF(BL$6="","",IF(BL$3="Maior",iferror(VLOOKUP($R493,Capa!$A:$AJ,BL$5,0),0),IF(ISERROR(1/VLOOKUP($R493,Capa!$A:$AJ,BL$5,0)),0,1/VLOOKUP($R493,Capa!$A:$AJ,BL$5,0))))</f>
        <v/>
      </c>
      <c r="BM493" s="174" t="str">
        <f>IF(BM$6="","",IF(BM$3="Maior",iferror(VLOOKUP($R493,Capa!$A:$AJ,BM$5,0),0),IF(ISERROR(1/VLOOKUP($R493,Capa!$A:$AJ,BM$5,0)),0,1/VLOOKUP($R493,Capa!$A:$AJ,BM$5,0))))</f>
        <v/>
      </c>
      <c r="BN493" s="174" t="str">
        <f>IF(BN$6="","",IF(BN$3="Maior",iferror(VLOOKUP($R493,Capa!$A:$AJ,BN$5,0),0),IF(ISERROR(1/VLOOKUP($R493,Capa!$A:$AJ,BN$5,0)),0,1/VLOOKUP($R493,Capa!$A:$AJ,BN$5,0))))</f>
        <v/>
      </c>
      <c r="BO493" s="174" t="str">
        <f>IF(BO$6="","",IF(BO$3="Maior",iferror(VLOOKUP($R493,Capa!$A:$AJ,BO$5,0),0),IF(ISERROR(1/VLOOKUP($R493,Capa!$A:$AJ,BO$5,0)),0,1/VLOOKUP($R493,Capa!$A:$AJ,BO$5,0))))</f>
        <v/>
      </c>
      <c r="BP493" s="174" t="str">
        <f>IF(BP$6="","",IF(BP$3="Maior",iferror(VLOOKUP($R493,Capa!$A:$AJ,BP$5,0),0),IF(ISERROR(1/VLOOKUP($R493,Capa!$A:$AJ,BP$5,0)),0,1/VLOOKUP($R493,Capa!$A:$AJ,BP$5,0))))</f>
        <v/>
      </c>
      <c r="BQ493" s="174" t="str">
        <f>IF(BQ$6="","",IF(BQ$3="Maior",iferror(VLOOKUP($R493,Capa!$A:$AJ,BQ$5,0),0),IF(ISERROR(1/VLOOKUP($R493,Capa!$A:$AJ,BQ$5,0)),0,1/VLOOKUP($R493,Capa!$A:$AJ,BQ$5,0))))</f>
        <v/>
      </c>
      <c r="BR493" s="175"/>
      <c r="BS493" s="147"/>
    </row>
    <row r="494">
      <c r="H494" s="8">
        <v>488.0</v>
      </c>
      <c r="I494" s="165" t="str">
        <f t="shared" si="6"/>
        <v>CALI3</v>
      </c>
      <c r="J494" s="166" t="str">
        <f>(VLOOKUP($I494,Capa!$A:$B,2,0))</f>
        <v>Construtora Adolpho Lindenberg SA</v>
      </c>
      <c r="K494" s="167" t="str">
        <f>VLOOKUP(left(I494,4),Setor!A:D,3,0)&amp;" | "&amp;VLOOKUP(left(I494,4),Setor!A:D,4,0)</f>
        <v>Consumo Cíclico | Construção Civil</v>
      </c>
      <c r="L494" s="168">
        <f>(VLOOKUP($I494,Capa!$A:$F,6,0))</f>
        <v>17.25</v>
      </c>
      <c r="M494" s="168">
        <f t="shared" si="7"/>
        <v>9354.83</v>
      </c>
      <c r="N494" s="11" t="str">
        <f>IFERROR(__xludf.DUMMYFUNCTION("(VLOOKUP($I494,Capa!$A:$H,7,0))"),"")</f>
        <v/>
      </c>
      <c r="O494" s="169" t="str">
        <f>(VLOOKUP($I494,Capa!$A:$H,8,0))</f>
        <v/>
      </c>
      <c r="P494" s="11" t="str">
        <f>IFERROR(__xludf.DUMMYFUNCTION("(VLOOKUP($I494,Capa!$A:$J,10,0))"),"")</f>
        <v/>
      </c>
      <c r="Q494" s="169" t="str">
        <f>(VLOOKUP($I494,Capa!$A:$K,11,0))</f>
        <v/>
      </c>
      <c r="R494" s="45" t="str">
        <f>'Dados StatusInvest'!A489</f>
        <v>RCSL4</v>
      </c>
      <c r="S494" s="170">
        <f t="shared" si="234"/>
        <v>423.0423</v>
      </c>
      <c r="T494" s="171">
        <f>VLOOKUP(R494,'Dados StatusInvest'!A:Z,26,0)</f>
        <v>36834759</v>
      </c>
      <c r="U494" s="172">
        <f t="shared" ref="U494:AS494" si="497">IF(AT494="","", RANK(AT494,AT$7:AT$626,0)+RANK(AT494,AT$7:AT$626,0)/10000)</f>
        <v>156.0156</v>
      </c>
      <c r="V494" s="172">
        <f t="shared" si="497"/>
        <v>267.0267</v>
      </c>
      <c r="W494" s="172" t="str">
        <f t="shared" si="497"/>
        <v/>
      </c>
      <c r="X494" s="172" t="str">
        <f t="shared" si="497"/>
        <v/>
      </c>
      <c r="Y494" s="172" t="str">
        <f t="shared" si="497"/>
        <v/>
      </c>
      <c r="Z494" s="172" t="str">
        <f t="shared" si="497"/>
        <v/>
      </c>
      <c r="AA494" s="172" t="str">
        <f t="shared" si="497"/>
        <v/>
      </c>
      <c r="AB494" s="172" t="str">
        <f t="shared" si="497"/>
        <v/>
      </c>
      <c r="AC494" s="172" t="str">
        <f t="shared" si="497"/>
        <v/>
      </c>
      <c r="AD494" s="172" t="str">
        <f t="shared" si="497"/>
        <v/>
      </c>
      <c r="AE494" s="172" t="str">
        <f t="shared" si="497"/>
        <v/>
      </c>
      <c r="AF494" s="172" t="str">
        <f t="shared" si="497"/>
        <v/>
      </c>
      <c r="AG494" s="172" t="str">
        <f t="shared" si="497"/>
        <v/>
      </c>
      <c r="AH494" s="172" t="str">
        <f t="shared" si="497"/>
        <v/>
      </c>
      <c r="AI494" s="172" t="str">
        <f t="shared" si="497"/>
        <v/>
      </c>
      <c r="AJ494" s="172" t="str">
        <f t="shared" si="497"/>
        <v/>
      </c>
      <c r="AK494" s="172" t="str">
        <f t="shared" si="497"/>
        <v/>
      </c>
      <c r="AL494" s="172" t="str">
        <f t="shared" si="497"/>
        <v/>
      </c>
      <c r="AM494" s="172" t="str">
        <f t="shared" si="497"/>
        <v/>
      </c>
      <c r="AN494" s="172" t="str">
        <f t="shared" si="497"/>
        <v/>
      </c>
      <c r="AO494" s="172" t="str">
        <f t="shared" si="497"/>
        <v/>
      </c>
      <c r="AP494" s="172" t="str">
        <f t="shared" si="497"/>
        <v/>
      </c>
      <c r="AQ494" s="172" t="str">
        <f t="shared" si="497"/>
        <v/>
      </c>
      <c r="AR494" s="172" t="str">
        <f t="shared" si="497"/>
        <v/>
      </c>
      <c r="AS494" s="172" t="str">
        <f t="shared" si="497"/>
        <v/>
      </c>
      <c r="AT494" s="173">
        <f>IF(AT$6="","",IF(AT$3="Maior",iferror(VLOOKUP($R494,Capa!$A:$AJ,AT$5,0),0),IF(ISERROR(1/VLOOKUP($R494,Capa!$A:$AJ,AT$5,0)),0,1/VLOOKUP($R494,Capa!$A:$AJ,AT$5,0))))</f>
        <v>-0.113192531</v>
      </c>
      <c r="AU494" s="174">
        <f>IF(AU$6="","",IF(AU$3="Maior",iferror(VLOOKUP($R494,Capa!$A:$AJ,AU$5,0),0),IF(ISERROR(1/VLOOKUP($R494,Capa!$A:$AJ,AU$5,0)),0,1/VLOOKUP($R494,Capa!$A:$AJ,AU$5,0))))</f>
        <v>0</v>
      </c>
      <c r="AV494" s="174" t="str">
        <f>IF(AV$6="","",IF(AV$3="Maior",iferror(VLOOKUP($R494,Capa!$A:$AJ,AV$5,0),0),IF(ISERROR(1/VLOOKUP($R494,Capa!$A:$AJ,AV$5,0)),0,1/VLOOKUP($R494,Capa!$A:$AJ,AV$5,0))))</f>
        <v/>
      </c>
      <c r="AW494" s="174" t="str">
        <f>IF(AW$6="","",IF(AW$3="Maior",iferror(VLOOKUP($R494,Capa!$A:$AJ,AW$5,0),0),IF(ISERROR(1/VLOOKUP($R494,Capa!$A:$AJ,AW$5,0)),0,1/VLOOKUP($R494,Capa!$A:$AJ,AW$5,0))))</f>
        <v/>
      </c>
      <c r="AX494" s="174" t="str">
        <f>IF(AX$6="","",IF(AX$3="Maior",iferror(VLOOKUP($R494,Capa!$A:$AJ,AX$5,0),0),IF(ISERROR(1/VLOOKUP($R494,Capa!$A:$AJ,AX$5,0)),0,1/VLOOKUP($R494,Capa!$A:$AJ,AX$5,0))))</f>
        <v/>
      </c>
      <c r="AY494" s="174" t="str">
        <f>IF(AY$6="","",IF(AY$3="Maior",iferror(VLOOKUP($R494,Capa!$A:$AJ,AY$5,0),0),IF(ISERROR(1/VLOOKUP($R494,Capa!$A:$AJ,AY$5,0)),0,1/VLOOKUP($R494,Capa!$A:$AJ,AY$5,0))))</f>
        <v/>
      </c>
      <c r="AZ494" s="174" t="str">
        <f>IF(AZ$6="","",IF(AZ$3="Maior",iferror(VLOOKUP($R494,Capa!$A:$AJ,AZ$5,0),0),IF(ISERROR(1/VLOOKUP($R494,Capa!$A:$AJ,AZ$5,0)),0,1/VLOOKUP($R494,Capa!$A:$AJ,AZ$5,0))))</f>
        <v/>
      </c>
      <c r="BA494" s="174" t="str">
        <f>IF(BA$6="","",IF(BA$3="Maior",iferror(VLOOKUP($R494,Capa!$A:$AJ,BA$5,0),0),IF(ISERROR(1/VLOOKUP($R494,Capa!$A:$AJ,BA$5,0)),0,1/VLOOKUP($R494,Capa!$A:$AJ,BA$5,0))))</f>
        <v/>
      </c>
      <c r="BB494" s="174" t="str">
        <f>IF(BB$6="","",IF(BB$3="Maior",iferror(VLOOKUP($R494,Capa!$A:$AJ,BB$5,0),0),IF(ISERROR(1/VLOOKUP($R494,Capa!$A:$AJ,BB$5,0)),0,1/VLOOKUP($R494,Capa!$A:$AJ,BB$5,0))))</f>
        <v/>
      </c>
      <c r="BC494" s="174" t="str">
        <f>IF(BC$6="","",IF(BC$3="Maior",iferror(VLOOKUP($R494,Capa!$A:$AJ,BC$5,0),0),IF(ISERROR(1/VLOOKUP($R494,Capa!$A:$AJ,BC$5,0)),0,1/VLOOKUP($R494,Capa!$A:$AJ,BC$5,0))))</f>
        <v/>
      </c>
      <c r="BD494" s="174" t="str">
        <f>IF(BD$6="","",IF(BD$3="Maior",iferror(VLOOKUP($R494,Capa!$A:$AJ,BD$5,0),0),IF(ISERROR(1/VLOOKUP($R494,Capa!$A:$AJ,BD$5,0)),0,1/VLOOKUP($R494,Capa!$A:$AJ,BD$5,0))))</f>
        <v/>
      </c>
      <c r="BE494" s="174" t="str">
        <f>IF(BE$6="","",IF(BE$3="Maior",iferror(VLOOKUP($R494,Capa!$A:$AJ,BE$5,0),0),IF(ISERROR(1/VLOOKUP($R494,Capa!$A:$AJ,BE$5,0)),0,1/VLOOKUP($R494,Capa!$A:$AJ,BE$5,0))))</f>
        <v/>
      </c>
      <c r="BF494" s="174" t="str">
        <f>IF(BF$6="","",IF(BF$3="Maior",iferror(VLOOKUP($R494,Capa!$A:$AJ,BF$5,0),0),IF(ISERROR(1/VLOOKUP($R494,Capa!$A:$AJ,BF$5,0)),0,1/VLOOKUP($R494,Capa!$A:$AJ,BF$5,0))))</f>
        <v/>
      </c>
      <c r="BG494" s="174" t="str">
        <f>IF(BG$6="","",IF(BG$3="Maior",iferror(VLOOKUP($R494,Capa!$A:$AJ,BG$5,0),0),IF(ISERROR(1/VLOOKUP($R494,Capa!$A:$AJ,BG$5,0)),0,1/VLOOKUP($R494,Capa!$A:$AJ,BG$5,0))))</f>
        <v/>
      </c>
      <c r="BH494" s="174" t="str">
        <f>IF(BH$6="","",IF(BH$3="Maior",iferror(VLOOKUP($R494,Capa!$A:$AJ,BH$5,0),0),IF(ISERROR(1/VLOOKUP($R494,Capa!$A:$AJ,BH$5,0)),0,1/VLOOKUP($R494,Capa!$A:$AJ,BH$5,0))))</f>
        <v/>
      </c>
      <c r="BI494" s="174" t="str">
        <f>IF(BI$6="","",IF(BI$3="Maior",iferror(VLOOKUP($R494,Capa!$A:$AJ,BI$5,0),0),IF(ISERROR(1/VLOOKUP($R494,Capa!$A:$AJ,BI$5,0)),0,1/VLOOKUP($R494,Capa!$A:$AJ,BI$5,0))))</f>
        <v/>
      </c>
      <c r="BJ494" s="174" t="str">
        <f>IF(BJ$6="","",IF(BJ$3="Maior",iferror(VLOOKUP($R494,Capa!$A:$AJ,BJ$5,0),0),IF(ISERROR(1/VLOOKUP($R494,Capa!$A:$AJ,BJ$5,0)),0,1/VLOOKUP($R494,Capa!$A:$AJ,BJ$5,0))))</f>
        <v/>
      </c>
      <c r="BK494" s="174" t="str">
        <f>IF(BK$6="","",IF(BK$3="Maior",iferror(VLOOKUP($R494,Capa!$A:$AJ,BK$5,0),0),IF(ISERROR(1/VLOOKUP($R494,Capa!$A:$AJ,BK$5,0)),0,1/VLOOKUP($R494,Capa!$A:$AJ,BK$5,0))))</f>
        <v/>
      </c>
      <c r="BL494" s="174" t="str">
        <f>IF(BL$6="","",IF(BL$3="Maior",iferror(VLOOKUP($R494,Capa!$A:$AJ,BL$5,0),0),IF(ISERROR(1/VLOOKUP($R494,Capa!$A:$AJ,BL$5,0)),0,1/VLOOKUP($R494,Capa!$A:$AJ,BL$5,0))))</f>
        <v/>
      </c>
      <c r="BM494" s="174" t="str">
        <f>IF(BM$6="","",IF(BM$3="Maior",iferror(VLOOKUP($R494,Capa!$A:$AJ,BM$5,0),0),IF(ISERROR(1/VLOOKUP($R494,Capa!$A:$AJ,BM$5,0)),0,1/VLOOKUP($R494,Capa!$A:$AJ,BM$5,0))))</f>
        <v/>
      </c>
      <c r="BN494" s="174" t="str">
        <f>IF(BN$6="","",IF(BN$3="Maior",iferror(VLOOKUP($R494,Capa!$A:$AJ,BN$5,0),0),IF(ISERROR(1/VLOOKUP($R494,Capa!$A:$AJ,BN$5,0)),0,1/VLOOKUP($R494,Capa!$A:$AJ,BN$5,0))))</f>
        <v/>
      </c>
      <c r="BO494" s="174" t="str">
        <f>IF(BO$6="","",IF(BO$3="Maior",iferror(VLOOKUP($R494,Capa!$A:$AJ,BO$5,0),0),IF(ISERROR(1/VLOOKUP($R494,Capa!$A:$AJ,BO$5,0)),0,1/VLOOKUP($R494,Capa!$A:$AJ,BO$5,0))))</f>
        <v/>
      </c>
      <c r="BP494" s="174" t="str">
        <f>IF(BP$6="","",IF(BP$3="Maior",iferror(VLOOKUP($R494,Capa!$A:$AJ,BP$5,0),0),IF(ISERROR(1/VLOOKUP($R494,Capa!$A:$AJ,BP$5,0)),0,1/VLOOKUP($R494,Capa!$A:$AJ,BP$5,0))))</f>
        <v/>
      </c>
      <c r="BQ494" s="174" t="str">
        <f>IF(BQ$6="","",IF(BQ$3="Maior",iferror(VLOOKUP($R494,Capa!$A:$AJ,BQ$5,0),0),IF(ISERROR(1/VLOOKUP($R494,Capa!$A:$AJ,BQ$5,0)),0,1/VLOOKUP($R494,Capa!$A:$AJ,BQ$5,0))))</f>
        <v/>
      </c>
      <c r="BR494" s="175"/>
      <c r="BS494" s="147"/>
    </row>
    <row r="495">
      <c r="H495" s="8">
        <v>489.0</v>
      </c>
      <c r="I495" s="165" t="str">
        <f t="shared" si="6"/>
        <v>CSAB4</v>
      </c>
      <c r="J495" s="166" t="str">
        <f>(VLOOKUP($I495,Capa!$A:$B,2,0))</f>
        <v/>
      </c>
      <c r="K495" s="167" t="str">
        <f>VLOOKUP(left(I495,4),Setor!A:D,3,0)&amp;" | "&amp;VLOOKUP(left(I495,4),Setor!A:D,4,0)</f>
        <v>Financeiro | Previdência e Seguros</v>
      </c>
      <c r="L495" s="168" t="str">
        <f>(VLOOKUP($I495,Capa!$A:$F,6,0))</f>
        <v/>
      </c>
      <c r="M495" s="168">
        <f t="shared" si="7"/>
        <v>0</v>
      </c>
      <c r="N495" s="11" t="str">
        <f>(VLOOKUP($I495,Capa!$A:$H,7,0))</f>
        <v/>
      </c>
      <c r="O495" s="169" t="str">
        <f>(VLOOKUP($I495,Capa!$A:$H,8,0))</f>
        <v/>
      </c>
      <c r="P495" s="11" t="str">
        <f>(VLOOKUP($I495,Capa!$A:$J,10,0))</f>
        <v/>
      </c>
      <c r="Q495" s="169" t="str">
        <f>(VLOOKUP($I495,Capa!$A:$K,11,0))</f>
        <v/>
      </c>
      <c r="R495" s="45" t="str">
        <f>'Dados StatusInvest'!A490</f>
        <v>RDNI3</v>
      </c>
      <c r="S495" s="170">
        <f t="shared" si="234"/>
        <v>1708.0708</v>
      </c>
      <c r="T495" s="171">
        <f>VLOOKUP(R495,'Dados StatusInvest'!A:Z,26,0)</f>
        <v>3199</v>
      </c>
      <c r="U495" s="172">
        <f t="shared" ref="U495:AS495" si="498">IF(AT495="","", RANK(AT495,AT$7:AT$626,0)+RANK(AT495,AT$7:AT$626,0)/10000)</f>
        <v>441.0441</v>
      </c>
      <c r="V495" s="172">
        <f t="shared" si="498"/>
        <v>267.0267</v>
      </c>
      <c r="W495" s="172" t="str">
        <f t="shared" si="498"/>
        <v/>
      </c>
      <c r="X495" s="172" t="str">
        <f t="shared" si="498"/>
        <v/>
      </c>
      <c r="Y495" s="172" t="str">
        <f t="shared" si="498"/>
        <v/>
      </c>
      <c r="Z495" s="172" t="str">
        <f t="shared" si="498"/>
        <v/>
      </c>
      <c r="AA495" s="172" t="str">
        <f t="shared" si="498"/>
        <v/>
      </c>
      <c r="AB495" s="172" t="str">
        <f t="shared" si="498"/>
        <v/>
      </c>
      <c r="AC495" s="172" t="str">
        <f t="shared" si="498"/>
        <v/>
      </c>
      <c r="AD495" s="172" t="str">
        <f t="shared" si="498"/>
        <v/>
      </c>
      <c r="AE495" s="172" t="str">
        <f t="shared" si="498"/>
        <v/>
      </c>
      <c r="AF495" s="172" t="str">
        <f t="shared" si="498"/>
        <v/>
      </c>
      <c r="AG495" s="172" t="str">
        <f t="shared" si="498"/>
        <v/>
      </c>
      <c r="AH495" s="172" t="str">
        <f t="shared" si="498"/>
        <v/>
      </c>
      <c r="AI495" s="172" t="str">
        <f t="shared" si="498"/>
        <v/>
      </c>
      <c r="AJ495" s="172" t="str">
        <f t="shared" si="498"/>
        <v/>
      </c>
      <c r="AK495" s="172" t="str">
        <f t="shared" si="498"/>
        <v/>
      </c>
      <c r="AL495" s="172" t="str">
        <f t="shared" si="498"/>
        <v/>
      </c>
      <c r="AM495" s="172" t="str">
        <f t="shared" si="498"/>
        <v/>
      </c>
      <c r="AN495" s="172" t="str">
        <f t="shared" si="498"/>
        <v/>
      </c>
      <c r="AO495" s="172" t="str">
        <f t="shared" si="498"/>
        <v/>
      </c>
      <c r="AP495" s="172" t="str">
        <f t="shared" si="498"/>
        <v/>
      </c>
      <c r="AQ495" s="172" t="str">
        <f t="shared" si="498"/>
        <v/>
      </c>
      <c r="AR495" s="172" t="str">
        <f t="shared" si="498"/>
        <v/>
      </c>
      <c r="AS495" s="172" t="str">
        <f t="shared" si="498"/>
        <v/>
      </c>
      <c r="AT495" s="173">
        <f>IF(AT$6="","",IF(AT$3="Maior",iferror(VLOOKUP($R495,Capa!$A:$AJ,AT$5,0),0),IF(ISERROR(1/VLOOKUP($R495,Capa!$A:$AJ,AT$5,0)),0,1/VLOOKUP($R495,Capa!$A:$AJ,AT$5,0))))</f>
        <v>-1.754385965</v>
      </c>
      <c r="AU495" s="174">
        <f>IF(AU$6="","",IF(AU$3="Maior",iferror(VLOOKUP($R495,Capa!$A:$AJ,AU$5,0),0),IF(ISERROR(1/VLOOKUP($R495,Capa!$A:$AJ,AU$5,0)),0,1/VLOOKUP($R495,Capa!$A:$AJ,AU$5,0))))</f>
        <v>0</v>
      </c>
      <c r="AV495" s="174" t="str">
        <f>IF(AV$6="","",IF(AV$3="Maior",iferror(VLOOKUP($R495,Capa!$A:$AJ,AV$5,0),0),IF(ISERROR(1/VLOOKUP($R495,Capa!$A:$AJ,AV$5,0)),0,1/VLOOKUP($R495,Capa!$A:$AJ,AV$5,0))))</f>
        <v/>
      </c>
      <c r="AW495" s="174" t="str">
        <f>IF(AW$6="","",IF(AW$3="Maior",iferror(VLOOKUP($R495,Capa!$A:$AJ,AW$5,0),0),IF(ISERROR(1/VLOOKUP($R495,Capa!$A:$AJ,AW$5,0)),0,1/VLOOKUP($R495,Capa!$A:$AJ,AW$5,0))))</f>
        <v/>
      </c>
      <c r="AX495" s="174" t="str">
        <f>IF(AX$6="","",IF(AX$3="Maior",iferror(VLOOKUP($R495,Capa!$A:$AJ,AX$5,0),0),IF(ISERROR(1/VLOOKUP($R495,Capa!$A:$AJ,AX$5,0)),0,1/VLOOKUP($R495,Capa!$A:$AJ,AX$5,0))))</f>
        <v/>
      </c>
      <c r="AY495" s="174" t="str">
        <f>IF(AY$6="","",IF(AY$3="Maior",iferror(VLOOKUP($R495,Capa!$A:$AJ,AY$5,0),0),IF(ISERROR(1/VLOOKUP($R495,Capa!$A:$AJ,AY$5,0)),0,1/VLOOKUP($R495,Capa!$A:$AJ,AY$5,0))))</f>
        <v/>
      </c>
      <c r="AZ495" s="174" t="str">
        <f>IF(AZ$6="","",IF(AZ$3="Maior",iferror(VLOOKUP($R495,Capa!$A:$AJ,AZ$5,0),0),IF(ISERROR(1/VLOOKUP($R495,Capa!$A:$AJ,AZ$5,0)),0,1/VLOOKUP($R495,Capa!$A:$AJ,AZ$5,0))))</f>
        <v/>
      </c>
      <c r="BA495" s="174" t="str">
        <f>IF(BA$6="","",IF(BA$3="Maior",iferror(VLOOKUP($R495,Capa!$A:$AJ,BA$5,0),0),IF(ISERROR(1/VLOOKUP($R495,Capa!$A:$AJ,BA$5,0)),0,1/VLOOKUP($R495,Capa!$A:$AJ,BA$5,0))))</f>
        <v/>
      </c>
      <c r="BB495" s="174" t="str">
        <f>IF(BB$6="","",IF(BB$3="Maior",iferror(VLOOKUP($R495,Capa!$A:$AJ,BB$5,0),0),IF(ISERROR(1/VLOOKUP($R495,Capa!$A:$AJ,BB$5,0)),0,1/VLOOKUP($R495,Capa!$A:$AJ,BB$5,0))))</f>
        <v/>
      </c>
      <c r="BC495" s="174" t="str">
        <f>IF(BC$6="","",IF(BC$3="Maior",iferror(VLOOKUP($R495,Capa!$A:$AJ,BC$5,0),0),IF(ISERROR(1/VLOOKUP($R495,Capa!$A:$AJ,BC$5,0)),0,1/VLOOKUP($R495,Capa!$A:$AJ,BC$5,0))))</f>
        <v/>
      </c>
      <c r="BD495" s="174" t="str">
        <f>IF(BD$6="","",IF(BD$3="Maior",iferror(VLOOKUP($R495,Capa!$A:$AJ,BD$5,0),0),IF(ISERROR(1/VLOOKUP($R495,Capa!$A:$AJ,BD$5,0)),0,1/VLOOKUP($R495,Capa!$A:$AJ,BD$5,0))))</f>
        <v/>
      </c>
      <c r="BE495" s="174" t="str">
        <f>IF(BE$6="","",IF(BE$3="Maior",iferror(VLOOKUP($R495,Capa!$A:$AJ,BE$5,0),0),IF(ISERROR(1/VLOOKUP($R495,Capa!$A:$AJ,BE$5,0)),0,1/VLOOKUP($R495,Capa!$A:$AJ,BE$5,0))))</f>
        <v/>
      </c>
      <c r="BF495" s="174" t="str">
        <f>IF(BF$6="","",IF(BF$3="Maior",iferror(VLOOKUP($R495,Capa!$A:$AJ,BF$5,0),0),IF(ISERROR(1/VLOOKUP($R495,Capa!$A:$AJ,BF$5,0)),0,1/VLOOKUP($R495,Capa!$A:$AJ,BF$5,0))))</f>
        <v/>
      </c>
      <c r="BG495" s="174" t="str">
        <f>IF(BG$6="","",IF(BG$3="Maior",iferror(VLOOKUP($R495,Capa!$A:$AJ,BG$5,0),0),IF(ISERROR(1/VLOOKUP($R495,Capa!$A:$AJ,BG$5,0)),0,1/VLOOKUP($R495,Capa!$A:$AJ,BG$5,0))))</f>
        <v/>
      </c>
      <c r="BH495" s="174" t="str">
        <f>IF(BH$6="","",IF(BH$3="Maior",iferror(VLOOKUP($R495,Capa!$A:$AJ,BH$5,0),0),IF(ISERROR(1/VLOOKUP($R495,Capa!$A:$AJ,BH$5,0)),0,1/VLOOKUP($R495,Capa!$A:$AJ,BH$5,0))))</f>
        <v/>
      </c>
      <c r="BI495" s="174" t="str">
        <f>IF(BI$6="","",IF(BI$3="Maior",iferror(VLOOKUP($R495,Capa!$A:$AJ,BI$5,0),0),IF(ISERROR(1/VLOOKUP($R495,Capa!$A:$AJ,BI$5,0)),0,1/VLOOKUP($R495,Capa!$A:$AJ,BI$5,0))))</f>
        <v/>
      </c>
      <c r="BJ495" s="174" t="str">
        <f>IF(BJ$6="","",IF(BJ$3="Maior",iferror(VLOOKUP($R495,Capa!$A:$AJ,BJ$5,0),0),IF(ISERROR(1/VLOOKUP($R495,Capa!$A:$AJ,BJ$5,0)),0,1/VLOOKUP($R495,Capa!$A:$AJ,BJ$5,0))))</f>
        <v/>
      </c>
      <c r="BK495" s="174" t="str">
        <f>IF(BK$6="","",IF(BK$3="Maior",iferror(VLOOKUP($R495,Capa!$A:$AJ,BK$5,0),0),IF(ISERROR(1/VLOOKUP($R495,Capa!$A:$AJ,BK$5,0)),0,1/VLOOKUP($R495,Capa!$A:$AJ,BK$5,0))))</f>
        <v/>
      </c>
      <c r="BL495" s="174" t="str">
        <f>IF(BL$6="","",IF(BL$3="Maior",iferror(VLOOKUP($R495,Capa!$A:$AJ,BL$5,0),0),IF(ISERROR(1/VLOOKUP($R495,Capa!$A:$AJ,BL$5,0)),0,1/VLOOKUP($R495,Capa!$A:$AJ,BL$5,0))))</f>
        <v/>
      </c>
      <c r="BM495" s="174" t="str">
        <f>IF(BM$6="","",IF(BM$3="Maior",iferror(VLOOKUP($R495,Capa!$A:$AJ,BM$5,0),0),IF(ISERROR(1/VLOOKUP($R495,Capa!$A:$AJ,BM$5,0)),0,1/VLOOKUP($R495,Capa!$A:$AJ,BM$5,0))))</f>
        <v/>
      </c>
      <c r="BN495" s="174" t="str">
        <f>IF(BN$6="","",IF(BN$3="Maior",iferror(VLOOKUP($R495,Capa!$A:$AJ,BN$5,0),0),IF(ISERROR(1/VLOOKUP($R495,Capa!$A:$AJ,BN$5,0)),0,1/VLOOKUP($R495,Capa!$A:$AJ,BN$5,0))))</f>
        <v/>
      </c>
      <c r="BO495" s="174" t="str">
        <f>IF(BO$6="","",IF(BO$3="Maior",iferror(VLOOKUP($R495,Capa!$A:$AJ,BO$5,0),0),IF(ISERROR(1/VLOOKUP($R495,Capa!$A:$AJ,BO$5,0)),0,1/VLOOKUP($R495,Capa!$A:$AJ,BO$5,0))))</f>
        <v/>
      </c>
      <c r="BP495" s="174" t="str">
        <f>IF(BP$6="","",IF(BP$3="Maior",iferror(VLOOKUP($R495,Capa!$A:$AJ,BP$5,0),0),IF(ISERROR(1/VLOOKUP($R495,Capa!$A:$AJ,BP$5,0)),0,1/VLOOKUP($R495,Capa!$A:$AJ,BP$5,0))))</f>
        <v/>
      </c>
      <c r="BQ495" s="174" t="str">
        <f>IF(BQ$6="","",IF(BQ$3="Maior",iferror(VLOOKUP($R495,Capa!$A:$AJ,BQ$5,0),0),IF(ISERROR(1/VLOOKUP($R495,Capa!$A:$AJ,BQ$5,0)),0,1/VLOOKUP($R495,Capa!$A:$AJ,BQ$5,0))))</f>
        <v/>
      </c>
      <c r="BR495" s="175"/>
      <c r="BS495" s="147"/>
    </row>
    <row r="496">
      <c r="H496" s="8">
        <v>490.0</v>
      </c>
      <c r="I496" s="165" t="str">
        <f t="shared" si="6"/>
        <v>RDNI3</v>
      </c>
      <c r="J496" s="166" t="str">
        <f>(VLOOKUP($I496,Capa!$A:$B,2,0))</f>
        <v/>
      </c>
      <c r="K496" s="167" t="str">
        <f>VLOOKUP(left(I496,4),Setor!A:D,3,0)&amp;" | "&amp;VLOOKUP(left(I496,4),Setor!A:D,4,0)</f>
        <v>Consumo Cíclico | Construção Civil</v>
      </c>
      <c r="L496" s="168" t="str">
        <f>(VLOOKUP($I496,Capa!$A:$F,6,0))</f>
        <v/>
      </c>
      <c r="M496" s="168">
        <f t="shared" si="7"/>
        <v>3199</v>
      </c>
      <c r="N496" s="11" t="str">
        <f>(VLOOKUP($I496,Capa!$A:$H,7,0))</f>
        <v/>
      </c>
      <c r="O496" s="169" t="str">
        <f>(VLOOKUP($I496,Capa!$A:$H,8,0))</f>
        <v/>
      </c>
      <c r="P496" s="11" t="str">
        <f>(VLOOKUP($I496,Capa!$A:$J,10,0))</f>
        <v/>
      </c>
      <c r="Q496" s="169" t="str">
        <f>(VLOOKUP($I496,Capa!$A:$K,11,0))</f>
        <v/>
      </c>
      <c r="R496" s="45" t="str">
        <f>'Dados StatusInvest'!A491</f>
        <v>RDOR3</v>
      </c>
      <c r="S496" s="170">
        <f t="shared" si="234"/>
        <v>330.033</v>
      </c>
      <c r="T496" s="171">
        <f>VLOOKUP(R496,'Dados StatusInvest'!A:Z,26,0)</f>
        <v>248000000</v>
      </c>
      <c r="U496" s="172">
        <f t="shared" ref="U496:AS496" si="499">IF(AT496="","", RANK(AT496,AT$7:AT$626,0)+RANK(AT496,AT$7:AT$626,0)/10000)</f>
        <v>252.0252</v>
      </c>
      <c r="V496" s="172">
        <f t="shared" si="499"/>
        <v>78.0078</v>
      </c>
      <c r="W496" s="172" t="str">
        <f t="shared" si="499"/>
        <v/>
      </c>
      <c r="X496" s="172" t="str">
        <f t="shared" si="499"/>
        <v/>
      </c>
      <c r="Y496" s="172" t="str">
        <f t="shared" si="499"/>
        <v/>
      </c>
      <c r="Z496" s="172" t="str">
        <f t="shared" si="499"/>
        <v/>
      </c>
      <c r="AA496" s="172" t="str">
        <f t="shared" si="499"/>
        <v/>
      </c>
      <c r="AB496" s="172" t="str">
        <f t="shared" si="499"/>
        <v/>
      </c>
      <c r="AC496" s="172" t="str">
        <f t="shared" si="499"/>
        <v/>
      </c>
      <c r="AD496" s="172" t="str">
        <f t="shared" si="499"/>
        <v/>
      </c>
      <c r="AE496" s="172" t="str">
        <f t="shared" si="499"/>
        <v/>
      </c>
      <c r="AF496" s="172" t="str">
        <f t="shared" si="499"/>
        <v/>
      </c>
      <c r="AG496" s="172" t="str">
        <f t="shared" si="499"/>
        <v/>
      </c>
      <c r="AH496" s="172" t="str">
        <f t="shared" si="499"/>
        <v/>
      </c>
      <c r="AI496" s="172" t="str">
        <f t="shared" si="499"/>
        <v/>
      </c>
      <c r="AJ496" s="172" t="str">
        <f t="shared" si="499"/>
        <v/>
      </c>
      <c r="AK496" s="172" t="str">
        <f t="shared" si="499"/>
        <v/>
      </c>
      <c r="AL496" s="172" t="str">
        <f t="shared" si="499"/>
        <v/>
      </c>
      <c r="AM496" s="172" t="str">
        <f t="shared" si="499"/>
        <v/>
      </c>
      <c r="AN496" s="172" t="str">
        <f t="shared" si="499"/>
        <v/>
      </c>
      <c r="AO496" s="172" t="str">
        <f t="shared" si="499"/>
        <v/>
      </c>
      <c r="AP496" s="172" t="str">
        <f t="shared" si="499"/>
        <v/>
      </c>
      <c r="AQ496" s="172" t="str">
        <f t="shared" si="499"/>
        <v/>
      </c>
      <c r="AR496" s="172" t="str">
        <f t="shared" si="499"/>
        <v/>
      </c>
      <c r="AS496" s="172" t="str">
        <f t="shared" si="499"/>
        <v/>
      </c>
      <c r="AT496" s="173">
        <f>IF(AT$6="","",IF(AT$3="Maior",iferror(VLOOKUP($R496,Capa!$A:$AJ,AT$5,0),0),IF(ISERROR(1/VLOOKUP($R496,Capa!$A:$AJ,AT$5,0)),0,1/VLOOKUP($R496,Capa!$A:$AJ,AT$5,0))))</f>
        <v>-0.5008291055</v>
      </c>
      <c r="AU496" s="174">
        <f>IF(AU$6="","",IF(AU$3="Maior",iferror(VLOOKUP($R496,Capa!$A:$AJ,AU$5,0),0),IF(ISERROR(1/VLOOKUP($R496,Capa!$A:$AJ,AU$5,0)),0,1/VLOOKUP($R496,Capa!$A:$AJ,AU$5,0))))</f>
        <v>30.64</v>
      </c>
      <c r="AV496" s="174" t="str">
        <f>IF(AV$6="","",IF(AV$3="Maior",iferror(VLOOKUP($R496,Capa!$A:$AJ,AV$5,0),0),IF(ISERROR(1/VLOOKUP($R496,Capa!$A:$AJ,AV$5,0)),0,1/VLOOKUP($R496,Capa!$A:$AJ,AV$5,0))))</f>
        <v/>
      </c>
      <c r="AW496" s="174" t="str">
        <f>IF(AW$6="","",IF(AW$3="Maior",iferror(VLOOKUP($R496,Capa!$A:$AJ,AW$5,0),0),IF(ISERROR(1/VLOOKUP($R496,Capa!$A:$AJ,AW$5,0)),0,1/VLOOKUP($R496,Capa!$A:$AJ,AW$5,0))))</f>
        <v/>
      </c>
      <c r="AX496" s="174" t="str">
        <f>IF(AX$6="","",IF(AX$3="Maior",iferror(VLOOKUP($R496,Capa!$A:$AJ,AX$5,0),0),IF(ISERROR(1/VLOOKUP($R496,Capa!$A:$AJ,AX$5,0)),0,1/VLOOKUP($R496,Capa!$A:$AJ,AX$5,0))))</f>
        <v/>
      </c>
      <c r="AY496" s="174" t="str">
        <f>IF(AY$6="","",IF(AY$3="Maior",iferror(VLOOKUP($R496,Capa!$A:$AJ,AY$5,0),0),IF(ISERROR(1/VLOOKUP($R496,Capa!$A:$AJ,AY$5,0)),0,1/VLOOKUP($R496,Capa!$A:$AJ,AY$5,0))))</f>
        <v/>
      </c>
      <c r="AZ496" s="174" t="str">
        <f>IF(AZ$6="","",IF(AZ$3="Maior",iferror(VLOOKUP($R496,Capa!$A:$AJ,AZ$5,0),0),IF(ISERROR(1/VLOOKUP($R496,Capa!$A:$AJ,AZ$5,0)),0,1/VLOOKUP($R496,Capa!$A:$AJ,AZ$5,0))))</f>
        <v/>
      </c>
      <c r="BA496" s="174" t="str">
        <f>IF(BA$6="","",IF(BA$3="Maior",iferror(VLOOKUP($R496,Capa!$A:$AJ,BA$5,0),0),IF(ISERROR(1/VLOOKUP($R496,Capa!$A:$AJ,BA$5,0)),0,1/VLOOKUP($R496,Capa!$A:$AJ,BA$5,0))))</f>
        <v/>
      </c>
      <c r="BB496" s="174" t="str">
        <f>IF(BB$6="","",IF(BB$3="Maior",iferror(VLOOKUP($R496,Capa!$A:$AJ,BB$5,0),0),IF(ISERROR(1/VLOOKUP($R496,Capa!$A:$AJ,BB$5,0)),0,1/VLOOKUP($R496,Capa!$A:$AJ,BB$5,0))))</f>
        <v/>
      </c>
      <c r="BC496" s="174" t="str">
        <f>IF(BC$6="","",IF(BC$3="Maior",iferror(VLOOKUP($R496,Capa!$A:$AJ,BC$5,0),0),IF(ISERROR(1/VLOOKUP($R496,Capa!$A:$AJ,BC$5,0)),0,1/VLOOKUP($R496,Capa!$A:$AJ,BC$5,0))))</f>
        <v/>
      </c>
      <c r="BD496" s="174" t="str">
        <f>IF(BD$6="","",IF(BD$3="Maior",iferror(VLOOKUP($R496,Capa!$A:$AJ,BD$5,0),0),IF(ISERROR(1/VLOOKUP($R496,Capa!$A:$AJ,BD$5,0)),0,1/VLOOKUP($R496,Capa!$A:$AJ,BD$5,0))))</f>
        <v/>
      </c>
      <c r="BE496" s="174" t="str">
        <f>IF(BE$6="","",IF(BE$3="Maior",iferror(VLOOKUP($R496,Capa!$A:$AJ,BE$5,0),0),IF(ISERROR(1/VLOOKUP($R496,Capa!$A:$AJ,BE$5,0)),0,1/VLOOKUP($R496,Capa!$A:$AJ,BE$5,0))))</f>
        <v/>
      </c>
      <c r="BF496" s="174" t="str">
        <f>IF(BF$6="","",IF(BF$3="Maior",iferror(VLOOKUP($R496,Capa!$A:$AJ,BF$5,0),0),IF(ISERROR(1/VLOOKUP($R496,Capa!$A:$AJ,BF$5,0)),0,1/VLOOKUP($R496,Capa!$A:$AJ,BF$5,0))))</f>
        <v/>
      </c>
      <c r="BG496" s="174" t="str">
        <f>IF(BG$6="","",IF(BG$3="Maior",iferror(VLOOKUP($R496,Capa!$A:$AJ,BG$5,0),0),IF(ISERROR(1/VLOOKUP($R496,Capa!$A:$AJ,BG$5,0)),0,1/VLOOKUP($R496,Capa!$A:$AJ,BG$5,0))))</f>
        <v/>
      </c>
      <c r="BH496" s="174" t="str">
        <f>IF(BH$6="","",IF(BH$3="Maior",iferror(VLOOKUP($R496,Capa!$A:$AJ,BH$5,0),0),IF(ISERROR(1/VLOOKUP($R496,Capa!$A:$AJ,BH$5,0)),0,1/VLOOKUP($R496,Capa!$A:$AJ,BH$5,0))))</f>
        <v/>
      </c>
      <c r="BI496" s="174" t="str">
        <f>IF(BI$6="","",IF(BI$3="Maior",iferror(VLOOKUP($R496,Capa!$A:$AJ,BI$5,0),0),IF(ISERROR(1/VLOOKUP($R496,Capa!$A:$AJ,BI$5,0)),0,1/VLOOKUP($R496,Capa!$A:$AJ,BI$5,0))))</f>
        <v/>
      </c>
      <c r="BJ496" s="174" t="str">
        <f>IF(BJ$6="","",IF(BJ$3="Maior",iferror(VLOOKUP($R496,Capa!$A:$AJ,BJ$5,0),0),IF(ISERROR(1/VLOOKUP($R496,Capa!$A:$AJ,BJ$5,0)),0,1/VLOOKUP($R496,Capa!$A:$AJ,BJ$5,0))))</f>
        <v/>
      </c>
      <c r="BK496" s="174" t="str">
        <f>IF(BK$6="","",IF(BK$3="Maior",iferror(VLOOKUP($R496,Capa!$A:$AJ,BK$5,0),0),IF(ISERROR(1/VLOOKUP($R496,Capa!$A:$AJ,BK$5,0)),0,1/VLOOKUP($R496,Capa!$A:$AJ,BK$5,0))))</f>
        <v/>
      </c>
      <c r="BL496" s="174" t="str">
        <f>IF(BL$6="","",IF(BL$3="Maior",iferror(VLOOKUP($R496,Capa!$A:$AJ,BL$5,0),0),IF(ISERROR(1/VLOOKUP($R496,Capa!$A:$AJ,BL$5,0)),0,1/VLOOKUP($R496,Capa!$A:$AJ,BL$5,0))))</f>
        <v/>
      </c>
      <c r="BM496" s="174" t="str">
        <f>IF(BM$6="","",IF(BM$3="Maior",iferror(VLOOKUP($R496,Capa!$A:$AJ,BM$5,0),0),IF(ISERROR(1/VLOOKUP($R496,Capa!$A:$AJ,BM$5,0)),0,1/VLOOKUP($R496,Capa!$A:$AJ,BM$5,0))))</f>
        <v/>
      </c>
      <c r="BN496" s="174" t="str">
        <f>IF(BN$6="","",IF(BN$3="Maior",iferror(VLOOKUP($R496,Capa!$A:$AJ,BN$5,0),0),IF(ISERROR(1/VLOOKUP($R496,Capa!$A:$AJ,BN$5,0)),0,1/VLOOKUP($R496,Capa!$A:$AJ,BN$5,0))))</f>
        <v/>
      </c>
      <c r="BO496" s="174" t="str">
        <f>IF(BO$6="","",IF(BO$3="Maior",iferror(VLOOKUP($R496,Capa!$A:$AJ,BO$5,0),0),IF(ISERROR(1/VLOOKUP($R496,Capa!$A:$AJ,BO$5,0)),0,1/VLOOKUP($R496,Capa!$A:$AJ,BO$5,0))))</f>
        <v/>
      </c>
      <c r="BP496" s="174" t="str">
        <f>IF(BP$6="","",IF(BP$3="Maior",iferror(VLOOKUP($R496,Capa!$A:$AJ,BP$5,0),0),IF(ISERROR(1/VLOOKUP($R496,Capa!$A:$AJ,BP$5,0)),0,1/VLOOKUP($R496,Capa!$A:$AJ,BP$5,0))))</f>
        <v/>
      </c>
      <c r="BQ496" s="174" t="str">
        <f>IF(BQ$6="","",IF(BQ$3="Maior",iferror(VLOOKUP($R496,Capa!$A:$AJ,BQ$5,0),0),IF(ISERROR(1/VLOOKUP($R496,Capa!$A:$AJ,BQ$5,0)),0,1/VLOOKUP($R496,Capa!$A:$AJ,BQ$5,0))))</f>
        <v/>
      </c>
      <c r="BR496" s="175"/>
      <c r="BS496" s="147"/>
    </row>
    <row r="497">
      <c r="H497" s="8">
        <v>491.0</v>
      </c>
      <c r="I497" s="165" t="str">
        <f t="shared" si="6"/>
        <v>NEXP3</v>
      </c>
      <c r="J497" s="166" t="str">
        <f>(VLOOKUP($I497,Capa!$A:$B,2,0))</f>
        <v>Nexpe Participacs SA - Em Rcprc Jdcl</v>
      </c>
      <c r="K497" s="167" t="str">
        <f>VLOOKUP(left(I497,4),Setor!A:D,3,0)&amp;" | "&amp;VLOOKUP(left(I497,4),Setor!A:D,4,0)</f>
        <v>#N/A</v>
      </c>
      <c r="L497" s="168">
        <f>(VLOOKUP($I497,Capa!$A:$F,6,0))</f>
        <v>2.85</v>
      </c>
      <c r="M497" s="168">
        <f t="shared" si="7"/>
        <v>1782.6</v>
      </c>
      <c r="N497" s="11" t="str">
        <f>IFERROR(__xludf.DUMMYFUNCTION("(VLOOKUP($I497,Capa!$A:$H,7,0))"),"")</f>
        <v/>
      </c>
      <c r="O497" s="169">
        <f>(VLOOKUP($I497,Capa!$A:$H,8,0))</f>
        <v>-0.04362416107</v>
      </c>
      <c r="P497" s="11" t="str">
        <f>IFERROR(__xludf.DUMMYFUNCTION("(VLOOKUP($I497,Capa!$A:$J,10,0))"),"")</f>
        <v/>
      </c>
      <c r="Q497" s="169">
        <f>(VLOOKUP($I497,Capa!$A:$K,11,0))</f>
        <v>-0.246031746</v>
      </c>
      <c r="R497" s="45" t="str">
        <f>'Dados StatusInvest'!A492</f>
        <v>RECV3</v>
      </c>
      <c r="S497" s="170">
        <f t="shared" si="234"/>
        <v>471.0471</v>
      </c>
      <c r="T497" s="171">
        <f>VLOOKUP(R497,'Dados StatusInvest'!A:Z,26,0)</f>
        <v>39374635</v>
      </c>
      <c r="U497" s="172">
        <f t="shared" ref="U497:AS497" si="500">IF(AT497="","", RANK(AT497,AT$7:AT$626,0)+RANK(AT497,AT$7:AT$626,0)/10000)</f>
        <v>453.0453</v>
      </c>
      <c r="V497" s="172">
        <f t="shared" si="500"/>
        <v>18.0018</v>
      </c>
      <c r="W497" s="172" t="str">
        <f t="shared" si="500"/>
        <v/>
      </c>
      <c r="X497" s="172" t="str">
        <f t="shared" si="500"/>
        <v/>
      </c>
      <c r="Y497" s="172" t="str">
        <f t="shared" si="500"/>
        <v/>
      </c>
      <c r="Z497" s="172" t="str">
        <f t="shared" si="500"/>
        <v/>
      </c>
      <c r="AA497" s="172" t="str">
        <f t="shared" si="500"/>
        <v/>
      </c>
      <c r="AB497" s="172" t="str">
        <f t="shared" si="500"/>
        <v/>
      </c>
      <c r="AC497" s="172" t="str">
        <f t="shared" si="500"/>
        <v/>
      </c>
      <c r="AD497" s="172" t="str">
        <f t="shared" si="500"/>
        <v/>
      </c>
      <c r="AE497" s="172" t="str">
        <f t="shared" si="500"/>
        <v/>
      </c>
      <c r="AF497" s="172" t="str">
        <f t="shared" si="500"/>
        <v/>
      </c>
      <c r="AG497" s="172" t="str">
        <f t="shared" si="500"/>
        <v/>
      </c>
      <c r="AH497" s="172" t="str">
        <f t="shared" si="500"/>
        <v/>
      </c>
      <c r="AI497" s="172" t="str">
        <f t="shared" si="500"/>
        <v/>
      </c>
      <c r="AJ497" s="172" t="str">
        <f t="shared" si="500"/>
        <v/>
      </c>
      <c r="AK497" s="172" t="str">
        <f t="shared" si="500"/>
        <v/>
      </c>
      <c r="AL497" s="172" t="str">
        <f t="shared" si="500"/>
        <v/>
      </c>
      <c r="AM497" s="172" t="str">
        <f t="shared" si="500"/>
        <v/>
      </c>
      <c r="AN497" s="172" t="str">
        <f t="shared" si="500"/>
        <v/>
      </c>
      <c r="AO497" s="172" t="str">
        <f t="shared" si="500"/>
        <v/>
      </c>
      <c r="AP497" s="172" t="str">
        <f t="shared" si="500"/>
        <v/>
      </c>
      <c r="AQ497" s="172" t="str">
        <f t="shared" si="500"/>
        <v/>
      </c>
      <c r="AR497" s="172" t="str">
        <f t="shared" si="500"/>
        <v/>
      </c>
      <c r="AS497" s="172" t="str">
        <f t="shared" si="500"/>
        <v/>
      </c>
      <c r="AT497" s="173">
        <f>IF(AT$6="","",IF(AT$3="Maior",iferror(VLOOKUP($R497,Capa!$A:$AJ,AT$5,0),0),IF(ISERROR(1/VLOOKUP($R497,Capa!$A:$AJ,AT$5,0)),0,1/VLOOKUP($R497,Capa!$A:$AJ,AT$5,0))))</f>
        <v>-2.107311649</v>
      </c>
      <c r="AU497" s="174">
        <f>IF(AU$6="","",IF(AU$3="Maior",iferror(VLOOKUP($R497,Capa!$A:$AJ,AU$5,0),0),IF(ISERROR(1/VLOOKUP($R497,Capa!$A:$AJ,AU$5,0)),0,1/VLOOKUP($R497,Capa!$A:$AJ,AU$5,0))))</f>
        <v>57.65</v>
      </c>
      <c r="AV497" s="174" t="str">
        <f>IF(AV$6="","",IF(AV$3="Maior",iferror(VLOOKUP($R497,Capa!$A:$AJ,AV$5,0),0),IF(ISERROR(1/VLOOKUP($R497,Capa!$A:$AJ,AV$5,0)),0,1/VLOOKUP($R497,Capa!$A:$AJ,AV$5,0))))</f>
        <v/>
      </c>
      <c r="AW497" s="174" t="str">
        <f>IF(AW$6="","",IF(AW$3="Maior",iferror(VLOOKUP($R497,Capa!$A:$AJ,AW$5,0),0),IF(ISERROR(1/VLOOKUP($R497,Capa!$A:$AJ,AW$5,0)),0,1/VLOOKUP($R497,Capa!$A:$AJ,AW$5,0))))</f>
        <v/>
      </c>
      <c r="AX497" s="174" t="str">
        <f>IF(AX$6="","",IF(AX$3="Maior",iferror(VLOOKUP($R497,Capa!$A:$AJ,AX$5,0),0),IF(ISERROR(1/VLOOKUP($R497,Capa!$A:$AJ,AX$5,0)),0,1/VLOOKUP($R497,Capa!$A:$AJ,AX$5,0))))</f>
        <v/>
      </c>
      <c r="AY497" s="174" t="str">
        <f>IF(AY$6="","",IF(AY$3="Maior",iferror(VLOOKUP($R497,Capa!$A:$AJ,AY$5,0),0),IF(ISERROR(1/VLOOKUP($R497,Capa!$A:$AJ,AY$5,0)),0,1/VLOOKUP($R497,Capa!$A:$AJ,AY$5,0))))</f>
        <v/>
      </c>
      <c r="AZ497" s="174" t="str">
        <f>IF(AZ$6="","",IF(AZ$3="Maior",iferror(VLOOKUP($R497,Capa!$A:$AJ,AZ$5,0),0),IF(ISERROR(1/VLOOKUP($R497,Capa!$A:$AJ,AZ$5,0)),0,1/VLOOKUP($R497,Capa!$A:$AJ,AZ$5,0))))</f>
        <v/>
      </c>
      <c r="BA497" s="174" t="str">
        <f>IF(BA$6="","",IF(BA$3="Maior",iferror(VLOOKUP($R497,Capa!$A:$AJ,BA$5,0),0),IF(ISERROR(1/VLOOKUP($R497,Capa!$A:$AJ,BA$5,0)),0,1/VLOOKUP($R497,Capa!$A:$AJ,BA$5,0))))</f>
        <v/>
      </c>
      <c r="BB497" s="174" t="str">
        <f>IF(BB$6="","",IF(BB$3="Maior",iferror(VLOOKUP($R497,Capa!$A:$AJ,BB$5,0),0),IF(ISERROR(1/VLOOKUP($R497,Capa!$A:$AJ,BB$5,0)),0,1/VLOOKUP($R497,Capa!$A:$AJ,BB$5,0))))</f>
        <v/>
      </c>
      <c r="BC497" s="174" t="str">
        <f>IF(BC$6="","",IF(BC$3="Maior",iferror(VLOOKUP($R497,Capa!$A:$AJ,BC$5,0),0),IF(ISERROR(1/VLOOKUP($R497,Capa!$A:$AJ,BC$5,0)),0,1/VLOOKUP($R497,Capa!$A:$AJ,BC$5,0))))</f>
        <v/>
      </c>
      <c r="BD497" s="174" t="str">
        <f>IF(BD$6="","",IF(BD$3="Maior",iferror(VLOOKUP($R497,Capa!$A:$AJ,BD$5,0),0),IF(ISERROR(1/VLOOKUP($R497,Capa!$A:$AJ,BD$5,0)),0,1/VLOOKUP($R497,Capa!$A:$AJ,BD$5,0))))</f>
        <v/>
      </c>
      <c r="BE497" s="174" t="str">
        <f>IF(BE$6="","",IF(BE$3="Maior",iferror(VLOOKUP($R497,Capa!$A:$AJ,BE$5,0),0),IF(ISERROR(1/VLOOKUP($R497,Capa!$A:$AJ,BE$5,0)),0,1/VLOOKUP($R497,Capa!$A:$AJ,BE$5,0))))</f>
        <v/>
      </c>
      <c r="BF497" s="174" t="str">
        <f>IF(BF$6="","",IF(BF$3="Maior",iferror(VLOOKUP($R497,Capa!$A:$AJ,BF$5,0),0),IF(ISERROR(1/VLOOKUP($R497,Capa!$A:$AJ,BF$5,0)),0,1/VLOOKUP($R497,Capa!$A:$AJ,BF$5,0))))</f>
        <v/>
      </c>
      <c r="BG497" s="174" t="str">
        <f>IF(BG$6="","",IF(BG$3="Maior",iferror(VLOOKUP($R497,Capa!$A:$AJ,BG$5,0),0),IF(ISERROR(1/VLOOKUP($R497,Capa!$A:$AJ,BG$5,0)),0,1/VLOOKUP($R497,Capa!$A:$AJ,BG$5,0))))</f>
        <v/>
      </c>
      <c r="BH497" s="174" t="str">
        <f>IF(BH$6="","",IF(BH$3="Maior",iferror(VLOOKUP($R497,Capa!$A:$AJ,BH$5,0),0),IF(ISERROR(1/VLOOKUP($R497,Capa!$A:$AJ,BH$5,0)),0,1/VLOOKUP($R497,Capa!$A:$AJ,BH$5,0))))</f>
        <v/>
      </c>
      <c r="BI497" s="174" t="str">
        <f>IF(BI$6="","",IF(BI$3="Maior",iferror(VLOOKUP($R497,Capa!$A:$AJ,BI$5,0),0),IF(ISERROR(1/VLOOKUP($R497,Capa!$A:$AJ,BI$5,0)),0,1/VLOOKUP($R497,Capa!$A:$AJ,BI$5,0))))</f>
        <v/>
      </c>
      <c r="BJ497" s="174" t="str">
        <f>IF(BJ$6="","",IF(BJ$3="Maior",iferror(VLOOKUP($R497,Capa!$A:$AJ,BJ$5,0),0),IF(ISERROR(1/VLOOKUP($R497,Capa!$A:$AJ,BJ$5,0)),0,1/VLOOKUP($R497,Capa!$A:$AJ,BJ$5,0))))</f>
        <v/>
      </c>
      <c r="BK497" s="174" t="str">
        <f>IF(BK$6="","",IF(BK$3="Maior",iferror(VLOOKUP($R497,Capa!$A:$AJ,BK$5,0),0),IF(ISERROR(1/VLOOKUP($R497,Capa!$A:$AJ,BK$5,0)),0,1/VLOOKUP($R497,Capa!$A:$AJ,BK$5,0))))</f>
        <v/>
      </c>
      <c r="BL497" s="174" t="str">
        <f>IF(BL$6="","",IF(BL$3="Maior",iferror(VLOOKUP($R497,Capa!$A:$AJ,BL$5,0),0),IF(ISERROR(1/VLOOKUP($R497,Capa!$A:$AJ,BL$5,0)),0,1/VLOOKUP($R497,Capa!$A:$AJ,BL$5,0))))</f>
        <v/>
      </c>
      <c r="BM497" s="174" t="str">
        <f>IF(BM$6="","",IF(BM$3="Maior",iferror(VLOOKUP($R497,Capa!$A:$AJ,BM$5,0),0),IF(ISERROR(1/VLOOKUP($R497,Capa!$A:$AJ,BM$5,0)),0,1/VLOOKUP($R497,Capa!$A:$AJ,BM$5,0))))</f>
        <v/>
      </c>
      <c r="BN497" s="174" t="str">
        <f>IF(BN$6="","",IF(BN$3="Maior",iferror(VLOOKUP($R497,Capa!$A:$AJ,BN$5,0),0),IF(ISERROR(1/VLOOKUP($R497,Capa!$A:$AJ,BN$5,0)),0,1/VLOOKUP($R497,Capa!$A:$AJ,BN$5,0))))</f>
        <v/>
      </c>
      <c r="BO497" s="174" t="str">
        <f>IF(BO$6="","",IF(BO$3="Maior",iferror(VLOOKUP($R497,Capa!$A:$AJ,BO$5,0),0),IF(ISERROR(1/VLOOKUP($R497,Capa!$A:$AJ,BO$5,0)),0,1/VLOOKUP($R497,Capa!$A:$AJ,BO$5,0))))</f>
        <v/>
      </c>
      <c r="BP497" s="174" t="str">
        <f>IF(BP$6="","",IF(BP$3="Maior",iferror(VLOOKUP($R497,Capa!$A:$AJ,BP$5,0),0),IF(ISERROR(1/VLOOKUP($R497,Capa!$A:$AJ,BP$5,0)),0,1/VLOOKUP($R497,Capa!$A:$AJ,BP$5,0))))</f>
        <v/>
      </c>
      <c r="BQ497" s="174" t="str">
        <f>IF(BQ$6="","",IF(BQ$3="Maior",iferror(VLOOKUP($R497,Capa!$A:$AJ,BQ$5,0),0),IF(ISERROR(1/VLOOKUP($R497,Capa!$A:$AJ,BQ$5,0)),0,1/VLOOKUP($R497,Capa!$A:$AJ,BQ$5,0))))</f>
        <v/>
      </c>
      <c r="BR497" s="175"/>
      <c r="BS497" s="147"/>
    </row>
    <row r="498">
      <c r="H498" s="8">
        <v>492.0</v>
      </c>
      <c r="I498" s="165" t="str">
        <f t="shared" si="6"/>
        <v>USIM6</v>
      </c>
      <c r="J498" s="166" t="str">
        <f>(VLOOKUP($I498,Capa!$A:$B,2,0))</f>
        <v>Usinas Siderurgicas de Mins Grs SA USMNS Preference Shares Class B</v>
      </c>
      <c r="K498" s="167" t="str">
        <f>VLOOKUP(left(I498,4),Setor!A:D,3,0)&amp;" | "&amp;VLOOKUP(left(I498,4),Setor!A:D,4,0)</f>
        <v>Materiais Básicos | Siderurgia e Metalurgia</v>
      </c>
      <c r="L498" s="168">
        <f>(VLOOKUP($I498,Capa!$A:$F,6,0))</f>
        <v>8</v>
      </c>
      <c r="M498" s="168">
        <f t="shared" si="7"/>
        <v>800</v>
      </c>
      <c r="N498" s="177" t="str">
        <f>IFERROR(__xludf.DUMMYFUNCTION("(VLOOKUP($I498,Capa!$A:$H,7,0))"),"")</f>
        <v/>
      </c>
      <c r="O498" s="169">
        <f>(VLOOKUP($I498,Capa!$A:$H,8,0))</f>
        <v>0.1065006916</v>
      </c>
      <c r="P498" s="169" t="str">
        <f>IFERROR(__xludf.DUMMYFUNCTION("(VLOOKUP($I498,Capa!$A:$J,10,0))"),"")</f>
        <v/>
      </c>
      <c r="Q498" s="169" t="str">
        <f>(VLOOKUP($I498,Capa!$A:$K,11,0))</f>
        <v/>
      </c>
      <c r="R498" s="45" t="str">
        <f>'Dados StatusInvest'!A493</f>
        <v>REDE3</v>
      </c>
      <c r="S498" s="170">
        <f t="shared" si="234"/>
        <v>1596.0596</v>
      </c>
      <c r="T498" s="171">
        <f>VLOOKUP(R498,'Dados StatusInvest'!A:Z,26,0)</f>
        <v>12953.14</v>
      </c>
      <c r="U498" s="172">
        <f t="shared" ref="U498:AS498" si="501">IF(AT498="","", RANK(AT498,AT$7:AT$626,0)+RANK(AT498,AT$7:AT$626,0)/10000)</f>
        <v>422.0422</v>
      </c>
      <c r="V498" s="172">
        <f t="shared" si="501"/>
        <v>174.0174</v>
      </c>
      <c r="W498" s="172" t="str">
        <f t="shared" si="501"/>
        <v/>
      </c>
      <c r="X498" s="172" t="str">
        <f t="shared" si="501"/>
        <v/>
      </c>
      <c r="Y498" s="172" t="str">
        <f t="shared" si="501"/>
        <v/>
      </c>
      <c r="Z498" s="172" t="str">
        <f t="shared" si="501"/>
        <v/>
      </c>
      <c r="AA498" s="172" t="str">
        <f t="shared" si="501"/>
        <v/>
      </c>
      <c r="AB498" s="172" t="str">
        <f t="shared" si="501"/>
        <v/>
      </c>
      <c r="AC498" s="172" t="str">
        <f t="shared" si="501"/>
        <v/>
      </c>
      <c r="AD498" s="172" t="str">
        <f t="shared" si="501"/>
        <v/>
      </c>
      <c r="AE498" s="172" t="str">
        <f t="shared" si="501"/>
        <v/>
      </c>
      <c r="AF498" s="172" t="str">
        <f t="shared" si="501"/>
        <v/>
      </c>
      <c r="AG498" s="172" t="str">
        <f t="shared" si="501"/>
        <v/>
      </c>
      <c r="AH498" s="172" t="str">
        <f t="shared" si="501"/>
        <v/>
      </c>
      <c r="AI498" s="172" t="str">
        <f t="shared" si="501"/>
        <v/>
      </c>
      <c r="AJ498" s="172" t="str">
        <f t="shared" si="501"/>
        <v/>
      </c>
      <c r="AK498" s="172" t="str">
        <f t="shared" si="501"/>
        <v/>
      </c>
      <c r="AL498" s="172" t="str">
        <f t="shared" si="501"/>
        <v/>
      </c>
      <c r="AM498" s="172" t="str">
        <f t="shared" si="501"/>
        <v/>
      </c>
      <c r="AN498" s="172" t="str">
        <f t="shared" si="501"/>
        <v/>
      </c>
      <c r="AO498" s="172" t="str">
        <f t="shared" si="501"/>
        <v/>
      </c>
      <c r="AP498" s="172" t="str">
        <f t="shared" si="501"/>
        <v/>
      </c>
      <c r="AQ498" s="172" t="str">
        <f t="shared" si="501"/>
        <v/>
      </c>
      <c r="AR498" s="172" t="str">
        <f t="shared" si="501"/>
        <v/>
      </c>
      <c r="AS498" s="172" t="str">
        <f t="shared" si="501"/>
        <v/>
      </c>
      <c r="AT498" s="173">
        <f>IF(AT$6="","",IF(AT$3="Maior",iferror(VLOOKUP($R498,Capa!$A:$AJ,AT$5,0),0),IF(ISERROR(1/VLOOKUP($R498,Capa!$A:$AJ,AT$5,0)),0,1/VLOOKUP($R498,Capa!$A:$AJ,AT$5,0))))</f>
        <v>-1.515151515</v>
      </c>
      <c r="AU498" s="174">
        <f>IF(AU$6="","",IF(AU$3="Maior",iferror(VLOOKUP($R498,Capa!$A:$AJ,AU$5,0),0),IF(ISERROR(1/VLOOKUP($R498,Capa!$A:$AJ,AU$5,0)),0,1/VLOOKUP($R498,Capa!$A:$AJ,AU$5,0))))</f>
        <v>14.75</v>
      </c>
      <c r="AV498" s="174" t="str">
        <f>IF(AV$6="","",IF(AV$3="Maior",iferror(VLOOKUP($R498,Capa!$A:$AJ,AV$5,0),0),IF(ISERROR(1/VLOOKUP($R498,Capa!$A:$AJ,AV$5,0)),0,1/VLOOKUP($R498,Capa!$A:$AJ,AV$5,0))))</f>
        <v/>
      </c>
      <c r="AW498" s="174" t="str">
        <f>IF(AW$6="","",IF(AW$3="Maior",iferror(VLOOKUP($R498,Capa!$A:$AJ,AW$5,0),0),IF(ISERROR(1/VLOOKUP($R498,Capa!$A:$AJ,AW$5,0)),0,1/VLOOKUP($R498,Capa!$A:$AJ,AW$5,0))))</f>
        <v/>
      </c>
      <c r="AX498" s="174" t="str">
        <f>IF(AX$6="","",IF(AX$3="Maior",iferror(VLOOKUP($R498,Capa!$A:$AJ,AX$5,0),0),IF(ISERROR(1/VLOOKUP($R498,Capa!$A:$AJ,AX$5,0)),0,1/VLOOKUP($R498,Capa!$A:$AJ,AX$5,0))))</f>
        <v/>
      </c>
      <c r="AY498" s="174" t="str">
        <f>IF(AY$6="","",IF(AY$3="Maior",iferror(VLOOKUP($R498,Capa!$A:$AJ,AY$5,0),0),IF(ISERROR(1/VLOOKUP($R498,Capa!$A:$AJ,AY$5,0)),0,1/VLOOKUP($R498,Capa!$A:$AJ,AY$5,0))))</f>
        <v/>
      </c>
      <c r="AZ498" s="174" t="str">
        <f>IF(AZ$6="","",IF(AZ$3="Maior",iferror(VLOOKUP($R498,Capa!$A:$AJ,AZ$5,0),0),IF(ISERROR(1/VLOOKUP($R498,Capa!$A:$AJ,AZ$5,0)),0,1/VLOOKUP($R498,Capa!$A:$AJ,AZ$5,0))))</f>
        <v/>
      </c>
      <c r="BA498" s="174" t="str">
        <f>IF(BA$6="","",IF(BA$3="Maior",iferror(VLOOKUP($R498,Capa!$A:$AJ,BA$5,0),0),IF(ISERROR(1/VLOOKUP($R498,Capa!$A:$AJ,BA$5,0)),0,1/VLOOKUP($R498,Capa!$A:$AJ,BA$5,0))))</f>
        <v/>
      </c>
      <c r="BB498" s="174" t="str">
        <f>IF(BB$6="","",IF(BB$3="Maior",iferror(VLOOKUP($R498,Capa!$A:$AJ,BB$5,0),0),IF(ISERROR(1/VLOOKUP($R498,Capa!$A:$AJ,BB$5,0)),0,1/VLOOKUP($R498,Capa!$A:$AJ,BB$5,0))))</f>
        <v/>
      </c>
      <c r="BC498" s="174" t="str">
        <f>IF(BC$6="","",IF(BC$3="Maior",iferror(VLOOKUP($R498,Capa!$A:$AJ,BC$5,0),0),IF(ISERROR(1/VLOOKUP($R498,Capa!$A:$AJ,BC$5,0)),0,1/VLOOKUP($R498,Capa!$A:$AJ,BC$5,0))))</f>
        <v/>
      </c>
      <c r="BD498" s="174" t="str">
        <f>IF(BD$6="","",IF(BD$3="Maior",iferror(VLOOKUP($R498,Capa!$A:$AJ,BD$5,0),0),IF(ISERROR(1/VLOOKUP($R498,Capa!$A:$AJ,BD$5,0)),0,1/VLOOKUP($R498,Capa!$A:$AJ,BD$5,0))))</f>
        <v/>
      </c>
      <c r="BE498" s="174" t="str">
        <f>IF(BE$6="","",IF(BE$3="Maior",iferror(VLOOKUP($R498,Capa!$A:$AJ,BE$5,0),0),IF(ISERROR(1/VLOOKUP($R498,Capa!$A:$AJ,BE$5,0)),0,1/VLOOKUP($R498,Capa!$A:$AJ,BE$5,0))))</f>
        <v/>
      </c>
      <c r="BF498" s="174" t="str">
        <f>IF(BF$6="","",IF(BF$3="Maior",iferror(VLOOKUP($R498,Capa!$A:$AJ,BF$5,0),0),IF(ISERROR(1/VLOOKUP($R498,Capa!$A:$AJ,BF$5,0)),0,1/VLOOKUP($R498,Capa!$A:$AJ,BF$5,0))))</f>
        <v/>
      </c>
      <c r="BG498" s="174" t="str">
        <f>IF(BG$6="","",IF(BG$3="Maior",iferror(VLOOKUP($R498,Capa!$A:$AJ,BG$5,0),0),IF(ISERROR(1/VLOOKUP($R498,Capa!$A:$AJ,BG$5,0)),0,1/VLOOKUP($R498,Capa!$A:$AJ,BG$5,0))))</f>
        <v/>
      </c>
      <c r="BH498" s="174" t="str">
        <f>IF(BH$6="","",IF(BH$3="Maior",iferror(VLOOKUP($R498,Capa!$A:$AJ,BH$5,0),0),IF(ISERROR(1/VLOOKUP($R498,Capa!$A:$AJ,BH$5,0)),0,1/VLOOKUP($R498,Capa!$A:$AJ,BH$5,0))))</f>
        <v/>
      </c>
      <c r="BI498" s="174" t="str">
        <f>IF(BI$6="","",IF(BI$3="Maior",iferror(VLOOKUP($R498,Capa!$A:$AJ,BI$5,0),0),IF(ISERROR(1/VLOOKUP($R498,Capa!$A:$AJ,BI$5,0)),0,1/VLOOKUP($R498,Capa!$A:$AJ,BI$5,0))))</f>
        <v/>
      </c>
      <c r="BJ498" s="174" t="str">
        <f>IF(BJ$6="","",IF(BJ$3="Maior",iferror(VLOOKUP($R498,Capa!$A:$AJ,BJ$5,0),0),IF(ISERROR(1/VLOOKUP($R498,Capa!$A:$AJ,BJ$5,0)),0,1/VLOOKUP($R498,Capa!$A:$AJ,BJ$5,0))))</f>
        <v/>
      </c>
      <c r="BK498" s="174" t="str">
        <f>IF(BK$6="","",IF(BK$3="Maior",iferror(VLOOKUP($R498,Capa!$A:$AJ,BK$5,0),0),IF(ISERROR(1/VLOOKUP($R498,Capa!$A:$AJ,BK$5,0)),0,1/VLOOKUP($R498,Capa!$A:$AJ,BK$5,0))))</f>
        <v/>
      </c>
      <c r="BL498" s="174" t="str">
        <f>IF(BL$6="","",IF(BL$3="Maior",iferror(VLOOKUP($R498,Capa!$A:$AJ,BL$5,0),0),IF(ISERROR(1/VLOOKUP($R498,Capa!$A:$AJ,BL$5,0)),0,1/VLOOKUP($R498,Capa!$A:$AJ,BL$5,0))))</f>
        <v/>
      </c>
      <c r="BM498" s="174" t="str">
        <f>IF(BM$6="","",IF(BM$3="Maior",iferror(VLOOKUP($R498,Capa!$A:$AJ,BM$5,0),0),IF(ISERROR(1/VLOOKUP($R498,Capa!$A:$AJ,BM$5,0)),0,1/VLOOKUP($R498,Capa!$A:$AJ,BM$5,0))))</f>
        <v/>
      </c>
      <c r="BN498" s="174" t="str">
        <f>IF(BN$6="","",IF(BN$3="Maior",iferror(VLOOKUP($R498,Capa!$A:$AJ,BN$5,0),0),IF(ISERROR(1/VLOOKUP($R498,Capa!$A:$AJ,BN$5,0)),0,1/VLOOKUP($R498,Capa!$A:$AJ,BN$5,0))))</f>
        <v/>
      </c>
      <c r="BO498" s="174" t="str">
        <f>IF(BO$6="","",IF(BO$3="Maior",iferror(VLOOKUP($R498,Capa!$A:$AJ,BO$5,0),0),IF(ISERROR(1/VLOOKUP($R498,Capa!$A:$AJ,BO$5,0)),0,1/VLOOKUP($R498,Capa!$A:$AJ,BO$5,0))))</f>
        <v/>
      </c>
      <c r="BP498" s="174" t="str">
        <f>IF(BP$6="","",IF(BP$3="Maior",iferror(VLOOKUP($R498,Capa!$A:$AJ,BP$5,0),0),IF(ISERROR(1/VLOOKUP($R498,Capa!$A:$AJ,BP$5,0)),0,1/VLOOKUP($R498,Capa!$A:$AJ,BP$5,0))))</f>
        <v/>
      </c>
      <c r="BQ498" s="174" t="str">
        <f>IF(BQ$6="","",IF(BQ$3="Maior",iferror(VLOOKUP($R498,Capa!$A:$AJ,BQ$5,0),0),IF(ISERROR(1/VLOOKUP($R498,Capa!$A:$AJ,BQ$5,0)),0,1/VLOOKUP($R498,Capa!$A:$AJ,BQ$5,0))))</f>
        <v/>
      </c>
      <c r="BR498" s="175"/>
      <c r="BS498" s="147"/>
    </row>
    <row r="499">
      <c r="H499" s="8">
        <v>493.0</v>
      </c>
      <c r="I499" s="165" t="str">
        <f t="shared" si="6"/>
        <v>ALUP4</v>
      </c>
      <c r="J499" s="166" t="str">
        <f>(VLOOKUP($I499,Capa!$A:$B,2,0))</f>
        <v>Alupar Investimento SA Preference Shares</v>
      </c>
      <c r="K499" s="167" t="str">
        <f>VLOOKUP(left(I499,4),Setor!A:D,3,0)&amp;" | "&amp;VLOOKUP(left(I499,4),Setor!A:D,4,0)</f>
        <v>Utilidade Pública | Energia Elétrica</v>
      </c>
      <c r="L499" s="168">
        <f>(VLOOKUP($I499,Capa!$A:$F,6,0))</f>
        <v>11.39</v>
      </c>
      <c r="M499" s="168">
        <f t="shared" si="7"/>
        <v>164248.6</v>
      </c>
      <c r="N499" s="11" t="str">
        <f>IFERROR(__xludf.DUMMYFUNCTION("(VLOOKUP($I499,Capa!$A:$H,7,0))"),"")</f>
        <v/>
      </c>
      <c r="O499" s="169">
        <f>(VLOOKUP($I499,Capa!$A:$H,8,0))</f>
        <v>0.04113345521</v>
      </c>
      <c r="P499" s="11" t="str">
        <f>IFERROR(__xludf.DUMMYFUNCTION("(VLOOKUP($I499,Capa!$A:$J,10,0))"),"")</f>
        <v/>
      </c>
      <c r="Q499" s="169">
        <f>(VLOOKUP($I499,Capa!$A:$K,11,0))</f>
        <v>0.278338945</v>
      </c>
      <c r="R499" s="45" t="str">
        <f>'Dados StatusInvest'!A494</f>
        <v>RENT3</v>
      </c>
      <c r="S499" s="170">
        <f t="shared" si="234"/>
        <v>202.0202</v>
      </c>
      <c r="T499" s="171">
        <f>VLOOKUP(R499,'Dados StatusInvest'!A:Z,26,0)</f>
        <v>445000000</v>
      </c>
      <c r="U499" s="172">
        <f t="shared" ref="U499:AS499" si="502">IF(AT499="","", RANK(AT499,AT$7:AT$626,0)+RANK(AT499,AT$7:AT$626,0)/10000)</f>
        <v>44.0044</v>
      </c>
      <c r="V499" s="172">
        <f t="shared" si="502"/>
        <v>158.0158</v>
      </c>
      <c r="W499" s="172" t="str">
        <f t="shared" si="502"/>
        <v/>
      </c>
      <c r="X499" s="172" t="str">
        <f t="shared" si="502"/>
        <v/>
      </c>
      <c r="Y499" s="172" t="str">
        <f t="shared" si="502"/>
        <v/>
      </c>
      <c r="Z499" s="172" t="str">
        <f t="shared" si="502"/>
        <v/>
      </c>
      <c r="AA499" s="172" t="str">
        <f t="shared" si="502"/>
        <v/>
      </c>
      <c r="AB499" s="172" t="str">
        <f t="shared" si="502"/>
        <v/>
      </c>
      <c r="AC499" s="172" t="str">
        <f t="shared" si="502"/>
        <v/>
      </c>
      <c r="AD499" s="172" t="str">
        <f t="shared" si="502"/>
        <v/>
      </c>
      <c r="AE499" s="172" t="str">
        <f t="shared" si="502"/>
        <v/>
      </c>
      <c r="AF499" s="172" t="str">
        <f t="shared" si="502"/>
        <v/>
      </c>
      <c r="AG499" s="172" t="str">
        <f t="shared" si="502"/>
        <v/>
      </c>
      <c r="AH499" s="172" t="str">
        <f t="shared" si="502"/>
        <v/>
      </c>
      <c r="AI499" s="172" t="str">
        <f t="shared" si="502"/>
        <v/>
      </c>
      <c r="AJ499" s="172" t="str">
        <f t="shared" si="502"/>
        <v/>
      </c>
      <c r="AK499" s="172" t="str">
        <f t="shared" si="502"/>
        <v/>
      </c>
      <c r="AL499" s="172" t="str">
        <f t="shared" si="502"/>
        <v/>
      </c>
      <c r="AM499" s="172" t="str">
        <f t="shared" si="502"/>
        <v/>
      </c>
      <c r="AN499" s="172" t="str">
        <f t="shared" si="502"/>
        <v/>
      </c>
      <c r="AO499" s="172" t="str">
        <f t="shared" si="502"/>
        <v/>
      </c>
      <c r="AP499" s="172" t="str">
        <f t="shared" si="502"/>
        <v/>
      </c>
      <c r="AQ499" s="172" t="str">
        <f t="shared" si="502"/>
        <v/>
      </c>
      <c r="AR499" s="172" t="str">
        <f t="shared" si="502"/>
        <v/>
      </c>
      <c r="AS499" s="172" t="str">
        <f t="shared" si="502"/>
        <v/>
      </c>
      <c r="AT499" s="173">
        <f>IF(AT$6="","",IF(AT$3="Maior",iferror(VLOOKUP($R499,Capa!$A:$AJ,AT$5,0),0),IF(ISERROR(1/VLOOKUP($R499,Capa!$A:$AJ,AT$5,0)),0,1/VLOOKUP($R499,Capa!$A:$AJ,AT$5,0))))</f>
        <v>0.0007622854761</v>
      </c>
      <c r="AU499" s="174">
        <f>IF(AU$6="","",IF(AU$3="Maior",iferror(VLOOKUP($R499,Capa!$A:$AJ,AU$5,0),0),IF(ISERROR(1/VLOOKUP($R499,Capa!$A:$AJ,AU$5,0)),0,1/VLOOKUP($R499,Capa!$A:$AJ,AU$5,0))))</f>
        <v>16.29</v>
      </c>
      <c r="AV499" s="174" t="str">
        <f>IF(AV$6="","",IF(AV$3="Maior",iferror(VLOOKUP($R499,Capa!$A:$AJ,AV$5,0),0),IF(ISERROR(1/VLOOKUP($R499,Capa!$A:$AJ,AV$5,0)),0,1/VLOOKUP($R499,Capa!$A:$AJ,AV$5,0))))</f>
        <v/>
      </c>
      <c r="AW499" s="174" t="str">
        <f>IF(AW$6="","",IF(AW$3="Maior",iferror(VLOOKUP($R499,Capa!$A:$AJ,AW$5,0),0),IF(ISERROR(1/VLOOKUP($R499,Capa!$A:$AJ,AW$5,0)),0,1/VLOOKUP($R499,Capa!$A:$AJ,AW$5,0))))</f>
        <v/>
      </c>
      <c r="AX499" s="174" t="str">
        <f>IF(AX$6="","",IF(AX$3="Maior",iferror(VLOOKUP($R499,Capa!$A:$AJ,AX$5,0),0),IF(ISERROR(1/VLOOKUP($R499,Capa!$A:$AJ,AX$5,0)),0,1/VLOOKUP($R499,Capa!$A:$AJ,AX$5,0))))</f>
        <v/>
      </c>
      <c r="AY499" s="174" t="str">
        <f>IF(AY$6="","",IF(AY$3="Maior",iferror(VLOOKUP($R499,Capa!$A:$AJ,AY$5,0),0),IF(ISERROR(1/VLOOKUP($R499,Capa!$A:$AJ,AY$5,0)),0,1/VLOOKUP($R499,Capa!$A:$AJ,AY$5,0))))</f>
        <v/>
      </c>
      <c r="AZ499" s="174" t="str">
        <f>IF(AZ$6="","",IF(AZ$3="Maior",iferror(VLOOKUP($R499,Capa!$A:$AJ,AZ$5,0),0),IF(ISERROR(1/VLOOKUP($R499,Capa!$A:$AJ,AZ$5,0)),0,1/VLOOKUP($R499,Capa!$A:$AJ,AZ$5,0))))</f>
        <v/>
      </c>
      <c r="BA499" s="174" t="str">
        <f>IF(BA$6="","",IF(BA$3="Maior",iferror(VLOOKUP($R499,Capa!$A:$AJ,BA$5,0),0),IF(ISERROR(1/VLOOKUP($R499,Capa!$A:$AJ,BA$5,0)),0,1/VLOOKUP($R499,Capa!$A:$AJ,BA$5,0))))</f>
        <v/>
      </c>
      <c r="BB499" s="174" t="str">
        <f>IF(BB$6="","",IF(BB$3="Maior",iferror(VLOOKUP($R499,Capa!$A:$AJ,BB$5,0),0),IF(ISERROR(1/VLOOKUP($R499,Capa!$A:$AJ,BB$5,0)),0,1/VLOOKUP($R499,Capa!$A:$AJ,BB$5,0))))</f>
        <v/>
      </c>
      <c r="BC499" s="174" t="str">
        <f>IF(BC$6="","",IF(BC$3="Maior",iferror(VLOOKUP($R499,Capa!$A:$AJ,BC$5,0),0),IF(ISERROR(1/VLOOKUP($R499,Capa!$A:$AJ,BC$5,0)),0,1/VLOOKUP($R499,Capa!$A:$AJ,BC$5,0))))</f>
        <v/>
      </c>
      <c r="BD499" s="174" t="str">
        <f>IF(BD$6="","",IF(BD$3="Maior",iferror(VLOOKUP($R499,Capa!$A:$AJ,BD$5,0),0),IF(ISERROR(1/VLOOKUP($R499,Capa!$A:$AJ,BD$5,0)),0,1/VLOOKUP($R499,Capa!$A:$AJ,BD$5,0))))</f>
        <v/>
      </c>
      <c r="BE499" s="174" t="str">
        <f>IF(BE$6="","",IF(BE$3="Maior",iferror(VLOOKUP($R499,Capa!$A:$AJ,BE$5,0),0),IF(ISERROR(1/VLOOKUP($R499,Capa!$A:$AJ,BE$5,0)),0,1/VLOOKUP($R499,Capa!$A:$AJ,BE$5,0))))</f>
        <v/>
      </c>
      <c r="BF499" s="174" t="str">
        <f>IF(BF$6="","",IF(BF$3="Maior",iferror(VLOOKUP($R499,Capa!$A:$AJ,BF$5,0),0),IF(ISERROR(1/VLOOKUP($R499,Capa!$A:$AJ,BF$5,0)),0,1/VLOOKUP($R499,Capa!$A:$AJ,BF$5,0))))</f>
        <v/>
      </c>
      <c r="BG499" s="174" t="str">
        <f>IF(BG$6="","",IF(BG$3="Maior",iferror(VLOOKUP($R499,Capa!$A:$AJ,BG$5,0),0),IF(ISERROR(1/VLOOKUP($R499,Capa!$A:$AJ,BG$5,0)),0,1/VLOOKUP($R499,Capa!$A:$AJ,BG$5,0))))</f>
        <v/>
      </c>
      <c r="BH499" s="174" t="str">
        <f>IF(BH$6="","",IF(BH$3="Maior",iferror(VLOOKUP($R499,Capa!$A:$AJ,BH$5,0),0),IF(ISERROR(1/VLOOKUP($R499,Capa!$A:$AJ,BH$5,0)),0,1/VLOOKUP($R499,Capa!$A:$AJ,BH$5,0))))</f>
        <v/>
      </c>
      <c r="BI499" s="174" t="str">
        <f>IF(BI$6="","",IF(BI$3="Maior",iferror(VLOOKUP($R499,Capa!$A:$AJ,BI$5,0),0),IF(ISERROR(1/VLOOKUP($R499,Capa!$A:$AJ,BI$5,0)),0,1/VLOOKUP($R499,Capa!$A:$AJ,BI$5,0))))</f>
        <v/>
      </c>
      <c r="BJ499" s="174" t="str">
        <f>IF(BJ$6="","",IF(BJ$3="Maior",iferror(VLOOKUP($R499,Capa!$A:$AJ,BJ$5,0),0),IF(ISERROR(1/VLOOKUP($R499,Capa!$A:$AJ,BJ$5,0)),0,1/VLOOKUP($R499,Capa!$A:$AJ,BJ$5,0))))</f>
        <v/>
      </c>
      <c r="BK499" s="174" t="str">
        <f>IF(BK$6="","",IF(BK$3="Maior",iferror(VLOOKUP($R499,Capa!$A:$AJ,BK$5,0),0),IF(ISERROR(1/VLOOKUP($R499,Capa!$A:$AJ,BK$5,0)),0,1/VLOOKUP($R499,Capa!$A:$AJ,BK$5,0))))</f>
        <v/>
      </c>
      <c r="BL499" s="174" t="str">
        <f>IF(BL$6="","",IF(BL$3="Maior",iferror(VLOOKUP($R499,Capa!$A:$AJ,BL$5,0),0),IF(ISERROR(1/VLOOKUP($R499,Capa!$A:$AJ,BL$5,0)),0,1/VLOOKUP($R499,Capa!$A:$AJ,BL$5,0))))</f>
        <v/>
      </c>
      <c r="BM499" s="174" t="str">
        <f>IF(BM$6="","",IF(BM$3="Maior",iferror(VLOOKUP($R499,Capa!$A:$AJ,BM$5,0),0),IF(ISERROR(1/VLOOKUP($R499,Capa!$A:$AJ,BM$5,0)),0,1/VLOOKUP($R499,Capa!$A:$AJ,BM$5,0))))</f>
        <v/>
      </c>
      <c r="BN499" s="174" t="str">
        <f>IF(BN$6="","",IF(BN$3="Maior",iferror(VLOOKUP($R499,Capa!$A:$AJ,BN$5,0),0),IF(ISERROR(1/VLOOKUP($R499,Capa!$A:$AJ,BN$5,0)),0,1/VLOOKUP($R499,Capa!$A:$AJ,BN$5,0))))</f>
        <v/>
      </c>
      <c r="BO499" s="174" t="str">
        <f>IF(BO$6="","",IF(BO$3="Maior",iferror(VLOOKUP($R499,Capa!$A:$AJ,BO$5,0),0),IF(ISERROR(1/VLOOKUP($R499,Capa!$A:$AJ,BO$5,0)),0,1/VLOOKUP($R499,Capa!$A:$AJ,BO$5,0))))</f>
        <v/>
      </c>
      <c r="BP499" s="174" t="str">
        <f>IF(BP$6="","",IF(BP$3="Maior",iferror(VLOOKUP($R499,Capa!$A:$AJ,BP$5,0),0),IF(ISERROR(1/VLOOKUP($R499,Capa!$A:$AJ,BP$5,0)),0,1/VLOOKUP($R499,Capa!$A:$AJ,BP$5,0))))</f>
        <v/>
      </c>
      <c r="BQ499" s="174" t="str">
        <f>IF(BQ$6="","",IF(BQ$3="Maior",iferror(VLOOKUP($R499,Capa!$A:$AJ,BQ$5,0),0),IF(ISERROR(1/VLOOKUP($R499,Capa!$A:$AJ,BQ$5,0)),0,1/VLOOKUP($R499,Capa!$A:$AJ,BQ$5,0))))</f>
        <v/>
      </c>
      <c r="BR499" s="175"/>
      <c r="BS499" s="147"/>
    </row>
    <row r="500">
      <c r="H500" s="8">
        <v>494.0</v>
      </c>
      <c r="I500" s="165" t="str">
        <f t="shared" si="6"/>
        <v>ALUP4</v>
      </c>
      <c r="J500" s="166" t="str">
        <f>(VLOOKUP($I500,Capa!$A:$B,2,0))</f>
        <v>Alupar Investimento SA Preference Shares</v>
      </c>
      <c r="K500" s="167" t="str">
        <f>VLOOKUP(left(I500,4),Setor!A:D,3,0)&amp;" | "&amp;VLOOKUP(left(I500,4),Setor!A:D,4,0)</f>
        <v>Utilidade Pública | Energia Elétrica</v>
      </c>
      <c r="L500" s="168">
        <f>(VLOOKUP($I500,Capa!$A:$F,6,0))</f>
        <v>11.39</v>
      </c>
      <c r="M500" s="168">
        <f t="shared" si="7"/>
        <v>164248.6</v>
      </c>
      <c r="N500" s="11" t="str">
        <f>IFERROR(__xludf.DUMMYFUNCTION("(VLOOKUP($I500,Capa!$A:$H,7,0))"),"")</f>
        <v/>
      </c>
      <c r="O500" s="169">
        <f>(VLOOKUP($I500,Capa!$A:$H,8,0))</f>
        <v>0.04113345521</v>
      </c>
      <c r="P500" s="11" t="str">
        <f>IFERROR(__xludf.DUMMYFUNCTION("(VLOOKUP($I500,Capa!$A:$J,10,0))"),"")</f>
        <v/>
      </c>
      <c r="Q500" s="169">
        <f>(VLOOKUP($I500,Capa!$A:$K,11,0))</f>
        <v>0.278338945</v>
      </c>
      <c r="R500" s="45" t="str">
        <f>'Dados StatusInvest'!A495</f>
        <v>RENT4</v>
      </c>
      <c r="S500" s="170">
        <f t="shared" si="234"/>
        <v>509.0509</v>
      </c>
      <c r="T500" s="171">
        <f>VLOOKUP(R500,'Dados StatusInvest'!A:Z,26,0)</f>
        <v>13411857</v>
      </c>
      <c r="U500" s="172">
        <f t="shared" ref="U500:AS500" si="503">IF(AT500="","", RANK(AT500,AT$7:AT$626,0)+RANK(AT500,AT$7:AT$626,0)/10000)</f>
        <v>351.0351</v>
      </c>
      <c r="V500" s="172">
        <f t="shared" si="503"/>
        <v>158.0158</v>
      </c>
      <c r="W500" s="172" t="str">
        <f t="shared" si="503"/>
        <v/>
      </c>
      <c r="X500" s="172" t="str">
        <f t="shared" si="503"/>
        <v/>
      </c>
      <c r="Y500" s="172" t="str">
        <f t="shared" si="503"/>
        <v/>
      </c>
      <c r="Z500" s="172" t="str">
        <f t="shared" si="503"/>
        <v/>
      </c>
      <c r="AA500" s="172" t="str">
        <f t="shared" si="503"/>
        <v/>
      </c>
      <c r="AB500" s="172" t="str">
        <f t="shared" si="503"/>
        <v/>
      </c>
      <c r="AC500" s="172" t="str">
        <f t="shared" si="503"/>
        <v/>
      </c>
      <c r="AD500" s="172" t="str">
        <f t="shared" si="503"/>
        <v/>
      </c>
      <c r="AE500" s="172" t="str">
        <f t="shared" si="503"/>
        <v/>
      </c>
      <c r="AF500" s="172" t="str">
        <f t="shared" si="503"/>
        <v/>
      </c>
      <c r="AG500" s="172" t="str">
        <f t="shared" si="503"/>
        <v/>
      </c>
      <c r="AH500" s="172" t="str">
        <f t="shared" si="503"/>
        <v/>
      </c>
      <c r="AI500" s="172" t="str">
        <f t="shared" si="503"/>
        <v/>
      </c>
      <c r="AJ500" s="172" t="str">
        <f t="shared" si="503"/>
        <v/>
      </c>
      <c r="AK500" s="172" t="str">
        <f t="shared" si="503"/>
        <v/>
      </c>
      <c r="AL500" s="172" t="str">
        <f t="shared" si="503"/>
        <v/>
      </c>
      <c r="AM500" s="172" t="str">
        <f t="shared" si="503"/>
        <v/>
      </c>
      <c r="AN500" s="172" t="str">
        <f t="shared" si="503"/>
        <v/>
      </c>
      <c r="AO500" s="172" t="str">
        <f t="shared" si="503"/>
        <v/>
      </c>
      <c r="AP500" s="172" t="str">
        <f t="shared" si="503"/>
        <v/>
      </c>
      <c r="AQ500" s="172" t="str">
        <f t="shared" si="503"/>
        <v/>
      </c>
      <c r="AR500" s="172" t="str">
        <f t="shared" si="503"/>
        <v/>
      </c>
      <c r="AS500" s="172" t="str">
        <f t="shared" si="503"/>
        <v/>
      </c>
      <c r="AT500" s="173">
        <f>IF(AT$6="","",IF(AT$3="Maior",iferror(VLOOKUP($R500,Capa!$A:$AJ,AT$5,0),0),IF(ISERROR(1/VLOOKUP($R500,Capa!$A:$AJ,AT$5,0)),0,1/VLOOKUP($R500,Capa!$A:$AJ,AT$5,0))))</f>
        <v>-0.9938825959</v>
      </c>
      <c r="AU500" s="174">
        <f>IF(AU$6="","",IF(AU$3="Maior",iferror(VLOOKUP($R500,Capa!$A:$AJ,AU$5,0),0),IF(ISERROR(1/VLOOKUP($R500,Capa!$A:$AJ,AU$5,0)),0,1/VLOOKUP($R500,Capa!$A:$AJ,AU$5,0))))</f>
        <v>16.29</v>
      </c>
      <c r="AV500" s="174" t="str">
        <f>IF(AV$6="","",IF(AV$3="Maior",iferror(VLOOKUP($R500,Capa!$A:$AJ,AV$5,0),0),IF(ISERROR(1/VLOOKUP($R500,Capa!$A:$AJ,AV$5,0)),0,1/VLOOKUP($R500,Capa!$A:$AJ,AV$5,0))))</f>
        <v/>
      </c>
      <c r="AW500" s="174" t="str">
        <f>IF(AW$6="","",IF(AW$3="Maior",iferror(VLOOKUP($R500,Capa!$A:$AJ,AW$5,0),0),IF(ISERROR(1/VLOOKUP($R500,Capa!$A:$AJ,AW$5,0)),0,1/VLOOKUP($R500,Capa!$A:$AJ,AW$5,0))))</f>
        <v/>
      </c>
      <c r="AX500" s="174" t="str">
        <f>IF(AX$6="","",IF(AX$3="Maior",iferror(VLOOKUP($R500,Capa!$A:$AJ,AX$5,0),0),IF(ISERROR(1/VLOOKUP($R500,Capa!$A:$AJ,AX$5,0)),0,1/VLOOKUP($R500,Capa!$A:$AJ,AX$5,0))))</f>
        <v/>
      </c>
      <c r="AY500" s="174" t="str">
        <f>IF(AY$6="","",IF(AY$3="Maior",iferror(VLOOKUP($R500,Capa!$A:$AJ,AY$5,0),0),IF(ISERROR(1/VLOOKUP($R500,Capa!$A:$AJ,AY$5,0)),0,1/VLOOKUP($R500,Capa!$A:$AJ,AY$5,0))))</f>
        <v/>
      </c>
      <c r="AZ500" s="174" t="str">
        <f>IF(AZ$6="","",IF(AZ$3="Maior",iferror(VLOOKUP($R500,Capa!$A:$AJ,AZ$5,0),0),IF(ISERROR(1/VLOOKUP($R500,Capa!$A:$AJ,AZ$5,0)),0,1/VLOOKUP($R500,Capa!$A:$AJ,AZ$5,0))))</f>
        <v/>
      </c>
      <c r="BA500" s="174" t="str">
        <f>IF(BA$6="","",IF(BA$3="Maior",iferror(VLOOKUP($R500,Capa!$A:$AJ,BA$5,0),0),IF(ISERROR(1/VLOOKUP($R500,Capa!$A:$AJ,BA$5,0)),0,1/VLOOKUP($R500,Capa!$A:$AJ,BA$5,0))))</f>
        <v/>
      </c>
      <c r="BB500" s="174" t="str">
        <f>IF(BB$6="","",IF(BB$3="Maior",iferror(VLOOKUP($R500,Capa!$A:$AJ,BB$5,0),0),IF(ISERROR(1/VLOOKUP($R500,Capa!$A:$AJ,BB$5,0)),0,1/VLOOKUP($R500,Capa!$A:$AJ,BB$5,0))))</f>
        <v/>
      </c>
      <c r="BC500" s="174" t="str">
        <f>IF(BC$6="","",IF(BC$3="Maior",iferror(VLOOKUP($R500,Capa!$A:$AJ,BC$5,0),0),IF(ISERROR(1/VLOOKUP($R500,Capa!$A:$AJ,BC$5,0)),0,1/VLOOKUP($R500,Capa!$A:$AJ,BC$5,0))))</f>
        <v/>
      </c>
      <c r="BD500" s="174" t="str">
        <f>IF(BD$6="","",IF(BD$3="Maior",iferror(VLOOKUP($R500,Capa!$A:$AJ,BD$5,0),0),IF(ISERROR(1/VLOOKUP($R500,Capa!$A:$AJ,BD$5,0)),0,1/VLOOKUP($R500,Capa!$A:$AJ,BD$5,0))))</f>
        <v/>
      </c>
      <c r="BE500" s="174" t="str">
        <f>IF(BE$6="","",IF(BE$3="Maior",iferror(VLOOKUP($R500,Capa!$A:$AJ,BE$5,0),0),IF(ISERROR(1/VLOOKUP($R500,Capa!$A:$AJ,BE$5,0)),0,1/VLOOKUP($R500,Capa!$A:$AJ,BE$5,0))))</f>
        <v/>
      </c>
      <c r="BF500" s="174" t="str">
        <f>IF(BF$6="","",IF(BF$3="Maior",iferror(VLOOKUP($R500,Capa!$A:$AJ,BF$5,0),0),IF(ISERROR(1/VLOOKUP($R500,Capa!$A:$AJ,BF$5,0)),0,1/VLOOKUP($R500,Capa!$A:$AJ,BF$5,0))))</f>
        <v/>
      </c>
      <c r="BG500" s="174" t="str">
        <f>IF(BG$6="","",IF(BG$3="Maior",iferror(VLOOKUP($R500,Capa!$A:$AJ,BG$5,0),0),IF(ISERROR(1/VLOOKUP($R500,Capa!$A:$AJ,BG$5,0)),0,1/VLOOKUP($R500,Capa!$A:$AJ,BG$5,0))))</f>
        <v/>
      </c>
      <c r="BH500" s="174" t="str">
        <f>IF(BH$6="","",IF(BH$3="Maior",iferror(VLOOKUP($R500,Capa!$A:$AJ,BH$5,0),0),IF(ISERROR(1/VLOOKUP($R500,Capa!$A:$AJ,BH$5,0)),0,1/VLOOKUP($R500,Capa!$A:$AJ,BH$5,0))))</f>
        <v/>
      </c>
      <c r="BI500" s="174" t="str">
        <f>IF(BI$6="","",IF(BI$3="Maior",iferror(VLOOKUP($R500,Capa!$A:$AJ,BI$5,0),0),IF(ISERROR(1/VLOOKUP($R500,Capa!$A:$AJ,BI$5,0)),0,1/VLOOKUP($R500,Capa!$A:$AJ,BI$5,0))))</f>
        <v/>
      </c>
      <c r="BJ500" s="174" t="str">
        <f>IF(BJ$6="","",IF(BJ$3="Maior",iferror(VLOOKUP($R500,Capa!$A:$AJ,BJ$5,0),0),IF(ISERROR(1/VLOOKUP($R500,Capa!$A:$AJ,BJ$5,0)),0,1/VLOOKUP($R500,Capa!$A:$AJ,BJ$5,0))))</f>
        <v/>
      </c>
      <c r="BK500" s="174" t="str">
        <f>IF(BK$6="","",IF(BK$3="Maior",iferror(VLOOKUP($R500,Capa!$A:$AJ,BK$5,0),0),IF(ISERROR(1/VLOOKUP($R500,Capa!$A:$AJ,BK$5,0)),0,1/VLOOKUP($R500,Capa!$A:$AJ,BK$5,0))))</f>
        <v/>
      </c>
      <c r="BL500" s="174" t="str">
        <f>IF(BL$6="","",IF(BL$3="Maior",iferror(VLOOKUP($R500,Capa!$A:$AJ,BL$5,0),0),IF(ISERROR(1/VLOOKUP($R500,Capa!$A:$AJ,BL$5,0)),0,1/VLOOKUP($R500,Capa!$A:$AJ,BL$5,0))))</f>
        <v/>
      </c>
      <c r="BM500" s="174" t="str">
        <f>IF(BM$6="","",IF(BM$3="Maior",iferror(VLOOKUP($R500,Capa!$A:$AJ,BM$5,0),0),IF(ISERROR(1/VLOOKUP($R500,Capa!$A:$AJ,BM$5,0)),0,1/VLOOKUP($R500,Capa!$A:$AJ,BM$5,0))))</f>
        <v/>
      </c>
      <c r="BN500" s="174" t="str">
        <f>IF(BN$6="","",IF(BN$3="Maior",iferror(VLOOKUP($R500,Capa!$A:$AJ,BN$5,0),0),IF(ISERROR(1/VLOOKUP($R500,Capa!$A:$AJ,BN$5,0)),0,1/VLOOKUP($R500,Capa!$A:$AJ,BN$5,0))))</f>
        <v/>
      </c>
      <c r="BO500" s="174" t="str">
        <f>IF(BO$6="","",IF(BO$3="Maior",iferror(VLOOKUP($R500,Capa!$A:$AJ,BO$5,0),0),IF(ISERROR(1/VLOOKUP($R500,Capa!$A:$AJ,BO$5,0)),0,1/VLOOKUP($R500,Capa!$A:$AJ,BO$5,0))))</f>
        <v/>
      </c>
      <c r="BP500" s="174" t="str">
        <f>IF(BP$6="","",IF(BP$3="Maior",iferror(VLOOKUP($R500,Capa!$A:$AJ,BP$5,0),0),IF(ISERROR(1/VLOOKUP($R500,Capa!$A:$AJ,BP$5,0)),0,1/VLOOKUP($R500,Capa!$A:$AJ,BP$5,0))))</f>
        <v/>
      </c>
      <c r="BQ500" s="174" t="str">
        <f>IF(BQ$6="","",IF(BQ$3="Maior",iferror(VLOOKUP($R500,Capa!$A:$AJ,BQ$5,0),0),IF(ISERROR(1/VLOOKUP($R500,Capa!$A:$AJ,BQ$5,0)),0,1/VLOOKUP($R500,Capa!$A:$AJ,BQ$5,0))))</f>
        <v/>
      </c>
      <c r="BR500" s="175"/>
      <c r="BS500" s="147"/>
    </row>
    <row r="501">
      <c r="H501" s="8">
        <v>495.0</v>
      </c>
      <c r="I501" s="165" t="str">
        <f t="shared" si="6"/>
        <v>CSAB3</v>
      </c>
      <c r="J501" s="166" t="str">
        <f>(VLOOKUP($I501,Capa!$A:$B,2,0))</f>
        <v/>
      </c>
      <c r="K501" s="167" t="str">
        <f>VLOOKUP(left(I501,4),Setor!A:D,3,0)&amp;" | "&amp;VLOOKUP(left(I501,4),Setor!A:D,4,0)</f>
        <v>Financeiro | Previdência e Seguros</v>
      </c>
      <c r="L501" s="168" t="str">
        <f>(VLOOKUP($I501,Capa!$A:$F,6,0))</f>
        <v/>
      </c>
      <c r="M501" s="168">
        <f t="shared" si="7"/>
        <v>0</v>
      </c>
      <c r="N501" s="11" t="str">
        <f>(VLOOKUP($I501,Capa!$A:$H,7,0))</f>
        <v/>
      </c>
      <c r="O501" s="169" t="str">
        <f>(VLOOKUP($I501,Capa!$A:$H,8,0))</f>
        <v/>
      </c>
      <c r="P501" s="11" t="str">
        <f>(VLOOKUP($I501,Capa!$A:$J,10,0))</f>
        <v/>
      </c>
      <c r="Q501" s="169" t="str">
        <f>(VLOOKUP($I501,Capa!$A:$K,11,0))</f>
        <v/>
      </c>
      <c r="R501" s="45" t="str">
        <f>'Dados StatusInvest'!A496</f>
        <v>RIAA3</v>
      </c>
      <c r="S501" s="170">
        <f t="shared" si="234"/>
        <v>893.0893</v>
      </c>
      <c r="T501" s="171">
        <f>VLOOKUP(R501,'Dados StatusInvest'!A:Z,26,0)</f>
        <v>23604637</v>
      </c>
      <c r="U501" s="172">
        <f t="shared" ref="U501:AS501" si="504">IF(AT501="","", RANK(AT501,AT$7:AT$626,0)+RANK(AT501,AT$7:AT$626,0)/10000)</f>
        <v>337.0337</v>
      </c>
      <c r="V501" s="172">
        <f t="shared" si="504"/>
        <v>556.0556</v>
      </c>
      <c r="W501" s="172" t="str">
        <f t="shared" si="504"/>
        <v/>
      </c>
      <c r="X501" s="172" t="str">
        <f t="shared" si="504"/>
        <v/>
      </c>
      <c r="Y501" s="172" t="str">
        <f t="shared" si="504"/>
        <v/>
      </c>
      <c r="Z501" s="172" t="str">
        <f t="shared" si="504"/>
        <v/>
      </c>
      <c r="AA501" s="172" t="str">
        <f t="shared" si="504"/>
        <v/>
      </c>
      <c r="AB501" s="172" t="str">
        <f t="shared" si="504"/>
        <v/>
      </c>
      <c r="AC501" s="172" t="str">
        <f t="shared" si="504"/>
        <v/>
      </c>
      <c r="AD501" s="172" t="str">
        <f t="shared" si="504"/>
        <v/>
      </c>
      <c r="AE501" s="172" t="str">
        <f t="shared" si="504"/>
        <v/>
      </c>
      <c r="AF501" s="172" t="str">
        <f t="shared" si="504"/>
        <v/>
      </c>
      <c r="AG501" s="172" t="str">
        <f t="shared" si="504"/>
        <v/>
      </c>
      <c r="AH501" s="172" t="str">
        <f t="shared" si="504"/>
        <v/>
      </c>
      <c r="AI501" s="172" t="str">
        <f t="shared" si="504"/>
        <v/>
      </c>
      <c r="AJ501" s="172" t="str">
        <f t="shared" si="504"/>
        <v/>
      </c>
      <c r="AK501" s="172" t="str">
        <f t="shared" si="504"/>
        <v/>
      </c>
      <c r="AL501" s="172" t="str">
        <f t="shared" si="504"/>
        <v/>
      </c>
      <c r="AM501" s="172" t="str">
        <f t="shared" si="504"/>
        <v/>
      </c>
      <c r="AN501" s="172" t="str">
        <f t="shared" si="504"/>
        <v/>
      </c>
      <c r="AO501" s="172" t="str">
        <f t="shared" si="504"/>
        <v/>
      </c>
      <c r="AP501" s="172" t="str">
        <f t="shared" si="504"/>
        <v/>
      </c>
      <c r="AQ501" s="172" t="str">
        <f t="shared" si="504"/>
        <v/>
      </c>
      <c r="AR501" s="172" t="str">
        <f t="shared" si="504"/>
        <v/>
      </c>
      <c r="AS501" s="172" t="str">
        <f t="shared" si="504"/>
        <v/>
      </c>
      <c r="AT501" s="173">
        <f>IF(AT$6="","",IF(AT$3="Maior",iferror(VLOOKUP($R501,Capa!$A:$AJ,AT$5,0),0),IF(ISERROR(1/VLOOKUP($R501,Capa!$A:$AJ,AT$5,0)),0,1/VLOOKUP($R501,Capa!$A:$AJ,AT$5,0))))</f>
        <v>-0.9211553474</v>
      </c>
      <c r="AU501" s="174">
        <f>IF(AU$6="","",IF(AU$3="Maior",iferror(VLOOKUP($R501,Capa!$A:$AJ,AU$5,0),0),IF(ISERROR(1/VLOOKUP($R501,Capa!$A:$AJ,AU$5,0)),0,1/VLOOKUP($R501,Capa!$A:$AJ,AU$5,0))))</f>
        <v>-5.78</v>
      </c>
      <c r="AV501" s="174" t="str">
        <f>IF(AV$6="","",IF(AV$3="Maior",iferror(VLOOKUP($R501,Capa!$A:$AJ,AV$5,0),0),IF(ISERROR(1/VLOOKUP($R501,Capa!$A:$AJ,AV$5,0)),0,1/VLOOKUP($R501,Capa!$A:$AJ,AV$5,0))))</f>
        <v/>
      </c>
      <c r="AW501" s="174" t="str">
        <f>IF(AW$6="","",IF(AW$3="Maior",iferror(VLOOKUP($R501,Capa!$A:$AJ,AW$5,0),0),IF(ISERROR(1/VLOOKUP($R501,Capa!$A:$AJ,AW$5,0)),0,1/VLOOKUP($R501,Capa!$A:$AJ,AW$5,0))))</f>
        <v/>
      </c>
      <c r="AX501" s="174" t="str">
        <f>IF(AX$6="","",IF(AX$3="Maior",iferror(VLOOKUP($R501,Capa!$A:$AJ,AX$5,0),0),IF(ISERROR(1/VLOOKUP($R501,Capa!$A:$AJ,AX$5,0)),0,1/VLOOKUP($R501,Capa!$A:$AJ,AX$5,0))))</f>
        <v/>
      </c>
      <c r="AY501" s="174" t="str">
        <f>IF(AY$6="","",IF(AY$3="Maior",iferror(VLOOKUP($R501,Capa!$A:$AJ,AY$5,0),0),IF(ISERROR(1/VLOOKUP($R501,Capa!$A:$AJ,AY$5,0)),0,1/VLOOKUP($R501,Capa!$A:$AJ,AY$5,0))))</f>
        <v/>
      </c>
      <c r="AZ501" s="174" t="str">
        <f>IF(AZ$6="","",IF(AZ$3="Maior",iferror(VLOOKUP($R501,Capa!$A:$AJ,AZ$5,0),0),IF(ISERROR(1/VLOOKUP($R501,Capa!$A:$AJ,AZ$5,0)),0,1/VLOOKUP($R501,Capa!$A:$AJ,AZ$5,0))))</f>
        <v/>
      </c>
      <c r="BA501" s="174" t="str">
        <f>IF(BA$6="","",IF(BA$3="Maior",iferror(VLOOKUP($R501,Capa!$A:$AJ,BA$5,0),0),IF(ISERROR(1/VLOOKUP($R501,Capa!$A:$AJ,BA$5,0)),0,1/VLOOKUP($R501,Capa!$A:$AJ,BA$5,0))))</f>
        <v/>
      </c>
      <c r="BB501" s="174" t="str">
        <f>IF(BB$6="","",IF(BB$3="Maior",iferror(VLOOKUP($R501,Capa!$A:$AJ,BB$5,0),0),IF(ISERROR(1/VLOOKUP($R501,Capa!$A:$AJ,BB$5,0)),0,1/VLOOKUP($R501,Capa!$A:$AJ,BB$5,0))))</f>
        <v/>
      </c>
      <c r="BC501" s="174" t="str">
        <f>IF(BC$6="","",IF(BC$3="Maior",iferror(VLOOKUP($R501,Capa!$A:$AJ,BC$5,0),0),IF(ISERROR(1/VLOOKUP($R501,Capa!$A:$AJ,BC$5,0)),0,1/VLOOKUP($R501,Capa!$A:$AJ,BC$5,0))))</f>
        <v/>
      </c>
      <c r="BD501" s="174" t="str">
        <f>IF(BD$6="","",IF(BD$3="Maior",iferror(VLOOKUP($R501,Capa!$A:$AJ,BD$5,0),0),IF(ISERROR(1/VLOOKUP($R501,Capa!$A:$AJ,BD$5,0)),0,1/VLOOKUP($R501,Capa!$A:$AJ,BD$5,0))))</f>
        <v/>
      </c>
      <c r="BE501" s="174" t="str">
        <f>IF(BE$6="","",IF(BE$3="Maior",iferror(VLOOKUP($R501,Capa!$A:$AJ,BE$5,0),0),IF(ISERROR(1/VLOOKUP($R501,Capa!$A:$AJ,BE$5,0)),0,1/VLOOKUP($R501,Capa!$A:$AJ,BE$5,0))))</f>
        <v/>
      </c>
      <c r="BF501" s="174" t="str">
        <f>IF(BF$6="","",IF(BF$3="Maior",iferror(VLOOKUP($R501,Capa!$A:$AJ,BF$5,0),0),IF(ISERROR(1/VLOOKUP($R501,Capa!$A:$AJ,BF$5,0)),0,1/VLOOKUP($R501,Capa!$A:$AJ,BF$5,0))))</f>
        <v/>
      </c>
      <c r="BG501" s="174" t="str">
        <f>IF(BG$6="","",IF(BG$3="Maior",iferror(VLOOKUP($R501,Capa!$A:$AJ,BG$5,0),0),IF(ISERROR(1/VLOOKUP($R501,Capa!$A:$AJ,BG$5,0)),0,1/VLOOKUP($R501,Capa!$A:$AJ,BG$5,0))))</f>
        <v/>
      </c>
      <c r="BH501" s="174" t="str">
        <f>IF(BH$6="","",IF(BH$3="Maior",iferror(VLOOKUP($R501,Capa!$A:$AJ,BH$5,0),0),IF(ISERROR(1/VLOOKUP($R501,Capa!$A:$AJ,BH$5,0)),0,1/VLOOKUP($R501,Capa!$A:$AJ,BH$5,0))))</f>
        <v/>
      </c>
      <c r="BI501" s="174" t="str">
        <f>IF(BI$6="","",IF(BI$3="Maior",iferror(VLOOKUP($R501,Capa!$A:$AJ,BI$5,0),0),IF(ISERROR(1/VLOOKUP($R501,Capa!$A:$AJ,BI$5,0)),0,1/VLOOKUP($R501,Capa!$A:$AJ,BI$5,0))))</f>
        <v/>
      </c>
      <c r="BJ501" s="174" t="str">
        <f>IF(BJ$6="","",IF(BJ$3="Maior",iferror(VLOOKUP($R501,Capa!$A:$AJ,BJ$5,0),0),IF(ISERROR(1/VLOOKUP($R501,Capa!$A:$AJ,BJ$5,0)),0,1/VLOOKUP($R501,Capa!$A:$AJ,BJ$5,0))))</f>
        <v/>
      </c>
      <c r="BK501" s="174" t="str">
        <f>IF(BK$6="","",IF(BK$3="Maior",iferror(VLOOKUP($R501,Capa!$A:$AJ,BK$5,0),0),IF(ISERROR(1/VLOOKUP($R501,Capa!$A:$AJ,BK$5,0)),0,1/VLOOKUP($R501,Capa!$A:$AJ,BK$5,0))))</f>
        <v/>
      </c>
      <c r="BL501" s="174" t="str">
        <f>IF(BL$6="","",IF(BL$3="Maior",iferror(VLOOKUP($R501,Capa!$A:$AJ,BL$5,0),0),IF(ISERROR(1/VLOOKUP($R501,Capa!$A:$AJ,BL$5,0)),0,1/VLOOKUP($R501,Capa!$A:$AJ,BL$5,0))))</f>
        <v/>
      </c>
      <c r="BM501" s="174" t="str">
        <f>IF(BM$6="","",IF(BM$3="Maior",iferror(VLOOKUP($R501,Capa!$A:$AJ,BM$5,0),0),IF(ISERROR(1/VLOOKUP($R501,Capa!$A:$AJ,BM$5,0)),0,1/VLOOKUP($R501,Capa!$A:$AJ,BM$5,0))))</f>
        <v/>
      </c>
      <c r="BN501" s="174" t="str">
        <f>IF(BN$6="","",IF(BN$3="Maior",iferror(VLOOKUP($R501,Capa!$A:$AJ,BN$5,0),0),IF(ISERROR(1/VLOOKUP($R501,Capa!$A:$AJ,BN$5,0)),0,1/VLOOKUP($R501,Capa!$A:$AJ,BN$5,0))))</f>
        <v/>
      </c>
      <c r="BO501" s="174" t="str">
        <f>IF(BO$6="","",IF(BO$3="Maior",iferror(VLOOKUP($R501,Capa!$A:$AJ,BO$5,0),0),IF(ISERROR(1/VLOOKUP($R501,Capa!$A:$AJ,BO$5,0)),0,1/VLOOKUP($R501,Capa!$A:$AJ,BO$5,0))))</f>
        <v/>
      </c>
      <c r="BP501" s="174" t="str">
        <f>IF(BP$6="","",IF(BP$3="Maior",iferror(VLOOKUP($R501,Capa!$A:$AJ,BP$5,0),0),IF(ISERROR(1/VLOOKUP($R501,Capa!$A:$AJ,BP$5,0)),0,1/VLOOKUP($R501,Capa!$A:$AJ,BP$5,0))))</f>
        <v/>
      </c>
      <c r="BQ501" s="174" t="str">
        <f>IF(BQ$6="","",IF(BQ$3="Maior",iferror(VLOOKUP($R501,Capa!$A:$AJ,BQ$5,0),0),IF(ISERROR(1/VLOOKUP($R501,Capa!$A:$AJ,BQ$5,0)),0,1/VLOOKUP($R501,Capa!$A:$AJ,BQ$5,0))))</f>
        <v/>
      </c>
      <c r="BR501" s="175"/>
      <c r="BS501" s="147"/>
    </row>
    <row r="502">
      <c r="H502" s="8">
        <v>496.0</v>
      </c>
      <c r="I502" s="165" t="str">
        <f t="shared" si="6"/>
        <v>APTI4</v>
      </c>
      <c r="J502" s="166" t="str">
        <f>(VLOOKUP($I502,Capa!$A:$B,2,0))</f>
        <v>Siderurgica JL Aliperti SA Preference Shares</v>
      </c>
      <c r="K502" s="167" t="str">
        <f>VLOOKUP(left(I502,4),Setor!A:D,3,0)&amp;" | "&amp;VLOOKUP(left(I502,4),Setor!A:D,4,0)</f>
        <v>Consumo não Cíclico | Agropecuária</v>
      </c>
      <c r="L502" s="168">
        <f>(VLOOKUP($I502,Capa!$A:$F,6,0))</f>
        <v>0</v>
      </c>
      <c r="M502" s="168">
        <f t="shared" si="7"/>
        <v>0</v>
      </c>
      <c r="N502" s="11" t="str">
        <f>(VLOOKUP($I502,Capa!$A:$H,7,0))</f>
        <v/>
      </c>
      <c r="O502" s="169" t="str">
        <f>(VLOOKUP($I502,Capa!$A:$H,8,0))</f>
        <v/>
      </c>
      <c r="P502" s="11" t="str">
        <f>IFERROR(__xludf.DUMMYFUNCTION("(VLOOKUP($I502,Capa!$A:$J,10,0))"),"")</f>
        <v/>
      </c>
      <c r="Q502" s="169" t="str">
        <f>(VLOOKUP($I502,Capa!$A:$K,11,0))</f>
        <v/>
      </c>
      <c r="R502" s="45" t="str">
        <f>'Dados StatusInvest'!A497</f>
        <v>RLOG3</v>
      </c>
      <c r="S502" s="170">
        <f t="shared" si="234"/>
        <v>1508.0508</v>
      </c>
      <c r="T502" s="171">
        <f>VLOOKUP(R502,'Dados StatusInvest'!A:Z,26,0)</f>
        <v>0</v>
      </c>
      <c r="U502" s="172">
        <f t="shared" ref="U502:AS502" si="505">IF(AT502="","", RANK(AT502,AT$7:AT$626,0)+RANK(AT502,AT$7:AT$626,0)/10000)</f>
        <v>265.0265</v>
      </c>
      <c r="V502" s="172">
        <f t="shared" si="505"/>
        <v>243.0243</v>
      </c>
      <c r="W502" s="172" t="str">
        <f t="shared" si="505"/>
        <v/>
      </c>
      <c r="X502" s="172" t="str">
        <f t="shared" si="505"/>
        <v/>
      </c>
      <c r="Y502" s="172" t="str">
        <f t="shared" si="505"/>
        <v/>
      </c>
      <c r="Z502" s="172" t="str">
        <f t="shared" si="505"/>
        <v/>
      </c>
      <c r="AA502" s="172" t="str">
        <f t="shared" si="505"/>
        <v/>
      </c>
      <c r="AB502" s="172" t="str">
        <f t="shared" si="505"/>
        <v/>
      </c>
      <c r="AC502" s="172" t="str">
        <f t="shared" si="505"/>
        <v/>
      </c>
      <c r="AD502" s="172" t="str">
        <f t="shared" si="505"/>
        <v/>
      </c>
      <c r="AE502" s="172" t="str">
        <f t="shared" si="505"/>
        <v/>
      </c>
      <c r="AF502" s="172" t="str">
        <f t="shared" si="505"/>
        <v/>
      </c>
      <c r="AG502" s="172" t="str">
        <f t="shared" si="505"/>
        <v/>
      </c>
      <c r="AH502" s="172" t="str">
        <f t="shared" si="505"/>
        <v/>
      </c>
      <c r="AI502" s="172" t="str">
        <f t="shared" si="505"/>
        <v/>
      </c>
      <c r="AJ502" s="172" t="str">
        <f t="shared" si="505"/>
        <v/>
      </c>
      <c r="AK502" s="172" t="str">
        <f t="shared" si="505"/>
        <v/>
      </c>
      <c r="AL502" s="172" t="str">
        <f t="shared" si="505"/>
        <v/>
      </c>
      <c r="AM502" s="172" t="str">
        <f t="shared" si="505"/>
        <v/>
      </c>
      <c r="AN502" s="172" t="str">
        <f t="shared" si="505"/>
        <v/>
      </c>
      <c r="AO502" s="172" t="str">
        <f t="shared" si="505"/>
        <v/>
      </c>
      <c r="AP502" s="172" t="str">
        <f t="shared" si="505"/>
        <v/>
      </c>
      <c r="AQ502" s="172" t="str">
        <f t="shared" si="505"/>
        <v/>
      </c>
      <c r="AR502" s="172" t="str">
        <f t="shared" si="505"/>
        <v/>
      </c>
      <c r="AS502" s="172" t="str">
        <f t="shared" si="505"/>
        <v/>
      </c>
      <c r="AT502" s="173">
        <f>IF(AT$6="","",IF(AT$3="Maior",iferror(VLOOKUP($R502,Capa!$A:$AJ,AT$5,0),0),IF(ISERROR(1/VLOOKUP($R502,Capa!$A:$AJ,AT$5,0)),0,1/VLOOKUP($R502,Capa!$A:$AJ,AT$5,0))))</f>
        <v>-0.5555555556</v>
      </c>
      <c r="AU502" s="174">
        <f>IF(AU$6="","",IF(AU$3="Maior",iferror(VLOOKUP($R502,Capa!$A:$AJ,AU$5,0),0),IF(ISERROR(1/VLOOKUP($R502,Capa!$A:$AJ,AU$5,0)),0,1/VLOOKUP($R502,Capa!$A:$AJ,AU$5,0))))</f>
        <v>4.37</v>
      </c>
      <c r="AV502" s="174" t="str">
        <f>IF(AV$6="","",IF(AV$3="Maior",iferror(VLOOKUP($R502,Capa!$A:$AJ,AV$5,0),0),IF(ISERROR(1/VLOOKUP($R502,Capa!$A:$AJ,AV$5,0)),0,1/VLOOKUP($R502,Capa!$A:$AJ,AV$5,0))))</f>
        <v/>
      </c>
      <c r="AW502" s="174" t="str">
        <f>IF(AW$6="","",IF(AW$3="Maior",iferror(VLOOKUP($R502,Capa!$A:$AJ,AW$5,0),0),IF(ISERROR(1/VLOOKUP($R502,Capa!$A:$AJ,AW$5,0)),0,1/VLOOKUP($R502,Capa!$A:$AJ,AW$5,0))))</f>
        <v/>
      </c>
      <c r="AX502" s="174" t="str">
        <f>IF(AX$6="","",IF(AX$3="Maior",iferror(VLOOKUP($R502,Capa!$A:$AJ,AX$5,0),0),IF(ISERROR(1/VLOOKUP($R502,Capa!$A:$AJ,AX$5,0)),0,1/VLOOKUP($R502,Capa!$A:$AJ,AX$5,0))))</f>
        <v/>
      </c>
      <c r="AY502" s="174" t="str">
        <f>IF(AY$6="","",IF(AY$3="Maior",iferror(VLOOKUP($R502,Capa!$A:$AJ,AY$5,0),0),IF(ISERROR(1/VLOOKUP($R502,Capa!$A:$AJ,AY$5,0)),0,1/VLOOKUP($R502,Capa!$A:$AJ,AY$5,0))))</f>
        <v/>
      </c>
      <c r="AZ502" s="174" t="str">
        <f>IF(AZ$6="","",IF(AZ$3="Maior",iferror(VLOOKUP($R502,Capa!$A:$AJ,AZ$5,0),0),IF(ISERROR(1/VLOOKUP($R502,Capa!$A:$AJ,AZ$5,0)),0,1/VLOOKUP($R502,Capa!$A:$AJ,AZ$5,0))))</f>
        <v/>
      </c>
      <c r="BA502" s="174" t="str">
        <f>IF(BA$6="","",IF(BA$3="Maior",iferror(VLOOKUP($R502,Capa!$A:$AJ,BA$5,0),0),IF(ISERROR(1/VLOOKUP($R502,Capa!$A:$AJ,BA$5,0)),0,1/VLOOKUP($R502,Capa!$A:$AJ,BA$5,0))))</f>
        <v/>
      </c>
      <c r="BB502" s="174" t="str">
        <f>IF(BB$6="","",IF(BB$3="Maior",iferror(VLOOKUP($R502,Capa!$A:$AJ,BB$5,0),0),IF(ISERROR(1/VLOOKUP($R502,Capa!$A:$AJ,BB$5,0)),0,1/VLOOKUP($R502,Capa!$A:$AJ,BB$5,0))))</f>
        <v/>
      </c>
      <c r="BC502" s="174" t="str">
        <f>IF(BC$6="","",IF(BC$3="Maior",iferror(VLOOKUP($R502,Capa!$A:$AJ,BC$5,0),0),IF(ISERROR(1/VLOOKUP($R502,Capa!$A:$AJ,BC$5,0)),0,1/VLOOKUP($R502,Capa!$A:$AJ,BC$5,0))))</f>
        <v/>
      </c>
      <c r="BD502" s="174" t="str">
        <f>IF(BD$6="","",IF(BD$3="Maior",iferror(VLOOKUP($R502,Capa!$A:$AJ,BD$5,0),0),IF(ISERROR(1/VLOOKUP($R502,Capa!$A:$AJ,BD$5,0)),0,1/VLOOKUP($R502,Capa!$A:$AJ,BD$5,0))))</f>
        <v/>
      </c>
      <c r="BE502" s="174" t="str">
        <f>IF(BE$6="","",IF(BE$3="Maior",iferror(VLOOKUP($R502,Capa!$A:$AJ,BE$5,0),0),IF(ISERROR(1/VLOOKUP($R502,Capa!$A:$AJ,BE$5,0)),0,1/VLOOKUP($R502,Capa!$A:$AJ,BE$5,0))))</f>
        <v/>
      </c>
      <c r="BF502" s="174" t="str">
        <f>IF(BF$6="","",IF(BF$3="Maior",iferror(VLOOKUP($R502,Capa!$A:$AJ,BF$5,0),0),IF(ISERROR(1/VLOOKUP($R502,Capa!$A:$AJ,BF$5,0)),0,1/VLOOKUP($R502,Capa!$A:$AJ,BF$5,0))))</f>
        <v/>
      </c>
      <c r="BG502" s="174" t="str">
        <f>IF(BG$6="","",IF(BG$3="Maior",iferror(VLOOKUP($R502,Capa!$A:$AJ,BG$5,0),0),IF(ISERROR(1/VLOOKUP($R502,Capa!$A:$AJ,BG$5,0)),0,1/VLOOKUP($R502,Capa!$A:$AJ,BG$5,0))))</f>
        <v/>
      </c>
      <c r="BH502" s="174" t="str">
        <f>IF(BH$6="","",IF(BH$3="Maior",iferror(VLOOKUP($R502,Capa!$A:$AJ,BH$5,0),0),IF(ISERROR(1/VLOOKUP($R502,Capa!$A:$AJ,BH$5,0)),0,1/VLOOKUP($R502,Capa!$A:$AJ,BH$5,0))))</f>
        <v/>
      </c>
      <c r="BI502" s="174" t="str">
        <f>IF(BI$6="","",IF(BI$3="Maior",iferror(VLOOKUP($R502,Capa!$A:$AJ,BI$5,0),0),IF(ISERROR(1/VLOOKUP($R502,Capa!$A:$AJ,BI$5,0)),0,1/VLOOKUP($R502,Capa!$A:$AJ,BI$5,0))))</f>
        <v/>
      </c>
      <c r="BJ502" s="174" t="str">
        <f>IF(BJ$6="","",IF(BJ$3="Maior",iferror(VLOOKUP($R502,Capa!$A:$AJ,BJ$5,0),0),IF(ISERROR(1/VLOOKUP($R502,Capa!$A:$AJ,BJ$5,0)),0,1/VLOOKUP($R502,Capa!$A:$AJ,BJ$5,0))))</f>
        <v/>
      </c>
      <c r="BK502" s="174" t="str">
        <f>IF(BK$6="","",IF(BK$3="Maior",iferror(VLOOKUP($R502,Capa!$A:$AJ,BK$5,0),0),IF(ISERROR(1/VLOOKUP($R502,Capa!$A:$AJ,BK$5,0)),0,1/VLOOKUP($R502,Capa!$A:$AJ,BK$5,0))))</f>
        <v/>
      </c>
      <c r="BL502" s="174" t="str">
        <f>IF(BL$6="","",IF(BL$3="Maior",iferror(VLOOKUP($R502,Capa!$A:$AJ,BL$5,0),0),IF(ISERROR(1/VLOOKUP($R502,Capa!$A:$AJ,BL$5,0)),0,1/VLOOKUP($R502,Capa!$A:$AJ,BL$5,0))))</f>
        <v/>
      </c>
      <c r="BM502" s="174" t="str">
        <f>IF(BM$6="","",IF(BM$3="Maior",iferror(VLOOKUP($R502,Capa!$A:$AJ,BM$5,0),0),IF(ISERROR(1/VLOOKUP($R502,Capa!$A:$AJ,BM$5,0)),0,1/VLOOKUP($R502,Capa!$A:$AJ,BM$5,0))))</f>
        <v/>
      </c>
      <c r="BN502" s="174" t="str">
        <f>IF(BN$6="","",IF(BN$3="Maior",iferror(VLOOKUP($R502,Capa!$A:$AJ,BN$5,0),0),IF(ISERROR(1/VLOOKUP($R502,Capa!$A:$AJ,BN$5,0)),0,1/VLOOKUP($R502,Capa!$A:$AJ,BN$5,0))))</f>
        <v/>
      </c>
      <c r="BO502" s="174" t="str">
        <f>IF(BO$6="","",IF(BO$3="Maior",iferror(VLOOKUP($R502,Capa!$A:$AJ,BO$5,0),0),IF(ISERROR(1/VLOOKUP($R502,Capa!$A:$AJ,BO$5,0)),0,1/VLOOKUP($R502,Capa!$A:$AJ,BO$5,0))))</f>
        <v/>
      </c>
      <c r="BP502" s="174" t="str">
        <f>IF(BP$6="","",IF(BP$3="Maior",iferror(VLOOKUP($R502,Capa!$A:$AJ,BP$5,0),0),IF(ISERROR(1/VLOOKUP($R502,Capa!$A:$AJ,BP$5,0)),0,1/VLOOKUP($R502,Capa!$A:$AJ,BP$5,0))))</f>
        <v/>
      </c>
      <c r="BQ502" s="174" t="str">
        <f>IF(BQ$6="","",IF(BQ$3="Maior",iferror(VLOOKUP($R502,Capa!$A:$AJ,BQ$5,0),0),IF(ISERROR(1/VLOOKUP($R502,Capa!$A:$AJ,BQ$5,0)),0,1/VLOOKUP($R502,Capa!$A:$AJ,BQ$5,0))))</f>
        <v/>
      </c>
      <c r="BR502" s="175"/>
      <c r="BS502" s="147"/>
    </row>
    <row r="503">
      <c r="H503" s="8">
        <v>497.0</v>
      </c>
      <c r="I503" s="165" t="str">
        <f t="shared" si="6"/>
        <v>BPAR3</v>
      </c>
      <c r="J503" s="166" t="str">
        <f>(VLOOKUP($I503,Capa!$A:$B,2,0))</f>
        <v>Banco do Estado do Para SA</v>
      </c>
      <c r="K503" s="167" t="str">
        <f>VLOOKUP(left(I503,4),Setor!A:D,3,0)&amp;" | "&amp;VLOOKUP(left(I503,4),Setor!A:D,4,0)</f>
        <v>Financeiro | Intermediários Financeiros</v>
      </c>
      <c r="L503" s="168">
        <f>(VLOOKUP($I503,Capa!$A:$F,6,0))</f>
        <v>0</v>
      </c>
      <c r="M503" s="168">
        <f t="shared" si="7"/>
        <v>0</v>
      </c>
      <c r="N503" s="11" t="str">
        <f>(VLOOKUP($I503,Capa!$A:$H,7,0))</f>
        <v/>
      </c>
      <c r="O503" s="169" t="str">
        <f>(VLOOKUP($I503,Capa!$A:$H,8,0))</f>
        <v/>
      </c>
      <c r="P503" s="11" t="str">
        <f>IFERROR(__xludf.DUMMYFUNCTION("(VLOOKUP($I503,Capa!$A:$J,10,0))"),"")</f>
        <v/>
      </c>
      <c r="Q503" s="169">
        <f>(VLOOKUP($I503,Capa!$A:$K,11,0))</f>
        <v>-1</v>
      </c>
      <c r="R503" s="45" t="str">
        <f>'Dados StatusInvest'!A498</f>
        <v>RNEW11</v>
      </c>
      <c r="S503" s="170">
        <f t="shared" si="234"/>
        <v>1283.0283</v>
      </c>
      <c r="T503" s="171">
        <f>VLOOKUP(R503,'Dados StatusInvest'!A:Z,26,0)</f>
        <v>1615</v>
      </c>
      <c r="U503" s="172">
        <f t="shared" ref="U503:AS503" si="506">IF(AT503="","", RANK(AT503,AT$7:AT$626,0)+RANK(AT503,AT$7:AT$626,0)/10000)</f>
        <v>16.0016</v>
      </c>
      <c r="V503" s="172">
        <f t="shared" si="506"/>
        <v>267.0267</v>
      </c>
      <c r="W503" s="172" t="str">
        <f t="shared" si="506"/>
        <v/>
      </c>
      <c r="X503" s="172" t="str">
        <f t="shared" si="506"/>
        <v/>
      </c>
      <c r="Y503" s="172" t="str">
        <f t="shared" si="506"/>
        <v/>
      </c>
      <c r="Z503" s="172" t="str">
        <f t="shared" si="506"/>
        <v/>
      </c>
      <c r="AA503" s="172" t="str">
        <f t="shared" si="506"/>
        <v/>
      </c>
      <c r="AB503" s="172" t="str">
        <f t="shared" si="506"/>
        <v/>
      </c>
      <c r="AC503" s="172" t="str">
        <f t="shared" si="506"/>
        <v/>
      </c>
      <c r="AD503" s="172" t="str">
        <f t="shared" si="506"/>
        <v/>
      </c>
      <c r="AE503" s="172" t="str">
        <f t="shared" si="506"/>
        <v/>
      </c>
      <c r="AF503" s="172" t="str">
        <f t="shared" si="506"/>
        <v/>
      </c>
      <c r="AG503" s="172" t="str">
        <f t="shared" si="506"/>
        <v/>
      </c>
      <c r="AH503" s="172" t="str">
        <f t="shared" si="506"/>
        <v/>
      </c>
      <c r="AI503" s="172" t="str">
        <f t="shared" si="506"/>
        <v/>
      </c>
      <c r="AJ503" s="172" t="str">
        <f t="shared" si="506"/>
        <v/>
      </c>
      <c r="AK503" s="172" t="str">
        <f t="shared" si="506"/>
        <v/>
      </c>
      <c r="AL503" s="172" t="str">
        <f t="shared" si="506"/>
        <v/>
      </c>
      <c r="AM503" s="172" t="str">
        <f t="shared" si="506"/>
        <v/>
      </c>
      <c r="AN503" s="172" t="str">
        <f t="shared" si="506"/>
        <v/>
      </c>
      <c r="AO503" s="172" t="str">
        <f t="shared" si="506"/>
        <v/>
      </c>
      <c r="AP503" s="172" t="str">
        <f t="shared" si="506"/>
        <v/>
      </c>
      <c r="AQ503" s="172" t="str">
        <f t="shared" si="506"/>
        <v/>
      </c>
      <c r="AR503" s="172" t="str">
        <f t="shared" si="506"/>
        <v/>
      </c>
      <c r="AS503" s="172" t="str">
        <f t="shared" si="506"/>
        <v/>
      </c>
      <c r="AT503" s="173">
        <f>IF(AT$6="","",IF(AT$3="Maior",iferror(VLOOKUP($R503,Capa!$A:$AJ,AT$5,0),0),IF(ISERROR(1/VLOOKUP($R503,Capa!$A:$AJ,AT$5,0)),0,1/VLOOKUP($R503,Capa!$A:$AJ,AT$5,0))))</f>
        <v>0.4608294931</v>
      </c>
      <c r="AU503" s="174">
        <f>IF(AU$6="","",IF(AU$3="Maior",iferror(VLOOKUP($R503,Capa!$A:$AJ,AU$5,0),0),IF(ISERROR(1/VLOOKUP($R503,Capa!$A:$AJ,AU$5,0)),0,1/VLOOKUP($R503,Capa!$A:$AJ,AU$5,0))))</f>
        <v>0</v>
      </c>
      <c r="AV503" s="174" t="str">
        <f>IF(AV$6="","",IF(AV$3="Maior",iferror(VLOOKUP($R503,Capa!$A:$AJ,AV$5,0),0),IF(ISERROR(1/VLOOKUP($R503,Capa!$A:$AJ,AV$5,0)),0,1/VLOOKUP($R503,Capa!$A:$AJ,AV$5,0))))</f>
        <v/>
      </c>
      <c r="AW503" s="174" t="str">
        <f>IF(AW$6="","",IF(AW$3="Maior",iferror(VLOOKUP($R503,Capa!$A:$AJ,AW$5,0),0),IF(ISERROR(1/VLOOKUP($R503,Capa!$A:$AJ,AW$5,0)),0,1/VLOOKUP($R503,Capa!$A:$AJ,AW$5,0))))</f>
        <v/>
      </c>
      <c r="AX503" s="174" t="str">
        <f>IF(AX$6="","",IF(AX$3="Maior",iferror(VLOOKUP($R503,Capa!$A:$AJ,AX$5,0),0),IF(ISERROR(1/VLOOKUP($R503,Capa!$A:$AJ,AX$5,0)),0,1/VLOOKUP($R503,Capa!$A:$AJ,AX$5,0))))</f>
        <v/>
      </c>
      <c r="AY503" s="174" t="str">
        <f>IF(AY$6="","",IF(AY$3="Maior",iferror(VLOOKUP($R503,Capa!$A:$AJ,AY$5,0),0),IF(ISERROR(1/VLOOKUP($R503,Capa!$A:$AJ,AY$5,0)),0,1/VLOOKUP($R503,Capa!$A:$AJ,AY$5,0))))</f>
        <v/>
      </c>
      <c r="AZ503" s="174" t="str">
        <f>IF(AZ$6="","",IF(AZ$3="Maior",iferror(VLOOKUP($R503,Capa!$A:$AJ,AZ$5,0),0),IF(ISERROR(1/VLOOKUP($R503,Capa!$A:$AJ,AZ$5,0)),0,1/VLOOKUP($R503,Capa!$A:$AJ,AZ$5,0))))</f>
        <v/>
      </c>
      <c r="BA503" s="174" t="str">
        <f>IF(BA$6="","",IF(BA$3="Maior",iferror(VLOOKUP($R503,Capa!$A:$AJ,BA$5,0),0),IF(ISERROR(1/VLOOKUP($R503,Capa!$A:$AJ,BA$5,0)),0,1/VLOOKUP($R503,Capa!$A:$AJ,BA$5,0))))</f>
        <v/>
      </c>
      <c r="BB503" s="174" t="str">
        <f>IF(BB$6="","",IF(BB$3="Maior",iferror(VLOOKUP($R503,Capa!$A:$AJ,BB$5,0),0),IF(ISERROR(1/VLOOKUP($R503,Capa!$A:$AJ,BB$5,0)),0,1/VLOOKUP($R503,Capa!$A:$AJ,BB$5,0))))</f>
        <v/>
      </c>
      <c r="BC503" s="174" t="str">
        <f>IF(BC$6="","",IF(BC$3="Maior",iferror(VLOOKUP($R503,Capa!$A:$AJ,BC$5,0),0),IF(ISERROR(1/VLOOKUP($R503,Capa!$A:$AJ,BC$5,0)),0,1/VLOOKUP($R503,Capa!$A:$AJ,BC$5,0))))</f>
        <v/>
      </c>
      <c r="BD503" s="174" t="str">
        <f>IF(BD$6="","",IF(BD$3="Maior",iferror(VLOOKUP($R503,Capa!$A:$AJ,BD$5,0),0),IF(ISERROR(1/VLOOKUP($R503,Capa!$A:$AJ,BD$5,0)),0,1/VLOOKUP($R503,Capa!$A:$AJ,BD$5,0))))</f>
        <v/>
      </c>
      <c r="BE503" s="174" t="str">
        <f>IF(BE$6="","",IF(BE$3="Maior",iferror(VLOOKUP($R503,Capa!$A:$AJ,BE$5,0),0),IF(ISERROR(1/VLOOKUP($R503,Capa!$A:$AJ,BE$5,0)),0,1/VLOOKUP($R503,Capa!$A:$AJ,BE$5,0))))</f>
        <v/>
      </c>
      <c r="BF503" s="174" t="str">
        <f>IF(BF$6="","",IF(BF$3="Maior",iferror(VLOOKUP($R503,Capa!$A:$AJ,BF$5,0),0),IF(ISERROR(1/VLOOKUP($R503,Capa!$A:$AJ,BF$5,0)),0,1/VLOOKUP($R503,Capa!$A:$AJ,BF$5,0))))</f>
        <v/>
      </c>
      <c r="BG503" s="174" t="str">
        <f>IF(BG$6="","",IF(BG$3="Maior",iferror(VLOOKUP($R503,Capa!$A:$AJ,BG$5,0),0),IF(ISERROR(1/VLOOKUP($R503,Capa!$A:$AJ,BG$5,0)),0,1/VLOOKUP($R503,Capa!$A:$AJ,BG$5,0))))</f>
        <v/>
      </c>
      <c r="BH503" s="174" t="str">
        <f>IF(BH$6="","",IF(BH$3="Maior",iferror(VLOOKUP($R503,Capa!$A:$AJ,BH$5,0),0),IF(ISERROR(1/VLOOKUP($R503,Capa!$A:$AJ,BH$5,0)),0,1/VLOOKUP($R503,Capa!$A:$AJ,BH$5,0))))</f>
        <v/>
      </c>
      <c r="BI503" s="174" t="str">
        <f>IF(BI$6="","",IF(BI$3="Maior",iferror(VLOOKUP($R503,Capa!$A:$AJ,BI$5,0),0),IF(ISERROR(1/VLOOKUP($R503,Capa!$A:$AJ,BI$5,0)),0,1/VLOOKUP($R503,Capa!$A:$AJ,BI$5,0))))</f>
        <v/>
      </c>
      <c r="BJ503" s="174" t="str">
        <f>IF(BJ$6="","",IF(BJ$3="Maior",iferror(VLOOKUP($R503,Capa!$A:$AJ,BJ$5,0),0),IF(ISERROR(1/VLOOKUP($R503,Capa!$A:$AJ,BJ$5,0)),0,1/VLOOKUP($R503,Capa!$A:$AJ,BJ$5,0))))</f>
        <v/>
      </c>
      <c r="BK503" s="174" t="str">
        <f>IF(BK$6="","",IF(BK$3="Maior",iferror(VLOOKUP($R503,Capa!$A:$AJ,BK$5,0),0),IF(ISERROR(1/VLOOKUP($R503,Capa!$A:$AJ,BK$5,0)),0,1/VLOOKUP($R503,Capa!$A:$AJ,BK$5,0))))</f>
        <v/>
      </c>
      <c r="BL503" s="174" t="str">
        <f>IF(BL$6="","",IF(BL$3="Maior",iferror(VLOOKUP($R503,Capa!$A:$AJ,BL$5,0),0),IF(ISERROR(1/VLOOKUP($R503,Capa!$A:$AJ,BL$5,0)),0,1/VLOOKUP($R503,Capa!$A:$AJ,BL$5,0))))</f>
        <v/>
      </c>
      <c r="BM503" s="174" t="str">
        <f>IF(BM$6="","",IF(BM$3="Maior",iferror(VLOOKUP($R503,Capa!$A:$AJ,BM$5,0),0),IF(ISERROR(1/VLOOKUP($R503,Capa!$A:$AJ,BM$5,0)),0,1/VLOOKUP($R503,Capa!$A:$AJ,BM$5,0))))</f>
        <v/>
      </c>
      <c r="BN503" s="174" t="str">
        <f>IF(BN$6="","",IF(BN$3="Maior",iferror(VLOOKUP($R503,Capa!$A:$AJ,BN$5,0),0),IF(ISERROR(1/VLOOKUP($R503,Capa!$A:$AJ,BN$5,0)),0,1/VLOOKUP($R503,Capa!$A:$AJ,BN$5,0))))</f>
        <v/>
      </c>
      <c r="BO503" s="174" t="str">
        <f>IF(BO$6="","",IF(BO$3="Maior",iferror(VLOOKUP($R503,Capa!$A:$AJ,BO$5,0),0),IF(ISERROR(1/VLOOKUP($R503,Capa!$A:$AJ,BO$5,0)),0,1/VLOOKUP($R503,Capa!$A:$AJ,BO$5,0))))</f>
        <v/>
      </c>
      <c r="BP503" s="174" t="str">
        <f>IF(BP$6="","",IF(BP$3="Maior",iferror(VLOOKUP($R503,Capa!$A:$AJ,BP$5,0),0),IF(ISERROR(1/VLOOKUP($R503,Capa!$A:$AJ,BP$5,0)),0,1/VLOOKUP($R503,Capa!$A:$AJ,BP$5,0))))</f>
        <v/>
      </c>
      <c r="BQ503" s="174" t="str">
        <f>IF(BQ$6="","",IF(BQ$3="Maior",iferror(VLOOKUP($R503,Capa!$A:$AJ,BQ$5,0),0),IF(ISERROR(1/VLOOKUP($R503,Capa!$A:$AJ,BQ$5,0)),0,1/VLOOKUP($R503,Capa!$A:$AJ,BQ$5,0))))</f>
        <v/>
      </c>
      <c r="BR503" s="175"/>
      <c r="BS503" s="147"/>
    </row>
    <row r="504">
      <c r="H504" s="8">
        <v>498.0</v>
      </c>
      <c r="I504" s="165" t="str">
        <f t="shared" si="6"/>
        <v>TXRX3</v>
      </c>
      <c r="J504" s="166" t="str">
        <f>(VLOOKUP($I504,Capa!$A:$B,2,0))</f>
        <v>Textil RenauxView S/A</v>
      </c>
      <c r="K504" s="167" t="str">
        <f>VLOOKUP(left(I504,4),Setor!A:D,3,0)&amp;" | "&amp;VLOOKUP(left(I504,4),Setor!A:D,4,0)</f>
        <v>Consumo Cíclico | Tecidos, Vestuário e Calçados</v>
      </c>
      <c r="L504" s="168">
        <f>(VLOOKUP($I504,Capa!$A:$F,6,0))</f>
        <v>9.97</v>
      </c>
      <c r="M504" s="168">
        <f t="shared" si="7"/>
        <v>1994</v>
      </c>
      <c r="N504" s="177" t="str">
        <f>IFERROR(__xludf.DUMMYFUNCTION("(VLOOKUP($I504,Capa!$A:$H,7,0))"),"")</f>
        <v/>
      </c>
      <c r="O504" s="169" t="str">
        <f>(VLOOKUP($I504,Capa!$A:$H,8,0))</f>
        <v/>
      </c>
      <c r="P504" s="169" t="str">
        <f>IFERROR(__xludf.DUMMYFUNCTION("(VLOOKUP($I504,Capa!$A:$J,10,0))"),"")</f>
        <v/>
      </c>
      <c r="Q504" s="169" t="str">
        <f>(VLOOKUP($I504,Capa!$A:$K,11,0))</f>
        <v/>
      </c>
      <c r="R504" s="45" t="str">
        <f>'Dados StatusInvest'!A499</f>
        <v>RNEW3</v>
      </c>
      <c r="S504" s="170">
        <f t="shared" si="234"/>
        <v>1781.0781</v>
      </c>
      <c r="T504" s="171">
        <f>VLOOKUP(R504,'Dados StatusInvest'!A:Z,26,0)</f>
        <v>95957.14</v>
      </c>
      <c r="U504" s="172">
        <f t="shared" ref="U504:AS504" si="507">IF(AT504="","", RANK(AT504,AT$7:AT$626,0)+RANK(AT504,AT$7:AT$626,0)/10000)</f>
        <v>514.0514</v>
      </c>
      <c r="V504" s="172">
        <f t="shared" si="507"/>
        <v>267.0267</v>
      </c>
      <c r="W504" s="172" t="str">
        <f t="shared" si="507"/>
        <v/>
      </c>
      <c r="X504" s="172" t="str">
        <f t="shared" si="507"/>
        <v/>
      </c>
      <c r="Y504" s="172" t="str">
        <f t="shared" si="507"/>
        <v/>
      </c>
      <c r="Z504" s="172" t="str">
        <f t="shared" si="507"/>
        <v/>
      </c>
      <c r="AA504" s="172" t="str">
        <f t="shared" si="507"/>
        <v/>
      </c>
      <c r="AB504" s="172" t="str">
        <f t="shared" si="507"/>
        <v/>
      </c>
      <c r="AC504" s="172" t="str">
        <f t="shared" si="507"/>
        <v/>
      </c>
      <c r="AD504" s="172" t="str">
        <f t="shared" si="507"/>
        <v/>
      </c>
      <c r="AE504" s="172" t="str">
        <f t="shared" si="507"/>
        <v/>
      </c>
      <c r="AF504" s="172" t="str">
        <f t="shared" si="507"/>
        <v/>
      </c>
      <c r="AG504" s="172" t="str">
        <f t="shared" si="507"/>
        <v/>
      </c>
      <c r="AH504" s="172" t="str">
        <f t="shared" si="507"/>
        <v/>
      </c>
      <c r="AI504" s="172" t="str">
        <f t="shared" si="507"/>
        <v/>
      </c>
      <c r="AJ504" s="172" t="str">
        <f t="shared" si="507"/>
        <v/>
      </c>
      <c r="AK504" s="172" t="str">
        <f t="shared" si="507"/>
        <v/>
      </c>
      <c r="AL504" s="172" t="str">
        <f t="shared" si="507"/>
        <v/>
      </c>
      <c r="AM504" s="172" t="str">
        <f t="shared" si="507"/>
        <v/>
      </c>
      <c r="AN504" s="172" t="str">
        <f t="shared" si="507"/>
        <v/>
      </c>
      <c r="AO504" s="172" t="str">
        <f t="shared" si="507"/>
        <v/>
      </c>
      <c r="AP504" s="172" t="str">
        <f t="shared" si="507"/>
        <v/>
      </c>
      <c r="AQ504" s="172" t="str">
        <f t="shared" si="507"/>
        <v/>
      </c>
      <c r="AR504" s="172" t="str">
        <f t="shared" si="507"/>
        <v/>
      </c>
      <c r="AS504" s="172" t="str">
        <f t="shared" si="507"/>
        <v/>
      </c>
      <c r="AT504" s="173">
        <f>IF(AT$6="","",IF(AT$3="Maior",iferror(VLOOKUP($R504,Capa!$A:$AJ,AT$5,0),0),IF(ISERROR(1/VLOOKUP($R504,Capa!$A:$AJ,AT$5,0)),0,1/VLOOKUP($R504,Capa!$A:$AJ,AT$5,0))))</f>
        <v>-3.735632184</v>
      </c>
      <c r="AU504" s="174">
        <f>IF(AU$6="","",IF(AU$3="Maior",iferror(VLOOKUP($R504,Capa!$A:$AJ,AU$5,0),0),IF(ISERROR(1/VLOOKUP($R504,Capa!$A:$AJ,AU$5,0)),0,1/VLOOKUP($R504,Capa!$A:$AJ,AU$5,0))))</f>
        <v>0</v>
      </c>
      <c r="AV504" s="174" t="str">
        <f>IF(AV$6="","",IF(AV$3="Maior",iferror(VLOOKUP($R504,Capa!$A:$AJ,AV$5,0),0),IF(ISERROR(1/VLOOKUP($R504,Capa!$A:$AJ,AV$5,0)),0,1/VLOOKUP($R504,Capa!$A:$AJ,AV$5,0))))</f>
        <v/>
      </c>
      <c r="AW504" s="174" t="str">
        <f>IF(AW$6="","",IF(AW$3="Maior",iferror(VLOOKUP($R504,Capa!$A:$AJ,AW$5,0),0),IF(ISERROR(1/VLOOKUP($R504,Capa!$A:$AJ,AW$5,0)),0,1/VLOOKUP($R504,Capa!$A:$AJ,AW$5,0))))</f>
        <v/>
      </c>
      <c r="AX504" s="174" t="str">
        <f>IF(AX$6="","",IF(AX$3="Maior",iferror(VLOOKUP($R504,Capa!$A:$AJ,AX$5,0),0),IF(ISERROR(1/VLOOKUP($R504,Capa!$A:$AJ,AX$5,0)),0,1/VLOOKUP($R504,Capa!$A:$AJ,AX$5,0))))</f>
        <v/>
      </c>
      <c r="AY504" s="174" t="str">
        <f>IF(AY$6="","",IF(AY$3="Maior",iferror(VLOOKUP($R504,Capa!$A:$AJ,AY$5,0),0),IF(ISERROR(1/VLOOKUP($R504,Capa!$A:$AJ,AY$5,0)),0,1/VLOOKUP($R504,Capa!$A:$AJ,AY$5,0))))</f>
        <v/>
      </c>
      <c r="AZ504" s="174" t="str">
        <f>IF(AZ$6="","",IF(AZ$3="Maior",iferror(VLOOKUP($R504,Capa!$A:$AJ,AZ$5,0),0),IF(ISERROR(1/VLOOKUP($R504,Capa!$A:$AJ,AZ$5,0)),0,1/VLOOKUP($R504,Capa!$A:$AJ,AZ$5,0))))</f>
        <v/>
      </c>
      <c r="BA504" s="174" t="str">
        <f>IF(BA$6="","",IF(BA$3="Maior",iferror(VLOOKUP($R504,Capa!$A:$AJ,BA$5,0),0),IF(ISERROR(1/VLOOKUP($R504,Capa!$A:$AJ,BA$5,0)),0,1/VLOOKUP($R504,Capa!$A:$AJ,BA$5,0))))</f>
        <v/>
      </c>
      <c r="BB504" s="174" t="str">
        <f>IF(BB$6="","",IF(BB$3="Maior",iferror(VLOOKUP($R504,Capa!$A:$AJ,BB$5,0),0),IF(ISERROR(1/VLOOKUP($R504,Capa!$A:$AJ,BB$5,0)),0,1/VLOOKUP($R504,Capa!$A:$AJ,BB$5,0))))</f>
        <v/>
      </c>
      <c r="BC504" s="174" t="str">
        <f>IF(BC$6="","",IF(BC$3="Maior",iferror(VLOOKUP($R504,Capa!$A:$AJ,BC$5,0),0),IF(ISERROR(1/VLOOKUP($R504,Capa!$A:$AJ,BC$5,0)),0,1/VLOOKUP($R504,Capa!$A:$AJ,BC$5,0))))</f>
        <v/>
      </c>
      <c r="BD504" s="174" t="str">
        <f>IF(BD$6="","",IF(BD$3="Maior",iferror(VLOOKUP($R504,Capa!$A:$AJ,BD$5,0),0),IF(ISERROR(1/VLOOKUP($R504,Capa!$A:$AJ,BD$5,0)),0,1/VLOOKUP($R504,Capa!$A:$AJ,BD$5,0))))</f>
        <v/>
      </c>
      <c r="BE504" s="174" t="str">
        <f>IF(BE$6="","",IF(BE$3="Maior",iferror(VLOOKUP($R504,Capa!$A:$AJ,BE$5,0),0),IF(ISERROR(1/VLOOKUP($R504,Capa!$A:$AJ,BE$5,0)),0,1/VLOOKUP($R504,Capa!$A:$AJ,BE$5,0))))</f>
        <v/>
      </c>
      <c r="BF504" s="174" t="str">
        <f>IF(BF$6="","",IF(BF$3="Maior",iferror(VLOOKUP($R504,Capa!$A:$AJ,BF$5,0),0),IF(ISERROR(1/VLOOKUP($R504,Capa!$A:$AJ,BF$5,0)),0,1/VLOOKUP($R504,Capa!$A:$AJ,BF$5,0))))</f>
        <v/>
      </c>
      <c r="BG504" s="174" t="str">
        <f>IF(BG$6="","",IF(BG$3="Maior",iferror(VLOOKUP($R504,Capa!$A:$AJ,BG$5,0),0),IF(ISERROR(1/VLOOKUP($R504,Capa!$A:$AJ,BG$5,0)),0,1/VLOOKUP($R504,Capa!$A:$AJ,BG$5,0))))</f>
        <v/>
      </c>
      <c r="BH504" s="174" t="str">
        <f>IF(BH$6="","",IF(BH$3="Maior",iferror(VLOOKUP($R504,Capa!$A:$AJ,BH$5,0),0),IF(ISERROR(1/VLOOKUP($R504,Capa!$A:$AJ,BH$5,0)),0,1/VLOOKUP($R504,Capa!$A:$AJ,BH$5,0))))</f>
        <v/>
      </c>
      <c r="BI504" s="174" t="str">
        <f>IF(BI$6="","",IF(BI$3="Maior",iferror(VLOOKUP($R504,Capa!$A:$AJ,BI$5,0),0),IF(ISERROR(1/VLOOKUP($R504,Capa!$A:$AJ,BI$5,0)),0,1/VLOOKUP($R504,Capa!$A:$AJ,BI$5,0))))</f>
        <v/>
      </c>
      <c r="BJ504" s="174" t="str">
        <f>IF(BJ$6="","",IF(BJ$3="Maior",iferror(VLOOKUP($R504,Capa!$A:$AJ,BJ$5,0),0),IF(ISERROR(1/VLOOKUP($R504,Capa!$A:$AJ,BJ$5,0)),0,1/VLOOKUP($R504,Capa!$A:$AJ,BJ$5,0))))</f>
        <v/>
      </c>
      <c r="BK504" s="174" t="str">
        <f>IF(BK$6="","",IF(BK$3="Maior",iferror(VLOOKUP($R504,Capa!$A:$AJ,BK$5,0),0),IF(ISERROR(1/VLOOKUP($R504,Capa!$A:$AJ,BK$5,0)),0,1/VLOOKUP($R504,Capa!$A:$AJ,BK$5,0))))</f>
        <v/>
      </c>
      <c r="BL504" s="174" t="str">
        <f>IF(BL$6="","",IF(BL$3="Maior",iferror(VLOOKUP($R504,Capa!$A:$AJ,BL$5,0),0),IF(ISERROR(1/VLOOKUP($R504,Capa!$A:$AJ,BL$5,0)),0,1/VLOOKUP($R504,Capa!$A:$AJ,BL$5,0))))</f>
        <v/>
      </c>
      <c r="BM504" s="174" t="str">
        <f>IF(BM$6="","",IF(BM$3="Maior",iferror(VLOOKUP($R504,Capa!$A:$AJ,BM$5,0),0),IF(ISERROR(1/VLOOKUP($R504,Capa!$A:$AJ,BM$5,0)),0,1/VLOOKUP($R504,Capa!$A:$AJ,BM$5,0))))</f>
        <v/>
      </c>
      <c r="BN504" s="174" t="str">
        <f>IF(BN$6="","",IF(BN$3="Maior",iferror(VLOOKUP($R504,Capa!$A:$AJ,BN$5,0),0),IF(ISERROR(1/VLOOKUP($R504,Capa!$A:$AJ,BN$5,0)),0,1/VLOOKUP($R504,Capa!$A:$AJ,BN$5,0))))</f>
        <v/>
      </c>
      <c r="BO504" s="174" t="str">
        <f>IF(BO$6="","",IF(BO$3="Maior",iferror(VLOOKUP($R504,Capa!$A:$AJ,BO$5,0),0),IF(ISERROR(1/VLOOKUP($R504,Capa!$A:$AJ,BO$5,0)),0,1/VLOOKUP($R504,Capa!$A:$AJ,BO$5,0))))</f>
        <v/>
      </c>
      <c r="BP504" s="174" t="str">
        <f>IF(BP$6="","",IF(BP$3="Maior",iferror(VLOOKUP($R504,Capa!$A:$AJ,BP$5,0),0),IF(ISERROR(1/VLOOKUP($R504,Capa!$A:$AJ,BP$5,0)),0,1/VLOOKUP($R504,Capa!$A:$AJ,BP$5,0))))</f>
        <v/>
      </c>
      <c r="BQ504" s="174" t="str">
        <f>IF(BQ$6="","",IF(BQ$3="Maior",iferror(VLOOKUP($R504,Capa!$A:$AJ,BQ$5,0),0),IF(ISERROR(1/VLOOKUP($R504,Capa!$A:$AJ,BQ$5,0)),0,1/VLOOKUP($R504,Capa!$A:$AJ,BQ$5,0))))</f>
        <v/>
      </c>
      <c r="BR504" s="175"/>
      <c r="BS504" s="147"/>
    </row>
    <row r="505">
      <c r="H505" s="8">
        <v>499.0</v>
      </c>
      <c r="I505" s="165" t="str">
        <f t="shared" si="6"/>
        <v>BRML3</v>
      </c>
      <c r="J505" s="166" t="str">
        <f>(VLOOKUP($I505,Capa!$A:$B,2,0))</f>
        <v/>
      </c>
      <c r="K505" s="167" t="str">
        <f>VLOOKUP(left(I505,4),Setor!A:D,3,0)&amp;" | "&amp;VLOOKUP(left(I505,4),Setor!A:D,4,0)</f>
        <v>Financeiro | Exploração de Imóveis</v>
      </c>
      <c r="L505" s="168" t="str">
        <f>(VLOOKUP($I505,Capa!$A:$F,6,0))</f>
        <v/>
      </c>
      <c r="M505" s="168">
        <f t="shared" si="7"/>
        <v>0</v>
      </c>
      <c r="N505" s="11" t="str">
        <f>(VLOOKUP($I505,Capa!$A:$H,7,0))</f>
        <v/>
      </c>
      <c r="O505" s="169" t="str">
        <f>(VLOOKUP($I505,Capa!$A:$H,8,0))</f>
        <v/>
      </c>
      <c r="P505" s="11" t="str">
        <f>(VLOOKUP($I505,Capa!$A:$J,10,0))</f>
        <v/>
      </c>
      <c r="Q505" s="169" t="str">
        <f>(VLOOKUP($I505,Capa!$A:$K,11,0))</f>
        <v/>
      </c>
      <c r="R505" s="45" t="str">
        <f>'Dados StatusInvest'!A500</f>
        <v>RNEW4</v>
      </c>
      <c r="S505" s="170">
        <f t="shared" si="234"/>
        <v>1830.083</v>
      </c>
      <c r="T505" s="171">
        <f>VLOOKUP(R505,'Dados StatusInvest'!A:Z,26,0)</f>
        <v>81851.05</v>
      </c>
      <c r="U505" s="172">
        <f t="shared" ref="U505:AS505" si="508">IF(AT505="","", RANK(AT505,AT$7:AT$626,0)+RANK(AT505,AT$7:AT$626,0)/10000)</f>
        <v>563.0563</v>
      </c>
      <c r="V505" s="172">
        <f t="shared" si="508"/>
        <v>267.0267</v>
      </c>
      <c r="W505" s="172" t="str">
        <f t="shared" si="508"/>
        <v/>
      </c>
      <c r="X505" s="172" t="str">
        <f t="shared" si="508"/>
        <v/>
      </c>
      <c r="Y505" s="172" t="str">
        <f t="shared" si="508"/>
        <v/>
      </c>
      <c r="Z505" s="172" t="str">
        <f t="shared" si="508"/>
        <v/>
      </c>
      <c r="AA505" s="172" t="str">
        <f t="shared" si="508"/>
        <v/>
      </c>
      <c r="AB505" s="172" t="str">
        <f t="shared" si="508"/>
        <v/>
      </c>
      <c r="AC505" s="172" t="str">
        <f t="shared" si="508"/>
        <v/>
      </c>
      <c r="AD505" s="172" t="str">
        <f t="shared" si="508"/>
        <v/>
      </c>
      <c r="AE505" s="172" t="str">
        <f t="shared" si="508"/>
        <v/>
      </c>
      <c r="AF505" s="172" t="str">
        <f t="shared" si="508"/>
        <v/>
      </c>
      <c r="AG505" s="172" t="str">
        <f t="shared" si="508"/>
        <v/>
      </c>
      <c r="AH505" s="172" t="str">
        <f t="shared" si="508"/>
        <v/>
      </c>
      <c r="AI505" s="172" t="str">
        <f t="shared" si="508"/>
        <v/>
      </c>
      <c r="AJ505" s="172" t="str">
        <f t="shared" si="508"/>
        <v/>
      </c>
      <c r="AK505" s="172" t="str">
        <f t="shared" si="508"/>
        <v/>
      </c>
      <c r="AL505" s="172" t="str">
        <f t="shared" si="508"/>
        <v/>
      </c>
      <c r="AM505" s="172" t="str">
        <f t="shared" si="508"/>
        <v/>
      </c>
      <c r="AN505" s="172" t="str">
        <f t="shared" si="508"/>
        <v/>
      </c>
      <c r="AO505" s="172" t="str">
        <f t="shared" si="508"/>
        <v/>
      </c>
      <c r="AP505" s="172" t="str">
        <f t="shared" si="508"/>
        <v/>
      </c>
      <c r="AQ505" s="172" t="str">
        <f t="shared" si="508"/>
        <v/>
      </c>
      <c r="AR505" s="172" t="str">
        <f t="shared" si="508"/>
        <v/>
      </c>
      <c r="AS505" s="172" t="str">
        <f t="shared" si="508"/>
        <v/>
      </c>
      <c r="AT505" s="173">
        <f>IF(AT$6="","",IF(AT$3="Maior",iferror(VLOOKUP($R505,Capa!$A:$AJ,AT$5,0),0),IF(ISERROR(1/VLOOKUP($R505,Capa!$A:$AJ,AT$5,0)),0,1/VLOOKUP($R505,Capa!$A:$AJ,AT$5,0))))</f>
        <v>-7.142857143</v>
      </c>
      <c r="AU505" s="174">
        <f>IF(AU$6="","",IF(AU$3="Maior",iferror(VLOOKUP($R505,Capa!$A:$AJ,AU$5,0),0),IF(ISERROR(1/VLOOKUP($R505,Capa!$A:$AJ,AU$5,0)),0,1/VLOOKUP($R505,Capa!$A:$AJ,AU$5,0))))</f>
        <v>0</v>
      </c>
      <c r="AV505" s="174" t="str">
        <f>IF(AV$6="","",IF(AV$3="Maior",iferror(VLOOKUP($R505,Capa!$A:$AJ,AV$5,0),0),IF(ISERROR(1/VLOOKUP($R505,Capa!$A:$AJ,AV$5,0)),0,1/VLOOKUP($R505,Capa!$A:$AJ,AV$5,0))))</f>
        <v/>
      </c>
      <c r="AW505" s="174" t="str">
        <f>IF(AW$6="","",IF(AW$3="Maior",iferror(VLOOKUP($R505,Capa!$A:$AJ,AW$5,0),0),IF(ISERROR(1/VLOOKUP($R505,Capa!$A:$AJ,AW$5,0)),0,1/VLOOKUP($R505,Capa!$A:$AJ,AW$5,0))))</f>
        <v/>
      </c>
      <c r="AX505" s="174" t="str">
        <f>IF(AX$6="","",IF(AX$3="Maior",iferror(VLOOKUP($R505,Capa!$A:$AJ,AX$5,0),0),IF(ISERROR(1/VLOOKUP($R505,Capa!$A:$AJ,AX$5,0)),0,1/VLOOKUP($R505,Capa!$A:$AJ,AX$5,0))))</f>
        <v/>
      </c>
      <c r="AY505" s="174" t="str">
        <f>IF(AY$6="","",IF(AY$3="Maior",iferror(VLOOKUP($R505,Capa!$A:$AJ,AY$5,0),0),IF(ISERROR(1/VLOOKUP($R505,Capa!$A:$AJ,AY$5,0)),0,1/VLOOKUP($R505,Capa!$A:$AJ,AY$5,0))))</f>
        <v/>
      </c>
      <c r="AZ505" s="174" t="str">
        <f>IF(AZ$6="","",IF(AZ$3="Maior",iferror(VLOOKUP($R505,Capa!$A:$AJ,AZ$5,0),0),IF(ISERROR(1/VLOOKUP($R505,Capa!$A:$AJ,AZ$5,0)),0,1/VLOOKUP($R505,Capa!$A:$AJ,AZ$5,0))))</f>
        <v/>
      </c>
      <c r="BA505" s="174" t="str">
        <f>IF(BA$6="","",IF(BA$3="Maior",iferror(VLOOKUP($R505,Capa!$A:$AJ,BA$5,0),0),IF(ISERROR(1/VLOOKUP($R505,Capa!$A:$AJ,BA$5,0)),0,1/VLOOKUP($R505,Capa!$A:$AJ,BA$5,0))))</f>
        <v/>
      </c>
      <c r="BB505" s="174" t="str">
        <f>IF(BB$6="","",IF(BB$3="Maior",iferror(VLOOKUP($R505,Capa!$A:$AJ,BB$5,0),0),IF(ISERROR(1/VLOOKUP($R505,Capa!$A:$AJ,BB$5,0)),0,1/VLOOKUP($R505,Capa!$A:$AJ,BB$5,0))))</f>
        <v/>
      </c>
      <c r="BC505" s="174" t="str">
        <f>IF(BC$6="","",IF(BC$3="Maior",iferror(VLOOKUP($R505,Capa!$A:$AJ,BC$5,0),0),IF(ISERROR(1/VLOOKUP($R505,Capa!$A:$AJ,BC$5,0)),0,1/VLOOKUP($R505,Capa!$A:$AJ,BC$5,0))))</f>
        <v/>
      </c>
      <c r="BD505" s="174" t="str">
        <f>IF(BD$6="","",IF(BD$3="Maior",iferror(VLOOKUP($R505,Capa!$A:$AJ,BD$5,0),0),IF(ISERROR(1/VLOOKUP($R505,Capa!$A:$AJ,BD$5,0)),0,1/VLOOKUP($R505,Capa!$A:$AJ,BD$5,0))))</f>
        <v/>
      </c>
      <c r="BE505" s="174" t="str">
        <f>IF(BE$6="","",IF(BE$3="Maior",iferror(VLOOKUP($R505,Capa!$A:$AJ,BE$5,0),0),IF(ISERROR(1/VLOOKUP($R505,Capa!$A:$AJ,BE$5,0)),0,1/VLOOKUP($R505,Capa!$A:$AJ,BE$5,0))))</f>
        <v/>
      </c>
      <c r="BF505" s="174" t="str">
        <f>IF(BF$6="","",IF(BF$3="Maior",iferror(VLOOKUP($R505,Capa!$A:$AJ,BF$5,0),0),IF(ISERROR(1/VLOOKUP($R505,Capa!$A:$AJ,BF$5,0)),0,1/VLOOKUP($R505,Capa!$A:$AJ,BF$5,0))))</f>
        <v/>
      </c>
      <c r="BG505" s="174" t="str">
        <f>IF(BG$6="","",IF(BG$3="Maior",iferror(VLOOKUP($R505,Capa!$A:$AJ,BG$5,0),0),IF(ISERROR(1/VLOOKUP($R505,Capa!$A:$AJ,BG$5,0)),0,1/VLOOKUP($R505,Capa!$A:$AJ,BG$5,0))))</f>
        <v/>
      </c>
      <c r="BH505" s="174" t="str">
        <f>IF(BH$6="","",IF(BH$3="Maior",iferror(VLOOKUP($R505,Capa!$A:$AJ,BH$5,0),0),IF(ISERROR(1/VLOOKUP($R505,Capa!$A:$AJ,BH$5,0)),0,1/VLOOKUP($R505,Capa!$A:$AJ,BH$5,0))))</f>
        <v/>
      </c>
      <c r="BI505" s="174" t="str">
        <f>IF(BI$6="","",IF(BI$3="Maior",iferror(VLOOKUP($R505,Capa!$A:$AJ,BI$5,0),0),IF(ISERROR(1/VLOOKUP($R505,Capa!$A:$AJ,BI$5,0)),0,1/VLOOKUP($R505,Capa!$A:$AJ,BI$5,0))))</f>
        <v/>
      </c>
      <c r="BJ505" s="174" t="str">
        <f>IF(BJ$6="","",IF(BJ$3="Maior",iferror(VLOOKUP($R505,Capa!$A:$AJ,BJ$5,0),0),IF(ISERROR(1/VLOOKUP($R505,Capa!$A:$AJ,BJ$5,0)),0,1/VLOOKUP($R505,Capa!$A:$AJ,BJ$5,0))))</f>
        <v/>
      </c>
      <c r="BK505" s="174" t="str">
        <f>IF(BK$6="","",IF(BK$3="Maior",iferror(VLOOKUP($R505,Capa!$A:$AJ,BK$5,0),0),IF(ISERROR(1/VLOOKUP($R505,Capa!$A:$AJ,BK$5,0)),0,1/VLOOKUP($R505,Capa!$A:$AJ,BK$5,0))))</f>
        <v/>
      </c>
      <c r="BL505" s="174" t="str">
        <f>IF(BL$6="","",IF(BL$3="Maior",iferror(VLOOKUP($R505,Capa!$A:$AJ,BL$5,0),0),IF(ISERROR(1/VLOOKUP($R505,Capa!$A:$AJ,BL$5,0)),0,1/VLOOKUP($R505,Capa!$A:$AJ,BL$5,0))))</f>
        <v/>
      </c>
      <c r="BM505" s="174" t="str">
        <f>IF(BM$6="","",IF(BM$3="Maior",iferror(VLOOKUP($R505,Capa!$A:$AJ,BM$5,0),0),IF(ISERROR(1/VLOOKUP($R505,Capa!$A:$AJ,BM$5,0)),0,1/VLOOKUP($R505,Capa!$A:$AJ,BM$5,0))))</f>
        <v/>
      </c>
      <c r="BN505" s="174" t="str">
        <f>IF(BN$6="","",IF(BN$3="Maior",iferror(VLOOKUP($R505,Capa!$A:$AJ,BN$5,0),0),IF(ISERROR(1/VLOOKUP($R505,Capa!$A:$AJ,BN$5,0)),0,1/VLOOKUP($R505,Capa!$A:$AJ,BN$5,0))))</f>
        <v/>
      </c>
      <c r="BO505" s="174" t="str">
        <f>IF(BO$6="","",IF(BO$3="Maior",iferror(VLOOKUP($R505,Capa!$A:$AJ,BO$5,0),0),IF(ISERROR(1/VLOOKUP($R505,Capa!$A:$AJ,BO$5,0)),0,1/VLOOKUP($R505,Capa!$A:$AJ,BO$5,0))))</f>
        <v/>
      </c>
      <c r="BP505" s="174" t="str">
        <f>IF(BP$6="","",IF(BP$3="Maior",iferror(VLOOKUP($R505,Capa!$A:$AJ,BP$5,0),0),IF(ISERROR(1/VLOOKUP($R505,Capa!$A:$AJ,BP$5,0)),0,1/VLOOKUP($R505,Capa!$A:$AJ,BP$5,0))))</f>
        <v/>
      </c>
      <c r="BQ505" s="174" t="str">
        <f>IF(BQ$6="","",IF(BQ$3="Maior",iferror(VLOOKUP($R505,Capa!$A:$AJ,BQ$5,0),0),IF(ISERROR(1/VLOOKUP($R505,Capa!$A:$AJ,BQ$5,0)),0,1/VLOOKUP($R505,Capa!$A:$AJ,BQ$5,0))))</f>
        <v/>
      </c>
      <c r="BR505" s="175"/>
      <c r="BS505" s="147"/>
    </row>
    <row r="506">
      <c r="H506" s="8">
        <v>500.0</v>
      </c>
      <c r="I506" s="165" t="str">
        <f t="shared" si="6"/>
        <v>TELB4</v>
      </c>
      <c r="J506" s="166" t="str">
        <f>(VLOOKUP($I506,Capa!$A:$B,2,0))</f>
        <v>Telecomunicacoes Brasileiras SA - TELBRS Preference Shares</v>
      </c>
      <c r="K506" s="167" t="str">
        <f>VLOOKUP(left(I506,4),Setor!A:D,3,0)&amp;" | "&amp;VLOOKUP(left(I506,4),Setor!A:D,4,0)</f>
        <v>Comunicações | Telecomunicações</v>
      </c>
      <c r="L506" s="168">
        <f>(VLOOKUP($I506,Capa!$A:$F,6,0))</f>
        <v>8.03</v>
      </c>
      <c r="M506" s="168">
        <f t="shared" si="7"/>
        <v>23637.9</v>
      </c>
      <c r="N506" s="177" t="str">
        <f>IFERROR(__xludf.DUMMYFUNCTION("(VLOOKUP($I506,Capa!$A:$H,7,0))"),"")</f>
        <v/>
      </c>
      <c r="O506" s="169">
        <f>(VLOOKUP($I506,Capa!$A:$H,8,0))</f>
        <v>0.03213367609</v>
      </c>
      <c r="P506" s="169" t="str">
        <f>IFERROR(__xludf.DUMMYFUNCTION("(VLOOKUP($I506,Capa!$A:$J,10,0))"),"")</f>
        <v/>
      </c>
      <c r="Q506" s="169">
        <f>(VLOOKUP($I506,Capa!$A:$K,11,0))</f>
        <v>-0.1670124481</v>
      </c>
      <c r="R506" s="45" t="str">
        <f>'Dados StatusInvest'!A501</f>
        <v>ROMI3</v>
      </c>
      <c r="S506" s="170">
        <f t="shared" si="234"/>
        <v>977.0977</v>
      </c>
      <c r="T506" s="171">
        <f>VLOOKUP(R506,'Dados StatusInvest'!A:Z,26,0)</f>
        <v>2316491</v>
      </c>
      <c r="U506" s="172">
        <f t="shared" ref="U506:AS506" si="509">IF(AT506="","", RANK(AT506,AT$7:AT$626,0)+RANK(AT506,AT$7:AT$626,0)/10000)</f>
        <v>397.0397</v>
      </c>
      <c r="V506" s="172">
        <f t="shared" si="509"/>
        <v>580.058</v>
      </c>
      <c r="W506" s="172" t="str">
        <f t="shared" si="509"/>
        <v/>
      </c>
      <c r="X506" s="172" t="str">
        <f t="shared" si="509"/>
        <v/>
      </c>
      <c r="Y506" s="172" t="str">
        <f t="shared" si="509"/>
        <v/>
      </c>
      <c r="Z506" s="172" t="str">
        <f t="shared" si="509"/>
        <v/>
      </c>
      <c r="AA506" s="172" t="str">
        <f t="shared" si="509"/>
        <v/>
      </c>
      <c r="AB506" s="172" t="str">
        <f t="shared" si="509"/>
        <v/>
      </c>
      <c r="AC506" s="172" t="str">
        <f t="shared" si="509"/>
        <v/>
      </c>
      <c r="AD506" s="172" t="str">
        <f t="shared" si="509"/>
        <v/>
      </c>
      <c r="AE506" s="172" t="str">
        <f t="shared" si="509"/>
        <v/>
      </c>
      <c r="AF506" s="172" t="str">
        <f t="shared" si="509"/>
        <v/>
      </c>
      <c r="AG506" s="172" t="str">
        <f t="shared" si="509"/>
        <v/>
      </c>
      <c r="AH506" s="172" t="str">
        <f t="shared" si="509"/>
        <v/>
      </c>
      <c r="AI506" s="172" t="str">
        <f t="shared" si="509"/>
        <v/>
      </c>
      <c r="AJ506" s="172" t="str">
        <f t="shared" si="509"/>
        <v/>
      </c>
      <c r="AK506" s="172" t="str">
        <f t="shared" si="509"/>
        <v/>
      </c>
      <c r="AL506" s="172" t="str">
        <f t="shared" si="509"/>
        <v/>
      </c>
      <c r="AM506" s="172" t="str">
        <f t="shared" si="509"/>
        <v/>
      </c>
      <c r="AN506" s="172" t="str">
        <f t="shared" si="509"/>
        <v/>
      </c>
      <c r="AO506" s="172" t="str">
        <f t="shared" si="509"/>
        <v/>
      </c>
      <c r="AP506" s="172" t="str">
        <f t="shared" si="509"/>
        <v/>
      </c>
      <c r="AQ506" s="172" t="str">
        <f t="shared" si="509"/>
        <v/>
      </c>
      <c r="AR506" s="172" t="str">
        <f t="shared" si="509"/>
        <v/>
      </c>
      <c r="AS506" s="172" t="str">
        <f t="shared" si="509"/>
        <v/>
      </c>
      <c r="AT506" s="173">
        <f>IF(AT$6="","",IF(AT$3="Maior",iferror(VLOOKUP($R506,Capa!$A:$AJ,AT$5,0),0),IF(ISERROR(1/VLOOKUP($R506,Capa!$A:$AJ,AT$5,0)),0,1/VLOOKUP($R506,Capa!$A:$AJ,AT$5,0))))</f>
        <v>-1.344472001</v>
      </c>
      <c r="AU506" s="174">
        <f>IF(AU$6="","",IF(AU$3="Maior",iferror(VLOOKUP($R506,Capa!$A:$AJ,AU$5,0),0),IF(ISERROR(1/VLOOKUP($R506,Capa!$A:$AJ,AU$5,0)),0,1/VLOOKUP($R506,Capa!$A:$AJ,AU$5,0))))</f>
        <v>-13.37</v>
      </c>
      <c r="AV506" s="174" t="str">
        <f>IF(AV$6="","",IF(AV$3="Maior",iferror(VLOOKUP($R506,Capa!$A:$AJ,AV$5,0),0),IF(ISERROR(1/VLOOKUP($R506,Capa!$A:$AJ,AV$5,0)),0,1/VLOOKUP($R506,Capa!$A:$AJ,AV$5,0))))</f>
        <v/>
      </c>
      <c r="AW506" s="174" t="str">
        <f>IF(AW$6="","",IF(AW$3="Maior",iferror(VLOOKUP($R506,Capa!$A:$AJ,AW$5,0),0),IF(ISERROR(1/VLOOKUP($R506,Capa!$A:$AJ,AW$5,0)),0,1/VLOOKUP($R506,Capa!$A:$AJ,AW$5,0))))</f>
        <v/>
      </c>
      <c r="AX506" s="174" t="str">
        <f>IF(AX$6="","",IF(AX$3="Maior",iferror(VLOOKUP($R506,Capa!$A:$AJ,AX$5,0),0),IF(ISERROR(1/VLOOKUP($R506,Capa!$A:$AJ,AX$5,0)),0,1/VLOOKUP($R506,Capa!$A:$AJ,AX$5,0))))</f>
        <v/>
      </c>
      <c r="AY506" s="174" t="str">
        <f>IF(AY$6="","",IF(AY$3="Maior",iferror(VLOOKUP($R506,Capa!$A:$AJ,AY$5,0),0),IF(ISERROR(1/VLOOKUP($R506,Capa!$A:$AJ,AY$5,0)),0,1/VLOOKUP($R506,Capa!$A:$AJ,AY$5,0))))</f>
        <v/>
      </c>
      <c r="AZ506" s="174" t="str">
        <f>IF(AZ$6="","",IF(AZ$3="Maior",iferror(VLOOKUP($R506,Capa!$A:$AJ,AZ$5,0),0),IF(ISERROR(1/VLOOKUP($R506,Capa!$A:$AJ,AZ$5,0)),0,1/VLOOKUP($R506,Capa!$A:$AJ,AZ$5,0))))</f>
        <v/>
      </c>
      <c r="BA506" s="174" t="str">
        <f>IF(BA$6="","",IF(BA$3="Maior",iferror(VLOOKUP($R506,Capa!$A:$AJ,BA$5,0),0),IF(ISERROR(1/VLOOKUP($R506,Capa!$A:$AJ,BA$5,0)),0,1/VLOOKUP($R506,Capa!$A:$AJ,BA$5,0))))</f>
        <v/>
      </c>
      <c r="BB506" s="174" t="str">
        <f>IF(BB$6="","",IF(BB$3="Maior",iferror(VLOOKUP($R506,Capa!$A:$AJ,BB$5,0),0),IF(ISERROR(1/VLOOKUP($R506,Capa!$A:$AJ,BB$5,0)),0,1/VLOOKUP($R506,Capa!$A:$AJ,BB$5,0))))</f>
        <v/>
      </c>
      <c r="BC506" s="174" t="str">
        <f>IF(BC$6="","",IF(BC$3="Maior",iferror(VLOOKUP($R506,Capa!$A:$AJ,BC$5,0),0),IF(ISERROR(1/VLOOKUP($R506,Capa!$A:$AJ,BC$5,0)),0,1/VLOOKUP($R506,Capa!$A:$AJ,BC$5,0))))</f>
        <v/>
      </c>
      <c r="BD506" s="174" t="str">
        <f>IF(BD$6="","",IF(BD$3="Maior",iferror(VLOOKUP($R506,Capa!$A:$AJ,BD$5,0),0),IF(ISERROR(1/VLOOKUP($R506,Capa!$A:$AJ,BD$5,0)),0,1/VLOOKUP($R506,Capa!$A:$AJ,BD$5,0))))</f>
        <v/>
      </c>
      <c r="BE506" s="174" t="str">
        <f>IF(BE$6="","",IF(BE$3="Maior",iferror(VLOOKUP($R506,Capa!$A:$AJ,BE$5,0),0),IF(ISERROR(1/VLOOKUP($R506,Capa!$A:$AJ,BE$5,0)),0,1/VLOOKUP($R506,Capa!$A:$AJ,BE$5,0))))</f>
        <v/>
      </c>
      <c r="BF506" s="174" t="str">
        <f>IF(BF$6="","",IF(BF$3="Maior",iferror(VLOOKUP($R506,Capa!$A:$AJ,BF$5,0),0),IF(ISERROR(1/VLOOKUP($R506,Capa!$A:$AJ,BF$5,0)),0,1/VLOOKUP($R506,Capa!$A:$AJ,BF$5,0))))</f>
        <v/>
      </c>
      <c r="BG506" s="174" t="str">
        <f>IF(BG$6="","",IF(BG$3="Maior",iferror(VLOOKUP($R506,Capa!$A:$AJ,BG$5,0),0),IF(ISERROR(1/VLOOKUP($R506,Capa!$A:$AJ,BG$5,0)),0,1/VLOOKUP($R506,Capa!$A:$AJ,BG$5,0))))</f>
        <v/>
      </c>
      <c r="BH506" s="174" t="str">
        <f>IF(BH$6="","",IF(BH$3="Maior",iferror(VLOOKUP($R506,Capa!$A:$AJ,BH$5,0),0),IF(ISERROR(1/VLOOKUP($R506,Capa!$A:$AJ,BH$5,0)),0,1/VLOOKUP($R506,Capa!$A:$AJ,BH$5,0))))</f>
        <v/>
      </c>
      <c r="BI506" s="174" t="str">
        <f>IF(BI$6="","",IF(BI$3="Maior",iferror(VLOOKUP($R506,Capa!$A:$AJ,BI$5,0),0),IF(ISERROR(1/VLOOKUP($R506,Capa!$A:$AJ,BI$5,0)),0,1/VLOOKUP($R506,Capa!$A:$AJ,BI$5,0))))</f>
        <v/>
      </c>
      <c r="BJ506" s="174" t="str">
        <f>IF(BJ$6="","",IF(BJ$3="Maior",iferror(VLOOKUP($R506,Capa!$A:$AJ,BJ$5,0),0),IF(ISERROR(1/VLOOKUP($R506,Capa!$A:$AJ,BJ$5,0)),0,1/VLOOKUP($R506,Capa!$A:$AJ,BJ$5,0))))</f>
        <v/>
      </c>
      <c r="BK506" s="174" t="str">
        <f>IF(BK$6="","",IF(BK$3="Maior",iferror(VLOOKUP($R506,Capa!$A:$AJ,BK$5,0),0),IF(ISERROR(1/VLOOKUP($R506,Capa!$A:$AJ,BK$5,0)),0,1/VLOOKUP($R506,Capa!$A:$AJ,BK$5,0))))</f>
        <v/>
      </c>
      <c r="BL506" s="174" t="str">
        <f>IF(BL$6="","",IF(BL$3="Maior",iferror(VLOOKUP($R506,Capa!$A:$AJ,BL$5,0),0),IF(ISERROR(1/VLOOKUP($R506,Capa!$A:$AJ,BL$5,0)),0,1/VLOOKUP($R506,Capa!$A:$AJ,BL$5,0))))</f>
        <v/>
      </c>
      <c r="BM506" s="174" t="str">
        <f>IF(BM$6="","",IF(BM$3="Maior",iferror(VLOOKUP($R506,Capa!$A:$AJ,BM$5,0),0),IF(ISERROR(1/VLOOKUP($R506,Capa!$A:$AJ,BM$5,0)),0,1/VLOOKUP($R506,Capa!$A:$AJ,BM$5,0))))</f>
        <v/>
      </c>
      <c r="BN506" s="174" t="str">
        <f>IF(BN$6="","",IF(BN$3="Maior",iferror(VLOOKUP($R506,Capa!$A:$AJ,BN$5,0),0),IF(ISERROR(1/VLOOKUP($R506,Capa!$A:$AJ,BN$5,0)),0,1/VLOOKUP($R506,Capa!$A:$AJ,BN$5,0))))</f>
        <v/>
      </c>
      <c r="BO506" s="174" t="str">
        <f>IF(BO$6="","",IF(BO$3="Maior",iferror(VLOOKUP($R506,Capa!$A:$AJ,BO$5,0),0),IF(ISERROR(1/VLOOKUP($R506,Capa!$A:$AJ,BO$5,0)),0,1/VLOOKUP($R506,Capa!$A:$AJ,BO$5,0))))</f>
        <v/>
      </c>
      <c r="BP506" s="174" t="str">
        <f>IF(BP$6="","",IF(BP$3="Maior",iferror(VLOOKUP($R506,Capa!$A:$AJ,BP$5,0),0),IF(ISERROR(1/VLOOKUP($R506,Capa!$A:$AJ,BP$5,0)),0,1/VLOOKUP($R506,Capa!$A:$AJ,BP$5,0))))</f>
        <v/>
      </c>
      <c r="BQ506" s="174" t="str">
        <f>IF(BQ$6="","",IF(BQ$3="Maior",iferror(VLOOKUP($R506,Capa!$A:$AJ,BQ$5,0),0),IF(ISERROR(1/VLOOKUP($R506,Capa!$A:$AJ,BQ$5,0)),0,1/VLOOKUP($R506,Capa!$A:$AJ,BQ$5,0))))</f>
        <v/>
      </c>
      <c r="BR506" s="175"/>
      <c r="BS506" s="147"/>
    </row>
    <row r="507">
      <c r="H507" s="8">
        <v>501.0</v>
      </c>
      <c r="I507" s="165" t="str">
        <f t="shared" si="6"/>
        <v>SNSY6</v>
      </c>
      <c r="J507" s="166" t="str">
        <f>(VLOOKUP($I507,Capa!$A:$B,2,0))</f>
        <v>Sansuy SA Industria d Plstc Em Rcpr Jdcl Preference Shares Class B</v>
      </c>
      <c r="K507" s="167" t="str">
        <f>VLOOKUP(left(I507,4),Setor!A:D,3,0)&amp;" | "&amp;VLOOKUP(left(I507,4),Setor!A:D,4,0)</f>
        <v>Materiais Básicos | Materiais Diversos</v>
      </c>
      <c r="L507" s="168">
        <f>(VLOOKUP($I507,Capa!$A:$F,6,0))</f>
        <v>11.51</v>
      </c>
      <c r="M507" s="168">
        <f t="shared" si="7"/>
        <v>0</v>
      </c>
      <c r="N507" s="177" t="str">
        <f>(VLOOKUP($I507,Capa!$A:$H,7,0))</f>
        <v/>
      </c>
      <c r="O507" s="169" t="str">
        <f>(VLOOKUP($I507,Capa!$A:$H,8,0))</f>
        <v/>
      </c>
      <c r="P507" s="169" t="str">
        <f>IFERROR(__xludf.DUMMYFUNCTION("(VLOOKUP($I507,Capa!$A:$J,10,0))"),"")</f>
        <v/>
      </c>
      <c r="Q507" s="169" t="str">
        <f>(VLOOKUP($I507,Capa!$A:$K,11,0))</f>
        <v/>
      </c>
      <c r="R507" s="45" t="str">
        <f>'Dados StatusInvest'!A502</f>
        <v>RPAD3</v>
      </c>
      <c r="S507" s="170">
        <f t="shared" si="234"/>
        <v>2042.1042</v>
      </c>
      <c r="T507" s="171">
        <f>VLOOKUP(R507,'Dados StatusInvest'!A:Z,26,0)</f>
        <v>531.6</v>
      </c>
      <c r="U507" s="172">
        <f t="shared" ref="U507:AS507" si="510">IF(AT507="","", RANK(AT507,AT$7:AT$626,0)+RANK(AT507,AT$7:AT$626,0)/10000)</f>
        <v>449.0449</v>
      </c>
      <c r="V507" s="172">
        <f t="shared" si="510"/>
        <v>593.0593</v>
      </c>
      <c r="W507" s="172" t="str">
        <f t="shared" si="510"/>
        <v/>
      </c>
      <c r="X507" s="172" t="str">
        <f t="shared" si="510"/>
        <v/>
      </c>
      <c r="Y507" s="172" t="str">
        <f t="shared" si="510"/>
        <v/>
      </c>
      <c r="Z507" s="172" t="str">
        <f t="shared" si="510"/>
        <v/>
      </c>
      <c r="AA507" s="172" t="str">
        <f t="shared" si="510"/>
        <v/>
      </c>
      <c r="AB507" s="172" t="str">
        <f t="shared" si="510"/>
        <v/>
      </c>
      <c r="AC507" s="172" t="str">
        <f t="shared" si="510"/>
        <v/>
      </c>
      <c r="AD507" s="172" t="str">
        <f t="shared" si="510"/>
        <v/>
      </c>
      <c r="AE507" s="172" t="str">
        <f t="shared" si="510"/>
        <v/>
      </c>
      <c r="AF507" s="172" t="str">
        <f t="shared" si="510"/>
        <v/>
      </c>
      <c r="AG507" s="172" t="str">
        <f t="shared" si="510"/>
        <v/>
      </c>
      <c r="AH507" s="172" t="str">
        <f t="shared" si="510"/>
        <v/>
      </c>
      <c r="AI507" s="172" t="str">
        <f t="shared" si="510"/>
        <v/>
      </c>
      <c r="AJ507" s="172" t="str">
        <f t="shared" si="510"/>
        <v/>
      </c>
      <c r="AK507" s="172" t="str">
        <f t="shared" si="510"/>
        <v/>
      </c>
      <c r="AL507" s="172" t="str">
        <f t="shared" si="510"/>
        <v/>
      </c>
      <c r="AM507" s="172" t="str">
        <f t="shared" si="510"/>
        <v/>
      </c>
      <c r="AN507" s="172" t="str">
        <f t="shared" si="510"/>
        <v/>
      </c>
      <c r="AO507" s="172" t="str">
        <f t="shared" si="510"/>
        <v/>
      </c>
      <c r="AP507" s="172" t="str">
        <f t="shared" si="510"/>
        <v/>
      </c>
      <c r="AQ507" s="172" t="str">
        <f t="shared" si="510"/>
        <v/>
      </c>
      <c r="AR507" s="172" t="str">
        <f t="shared" si="510"/>
        <v/>
      </c>
      <c r="AS507" s="172" t="str">
        <f t="shared" si="510"/>
        <v/>
      </c>
      <c r="AT507" s="173">
        <f>IF(AT$6="","",IF(AT$3="Maior",iferror(VLOOKUP($R507,Capa!$A:$AJ,AT$5,0),0),IF(ISERROR(1/VLOOKUP($R507,Capa!$A:$AJ,AT$5,0)),0,1/VLOOKUP($R507,Capa!$A:$AJ,AT$5,0))))</f>
        <v>-1.960784314</v>
      </c>
      <c r="AU507" s="174">
        <f>IF(AU$6="","",IF(AU$3="Maior",iferror(VLOOKUP($R507,Capa!$A:$AJ,AU$5,0),0),IF(ISERROR(1/VLOOKUP($R507,Capa!$A:$AJ,AU$5,0)),0,1/VLOOKUP($R507,Capa!$A:$AJ,AU$5,0))))</f>
        <v>-17.01</v>
      </c>
      <c r="AV507" s="174" t="str">
        <f>IF(AV$6="","",IF(AV$3="Maior",iferror(VLOOKUP($R507,Capa!$A:$AJ,AV$5,0),0),IF(ISERROR(1/VLOOKUP($R507,Capa!$A:$AJ,AV$5,0)),0,1/VLOOKUP($R507,Capa!$A:$AJ,AV$5,0))))</f>
        <v/>
      </c>
      <c r="AW507" s="174" t="str">
        <f>IF(AW$6="","",IF(AW$3="Maior",iferror(VLOOKUP($R507,Capa!$A:$AJ,AW$5,0),0),IF(ISERROR(1/VLOOKUP($R507,Capa!$A:$AJ,AW$5,0)),0,1/VLOOKUP($R507,Capa!$A:$AJ,AW$5,0))))</f>
        <v/>
      </c>
      <c r="AX507" s="174" t="str">
        <f>IF(AX$6="","",IF(AX$3="Maior",iferror(VLOOKUP($R507,Capa!$A:$AJ,AX$5,0),0),IF(ISERROR(1/VLOOKUP($R507,Capa!$A:$AJ,AX$5,0)),0,1/VLOOKUP($R507,Capa!$A:$AJ,AX$5,0))))</f>
        <v/>
      </c>
      <c r="AY507" s="174" t="str">
        <f>IF(AY$6="","",IF(AY$3="Maior",iferror(VLOOKUP($R507,Capa!$A:$AJ,AY$5,0),0),IF(ISERROR(1/VLOOKUP($R507,Capa!$A:$AJ,AY$5,0)),0,1/VLOOKUP($R507,Capa!$A:$AJ,AY$5,0))))</f>
        <v/>
      </c>
      <c r="AZ507" s="174" t="str">
        <f>IF(AZ$6="","",IF(AZ$3="Maior",iferror(VLOOKUP($R507,Capa!$A:$AJ,AZ$5,0),0),IF(ISERROR(1/VLOOKUP($R507,Capa!$A:$AJ,AZ$5,0)),0,1/VLOOKUP($R507,Capa!$A:$AJ,AZ$5,0))))</f>
        <v/>
      </c>
      <c r="BA507" s="174" t="str">
        <f>IF(BA$6="","",IF(BA$3="Maior",iferror(VLOOKUP($R507,Capa!$A:$AJ,BA$5,0),0),IF(ISERROR(1/VLOOKUP($R507,Capa!$A:$AJ,BA$5,0)),0,1/VLOOKUP($R507,Capa!$A:$AJ,BA$5,0))))</f>
        <v/>
      </c>
      <c r="BB507" s="174" t="str">
        <f>IF(BB$6="","",IF(BB$3="Maior",iferror(VLOOKUP($R507,Capa!$A:$AJ,BB$5,0),0),IF(ISERROR(1/VLOOKUP($R507,Capa!$A:$AJ,BB$5,0)),0,1/VLOOKUP($R507,Capa!$A:$AJ,BB$5,0))))</f>
        <v/>
      </c>
      <c r="BC507" s="174" t="str">
        <f>IF(BC$6="","",IF(BC$3="Maior",iferror(VLOOKUP($R507,Capa!$A:$AJ,BC$5,0),0),IF(ISERROR(1/VLOOKUP($R507,Capa!$A:$AJ,BC$5,0)),0,1/VLOOKUP($R507,Capa!$A:$AJ,BC$5,0))))</f>
        <v/>
      </c>
      <c r="BD507" s="174" t="str">
        <f>IF(BD$6="","",IF(BD$3="Maior",iferror(VLOOKUP($R507,Capa!$A:$AJ,BD$5,0),0),IF(ISERROR(1/VLOOKUP($R507,Capa!$A:$AJ,BD$5,0)),0,1/VLOOKUP($R507,Capa!$A:$AJ,BD$5,0))))</f>
        <v/>
      </c>
      <c r="BE507" s="174" t="str">
        <f>IF(BE$6="","",IF(BE$3="Maior",iferror(VLOOKUP($R507,Capa!$A:$AJ,BE$5,0),0),IF(ISERROR(1/VLOOKUP($R507,Capa!$A:$AJ,BE$5,0)),0,1/VLOOKUP($R507,Capa!$A:$AJ,BE$5,0))))</f>
        <v/>
      </c>
      <c r="BF507" s="174" t="str">
        <f>IF(BF$6="","",IF(BF$3="Maior",iferror(VLOOKUP($R507,Capa!$A:$AJ,BF$5,0),0),IF(ISERROR(1/VLOOKUP($R507,Capa!$A:$AJ,BF$5,0)),0,1/VLOOKUP($R507,Capa!$A:$AJ,BF$5,0))))</f>
        <v/>
      </c>
      <c r="BG507" s="174" t="str">
        <f>IF(BG$6="","",IF(BG$3="Maior",iferror(VLOOKUP($R507,Capa!$A:$AJ,BG$5,0),0),IF(ISERROR(1/VLOOKUP($R507,Capa!$A:$AJ,BG$5,0)),0,1/VLOOKUP($R507,Capa!$A:$AJ,BG$5,0))))</f>
        <v/>
      </c>
      <c r="BH507" s="174" t="str">
        <f>IF(BH$6="","",IF(BH$3="Maior",iferror(VLOOKUP($R507,Capa!$A:$AJ,BH$5,0),0),IF(ISERROR(1/VLOOKUP($R507,Capa!$A:$AJ,BH$5,0)),0,1/VLOOKUP($R507,Capa!$A:$AJ,BH$5,0))))</f>
        <v/>
      </c>
      <c r="BI507" s="174" t="str">
        <f>IF(BI$6="","",IF(BI$3="Maior",iferror(VLOOKUP($R507,Capa!$A:$AJ,BI$5,0),0),IF(ISERROR(1/VLOOKUP($R507,Capa!$A:$AJ,BI$5,0)),0,1/VLOOKUP($R507,Capa!$A:$AJ,BI$5,0))))</f>
        <v/>
      </c>
      <c r="BJ507" s="174" t="str">
        <f>IF(BJ$6="","",IF(BJ$3="Maior",iferror(VLOOKUP($R507,Capa!$A:$AJ,BJ$5,0),0),IF(ISERROR(1/VLOOKUP($R507,Capa!$A:$AJ,BJ$5,0)),0,1/VLOOKUP($R507,Capa!$A:$AJ,BJ$5,0))))</f>
        <v/>
      </c>
      <c r="BK507" s="174" t="str">
        <f>IF(BK$6="","",IF(BK$3="Maior",iferror(VLOOKUP($R507,Capa!$A:$AJ,BK$5,0),0),IF(ISERROR(1/VLOOKUP($R507,Capa!$A:$AJ,BK$5,0)),0,1/VLOOKUP($R507,Capa!$A:$AJ,BK$5,0))))</f>
        <v/>
      </c>
      <c r="BL507" s="174" t="str">
        <f>IF(BL$6="","",IF(BL$3="Maior",iferror(VLOOKUP($R507,Capa!$A:$AJ,BL$5,0),0),IF(ISERROR(1/VLOOKUP($R507,Capa!$A:$AJ,BL$5,0)),0,1/VLOOKUP($R507,Capa!$A:$AJ,BL$5,0))))</f>
        <v/>
      </c>
      <c r="BM507" s="174" t="str">
        <f>IF(BM$6="","",IF(BM$3="Maior",iferror(VLOOKUP($R507,Capa!$A:$AJ,BM$5,0),0),IF(ISERROR(1/VLOOKUP($R507,Capa!$A:$AJ,BM$5,0)),0,1/VLOOKUP($R507,Capa!$A:$AJ,BM$5,0))))</f>
        <v/>
      </c>
      <c r="BN507" s="174" t="str">
        <f>IF(BN$6="","",IF(BN$3="Maior",iferror(VLOOKUP($R507,Capa!$A:$AJ,BN$5,0),0),IF(ISERROR(1/VLOOKUP($R507,Capa!$A:$AJ,BN$5,0)),0,1/VLOOKUP($R507,Capa!$A:$AJ,BN$5,0))))</f>
        <v/>
      </c>
      <c r="BO507" s="174" t="str">
        <f>IF(BO$6="","",IF(BO$3="Maior",iferror(VLOOKUP($R507,Capa!$A:$AJ,BO$5,0),0),IF(ISERROR(1/VLOOKUP($R507,Capa!$A:$AJ,BO$5,0)),0,1/VLOOKUP($R507,Capa!$A:$AJ,BO$5,0))))</f>
        <v/>
      </c>
      <c r="BP507" s="174" t="str">
        <f>IF(BP$6="","",IF(BP$3="Maior",iferror(VLOOKUP($R507,Capa!$A:$AJ,BP$5,0),0),IF(ISERROR(1/VLOOKUP($R507,Capa!$A:$AJ,BP$5,0)),0,1/VLOOKUP($R507,Capa!$A:$AJ,BP$5,0))))</f>
        <v/>
      </c>
      <c r="BQ507" s="174" t="str">
        <f>IF(BQ$6="","",IF(BQ$3="Maior",iferror(VLOOKUP($R507,Capa!$A:$AJ,BQ$5,0),0),IF(ISERROR(1/VLOOKUP($R507,Capa!$A:$AJ,BQ$5,0)),0,1/VLOOKUP($R507,Capa!$A:$AJ,BQ$5,0))))</f>
        <v/>
      </c>
      <c r="BR507" s="175"/>
      <c r="BS507" s="147"/>
    </row>
    <row r="508">
      <c r="H508" s="8">
        <v>502.0</v>
      </c>
      <c r="I508" s="165" t="str">
        <f t="shared" si="6"/>
        <v>SNSY6</v>
      </c>
      <c r="J508" s="166" t="str">
        <f>(VLOOKUP($I508,Capa!$A:$B,2,0))</f>
        <v>Sansuy SA Industria d Plstc Em Rcpr Jdcl Preference Shares Class B</v>
      </c>
      <c r="K508" s="167" t="str">
        <f>VLOOKUP(left(I508,4),Setor!A:D,3,0)&amp;" | "&amp;VLOOKUP(left(I508,4),Setor!A:D,4,0)</f>
        <v>Materiais Básicos | Materiais Diversos</v>
      </c>
      <c r="L508" s="168">
        <f>(VLOOKUP($I508,Capa!$A:$F,6,0))</f>
        <v>11.51</v>
      </c>
      <c r="M508" s="168">
        <f t="shared" si="7"/>
        <v>0</v>
      </c>
      <c r="N508" s="177" t="str">
        <f>(VLOOKUP($I508,Capa!$A:$H,7,0))</f>
        <v/>
      </c>
      <c r="O508" s="169" t="str">
        <f>(VLOOKUP($I508,Capa!$A:$H,8,0))</f>
        <v/>
      </c>
      <c r="P508" s="169" t="str">
        <f>IFERROR(__xludf.DUMMYFUNCTION("(VLOOKUP($I508,Capa!$A:$J,10,0))"),"")</f>
        <v/>
      </c>
      <c r="Q508" s="169" t="str">
        <f>(VLOOKUP($I508,Capa!$A:$K,11,0))</f>
        <v/>
      </c>
      <c r="R508" s="45" t="str">
        <f>'Dados StatusInvest'!A503</f>
        <v>RPAD5</v>
      </c>
      <c r="S508" s="170">
        <f t="shared" si="234"/>
        <v>2030.103</v>
      </c>
      <c r="T508" s="171">
        <f>VLOOKUP(R508,'Dados StatusInvest'!A:Z,26,0)</f>
        <v>1033.92</v>
      </c>
      <c r="U508" s="172">
        <f t="shared" ref="U508:AS508" si="511">IF(AT508="","", RANK(AT508,AT$7:AT$626,0)+RANK(AT508,AT$7:AT$626,0)/10000)</f>
        <v>437.0437</v>
      </c>
      <c r="V508" s="172">
        <f t="shared" si="511"/>
        <v>593.0593</v>
      </c>
      <c r="W508" s="172" t="str">
        <f t="shared" si="511"/>
        <v/>
      </c>
      <c r="X508" s="172" t="str">
        <f t="shared" si="511"/>
        <v/>
      </c>
      <c r="Y508" s="172" t="str">
        <f t="shared" si="511"/>
        <v/>
      </c>
      <c r="Z508" s="172" t="str">
        <f t="shared" si="511"/>
        <v/>
      </c>
      <c r="AA508" s="172" t="str">
        <f t="shared" si="511"/>
        <v/>
      </c>
      <c r="AB508" s="172" t="str">
        <f t="shared" si="511"/>
        <v/>
      </c>
      <c r="AC508" s="172" t="str">
        <f t="shared" si="511"/>
        <v/>
      </c>
      <c r="AD508" s="172" t="str">
        <f t="shared" si="511"/>
        <v/>
      </c>
      <c r="AE508" s="172" t="str">
        <f t="shared" si="511"/>
        <v/>
      </c>
      <c r="AF508" s="172" t="str">
        <f t="shared" si="511"/>
        <v/>
      </c>
      <c r="AG508" s="172" t="str">
        <f t="shared" si="511"/>
        <v/>
      </c>
      <c r="AH508" s="172" t="str">
        <f t="shared" si="511"/>
        <v/>
      </c>
      <c r="AI508" s="172" t="str">
        <f t="shared" si="511"/>
        <v/>
      </c>
      <c r="AJ508" s="172" t="str">
        <f t="shared" si="511"/>
        <v/>
      </c>
      <c r="AK508" s="172" t="str">
        <f t="shared" si="511"/>
        <v/>
      </c>
      <c r="AL508" s="172" t="str">
        <f t="shared" si="511"/>
        <v/>
      </c>
      <c r="AM508" s="172" t="str">
        <f t="shared" si="511"/>
        <v/>
      </c>
      <c r="AN508" s="172" t="str">
        <f t="shared" si="511"/>
        <v/>
      </c>
      <c r="AO508" s="172" t="str">
        <f t="shared" si="511"/>
        <v/>
      </c>
      <c r="AP508" s="172" t="str">
        <f t="shared" si="511"/>
        <v/>
      </c>
      <c r="AQ508" s="172" t="str">
        <f t="shared" si="511"/>
        <v/>
      </c>
      <c r="AR508" s="172" t="str">
        <f t="shared" si="511"/>
        <v/>
      </c>
      <c r="AS508" s="172" t="str">
        <f t="shared" si="511"/>
        <v/>
      </c>
      <c r="AT508" s="173">
        <f>IF(AT$6="","",IF(AT$3="Maior",iferror(VLOOKUP($R508,Capa!$A:$AJ,AT$5,0),0),IF(ISERROR(1/VLOOKUP($R508,Capa!$A:$AJ,AT$5,0)),0,1/VLOOKUP($R508,Capa!$A:$AJ,AT$5,0))))</f>
        <v>-1.694915254</v>
      </c>
      <c r="AU508" s="174">
        <f>IF(AU$6="","",IF(AU$3="Maior",iferror(VLOOKUP($R508,Capa!$A:$AJ,AU$5,0),0),IF(ISERROR(1/VLOOKUP($R508,Capa!$A:$AJ,AU$5,0)),0,1/VLOOKUP($R508,Capa!$A:$AJ,AU$5,0))))</f>
        <v>-17.01</v>
      </c>
      <c r="AV508" s="174" t="str">
        <f>IF(AV$6="","",IF(AV$3="Maior",iferror(VLOOKUP($R508,Capa!$A:$AJ,AV$5,0),0),IF(ISERROR(1/VLOOKUP($R508,Capa!$A:$AJ,AV$5,0)),0,1/VLOOKUP($R508,Capa!$A:$AJ,AV$5,0))))</f>
        <v/>
      </c>
      <c r="AW508" s="174" t="str">
        <f>IF(AW$6="","",IF(AW$3="Maior",iferror(VLOOKUP($R508,Capa!$A:$AJ,AW$5,0),0),IF(ISERROR(1/VLOOKUP($R508,Capa!$A:$AJ,AW$5,0)),0,1/VLOOKUP($R508,Capa!$A:$AJ,AW$5,0))))</f>
        <v/>
      </c>
      <c r="AX508" s="174" t="str">
        <f>IF(AX$6="","",IF(AX$3="Maior",iferror(VLOOKUP($R508,Capa!$A:$AJ,AX$5,0),0),IF(ISERROR(1/VLOOKUP($R508,Capa!$A:$AJ,AX$5,0)),0,1/VLOOKUP($R508,Capa!$A:$AJ,AX$5,0))))</f>
        <v/>
      </c>
      <c r="AY508" s="174" t="str">
        <f>IF(AY$6="","",IF(AY$3="Maior",iferror(VLOOKUP($R508,Capa!$A:$AJ,AY$5,0),0),IF(ISERROR(1/VLOOKUP($R508,Capa!$A:$AJ,AY$5,0)),0,1/VLOOKUP($R508,Capa!$A:$AJ,AY$5,0))))</f>
        <v/>
      </c>
      <c r="AZ508" s="174" t="str">
        <f>IF(AZ$6="","",IF(AZ$3="Maior",iferror(VLOOKUP($R508,Capa!$A:$AJ,AZ$5,0),0),IF(ISERROR(1/VLOOKUP($R508,Capa!$A:$AJ,AZ$5,0)),0,1/VLOOKUP($R508,Capa!$A:$AJ,AZ$5,0))))</f>
        <v/>
      </c>
      <c r="BA508" s="174" t="str">
        <f>IF(BA$6="","",IF(BA$3="Maior",iferror(VLOOKUP($R508,Capa!$A:$AJ,BA$5,0),0),IF(ISERROR(1/VLOOKUP($R508,Capa!$A:$AJ,BA$5,0)),0,1/VLOOKUP($R508,Capa!$A:$AJ,BA$5,0))))</f>
        <v/>
      </c>
      <c r="BB508" s="174" t="str">
        <f>IF(BB$6="","",IF(BB$3="Maior",iferror(VLOOKUP($R508,Capa!$A:$AJ,BB$5,0),0),IF(ISERROR(1/VLOOKUP($R508,Capa!$A:$AJ,BB$5,0)),0,1/VLOOKUP($R508,Capa!$A:$AJ,BB$5,0))))</f>
        <v/>
      </c>
      <c r="BC508" s="174" t="str">
        <f>IF(BC$6="","",IF(BC$3="Maior",iferror(VLOOKUP($R508,Capa!$A:$AJ,BC$5,0),0),IF(ISERROR(1/VLOOKUP($R508,Capa!$A:$AJ,BC$5,0)),0,1/VLOOKUP($R508,Capa!$A:$AJ,BC$5,0))))</f>
        <v/>
      </c>
      <c r="BD508" s="174" t="str">
        <f>IF(BD$6="","",IF(BD$3="Maior",iferror(VLOOKUP($R508,Capa!$A:$AJ,BD$5,0),0),IF(ISERROR(1/VLOOKUP($R508,Capa!$A:$AJ,BD$5,0)),0,1/VLOOKUP($R508,Capa!$A:$AJ,BD$5,0))))</f>
        <v/>
      </c>
      <c r="BE508" s="174" t="str">
        <f>IF(BE$6="","",IF(BE$3="Maior",iferror(VLOOKUP($R508,Capa!$A:$AJ,BE$5,0),0),IF(ISERROR(1/VLOOKUP($R508,Capa!$A:$AJ,BE$5,0)),0,1/VLOOKUP($R508,Capa!$A:$AJ,BE$5,0))))</f>
        <v/>
      </c>
      <c r="BF508" s="174" t="str">
        <f>IF(BF$6="","",IF(BF$3="Maior",iferror(VLOOKUP($R508,Capa!$A:$AJ,BF$5,0),0),IF(ISERROR(1/VLOOKUP($R508,Capa!$A:$AJ,BF$5,0)),0,1/VLOOKUP($R508,Capa!$A:$AJ,BF$5,0))))</f>
        <v/>
      </c>
      <c r="BG508" s="174" t="str">
        <f>IF(BG$6="","",IF(BG$3="Maior",iferror(VLOOKUP($R508,Capa!$A:$AJ,BG$5,0),0),IF(ISERROR(1/VLOOKUP($R508,Capa!$A:$AJ,BG$5,0)),0,1/VLOOKUP($R508,Capa!$A:$AJ,BG$5,0))))</f>
        <v/>
      </c>
      <c r="BH508" s="174" t="str">
        <f>IF(BH$6="","",IF(BH$3="Maior",iferror(VLOOKUP($R508,Capa!$A:$AJ,BH$5,0),0),IF(ISERROR(1/VLOOKUP($R508,Capa!$A:$AJ,BH$5,0)),0,1/VLOOKUP($R508,Capa!$A:$AJ,BH$5,0))))</f>
        <v/>
      </c>
      <c r="BI508" s="174" t="str">
        <f>IF(BI$6="","",IF(BI$3="Maior",iferror(VLOOKUP($R508,Capa!$A:$AJ,BI$5,0),0),IF(ISERROR(1/VLOOKUP($R508,Capa!$A:$AJ,BI$5,0)),0,1/VLOOKUP($R508,Capa!$A:$AJ,BI$5,0))))</f>
        <v/>
      </c>
      <c r="BJ508" s="174" t="str">
        <f>IF(BJ$6="","",IF(BJ$3="Maior",iferror(VLOOKUP($R508,Capa!$A:$AJ,BJ$5,0),0),IF(ISERROR(1/VLOOKUP($R508,Capa!$A:$AJ,BJ$5,0)),0,1/VLOOKUP($R508,Capa!$A:$AJ,BJ$5,0))))</f>
        <v/>
      </c>
      <c r="BK508" s="174" t="str">
        <f>IF(BK$6="","",IF(BK$3="Maior",iferror(VLOOKUP($R508,Capa!$A:$AJ,BK$5,0),0),IF(ISERROR(1/VLOOKUP($R508,Capa!$A:$AJ,BK$5,0)),0,1/VLOOKUP($R508,Capa!$A:$AJ,BK$5,0))))</f>
        <v/>
      </c>
      <c r="BL508" s="174" t="str">
        <f>IF(BL$6="","",IF(BL$3="Maior",iferror(VLOOKUP($R508,Capa!$A:$AJ,BL$5,0),0),IF(ISERROR(1/VLOOKUP($R508,Capa!$A:$AJ,BL$5,0)),0,1/VLOOKUP($R508,Capa!$A:$AJ,BL$5,0))))</f>
        <v/>
      </c>
      <c r="BM508" s="174" t="str">
        <f>IF(BM$6="","",IF(BM$3="Maior",iferror(VLOOKUP($R508,Capa!$A:$AJ,BM$5,0),0),IF(ISERROR(1/VLOOKUP($R508,Capa!$A:$AJ,BM$5,0)),0,1/VLOOKUP($R508,Capa!$A:$AJ,BM$5,0))))</f>
        <v/>
      </c>
      <c r="BN508" s="174" t="str">
        <f>IF(BN$6="","",IF(BN$3="Maior",iferror(VLOOKUP($R508,Capa!$A:$AJ,BN$5,0),0),IF(ISERROR(1/VLOOKUP($R508,Capa!$A:$AJ,BN$5,0)),0,1/VLOOKUP($R508,Capa!$A:$AJ,BN$5,0))))</f>
        <v/>
      </c>
      <c r="BO508" s="174" t="str">
        <f>IF(BO$6="","",IF(BO$3="Maior",iferror(VLOOKUP($R508,Capa!$A:$AJ,BO$5,0),0),IF(ISERROR(1/VLOOKUP($R508,Capa!$A:$AJ,BO$5,0)),0,1/VLOOKUP($R508,Capa!$A:$AJ,BO$5,0))))</f>
        <v/>
      </c>
      <c r="BP508" s="174" t="str">
        <f>IF(BP$6="","",IF(BP$3="Maior",iferror(VLOOKUP($R508,Capa!$A:$AJ,BP$5,0),0),IF(ISERROR(1/VLOOKUP($R508,Capa!$A:$AJ,BP$5,0)),0,1/VLOOKUP($R508,Capa!$A:$AJ,BP$5,0))))</f>
        <v/>
      </c>
      <c r="BQ508" s="174" t="str">
        <f>IF(BQ$6="","",IF(BQ$3="Maior",iferror(VLOOKUP($R508,Capa!$A:$AJ,BQ$5,0),0),IF(ISERROR(1/VLOOKUP($R508,Capa!$A:$AJ,BQ$5,0)),0,1/VLOOKUP($R508,Capa!$A:$AJ,BQ$5,0))))</f>
        <v/>
      </c>
      <c r="BR508" s="175"/>
      <c r="BS508" s="147"/>
    </row>
    <row r="509">
      <c r="H509" s="8">
        <v>503.0</v>
      </c>
      <c r="I509" s="165" t="str">
        <f t="shared" si="6"/>
        <v>HGTX3</v>
      </c>
      <c r="J509" s="166" t="str">
        <f>(VLOOKUP($I509,Capa!$A:$B,2,0))</f>
        <v/>
      </c>
      <c r="K509" s="167" t="str">
        <f>VLOOKUP(left(I509,4),Setor!A:D,3,0)&amp;" | "&amp;VLOOKUP(left(I509,4),Setor!A:D,4,0)</f>
        <v>Consumo Cíclico | Tecidos, Vestuário e Calçados</v>
      </c>
      <c r="L509" s="168" t="str">
        <f>(VLOOKUP($I509,Capa!$A:$F,6,0))</f>
        <v/>
      </c>
      <c r="M509" s="168">
        <f t="shared" si="7"/>
        <v>0</v>
      </c>
      <c r="N509" s="11" t="str">
        <f>(VLOOKUP($I509,Capa!$A:$H,7,0))</f>
        <v/>
      </c>
      <c r="O509" s="169" t="str">
        <f>(VLOOKUP($I509,Capa!$A:$H,8,0))</f>
        <v/>
      </c>
      <c r="P509" s="11" t="str">
        <f>(VLOOKUP($I509,Capa!$A:$J,10,0))</f>
        <v/>
      </c>
      <c r="Q509" s="169" t="str">
        <f>(VLOOKUP($I509,Capa!$A:$K,11,0))</f>
        <v/>
      </c>
      <c r="R509" s="45" t="str">
        <f>'Dados StatusInvest'!A504</f>
        <v>RPAD6</v>
      </c>
      <c r="S509" s="170">
        <f t="shared" si="234"/>
        <v>2060.106</v>
      </c>
      <c r="T509" s="171">
        <f>VLOOKUP(R509,'Dados StatusInvest'!A:Z,26,0)</f>
        <v>5340</v>
      </c>
      <c r="U509" s="172">
        <f t="shared" ref="U509:AS509" si="512">IF(AT509="","", RANK(AT509,AT$7:AT$626,0)+RANK(AT509,AT$7:AT$626,0)/10000)</f>
        <v>467.0467</v>
      </c>
      <c r="V509" s="172">
        <f t="shared" si="512"/>
        <v>593.0593</v>
      </c>
      <c r="W509" s="172" t="str">
        <f t="shared" si="512"/>
        <v/>
      </c>
      <c r="X509" s="172" t="str">
        <f t="shared" si="512"/>
        <v/>
      </c>
      <c r="Y509" s="172" t="str">
        <f t="shared" si="512"/>
        <v/>
      </c>
      <c r="Z509" s="172" t="str">
        <f t="shared" si="512"/>
        <v/>
      </c>
      <c r="AA509" s="172" t="str">
        <f t="shared" si="512"/>
        <v/>
      </c>
      <c r="AB509" s="172" t="str">
        <f t="shared" si="512"/>
        <v/>
      </c>
      <c r="AC509" s="172" t="str">
        <f t="shared" si="512"/>
        <v/>
      </c>
      <c r="AD509" s="172" t="str">
        <f t="shared" si="512"/>
        <v/>
      </c>
      <c r="AE509" s="172" t="str">
        <f t="shared" si="512"/>
        <v/>
      </c>
      <c r="AF509" s="172" t="str">
        <f t="shared" si="512"/>
        <v/>
      </c>
      <c r="AG509" s="172" t="str">
        <f t="shared" si="512"/>
        <v/>
      </c>
      <c r="AH509" s="172" t="str">
        <f t="shared" si="512"/>
        <v/>
      </c>
      <c r="AI509" s="172" t="str">
        <f t="shared" si="512"/>
        <v/>
      </c>
      <c r="AJ509" s="172" t="str">
        <f t="shared" si="512"/>
        <v/>
      </c>
      <c r="AK509" s="172" t="str">
        <f t="shared" si="512"/>
        <v/>
      </c>
      <c r="AL509" s="172" t="str">
        <f t="shared" si="512"/>
        <v/>
      </c>
      <c r="AM509" s="172" t="str">
        <f t="shared" si="512"/>
        <v/>
      </c>
      <c r="AN509" s="172" t="str">
        <f t="shared" si="512"/>
        <v/>
      </c>
      <c r="AO509" s="172" t="str">
        <f t="shared" si="512"/>
        <v/>
      </c>
      <c r="AP509" s="172" t="str">
        <f t="shared" si="512"/>
        <v/>
      </c>
      <c r="AQ509" s="172" t="str">
        <f t="shared" si="512"/>
        <v/>
      </c>
      <c r="AR509" s="172" t="str">
        <f t="shared" si="512"/>
        <v/>
      </c>
      <c r="AS509" s="172" t="str">
        <f t="shared" si="512"/>
        <v/>
      </c>
      <c r="AT509" s="173">
        <f>IF(AT$6="","",IF(AT$3="Maior",iferror(VLOOKUP($R509,Capa!$A:$AJ,AT$5,0),0),IF(ISERROR(1/VLOOKUP($R509,Capa!$A:$AJ,AT$5,0)),0,1/VLOOKUP($R509,Capa!$A:$AJ,AT$5,0))))</f>
        <v>-2.325581395</v>
      </c>
      <c r="AU509" s="174">
        <f>IF(AU$6="","",IF(AU$3="Maior",iferror(VLOOKUP($R509,Capa!$A:$AJ,AU$5,0),0),IF(ISERROR(1/VLOOKUP($R509,Capa!$A:$AJ,AU$5,0)),0,1/VLOOKUP($R509,Capa!$A:$AJ,AU$5,0))))</f>
        <v>-17.01</v>
      </c>
      <c r="AV509" s="174" t="str">
        <f>IF(AV$6="","",IF(AV$3="Maior",iferror(VLOOKUP($R509,Capa!$A:$AJ,AV$5,0),0),IF(ISERROR(1/VLOOKUP($R509,Capa!$A:$AJ,AV$5,0)),0,1/VLOOKUP($R509,Capa!$A:$AJ,AV$5,0))))</f>
        <v/>
      </c>
      <c r="AW509" s="174" t="str">
        <f>IF(AW$6="","",IF(AW$3="Maior",iferror(VLOOKUP($R509,Capa!$A:$AJ,AW$5,0),0),IF(ISERROR(1/VLOOKUP($R509,Capa!$A:$AJ,AW$5,0)),0,1/VLOOKUP($R509,Capa!$A:$AJ,AW$5,0))))</f>
        <v/>
      </c>
      <c r="AX509" s="174" t="str">
        <f>IF(AX$6="","",IF(AX$3="Maior",iferror(VLOOKUP($R509,Capa!$A:$AJ,AX$5,0),0),IF(ISERROR(1/VLOOKUP($R509,Capa!$A:$AJ,AX$5,0)),0,1/VLOOKUP($R509,Capa!$A:$AJ,AX$5,0))))</f>
        <v/>
      </c>
      <c r="AY509" s="174" t="str">
        <f>IF(AY$6="","",IF(AY$3="Maior",iferror(VLOOKUP($R509,Capa!$A:$AJ,AY$5,0),0),IF(ISERROR(1/VLOOKUP($R509,Capa!$A:$AJ,AY$5,0)),0,1/VLOOKUP($R509,Capa!$A:$AJ,AY$5,0))))</f>
        <v/>
      </c>
      <c r="AZ509" s="174" t="str">
        <f>IF(AZ$6="","",IF(AZ$3="Maior",iferror(VLOOKUP($R509,Capa!$A:$AJ,AZ$5,0),0),IF(ISERROR(1/VLOOKUP($R509,Capa!$A:$AJ,AZ$5,0)),0,1/VLOOKUP($R509,Capa!$A:$AJ,AZ$5,0))))</f>
        <v/>
      </c>
      <c r="BA509" s="174" t="str">
        <f>IF(BA$6="","",IF(BA$3="Maior",iferror(VLOOKUP($R509,Capa!$A:$AJ,BA$5,0),0),IF(ISERROR(1/VLOOKUP($R509,Capa!$A:$AJ,BA$5,0)),0,1/VLOOKUP($R509,Capa!$A:$AJ,BA$5,0))))</f>
        <v/>
      </c>
      <c r="BB509" s="174" t="str">
        <f>IF(BB$6="","",IF(BB$3="Maior",iferror(VLOOKUP($R509,Capa!$A:$AJ,BB$5,0),0),IF(ISERROR(1/VLOOKUP($R509,Capa!$A:$AJ,BB$5,0)),0,1/VLOOKUP($R509,Capa!$A:$AJ,BB$5,0))))</f>
        <v/>
      </c>
      <c r="BC509" s="174" t="str">
        <f>IF(BC$6="","",IF(BC$3="Maior",iferror(VLOOKUP($R509,Capa!$A:$AJ,BC$5,0),0),IF(ISERROR(1/VLOOKUP($R509,Capa!$A:$AJ,BC$5,0)),0,1/VLOOKUP($R509,Capa!$A:$AJ,BC$5,0))))</f>
        <v/>
      </c>
      <c r="BD509" s="174" t="str">
        <f>IF(BD$6="","",IF(BD$3="Maior",iferror(VLOOKUP($R509,Capa!$A:$AJ,BD$5,0),0),IF(ISERROR(1/VLOOKUP($R509,Capa!$A:$AJ,BD$5,0)),0,1/VLOOKUP($R509,Capa!$A:$AJ,BD$5,0))))</f>
        <v/>
      </c>
      <c r="BE509" s="174" t="str">
        <f>IF(BE$6="","",IF(BE$3="Maior",iferror(VLOOKUP($R509,Capa!$A:$AJ,BE$5,0),0),IF(ISERROR(1/VLOOKUP($R509,Capa!$A:$AJ,BE$5,0)),0,1/VLOOKUP($R509,Capa!$A:$AJ,BE$5,0))))</f>
        <v/>
      </c>
      <c r="BF509" s="174" t="str">
        <f>IF(BF$6="","",IF(BF$3="Maior",iferror(VLOOKUP($R509,Capa!$A:$AJ,BF$5,0),0),IF(ISERROR(1/VLOOKUP($R509,Capa!$A:$AJ,BF$5,0)),0,1/VLOOKUP($R509,Capa!$A:$AJ,BF$5,0))))</f>
        <v/>
      </c>
      <c r="BG509" s="174" t="str">
        <f>IF(BG$6="","",IF(BG$3="Maior",iferror(VLOOKUP($R509,Capa!$A:$AJ,BG$5,0),0),IF(ISERROR(1/VLOOKUP($R509,Capa!$A:$AJ,BG$5,0)),0,1/VLOOKUP($R509,Capa!$A:$AJ,BG$5,0))))</f>
        <v/>
      </c>
      <c r="BH509" s="174" t="str">
        <f>IF(BH$6="","",IF(BH$3="Maior",iferror(VLOOKUP($R509,Capa!$A:$AJ,BH$5,0),0),IF(ISERROR(1/VLOOKUP($R509,Capa!$A:$AJ,BH$5,0)),0,1/VLOOKUP($R509,Capa!$A:$AJ,BH$5,0))))</f>
        <v/>
      </c>
      <c r="BI509" s="174" t="str">
        <f>IF(BI$6="","",IF(BI$3="Maior",iferror(VLOOKUP($R509,Capa!$A:$AJ,BI$5,0),0),IF(ISERROR(1/VLOOKUP($R509,Capa!$A:$AJ,BI$5,0)),0,1/VLOOKUP($R509,Capa!$A:$AJ,BI$5,0))))</f>
        <v/>
      </c>
      <c r="BJ509" s="174" t="str">
        <f>IF(BJ$6="","",IF(BJ$3="Maior",iferror(VLOOKUP($R509,Capa!$A:$AJ,BJ$5,0),0),IF(ISERROR(1/VLOOKUP($R509,Capa!$A:$AJ,BJ$5,0)),0,1/VLOOKUP($R509,Capa!$A:$AJ,BJ$5,0))))</f>
        <v/>
      </c>
      <c r="BK509" s="174" t="str">
        <f>IF(BK$6="","",IF(BK$3="Maior",iferror(VLOOKUP($R509,Capa!$A:$AJ,BK$5,0),0),IF(ISERROR(1/VLOOKUP($R509,Capa!$A:$AJ,BK$5,0)),0,1/VLOOKUP($R509,Capa!$A:$AJ,BK$5,0))))</f>
        <v/>
      </c>
      <c r="BL509" s="174" t="str">
        <f>IF(BL$6="","",IF(BL$3="Maior",iferror(VLOOKUP($R509,Capa!$A:$AJ,BL$5,0),0),IF(ISERROR(1/VLOOKUP($R509,Capa!$A:$AJ,BL$5,0)),0,1/VLOOKUP($R509,Capa!$A:$AJ,BL$5,0))))</f>
        <v/>
      </c>
      <c r="BM509" s="174" t="str">
        <f>IF(BM$6="","",IF(BM$3="Maior",iferror(VLOOKUP($R509,Capa!$A:$AJ,BM$5,0),0),IF(ISERROR(1/VLOOKUP($R509,Capa!$A:$AJ,BM$5,0)),0,1/VLOOKUP($R509,Capa!$A:$AJ,BM$5,0))))</f>
        <v/>
      </c>
      <c r="BN509" s="174" t="str">
        <f>IF(BN$6="","",IF(BN$3="Maior",iferror(VLOOKUP($R509,Capa!$A:$AJ,BN$5,0),0),IF(ISERROR(1/VLOOKUP($R509,Capa!$A:$AJ,BN$5,0)),0,1/VLOOKUP($R509,Capa!$A:$AJ,BN$5,0))))</f>
        <v/>
      </c>
      <c r="BO509" s="174" t="str">
        <f>IF(BO$6="","",IF(BO$3="Maior",iferror(VLOOKUP($R509,Capa!$A:$AJ,BO$5,0),0),IF(ISERROR(1/VLOOKUP($R509,Capa!$A:$AJ,BO$5,0)),0,1/VLOOKUP($R509,Capa!$A:$AJ,BO$5,0))))</f>
        <v/>
      </c>
      <c r="BP509" s="174" t="str">
        <f>IF(BP$6="","",IF(BP$3="Maior",iferror(VLOOKUP($R509,Capa!$A:$AJ,BP$5,0),0),IF(ISERROR(1/VLOOKUP($R509,Capa!$A:$AJ,BP$5,0)),0,1/VLOOKUP($R509,Capa!$A:$AJ,BP$5,0))))</f>
        <v/>
      </c>
      <c r="BQ509" s="174" t="str">
        <f>IF(BQ$6="","",IF(BQ$3="Maior",iferror(VLOOKUP($R509,Capa!$A:$AJ,BQ$5,0),0),IF(ISERROR(1/VLOOKUP($R509,Capa!$A:$AJ,BQ$5,0)),0,1/VLOOKUP($R509,Capa!$A:$AJ,BQ$5,0))))</f>
        <v/>
      </c>
      <c r="BR509" s="175"/>
      <c r="BS509" s="147"/>
    </row>
    <row r="510">
      <c r="H510" s="8">
        <v>504.0</v>
      </c>
      <c r="I510" s="165" t="str">
        <f t="shared" si="6"/>
        <v>DMVF3</v>
      </c>
      <c r="J510" s="166" t="str">
        <f>(VLOOKUP($I510,Capa!$A:$B,2,0))</f>
        <v>D1000 Varejo Farma Participacoes SA</v>
      </c>
      <c r="K510" s="167" t="str">
        <f>VLOOKUP(left(I510,4),Setor!A:D,3,0)&amp;" | "&amp;VLOOKUP(left(I510,4),Setor!A:D,4,0)</f>
        <v>Saúde | Comércio e Distribuição</v>
      </c>
      <c r="L510" s="168">
        <f>(VLOOKUP($I510,Capa!$A:$F,6,0))</f>
        <v>6.91</v>
      </c>
      <c r="M510" s="168">
        <f t="shared" si="7"/>
        <v>301687.2</v>
      </c>
      <c r="N510" s="11" t="str">
        <f>IFERROR(__xludf.DUMMYFUNCTION("(VLOOKUP($I510,Capa!$A:$H,7,0))"),"")</f>
        <v/>
      </c>
      <c r="O510" s="169">
        <f>(VLOOKUP($I510,Capa!$A:$H,8,0))</f>
        <v>-0.01285714286</v>
      </c>
      <c r="P510" s="11" t="str">
        <f>IFERROR(__xludf.DUMMYFUNCTION("(VLOOKUP($I510,Capa!$A:$J,10,0))"),"")</f>
        <v/>
      </c>
      <c r="Q510" s="169">
        <f>(VLOOKUP($I510,Capa!$A:$K,11,0))</f>
        <v>0.1309328969</v>
      </c>
      <c r="R510" s="45" t="str">
        <f>'Dados StatusInvest'!A505</f>
        <v>RPMG3</v>
      </c>
      <c r="S510" s="170">
        <f t="shared" si="234"/>
        <v>1764.0764</v>
      </c>
      <c r="T510" s="171">
        <f>VLOOKUP(R510,'Dados StatusInvest'!A:Z,26,0)</f>
        <v>9988.85</v>
      </c>
      <c r="U510" s="172">
        <f t="shared" ref="U510:AS510" si="513">IF(AT510="","", RANK(AT510,AT$7:AT$626,0)+RANK(AT510,AT$7:AT$626,0)/10000)</f>
        <v>497.0497</v>
      </c>
      <c r="V510" s="172">
        <f t="shared" si="513"/>
        <v>267.0267</v>
      </c>
      <c r="W510" s="172" t="str">
        <f t="shared" si="513"/>
        <v/>
      </c>
      <c r="X510" s="172" t="str">
        <f t="shared" si="513"/>
        <v/>
      </c>
      <c r="Y510" s="172" t="str">
        <f t="shared" si="513"/>
        <v/>
      </c>
      <c r="Z510" s="172" t="str">
        <f t="shared" si="513"/>
        <v/>
      </c>
      <c r="AA510" s="172" t="str">
        <f t="shared" si="513"/>
        <v/>
      </c>
      <c r="AB510" s="172" t="str">
        <f t="shared" si="513"/>
        <v/>
      </c>
      <c r="AC510" s="172" t="str">
        <f t="shared" si="513"/>
        <v/>
      </c>
      <c r="AD510" s="172" t="str">
        <f t="shared" si="513"/>
        <v/>
      </c>
      <c r="AE510" s="172" t="str">
        <f t="shared" si="513"/>
        <v/>
      </c>
      <c r="AF510" s="172" t="str">
        <f t="shared" si="513"/>
        <v/>
      </c>
      <c r="AG510" s="172" t="str">
        <f t="shared" si="513"/>
        <v/>
      </c>
      <c r="AH510" s="172" t="str">
        <f t="shared" si="513"/>
        <v/>
      </c>
      <c r="AI510" s="172" t="str">
        <f t="shared" si="513"/>
        <v/>
      </c>
      <c r="AJ510" s="172" t="str">
        <f t="shared" si="513"/>
        <v/>
      </c>
      <c r="AK510" s="172" t="str">
        <f t="shared" si="513"/>
        <v/>
      </c>
      <c r="AL510" s="172" t="str">
        <f t="shared" si="513"/>
        <v/>
      </c>
      <c r="AM510" s="172" t="str">
        <f t="shared" si="513"/>
        <v/>
      </c>
      <c r="AN510" s="172" t="str">
        <f t="shared" si="513"/>
        <v/>
      </c>
      <c r="AO510" s="172" t="str">
        <f t="shared" si="513"/>
        <v/>
      </c>
      <c r="AP510" s="172" t="str">
        <f t="shared" si="513"/>
        <v/>
      </c>
      <c r="AQ510" s="172" t="str">
        <f t="shared" si="513"/>
        <v/>
      </c>
      <c r="AR510" s="172" t="str">
        <f t="shared" si="513"/>
        <v/>
      </c>
      <c r="AS510" s="172" t="str">
        <f t="shared" si="513"/>
        <v/>
      </c>
      <c r="AT510" s="173">
        <f>IF(AT$6="","",IF(AT$3="Maior",iferror(VLOOKUP($R510,Capa!$A:$AJ,AT$5,0),0),IF(ISERROR(1/VLOOKUP($R510,Capa!$A:$AJ,AT$5,0)),0,1/VLOOKUP($R510,Capa!$A:$AJ,AT$5,0))))</f>
        <v>-3.03030303</v>
      </c>
      <c r="AU510" s="174">
        <f>IF(AU$6="","",IF(AU$3="Maior",iferror(VLOOKUP($R510,Capa!$A:$AJ,AU$5,0),0),IF(ISERROR(1/VLOOKUP($R510,Capa!$A:$AJ,AU$5,0)),0,1/VLOOKUP($R510,Capa!$A:$AJ,AU$5,0))))</f>
        <v>0</v>
      </c>
      <c r="AV510" s="174" t="str">
        <f>IF(AV$6="","",IF(AV$3="Maior",iferror(VLOOKUP($R510,Capa!$A:$AJ,AV$5,0),0),IF(ISERROR(1/VLOOKUP($R510,Capa!$A:$AJ,AV$5,0)),0,1/VLOOKUP($R510,Capa!$A:$AJ,AV$5,0))))</f>
        <v/>
      </c>
      <c r="AW510" s="174" t="str">
        <f>IF(AW$6="","",IF(AW$3="Maior",iferror(VLOOKUP($R510,Capa!$A:$AJ,AW$5,0),0),IF(ISERROR(1/VLOOKUP($R510,Capa!$A:$AJ,AW$5,0)),0,1/VLOOKUP($R510,Capa!$A:$AJ,AW$5,0))))</f>
        <v/>
      </c>
      <c r="AX510" s="174" t="str">
        <f>IF(AX$6="","",IF(AX$3="Maior",iferror(VLOOKUP($R510,Capa!$A:$AJ,AX$5,0),0),IF(ISERROR(1/VLOOKUP($R510,Capa!$A:$AJ,AX$5,0)),0,1/VLOOKUP($R510,Capa!$A:$AJ,AX$5,0))))</f>
        <v/>
      </c>
      <c r="AY510" s="174" t="str">
        <f>IF(AY$6="","",IF(AY$3="Maior",iferror(VLOOKUP($R510,Capa!$A:$AJ,AY$5,0),0),IF(ISERROR(1/VLOOKUP($R510,Capa!$A:$AJ,AY$5,0)),0,1/VLOOKUP($R510,Capa!$A:$AJ,AY$5,0))))</f>
        <v/>
      </c>
      <c r="AZ510" s="174" t="str">
        <f>IF(AZ$6="","",IF(AZ$3="Maior",iferror(VLOOKUP($R510,Capa!$A:$AJ,AZ$5,0),0),IF(ISERROR(1/VLOOKUP($R510,Capa!$A:$AJ,AZ$5,0)),0,1/VLOOKUP($R510,Capa!$A:$AJ,AZ$5,0))))</f>
        <v/>
      </c>
      <c r="BA510" s="174" t="str">
        <f>IF(BA$6="","",IF(BA$3="Maior",iferror(VLOOKUP($R510,Capa!$A:$AJ,BA$5,0),0),IF(ISERROR(1/VLOOKUP($R510,Capa!$A:$AJ,BA$5,0)),0,1/VLOOKUP($R510,Capa!$A:$AJ,BA$5,0))))</f>
        <v/>
      </c>
      <c r="BB510" s="174" t="str">
        <f>IF(BB$6="","",IF(BB$3="Maior",iferror(VLOOKUP($R510,Capa!$A:$AJ,BB$5,0),0),IF(ISERROR(1/VLOOKUP($R510,Capa!$A:$AJ,BB$5,0)),0,1/VLOOKUP($R510,Capa!$A:$AJ,BB$5,0))))</f>
        <v/>
      </c>
      <c r="BC510" s="174" t="str">
        <f>IF(BC$6="","",IF(BC$3="Maior",iferror(VLOOKUP($R510,Capa!$A:$AJ,BC$5,0),0),IF(ISERROR(1/VLOOKUP($R510,Capa!$A:$AJ,BC$5,0)),0,1/VLOOKUP($R510,Capa!$A:$AJ,BC$5,0))))</f>
        <v/>
      </c>
      <c r="BD510" s="174" t="str">
        <f>IF(BD$6="","",IF(BD$3="Maior",iferror(VLOOKUP($R510,Capa!$A:$AJ,BD$5,0),0),IF(ISERROR(1/VLOOKUP($R510,Capa!$A:$AJ,BD$5,0)),0,1/VLOOKUP($R510,Capa!$A:$AJ,BD$5,0))))</f>
        <v/>
      </c>
      <c r="BE510" s="174" t="str">
        <f>IF(BE$6="","",IF(BE$3="Maior",iferror(VLOOKUP($R510,Capa!$A:$AJ,BE$5,0),0),IF(ISERROR(1/VLOOKUP($R510,Capa!$A:$AJ,BE$5,0)),0,1/VLOOKUP($R510,Capa!$A:$AJ,BE$5,0))))</f>
        <v/>
      </c>
      <c r="BF510" s="174" t="str">
        <f>IF(BF$6="","",IF(BF$3="Maior",iferror(VLOOKUP($R510,Capa!$A:$AJ,BF$5,0),0),IF(ISERROR(1/VLOOKUP($R510,Capa!$A:$AJ,BF$5,0)),0,1/VLOOKUP($R510,Capa!$A:$AJ,BF$5,0))))</f>
        <v/>
      </c>
      <c r="BG510" s="174" t="str">
        <f>IF(BG$6="","",IF(BG$3="Maior",iferror(VLOOKUP($R510,Capa!$A:$AJ,BG$5,0),0),IF(ISERROR(1/VLOOKUP($R510,Capa!$A:$AJ,BG$5,0)),0,1/VLOOKUP($R510,Capa!$A:$AJ,BG$5,0))))</f>
        <v/>
      </c>
      <c r="BH510" s="174" t="str">
        <f>IF(BH$6="","",IF(BH$3="Maior",iferror(VLOOKUP($R510,Capa!$A:$AJ,BH$5,0),0),IF(ISERROR(1/VLOOKUP($R510,Capa!$A:$AJ,BH$5,0)),0,1/VLOOKUP($R510,Capa!$A:$AJ,BH$5,0))))</f>
        <v/>
      </c>
      <c r="BI510" s="174" t="str">
        <f>IF(BI$6="","",IF(BI$3="Maior",iferror(VLOOKUP($R510,Capa!$A:$AJ,BI$5,0),0),IF(ISERROR(1/VLOOKUP($R510,Capa!$A:$AJ,BI$5,0)),0,1/VLOOKUP($R510,Capa!$A:$AJ,BI$5,0))))</f>
        <v/>
      </c>
      <c r="BJ510" s="174" t="str">
        <f>IF(BJ$6="","",IF(BJ$3="Maior",iferror(VLOOKUP($R510,Capa!$A:$AJ,BJ$5,0),0),IF(ISERROR(1/VLOOKUP($R510,Capa!$A:$AJ,BJ$5,0)),0,1/VLOOKUP($R510,Capa!$A:$AJ,BJ$5,0))))</f>
        <v/>
      </c>
      <c r="BK510" s="174" t="str">
        <f>IF(BK$6="","",IF(BK$3="Maior",iferror(VLOOKUP($R510,Capa!$A:$AJ,BK$5,0),0),IF(ISERROR(1/VLOOKUP($R510,Capa!$A:$AJ,BK$5,0)),0,1/VLOOKUP($R510,Capa!$A:$AJ,BK$5,0))))</f>
        <v/>
      </c>
      <c r="BL510" s="174" t="str">
        <f>IF(BL$6="","",IF(BL$3="Maior",iferror(VLOOKUP($R510,Capa!$A:$AJ,BL$5,0),0),IF(ISERROR(1/VLOOKUP($R510,Capa!$A:$AJ,BL$5,0)),0,1/VLOOKUP($R510,Capa!$A:$AJ,BL$5,0))))</f>
        <v/>
      </c>
      <c r="BM510" s="174" t="str">
        <f>IF(BM$6="","",IF(BM$3="Maior",iferror(VLOOKUP($R510,Capa!$A:$AJ,BM$5,0),0),IF(ISERROR(1/VLOOKUP($R510,Capa!$A:$AJ,BM$5,0)),0,1/VLOOKUP($R510,Capa!$A:$AJ,BM$5,0))))</f>
        <v/>
      </c>
      <c r="BN510" s="174" t="str">
        <f>IF(BN$6="","",IF(BN$3="Maior",iferror(VLOOKUP($R510,Capa!$A:$AJ,BN$5,0),0),IF(ISERROR(1/VLOOKUP($R510,Capa!$A:$AJ,BN$5,0)),0,1/VLOOKUP($R510,Capa!$A:$AJ,BN$5,0))))</f>
        <v/>
      </c>
      <c r="BO510" s="174" t="str">
        <f>IF(BO$6="","",IF(BO$3="Maior",iferror(VLOOKUP($R510,Capa!$A:$AJ,BO$5,0),0),IF(ISERROR(1/VLOOKUP($R510,Capa!$A:$AJ,BO$5,0)),0,1/VLOOKUP($R510,Capa!$A:$AJ,BO$5,0))))</f>
        <v/>
      </c>
      <c r="BP510" s="174" t="str">
        <f>IF(BP$6="","",IF(BP$3="Maior",iferror(VLOOKUP($R510,Capa!$A:$AJ,BP$5,0),0),IF(ISERROR(1/VLOOKUP($R510,Capa!$A:$AJ,BP$5,0)),0,1/VLOOKUP($R510,Capa!$A:$AJ,BP$5,0))))</f>
        <v/>
      </c>
      <c r="BQ510" s="174" t="str">
        <f>IF(BQ$6="","",IF(BQ$3="Maior",iferror(VLOOKUP($R510,Capa!$A:$AJ,BQ$5,0),0),IF(ISERROR(1/VLOOKUP($R510,Capa!$A:$AJ,BQ$5,0)),0,1/VLOOKUP($R510,Capa!$A:$AJ,BQ$5,0))))</f>
        <v/>
      </c>
      <c r="BR510" s="175"/>
      <c r="BS510" s="147"/>
    </row>
    <row r="511">
      <c r="H511" s="8">
        <v>505.0</v>
      </c>
      <c r="I511" s="165" t="str">
        <f t="shared" si="6"/>
        <v>AMAR3</v>
      </c>
      <c r="J511" s="166" t="str">
        <f>(VLOOKUP($I511,Capa!$A:$B,2,0))</f>
        <v>Marisa Lojas SA</v>
      </c>
      <c r="K511" s="167" t="str">
        <f>VLOOKUP(left(I511,4),Setor!A:D,3,0)&amp;" | "&amp;VLOOKUP(left(I511,4),Setor!A:D,4,0)</f>
        <v>Consumo Cíclico | Comércio</v>
      </c>
      <c r="L511" s="168">
        <f>(VLOOKUP($I511,Capa!$A:$F,6,0))</f>
        <v>0.95</v>
      </c>
      <c r="M511" s="168">
        <f t="shared" si="7"/>
        <v>289427.5</v>
      </c>
      <c r="N511" s="11" t="str">
        <f>IFERROR(__xludf.DUMMYFUNCTION("(VLOOKUP($I511,Capa!$A:$H,7,0))"),"")</f>
        <v/>
      </c>
      <c r="O511" s="169">
        <f>(VLOOKUP($I511,Capa!$A:$H,8,0))</f>
        <v>-0.0404040404</v>
      </c>
      <c r="P511" s="11" t="str">
        <f>IFERROR(__xludf.DUMMYFUNCTION("(VLOOKUP($I511,Capa!$A:$J,10,0))"),"")</f>
        <v/>
      </c>
      <c r="Q511" s="169">
        <f>(VLOOKUP($I511,Capa!$A:$K,11,0))</f>
        <v>-0.246031746</v>
      </c>
      <c r="R511" s="45" t="str">
        <f>'Dados StatusInvest'!A506</f>
        <v>RSID3</v>
      </c>
      <c r="S511" s="170">
        <f t="shared" si="234"/>
        <v>1837.0837</v>
      </c>
      <c r="T511" s="171">
        <f>VLOOKUP(R511,'Dados StatusInvest'!A:Z,26,0)</f>
        <v>6829.53</v>
      </c>
      <c r="U511" s="172">
        <f t="shared" ref="U511:AS511" si="514">IF(AT511="","", RANK(AT511,AT$7:AT$626,0)+RANK(AT511,AT$7:AT$626,0)/10000)</f>
        <v>570.057</v>
      </c>
      <c r="V511" s="172">
        <f t="shared" si="514"/>
        <v>267.0267</v>
      </c>
      <c r="W511" s="172" t="str">
        <f t="shared" si="514"/>
        <v/>
      </c>
      <c r="X511" s="172" t="str">
        <f t="shared" si="514"/>
        <v/>
      </c>
      <c r="Y511" s="172" t="str">
        <f t="shared" si="514"/>
        <v/>
      </c>
      <c r="Z511" s="172" t="str">
        <f t="shared" si="514"/>
        <v/>
      </c>
      <c r="AA511" s="172" t="str">
        <f t="shared" si="514"/>
        <v/>
      </c>
      <c r="AB511" s="172" t="str">
        <f t="shared" si="514"/>
        <v/>
      </c>
      <c r="AC511" s="172" t="str">
        <f t="shared" si="514"/>
        <v/>
      </c>
      <c r="AD511" s="172" t="str">
        <f t="shared" si="514"/>
        <v/>
      </c>
      <c r="AE511" s="172" t="str">
        <f t="shared" si="514"/>
        <v/>
      </c>
      <c r="AF511" s="172" t="str">
        <f t="shared" si="514"/>
        <v/>
      </c>
      <c r="AG511" s="172" t="str">
        <f t="shared" si="514"/>
        <v/>
      </c>
      <c r="AH511" s="172" t="str">
        <f t="shared" si="514"/>
        <v/>
      </c>
      <c r="AI511" s="172" t="str">
        <f t="shared" si="514"/>
        <v/>
      </c>
      <c r="AJ511" s="172" t="str">
        <f t="shared" si="514"/>
        <v/>
      </c>
      <c r="AK511" s="172" t="str">
        <f t="shared" si="514"/>
        <v/>
      </c>
      <c r="AL511" s="172" t="str">
        <f t="shared" si="514"/>
        <v/>
      </c>
      <c r="AM511" s="172" t="str">
        <f t="shared" si="514"/>
        <v/>
      </c>
      <c r="AN511" s="172" t="str">
        <f t="shared" si="514"/>
        <v/>
      </c>
      <c r="AO511" s="172" t="str">
        <f t="shared" si="514"/>
        <v/>
      </c>
      <c r="AP511" s="172" t="str">
        <f t="shared" si="514"/>
        <v/>
      </c>
      <c r="AQ511" s="172" t="str">
        <f t="shared" si="514"/>
        <v/>
      </c>
      <c r="AR511" s="172" t="str">
        <f t="shared" si="514"/>
        <v/>
      </c>
      <c r="AS511" s="172" t="str">
        <f t="shared" si="514"/>
        <v/>
      </c>
      <c r="AT511" s="173">
        <f>IF(AT$6="","",IF(AT$3="Maior",iferror(VLOOKUP($R511,Capa!$A:$AJ,AT$5,0),0),IF(ISERROR(1/VLOOKUP($R511,Capa!$A:$AJ,AT$5,0)),0,1/VLOOKUP($R511,Capa!$A:$AJ,AT$5,0))))</f>
        <v>-7.692307692</v>
      </c>
      <c r="AU511" s="174">
        <f>IF(AU$6="","",IF(AU$3="Maior",iferror(VLOOKUP($R511,Capa!$A:$AJ,AU$5,0),0),IF(ISERROR(1/VLOOKUP($R511,Capa!$A:$AJ,AU$5,0)),0,1/VLOOKUP($R511,Capa!$A:$AJ,AU$5,0))))</f>
        <v>0</v>
      </c>
      <c r="AV511" s="174" t="str">
        <f>IF(AV$6="","",IF(AV$3="Maior",iferror(VLOOKUP($R511,Capa!$A:$AJ,AV$5,0),0),IF(ISERROR(1/VLOOKUP($R511,Capa!$A:$AJ,AV$5,0)),0,1/VLOOKUP($R511,Capa!$A:$AJ,AV$5,0))))</f>
        <v/>
      </c>
      <c r="AW511" s="174" t="str">
        <f>IF(AW$6="","",IF(AW$3="Maior",iferror(VLOOKUP($R511,Capa!$A:$AJ,AW$5,0),0),IF(ISERROR(1/VLOOKUP($R511,Capa!$A:$AJ,AW$5,0)),0,1/VLOOKUP($R511,Capa!$A:$AJ,AW$5,0))))</f>
        <v/>
      </c>
      <c r="AX511" s="174" t="str">
        <f>IF(AX$6="","",IF(AX$3="Maior",iferror(VLOOKUP($R511,Capa!$A:$AJ,AX$5,0),0),IF(ISERROR(1/VLOOKUP($R511,Capa!$A:$AJ,AX$5,0)),0,1/VLOOKUP($R511,Capa!$A:$AJ,AX$5,0))))</f>
        <v/>
      </c>
      <c r="AY511" s="174" t="str">
        <f>IF(AY$6="","",IF(AY$3="Maior",iferror(VLOOKUP($R511,Capa!$A:$AJ,AY$5,0),0),IF(ISERROR(1/VLOOKUP($R511,Capa!$A:$AJ,AY$5,0)),0,1/VLOOKUP($R511,Capa!$A:$AJ,AY$5,0))))</f>
        <v/>
      </c>
      <c r="AZ511" s="174" t="str">
        <f>IF(AZ$6="","",IF(AZ$3="Maior",iferror(VLOOKUP($R511,Capa!$A:$AJ,AZ$5,0),0),IF(ISERROR(1/VLOOKUP($R511,Capa!$A:$AJ,AZ$5,0)),0,1/VLOOKUP($R511,Capa!$A:$AJ,AZ$5,0))))</f>
        <v/>
      </c>
      <c r="BA511" s="174" t="str">
        <f>IF(BA$6="","",IF(BA$3="Maior",iferror(VLOOKUP($R511,Capa!$A:$AJ,BA$5,0),0),IF(ISERROR(1/VLOOKUP($R511,Capa!$A:$AJ,BA$5,0)),0,1/VLOOKUP($R511,Capa!$A:$AJ,BA$5,0))))</f>
        <v/>
      </c>
      <c r="BB511" s="174" t="str">
        <f>IF(BB$6="","",IF(BB$3="Maior",iferror(VLOOKUP($R511,Capa!$A:$AJ,BB$5,0),0),IF(ISERROR(1/VLOOKUP($R511,Capa!$A:$AJ,BB$5,0)),0,1/VLOOKUP($R511,Capa!$A:$AJ,BB$5,0))))</f>
        <v/>
      </c>
      <c r="BC511" s="174" t="str">
        <f>IF(BC$6="","",IF(BC$3="Maior",iferror(VLOOKUP($R511,Capa!$A:$AJ,BC$5,0),0),IF(ISERROR(1/VLOOKUP($R511,Capa!$A:$AJ,BC$5,0)),0,1/VLOOKUP($R511,Capa!$A:$AJ,BC$5,0))))</f>
        <v/>
      </c>
      <c r="BD511" s="174" t="str">
        <f>IF(BD$6="","",IF(BD$3="Maior",iferror(VLOOKUP($R511,Capa!$A:$AJ,BD$5,0),0),IF(ISERROR(1/VLOOKUP($R511,Capa!$A:$AJ,BD$5,0)),0,1/VLOOKUP($R511,Capa!$A:$AJ,BD$5,0))))</f>
        <v/>
      </c>
      <c r="BE511" s="174" t="str">
        <f>IF(BE$6="","",IF(BE$3="Maior",iferror(VLOOKUP($R511,Capa!$A:$AJ,BE$5,0),0),IF(ISERROR(1/VLOOKUP($R511,Capa!$A:$AJ,BE$5,0)),0,1/VLOOKUP($R511,Capa!$A:$AJ,BE$5,0))))</f>
        <v/>
      </c>
      <c r="BF511" s="174" t="str">
        <f>IF(BF$6="","",IF(BF$3="Maior",iferror(VLOOKUP($R511,Capa!$A:$AJ,BF$5,0),0),IF(ISERROR(1/VLOOKUP($R511,Capa!$A:$AJ,BF$5,0)),0,1/VLOOKUP($R511,Capa!$A:$AJ,BF$5,0))))</f>
        <v/>
      </c>
      <c r="BG511" s="174" t="str">
        <f>IF(BG$6="","",IF(BG$3="Maior",iferror(VLOOKUP($R511,Capa!$A:$AJ,BG$5,0),0),IF(ISERROR(1/VLOOKUP($R511,Capa!$A:$AJ,BG$5,0)),0,1/VLOOKUP($R511,Capa!$A:$AJ,BG$5,0))))</f>
        <v/>
      </c>
      <c r="BH511" s="174" t="str">
        <f>IF(BH$6="","",IF(BH$3="Maior",iferror(VLOOKUP($R511,Capa!$A:$AJ,BH$5,0),0),IF(ISERROR(1/VLOOKUP($R511,Capa!$A:$AJ,BH$5,0)),0,1/VLOOKUP($R511,Capa!$A:$AJ,BH$5,0))))</f>
        <v/>
      </c>
      <c r="BI511" s="174" t="str">
        <f>IF(BI$6="","",IF(BI$3="Maior",iferror(VLOOKUP($R511,Capa!$A:$AJ,BI$5,0),0),IF(ISERROR(1/VLOOKUP($R511,Capa!$A:$AJ,BI$5,0)),0,1/VLOOKUP($R511,Capa!$A:$AJ,BI$5,0))))</f>
        <v/>
      </c>
      <c r="BJ511" s="174" t="str">
        <f>IF(BJ$6="","",IF(BJ$3="Maior",iferror(VLOOKUP($R511,Capa!$A:$AJ,BJ$5,0),0),IF(ISERROR(1/VLOOKUP($R511,Capa!$A:$AJ,BJ$5,0)),0,1/VLOOKUP($R511,Capa!$A:$AJ,BJ$5,0))))</f>
        <v/>
      </c>
      <c r="BK511" s="174" t="str">
        <f>IF(BK$6="","",IF(BK$3="Maior",iferror(VLOOKUP($R511,Capa!$A:$AJ,BK$5,0),0),IF(ISERROR(1/VLOOKUP($R511,Capa!$A:$AJ,BK$5,0)),0,1/VLOOKUP($R511,Capa!$A:$AJ,BK$5,0))))</f>
        <v/>
      </c>
      <c r="BL511" s="174" t="str">
        <f>IF(BL$6="","",IF(BL$3="Maior",iferror(VLOOKUP($R511,Capa!$A:$AJ,BL$5,0),0),IF(ISERROR(1/VLOOKUP($R511,Capa!$A:$AJ,BL$5,0)),0,1/VLOOKUP($R511,Capa!$A:$AJ,BL$5,0))))</f>
        <v/>
      </c>
      <c r="BM511" s="174" t="str">
        <f>IF(BM$6="","",IF(BM$3="Maior",iferror(VLOOKUP($R511,Capa!$A:$AJ,BM$5,0),0),IF(ISERROR(1/VLOOKUP($R511,Capa!$A:$AJ,BM$5,0)),0,1/VLOOKUP($R511,Capa!$A:$AJ,BM$5,0))))</f>
        <v/>
      </c>
      <c r="BN511" s="174" t="str">
        <f>IF(BN$6="","",IF(BN$3="Maior",iferror(VLOOKUP($R511,Capa!$A:$AJ,BN$5,0),0),IF(ISERROR(1/VLOOKUP($R511,Capa!$A:$AJ,BN$5,0)),0,1/VLOOKUP($R511,Capa!$A:$AJ,BN$5,0))))</f>
        <v/>
      </c>
      <c r="BO511" s="174" t="str">
        <f>IF(BO$6="","",IF(BO$3="Maior",iferror(VLOOKUP($R511,Capa!$A:$AJ,BO$5,0),0),IF(ISERROR(1/VLOOKUP($R511,Capa!$A:$AJ,BO$5,0)),0,1/VLOOKUP($R511,Capa!$A:$AJ,BO$5,0))))</f>
        <v/>
      </c>
      <c r="BP511" s="174" t="str">
        <f>IF(BP$6="","",IF(BP$3="Maior",iferror(VLOOKUP($R511,Capa!$A:$AJ,BP$5,0),0),IF(ISERROR(1/VLOOKUP($R511,Capa!$A:$AJ,BP$5,0)),0,1/VLOOKUP($R511,Capa!$A:$AJ,BP$5,0))))</f>
        <v/>
      </c>
      <c r="BQ511" s="174" t="str">
        <f>IF(BQ$6="","",IF(BQ$3="Maior",iferror(VLOOKUP($R511,Capa!$A:$AJ,BQ$5,0),0),IF(ISERROR(1/VLOOKUP($R511,Capa!$A:$AJ,BQ$5,0)),0,1/VLOOKUP($R511,Capa!$A:$AJ,BQ$5,0))))</f>
        <v/>
      </c>
      <c r="BR511" s="175"/>
      <c r="BS511" s="147"/>
    </row>
    <row r="512">
      <c r="H512" s="8">
        <v>506.0</v>
      </c>
      <c r="I512" s="165" t="str">
        <f t="shared" si="6"/>
        <v>AMAR3</v>
      </c>
      <c r="J512" s="166" t="str">
        <f>(VLOOKUP($I512,Capa!$A:$B,2,0))</f>
        <v>Marisa Lojas SA</v>
      </c>
      <c r="K512" s="167" t="str">
        <f>VLOOKUP(left(I512,4),Setor!A:D,3,0)&amp;" | "&amp;VLOOKUP(left(I512,4),Setor!A:D,4,0)</f>
        <v>Consumo Cíclico | Comércio</v>
      </c>
      <c r="L512" s="168">
        <f>(VLOOKUP($I512,Capa!$A:$F,6,0))</f>
        <v>0.95</v>
      </c>
      <c r="M512" s="168">
        <f t="shared" si="7"/>
        <v>289427.5</v>
      </c>
      <c r="N512" s="11" t="str">
        <f>IFERROR(__xludf.DUMMYFUNCTION("(VLOOKUP($I512,Capa!$A:$H,7,0))"),"")</f>
        <v/>
      </c>
      <c r="O512" s="169">
        <f>(VLOOKUP($I512,Capa!$A:$H,8,0))</f>
        <v>-0.0404040404</v>
      </c>
      <c r="P512" s="11" t="str">
        <f>IFERROR(__xludf.DUMMYFUNCTION("(VLOOKUP($I512,Capa!$A:$J,10,0))"),"")</f>
        <v/>
      </c>
      <c r="Q512" s="169">
        <f>(VLOOKUP($I512,Capa!$A:$K,11,0))</f>
        <v>-0.246031746</v>
      </c>
      <c r="R512" s="45" t="str">
        <f>'Dados StatusInvest'!A507</f>
        <v>RSUL3</v>
      </c>
      <c r="S512" s="170">
        <f t="shared" si="234"/>
        <v>1133.0133</v>
      </c>
      <c r="T512" s="171">
        <f>VLOOKUP(R512,'Dados StatusInvest'!A:Z,26,0)</f>
        <v>0</v>
      </c>
      <c r="U512" s="172">
        <f t="shared" ref="U512:AS512" si="515">IF(AT512="","", RANK(AT512,AT$7:AT$626,0)+RANK(AT512,AT$7:AT$626,0)/10000)</f>
        <v>51.0051</v>
      </c>
      <c r="V512" s="172">
        <f t="shared" si="515"/>
        <v>82.0082</v>
      </c>
      <c r="W512" s="172" t="str">
        <f t="shared" si="515"/>
        <v/>
      </c>
      <c r="X512" s="172" t="str">
        <f t="shared" si="515"/>
        <v/>
      </c>
      <c r="Y512" s="172" t="str">
        <f t="shared" si="515"/>
        <v/>
      </c>
      <c r="Z512" s="172" t="str">
        <f t="shared" si="515"/>
        <v/>
      </c>
      <c r="AA512" s="172" t="str">
        <f t="shared" si="515"/>
        <v/>
      </c>
      <c r="AB512" s="172" t="str">
        <f t="shared" si="515"/>
        <v/>
      </c>
      <c r="AC512" s="172" t="str">
        <f t="shared" si="515"/>
        <v/>
      </c>
      <c r="AD512" s="172" t="str">
        <f t="shared" si="515"/>
        <v/>
      </c>
      <c r="AE512" s="172" t="str">
        <f t="shared" si="515"/>
        <v/>
      </c>
      <c r="AF512" s="172" t="str">
        <f t="shared" si="515"/>
        <v/>
      </c>
      <c r="AG512" s="172" t="str">
        <f t="shared" si="515"/>
        <v/>
      </c>
      <c r="AH512" s="172" t="str">
        <f t="shared" si="515"/>
        <v/>
      </c>
      <c r="AI512" s="172" t="str">
        <f t="shared" si="515"/>
        <v/>
      </c>
      <c r="AJ512" s="172" t="str">
        <f t="shared" si="515"/>
        <v/>
      </c>
      <c r="AK512" s="172" t="str">
        <f t="shared" si="515"/>
        <v/>
      </c>
      <c r="AL512" s="172" t="str">
        <f t="shared" si="515"/>
        <v/>
      </c>
      <c r="AM512" s="172" t="str">
        <f t="shared" si="515"/>
        <v/>
      </c>
      <c r="AN512" s="172" t="str">
        <f t="shared" si="515"/>
        <v/>
      </c>
      <c r="AO512" s="172" t="str">
        <f t="shared" si="515"/>
        <v/>
      </c>
      <c r="AP512" s="172" t="str">
        <f t="shared" si="515"/>
        <v/>
      </c>
      <c r="AQ512" s="172" t="str">
        <f t="shared" si="515"/>
        <v/>
      </c>
      <c r="AR512" s="172" t="str">
        <f t="shared" si="515"/>
        <v/>
      </c>
      <c r="AS512" s="172" t="str">
        <f t="shared" si="515"/>
        <v/>
      </c>
      <c r="AT512" s="173">
        <f>IF(AT$6="","",IF(AT$3="Maior",iferror(VLOOKUP($R512,Capa!$A:$AJ,AT$5,0),0),IF(ISERROR(1/VLOOKUP($R512,Capa!$A:$AJ,AT$5,0)),0,1/VLOOKUP($R512,Capa!$A:$AJ,AT$5,0))))</f>
        <v>0</v>
      </c>
      <c r="AU512" s="174">
        <f>IF(AU$6="","",IF(AU$3="Maior",iferror(VLOOKUP($R512,Capa!$A:$AJ,AU$5,0),0),IF(ISERROR(1/VLOOKUP($R512,Capa!$A:$AJ,AU$5,0)),0,1/VLOOKUP($R512,Capa!$A:$AJ,AU$5,0))))</f>
        <v>30.5</v>
      </c>
      <c r="AV512" s="174" t="str">
        <f>IF(AV$6="","",IF(AV$3="Maior",iferror(VLOOKUP($R512,Capa!$A:$AJ,AV$5,0),0),IF(ISERROR(1/VLOOKUP($R512,Capa!$A:$AJ,AV$5,0)),0,1/VLOOKUP($R512,Capa!$A:$AJ,AV$5,0))))</f>
        <v/>
      </c>
      <c r="AW512" s="174" t="str">
        <f>IF(AW$6="","",IF(AW$3="Maior",iferror(VLOOKUP($R512,Capa!$A:$AJ,AW$5,0),0),IF(ISERROR(1/VLOOKUP($R512,Capa!$A:$AJ,AW$5,0)),0,1/VLOOKUP($R512,Capa!$A:$AJ,AW$5,0))))</f>
        <v/>
      </c>
      <c r="AX512" s="174" t="str">
        <f>IF(AX$6="","",IF(AX$3="Maior",iferror(VLOOKUP($R512,Capa!$A:$AJ,AX$5,0),0),IF(ISERROR(1/VLOOKUP($R512,Capa!$A:$AJ,AX$5,0)),0,1/VLOOKUP($R512,Capa!$A:$AJ,AX$5,0))))</f>
        <v/>
      </c>
      <c r="AY512" s="174" t="str">
        <f>IF(AY$6="","",IF(AY$3="Maior",iferror(VLOOKUP($R512,Capa!$A:$AJ,AY$5,0),0),IF(ISERROR(1/VLOOKUP($R512,Capa!$A:$AJ,AY$5,0)),0,1/VLOOKUP($R512,Capa!$A:$AJ,AY$5,0))))</f>
        <v/>
      </c>
      <c r="AZ512" s="174" t="str">
        <f>IF(AZ$6="","",IF(AZ$3="Maior",iferror(VLOOKUP($R512,Capa!$A:$AJ,AZ$5,0),0),IF(ISERROR(1/VLOOKUP($R512,Capa!$A:$AJ,AZ$5,0)),0,1/VLOOKUP($R512,Capa!$A:$AJ,AZ$5,0))))</f>
        <v/>
      </c>
      <c r="BA512" s="174" t="str">
        <f>IF(BA$6="","",IF(BA$3="Maior",iferror(VLOOKUP($R512,Capa!$A:$AJ,BA$5,0),0),IF(ISERROR(1/VLOOKUP($R512,Capa!$A:$AJ,BA$5,0)),0,1/VLOOKUP($R512,Capa!$A:$AJ,BA$5,0))))</f>
        <v/>
      </c>
      <c r="BB512" s="174" t="str">
        <f>IF(BB$6="","",IF(BB$3="Maior",iferror(VLOOKUP($R512,Capa!$A:$AJ,BB$5,0),0),IF(ISERROR(1/VLOOKUP($R512,Capa!$A:$AJ,BB$5,0)),0,1/VLOOKUP($R512,Capa!$A:$AJ,BB$5,0))))</f>
        <v/>
      </c>
      <c r="BC512" s="174" t="str">
        <f>IF(BC$6="","",IF(BC$3="Maior",iferror(VLOOKUP($R512,Capa!$A:$AJ,BC$5,0),0),IF(ISERROR(1/VLOOKUP($R512,Capa!$A:$AJ,BC$5,0)),0,1/VLOOKUP($R512,Capa!$A:$AJ,BC$5,0))))</f>
        <v/>
      </c>
      <c r="BD512" s="174" t="str">
        <f>IF(BD$6="","",IF(BD$3="Maior",iferror(VLOOKUP($R512,Capa!$A:$AJ,BD$5,0),0),IF(ISERROR(1/VLOOKUP($R512,Capa!$A:$AJ,BD$5,0)),0,1/VLOOKUP($R512,Capa!$A:$AJ,BD$5,0))))</f>
        <v/>
      </c>
      <c r="BE512" s="174" t="str">
        <f>IF(BE$6="","",IF(BE$3="Maior",iferror(VLOOKUP($R512,Capa!$A:$AJ,BE$5,0),0),IF(ISERROR(1/VLOOKUP($R512,Capa!$A:$AJ,BE$5,0)),0,1/VLOOKUP($R512,Capa!$A:$AJ,BE$5,0))))</f>
        <v/>
      </c>
      <c r="BF512" s="174" t="str">
        <f>IF(BF$6="","",IF(BF$3="Maior",iferror(VLOOKUP($R512,Capa!$A:$AJ,BF$5,0),0),IF(ISERROR(1/VLOOKUP($R512,Capa!$A:$AJ,BF$5,0)),0,1/VLOOKUP($R512,Capa!$A:$AJ,BF$5,0))))</f>
        <v/>
      </c>
      <c r="BG512" s="174" t="str">
        <f>IF(BG$6="","",IF(BG$3="Maior",iferror(VLOOKUP($R512,Capa!$A:$AJ,BG$5,0),0),IF(ISERROR(1/VLOOKUP($R512,Capa!$A:$AJ,BG$5,0)),0,1/VLOOKUP($R512,Capa!$A:$AJ,BG$5,0))))</f>
        <v/>
      </c>
      <c r="BH512" s="174" t="str">
        <f>IF(BH$6="","",IF(BH$3="Maior",iferror(VLOOKUP($R512,Capa!$A:$AJ,BH$5,0),0),IF(ISERROR(1/VLOOKUP($R512,Capa!$A:$AJ,BH$5,0)),0,1/VLOOKUP($R512,Capa!$A:$AJ,BH$5,0))))</f>
        <v/>
      </c>
      <c r="BI512" s="174" t="str">
        <f>IF(BI$6="","",IF(BI$3="Maior",iferror(VLOOKUP($R512,Capa!$A:$AJ,BI$5,0),0),IF(ISERROR(1/VLOOKUP($R512,Capa!$A:$AJ,BI$5,0)),0,1/VLOOKUP($R512,Capa!$A:$AJ,BI$5,0))))</f>
        <v/>
      </c>
      <c r="BJ512" s="174" t="str">
        <f>IF(BJ$6="","",IF(BJ$3="Maior",iferror(VLOOKUP($R512,Capa!$A:$AJ,BJ$5,0),0),IF(ISERROR(1/VLOOKUP($R512,Capa!$A:$AJ,BJ$5,0)),0,1/VLOOKUP($R512,Capa!$A:$AJ,BJ$5,0))))</f>
        <v/>
      </c>
      <c r="BK512" s="174" t="str">
        <f>IF(BK$6="","",IF(BK$3="Maior",iferror(VLOOKUP($R512,Capa!$A:$AJ,BK$5,0),0),IF(ISERROR(1/VLOOKUP($R512,Capa!$A:$AJ,BK$5,0)),0,1/VLOOKUP($R512,Capa!$A:$AJ,BK$5,0))))</f>
        <v/>
      </c>
      <c r="BL512" s="174" t="str">
        <f>IF(BL$6="","",IF(BL$3="Maior",iferror(VLOOKUP($R512,Capa!$A:$AJ,BL$5,0),0),IF(ISERROR(1/VLOOKUP($R512,Capa!$A:$AJ,BL$5,0)),0,1/VLOOKUP($R512,Capa!$A:$AJ,BL$5,0))))</f>
        <v/>
      </c>
      <c r="BM512" s="174" t="str">
        <f>IF(BM$6="","",IF(BM$3="Maior",iferror(VLOOKUP($R512,Capa!$A:$AJ,BM$5,0),0),IF(ISERROR(1/VLOOKUP($R512,Capa!$A:$AJ,BM$5,0)),0,1/VLOOKUP($R512,Capa!$A:$AJ,BM$5,0))))</f>
        <v/>
      </c>
      <c r="BN512" s="174" t="str">
        <f>IF(BN$6="","",IF(BN$3="Maior",iferror(VLOOKUP($R512,Capa!$A:$AJ,BN$5,0),0),IF(ISERROR(1/VLOOKUP($R512,Capa!$A:$AJ,BN$5,0)),0,1/VLOOKUP($R512,Capa!$A:$AJ,BN$5,0))))</f>
        <v/>
      </c>
      <c r="BO512" s="174" t="str">
        <f>IF(BO$6="","",IF(BO$3="Maior",iferror(VLOOKUP($R512,Capa!$A:$AJ,BO$5,0),0),IF(ISERROR(1/VLOOKUP($R512,Capa!$A:$AJ,BO$5,0)),0,1/VLOOKUP($R512,Capa!$A:$AJ,BO$5,0))))</f>
        <v/>
      </c>
      <c r="BP512" s="174" t="str">
        <f>IF(BP$6="","",IF(BP$3="Maior",iferror(VLOOKUP($R512,Capa!$A:$AJ,BP$5,0),0),IF(ISERROR(1/VLOOKUP($R512,Capa!$A:$AJ,BP$5,0)),0,1/VLOOKUP($R512,Capa!$A:$AJ,BP$5,0))))</f>
        <v/>
      </c>
      <c r="BQ512" s="174" t="str">
        <f>IF(BQ$6="","",IF(BQ$3="Maior",iferror(VLOOKUP($R512,Capa!$A:$AJ,BQ$5,0),0),IF(ISERROR(1/VLOOKUP($R512,Capa!$A:$AJ,BQ$5,0)),0,1/VLOOKUP($R512,Capa!$A:$AJ,BQ$5,0))))</f>
        <v/>
      </c>
      <c r="BR512" s="175"/>
      <c r="BS512" s="147"/>
    </row>
    <row r="513">
      <c r="H513" s="8">
        <v>507.0</v>
      </c>
      <c r="I513" s="165" t="str">
        <f t="shared" si="6"/>
        <v>TOYB3</v>
      </c>
      <c r="J513" s="166" t="str">
        <f>(VLOOKUP($I513,Capa!$A:$B,2,0))</f>
        <v/>
      </c>
      <c r="K513" s="167" t="str">
        <f>VLOOKUP(left(I513,4),Setor!A:D,3,0)&amp;" | "&amp;VLOOKUP(left(I513,4),Setor!A:D,4,0)</f>
        <v>#N/A</v>
      </c>
      <c r="L513" s="168" t="str">
        <f>(VLOOKUP($I513,Capa!$A:$F,6,0))</f>
        <v/>
      </c>
      <c r="M513" s="168">
        <f t="shared" si="7"/>
        <v>0</v>
      </c>
      <c r="N513" s="177" t="str">
        <f>(VLOOKUP($I513,Capa!$A:$H,7,0))</f>
        <v/>
      </c>
      <c r="O513" s="169" t="str">
        <f>(VLOOKUP($I513,Capa!$A:$H,8,0))</f>
        <v/>
      </c>
      <c r="P513" s="169" t="str">
        <f>(VLOOKUP($I513,Capa!$A:$J,10,0))</f>
        <v/>
      </c>
      <c r="Q513" s="169" t="str">
        <f>(VLOOKUP($I513,Capa!$A:$K,11,0))</f>
        <v/>
      </c>
      <c r="R513" s="45" t="str">
        <f>'Dados StatusInvest'!A508</f>
        <v>RSUL4</v>
      </c>
      <c r="S513" s="170">
        <f t="shared" si="234"/>
        <v>1319.0319</v>
      </c>
      <c r="T513" s="171">
        <f>VLOOKUP(R513,'Dados StatusInvest'!A:Z,26,0)</f>
        <v>205151.1</v>
      </c>
      <c r="U513" s="172">
        <f t="shared" ref="U513:AS513" si="516">IF(AT513="","", RANK(AT513,AT$7:AT$626,0)+RANK(AT513,AT$7:AT$626,0)/10000)</f>
        <v>237.0237</v>
      </c>
      <c r="V513" s="172">
        <f t="shared" si="516"/>
        <v>82.0082</v>
      </c>
      <c r="W513" s="172" t="str">
        <f t="shared" si="516"/>
        <v/>
      </c>
      <c r="X513" s="172" t="str">
        <f t="shared" si="516"/>
        <v/>
      </c>
      <c r="Y513" s="172" t="str">
        <f t="shared" si="516"/>
        <v/>
      </c>
      <c r="Z513" s="172" t="str">
        <f t="shared" si="516"/>
        <v/>
      </c>
      <c r="AA513" s="172" t="str">
        <f t="shared" si="516"/>
        <v/>
      </c>
      <c r="AB513" s="172" t="str">
        <f t="shared" si="516"/>
        <v/>
      </c>
      <c r="AC513" s="172" t="str">
        <f t="shared" si="516"/>
        <v/>
      </c>
      <c r="AD513" s="172" t="str">
        <f t="shared" si="516"/>
        <v/>
      </c>
      <c r="AE513" s="172" t="str">
        <f t="shared" si="516"/>
        <v/>
      </c>
      <c r="AF513" s="172" t="str">
        <f t="shared" si="516"/>
        <v/>
      </c>
      <c r="AG513" s="172" t="str">
        <f t="shared" si="516"/>
        <v/>
      </c>
      <c r="AH513" s="172" t="str">
        <f t="shared" si="516"/>
        <v/>
      </c>
      <c r="AI513" s="172" t="str">
        <f t="shared" si="516"/>
        <v/>
      </c>
      <c r="AJ513" s="172" t="str">
        <f t="shared" si="516"/>
        <v/>
      </c>
      <c r="AK513" s="172" t="str">
        <f t="shared" si="516"/>
        <v/>
      </c>
      <c r="AL513" s="172" t="str">
        <f t="shared" si="516"/>
        <v/>
      </c>
      <c r="AM513" s="172" t="str">
        <f t="shared" si="516"/>
        <v/>
      </c>
      <c r="AN513" s="172" t="str">
        <f t="shared" si="516"/>
        <v/>
      </c>
      <c r="AO513" s="172" t="str">
        <f t="shared" si="516"/>
        <v/>
      </c>
      <c r="AP513" s="172" t="str">
        <f t="shared" si="516"/>
        <v/>
      </c>
      <c r="AQ513" s="172" t="str">
        <f t="shared" si="516"/>
        <v/>
      </c>
      <c r="AR513" s="172" t="str">
        <f t="shared" si="516"/>
        <v/>
      </c>
      <c r="AS513" s="172" t="str">
        <f t="shared" si="516"/>
        <v/>
      </c>
      <c r="AT513" s="173">
        <f>IF(AT$6="","",IF(AT$3="Maior",iferror(VLOOKUP($R513,Capa!$A:$AJ,AT$5,0),0),IF(ISERROR(1/VLOOKUP($R513,Capa!$A:$AJ,AT$5,0)),0,1/VLOOKUP($R513,Capa!$A:$AJ,AT$5,0))))</f>
        <v>-0.4405286344</v>
      </c>
      <c r="AU513" s="174">
        <f>IF(AU$6="","",IF(AU$3="Maior",iferror(VLOOKUP($R513,Capa!$A:$AJ,AU$5,0),0),IF(ISERROR(1/VLOOKUP($R513,Capa!$A:$AJ,AU$5,0)),0,1/VLOOKUP($R513,Capa!$A:$AJ,AU$5,0))))</f>
        <v>30.5</v>
      </c>
      <c r="AV513" s="174" t="str">
        <f>IF(AV$6="","",IF(AV$3="Maior",iferror(VLOOKUP($R513,Capa!$A:$AJ,AV$5,0),0),IF(ISERROR(1/VLOOKUP($R513,Capa!$A:$AJ,AV$5,0)),0,1/VLOOKUP($R513,Capa!$A:$AJ,AV$5,0))))</f>
        <v/>
      </c>
      <c r="AW513" s="174" t="str">
        <f>IF(AW$6="","",IF(AW$3="Maior",iferror(VLOOKUP($R513,Capa!$A:$AJ,AW$5,0),0),IF(ISERROR(1/VLOOKUP($R513,Capa!$A:$AJ,AW$5,0)),0,1/VLOOKUP($R513,Capa!$A:$AJ,AW$5,0))))</f>
        <v/>
      </c>
      <c r="AX513" s="174" t="str">
        <f>IF(AX$6="","",IF(AX$3="Maior",iferror(VLOOKUP($R513,Capa!$A:$AJ,AX$5,0),0),IF(ISERROR(1/VLOOKUP($R513,Capa!$A:$AJ,AX$5,0)),0,1/VLOOKUP($R513,Capa!$A:$AJ,AX$5,0))))</f>
        <v/>
      </c>
      <c r="AY513" s="174" t="str">
        <f>IF(AY$6="","",IF(AY$3="Maior",iferror(VLOOKUP($R513,Capa!$A:$AJ,AY$5,0),0),IF(ISERROR(1/VLOOKUP($R513,Capa!$A:$AJ,AY$5,0)),0,1/VLOOKUP($R513,Capa!$A:$AJ,AY$5,0))))</f>
        <v/>
      </c>
      <c r="AZ513" s="174" t="str">
        <f>IF(AZ$6="","",IF(AZ$3="Maior",iferror(VLOOKUP($R513,Capa!$A:$AJ,AZ$5,0),0),IF(ISERROR(1/VLOOKUP($R513,Capa!$A:$AJ,AZ$5,0)),0,1/VLOOKUP($R513,Capa!$A:$AJ,AZ$5,0))))</f>
        <v/>
      </c>
      <c r="BA513" s="174" t="str">
        <f>IF(BA$6="","",IF(BA$3="Maior",iferror(VLOOKUP($R513,Capa!$A:$AJ,BA$5,0),0),IF(ISERROR(1/VLOOKUP($R513,Capa!$A:$AJ,BA$5,0)),0,1/VLOOKUP($R513,Capa!$A:$AJ,BA$5,0))))</f>
        <v/>
      </c>
      <c r="BB513" s="174" t="str">
        <f>IF(BB$6="","",IF(BB$3="Maior",iferror(VLOOKUP($R513,Capa!$A:$AJ,BB$5,0),0),IF(ISERROR(1/VLOOKUP($R513,Capa!$A:$AJ,BB$5,0)),0,1/VLOOKUP($R513,Capa!$A:$AJ,BB$5,0))))</f>
        <v/>
      </c>
      <c r="BC513" s="174" t="str">
        <f>IF(BC$6="","",IF(BC$3="Maior",iferror(VLOOKUP($R513,Capa!$A:$AJ,BC$5,0),0),IF(ISERROR(1/VLOOKUP($R513,Capa!$A:$AJ,BC$5,0)),0,1/VLOOKUP($R513,Capa!$A:$AJ,BC$5,0))))</f>
        <v/>
      </c>
      <c r="BD513" s="174" t="str">
        <f>IF(BD$6="","",IF(BD$3="Maior",iferror(VLOOKUP($R513,Capa!$A:$AJ,BD$5,0),0),IF(ISERROR(1/VLOOKUP($R513,Capa!$A:$AJ,BD$5,0)),0,1/VLOOKUP($R513,Capa!$A:$AJ,BD$5,0))))</f>
        <v/>
      </c>
      <c r="BE513" s="174" t="str">
        <f>IF(BE$6="","",IF(BE$3="Maior",iferror(VLOOKUP($R513,Capa!$A:$AJ,BE$5,0),0),IF(ISERROR(1/VLOOKUP($R513,Capa!$A:$AJ,BE$5,0)),0,1/VLOOKUP($R513,Capa!$A:$AJ,BE$5,0))))</f>
        <v/>
      </c>
      <c r="BF513" s="174" t="str">
        <f>IF(BF$6="","",IF(BF$3="Maior",iferror(VLOOKUP($R513,Capa!$A:$AJ,BF$5,0),0),IF(ISERROR(1/VLOOKUP($R513,Capa!$A:$AJ,BF$5,0)),0,1/VLOOKUP($R513,Capa!$A:$AJ,BF$5,0))))</f>
        <v/>
      </c>
      <c r="BG513" s="174" t="str">
        <f>IF(BG$6="","",IF(BG$3="Maior",iferror(VLOOKUP($R513,Capa!$A:$AJ,BG$5,0),0),IF(ISERROR(1/VLOOKUP($R513,Capa!$A:$AJ,BG$5,0)),0,1/VLOOKUP($R513,Capa!$A:$AJ,BG$5,0))))</f>
        <v/>
      </c>
      <c r="BH513" s="174" t="str">
        <f>IF(BH$6="","",IF(BH$3="Maior",iferror(VLOOKUP($R513,Capa!$A:$AJ,BH$5,0),0),IF(ISERROR(1/VLOOKUP($R513,Capa!$A:$AJ,BH$5,0)),0,1/VLOOKUP($R513,Capa!$A:$AJ,BH$5,0))))</f>
        <v/>
      </c>
      <c r="BI513" s="174" t="str">
        <f>IF(BI$6="","",IF(BI$3="Maior",iferror(VLOOKUP($R513,Capa!$A:$AJ,BI$5,0),0),IF(ISERROR(1/VLOOKUP($R513,Capa!$A:$AJ,BI$5,0)),0,1/VLOOKUP($R513,Capa!$A:$AJ,BI$5,0))))</f>
        <v/>
      </c>
      <c r="BJ513" s="174" t="str">
        <f>IF(BJ$6="","",IF(BJ$3="Maior",iferror(VLOOKUP($R513,Capa!$A:$AJ,BJ$5,0),0),IF(ISERROR(1/VLOOKUP($R513,Capa!$A:$AJ,BJ$5,0)),0,1/VLOOKUP($R513,Capa!$A:$AJ,BJ$5,0))))</f>
        <v/>
      </c>
      <c r="BK513" s="174" t="str">
        <f>IF(BK$6="","",IF(BK$3="Maior",iferror(VLOOKUP($R513,Capa!$A:$AJ,BK$5,0),0),IF(ISERROR(1/VLOOKUP($R513,Capa!$A:$AJ,BK$5,0)),0,1/VLOOKUP($R513,Capa!$A:$AJ,BK$5,0))))</f>
        <v/>
      </c>
      <c r="BL513" s="174" t="str">
        <f>IF(BL$6="","",IF(BL$3="Maior",iferror(VLOOKUP($R513,Capa!$A:$AJ,BL$5,0),0),IF(ISERROR(1/VLOOKUP($R513,Capa!$A:$AJ,BL$5,0)),0,1/VLOOKUP($R513,Capa!$A:$AJ,BL$5,0))))</f>
        <v/>
      </c>
      <c r="BM513" s="174" t="str">
        <f>IF(BM$6="","",IF(BM$3="Maior",iferror(VLOOKUP($R513,Capa!$A:$AJ,BM$5,0),0),IF(ISERROR(1/VLOOKUP($R513,Capa!$A:$AJ,BM$5,0)),0,1/VLOOKUP($R513,Capa!$A:$AJ,BM$5,0))))</f>
        <v/>
      </c>
      <c r="BN513" s="174" t="str">
        <f>IF(BN$6="","",IF(BN$3="Maior",iferror(VLOOKUP($R513,Capa!$A:$AJ,BN$5,0),0),IF(ISERROR(1/VLOOKUP($R513,Capa!$A:$AJ,BN$5,0)),0,1/VLOOKUP($R513,Capa!$A:$AJ,BN$5,0))))</f>
        <v/>
      </c>
      <c r="BO513" s="174" t="str">
        <f>IF(BO$6="","",IF(BO$3="Maior",iferror(VLOOKUP($R513,Capa!$A:$AJ,BO$5,0),0),IF(ISERROR(1/VLOOKUP($R513,Capa!$A:$AJ,BO$5,0)),0,1/VLOOKUP($R513,Capa!$A:$AJ,BO$5,0))))</f>
        <v/>
      </c>
      <c r="BP513" s="174" t="str">
        <f>IF(BP$6="","",IF(BP$3="Maior",iferror(VLOOKUP($R513,Capa!$A:$AJ,BP$5,0),0),IF(ISERROR(1/VLOOKUP($R513,Capa!$A:$AJ,BP$5,0)),0,1/VLOOKUP($R513,Capa!$A:$AJ,BP$5,0))))</f>
        <v/>
      </c>
      <c r="BQ513" s="174" t="str">
        <f>IF(BQ$6="","",IF(BQ$3="Maior",iferror(VLOOKUP($R513,Capa!$A:$AJ,BQ$5,0),0),IF(ISERROR(1/VLOOKUP($R513,Capa!$A:$AJ,BQ$5,0)),0,1/VLOOKUP($R513,Capa!$A:$AJ,BQ$5,0))))</f>
        <v/>
      </c>
      <c r="BR513" s="175"/>
      <c r="BS513" s="147"/>
    </row>
    <row r="514">
      <c r="H514" s="8">
        <v>508.0</v>
      </c>
      <c r="I514" s="165" t="str">
        <f t="shared" si="6"/>
        <v>BSLI4</v>
      </c>
      <c r="J514" s="166" t="str">
        <f>(VLOOKUP($I514,Capa!$A:$B,2,0))</f>
        <v>BRB-Banco de Brasilia SA Preference Shares</v>
      </c>
      <c r="K514" s="167" t="str">
        <f>VLOOKUP(left(I514,4),Setor!A:D,3,0)&amp;" | "&amp;VLOOKUP(left(I514,4),Setor!A:D,4,0)</f>
        <v>Financeiro | Intermediários Financeiros</v>
      </c>
      <c r="L514" s="168">
        <f>(VLOOKUP($I514,Capa!$A:$F,6,0))</f>
        <v>4.79</v>
      </c>
      <c r="M514" s="168">
        <f t="shared" si="7"/>
        <v>115045.1</v>
      </c>
      <c r="N514" s="11" t="str">
        <f>IFERROR(__xludf.DUMMYFUNCTION("(VLOOKUP($I514,Capa!$A:$H,7,0))"),"")</f>
        <v/>
      </c>
      <c r="O514" s="169">
        <f>(VLOOKUP($I514,Capa!$A:$H,8,0))</f>
        <v>-0.336565097</v>
      </c>
      <c r="P514" s="11" t="str">
        <f>IFERROR(__xludf.DUMMYFUNCTION("(VLOOKUP($I514,Capa!$A:$J,10,0))"),"")</f>
        <v/>
      </c>
      <c r="Q514" s="169">
        <f>(VLOOKUP($I514,Capa!$A:$K,11,0))</f>
        <v>-0.3078034682</v>
      </c>
      <c r="R514" s="45" t="str">
        <f>'Dados StatusInvest'!A509</f>
        <v>SANB11</v>
      </c>
      <c r="S514" s="170">
        <f t="shared" si="234"/>
        <v>614.0614</v>
      </c>
      <c r="T514" s="171">
        <f>VLOOKUP(R514,'Dados StatusInvest'!A:Z,26,0)</f>
        <v>178000000</v>
      </c>
      <c r="U514" s="172">
        <f t="shared" ref="U514:AS514" si="517">IF(AT514="","", RANK(AT514,AT$7:AT$626,0)+RANK(AT514,AT$7:AT$626,0)/10000)</f>
        <v>51.0051</v>
      </c>
      <c r="V514" s="172">
        <f t="shared" si="517"/>
        <v>563.0563</v>
      </c>
      <c r="W514" s="172" t="str">
        <f t="shared" si="517"/>
        <v/>
      </c>
      <c r="X514" s="172" t="str">
        <f t="shared" si="517"/>
        <v/>
      </c>
      <c r="Y514" s="172" t="str">
        <f t="shared" si="517"/>
        <v/>
      </c>
      <c r="Z514" s="172" t="str">
        <f t="shared" si="517"/>
        <v/>
      </c>
      <c r="AA514" s="172" t="str">
        <f t="shared" si="517"/>
        <v/>
      </c>
      <c r="AB514" s="172" t="str">
        <f t="shared" si="517"/>
        <v/>
      </c>
      <c r="AC514" s="172" t="str">
        <f t="shared" si="517"/>
        <v/>
      </c>
      <c r="AD514" s="172" t="str">
        <f t="shared" si="517"/>
        <v/>
      </c>
      <c r="AE514" s="172" t="str">
        <f t="shared" si="517"/>
        <v/>
      </c>
      <c r="AF514" s="172" t="str">
        <f t="shared" si="517"/>
        <v/>
      </c>
      <c r="AG514" s="172" t="str">
        <f t="shared" si="517"/>
        <v/>
      </c>
      <c r="AH514" s="172" t="str">
        <f t="shared" si="517"/>
        <v/>
      </c>
      <c r="AI514" s="172" t="str">
        <f t="shared" si="517"/>
        <v/>
      </c>
      <c r="AJ514" s="172" t="str">
        <f t="shared" si="517"/>
        <v/>
      </c>
      <c r="AK514" s="172" t="str">
        <f t="shared" si="517"/>
        <v/>
      </c>
      <c r="AL514" s="172" t="str">
        <f t="shared" si="517"/>
        <v/>
      </c>
      <c r="AM514" s="172" t="str">
        <f t="shared" si="517"/>
        <v/>
      </c>
      <c r="AN514" s="172" t="str">
        <f t="shared" si="517"/>
        <v/>
      </c>
      <c r="AO514" s="172" t="str">
        <f t="shared" si="517"/>
        <v/>
      </c>
      <c r="AP514" s="172" t="str">
        <f t="shared" si="517"/>
        <v/>
      </c>
      <c r="AQ514" s="172" t="str">
        <f t="shared" si="517"/>
        <v/>
      </c>
      <c r="AR514" s="172" t="str">
        <f t="shared" si="517"/>
        <v/>
      </c>
      <c r="AS514" s="172" t="str">
        <f t="shared" si="517"/>
        <v/>
      </c>
      <c r="AT514" s="173">
        <f>IF(AT$6="","",IF(AT$3="Maior",iferror(VLOOKUP($R514,Capa!$A:$AJ,AT$5,0),0),IF(ISERROR(1/VLOOKUP($R514,Capa!$A:$AJ,AT$5,0)),0,1/VLOOKUP($R514,Capa!$A:$AJ,AT$5,0))))</f>
        <v>0</v>
      </c>
      <c r="AU514" s="174">
        <f>IF(AU$6="","",IF(AU$3="Maior",iferror(VLOOKUP($R514,Capa!$A:$AJ,AU$5,0),0),IF(ISERROR(1/VLOOKUP($R514,Capa!$A:$AJ,AU$5,0)),0,1/VLOOKUP($R514,Capa!$A:$AJ,AU$5,0))))</f>
        <v>-6.94</v>
      </c>
      <c r="AV514" s="174" t="str">
        <f>IF(AV$6="","",IF(AV$3="Maior",iferror(VLOOKUP($R514,Capa!$A:$AJ,AV$5,0),0),IF(ISERROR(1/VLOOKUP($R514,Capa!$A:$AJ,AV$5,0)),0,1/VLOOKUP($R514,Capa!$A:$AJ,AV$5,0))))</f>
        <v/>
      </c>
      <c r="AW514" s="174" t="str">
        <f>IF(AW$6="","",IF(AW$3="Maior",iferror(VLOOKUP($R514,Capa!$A:$AJ,AW$5,0),0),IF(ISERROR(1/VLOOKUP($R514,Capa!$A:$AJ,AW$5,0)),0,1/VLOOKUP($R514,Capa!$A:$AJ,AW$5,0))))</f>
        <v/>
      </c>
      <c r="AX514" s="174" t="str">
        <f>IF(AX$6="","",IF(AX$3="Maior",iferror(VLOOKUP($R514,Capa!$A:$AJ,AX$5,0),0),IF(ISERROR(1/VLOOKUP($R514,Capa!$A:$AJ,AX$5,0)),0,1/VLOOKUP($R514,Capa!$A:$AJ,AX$5,0))))</f>
        <v/>
      </c>
      <c r="AY514" s="174" t="str">
        <f>IF(AY$6="","",IF(AY$3="Maior",iferror(VLOOKUP($R514,Capa!$A:$AJ,AY$5,0),0),IF(ISERROR(1/VLOOKUP($R514,Capa!$A:$AJ,AY$5,0)),0,1/VLOOKUP($R514,Capa!$A:$AJ,AY$5,0))))</f>
        <v/>
      </c>
      <c r="AZ514" s="174" t="str">
        <f>IF(AZ$6="","",IF(AZ$3="Maior",iferror(VLOOKUP($R514,Capa!$A:$AJ,AZ$5,0),0),IF(ISERROR(1/VLOOKUP($R514,Capa!$A:$AJ,AZ$5,0)),0,1/VLOOKUP($R514,Capa!$A:$AJ,AZ$5,0))))</f>
        <v/>
      </c>
      <c r="BA514" s="174" t="str">
        <f>IF(BA$6="","",IF(BA$3="Maior",iferror(VLOOKUP($R514,Capa!$A:$AJ,BA$5,0),0),IF(ISERROR(1/VLOOKUP($R514,Capa!$A:$AJ,BA$5,0)),0,1/VLOOKUP($R514,Capa!$A:$AJ,BA$5,0))))</f>
        <v/>
      </c>
      <c r="BB514" s="174" t="str">
        <f>IF(BB$6="","",IF(BB$3="Maior",iferror(VLOOKUP($R514,Capa!$A:$AJ,BB$5,0),0),IF(ISERROR(1/VLOOKUP($R514,Capa!$A:$AJ,BB$5,0)),0,1/VLOOKUP($R514,Capa!$A:$AJ,BB$5,0))))</f>
        <v/>
      </c>
      <c r="BC514" s="174" t="str">
        <f>IF(BC$6="","",IF(BC$3="Maior",iferror(VLOOKUP($R514,Capa!$A:$AJ,BC$5,0),0),IF(ISERROR(1/VLOOKUP($R514,Capa!$A:$AJ,BC$5,0)),0,1/VLOOKUP($R514,Capa!$A:$AJ,BC$5,0))))</f>
        <v/>
      </c>
      <c r="BD514" s="174" t="str">
        <f>IF(BD$6="","",IF(BD$3="Maior",iferror(VLOOKUP($R514,Capa!$A:$AJ,BD$5,0),0),IF(ISERROR(1/VLOOKUP($R514,Capa!$A:$AJ,BD$5,0)),0,1/VLOOKUP($R514,Capa!$A:$AJ,BD$5,0))))</f>
        <v/>
      </c>
      <c r="BE514" s="174" t="str">
        <f>IF(BE$6="","",IF(BE$3="Maior",iferror(VLOOKUP($R514,Capa!$A:$AJ,BE$5,0),0),IF(ISERROR(1/VLOOKUP($R514,Capa!$A:$AJ,BE$5,0)),0,1/VLOOKUP($R514,Capa!$A:$AJ,BE$5,0))))</f>
        <v/>
      </c>
      <c r="BF514" s="174" t="str">
        <f>IF(BF$6="","",IF(BF$3="Maior",iferror(VLOOKUP($R514,Capa!$A:$AJ,BF$5,0),0),IF(ISERROR(1/VLOOKUP($R514,Capa!$A:$AJ,BF$5,0)),0,1/VLOOKUP($R514,Capa!$A:$AJ,BF$5,0))))</f>
        <v/>
      </c>
      <c r="BG514" s="174" t="str">
        <f>IF(BG$6="","",IF(BG$3="Maior",iferror(VLOOKUP($R514,Capa!$A:$AJ,BG$5,0),0),IF(ISERROR(1/VLOOKUP($R514,Capa!$A:$AJ,BG$5,0)),0,1/VLOOKUP($R514,Capa!$A:$AJ,BG$5,0))))</f>
        <v/>
      </c>
      <c r="BH514" s="174" t="str">
        <f>IF(BH$6="","",IF(BH$3="Maior",iferror(VLOOKUP($R514,Capa!$A:$AJ,BH$5,0),0),IF(ISERROR(1/VLOOKUP($R514,Capa!$A:$AJ,BH$5,0)),0,1/VLOOKUP($R514,Capa!$A:$AJ,BH$5,0))))</f>
        <v/>
      </c>
      <c r="BI514" s="174" t="str">
        <f>IF(BI$6="","",IF(BI$3="Maior",iferror(VLOOKUP($R514,Capa!$A:$AJ,BI$5,0),0),IF(ISERROR(1/VLOOKUP($R514,Capa!$A:$AJ,BI$5,0)),0,1/VLOOKUP($R514,Capa!$A:$AJ,BI$5,0))))</f>
        <v/>
      </c>
      <c r="BJ514" s="174" t="str">
        <f>IF(BJ$6="","",IF(BJ$3="Maior",iferror(VLOOKUP($R514,Capa!$A:$AJ,BJ$5,0),0),IF(ISERROR(1/VLOOKUP($R514,Capa!$A:$AJ,BJ$5,0)),0,1/VLOOKUP($R514,Capa!$A:$AJ,BJ$5,0))))</f>
        <v/>
      </c>
      <c r="BK514" s="174" t="str">
        <f>IF(BK$6="","",IF(BK$3="Maior",iferror(VLOOKUP($R514,Capa!$A:$AJ,BK$5,0),0),IF(ISERROR(1/VLOOKUP($R514,Capa!$A:$AJ,BK$5,0)),0,1/VLOOKUP($R514,Capa!$A:$AJ,BK$5,0))))</f>
        <v/>
      </c>
      <c r="BL514" s="174" t="str">
        <f>IF(BL$6="","",IF(BL$3="Maior",iferror(VLOOKUP($R514,Capa!$A:$AJ,BL$5,0),0),IF(ISERROR(1/VLOOKUP($R514,Capa!$A:$AJ,BL$5,0)),0,1/VLOOKUP($R514,Capa!$A:$AJ,BL$5,0))))</f>
        <v/>
      </c>
      <c r="BM514" s="174" t="str">
        <f>IF(BM$6="","",IF(BM$3="Maior",iferror(VLOOKUP($R514,Capa!$A:$AJ,BM$5,0),0),IF(ISERROR(1/VLOOKUP($R514,Capa!$A:$AJ,BM$5,0)),0,1/VLOOKUP($R514,Capa!$A:$AJ,BM$5,0))))</f>
        <v/>
      </c>
      <c r="BN514" s="174" t="str">
        <f>IF(BN$6="","",IF(BN$3="Maior",iferror(VLOOKUP($R514,Capa!$A:$AJ,BN$5,0),0),IF(ISERROR(1/VLOOKUP($R514,Capa!$A:$AJ,BN$5,0)),0,1/VLOOKUP($R514,Capa!$A:$AJ,BN$5,0))))</f>
        <v/>
      </c>
      <c r="BO514" s="174" t="str">
        <f>IF(BO$6="","",IF(BO$3="Maior",iferror(VLOOKUP($R514,Capa!$A:$AJ,BO$5,0),0),IF(ISERROR(1/VLOOKUP($R514,Capa!$A:$AJ,BO$5,0)),0,1/VLOOKUP($R514,Capa!$A:$AJ,BO$5,0))))</f>
        <v/>
      </c>
      <c r="BP514" s="174" t="str">
        <f>IF(BP$6="","",IF(BP$3="Maior",iferror(VLOOKUP($R514,Capa!$A:$AJ,BP$5,0),0),IF(ISERROR(1/VLOOKUP($R514,Capa!$A:$AJ,BP$5,0)),0,1/VLOOKUP($R514,Capa!$A:$AJ,BP$5,0))))</f>
        <v/>
      </c>
      <c r="BQ514" s="174" t="str">
        <f>IF(BQ$6="","",IF(BQ$3="Maior",iferror(VLOOKUP($R514,Capa!$A:$AJ,BQ$5,0),0),IF(ISERROR(1/VLOOKUP($R514,Capa!$A:$AJ,BQ$5,0)),0,1/VLOOKUP($R514,Capa!$A:$AJ,BQ$5,0))))</f>
        <v/>
      </c>
      <c r="BR514" s="175"/>
      <c r="BS514" s="147"/>
    </row>
    <row r="515">
      <c r="H515" s="8">
        <v>509.0</v>
      </c>
      <c r="I515" s="165" t="str">
        <f t="shared" si="6"/>
        <v>BSLI4</v>
      </c>
      <c r="J515" s="166" t="str">
        <f>(VLOOKUP($I515,Capa!$A:$B,2,0))</f>
        <v>BRB-Banco de Brasilia SA Preference Shares</v>
      </c>
      <c r="K515" s="167" t="str">
        <f>VLOOKUP(left(I515,4),Setor!A:D,3,0)&amp;" | "&amp;VLOOKUP(left(I515,4),Setor!A:D,4,0)</f>
        <v>Financeiro | Intermediários Financeiros</v>
      </c>
      <c r="L515" s="168">
        <f>(VLOOKUP($I515,Capa!$A:$F,6,0))</f>
        <v>4.79</v>
      </c>
      <c r="M515" s="168">
        <f t="shared" si="7"/>
        <v>115045.1</v>
      </c>
      <c r="N515" s="11" t="str">
        <f>IFERROR(__xludf.DUMMYFUNCTION("(VLOOKUP($I515,Capa!$A:$H,7,0))"),"")</f>
        <v/>
      </c>
      <c r="O515" s="169">
        <f>(VLOOKUP($I515,Capa!$A:$H,8,0))</f>
        <v>-0.336565097</v>
      </c>
      <c r="P515" s="11" t="str">
        <f>IFERROR(__xludf.DUMMYFUNCTION("(VLOOKUP($I515,Capa!$A:$J,10,0))"),"")</f>
        <v/>
      </c>
      <c r="Q515" s="169">
        <f>(VLOOKUP($I515,Capa!$A:$K,11,0))</f>
        <v>-0.3078034682</v>
      </c>
      <c r="R515" s="45" t="str">
        <f>'Dados StatusInvest'!A510</f>
        <v>SANB3</v>
      </c>
      <c r="S515" s="170">
        <f t="shared" si="234"/>
        <v>614.0614</v>
      </c>
      <c r="T515" s="171">
        <f>VLOOKUP(R515,'Dados StatusInvest'!A:Z,26,0)</f>
        <v>1459605</v>
      </c>
      <c r="U515" s="172">
        <f t="shared" ref="U515:AS515" si="518">IF(AT515="","", RANK(AT515,AT$7:AT$626,0)+RANK(AT515,AT$7:AT$626,0)/10000)</f>
        <v>51.0051</v>
      </c>
      <c r="V515" s="172">
        <f t="shared" si="518"/>
        <v>563.0563</v>
      </c>
      <c r="W515" s="172" t="str">
        <f t="shared" si="518"/>
        <v/>
      </c>
      <c r="X515" s="172" t="str">
        <f t="shared" si="518"/>
        <v/>
      </c>
      <c r="Y515" s="172" t="str">
        <f t="shared" si="518"/>
        <v/>
      </c>
      <c r="Z515" s="172" t="str">
        <f t="shared" si="518"/>
        <v/>
      </c>
      <c r="AA515" s="172" t="str">
        <f t="shared" si="518"/>
        <v/>
      </c>
      <c r="AB515" s="172" t="str">
        <f t="shared" si="518"/>
        <v/>
      </c>
      <c r="AC515" s="172" t="str">
        <f t="shared" si="518"/>
        <v/>
      </c>
      <c r="AD515" s="172" t="str">
        <f t="shared" si="518"/>
        <v/>
      </c>
      <c r="AE515" s="172" t="str">
        <f t="shared" si="518"/>
        <v/>
      </c>
      <c r="AF515" s="172" t="str">
        <f t="shared" si="518"/>
        <v/>
      </c>
      <c r="AG515" s="172" t="str">
        <f t="shared" si="518"/>
        <v/>
      </c>
      <c r="AH515" s="172" t="str">
        <f t="shared" si="518"/>
        <v/>
      </c>
      <c r="AI515" s="172" t="str">
        <f t="shared" si="518"/>
        <v/>
      </c>
      <c r="AJ515" s="172" t="str">
        <f t="shared" si="518"/>
        <v/>
      </c>
      <c r="AK515" s="172" t="str">
        <f t="shared" si="518"/>
        <v/>
      </c>
      <c r="AL515" s="172" t="str">
        <f t="shared" si="518"/>
        <v/>
      </c>
      <c r="AM515" s="172" t="str">
        <f t="shared" si="518"/>
        <v/>
      </c>
      <c r="AN515" s="172" t="str">
        <f t="shared" si="518"/>
        <v/>
      </c>
      <c r="AO515" s="172" t="str">
        <f t="shared" si="518"/>
        <v/>
      </c>
      <c r="AP515" s="172" t="str">
        <f t="shared" si="518"/>
        <v/>
      </c>
      <c r="AQ515" s="172" t="str">
        <f t="shared" si="518"/>
        <v/>
      </c>
      <c r="AR515" s="172" t="str">
        <f t="shared" si="518"/>
        <v/>
      </c>
      <c r="AS515" s="172" t="str">
        <f t="shared" si="518"/>
        <v/>
      </c>
      <c r="AT515" s="173">
        <f>IF(AT$6="","",IF(AT$3="Maior",iferror(VLOOKUP($R515,Capa!$A:$AJ,AT$5,0),0),IF(ISERROR(1/VLOOKUP($R515,Capa!$A:$AJ,AT$5,0)),0,1/VLOOKUP($R515,Capa!$A:$AJ,AT$5,0))))</f>
        <v>0</v>
      </c>
      <c r="AU515" s="174">
        <f>IF(AU$6="","",IF(AU$3="Maior",iferror(VLOOKUP($R515,Capa!$A:$AJ,AU$5,0),0),IF(ISERROR(1/VLOOKUP($R515,Capa!$A:$AJ,AU$5,0)),0,1/VLOOKUP($R515,Capa!$A:$AJ,AU$5,0))))</f>
        <v>-6.94</v>
      </c>
      <c r="AV515" s="174" t="str">
        <f>IF(AV$6="","",IF(AV$3="Maior",iferror(VLOOKUP($R515,Capa!$A:$AJ,AV$5,0),0),IF(ISERROR(1/VLOOKUP($R515,Capa!$A:$AJ,AV$5,0)),0,1/VLOOKUP($R515,Capa!$A:$AJ,AV$5,0))))</f>
        <v/>
      </c>
      <c r="AW515" s="174" t="str">
        <f>IF(AW$6="","",IF(AW$3="Maior",iferror(VLOOKUP($R515,Capa!$A:$AJ,AW$5,0),0),IF(ISERROR(1/VLOOKUP($R515,Capa!$A:$AJ,AW$5,0)),0,1/VLOOKUP($R515,Capa!$A:$AJ,AW$5,0))))</f>
        <v/>
      </c>
      <c r="AX515" s="174" t="str">
        <f>IF(AX$6="","",IF(AX$3="Maior",iferror(VLOOKUP($R515,Capa!$A:$AJ,AX$5,0),0),IF(ISERROR(1/VLOOKUP($R515,Capa!$A:$AJ,AX$5,0)),0,1/VLOOKUP($R515,Capa!$A:$AJ,AX$5,0))))</f>
        <v/>
      </c>
      <c r="AY515" s="174" t="str">
        <f>IF(AY$6="","",IF(AY$3="Maior",iferror(VLOOKUP($R515,Capa!$A:$AJ,AY$5,0),0),IF(ISERROR(1/VLOOKUP($R515,Capa!$A:$AJ,AY$5,0)),0,1/VLOOKUP($R515,Capa!$A:$AJ,AY$5,0))))</f>
        <v/>
      </c>
      <c r="AZ515" s="174" t="str">
        <f>IF(AZ$6="","",IF(AZ$3="Maior",iferror(VLOOKUP($R515,Capa!$A:$AJ,AZ$5,0),0),IF(ISERROR(1/VLOOKUP($R515,Capa!$A:$AJ,AZ$5,0)),0,1/VLOOKUP($R515,Capa!$A:$AJ,AZ$5,0))))</f>
        <v/>
      </c>
      <c r="BA515" s="174" t="str">
        <f>IF(BA$6="","",IF(BA$3="Maior",iferror(VLOOKUP($R515,Capa!$A:$AJ,BA$5,0),0),IF(ISERROR(1/VLOOKUP($R515,Capa!$A:$AJ,BA$5,0)),0,1/VLOOKUP($R515,Capa!$A:$AJ,BA$5,0))))</f>
        <v/>
      </c>
      <c r="BB515" s="174" t="str">
        <f>IF(BB$6="","",IF(BB$3="Maior",iferror(VLOOKUP($R515,Capa!$A:$AJ,BB$5,0),0),IF(ISERROR(1/VLOOKUP($R515,Capa!$A:$AJ,BB$5,0)),0,1/VLOOKUP($R515,Capa!$A:$AJ,BB$5,0))))</f>
        <v/>
      </c>
      <c r="BC515" s="174" t="str">
        <f>IF(BC$6="","",IF(BC$3="Maior",iferror(VLOOKUP($R515,Capa!$A:$AJ,BC$5,0),0),IF(ISERROR(1/VLOOKUP($R515,Capa!$A:$AJ,BC$5,0)),0,1/VLOOKUP($R515,Capa!$A:$AJ,BC$5,0))))</f>
        <v/>
      </c>
      <c r="BD515" s="174" t="str">
        <f>IF(BD$6="","",IF(BD$3="Maior",iferror(VLOOKUP($R515,Capa!$A:$AJ,BD$5,0),0),IF(ISERROR(1/VLOOKUP($R515,Capa!$A:$AJ,BD$5,0)),0,1/VLOOKUP($R515,Capa!$A:$AJ,BD$5,0))))</f>
        <v/>
      </c>
      <c r="BE515" s="174" t="str">
        <f>IF(BE$6="","",IF(BE$3="Maior",iferror(VLOOKUP($R515,Capa!$A:$AJ,BE$5,0),0),IF(ISERROR(1/VLOOKUP($R515,Capa!$A:$AJ,BE$5,0)),0,1/VLOOKUP($R515,Capa!$A:$AJ,BE$5,0))))</f>
        <v/>
      </c>
      <c r="BF515" s="174" t="str">
        <f>IF(BF$6="","",IF(BF$3="Maior",iferror(VLOOKUP($R515,Capa!$A:$AJ,BF$5,0),0),IF(ISERROR(1/VLOOKUP($R515,Capa!$A:$AJ,BF$5,0)),0,1/VLOOKUP($R515,Capa!$A:$AJ,BF$5,0))))</f>
        <v/>
      </c>
      <c r="BG515" s="174" t="str">
        <f>IF(BG$6="","",IF(BG$3="Maior",iferror(VLOOKUP($R515,Capa!$A:$AJ,BG$5,0),0),IF(ISERROR(1/VLOOKUP($R515,Capa!$A:$AJ,BG$5,0)),0,1/VLOOKUP($R515,Capa!$A:$AJ,BG$5,0))))</f>
        <v/>
      </c>
      <c r="BH515" s="174" t="str">
        <f>IF(BH$6="","",IF(BH$3="Maior",iferror(VLOOKUP($R515,Capa!$A:$AJ,BH$5,0),0),IF(ISERROR(1/VLOOKUP($R515,Capa!$A:$AJ,BH$5,0)),0,1/VLOOKUP($R515,Capa!$A:$AJ,BH$5,0))))</f>
        <v/>
      </c>
      <c r="BI515" s="174" t="str">
        <f>IF(BI$6="","",IF(BI$3="Maior",iferror(VLOOKUP($R515,Capa!$A:$AJ,BI$5,0),0),IF(ISERROR(1/VLOOKUP($R515,Capa!$A:$AJ,BI$5,0)),0,1/VLOOKUP($R515,Capa!$A:$AJ,BI$5,0))))</f>
        <v/>
      </c>
      <c r="BJ515" s="174" t="str">
        <f>IF(BJ$6="","",IF(BJ$3="Maior",iferror(VLOOKUP($R515,Capa!$A:$AJ,BJ$5,0),0),IF(ISERROR(1/VLOOKUP($R515,Capa!$A:$AJ,BJ$5,0)),0,1/VLOOKUP($R515,Capa!$A:$AJ,BJ$5,0))))</f>
        <v/>
      </c>
      <c r="BK515" s="174" t="str">
        <f>IF(BK$6="","",IF(BK$3="Maior",iferror(VLOOKUP($R515,Capa!$A:$AJ,BK$5,0),0),IF(ISERROR(1/VLOOKUP($R515,Capa!$A:$AJ,BK$5,0)),0,1/VLOOKUP($R515,Capa!$A:$AJ,BK$5,0))))</f>
        <v/>
      </c>
      <c r="BL515" s="174" t="str">
        <f>IF(BL$6="","",IF(BL$3="Maior",iferror(VLOOKUP($R515,Capa!$A:$AJ,BL$5,0),0),IF(ISERROR(1/VLOOKUP($R515,Capa!$A:$AJ,BL$5,0)),0,1/VLOOKUP($R515,Capa!$A:$AJ,BL$5,0))))</f>
        <v/>
      </c>
      <c r="BM515" s="174" t="str">
        <f>IF(BM$6="","",IF(BM$3="Maior",iferror(VLOOKUP($R515,Capa!$A:$AJ,BM$5,0),0),IF(ISERROR(1/VLOOKUP($R515,Capa!$A:$AJ,BM$5,0)),0,1/VLOOKUP($R515,Capa!$A:$AJ,BM$5,0))))</f>
        <v/>
      </c>
      <c r="BN515" s="174" t="str">
        <f>IF(BN$6="","",IF(BN$3="Maior",iferror(VLOOKUP($R515,Capa!$A:$AJ,BN$5,0),0),IF(ISERROR(1/VLOOKUP($R515,Capa!$A:$AJ,BN$5,0)),0,1/VLOOKUP($R515,Capa!$A:$AJ,BN$5,0))))</f>
        <v/>
      </c>
      <c r="BO515" s="174" t="str">
        <f>IF(BO$6="","",IF(BO$3="Maior",iferror(VLOOKUP($R515,Capa!$A:$AJ,BO$5,0),0),IF(ISERROR(1/VLOOKUP($R515,Capa!$A:$AJ,BO$5,0)),0,1/VLOOKUP($R515,Capa!$A:$AJ,BO$5,0))))</f>
        <v/>
      </c>
      <c r="BP515" s="174" t="str">
        <f>IF(BP$6="","",IF(BP$3="Maior",iferror(VLOOKUP($R515,Capa!$A:$AJ,BP$5,0),0),IF(ISERROR(1/VLOOKUP($R515,Capa!$A:$AJ,BP$5,0)),0,1/VLOOKUP($R515,Capa!$A:$AJ,BP$5,0))))</f>
        <v/>
      </c>
      <c r="BQ515" s="174" t="str">
        <f>IF(BQ$6="","",IF(BQ$3="Maior",iferror(VLOOKUP($R515,Capa!$A:$AJ,BQ$5,0),0),IF(ISERROR(1/VLOOKUP($R515,Capa!$A:$AJ,BQ$5,0)),0,1/VLOOKUP($R515,Capa!$A:$AJ,BQ$5,0))))</f>
        <v/>
      </c>
      <c r="BR515" s="175"/>
      <c r="BS515" s="147"/>
    </row>
    <row r="516">
      <c r="H516" s="8">
        <v>510.0</v>
      </c>
      <c r="I516" s="165" t="str">
        <f t="shared" si="6"/>
        <v>BSLI3</v>
      </c>
      <c r="J516" s="166" t="str">
        <f>(VLOOKUP($I516,Capa!$A:$B,2,0))</f>
        <v>BRB-Banco de Brasilia SA</v>
      </c>
      <c r="K516" s="167" t="str">
        <f>VLOOKUP(left(I516,4),Setor!A:D,3,0)&amp;" | "&amp;VLOOKUP(left(I516,4),Setor!A:D,4,0)</f>
        <v>Financeiro | Intermediários Financeiros</v>
      </c>
      <c r="L516" s="168">
        <f>(VLOOKUP($I516,Capa!$A:$F,6,0))</f>
        <v>5.43</v>
      </c>
      <c r="M516" s="168">
        <f t="shared" si="7"/>
        <v>271538.4</v>
      </c>
      <c r="N516" s="11" t="str">
        <f>IFERROR(__xludf.DUMMYFUNCTION("(VLOOKUP($I516,Capa!$A:$H,7,0))"),"")</f>
        <v/>
      </c>
      <c r="O516" s="169">
        <f>(VLOOKUP($I516,Capa!$A:$H,8,0))</f>
        <v>-0.1722560976</v>
      </c>
      <c r="P516" s="11" t="str">
        <f>IFERROR(__xludf.DUMMYFUNCTION("(VLOOKUP($I516,Capa!$A:$J,10,0))"),"")</f>
        <v/>
      </c>
      <c r="Q516" s="169">
        <f>(VLOOKUP($I516,Capa!$A:$K,11,0))</f>
        <v>-0.2489626556</v>
      </c>
      <c r="R516" s="45" t="str">
        <f>'Dados StatusInvest'!A511</f>
        <v>SANB4</v>
      </c>
      <c r="S516" s="170">
        <f t="shared" si="234"/>
        <v>614.0614</v>
      </c>
      <c r="T516" s="171">
        <f>VLOOKUP(R516,'Dados StatusInvest'!A:Z,26,0)</f>
        <v>1824570</v>
      </c>
      <c r="U516" s="172">
        <f t="shared" ref="U516:AS516" si="519">IF(AT516="","", RANK(AT516,AT$7:AT$626,0)+RANK(AT516,AT$7:AT$626,0)/10000)</f>
        <v>51.0051</v>
      </c>
      <c r="V516" s="172">
        <f t="shared" si="519"/>
        <v>563.0563</v>
      </c>
      <c r="W516" s="172" t="str">
        <f t="shared" si="519"/>
        <v/>
      </c>
      <c r="X516" s="172" t="str">
        <f t="shared" si="519"/>
        <v/>
      </c>
      <c r="Y516" s="172" t="str">
        <f t="shared" si="519"/>
        <v/>
      </c>
      <c r="Z516" s="172" t="str">
        <f t="shared" si="519"/>
        <v/>
      </c>
      <c r="AA516" s="172" t="str">
        <f t="shared" si="519"/>
        <v/>
      </c>
      <c r="AB516" s="172" t="str">
        <f t="shared" si="519"/>
        <v/>
      </c>
      <c r="AC516" s="172" t="str">
        <f t="shared" si="519"/>
        <v/>
      </c>
      <c r="AD516" s="172" t="str">
        <f t="shared" si="519"/>
        <v/>
      </c>
      <c r="AE516" s="172" t="str">
        <f t="shared" si="519"/>
        <v/>
      </c>
      <c r="AF516" s="172" t="str">
        <f t="shared" si="519"/>
        <v/>
      </c>
      <c r="AG516" s="172" t="str">
        <f t="shared" si="519"/>
        <v/>
      </c>
      <c r="AH516" s="172" t="str">
        <f t="shared" si="519"/>
        <v/>
      </c>
      <c r="AI516" s="172" t="str">
        <f t="shared" si="519"/>
        <v/>
      </c>
      <c r="AJ516" s="172" t="str">
        <f t="shared" si="519"/>
        <v/>
      </c>
      <c r="AK516" s="172" t="str">
        <f t="shared" si="519"/>
        <v/>
      </c>
      <c r="AL516" s="172" t="str">
        <f t="shared" si="519"/>
        <v/>
      </c>
      <c r="AM516" s="172" t="str">
        <f t="shared" si="519"/>
        <v/>
      </c>
      <c r="AN516" s="172" t="str">
        <f t="shared" si="519"/>
        <v/>
      </c>
      <c r="AO516" s="172" t="str">
        <f t="shared" si="519"/>
        <v/>
      </c>
      <c r="AP516" s="172" t="str">
        <f t="shared" si="519"/>
        <v/>
      </c>
      <c r="AQ516" s="172" t="str">
        <f t="shared" si="519"/>
        <v/>
      </c>
      <c r="AR516" s="172" t="str">
        <f t="shared" si="519"/>
        <v/>
      </c>
      <c r="AS516" s="172" t="str">
        <f t="shared" si="519"/>
        <v/>
      </c>
      <c r="AT516" s="173">
        <f>IF(AT$6="","",IF(AT$3="Maior",iferror(VLOOKUP($R516,Capa!$A:$AJ,AT$5,0),0),IF(ISERROR(1/VLOOKUP($R516,Capa!$A:$AJ,AT$5,0)),0,1/VLOOKUP($R516,Capa!$A:$AJ,AT$5,0))))</f>
        <v>0</v>
      </c>
      <c r="AU516" s="174">
        <f>IF(AU$6="","",IF(AU$3="Maior",iferror(VLOOKUP($R516,Capa!$A:$AJ,AU$5,0),0),IF(ISERROR(1/VLOOKUP($R516,Capa!$A:$AJ,AU$5,0)),0,1/VLOOKUP($R516,Capa!$A:$AJ,AU$5,0))))</f>
        <v>-6.94</v>
      </c>
      <c r="AV516" s="174" t="str">
        <f>IF(AV$6="","",IF(AV$3="Maior",iferror(VLOOKUP($R516,Capa!$A:$AJ,AV$5,0),0),IF(ISERROR(1/VLOOKUP($R516,Capa!$A:$AJ,AV$5,0)),0,1/VLOOKUP($R516,Capa!$A:$AJ,AV$5,0))))</f>
        <v/>
      </c>
      <c r="AW516" s="174" t="str">
        <f>IF(AW$6="","",IF(AW$3="Maior",iferror(VLOOKUP($R516,Capa!$A:$AJ,AW$5,0),0),IF(ISERROR(1/VLOOKUP($R516,Capa!$A:$AJ,AW$5,0)),0,1/VLOOKUP($R516,Capa!$A:$AJ,AW$5,0))))</f>
        <v/>
      </c>
      <c r="AX516" s="174" t="str">
        <f>IF(AX$6="","",IF(AX$3="Maior",iferror(VLOOKUP($R516,Capa!$A:$AJ,AX$5,0),0),IF(ISERROR(1/VLOOKUP($R516,Capa!$A:$AJ,AX$5,0)),0,1/VLOOKUP($R516,Capa!$A:$AJ,AX$5,0))))</f>
        <v/>
      </c>
      <c r="AY516" s="174" t="str">
        <f>IF(AY$6="","",IF(AY$3="Maior",iferror(VLOOKUP($R516,Capa!$A:$AJ,AY$5,0),0),IF(ISERROR(1/VLOOKUP($R516,Capa!$A:$AJ,AY$5,0)),0,1/VLOOKUP($R516,Capa!$A:$AJ,AY$5,0))))</f>
        <v/>
      </c>
      <c r="AZ516" s="174" t="str">
        <f>IF(AZ$6="","",IF(AZ$3="Maior",iferror(VLOOKUP($R516,Capa!$A:$AJ,AZ$5,0),0),IF(ISERROR(1/VLOOKUP($R516,Capa!$A:$AJ,AZ$5,0)),0,1/VLOOKUP($R516,Capa!$A:$AJ,AZ$5,0))))</f>
        <v/>
      </c>
      <c r="BA516" s="174" t="str">
        <f>IF(BA$6="","",IF(BA$3="Maior",iferror(VLOOKUP($R516,Capa!$A:$AJ,BA$5,0),0),IF(ISERROR(1/VLOOKUP($R516,Capa!$A:$AJ,BA$5,0)),0,1/VLOOKUP($R516,Capa!$A:$AJ,BA$5,0))))</f>
        <v/>
      </c>
      <c r="BB516" s="174" t="str">
        <f>IF(BB$6="","",IF(BB$3="Maior",iferror(VLOOKUP($R516,Capa!$A:$AJ,BB$5,0),0),IF(ISERROR(1/VLOOKUP($R516,Capa!$A:$AJ,BB$5,0)),0,1/VLOOKUP($R516,Capa!$A:$AJ,BB$5,0))))</f>
        <v/>
      </c>
      <c r="BC516" s="174" t="str">
        <f>IF(BC$6="","",IF(BC$3="Maior",iferror(VLOOKUP($R516,Capa!$A:$AJ,BC$5,0),0),IF(ISERROR(1/VLOOKUP($R516,Capa!$A:$AJ,BC$5,0)),0,1/VLOOKUP($R516,Capa!$A:$AJ,BC$5,0))))</f>
        <v/>
      </c>
      <c r="BD516" s="174" t="str">
        <f>IF(BD$6="","",IF(BD$3="Maior",iferror(VLOOKUP($R516,Capa!$A:$AJ,BD$5,0),0),IF(ISERROR(1/VLOOKUP($R516,Capa!$A:$AJ,BD$5,0)),0,1/VLOOKUP($R516,Capa!$A:$AJ,BD$5,0))))</f>
        <v/>
      </c>
      <c r="BE516" s="174" t="str">
        <f>IF(BE$6="","",IF(BE$3="Maior",iferror(VLOOKUP($R516,Capa!$A:$AJ,BE$5,0),0),IF(ISERROR(1/VLOOKUP($R516,Capa!$A:$AJ,BE$5,0)),0,1/VLOOKUP($R516,Capa!$A:$AJ,BE$5,0))))</f>
        <v/>
      </c>
      <c r="BF516" s="174" t="str">
        <f>IF(BF$6="","",IF(BF$3="Maior",iferror(VLOOKUP($R516,Capa!$A:$AJ,BF$5,0),0),IF(ISERROR(1/VLOOKUP($R516,Capa!$A:$AJ,BF$5,0)),0,1/VLOOKUP($R516,Capa!$A:$AJ,BF$5,0))))</f>
        <v/>
      </c>
      <c r="BG516" s="174" t="str">
        <f>IF(BG$6="","",IF(BG$3="Maior",iferror(VLOOKUP($R516,Capa!$A:$AJ,BG$5,0),0),IF(ISERROR(1/VLOOKUP($R516,Capa!$A:$AJ,BG$5,0)),0,1/VLOOKUP($R516,Capa!$A:$AJ,BG$5,0))))</f>
        <v/>
      </c>
      <c r="BH516" s="174" t="str">
        <f>IF(BH$6="","",IF(BH$3="Maior",iferror(VLOOKUP($R516,Capa!$A:$AJ,BH$5,0),0),IF(ISERROR(1/VLOOKUP($R516,Capa!$A:$AJ,BH$5,0)),0,1/VLOOKUP($R516,Capa!$A:$AJ,BH$5,0))))</f>
        <v/>
      </c>
      <c r="BI516" s="174" t="str">
        <f>IF(BI$6="","",IF(BI$3="Maior",iferror(VLOOKUP($R516,Capa!$A:$AJ,BI$5,0),0),IF(ISERROR(1/VLOOKUP($R516,Capa!$A:$AJ,BI$5,0)),0,1/VLOOKUP($R516,Capa!$A:$AJ,BI$5,0))))</f>
        <v/>
      </c>
      <c r="BJ516" s="174" t="str">
        <f>IF(BJ$6="","",IF(BJ$3="Maior",iferror(VLOOKUP($R516,Capa!$A:$AJ,BJ$5,0),0),IF(ISERROR(1/VLOOKUP($R516,Capa!$A:$AJ,BJ$5,0)),0,1/VLOOKUP($R516,Capa!$A:$AJ,BJ$5,0))))</f>
        <v/>
      </c>
      <c r="BK516" s="174" t="str">
        <f>IF(BK$6="","",IF(BK$3="Maior",iferror(VLOOKUP($R516,Capa!$A:$AJ,BK$5,0),0),IF(ISERROR(1/VLOOKUP($R516,Capa!$A:$AJ,BK$5,0)),0,1/VLOOKUP($R516,Capa!$A:$AJ,BK$5,0))))</f>
        <v/>
      </c>
      <c r="BL516" s="174" t="str">
        <f>IF(BL$6="","",IF(BL$3="Maior",iferror(VLOOKUP($R516,Capa!$A:$AJ,BL$5,0),0),IF(ISERROR(1/VLOOKUP($R516,Capa!$A:$AJ,BL$5,0)),0,1/VLOOKUP($R516,Capa!$A:$AJ,BL$5,0))))</f>
        <v/>
      </c>
      <c r="BM516" s="174" t="str">
        <f>IF(BM$6="","",IF(BM$3="Maior",iferror(VLOOKUP($R516,Capa!$A:$AJ,BM$5,0),0),IF(ISERROR(1/VLOOKUP($R516,Capa!$A:$AJ,BM$5,0)),0,1/VLOOKUP($R516,Capa!$A:$AJ,BM$5,0))))</f>
        <v/>
      </c>
      <c r="BN516" s="174" t="str">
        <f>IF(BN$6="","",IF(BN$3="Maior",iferror(VLOOKUP($R516,Capa!$A:$AJ,BN$5,0),0),IF(ISERROR(1/VLOOKUP($R516,Capa!$A:$AJ,BN$5,0)),0,1/VLOOKUP($R516,Capa!$A:$AJ,BN$5,0))))</f>
        <v/>
      </c>
      <c r="BO516" s="174" t="str">
        <f>IF(BO$6="","",IF(BO$3="Maior",iferror(VLOOKUP($R516,Capa!$A:$AJ,BO$5,0),0),IF(ISERROR(1/VLOOKUP($R516,Capa!$A:$AJ,BO$5,0)),0,1/VLOOKUP($R516,Capa!$A:$AJ,BO$5,0))))</f>
        <v/>
      </c>
      <c r="BP516" s="174" t="str">
        <f>IF(BP$6="","",IF(BP$3="Maior",iferror(VLOOKUP($R516,Capa!$A:$AJ,BP$5,0),0),IF(ISERROR(1/VLOOKUP($R516,Capa!$A:$AJ,BP$5,0)),0,1/VLOOKUP($R516,Capa!$A:$AJ,BP$5,0))))</f>
        <v/>
      </c>
      <c r="BQ516" s="174" t="str">
        <f>IF(BQ$6="","",IF(BQ$3="Maior",iferror(VLOOKUP($R516,Capa!$A:$AJ,BQ$5,0),0),IF(ISERROR(1/VLOOKUP($R516,Capa!$A:$AJ,BQ$5,0)),0,1/VLOOKUP($R516,Capa!$A:$AJ,BQ$5,0))))</f>
        <v/>
      </c>
      <c r="BR516" s="175"/>
      <c r="BS516" s="147"/>
    </row>
    <row r="517">
      <c r="H517" s="8">
        <v>511.0</v>
      </c>
      <c r="I517" s="165" t="str">
        <f t="shared" si="6"/>
        <v>RPMG3</v>
      </c>
      <c r="J517" s="166" t="str">
        <f>(VLOOKUP($I517,Capa!$A:$B,2,0))</f>
        <v>Refinaria de Petroleos d Mng S em Rcp Jd</v>
      </c>
      <c r="K517" s="167" t="str">
        <f>VLOOKUP(left(I517,4),Setor!A:D,3,0)&amp;" | "&amp;VLOOKUP(left(I517,4),Setor!A:D,4,0)</f>
        <v>Petróleo, Gás e Biocombustíveis | Petróleo, Gás e Biocombustíveis</v>
      </c>
      <c r="L517" s="168">
        <f>(VLOOKUP($I517,Capa!$A:$F,6,0))</f>
        <v>2.28</v>
      </c>
      <c r="M517" s="168">
        <f t="shared" si="7"/>
        <v>9988.85</v>
      </c>
      <c r="N517" s="11" t="str">
        <f>IFERROR(__xludf.DUMMYFUNCTION("(VLOOKUP($I517,Capa!$A:$H,7,0))"),"")</f>
        <v/>
      </c>
      <c r="O517" s="169">
        <f>(VLOOKUP($I517,Capa!$A:$H,8,0))</f>
        <v>0.09615384615</v>
      </c>
      <c r="P517" s="11" t="str">
        <f>IFERROR(__xludf.DUMMYFUNCTION("(VLOOKUP($I517,Capa!$A:$J,10,0))"),"")</f>
        <v/>
      </c>
      <c r="Q517" s="169">
        <f>(VLOOKUP($I517,Capa!$A:$K,11,0))</f>
        <v>-0.2055749129</v>
      </c>
      <c r="R517" s="45" t="str">
        <f>'Dados StatusInvest'!A512</f>
        <v>SAPR11</v>
      </c>
      <c r="S517" s="170">
        <f t="shared" si="234"/>
        <v>540.054</v>
      </c>
      <c r="T517" s="171">
        <f>VLOOKUP(R517,'Dados StatusInvest'!A:Z,26,0)</f>
        <v>61269908</v>
      </c>
      <c r="U517" s="172">
        <f t="shared" ref="U517:AS517" si="520">IF(AT517="","", RANK(AT517,AT$7:AT$626,0)+RANK(AT517,AT$7:AT$626,0)/10000)</f>
        <v>364.0364</v>
      </c>
      <c r="V517" s="172">
        <f t="shared" si="520"/>
        <v>176.0176</v>
      </c>
      <c r="W517" s="172" t="str">
        <f t="shared" si="520"/>
        <v/>
      </c>
      <c r="X517" s="172" t="str">
        <f t="shared" si="520"/>
        <v/>
      </c>
      <c r="Y517" s="172" t="str">
        <f t="shared" si="520"/>
        <v/>
      </c>
      <c r="Z517" s="172" t="str">
        <f t="shared" si="520"/>
        <v/>
      </c>
      <c r="AA517" s="172" t="str">
        <f t="shared" si="520"/>
        <v/>
      </c>
      <c r="AB517" s="172" t="str">
        <f t="shared" si="520"/>
        <v/>
      </c>
      <c r="AC517" s="172" t="str">
        <f t="shared" si="520"/>
        <v/>
      </c>
      <c r="AD517" s="172" t="str">
        <f t="shared" si="520"/>
        <v/>
      </c>
      <c r="AE517" s="172" t="str">
        <f t="shared" si="520"/>
        <v/>
      </c>
      <c r="AF517" s="172" t="str">
        <f t="shared" si="520"/>
        <v/>
      </c>
      <c r="AG517" s="172" t="str">
        <f t="shared" si="520"/>
        <v/>
      </c>
      <c r="AH517" s="172" t="str">
        <f t="shared" si="520"/>
        <v/>
      </c>
      <c r="AI517" s="172" t="str">
        <f t="shared" si="520"/>
        <v/>
      </c>
      <c r="AJ517" s="172" t="str">
        <f t="shared" si="520"/>
        <v/>
      </c>
      <c r="AK517" s="172" t="str">
        <f t="shared" si="520"/>
        <v/>
      </c>
      <c r="AL517" s="172" t="str">
        <f t="shared" si="520"/>
        <v/>
      </c>
      <c r="AM517" s="172" t="str">
        <f t="shared" si="520"/>
        <v/>
      </c>
      <c r="AN517" s="172" t="str">
        <f t="shared" si="520"/>
        <v/>
      </c>
      <c r="AO517" s="172" t="str">
        <f t="shared" si="520"/>
        <v/>
      </c>
      <c r="AP517" s="172" t="str">
        <f t="shared" si="520"/>
        <v/>
      </c>
      <c r="AQ517" s="172" t="str">
        <f t="shared" si="520"/>
        <v/>
      </c>
      <c r="AR517" s="172" t="str">
        <f t="shared" si="520"/>
        <v/>
      </c>
      <c r="AS517" s="172" t="str">
        <f t="shared" si="520"/>
        <v/>
      </c>
      <c r="AT517" s="173">
        <f>IF(AT$6="","",IF(AT$3="Maior",iferror(VLOOKUP($R517,Capa!$A:$AJ,AT$5,0),0),IF(ISERROR(1/VLOOKUP($R517,Capa!$A:$AJ,AT$5,0)),0,1/VLOOKUP($R517,Capa!$A:$AJ,AT$5,0))))</f>
        <v>-1.099483095</v>
      </c>
      <c r="AU517" s="174">
        <f>IF(AU$6="","",IF(AU$3="Maior",iferror(VLOOKUP($R517,Capa!$A:$AJ,AU$5,0),0),IF(ISERROR(1/VLOOKUP($R517,Capa!$A:$AJ,AU$5,0)),0,1/VLOOKUP($R517,Capa!$A:$AJ,AU$5,0))))</f>
        <v>14.56</v>
      </c>
      <c r="AV517" s="174" t="str">
        <f>IF(AV$6="","",IF(AV$3="Maior",iferror(VLOOKUP($R517,Capa!$A:$AJ,AV$5,0),0),IF(ISERROR(1/VLOOKUP($R517,Capa!$A:$AJ,AV$5,0)),0,1/VLOOKUP($R517,Capa!$A:$AJ,AV$5,0))))</f>
        <v/>
      </c>
      <c r="AW517" s="174" t="str">
        <f>IF(AW$6="","",IF(AW$3="Maior",iferror(VLOOKUP($R517,Capa!$A:$AJ,AW$5,0),0),IF(ISERROR(1/VLOOKUP($R517,Capa!$A:$AJ,AW$5,0)),0,1/VLOOKUP($R517,Capa!$A:$AJ,AW$5,0))))</f>
        <v/>
      </c>
      <c r="AX517" s="174" t="str">
        <f>IF(AX$6="","",IF(AX$3="Maior",iferror(VLOOKUP($R517,Capa!$A:$AJ,AX$5,0),0),IF(ISERROR(1/VLOOKUP($R517,Capa!$A:$AJ,AX$5,0)),0,1/VLOOKUP($R517,Capa!$A:$AJ,AX$5,0))))</f>
        <v/>
      </c>
      <c r="AY517" s="174" t="str">
        <f>IF(AY$6="","",IF(AY$3="Maior",iferror(VLOOKUP($R517,Capa!$A:$AJ,AY$5,0),0),IF(ISERROR(1/VLOOKUP($R517,Capa!$A:$AJ,AY$5,0)),0,1/VLOOKUP($R517,Capa!$A:$AJ,AY$5,0))))</f>
        <v/>
      </c>
      <c r="AZ517" s="174" t="str">
        <f>IF(AZ$6="","",IF(AZ$3="Maior",iferror(VLOOKUP($R517,Capa!$A:$AJ,AZ$5,0),0),IF(ISERROR(1/VLOOKUP($R517,Capa!$A:$AJ,AZ$5,0)),0,1/VLOOKUP($R517,Capa!$A:$AJ,AZ$5,0))))</f>
        <v/>
      </c>
      <c r="BA517" s="174" t="str">
        <f>IF(BA$6="","",IF(BA$3="Maior",iferror(VLOOKUP($R517,Capa!$A:$AJ,BA$5,0),0),IF(ISERROR(1/VLOOKUP($R517,Capa!$A:$AJ,BA$5,0)),0,1/VLOOKUP($R517,Capa!$A:$AJ,BA$5,0))))</f>
        <v/>
      </c>
      <c r="BB517" s="174" t="str">
        <f>IF(BB$6="","",IF(BB$3="Maior",iferror(VLOOKUP($R517,Capa!$A:$AJ,BB$5,0),0),IF(ISERROR(1/VLOOKUP($R517,Capa!$A:$AJ,BB$5,0)),0,1/VLOOKUP($R517,Capa!$A:$AJ,BB$5,0))))</f>
        <v/>
      </c>
      <c r="BC517" s="174" t="str">
        <f>IF(BC$6="","",IF(BC$3="Maior",iferror(VLOOKUP($R517,Capa!$A:$AJ,BC$5,0),0),IF(ISERROR(1/VLOOKUP($R517,Capa!$A:$AJ,BC$5,0)),0,1/VLOOKUP($R517,Capa!$A:$AJ,BC$5,0))))</f>
        <v/>
      </c>
      <c r="BD517" s="174" t="str">
        <f>IF(BD$6="","",IF(BD$3="Maior",iferror(VLOOKUP($R517,Capa!$A:$AJ,BD$5,0),0),IF(ISERROR(1/VLOOKUP($R517,Capa!$A:$AJ,BD$5,0)),0,1/VLOOKUP($R517,Capa!$A:$AJ,BD$5,0))))</f>
        <v/>
      </c>
      <c r="BE517" s="174" t="str">
        <f>IF(BE$6="","",IF(BE$3="Maior",iferror(VLOOKUP($R517,Capa!$A:$AJ,BE$5,0),0),IF(ISERROR(1/VLOOKUP($R517,Capa!$A:$AJ,BE$5,0)),0,1/VLOOKUP($R517,Capa!$A:$AJ,BE$5,0))))</f>
        <v/>
      </c>
      <c r="BF517" s="174" t="str">
        <f>IF(BF$6="","",IF(BF$3="Maior",iferror(VLOOKUP($R517,Capa!$A:$AJ,BF$5,0),0),IF(ISERROR(1/VLOOKUP($R517,Capa!$A:$AJ,BF$5,0)),0,1/VLOOKUP($R517,Capa!$A:$AJ,BF$5,0))))</f>
        <v/>
      </c>
      <c r="BG517" s="174" t="str">
        <f>IF(BG$6="","",IF(BG$3="Maior",iferror(VLOOKUP($R517,Capa!$A:$AJ,BG$5,0),0),IF(ISERROR(1/VLOOKUP($R517,Capa!$A:$AJ,BG$5,0)),0,1/VLOOKUP($R517,Capa!$A:$AJ,BG$5,0))))</f>
        <v/>
      </c>
      <c r="BH517" s="174" t="str">
        <f>IF(BH$6="","",IF(BH$3="Maior",iferror(VLOOKUP($R517,Capa!$A:$AJ,BH$5,0),0),IF(ISERROR(1/VLOOKUP($R517,Capa!$A:$AJ,BH$5,0)),0,1/VLOOKUP($R517,Capa!$A:$AJ,BH$5,0))))</f>
        <v/>
      </c>
      <c r="BI517" s="174" t="str">
        <f>IF(BI$6="","",IF(BI$3="Maior",iferror(VLOOKUP($R517,Capa!$A:$AJ,BI$5,0),0),IF(ISERROR(1/VLOOKUP($R517,Capa!$A:$AJ,BI$5,0)),0,1/VLOOKUP($R517,Capa!$A:$AJ,BI$5,0))))</f>
        <v/>
      </c>
      <c r="BJ517" s="174" t="str">
        <f>IF(BJ$6="","",IF(BJ$3="Maior",iferror(VLOOKUP($R517,Capa!$A:$AJ,BJ$5,0),0),IF(ISERROR(1/VLOOKUP($R517,Capa!$A:$AJ,BJ$5,0)),0,1/VLOOKUP($R517,Capa!$A:$AJ,BJ$5,0))))</f>
        <v/>
      </c>
      <c r="BK517" s="174" t="str">
        <f>IF(BK$6="","",IF(BK$3="Maior",iferror(VLOOKUP($R517,Capa!$A:$AJ,BK$5,0),0),IF(ISERROR(1/VLOOKUP($R517,Capa!$A:$AJ,BK$5,0)),0,1/VLOOKUP($R517,Capa!$A:$AJ,BK$5,0))))</f>
        <v/>
      </c>
      <c r="BL517" s="174" t="str">
        <f>IF(BL$6="","",IF(BL$3="Maior",iferror(VLOOKUP($R517,Capa!$A:$AJ,BL$5,0),0),IF(ISERROR(1/VLOOKUP($R517,Capa!$A:$AJ,BL$5,0)),0,1/VLOOKUP($R517,Capa!$A:$AJ,BL$5,0))))</f>
        <v/>
      </c>
      <c r="BM517" s="174" t="str">
        <f>IF(BM$6="","",IF(BM$3="Maior",iferror(VLOOKUP($R517,Capa!$A:$AJ,BM$5,0),0),IF(ISERROR(1/VLOOKUP($R517,Capa!$A:$AJ,BM$5,0)),0,1/VLOOKUP($R517,Capa!$A:$AJ,BM$5,0))))</f>
        <v/>
      </c>
      <c r="BN517" s="174" t="str">
        <f>IF(BN$6="","",IF(BN$3="Maior",iferror(VLOOKUP($R517,Capa!$A:$AJ,BN$5,0),0),IF(ISERROR(1/VLOOKUP($R517,Capa!$A:$AJ,BN$5,0)),0,1/VLOOKUP($R517,Capa!$A:$AJ,BN$5,0))))</f>
        <v/>
      </c>
      <c r="BO517" s="174" t="str">
        <f>IF(BO$6="","",IF(BO$3="Maior",iferror(VLOOKUP($R517,Capa!$A:$AJ,BO$5,0),0),IF(ISERROR(1/VLOOKUP($R517,Capa!$A:$AJ,BO$5,0)),0,1/VLOOKUP($R517,Capa!$A:$AJ,BO$5,0))))</f>
        <v/>
      </c>
      <c r="BP517" s="174" t="str">
        <f>IF(BP$6="","",IF(BP$3="Maior",iferror(VLOOKUP($R517,Capa!$A:$AJ,BP$5,0),0),IF(ISERROR(1/VLOOKUP($R517,Capa!$A:$AJ,BP$5,0)),0,1/VLOOKUP($R517,Capa!$A:$AJ,BP$5,0))))</f>
        <v/>
      </c>
      <c r="BQ517" s="174" t="str">
        <f>IF(BQ$6="","",IF(BQ$3="Maior",iferror(VLOOKUP($R517,Capa!$A:$AJ,BQ$5,0),0),IF(ISERROR(1/VLOOKUP($R517,Capa!$A:$AJ,BQ$5,0)),0,1/VLOOKUP($R517,Capa!$A:$AJ,BQ$5,0))))</f>
        <v/>
      </c>
      <c r="BR517" s="175"/>
      <c r="BS517" s="147"/>
    </row>
    <row r="518">
      <c r="H518" s="8">
        <v>512.0</v>
      </c>
      <c r="I518" s="165" t="str">
        <f t="shared" si="6"/>
        <v>SNSY3</v>
      </c>
      <c r="J518" s="166" t="str">
        <f>(VLOOKUP($I518,Capa!$A:$B,2,0))</f>
        <v>Sansuy SA Industria d Plstc Em Rcpr Jdcl</v>
      </c>
      <c r="K518" s="167" t="str">
        <f>VLOOKUP(left(I518,4),Setor!A:D,3,0)&amp;" | "&amp;VLOOKUP(left(I518,4),Setor!A:D,4,0)</f>
        <v>Materiais Básicos | Materiais Diversos</v>
      </c>
      <c r="L518" s="168">
        <f>(VLOOKUP($I518,Capa!$A:$F,6,0))</f>
        <v>10.2</v>
      </c>
      <c r="M518" s="168">
        <f t="shared" si="7"/>
        <v>6559.5</v>
      </c>
      <c r="N518" s="177" t="str">
        <f>IFERROR(__xludf.DUMMYFUNCTION("(VLOOKUP($I518,Capa!$A:$H,7,0))"),"")</f>
        <v/>
      </c>
      <c r="O518" s="169" t="str">
        <f>(VLOOKUP($I518,Capa!$A:$H,8,0))</f>
        <v/>
      </c>
      <c r="P518" s="169" t="str">
        <f>IFERROR(__xludf.DUMMYFUNCTION("(VLOOKUP($I518,Capa!$A:$J,10,0))"),"")</f>
        <v/>
      </c>
      <c r="Q518" s="169" t="str">
        <f>(VLOOKUP($I518,Capa!$A:$K,11,0))</f>
        <v/>
      </c>
      <c r="R518" s="45" t="str">
        <f>'Dados StatusInvest'!A513</f>
        <v>SAPR3</v>
      </c>
      <c r="S518" s="170">
        <f t="shared" si="234"/>
        <v>504.0504</v>
      </c>
      <c r="T518" s="171">
        <f>VLOOKUP(R518,'Dados StatusInvest'!A:Z,26,0)</f>
        <v>2301775</v>
      </c>
      <c r="U518" s="172">
        <f t="shared" ref="U518:AS518" si="521">IF(AT518="","", RANK(AT518,AT$7:AT$626,0)+RANK(AT518,AT$7:AT$626,0)/10000)</f>
        <v>328.0328</v>
      </c>
      <c r="V518" s="172">
        <f t="shared" si="521"/>
        <v>176.0176</v>
      </c>
      <c r="W518" s="172" t="str">
        <f t="shared" si="521"/>
        <v/>
      </c>
      <c r="X518" s="172" t="str">
        <f t="shared" si="521"/>
        <v/>
      </c>
      <c r="Y518" s="172" t="str">
        <f t="shared" si="521"/>
        <v/>
      </c>
      <c r="Z518" s="172" t="str">
        <f t="shared" si="521"/>
        <v/>
      </c>
      <c r="AA518" s="172" t="str">
        <f t="shared" si="521"/>
        <v/>
      </c>
      <c r="AB518" s="172" t="str">
        <f t="shared" si="521"/>
        <v/>
      </c>
      <c r="AC518" s="172" t="str">
        <f t="shared" si="521"/>
        <v/>
      </c>
      <c r="AD518" s="172" t="str">
        <f t="shared" si="521"/>
        <v/>
      </c>
      <c r="AE518" s="172" t="str">
        <f t="shared" si="521"/>
        <v/>
      </c>
      <c r="AF518" s="172" t="str">
        <f t="shared" si="521"/>
        <v/>
      </c>
      <c r="AG518" s="172" t="str">
        <f t="shared" si="521"/>
        <v/>
      </c>
      <c r="AH518" s="172" t="str">
        <f t="shared" si="521"/>
        <v/>
      </c>
      <c r="AI518" s="172" t="str">
        <f t="shared" si="521"/>
        <v/>
      </c>
      <c r="AJ518" s="172" t="str">
        <f t="shared" si="521"/>
        <v/>
      </c>
      <c r="AK518" s="172" t="str">
        <f t="shared" si="521"/>
        <v/>
      </c>
      <c r="AL518" s="172" t="str">
        <f t="shared" si="521"/>
        <v/>
      </c>
      <c r="AM518" s="172" t="str">
        <f t="shared" si="521"/>
        <v/>
      </c>
      <c r="AN518" s="172" t="str">
        <f t="shared" si="521"/>
        <v/>
      </c>
      <c r="AO518" s="172" t="str">
        <f t="shared" si="521"/>
        <v/>
      </c>
      <c r="AP518" s="172" t="str">
        <f t="shared" si="521"/>
        <v/>
      </c>
      <c r="AQ518" s="172" t="str">
        <f t="shared" si="521"/>
        <v/>
      </c>
      <c r="AR518" s="172" t="str">
        <f t="shared" si="521"/>
        <v/>
      </c>
      <c r="AS518" s="172" t="str">
        <f t="shared" si="521"/>
        <v/>
      </c>
      <c r="AT518" s="173">
        <f>IF(AT$6="","",IF(AT$3="Maior",iferror(VLOOKUP($R518,Capa!$A:$AJ,AT$5,0),0),IF(ISERROR(1/VLOOKUP($R518,Capa!$A:$AJ,AT$5,0)),0,1/VLOOKUP($R518,Capa!$A:$AJ,AT$5,0))))</f>
        <v>-0.8600350103</v>
      </c>
      <c r="AU518" s="174">
        <f>IF(AU$6="","",IF(AU$3="Maior",iferror(VLOOKUP($R518,Capa!$A:$AJ,AU$5,0),0),IF(ISERROR(1/VLOOKUP($R518,Capa!$A:$AJ,AU$5,0)),0,1/VLOOKUP($R518,Capa!$A:$AJ,AU$5,0))))</f>
        <v>14.56</v>
      </c>
      <c r="AV518" s="174" t="str">
        <f>IF(AV$6="","",IF(AV$3="Maior",iferror(VLOOKUP($R518,Capa!$A:$AJ,AV$5,0),0),IF(ISERROR(1/VLOOKUP($R518,Capa!$A:$AJ,AV$5,0)),0,1/VLOOKUP($R518,Capa!$A:$AJ,AV$5,0))))</f>
        <v/>
      </c>
      <c r="AW518" s="174" t="str">
        <f>IF(AW$6="","",IF(AW$3="Maior",iferror(VLOOKUP($R518,Capa!$A:$AJ,AW$5,0),0),IF(ISERROR(1/VLOOKUP($R518,Capa!$A:$AJ,AW$5,0)),0,1/VLOOKUP($R518,Capa!$A:$AJ,AW$5,0))))</f>
        <v/>
      </c>
      <c r="AX518" s="174" t="str">
        <f>IF(AX$6="","",IF(AX$3="Maior",iferror(VLOOKUP($R518,Capa!$A:$AJ,AX$5,0),0),IF(ISERROR(1/VLOOKUP($R518,Capa!$A:$AJ,AX$5,0)),0,1/VLOOKUP($R518,Capa!$A:$AJ,AX$5,0))))</f>
        <v/>
      </c>
      <c r="AY518" s="174" t="str">
        <f>IF(AY$6="","",IF(AY$3="Maior",iferror(VLOOKUP($R518,Capa!$A:$AJ,AY$5,0),0),IF(ISERROR(1/VLOOKUP($R518,Capa!$A:$AJ,AY$5,0)),0,1/VLOOKUP($R518,Capa!$A:$AJ,AY$5,0))))</f>
        <v/>
      </c>
      <c r="AZ518" s="174" t="str">
        <f>IF(AZ$6="","",IF(AZ$3="Maior",iferror(VLOOKUP($R518,Capa!$A:$AJ,AZ$5,0),0),IF(ISERROR(1/VLOOKUP($R518,Capa!$A:$AJ,AZ$5,0)),0,1/VLOOKUP($R518,Capa!$A:$AJ,AZ$5,0))))</f>
        <v/>
      </c>
      <c r="BA518" s="174" t="str">
        <f>IF(BA$6="","",IF(BA$3="Maior",iferror(VLOOKUP($R518,Capa!$A:$AJ,BA$5,0),0),IF(ISERROR(1/VLOOKUP($R518,Capa!$A:$AJ,BA$5,0)),0,1/VLOOKUP($R518,Capa!$A:$AJ,BA$5,0))))</f>
        <v/>
      </c>
      <c r="BB518" s="174" t="str">
        <f>IF(BB$6="","",IF(BB$3="Maior",iferror(VLOOKUP($R518,Capa!$A:$AJ,BB$5,0),0),IF(ISERROR(1/VLOOKUP($R518,Capa!$A:$AJ,BB$5,0)),0,1/VLOOKUP($R518,Capa!$A:$AJ,BB$5,0))))</f>
        <v/>
      </c>
      <c r="BC518" s="174" t="str">
        <f>IF(BC$6="","",IF(BC$3="Maior",iferror(VLOOKUP($R518,Capa!$A:$AJ,BC$5,0),0),IF(ISERROR(1/VLOOKUP($R518,Capa!$A:$AJ,BC$5,0)),0,1/VLOOKUP($R518,Capa!$A:$AJ,BC$5,0))))</f>
        <v/>
      </c>
      <c r="BD518" s="174" t="str">
        <f>IF(BD$6="","",IF(BD$3="Maior",iferror(VLOOKUP($R518,Capa!$A:$AJ,BD$5,0),0),IF(ISERROR(1/VLOOKUP($R518,Capa!$A:$AJ,BD$5,0)),0,1/VLOOKUP($R518,Capa!$A:$AJ,BD$5,0))))</f>
        <v/>
      </c>
      <c r="BE518" s="174" t="str">
        <f>IF(BE$6="","",IF(BE$3="Maior",iferror(VLOOKUP($R518,Capa!$A:$AJ,BE$5,0),0),IF(ISERROR(1/VLOOKUP($R518,Capa!$A:$AJ,BE$5,0)),0,1/VLOOKUP($R518,Capa!$A:$AJ,BE$5,0))))</f>
        <v/>
      </c>
      <c r="BF518" s="174" t="str">
        <f>IF(BF$6="","",IF(BF$3="Maior",iferror(VLOOKUP($R518,Capa!$A:$AJ,BF$5,0),0),IF(ISERROR(1/VLOOKUP($R518,Capa!$A:$AJ,BF$5,0)),0,1/VLOOKUP($R518,Capa!$A:$AJ,BF$5,0))))</f>
        <v/>
      </c>
      <c r="BG518" s="174" t="str">
        <f>IF(BG$6="","",IF(BG$3="Maior",iferror(VLOOKUP($R518,Capa!$A:$AJ,BG$5,0),0),IF(ISERROR(1/VLOOKUP($R518,Capa!$A:$AJ,BG$5,0)),0,1/VLOOKUP($R518,Capa!$A:$AJ,BG$5,0))))</f>
        <v/>
      </c>
      <c r="BH518" s="174" t="str">
        <f>IF(BH$6="","",IF(BH$3="Maior",iferror(VLOOKUP($R518,Capa!$A:$AJ,BH$5,0),0),IF(ISERROR(1/VLOOKUP($R518,Capa!$A:$AJ,BH$5,0)),0,1/VLOOKUP($R518,Capa!$A:$AJ,BH$5,0))))</f>
        <v/>
      </c>
      <c r="BI518" s="174" t="str">
        <f>IF(BI$6="","",IF(BI$3="Maior",iferror(VLOOKUP($R518,Capa!$A:$AJ,BI$5,0),0),IF(ISERROR(1/VLOOKUP($R518,Capa!$A:$AJ,BI$5,0)),0,1/VLOOKUP($R518,Capa!$A:$AJ,BI$5,0))))</f>
        <v/>
      </c>
      <c r="BJ518" s="174" t="str">
        <f>IF(BJ$6="","",IF(BJ$3="Maior",iferror(VLOOKUP($R518,Capa!$A:$AJ,BJ$5,0),0),IF(ISERROR(1/VLOOKUP($R518,Capa!$A:$AJ,BJ$5,0)),0,1/VLOOKUP($R518,Capa!$A:$AJ,BJ$5,0))))</f>
        <v/>
      </c>
      <c r="BK518" s="174" t="str">
        <f>IF(BK$6="","",IF(BK$3="Maior",iferror(VLOOKUP($R518,Capa!$A:$AJ,BK$5,0),0),IF(ISERROR(1/VLOOKUP($R518,Capa!$A:$AJ,BK$5,0)),0,1/VLOOKUP($R518,Capa!$A:$AJ,BK$5,0))))</f>
        <v/>
      </c>
      <c r="BL518" s="174" t="str">
        <f>IF(BL$6="","",IF(BL$3="Maior",iferror(VLOOKUP($R518,Capa!$A:$AJ,BL$5,0),0),IF(ISERROR(1/VLOOKUP($R518,Capa!$A:$AJ,BL$5,0)),0,1/VLOOKUP($R518,Capa!$A:$AJ,BL$5,0))))</f>
        <v/>
      </c>
      <c r="BM518" s="174" t="str">
        <f>IF(BM$6="","",IF(BM$3="Maior",iferror(VLOOKUP($R518,Capa!$A:$AJ,BM$5,0),0),IF(ISERROR(1/VLOOKUP($R518,Capa!$A:$AJ,BM$5,0)),0,1/VLOOKUP($R518,Capa!$A:$AJ,BM$5,0))))</f>
        <v/>
      </c>
      <c r="BN518" s="174" t="str">
        <f>IF(BN$6="","",IF(BN$3="Maior",iferror(VLOOKUP($R518,Capa!$A:$AJ,BN$5,0),0),IF(ISERROR(1/VLOOKUP($R518,Capa!$A:$AJ,BN$5,0)),0,1/VLOOKUP($R518,Capa!$A:$AJ,BN$5,0))))</f>
        <v/>
      </c>
      <c r="BO518" s="174" t="str">
        <f>IF(BO$6="","",IF(BO$3="Maior",iferror(VLOOKUP($R518,Capa!$A:$AJ,BO$5,0),0),IF(ISERROR(1/VLOOKUP($R518,Capa!$A:$AJ,BO$5,0)),0,1/VLOOKUP($R518,Capa!$A:$AJ,BO$5,0))))</f>
        <v/>
      </c>
      <c r="BP518" s="174" t="str">
        <f>IF(BP$6="","",IF(BP$3="Maior",iferror(VLOOKUP($R518,Capa!$A:$AJ,BP$5,0),0),IF(ISERROR(1/VLOOKUP($R518,Capa!$A:$AJ,BP$5,0)),0,1/VLOOKUP($R518,Capa!$A:$AJ,BP$5,0))))</f>
        <v/>
      </c>
      <c r="BQ518" s="174" t="str">
        <f>IF(BQ$6="","",IF(BQ$3="Maior",iferror(VLOOKUP($R518,Capa!$A:$AJ,BQ$5,0),0),IF(ISERROR(1/VLOOKUP($R518,Capa!$A:$AJ,BQ$5,0)),0,1/VLOOKUP($R518,Capa!$A:$AJ,BQ$5,0))))</f>
        <v/>
      </c>
      <c r="BR518" s="175"/>
      <c r="BS518" s="147"/>
    </row>
    <row r="519">
      <c r="H519" s="8">
        <v>513.0</v>
      </c>
      <c r="I519" s="165" t="str">
        <f t="shared" si="6"/>
        <v>HOOT4</v>
      </c>
      <c r="J519" s="166" t="str">
        <f>(VLOOKUP($I519,Capa!$A:$B,2,0))</f>
        <v>Hoteis Othon SA -em Recuperacao Judicial Preference Shares</v>
      </c>
      <c r="K519" s="167" t="str">
        <f>VLOOKUP(left(I519,4),Setor!A:D,3,0)&amp;" | "&amp;VLOOKUP(left(I519,4),Setor!A:D,4,0)</f>
        <v>Consumo Cíclico | Hoteis e Restaurantes</v>
      </c>
      <c r="L519" s="168">
        <f>(VLOOKUP($I519,Capa!$A:$F,6,0))</f>
        <v>7.03</v>
      </c>
      <c r="M519" s="168">
        <f t="shared" si="7"/>
        <v>22505.45</v>
      </c>
      <c r="N519" s="11" t="str">
        <f>IFERROR(__xludf.DUMMYFUNCTION("(VLOOKUP($I519,Capa!$A:$H,7,0))"),"")</f>
        <v/>
      </c>
      <c r="O519" s="169">
        <f>(VLOOKUP($I519,Capa!$A:$H,8,0))</f>
        <v>0.08153846154</v>
      </c>
      <c r="P519" s="11" t="str">
        <f>IFERROR(__xludf.DUMMYFUNCTION("(VLOOKUP($I519,Capa!$A:$J,10,0))"),"")</f>
        <v/>
      </c>
      <c r="Q519" s="169">
        <f>(VLOOKUP($I519,Capa!$A:$K,11,0))</f>
        <v>2.124444444</v>
      </c>
      <c r="R519" s="45" t="str">
        <f>'Dados StatusInvest'!A514</f>
        <v>SAPR4</v>
      </c>
      <c r="S519" s="170">
        <f t="shared" si="234"/>
        <v>557.0557</v>
      </c>
      <c r="T519" s="171">
        <f>VLOOKUP(R519,'Dados StatusInvest'!A:Z,26,0)</f>
        <v>10479448</v>
      </c>
      <c r="U519" s="172">
        <f t="shared" ref="U519:AS519" si="522">IF(AT519="","", RANK(AT519,AT$7:AT$626,0)+RANK(AT519,AT$7:AT$626,0)/10000)</f>
        <v>381.0381</v>
      </c>
      <c r="V519" s="172">
        <f t="shared" si="522"/>
        <v>176.0176</v>
      </c>
      <c r="W519" s="172" t="str">
        <f t="shared" si="522"/>
        <v/>
      </c>
      <c r="X519" s="172" t="str">
        <f t="shared" si="522"/>
        <v/>
      </c>
      <c r="Y519" s="172" t="str">
        <f t="shared" si="522"/>
        <v/>
      </c>
      <c r="Z519" s="172" t="str">
        <f t="shared" si="522"/>
        <v/>
      </c>
      <c r="AA519" s="172" t="str">
        <f t="shared" si="522"/>
        <v/>
      </c>
      <c r="AB519" s="172" t="str">
        <f t="shared" si="522"/>
        <v/>
      </c>
      <c r="AC519" s="172" t="str">
        <f t="shared" si="522"/>
        <v/>
      </c>
      <c r="AD519" s="172" t="str">
        <f t="shared" si="522"/>
        <v/>
      </c>
      <c r="AE519" s="172" t="str">
        <f t="shared" si="522"/>
        <v/>
      </c>
      <c r="AF519" s="172" t="str">
        <f t="shared" si="522"/>
        <v/>
      </c>
      <c r="AG519" s="172" t="str">
        <f t="shared" si="522"/>
        <v/>
      </c>
      <c r="AH519" s="172" t="str">
        <f t="shared" si="522"/>
        <v/>
      </c>
      <c r="AI519" s="172" t="str">
        <f t="shared" si="522"/>
        <v/>
      </c>
      <c r="AJ519" s="172" t="str">
        <f t="shared" si="522"/>
        <v/>
      </c>
      <c r="AK519" s="172" t="str">
        <f t="shared" si="522"/>
        <v/>
      </c>
      <c r="AL519" s="172" t="str">
        <f t="shared" si="522"/>
        <v/>
      </c>
      <c r="AM519" s="172" t="str">
        <f t="shared" si="522"/>
        <v/>
      </c>
      <c r="AN519" s="172" t="str">
        <f t="shared" si="522"/>
        <v/>
      </c>
      <c r="AO519" s="172" t="str">
        <f t="shared" si="522"/>
        <v/>
      </c>
      <c r="AP519" s="172" t="str">
        <f t="shared" si="522"/>
        <v/>
      </c>
      <c r="AQ519" s="172" t="str">
        <f t="shared" si="522"/>
        <v/>
      </c>
      <c r="AR519" s="172" t="str">
        <f t="shared" si="522"/>
        <v/>
      </c>
      <c r="AS519" s="172" t="str">
        <f t="shared" si="522"/>
        <v/>
      </c>
      <c r="AT519" s="173">
        <f>IF(AT$6="","",IF(AT$3="Maior",iferror(VLOOKUP($R519,Capa!$A:$AJ,AT$5,0),0),IF(ISERROR(1/VLOOKUP($R519,Capa!$A:$AJ,AT$5,0)),0,1/VLOOKUP($R519,Capa!$A:$AJ,AT$5,0))))</f>
        <v>-1.175315717</v>
      </c>
      <c r="AU519" s="174">
        <f>IF(AU$6="","",IF(AU$3="Maior",iferror(VLOOKUP($R519,Capa!$A:$AJ,AU$5,0),0),IF(ISERROR(1/VLOOKUP($R519,Capa!$A:$AJ,AU$5,0)),0,1/VLOOKUP($R519,Capa!$A:$AJ,AU$5,0))))</f>
        <v>14.56</v>
      </c>
      <c r="AV519" s="174" t="str">
        <f>IF(AV$6="","",IF(AV$3="Maior",iferror(VLOOKUP($R519,Capa!$A:$AJ,AV$5,0),0),IF(ISERROR(1/VLOOKUP($R519,Capa!$A:$AJ,AV$5,0)),0,1/VLOOKUP($R519,Capa!$A:$AJ,AV$5,0))))</f>
        <v/>
      </c>
      <c r="AW519" s="174" t="str">
        <f>IF(AW$6="","",IF(AW$3="Maior",iferror(VLOOKUP($R519,Capa!$A:$AJ,AW$5,0),0),IF(ISERROR(1/VLOOKUP($R519,Capa!$A:$AJ,AW$5,0)),0,1/VLOOKUP($R519,Capa!$A:$AJ,AW$5,0))))</f>
        <v/>
      </c>
      <c r="AX519" s="174" t="str">
        <f>IF(AX$6="","",IF(AX$3="Maior",iferror(VLOOKUP($R519,Capa!$A:$AJ,AX$5,0),0),IF(ISERROR(1/VLOOKUP($R519,Capa!$A:$AJ,AX$5,0)),0,1/VLOOKUP($R519,Capa!$A:$AJ,AX$5,0))))</f>
        <v/>
      </c>
      <c r="AY519" s="174" t="str">
        <f>IF(AY$6="","",IF(AY$3="Maior",iferror(VLOOKUP($R519,Capa!$A:$AJ,AY$5,0),0),IF(ISERROR(1/VLOOKUP($R519,Capa!$A:$AJ,AY$5,0)),0,1/VLOOKUP($R519,Capa!$A:$AJ,AY$5,0))))</f>
        <v/>
      </c>
      <c r="AZ519" s="174" t="str">
        <f>IF(AZ$6="","",IF(AZ$3="Maior",iferror(VLOOKUP($R519,Capa!$A:$AJ,AZ$5,0),0),IF(ISERROR(1/VLOOKUP($R519,Capa!$A:$AJ,AZ$5,0)),0,1/VLOOKUP($R519,Capa!$A:$AJ,AZ$5,0))))</f>
        <v/>
      </c>
      <c r="BA519" s="174" t="str">
        <f>IF(BA$6="","",IF(BA$3="Maior",iferror(VLOOKUP($R519,Capa!$A:$AJ,BA$5,0),0),IF(ISERROR(1/VLOOKUP($R519,Capa!$A:$AJ,BA$5,0)),0,1/VLOOKUP($R519,Capa!$A:$AJ,BA$5,0))))</f>
        <v/>
      </c>
      <c r="BB519" s="174" t="str">
        <f>IF(BB$6="","",IF(BB$3="Maior",iferror(VLOOKUP($R519,Capa!$A:$AJ,BB$5,0),0),IF(ISERROR(1/VLOOKUP($R519,Capa!$A:$AJ,BB$5,0)),0,1/VLOOKUP($R519,Capa!$A:$AJ,BB$5,0))))</f>
        <v/>
      </c>
      <c r="BC519" s="174" t="str">
        <f>IF(BC$6="","",IF(BC$3="Maior",iferror(VLOOKUP($R519,Capa!$A:$AJ,BC$5,0),0),IF(ISERROR(1/VLOOKUP($R519,Capa!$A:$AJ,BC$5,0)),0,1/VLOOKUP($R519,Capa!$A:$AJ,BC$5,0))))</f>
        <v/>
      </c>
      <c r="BD519" s="174" t="str">
        <f>IF(BD$6="","",IF(BD$3="Maior",iferror(VLOOKUP($R519,Capa!$A:$AJ,BD$5,0),0),IF(ISERROR(1/VLOOKUP($R519,Capa!$A:$AJ,BD$5,0)),0,1/VLOOKUP($R519,Capa!$A:$AJ,BD$5,0))))</f>
        <v/>
      </c>
      <c r="BE519" s="174" t="str">
        <f>IF(BE$6="","",IF(BE$3="Maior",iferror(VLOOKUP($R519,Capa!$A:$AJ,BE$5,0),0),IF(ISERROR(1/VLOOKUP($R519,Capa!$A:$AJ,BE$5,0)),0,1/VLOOKUP($R519,Capa!$A:$AJ,BE$5,0))))</f>
        <v/>
      </c>
      <c r="BF519" s="174" t="str">
        <f>IF(BF$6="","",IF(BF$3="Maior",iferror(VLOOKUP($R519,Capa!$A:$AJ,BF$5,0),0),IF(ISERROR(1/VLOOKUP($R519,Capa!$A:$AJ,BF$5,0)),0,1/VLOOKUP($R519,Capa!$A:$AJ,BF$5,0))))</f>
        <v/>
      </c>
      <c r="BG519" s="174" t="str">
        <f>IF(BG$6="","",IF(BG$3="Maior",iferror(VLOOKUP($R519,Capa!$A:$AJ,BG$5,0),0),IF(ISERROR(1/VLOOKUP($R519,Capa!$A:$AJ,BG$5,0)),0,1/VLOOKUP($R519,Capa!$A:$AJ,BG$5,0))))</f>
        <v/>
      </c>
      <c r="BH519" s="174" t="str">
        <f>IF(BH$6="","",IF(BH$3="Maior",iferror(VLOOKUP($R519,Capa!$A:$AJ,BH$5,0),0),IF(ISERROR(1/VLOOKUP($R519,Capa!$A:$AJ,BH$5,0)),0,1/VLOOKUP($R519,Capa!$A:$AJ,BH$5,0))))</f>
        <v/>
      </c>
      <c r="BI519" s="174" t="str">
        <f>IF(BI$6="","",IF(BI$3="Maior",iferror(VLOOKUP($R519,Capa!$A:$AJ,BI$5,0),0),IF(ISERROR(1/VLOOKUP($R519,Capa!$A:$AJ,BI$5,0)),0,1/VLOOKUP($R519,Capa!$A:$AJ,BI$5,0))))</f>
        <v/>
      </c>
      <c r="BJ519" s="174" t="str">
        <f>IF(BJ$6="","",IF(BJ$3="Maior",iferror(VLOOKUP($R519,Capa!$A:$AJ,BJ$5,0),0),IF(ISERROR(1/VLOOKUP($R519,Capa!$A:$AJ,BJ$5,0)),0,1/VLOOKUP($R519,Capa!$A:$AJ,BJ$5,0))))</f>
        <v/>
      </c>
      <c r="BK519" s="174" t="str">
        <f>IF(BK$6="","",IF(BK$3="Maior",iferror(VLOOKUP($R519,Capa!$A:$AJ,BK$5,0),0),IF(ISERROR(1/VLOOKUP($R519,Capa!$A:$AJ,BK$5,0)),0,1/VLOOKUP($R519,Capa!$A:$AJ,BK$5,0))))</f>
        <v/>
      </c>
      <c r="BL519" s="174" t="str">
        <f>IF(BL$6="","",IF(BL$3="Maior",iferror(VLOOKUP($R519,Capa!$A:$AJ,BL$5,0),0),IF(ISERROR(1/VLOOKUP($R519,Capa!$A:$AJ,BL$5,0)),0,1/VLOOKUP($R519,Capa!$A:$AJ,BL$5,0))))</f>
        <v/>
      </c>
      <c r="BM519" s="174" t="str">
        <f>IF(BM$6="","",IF(BM$3="Maior",iferror(VLOOKUP($R519,Capa!$A:$AJ,BM$5,0),0),IF(ISERROR(1/VLOOKUP($R519,Capa!$A:$AJ,BM$5,0)),0,1/VLOOKUP($R519,Capa!$A:$AJ,BM$5,0))))</f>
        <v/>
      </c>
      <c r="BN519" s="174" t="str">
        <f>IF(BN$6="","",IF(BN$3="Maior",iferror(VLOOKUP($R519,Capa!$A:$AJ,BN$5,0),0),IF(ISERROR(1/VLOOKUP($R519,Capa!$A:$AJ,BN$5,0)),0,1/VLOOKUP($R519,Capa!$A:$AJ,BN$5,0))))</f>
        <v/>
      </c>
      <c r="BO519" s="174" t="str">
        <f>IF(BO$6="","",IF(BO$3="Maior",iferror(VLOOKUP($R519,Capa!$A:$AJ,BO$5,0),0),IF(ISERROR(1/VLOOKUP($R519,Capa!$A:$AJ,BO$5,0)),0,1/VLOOKUP($R519,Capa!$A:$AJ,BO$5,0))))</f>
        <v/>
      </c>
      <c r="BP519" s="174" t="str">
        <f>IF(BP$6="","",IF(BP$3="Maior",iferror(VLOOKUP($R519,Capa!$A:$AJ,BP$5,0),0),IF(ISERROR(1/VLOOKUP($R519,Capa!$A:$AJ,BP$5,0)),0,1/VLOOKUP($R519,Capa!$A:$AJ,BP$5,0))))</f>
        <v/>
      </c>
      <c r="BQ519" s="174" t="str">
        <f>IF(BQ$6="","",IF(BQ$3="Maior",iferror(VLOOKUP($R519,Capa!$A:$AJ,BQ$5,0),0),IF(ISERROR(1/VLOOKUP($R519,Capa!$A:$AJ,BQ$5,0)),0,1/VLOOKUP($R519,Capa!$A:$AJ,BQ$5,0))))</f>
        <v/>
      </c>
      <c r="BR519" s="175"/>
      <c r="BS519" s="147"/>
    </row>
    <row r="520">
      <c r="H520" s="8">
        <v>514.0</v>
      </c>
      <c r="I520" s="165" t="str">
        <f t="shared" si="6"/>
        <v>DOTZ3</v>
      </c>
      <c r="J520" s="166" t="str">
        <f>(VLOOKUP($I520,Capa!$A:$B,2,0))</f>
        <v>Dotz SA</v>
      </c>
      <c r="K520" s="167" t="str">
        <f>VLOOKUP(left(I520,4),Setor!A:D,3,0)&amp;" | "&amp;VLOOKUP(left(I520,4),Setor!A:D,4,0)</f>
        <v>#N/A</v>
      </c>
      <c r="L520" s="168">
        <f>(VLOOKUP($I520,Capa!$A:$F,6,0))</f>
        <v>2.98</v>
      </c>
      <c r="M520" s="168">
        <f t="shared" si="7"/>
        <v>47562.48</v>
      </c>
      <c r="N520" s="11" t="str">
        <f>IFERROR(__xludf.DUMMYFUNCTION("(VLOOKUP($I520,Capa!$A:$H,7,0))"),"")</f>
        <v/>
      </c>
      <c r="O520" s="169">
        <f>(VLOOKUP($I520,Capa!$A:$H,8,0))</f>
        <v>-0.2784503632</v>
      </c>
      <c r="P520" s="11" t="str">
        <f>IFERROR(__xludf.DUMMYFUNCTION("(VLOOKUP($I520,Capa!$A:$J,10,0))"),"")</f>
        <v/>
      </c>
      <c r="Q520" s="169">
        <f>(VLOOKUP($I520,Capa!$A:$K,11,0))</f>
        <v>-0.2239583333</v>
      </c>
      <c r="R520" s="45" t="str">
        <f>'Dados StatusInvest'!A515</f>
        <v>SBFG3</v>
      </c>
      <c r="S520" s="170">
        <f t="shared" si="234"/>
        <v>658.0658</v>
      </c>
      <c r="T520" s="171">
        <f>VLOOKUP(R520,'Dados StatusInvest'!A:Z,26,0)</f>
        <v>33219934</v>
      </c>
      <c r="U520" s="172">
        <f t="shared" ref="U520:AS520" si="523">IF(AT520="","", RANK(AT520,AT$7:AT$626,0)+RANK(AT520,AT$7:AT$626,0)/10000)</f>
        <v>398.0398</v>
      </c>
      <c r="V520" s="172">
        <f t="shared" si="523"/>
        <v>260.026</v>
      </c>
      <c r="W520" s="172" t="str">
        <f t="shared" si="523"/>
        <v/>
      </c>
      <c r="X520" s="172" t="str">
        <f t="shared" si="523"/>
        <v/>
      </c>
      <c r="Y520" s="172" t="str">
        <f t="shared" si="523"/>
        <v/>
      </c>
      <c r="Z520" s="172" t="str">
        <f t="shared" si="523"/>
        <v/>
      </c>
      <c r="AA520" s="172" t="str">
        <f t="shared" si="523"/>
        <v/>
      </c>
      <c r="AB520" s="172" t="str">
        <f t="shared" si="523"/>
        <v/>
      </c>
      <c r="AC520" s="172" t="str">
        <f t="shared" si="523"/>
        <v/>
      </c>
      <c r="AD520" s="172" t="str">
        <f t="shared" si="523"/>
        <v/>
      </c>
      <c r="AE520" s="172" t="str">
        <f t="shared" si="523"/>
        <v/>
      </c>
      <c r="AF520" s="172" t="str">
        <f t="shared" si="523"/>
        <v/>
      </c>
      <c r="AG520" s="172" t="str">
        <f t="shared" si="523"/>
        <v/>
      </c>
      <c r="AH520" s="172" t="str">
        <f t="shared" si="523"/>
        <v/>
      </c>
      <c r="AI520" s="172" t="str">
        <f t="shared" si="523"/>
        <v/>
      </c>
      <c r="AJ520" s="172" t="str">
        <f t="shared" si="523"/>
        <v/>
      </c>
      <c r="AK520" s="172" t="str">
        <f t="shared" si="523"/>
        <v/>
      </c>
      <c r="AL520" s="172" t="str">
        <f t="shared" si="523"/>
        <v/>
      </c>
      <c r="AM520" s="172" t="str">
        <f t="shared" si="523"/>
        <v/>
      </c>
      <c r="AN520" s="172" t="str">
        <f t="shared" si="523"/>
        <v/>
      </c>
      <c r="AO520" s="172" t="str">
        <f t="shared" si="523"/>
        <v/>
      </c>
      <c r="AP520" s="172" t="str">
        <f t="shared" si="523"/>
        <v/>
      </c>
      <c r="AQ520" s="172" t="str">
        <f t="shared" si="523"/>
        <v/>
      </c>
      <c r="AR520" s="172" t="str">
        <f t="shared" si="523"/>
        <v/>
      </c>
      <c r="AS520" s="172" t="str">
        <f t="shared" si="523"/>
        <v/>
      </c>
      <c r="AT520" s="173">
        <f>IF(AT$6="","",IF(AT$3="Maior",iferror(VLOOKUP($R520,Capa!$A:$AJ,AT$5,0),0),IF(ISERROR(1/VLOOKUP($R520,Capa!$A:$AJ,AT$5,0)),0,1/VLOOKUP($R520,Capa!$A:$AJ,AT$5,0))))</f>
        <v>-1.344887497</v>
      </c>
      <c r="AU520" s="174">
        <f>IF(AU$6="","",IF(AU$3="Maior",iferror(VLOOKUP($R520,Capa!$A:$AJ,AU$5,0),0),IF(ISERROR(1/VLOOKUP($R520,Capa!$A:$AJ,AU$5,0)),0,1/VLOOKUP($R520,Capa!$A:$AJ,AU$5,0))))</f>
        <v>1.58</v>
      </c>
      <c r="AV520" s="174" t="str">
        <f>IF(AV$6="","",IF(AV$3="Maior",iferror(VLOOKUP($R520,Capa!$A:$AJ,AV$5,0),0),IF(ISERROR(1/VLOOKUP($R520,Capa!$A:$AJ,AV$5,0)),0,1/VLOOKUP($R520,Capa!$A:$AJ,AV$5,0))))</f>
        <v/>
      </c>
      <c r="AW520" s="174" t="str">
        <f>IF(AW$6="","",IF(AW$3="Maior",iferror(VLOOKUP($R520,Capa!$A:$AJ,AW$5,0),0),IF(ISERROR(1/VLOOKUP($R520,Capa!$A:$AJ,AW$5,0)),0,1/VLOOKUP($R520,Capa!$A:$AJ,AW$5,0))))</f>
        <v/>
      </c>
      <c r="AX520" s="174" t="str">
        <f>IF(AX$6="","",IF(AX$3="Maior",iferror(VLOOKUP($R520,Capa!$A:$AJ,AX$5,0),0),IF(ISERROR(1/VLOOKUP($R520,Capa!$A:$AJ,AX$5,0)),0,1/VLOOKUP($R520,Capa!$A:$AJ,AX$5,0))))</f>
        <v/>
      </c>
      <c r="AY520" s="174" t="str">
        <f>IF(AY$6="","",IF(AY$3="Maior",iferror(VLOOKUP($R520,Capa!$A:$AJ,AY$5,0),0),IF(ISERROR(1/VLOOKUP($R520,Capa!$A:$AJ,AY$5,0)),0,1/VLOOKUP($R520,Capa!$A:$AJ,AY$5,0))))</f>
        <v/>
      </c>
      <c r="AZ520" s="174" t="str">
        <f>IF(AZ$6="","",IF(AZ$3="Maior",iferror(VLOOKUP($R520,Capa!$A:$AJ,AZ$5,0),0),IF(ISERROR(1/VLOOKUP($R520,Capa!$A:$AJ,AZ$5,0)),0,1/VLOOKUP($R520,Capa!$A:$AJ,AZ$5,0))))</f>
        <v/>
      </c>
      <c r="BA520" s="174" t="str">
        <f>IF(BA$6="","",IF(BA$3="Maior",iferror(VLOOKUP($R520,Capa!$A:$AJ,BA$5,0),0),IF(ISERROR(1/VLOOKUP($R520,Capa!$A:$AJ,BA$5,0)),0,1/VLOOKUP($R520,Capa!$A:$AJ,BA$5,0))))</f>
        <v/>
      </c>
      <c r="BB520" s="174" t="str">
        <f>IF(BB$6="","",IF(BB$3="Maior",iferror(VLOOKUP($R520,Capa!$A:$AJ,BB$5,0),0),IF(ISERROR(1/VLOOKUP($R520,Capa!$A:$AJ,BB$5,0)),0,1/VLOOKUP($R520,Capa!$A:$AJ,BB$5,0))))</f>
        <v/>
      </c>
      <c r="BC520" s="174" t="str">
        <f>IF(BC$6="","",IF(BC$3="Maior",iferror(VLOOKUP($R520,Capa!$A:$AJ,BC$5,0),0),IF(ISERROR(1/VLOOKUP($R520,Capa!$A:$AJ,BC$5,0)),0,1/VLOOKUP($R520,Capa!$A:$AJ,BC$5,0))))</f>
        <v/>
      </c>
      <c r="BD520" s="174" t="str">
        <f>IF(BD$6="","",IF(BD$3="Maior",iferror(VLOOKUP($R520,Capa!$A:$AJ,BD$5,0),0),IF(ISERROR(1/VLOOKUP($R520,Capa!$A:$AJ,BD$5,0)),0,1/VLOOKUP($R520,Capa!$A:$AJ,BD$5,0))))</f>
        <v/>
      </c>
      <c r="BE520" s="174" t="str">
        <f>IF(BE$6="","",IF(BE$3="Maior",iferror(VLOOKUP($R520,Capa!$A:$AJ,BE$5,0),0),IF(ISERROR(1/VLOOKUP($R520,Capa!$A:$AJ,BE$5,0)),0,1/VLOOKUP($R520,Capa!$A:$AJ,BE$5,0))))</f>
        <v/>
      </c>
      <c r="BF520" s="174" t="str">
        <f>IF(BF$6="","",IF(BF$3="Maior",iferror(VLOOKUP($R520,Capa!$A:$AJ,BF$5,0),0),IF(ISERROR(1/VLOOKUP($R520,Capa!$A:$AJ,BF$5,0)),0,1/VLOOKUP($R520,Capa!$A:$AJ,BF$5,0))))</f>
        <v/>
      </c>
      <c r="BG520" s="174" t="str">
        <f>IF(BG$6="","",IF(BG$3="Maior",iferror(VLOOKUP($R520,Capa!$A:$AJ,BG$5,0),0),IF(ISERROR(1/VLOOKUP($R520,Capa!$A:$AJ,BG$5,0)),0,1/VLOOKUP($R520,Capa!$A:$AJ,BG$5,0))))</f>
        <v/>
      </c>
      <c r="BH520" s="174" t="str">
        <f>IF(BH$6="","",IF(BH$3="Maior",iferror(VLOOKUP($R520,Capa!$A:$AJ,BH$5,0),0),IF(ISERROR(1/VLOOKUP($R520,Capa!$A:$AJ,BH$5,0)),0,1/VLOOKUP($R520,Capa!$A:$AJ,BH$5,0))))</f>
        <v/>
      </c>
      <c r="BI520" s="174" t="str">
        <f>IF(BI$6="","",IF(BI$3="Maior",iferror(VLOOKUP($R520,Capa!$A:$AJ,BI$5,0),0),IF(ISERROR(1/VLOOKUP($R520,Capa!$A:$AJ,BI$5,0)),0,1/VLOOKUP($R520,Capa!$A:$AJ,BI$5,0))))</f>
        <v/>
      </c>
      <c r="BJ520" s="174" t="str">
        <f>IF(BJ$6="","",IF(BJ$3="Maior",iferror(VLOOKUP($R520,Capa!$A:$AJ,BJ$5,0),0),IF(ISERROR(1/VLOOKUP($R520,Capa!$A:$AJ,BJ$5,0)),0,1/VLOOKUP($R520,Capa!$A:$AJ,BJ$5,0))))</f>
        <v/>
      </c>
      <c r="BK520" s="174" t="str">
        <f>IF(BK$6="","",IF(BK$3="Maior",iferror(VLOOKUP($R520,Capa!$A:$AJ,BK$5,0),0),IF(ISERROR(1/VLOOKUP($R520,Capa!$A:$AJ,BK$5,0)),0,1/VLOOKUP($R520,Capa!$A:$AJ,BK$5,0))))</f>
        <v/>
      </c>
      <c r="BL520" s="174" t="str">
        <f>IF(BL$6="","",IF(BL$3="Maior",iferror(VLOOKUP($R520,Capa!$A:$AJ,BL$5,0),0),IF(ISERROR(1/VLOOKUP($R520,Capa!$A:$AJ,BL$5,0)),0,1/VLOOKUP($R520,Capa!$A:$AJ,BL$5,0))))</f>
        <v/>
      </c>
      <c r="BM520" s="174" t="str">
        <f>IF(BM$6="","",IF(BM$3="Maior",iferror(VLOOKUP($R520,Capa!$A:$AJ,BM$5,0),0),IF(ISERROR(1/VLOOKUP($R520,Capa!$A:$AJ,BM$5,0)),0,1/VLOOKUP($R520,Capa!$A:$AJ,BM$5,0))))</f>
        <v/>
      </c>
      <c r="BN520" s="174" t="str">
        <f>IF(BN$6="","",IF(BN$3="Maior",iferror(VLOOKUP($R520,Capa!$A:$AJ,BN$5,0),0),IF(ISERROR(1/VLOOKUP($R520,Capa!$A:$AJ,BN$5,0)),0,1/VLOOKUP($R520,Capa!$A:$AJ,BN$5,0))))</f>
        <v/>
      </c>
      <c r="BO520" s="174" t="str">
        <f>IF(BO$6="","",IF(BO$3="Maior",iferror(VLOOKUP($R520,Capa!$A:$AJ,BO$5,0),0),IF(ISERROR(1/VLOOKUP($R520,Capa!$A:$AJ,BO$5,0)),0,1/VLOOKUP($R520,Capa!$A:$AJ,BO$5,0))))</f>
        <v/>
      </c>
      <c r="BP520" s="174" t="str">
        <f>IF(BP$6="","",IF(BP$3="Maior",iferror(VLOOKUP($R520,Capa!$A:$AJ,BP$5,0),0),IF(ISERROR(1/VLOOKUP($R520,Capa!$A:$AJ,BP$5,0)),0,1/VLOOKUP($R520,Capa!$A:$AJ,BP$5,0))))</f>
        <v/>
      </c>
      <c r="BQ520" s="174" t="str">
        <f>IF(BQ$6="","",IF(BQ$3="Maior",iferror(VLOOKUP($R520,Capa!$A:$AJ,BQ$5,0),0),IF(ISERROR(1/VLOOKUP($R520,Capa!$A:$AJ,BQ$5,0)),0,1/VLOOKUP($R520,Capa!$A:$AJ,BQ$5,0))))</f>
        <v/>
      </c>
      <c r="BR520" s="175"/>
      <c r="BS520" s="147"/>
    </row>
    <row r="521">
      <c r="H521" s="8">
        <v>515.0</v>
      </c>
      <c r="I521" s="165" t="str">
        <f t="shared" si="6"/>
        <v>VIVR3</v>
      </c>
      <c r="J521" s="166" t="str">
        <f>(VLOOKUP($I521,Capa!$A:$B,2,0))</f>
        <v>Viver Incorporadora e Construtora SA</v>
      </c>
      <c r="K521" s="167" t="str">
        <f>VLOOKUP(left(I521,4),Setor!A:D,3,0)&amp;" | "&amp;VLOOKUP(left(I521,4),Setor!A:D,4,0)</f>
        <v>Consumo Cíclico | Construção Civil</v>
      </c>
      <c r="L521" s="168">
        <f>(VLOOKUP($I521,Capa!$A:$F,6,0))</f>
        <v>0.6</v>
      </c>
      <c r="M521" s="168">
        <f t="shared" si="7"/>
        <v>99431</v>
      </c>
      <c r="N521" s="177" t="str">
        <f>IFERROR(__xludf.DUMMYFUNCTION("(VLOOKUP($I521,Capa!$A:$H,7,0))"),"")</f>
        <v/>
      </c>
      <c r="O521" s="169">
        <f>(VLOOKUP($I521,Capa!$A:$H,8,0))</f>
        <v>-0.03225806452</v>
      </c>
      <c r="P521" s="169" t="str">
        <f>IFERROR(__xludf.DUMMYFUNCTION("(VLOOKUP($I521,Capa!$A:$J,10,0))"),"")</f>
        <v/>
      </c>
      <c r="Q521" s="169">
        <f>(VLOOKUP($I521,Capa!$A:$K,11,0))</f>
        <v>-0.9975714401</v>
      </c>
      <c r="R521" s="45" t="str">
        <f>'Dados StatusInvest'!A516</f>
        <v>SBSP3</v>
      </c>
      <c r="S521" s="170">
        <f t="shared" si="234"/>
        <v>205.0205</v>
      </c>
      <c r="T521" s="171">
        <f>VLOOKUP(R521,'Dados StatusInvest'!A:Z,26,0)</f>
        <v>468000000</v>
      </c>
      <c r="U521" s="172">
        <f t="shared" ref="U521:AS521" si="524">IF(AT521="","", RANK(AT521,AT$7:AT$626,0)+RANK(AT521,AT$7:AT$626,0)/10000)</f>
        <v>48.0048</v>
      </c>
      <c r="V521" s="172">
        <f t="shared" si="524"/>
        <v>157.0157</v>
      </c>
      <c r="W521" s="172" t="str">
        <f t="shared" si="524"/>
        <v/>
      </c>
      <c r="X521" s="172" t="str">
        <f t="shared" si="524"/>
        <v/>
      </c>
      <c r="Y521" s="172" t="str">
        <f t="shared" si="524"/>
        <v/>
      </c>
      <c r="Z521" s="172" t="str">
        <f t="shared" si="524"/>
        <v/>
      </c>
      <c r="AA521" s="172" t="str">
        <f t="shared" si="524"/>
        <v/>
      </c>
      <c r="AB521" s="172" t="str">
        <f t="shared" si="524"/>
        <v/>
      </c>
      <c r="AC521" s="172" t="str">
        <f t="shared" si="524"/>
        <v/>
      </c>
      <c r="AD521" s="172" t="str">
        <f t="shared" si="524"/>
        <v/>
      </c>
      <c r="AE521" s="172" t="str">
        <f t="shared" si="524"/>
        <v/>
      </c>
      <c r="AF521" s="172" t="str">
        <f t="shared" si="524"/>
        <v/>
      </c>
      <c r="AG521" s="172" t="str">
        <f t="shared" si="524"/>
        <v/>
      </c>
      <c r="AH521" s="172" t="str">
        <f t="shared" si="524"/>
        <v/>
      </c>
      <c r="AI521" s="172" t="str">
        <f t="shared" si="524"/>
        <v/>
      </c>
      <c r="AJ521" s="172" t="str">
        <f t="shared" si="524"/>
        <v/>
      </c>
      <c r="AK521" s="172" t="str">
        <f t="shared" si="524"/>
        <v/>
      </c>
      <c r="AL521" s="172" t="str">
        <f t="shared" si="524"/>
        <v/>
      </c>
      <c r="AM521" s="172" t="str">
        <f t="shared" si="524"/>
        <v/>
      </c>
      <c r="AN521" s="172" t="str">
        <f t="shared" si="524"/>
        <v/>
      </c>
      <c r="AO521" s="172" t="str">
        <f t="shared" si="524"/>
        <v/>
      </c>
      <c r="AP521" s="172" t="str">
        <f t="shared" si="524"/>
        <v/>
      </c>
      <c r="AQ521" s="172" t="str">
        <f t="shared" si="524"/>
        <v/>
      </c>
      <c r="AR521" s="172" t="str">
        <f t="shared" si="524"/>
        <v/>
      </c>
      <c r="AS521" s="172" t="str">
        <f t="shared" si="524"/>
        <v/>
      </c>
      <c r="AT521" s="173">
        <f>IF(AT$6="","",IF(AT$3="Maior",iferror(VLOOKUP($R521,Capa!$A:$AJ,AT$5,0),0),IF(ISERROR(1/VLOOKUP($R521,Capa!$A:$AJ,AT$5,0)),0,1/VLOOKUP($R521,Capa!$A:$AJ,AT$5,0))))</f>
        <v>0.00008383289314</v>
      </c>
      <c r="AU521" s="174">
        <f>IF(AU$6="","",IF(AU$3="Maior",iferror(VLOOKUP($R521,Capa!$A:$AJ,AU$5,0),0),IF(ISERROR(1/VLOOKUP($R521,Capa!$A:$AJ,AU$5,0)),0,1/VLOOKUP($R521,Capa!$A:$AJ,AU$5,0))))</f>
        <v>16.45</v>
      </c>
      <c r="AV521" s="174" t="str">
        <f>IF(AV$6="","",IF(AV$3="Maior",iferror(VLOOKUP($R521,Capa!$A:$AJ,AV$5,0),0),IF(ISERROR(1/VLOOKUP($R521,Capa!$A:$AJ,AV$5,0)),0,1/VLOOKUP($R521,Capa!$A:$AJ,AV$5,0))))</f>
        <v/>
      </c>
      <c r="AW521" s="174" t="str">
        <f>IF(AW$6="","",IF(AW$3="Maior",iferror(VLOOKUP($R521,Capa!$A:$AJ,AW$5,0),0),IF(ISERROR(1/VLOOKUP($R521,Capa!$A:$AJ,AW$5,0)),0,1/VLOOKUP($R521,Capa!$A:$AJ,AW$5,0))))</f>
        <v/>
      </c>
      <c r="AX521" s="174" t="str">
        <f>IF(AX$6="","",IF(AX$3="Maior",iferror(VLOOKUP($R521,Capa!$A:$AJ,AX$5,0),0),IF(ISERROR(1/VLOOKUP($R521,Capa!$A:$AJ,AX$5,0)),0,1/VLOOKUP($R521,Capa!$A:$AJ,AX$5,0))))</f>
        <v/>
      </c>
      <c r="AY521" s="174" t="str">
        <f>IF(AY$6="","",IF(AY$3="Maior",iferror(VLOOKUP($R521,Capa!$A:$AJ,AY$5,0),0),IF(ISERROR(1/VLOOKUP($R521,Capa!$A:$AJ,AY$5,0)),0,1/VLOOKUP($R521,Capa!$A:$AJ,AY$5,0))))</f>
        <v/>
      </c>
      <c r="AZ521" s="174" t="str">
        <f>IF(AZ$6="","",IF(AZ$3="Maior",iferror(VLOOKUP($R521,Capa!$A:$AJ,AZ$5,0),0),IF(ISERROR(1/VLOOKUP($R521,Capa!$A:$AJ,AZ$5,0)),0,1/VLOOKUP($R521,Capa!$A:$AJ,AZ$5,0))))</f>
        <v/>
      </c>
      <c r="BA521" s="174" t="str">
        <f>IF(BA$6="","",IF(BA$3="Maior",iferror(VLOOKUP($R521,Capa!$A:$AJ,BA$5,0),0),IF(ISERROR(1/VLOOKUP($R521,Capa!$A:$AJ,BA$5,0)),0,1/VLOOKUP($R521,Capa!$A:$AJ,BA$5,0))))</f>
        <v/>
      </c>
      <c r="BB521" s="174" t="str">
        <f>IF(BB$6="","",IF(BB$3="Maior",iferror(VLOOKUP($R521,Capa!$A:$AJ,BB$5,0),0),IF(ISERROR(1/VLOOKUP($R521,Capa!$A:$AJ,BB$5,0)),0,1/VLOOKUP($R521,Capa!$A:$AJ,BB$5,0))))</f>
        <v/>
      </c>
      <c r="BC521" s="174" t="str">
        <f>IF(BC$6="","",IF(BC$3="Maior",iferror(VLOOKUP($R521,Capa!$A:$AJ,BC$5,0),0),IF(ISERROR(1/VLOOKUP($R521,Capa!$A:$AJ,BC$5,0)),0,1/VLOOKUP($R521,Capa!$A:$AJ,BC$5,0))))</f>
        <v/>
      </c>
      <c r="BD521" s="174" t="str">
        <f>IF(BD$6="","",IF(BD$3="Maior",iferror(VLOOKUP($R521,Capa!$A:$AJ,BD$5,0),0),IF(ISERROR(1/VLOOKUP($R521,Capa!$A:$AJ,BD$5,0)),0,1/VLOOKUP($R521,Capa!$A:$AJ,BD$5,0))))</f>
        <v/>
      </c>
      <c r="BE521" s="174" t="str">
        <f>IF(BE$6="","",IF(BE$3="Maior",iferror(VLOOKUP($R521,Capa!$A:$AJ,BE$5,0),0),IF(ISERROR(1/VLOOKUP($R521,Capa!$A:$AJ,BE$5,0)),0,1/VLOOKUP($R521,Capa!$A:$AJ,BE$5,0))))</f>
        <v/>
      </c>
      <c r="BF521" s="174" t="str">
        <f>IF(BF$6="","",IF(BF$3="Maior",iferror(VLOOKUP($R521,Capa!$A:$AJ,BF$5,0),0),IF(ISERROR(1/VLOOKUP($R521,Capa!$A:$AJ,BF$5,0)),0,1/VLOOKUP($R521,Capa!$A:$AJ,BF$5,0))))</f>
        <v/>
      </c>
      <c r="BG521" s="174" t="str">
        <f>IF(BG$6="","",IF(BG$3="Maior",iferror(VLOOKUP($R521,Capa!$A:$AJ,BG$5,0),0),IF(ISERROR(1/VLOOKUP($R521,Capa!$A:$AJ,BG$5,0)),0,1/VLOOKUP($R521,Capa!$A:$AJ,BG$5,0))))</f>
        <v/>
      </c>
      <c r="BH521" s="174" t="str">
        <f>IF(BH$6="","",IF(BH$3="Maior",iferror(VLOOKUP($R521,Capa!$A:$AJ,BH$5,0),0),IF(ISERROR(1/VLOOKUP($R521,Capa!$A:$AJ,BH$5,0)),0,1/VLOOKUP($R521,Capa!$A:$AJ,BH$5,0))))</f>
        <v/>
      </c>
      <c r="BI521" s="174" t="str">
        <f>IF(BI$6="","",IF(BI$3="Maior",iferror(VLOOKUP($R521,Capa!$A:$AJ,BI$5,0),0),IF(ISERROR(1/VLOOKUP($R521,Capa!$A:$AJ,BI$5,0)),0,1/VLOOKUP($R521,Capa!$A:$AJ,BI$5,0))))</f>
        <v/>
      </c>
      <c r="BJ521" s="174" t="str">
        <f>IF(BJ$6="","",IF(BJ$3="Maior",iferror(VLOOKUP($R521,Capa!$A:$AJ,BJ$5,0),0),IF(ISERROR(1/VLOOKUP($R521,Capa!$A:$AJ,BJ$5,0)),0,1/VLOOKUP($R521,Capa!$A:$AJ,BJ$5,0))))</f>
        <v/>
      </c>
      <c r="BK521" s="174" t="str">
        <f>IF(BK$6="","",IF(BK$3="Maior",iferror(VLOOKUP($R521,Capa!$A:$AJ,BK$5,0),0),IF(ISERROR(1/VLOOKUP($R521,Capa!$A:$AJ,BK$5,0)),0,1/VLOOKUP($R521,Capa!$A:$AJ,BK$5,0))))</f>
        <v/>
      </c>
      <c r="BL521" s="174" t="str">
        <f>IF(BL$6="","",IF(BL$3="Maior",iferror(VLOOKUP($R521,Capa!$A:$AJ,BL$5,0),0),IF(ISERROR(1/VLOOKUP($R521,Capa!$A:$AJ,BL$5,0)),0,1/VLOOKUP($R521,Capa!$A:$AJ,BL$5,0))))</f>
        <v/>
      </c>
      <c r="BM521" s="174" t="str">
        <f>IF(BM$6="","",IF(BM$3="Maior",iferror(VLOOKUP($R521,Capa!$A:$AJ,BM$5,0),0),IF(ISERROR(1/VLOOKUP($R521,Capa!$A:$AJ,BM$5,0)),0,1/VLOOKUP($R521,Capa!$A:$AJ,BM$5,0))))</f>
        <v/>
      </c>
      <c r="BN521" s="174" t="str">
        <f>IF(BN$6="","",IF(BN$3="Maior",iferror(VLOOKUP($R521,Capa!$A:$AJ,BN$5,0),0),IF(ISERROR(1/VLOOKUP($R521,Capa!$A:$AJ,BN$5,0)),0,1/VLOOKUP($R521,Capa!$A:$AJ,BN$5,0))))</f>
        <v/>
      </c>
      <c r="BO521" s="174" t="str">
        <f>IF(BO$6="","",IF(BO$3="Maior",iferror(VLOOKUP($R521,Capa!$A:$AJ,BO$5,0),0),IF(ISERROR(1/VLOOKUP($R521,Capa!$A:$AJ,BO$5,0)),0,1/VLOOKUP($R521,Capa!$A:$AJ,BO$5,0))))</f>
        <v/>
      </c>
      <c r="BP521" s="174" t="str">
        <f>IF(BP$6="","",IF(BP$3="Maior",iferror(VLOOKUP($R521,Capa!$A:$AJ,BP$5,0),0),IF(ISERROR(1/VLOOKUP($R521,Capa!$A:$AJ,BP$5,0)),0,1/VLOOKUP($R521,Capa!$A:$AJ,BP$5,0))))</f>
        <v/>
      </c>
      <c r="BQ521" s="174" t="str">
        <f>IF(BQ$6="","",IF(BQ$3="Maior",iferror(VLOOKUP($R521,Capa!$A:$AJ,BQ$5,0),0),IF(ISERROR(1/VLOOKUP($R521,Capa!$A:$AJ,BQ$5,0)),0,1/VLOOKUP($R521,Capa!$A:$AJ,BQ$5,0))))</f>
        <v/>
      </c>
      <c r="BR521" s="175"/>
      <c r="BS521" s="147"/>
    </row>
    <row r="522">
      <c r="H522" s="8">
        <v>516.0</v>
      </c>
      <c r="I522" s="165" t="str">
        <f t="shared" si="6"/>
        <v>FIEI3</v>
      </c>
      <c r="J522" s="166" t="str">
        <f>(VLOOKUP($I522,Capa!$A:$B,2,0))</f>
        <v>FICA Empreendimentos Imobiliarios SA</v>
      </c>
      <c r="K522" s="167" t="str">
        <f>VLOOKUP(left(I522,4),Setor!A:D,3,0)&amp;" | "&amp;VLOOKUP(left(I522,4),Setor!A:D,4,0)</f>
        <v>#N/A</v>
      </c>
      <c r="L522" s="168">
        <f>(VLOOKUP($I522,Capa!$A:$F,6,0))</f>
        <v>12.6</v>
      </c>
      <c r="M522" s="168">
        <f t="shared" si="7"/>
        <v>10517.11</v>
      </c>
      <c r="N522" s="11" t="str">
        <f>IFERROR(__xludf.DUMMYFUNCTION("(VLOOKUP($I522,Capa!$A:$H,7,0))"),"")</f>
        <v/>
      </c>
      <c r="O522" s="169">
        <f>(VLOOKUP($I522,Capa!$A:$H,8,0))</f>
        <v>-0.1480730223</v>
      </c>
      <c r="P522" s="11" t="str">
        <f>IFERROR(__xludf.DUMMYFUNCTION("(VLOOKUP($I522,Capa!$A:$J,10,0))"),"")</f>
        <v/>
      </c>
      <c r="Q522" s="169" t="str">
        <f>(VLOOKUP($I522,Capa!$A:$K,11,0))</f>
        <v/>
      </c>
      <c r="R522" s="45" t="str">
        <f>'Dados StatusInvest'!A517</f>
        <v>SCAR3</v>
      </c>
      <c r="S522" s="170">
        <f t="shared" si="234"/>
        <v>743.0743</v>
      </c>
      <c r="T522" s="171">
        <f>VLOOKUP(R522,'Dados StatusInvest'!A:Z,26,0)</f>
        <v>755916</v>
      </c>
      <c r="U522" s="172">
        <f t="shared" ref="U522:AS522" si="525">IF(AT522="","", RANK(AT522,AT$7:AT$626,0)+RANK(AT522,AT$7:AT$626,0)/10000)</f>
        <v>476.0476</v>
      </c>
      <c r="V522" s="172">
        <f t="shared" si="525"/>
        <v>267.0267</v>
      </c>
      <c r="W522" s="172" t="str">
        <f t="shared" si="525"/>
        <v/>
      </c>
      <c r="X522" s="172" t="str">
        <f t="shared" si="525"/>
        <v/>
      </c>
      <c r="Y522" s="172" t="str">
        <f t="shared" si="525"/>
        <v/>
      </c>
      <c r="Z522" s="172" t="str">
        <f t="shared" si="525"/>
        <v/>
      </c>
      <c r="AA522" s="172" t="str">
        <f t="shared" si="525"/>
        <v/>
      </c>
      <c r="AB522" s="172" t="str">
        <f t="shared" si="525"/>
        <v/>
      </c>
      <c r="AC522" s="172" t="str">
        <f t="shared" si="525"/>
        <v/>
      </c>
      <c r="AD522" s="172" t="str">
        <f t="shared" si="525"/>
        <v/>
      </c>
      <c r="AE522" s="172" t="str">
        <f t="shared" si="525"/>
        <v/>
      </c>
      <c r="AF522" s="172" t="str">
        <f t="shared" si="525"/>
        <v/>
      </c>
      <c r="AG522" s="172" t="str">
        <f t="shared" si="525"/>
        <v/>
      </c>
      <c r="AH522" s="172" t="str">
        <f t="shared" si="525"/>
        <v/>
      </c>
      <c r="AI522" s="172" t="str">
        <f t="shared" si="525"/>
        <v/>
      </c>
      <c r="AJ522" s="172" t="str">
        <f t="shared" si="525"/>
        <v/>
      </c>
      <c r="AK522" s="172" t="str">
        <f t="shared" si="525"/>
        <v/>
      </c>
      <c r="AL522" s="172" t="str">
        <f t="shared" si="525"/>
        <v/>
      </c>
      <c r="AM522" s="172" t="str">
        <f t="shared" si="525"/>
        <v/>
      </c>
      <c r="AN522" s="172" t="str">
        <f t="shared" si="525"/>
        <v/>
      </c>
      <c r="AO522" s="172" t="str">
        <f t="shared" si="525"/>
        <v/>
      </c>
      <c r="AP522" s="172" t="str">
        <f t="shared" si="525"/>
        <v/>
      </c>
      <c r="AQ522" s="172" t="str">
        <f t="shared" si="525"/>
        <v/>
      </c>
      <c r="AR522" s="172" t="str">
        <f t="shared" si="525"/>
        <v/>
      </c>
      <c r="AS522" s="172" t="str">
        <f t="shared" si="525"/>
        <v/>
      </c>
      <c r="AT522" s="173">
        <f>IF(AT$6="","",IF(AT$3="Maior",iferror(VLOOKUP($R522,Capa!$A:$AJ,AT$5,0),0),IF(ISERROR(1/VLOOKUP($R522,Capa!$A:$AJ,AT$5,0)),0,1/VLOOKUP($R522,Capa!$A:$AJ,AT$5,0))))</f>
        <v>-2.472952087</v>
      </c>
      <c r="AU522" s="174">
        <f>IF(AU$6="","",IF(AU$3="Maior",iferror(VLOOKUP($R522,Capa!$A:$AJ,AU$5,0),0),IF(ISERROR(1/VLOOKUP($R522,Capa!$A:$AJ,AU$5,0)),0,1/VLOOKUP($R522,Capa!$A:$AJ,AU$5,0))))</f>
        <v>0</v>
      </c>
      <c r="AV522" s="174" t="str">
        <f>IF(AV$6="","",IF(AV$3="Maior",iferror(VLOOKUP($R522,Capa!$A:$AJ,AV$5,0),0),IF(ISERROR(1/VLOOKUP($R522,Capa!$A:$AJ,AV$5,0)),0,1/VLOOKUP($R522,Capa!$A:$AJ,AV$5,0))))</f>
        <v/>
      </c>
      <c r="AW522" s="174" t="str">
        <f>IF(AW$6="","",IF(AW$3="Maior",iferror(VLOOKUP($R522,Capa!$A:$AJ,AW$5,0),0),IF(ISERROR(1/VLOOKUP($R522,Capa!$A:$AJ,AW$5,0)),0,1/VLOOKUP($R522,Capa!$A:$AJ,AW$5,0))))</f>
        <v/>
      </c>
      <c r="AX522" s="174" t="str">
        <f>IF(AX$6="","",IF(AX$3="Maior",iferror(VLOOKUP($R522,Capa!$A:$AJ,AX$5,0),0),IF(ISERROR(1/VLOOKUP($R522,Capa!$A:$AJ,AX$5,0)),0,1/VLOOKUP($R522,Capa!$A:$AJ,AX$5,0))))</f>
        <v/>
      </c>
      <c r="AY522" s="174" t="str">
        <f>IF(AY$6="","",IF(AY$3="Maior",iferror(VLOOKUP($R522,Capa!$A:$AJ,AY$5,0),0),IF(ISERROR(1/VLOOKUP($R522,Capa!$A:$AJ,AY$5,0)),0,1/VLOOKUP($R522,Capa!$A:$AJ,AY$5,0))))</f>
        <v/>
      </c>
      <c r="AZ522" s="174" t="str">
        <f>IF(AZ$6="","",IF(AZ$3="Maior",iferror(VLOOKUP($R522,Capa!$A:$AJ,AZ$5,0),0),IF(ISERROR(1/VLOOKUP($R522,Capa!$A:$AJ,AZ$5,0)),0,1/VLOOKUP($R522,Capa!$A:$AJ,AZ$5,0))))</f>
        <v/>
      </c>
      <c r="BA522" s="174" t="str">
        <f>IF(BA$6="","",IF(BA$3="Maior",iferror(VLOOKUP($R522,Capa!$A:$AJ,BA$5,0),0),IF(ISERROR(1/VLOOKUP($R522,Capa!$A:$AJ,BA$5,0)),0,1/VLOOKUP($R522,Capa!$A:$AJ,BA$5,0))))</f>
        <v/>
      </c>
      <c r="BB522" s="174" t="str">
        <f>IF(BB$6="","",IF(BB$3="Maior",iferror(VLOOKUP($R522,Capa!$A:$AJ,BB$5,0),0),IF(ISERROR(1/VLOOKUP($R522,Capa!$A:$AJ,BB$5,0)),0,1/VLOOKUP($R522,Capa!$A:$AJ,BB$5,0))))</f>
        <v/>
      </c>
      <c r="BC522" s="174" t="str">
        <f>IF(BC$6="","",IF(BC$3="Maior",iferror(VLOOKUP($R522,Capa!$A:$AJ,BC$5,0),0),IF(ISERROR(1/VLOOKUP($R522,Capa!$A:$AJ,BC$5,0)),0,1/VLOOKUP($R522,Capa!$A:$AJ,BC$5,0))))</f>
        <v/>
      </c>
      <c r="BD522" s="174" t="str">
        <f>IF(BD$6="","",IF(BD$3="Maior",iferror(VLOOKUP($R522,Capa!$A:$AJ,BD$5,0),0),IF(ISERROR(1/VLOOKUP($R522,Capa!$A:$AJ,BD$5,0)),0,1/VLOOKUP($R522,Capa!$A:$AJ,BD$5,0))))</f>
        <v/>
      </c>
      <c r="BE522" s="174" t="str">
        <f>IF(BE$6="","",IF(BE$3="Maior",iferror(VLOOKUP($R522,Capa!$A:$AJ,BE$5,0),0),IF(ISERROR(1/VLOOKUP($R522,Capa!$A:$AJ,BE$5,0)),0,1/VLOOKUP($R522,Capa!$A:$AJ,BE$5,0))))</f>
        <v/>
      </c>
      <c r="BF522" s="174" t="str">
        <f>IF(BF$6="","",IF(BF$3="Maior",iferror(VLOOKUP($R522,Capa!$A:$AJ,BF$5,0),0),IF(ISERROR(1/VLOOKUP($R522,Capa!$A:$AJ,BF$5,0)),0,1/VLOOKUP($R522,Capa!$A:$AJ,BF$5,0))))</f>
        <v/>
      </c>
      <c r="BG522" s="174" t="str">
        <f>IF(BG$6="","",IF(BG$3="Maior",iferror(VLOOKUP($R522,Capa!$A:$AJ,BG$5,0),0),IF(ISERROR(1/VLOOKUP($R522,Capa!$A:$AJ,BG$5,0)),0,1/VLOOKUP($R522,Capa!$A:$AJ,BG$5,0))))</f>
        <v/>
      </c>
      <c r="BH522" s="174" t="str">
        <f>IF(BH$6="","",IF(BH$3="Maior",iferror(VLOOKUP($R522,Capa!$A:$AJ,BH$5,0),0),IF(ISERROR(1/VLOOKUP($R522,Capa!$A:$AJ,BH$5,0)),0,1/VLOOKUP($R522,Capa!$A:$AJ,BH$5,0))))</f>
        <v/>
      </c>
      <c r="BI522" s="174" t="str">
        <f>IF(BI$6="","",IF(BI$3="Maior",iferror(VLOOKUP($R522,Capa!$A:$AJ,BI$5,0),0),IF(ISERROR(1/VLOOKUP($R522,Capa!$A:$AJ,BI$5,0)),0,1/VLOOKUP($R522,Capa!$A:$AJ,BI$5,0))))</f>
        <v/>
      </c>
      <c r="BJ522" s="174" t="str">
        <f>IF(BJ$6="","",IF(BJ$3="Maior",iferror(VLOOKUP($R522,Capa!$A:$AJ,BJ$5,0),0),IF(ISERROR(1/VLOOKUP($R522,Capa!$A:$AJ,BJ$5,0)),0,1/VLOOKUP($R522,Capa!$A:$AJ,BJ$5,0))))</f>
        <v/>
      </c>
      <c r="BK522" s="174" t="str">
        <f>IF(BK$6="","",IF(BK$3="Maior",iferror(VLOOKUP($R522,Capa!$A:$AJ,BK$5,0),0),IF(ISERROR(1/VLOOKUP($R522,Capa!$A:$AJ,BK$5,0)),0,1/VLOOKUP($R522,Capa!$A:$AJ,BK$5,0))))</f>
        <v/>
      </c>
      <c r="BL522" s="174" t="str">
        <f>IF(BL$6="","",IF(BL$3="Maior",iferror(VLOOKUP($R522,Capa!$A:$AJ,BL$5,0),0),IF(ISERROR(1/VLOOKUP($R522,Capa!$A:$AJ,BL$5,0)),0,1/VLOOKUP($R522,Capa!$A:$AJ,BL$5,0))))</f>
        <v/>
      </c>
      <c r="BM522" s="174" t="str">
        <f>IF(BM$6="","",IF(BM$3="Maior",iferror(VLOOKUP($R522,Capa!$A:$AJ,BM$5,0),0),IF(ISERROR(1/VLOOKUP($R522,Capa!$A:$AJ,BM$5,0)),0,1/VLOOKUP($R522,Capa!$A:$AJ,BM$5,0))))</f>
        <v/>
      </c>
      <c r="BN522" s="174" t="str">
        <f>IF(BN$6="","",IF(BN$3="Maior",iferror(VLOOKUP($R522,Capa!$A:$AJ,BN$5,0),0),IF(ISERROR(1/VLOOKUP($R522,Capa!$A:$AJ,BN$5,0)),0,1/VLOOKUP($R522,Capa!$A:$AJ,BN$5,0))))</f>
        <v/>
      </c>
      <c r="BO522" s="174" t="str">
        <f>IF(BO$6="","",IF(BO$3="Maior",iferror(VLOOKUP($R522,Capa!$A:$AJ,BO$5,0),0),IF(ISERROR(1/VLOOKUP($R522,Capa!$A:$AJ,BO$5,0)),0,1/VLOOKUP($R522,Capa!$A:$AJ,BO$5,0))))</f>
        <v/>
      </c>
      <c r="BP522" s="174" t="str">
        <f>IF(BP$6="","",IF(BP$3="Maior",iferror(VLOOKUP($R522,Capa!$A:$AJ,BP$5,0),0),IF(ISERROR(1/VLOOKUP($R522,Capa!$A:$AJ,BP$5,0)),0,1/VLOOKUP($R522,Capa!$A:$AJ,BP$5,0))))</f>
        <v/>
      </c>
      <c r="BQ522" s="174" t="str">
        <f>IF(BQ$6="","",IF(BQ$3="Maior",iferror(VLOOKUP($R522,Capa!$A:$AJ,BQ$5,0),0),IF(ISERROR(1/VLOOKUP($R522,Capa!$A:$AJ,BQ$5,0)),0,1/VLOOKUP($R522,Capa!$A:$AJ,BQ$5,0))))</f>
        <v/>
      </c>
      <c r="BR522" s="175"/>
      <c r="BS522" s="147"/>
    </row>
    <row r="523">
      <c r="H523" s="8">
        <v>517.0</v>
      </c>
      <c r="I523" s="165" t="str">
        <f t="shared" si="6"/>
        <v>HETA3</v>
      </c>
      <c r="J523" s="166" t="str">
        <f>(VLOOKUP($I523,Capa!$A:$B,2,0))</f>
        <v>Hercules SA Fabrica De Talheres</v>
      </c>
      <c r="K523" s="167" t="str">
        <f>VLOOKUP(left(I523,4),Setor!A:D,3,0)&amp;" | "&amp;VLOOKUP(left(I523,4),Setor!A:D,4,0)</f>
        <v>Consumo Cíclico | Utilidades Domésticas</v>
      </c>
      <c r="L523" s="168">
        <f>(VLOOKUP($I523,Capa!$A:$F,6,0))</f>
        <v>96</v>
      </c>
      <c r="M523" s="168">
        <f t="shared" si="7"/>
        <v>0</v>
      </c>
      <c r="N523" s="11" t="str">
        <f>IFERROR(__xludf.DUMMYFUNCTION("(VLOOKUP($I523,Capa!$A:$H,7,0))"),"")</f>
        <v/>
      </c>
      <c r="O523" s="169" t="str">
        <f>(VLOOKUP($I523,Capa!$A:$H,8,0))</f>
        <v/>
      </c>
      <c r="P523" s="11" t="str">
        <f>IFERROR(__xludf.DUMMYFUNCTION("(VLOOKUP($I523,Capa!$A:$J,10,0))"),"")</f>
        <v/>
      </c>
      <c r="Q523" s="169" t="str">
        <f>(VLOOKUP($I523,Capa!$A:$K,11,0))</f>
        <v/>
      </c>
      <c r="R523" s="45" t="str">
        <f>'Dados StatusInvest'!A518</f>
        <v>SEDU3</v>
      </c>
      <c r="S523" s="170">
        <f t="shared" si="234"/>
        <v>1389.0389</v>
      </c>
      <c r="T523" s="171">
        <f>VLOOKUP(R523,'Dados StatusInvest'!A:Z,26,0)</f>
        <v>0</v>
      </c>
      <c r="U523" s="172">
        <f t="shared" ref="U523:AS523" si="526">IF(AT523="","", RANK(AT523,AT$7:AT$626,0)+RANK(AT523,AT$7:AT$626,0)/10000)</f>
        <v>122.0122</v>
      </c>
      <c r="V523" s="172">
        <f t="shared" si="526"/>
        <v>267.0267</v>
      </c>
      <c r="W523" s="172" t="str">
        <f t="shared" si="526"/>
        <v/>
      </c>
      <c r="X523" s="172" t="str">
        <f t="shared" si="526"/>
        <v/>
      </c>
      <c r="Y523" s="172" t="str">
        <f t="shared" si="526"/>
        <v/>
      </c>
      <c r="Z523" s="172" t="str">
        <f t="shared" si="526"/>
        <v/>
      </c>
      <c r="AA523" s="172" t="str">
        <f t="shared" si="526"/>
        <v/>
      </c>
      <c r="AB523" s="172" t="str">
        <f t="shared" si="526"/>
        <v/>
      </c>
      <c r="AC523" s="172" t="str">
        <f t="shared" si="526"/>
        <v/>
      </c>
      <c r="AD523" s="172" t="str">
        <f t="shared" si="526"/>
        <v/>
      </c>
      <c r="AE523" s="172" t="str">
        <f t="shared" si="526"/>
        <v/>
      </c>
      <c r="AF523" s="172" t="str">
        <f t="shared" si="526"/>
        <v/>
      </c>
      <c r="AG523" s="172" t="str">
        <f t="shared" si="526"/>
        <v/>
      </c>
      <c r="AH523" s="172" t="str">
        <f t="shared" si="526"/>
        <v/>
      </c>
      <c r="AI523" s="172" t="str">
        <f t="shared" si="526"/>
        <v/>
      </c>
      <c r="AJ523" s="172" t="str">
        <f t="shared" si="526"/>
        <v/>
      </c>
      <c r="AK523" s="172" t="str">
        <f t="shared" si="526"/>
        <v/>
      </c>
      <c r="AL523" s="172" t="str">
        <f t="shared" si="526"/>
        <v/>
      </c>
      <c r="AM523" s="172" t="str">
        <f t="shared" si="526"/>
        <v/>
      </c>
      <c r="AN523" s="172" t="str">
        <f t="shared" si="526"/>
        <v/>
      </c>
      <c r="AO523" s="172" t="str">
        <f t="shared" si="526"/>
        <v/>
      </c>
      <c r="AP523" s="172" t="str">
        <f t="shared" si="526"/>
        <v/>
      </c>
      <c r="AQ523" s="172" t="str">
        <f t="shared" si="526"/>
        <v/>
      </c>
      <c r="AR523" s="172" t="str">
        <f t="shared" si="526"/>
        <v/>
      </c>
      <c r="AS523" s="172" t="str">
        <f t="shared" si="526"/>
        <v/>
      </c>
      <c r="AT523" s="173">
        <f>IF(AT$6="","",IF(AT$3="Maior",iferror(VLOOKUP($R523,Capa!$A:$AJ,AT$5,0),0),IF(ISERROR(1/VLOOKUP($R523,Capa!$A:$AJ,AT$5,0)),0,1/VLOOKUP($R523,Capa!$A:$AJ,AT$5,0))))</f>
        <v>-0.01661957786</v>
      </c>
      <c r="AU523" s="174">
        <f>IF(AU$6="","",IF(AU$3="Maior",iferror(VLOOKUP($R523,Capa!$A:$AJ,AU$5,0),0),IF(ISERROR(1/VLOOKUP($R523,Capa!$A:$AJ,AU$5,0)),0,1/VLOOKUP($R523,Capa!$A:$AJ,AU$5,0))))</f>
        <v>0</v>
      </c>
      <c r="AV523" s="174" t="str">
        <f>IF(AV$6="","",IF(AV$3="Maior",iferror(VLOOKUP($R523,Capa!$A:$AJ,AV$5,0),0),IF(ISERROR(1/VLOOKUP($R523,Capa!$A:$AJ,AV$5,0)),0,1/VLOOKUP($R523,Capa!$A:$AJ,AV$5,0))))</f>
        <v/>
      </c>
      <c r="AW523" s="174" t="str">
        <f>IF(AW$6="","",IF(AW$3="Maior",iferror(VLOOKUP($R523,Capa!$A:$AJ,AW$5,0),0),IF(ISERROR(1/VLOOKUP($R523,Capa!$A:$AJ,AW$5,0)),0,1/VLOOKUP($R523,Capa!$A:$AJ,AW$5,0))))</f>
        <v/>
      </c>
      <c r="AX523" s="174" t="str">
        <f>IF(AX$6="","",IF(AX$3="Maior",iferror(VLOOKUP($R523,Capa!$A:$AJ,AX$5,0),0),IF(ISERROR(1/VLOOKUP($R523,Capa!$A:$AJ,AX$5,0)),0,1/VLOOKUP($R523,Capa!$A:$AJ,AX$5,0))))</f>
        <v/>
      </c>
      <c r="AY523" s="174" t="str">
        <f>IF(AY$6="","",IF(AY$3="Maior",iferror(VLOOKUP($R523,Capa!$A:$AJ,AY$5,0),0),IF(ISERROR(1/VLOOKUP($R523,Capa!$A:$AJ,AY$5,0)),0,1/VLOOKUP($R523,Capa!$A:$AJ,AY$5,0))))</f>
        <v/>
      </c>
      <c r="AZ523" s="174" t="str">
        <f>IF(AZ$6="","",IF(AZ$3="Maior",iferror(VLOOKUP($R523,Capa!$A:$AJ,AZ$5,0),0),IF(ISERROR(1/VLOOKUP($R523,Capa!$A:$AJ,AZ$5,0)),0,1/VLOOKUP($R523,Capa!$A:$AJ,AZ$5,0))))</f>
        <v/>
      </c>
      <c r="BA523" s="174" t="str">
        <f>IF(BA$6="","",IF(BA$3="Maior",iferror(VLOOKUP($R523,Capa!$A:$AJ,BA$5,0),0),IF(ISERROR(1/VLOOKUP($R523,Capa!$A:$AJ,BA$5,0)),0,1/VLOOKUP($R523,Capa!$A:$AJ,BA$5,0))))</f>
        <v/>
      </c>
      <c r="BB523" s="174" t="str">
        <f>IF(BB$6="","",IF(BB$3="Maior",iferror(VLOOKUP($R523,Capa!$A:$AJ,BB$5,0),0),IF(ISERROR(1/VLOOKUP($R523,Capa!$A:$AJ,BB$5,0)),0,1/VLOOKUP($R523,Capa!$A:$AJ,BB$5,0))))</f>
        <v/>
      </c>
      <c r="BC523" s="174" t="str">
        <f>IF(BC$6="","",IF(BC$3="Maior",iferror(VLOOKUP($R523,Capa!$A:$AJ,BC$5,0),0),IF(ISERROR(1/VLOOKUP($R523,Capa!$A:$AJ,BC$5,0)),0,1/VLOOKUP($R523,Capa!$A:$AJ,BC$5,0))))</f>
        <v/>
      </c>
      <c r="BD523" s="174" t="str">
        <f>IF(BD$6="","",IF(BD$3="Maior",iferror(VLOOKUP($R523,Capa!$A:$AJ,BD$5,0),0),IF(ISERROR(1/VLOOKUP($R523,Capa!$A:$AJ,BD$5,0)),0,1/VLOOKUP($R523,Capa!$A:$AJ,BD$5,0))))</f>
        <v/>
      </c>
      <c r="BE523" s="174" t="str">
        <f>IF(BE$6="","",IF(BE$3="Maior",iferror(VLOOKUP($R523,Capa!$A:$AJ,BE$5,0),0),IF(ISERROR(1/VLOOKUP($R523,Capa!$A:$AJ,BE$5,0)),0,1/VLOOKUP($R523,Capa!$A:$AJ,BE$5,0))))</f>
        <v/>
      </c>
      <c r="BF523" s="174" t="str">
        <f>IF(BF$6="","",IF(BF$3="Maior",iferror(VLOOKUP($R523,Capa!$A:$AJ,BF$5,0),0),IF(ISERROR(1/VLOOKUP($R523,Capa!$A:$AJ,BF$5,0)),0,1/VLOOKUP($R523,Capa!$A:$AJ,BF$5,0))))</f>
        <v/>
      </c>
      <c r="BG523" s="174" t="str">
        <f>IF(BG$6="","",IF(BG$3="Maior",iferror(VLOOKUP($R523,Capa!$A:$AJ,BG$5,0),0),IF(ISERROR(1/VLOOKUP($R523,Capa!$A:$AJ,BG$5,0)),0,1/VLOOKUP($R523,Capa!$A:$AJ,BG$5,0))))</f>
        <v/>
      </c>
      <c r="BH523" s="174" t="str">
        <f>IF(BH$6="","",IF(BH$3="Maior",iferror(VLOOKUP($R523,Capa!$A:$AJ,BH$5,0),0),IF(ISERROR(1/VLOOKUP($R523,Capa!$A:$AJ,BH$5,0)),0,1/VLOOKUP($R523,Capa!$A:$AJ,BH$5,0))))</f>
        <v/>
      </c>
      <c r="BI523" s="174" t="str">
        <f>IF(BI$6="","",IF(BI$3="Maior",iferror(VLOOKUP($R523,Capa!$A:$AJ,BI$5,0),0),IF(ISERROR(1/VLOOKUP($R523,Capa!$A:$AJ,BI$5,0)),0,1/VLOOKUP($R523,Capa!$A:$AJ,BI$5,0))))</f>
        <v/>
      </c>
      <c r="BJ523" s="174" t="str">
        <f>IF(BJ$6="","",IF(BJ$3="Maior",iferror(VLOOKUP($R523,Capa!$A:$AJ,BJ$5,0),0),IF(ISERROR(1/VLOOKUP($R523,Capa!$A:$AJ,BJ$5,0)),0,1/VLOOKUP($R523,Capa!$A:$AJ,BJ$5,0))))</f>
        <v/>
      </c>
      <c r="BK523" s="174" t="str">
        <f>IF(BK$6="","",IF(BK$3="Maior",iferror(VLOOKUP($R523,Capa!$A:$AJ,BK$5,0),0),IF(ISERROR(1/VLOOKUP($R523,Capa!$A:$AJ,BK$5,0)),0,1/VLOOKUP($R523,Capa!$A:$AJ,BK$5,0))))</f>
        <v/>
      </c>
      <c r="BL523" s="174" t="str">
        <f>IF(BL$6="","",IF(BL$3="Maior",iferror(VLOOKUP($R523,Capa!$A:$AJ,BL$5,0),0),IF(ISERROR(1/VLOOKUP($R523,Capa!$A:$AJ,BL$5,0)),0,1/VLOOKUP($R523,Capa!$A:$AJ,BL$5,0))))</f>
        <v/>
      </c>
      <c r="BM523" s="174" t="str">
        <f>IF(BM$6="","",IF(BM$3="Maior",iferror(VLOOKUP($R523,Capa!$A:$AJ,BM$5,0),0),IF(ISERROR(1/VLOOKUP($R523,Capa!$A:$AJ,BM$5,0)),0,1/VLOOKUP($R523,Capa!$A:$AJ,BM$5,0))))</f>
        <v/>
      </c>
      <c r="BN523" s="174" t="str">
        <f>IF(BN$6="","",IF(BN$3="Maior",iferror(VLOOKUP($R523,Capa!$A:$AJ,BN$5,0),0),IF(ISERROR(1/VLOOKUP($R523,Capa!$A:$AJ,BN$5,0)),0,1/VLOOKUP($R523,Capa!$A:$AJ,BN$5,0))))</f>
        <v/>
      </c>
      <c r="BO523" s="174" t="str">
        <f>IF(BO$6="","",IF(BO$3="Maior",iferror(VLOOKUP($R523,Capa!$A:$AJ,BO$5,0),0),IF(ISERROR(1/VLOOKUP($R523,Capa!$A:$AJ,BO$5,0)),0,1/VLOOKUP($R523,Capa!$A:$AJ,BO$5,0))))</f>
        <v/>
      </c>
      <c r="BP523" s="174" t="str">
        <f>IF(BP$6="","",IF(BP$3="Maior",iferror(VLOOKUP($R523,Capa!$A:$AJ,BP$5,0),0),IF(ISERROR(1/VLOOKUP($R523,Capa!$A:$AJ,BP$5,0)),0,1/VLOOKUP($R523,Capa!$A:$AJ,BP$5,0))))</f>
        <v/>
      </c>
      <c r="BQ523" s="174" t="str">
        <f>IF(BQ$6="","",IF(BQ$3="Maior",iferror(VLOOKUP($R523,Capa!$A:$AJ,BQ$5,0),0),IF(ISERROR(1/VLOOKUP($R523,Capa!$A:$AJ,BQ$5,0)),0,1/VLOOKUP($R523,Capa!$A:$AJ,BQ$5,0))))</f>
        <v/>
      </c>
      <c r="BR523" s="175"/>
      <c r="BS523" s="147"/>
    </row>
    <row r="524">
      <c r="H524" s="8">
        <v>518.0</v>
      </c>
      <c r="I524" s="165" t="str">
        <f t="shared" si="6"/>
        <v>AVLL3</v>
      </c>
      <c r="J524" s="166" t="str">
        <f>(VLOOKUP($I524,Capa!$A:$B,2,0))</f>
        <v>Alphaville SA</v>
      </c>
      <c r="K524" s="167" t="str">
        <f>VLOOKUP(left(I524,4),Setor!A:D,3,0)&amp;" | "&amp;VLOOKUP(left(I524,4),Setor!A:D,4,0)</f>
        <v>#N/A</v>
      </c>
      <c r="L524" s="168">
        <f>(VLOOKUP($I524,Capa!$A:$F,6,0))</f>
        <v>0.85</v>
      </c>
      <c r="M524" s="168">
        <f t="shared" si="7"/>
        <v>11173.05</v>
      </c>
      <c r="N524" s="11" t="str">
        <f>IFERROR(__xludf.DUMMYFUNCTION("(VLOOKUP($I524,Capa!$A:$H,7,0))"),"")</f>
        <v/>
      </c>
      <c r="O524" s="169">
        <f>(VLOOKUP($I524,Capa!$A:$H,8,0))</f>
        <v>-0.01162790698</v>
      </c>
      <c r="P524" s="11" t="str">
        <f>IFERROR(__xludf.DUMMYFUNCTION("(VLOOKUP($I524,Capa!$A:$J,10,0))"),"")</f>
        <v/>
      </c>
      <c r="Q524" s="169">
        <f>(VLOOKUP($I524,Capa!$A:$K,11,0))</f>
        <v>-0.6271929825</v>
      </c>
      <c r="R524" s="45" t="str">
        <f>'Dados StatusInvest'!A519</f>
        <v>SEER3</v>
      </c>
      <c r="S524" s="170">
        <f t="shared" si="234"/>
        <v>903.0903</v>
      </c>
      <c r="T524" s="171">
        <f>VLOOKUP(R524,'Dados StatusInvest'!A:Z,26,0)</f>
        <v>17613954</v>
      </c>
      <c r="U524" s="172">
        <f t="shared" ref="U524:AS524" si="527">IF(AT524="","", RANK(AT524,AT$7:AT$626,0)+RANK(AT524,AT$7:AT$626,0)/10000)</f>
        <v>354.0354</v>
      </c>
      <c r="V524" s="172">
        <f t="shared" si="527"/>
        <v>549.0549</v>
      </c>
      <c r="W524" s="172" t="str">
        <f t="shared" si="527"/>
        <v/>
      </c>
      <c r="X524" s="172" t="str">
        <f t="shared" si="527"/>
        <v/>
      </c>
      <c r="Y524" s="172" t="str">
        <f t="shared" si="527"/>
        <v/>
      </c>
      <c r="Z524" s="172" t="str">
        <f t="shared" si="527"/>
        <v/>
      </c>
      <c r="AA524" s="172" t="str">
        <f t="shared" si="527"/>
        <v/>
      </c>
      <c r="AB524" s="172" t="str">
        <f t="shared" si="527"/>
        <v/>
      </c>
      <c r="AC524" s="172" t="str">
        <f t="shared" si="527"/>
        <v/>
      </c>
      <c r="AD524" s="172" t="str">
        <f t="shared" si="527"/>
        <v/>
      </c>
      <c r="AE524" s="172" t="str">
        <f t="shared" si="527"/>
        <v/>
      </c>
      <c r="AF524" s="172" t="str">
        <f t="shared" si="527"/>
        <v/>
      </c>
      <c r="AG524" s="172" t="str">
        <f t="shared" si="527"/>
        <v/>
      </c>
      <c r="AH524" s="172" t="str">
        <f t="shared" si="527"/>
        <v/>
      </c>
      <c r="AI524" s="172" t="str">
        <f t="shared" si="527"/>
        <v/>
      </c>
      <c r="AJ524" s="172" t="str">
        <f t="shared" si="527"/>
        <v/>
      </c>
      <c r="AK524" s="172" t="str">
        <f t="shared" si="527"/>
        <v/>
      </c>
      <c r="AL524" s="172" t="str">
        <f t="shared" si="527"/>
        <v/>
      </c>
      <c r="AM524" s="172" t="str">
        <f t="shared" si="527"/>
        <v/>
      </c>
      <c r="AN524" s="172" t="str">
        <f t="shared" si="527"/>
        <v/>
      </c>
      <c r="AO524" s="172" t="str">
        <f t="shared" si="527"/>
        <v/>
      </c>
      <c r="AP524" s="172" t="str">
        <f t="shared" si="527"/>
        <v/>
      </c>
      <c r="AQ524" s="172" t="str">
        <f t="shared" si="527"/>
        <v/>
      </c>
      <c r="AR524" s="172" t="str">
        <f t="shared" si="527"/>
        <v/>
      </c>
      <c r="AS524" s="172" t="str">
        <f t="shared" si="527"/>
        <v/>
      </c>
      <c r="AT524" s="173">
        <f>IF(AT$6="","",IF(AT$3="Maior",iferror(VLOOKUP($R524,Capa!$A:$AJ,AT$5,0),0),IF(ISERROR(1/VLOOKUP($R524,Capa!$A:$AJ,AT$5,0)),0,1/VLOOKUP($R524,Capa!$A:$AJ,AT$5,0))))</f>
        <v>-1.029124538</v>
      </c>
      <c r="AU524" s="174">
        <f>IF(AU$6="","",IF(AU$3="Maior",iferror(VLOOKUP($R524,Capa!$A:$AJ,AU$5,0),0),IF(ISERROR(1/VLOOKUP($R524,Capa!$A:$AJ,AU$5,0)),0,1/VLOOKUP($R524,Capa!$A:$AJ,AU$5,0))))</f>
        <v>-4.26</v>
      </c>
      <c r="AV524" s="174" t="str">
        <f>IF(AV$6="","",IF(AV$3="Maior",iferror(VLOOKUP($R524,Capa!$A:$AJ,AV$5,0),0),IF(ISERROR(1/VLOOKUP($R524,Capa!$A:$AJ,AV$5,0)),0,1/VLOOKUP($R524,Capa!$A:$AJ,AV$5,0))))</f>
        <v/>
      </c>
      <c r="AW524" s="174" t="str">
        <f>IF(AW$6="","",IF(AW$3="Maior",iferror(VLOOKUP($R524,Capa!$A:$AJ,AW$5,0),0),IF(ISERROR(1/VLOOKUP($R524,Capa!$A:$AJ,AW$5,0)),0,1/VLOOKUP($R524,Capa!$A:$AJ,AW$5,0))))</f>
        <v/>
      </c>
      <c r="AX524" s="174" t="str">
        <f>IF(AX$6="","",IF(AX$3="Maior",iferror(VLOOKUP($R524,Capa!$A:$AJ,AX$5,0),0),IF(ISERROR(1/VLOOKUP($R524,Capa!$A:$AJ,AX$5,0)),0,1/VLOOKUP($R524,Capa!$A:$AJ,AX$5,0))))</f>
        <v/>
      </c>
      <c r="AY524" s="174" t="str">
        <f>IF(AY$6="","",IF(AY$3="Maior",iferror(VLOOKUP($R524,Capa!$A:$AJ,AY$5,0),0),IF(ISERROR(1/VLOOKUP($R524,Capa!$A:$AJ,AY$5,0)),0,1/VLOOKUP($R524,Capa!$A:$AJ,AY$5,0))))</f>
        <v/>
      </c>
      <c r="AZ524" s="174" t="str">
        <f>IF(AZ$6="","",IF(AZ$3="Maior",iferror(VLOOKUP($R524,Capa!$A:$AJ,AZ$5,0),0),IF(ISERROR(1/VLOOKUP($R524,Capa!$A:$AJ,AZ$5,0)),0,1/VLOOKUP($R524,Capa!$A:$AJ,AZ$5,0))))</f>
        <v/>
      </c>
      <c r="BA524" s="174" t="str">
        <f>IF(BA$6="","",IF(BA$3="Maior",iferror(VLOOKUP($R524,Capa!$A:$AJ,BA$5,0),0),IF(ISERROR(1/VLOOKUP($R524,Capa!$A:$AJ,BA$5,0)),0,1/VLOOKUP($R524,Capa!$A:$AJ,BA$5,0))))</f>
        <v/>
      </c>
      <c r="BB524" s="174" t="str">
        <f>IF(BB$6="","",IF(BB$3="Maior",iferror(VLOOKUP($R524,Capa!$A:$AJ,BB$5,0),0),IF(ISERROR(1/VLOOKUP($R524,Capa!$A:$AJ,BB$5,0)),0,1/VLOOKUP($R524,Capa!$A:$AJ,BB$5,0))))</f>
        <v/>
      </c>
      <c r="BC524" s="174" t="str">
        <f>IF(BC$6="","",IF(BC$3="Maior",iferror(VLOOKUP($R524,Capa!$A:$AJ,BC$5,0),0),IF(ISERROR(1/VLOOKUP($R524,Capa!$A:$AJ,BC$5,0)),0,1/VLOOKUP($R524,Capa!$A:$AJ,BC$5,0))))</f>
        <v/>
      </c>
      <c r="BD524" s="174" t="str">
        <f>IF(BD$6="","",IF(BD$3="Maior",iferror(VLOOKUP($R524,Capa!$A:$AJ,BD$5,0),0),IF(ISERROR(1/VLOOKUP($R524,Capa!$A:$AJ,BD$5,0)),0,1/VLOOKUP($R524,Capa!$A:$AJ,BD$5,0))))</f>
        <v/>
      </c>
      <c r="BE524" s="174" t="str">
        <f>IF(BE$6="","",IF(BE$3="Maior",iferror(VLOOKUP($R524,Capa!$A:$AJ,BE$5,0),0),IF(ISERROR(1/VLOOKUP($R524,Capa!$A:$AJ,BE$5,0)),0,1/VLOOKUP($R524,Capa!$A:$AJ,BE$5,0))))</f>
        <v/>
      </c>
      <c r="BF524" s="174" t="str">
        <f>IF(BF$6="","",IF(BF$3="Maior",iferror(VLOOKUP($R524,Capa!$A:$AJ,BF$5,0),0),IF(ISERROR(1/VLOOKUP($R524,Capa!$A:$AJ,BF$5,0)),0,1/VLOOKUP($R524,Capa!$A:$AJ,BF$5,0))))</f>
        <v/>
      </c>
      <c r="BG524" s="174" t="str">
        <f>IF(BG$6="","",IF(BG$3="Maior",iferror(VLOOKUP($R524,Capa!$A:$AJ,BG$5,0),0),IF(ISERROR(1/VLOOKUP($R524,Capa!$A:$AJ,BG$5,0)),0,1/VLOOKUP($R524,Capa!$A:$AJ,BG$5,0))))</f>
        <v/>
      </c>
      <c r="BH524" s="174" t="str">
        <f>IF(BH$6="","",IF(BH$3="Maior",iferror(VLOOKUP($R524,Capa!$A:$AJ,BH$5,0),0),IF(ISERROR(1/VLOOKUP($R524,Capa!$A:$AJ,BH$5,0)),0,1/VLOOKUP($R524,Capa!$A:$AJ,BH$5,0))))</f>
        <v/>
      </c>
      <c r="BI524" s="174" t="str">
        <f>IF(BI$6="","",IF(BI$3="Maior",iferror(VLOOKUP($R524,Capa!$A:$AJ,BI$5,0),0),IF(ISERROR(1/VLOOKUP($R524,Capa!$A:$AJ,BI$5,0)),0,1/VLOOKUP($R524,Capa!$A:$AJ,BI$5,0))))</f>
        <v/>
      </c>
      <c r="BJ524" s="174" t="str">
        <f>IF(BJ$6="","",IF(BJ$3="Maior",iferror(VLOOKUP($R524,Capa!$A:$AJ,BJ$5,0),0),IF(ISERROR(1/VLOOKUP($R524,Capa!$A:$AJ,BJ$5,0)),0,1/VLOOKUP($R524,Capa!$A:$AJ,BJ$5,0))))</f>
        <v/>
      </c>
      <c r="BK524" s="174" t="str">
        <f>IF(BK$6="","",IF(BK$3="Maior",iferror(VLOOKUP($R524,Capa!$A:$AJ,BK$5,0),0),IF(ISERROR(1/VLOOKUP($R524,Capa!$A:$AJ,BK$5,0)),0,1/VLOOKUP($R524,Capa!$A:$AJ,BK$5,0))))</f>
        <v/>
      </c>
      <c r="BL524" s="174" t="str">
        <f>IF(BL$6="","",IF(BL$3="Maior",iferror(VLOOKUP($R524,Capa!$A:$AJ,BL$5,0),0),IF(ISERROR(1/VLOOKUP($R524,Capa!$A:$AJ,BL$5,0)),0,1/VLOOKUP($R524,Capa!$A:$AJ,BL$5,0))))</f>
        <v/>
      </c>
      <c r="BM524" s="174" t="str">
        <f>IF(BM$6="","",IF(BM$3="Maior",iferror(VLOOKUP($R524,Capa!$A:$AJ,BM$5,0),0),IF(ISERROR(1/VLOOKUP($R524,Capa!$A:$AJ,BM$5,0)),0,1/VLOOKUP($R524,Capa!$A:$AJ,BM$5,0))))</f>
        <v/>
      </c>
      <c r="BN524" s="174" t="str">
        <f>IF(BN$6="","",IF(BN$3="Maior",iferror(VLOOKUP($R524,Capa!$A:$AJ,BN$5,0),0),IF(ISERROR(1/VLOOKUP($R524,Capa!$A:$AJ,BN$5,0)),0,1/VLOOKUP($R524,Capa!$A:$AJ,BN$5,0))))</f>
        <v/>
      </c>
      <c r="BO524" s="174" t="str">
        <f>IF(BO$6="","",IF(BO$3="Maior",iferror(VLOOKUP($R524,Capa!$A:$AJ,BO$5,0),0),IF(ISERROR(1/VLOOKUP($R524,Capa!$A:$AJ,BO$5,0)),0,1/VLOOKUP($R524,Capa!$A:$AJ,BO$5,0))))</f>
        <v/>
      </c>
      <c r="BP524" s="174" t="str">
        <f>IF(BP$6="","",IF(BP$3="Maior",iferror(VLOOKUP($R524,Capa!$A:$AJ,BP$5,0),0),IF(ISERROR(1/VLOOKUP($R524,Capa!$A:$AJ,BP$5,0)),0,1/VLOOKUP($R524,Capa!$A:$AJ,BP$5,0))))</f>
        <v/>
      </c>
      <c r="BQ524" s="174" t="str">
        <f>IF(BQ$6="","",IF(BQ$3="Maior",iferror(VLOOKUP($R524,Capa!$A:$AJ,BQ$5,0),0),IF(ISERROR(1/VLOOKUP($R524,Capa!$A:$AJ,BQ$5,0)),0,1/VLOOKUP($R524,Capa!$A:$AJ,BQ$5,0))))</f>
        <v/>
      </c>
      <c r="BR524" s="175"/>
      <c r="BS524" s="147"/>
    </row>
    <row r="525">
      <c r="H525" s="8">
        <v>519.0</v>
      </c>
      <c r="I525" s="165" t="str">
        <f t="shared" si="6"/>
        <v>RNEW3</v>
      </c>
      <c r="J525" s="166" t="str">
        <f>(VLOOKUP($I525,Capa!$A:$B,2,0))</f>
        <v>Renova Energia SA Em Recuperaco Judicial</v>
      </c>
      <c r="K525" s="167" t="str">
        <f>VLOOKUP(left(I525,4),Setor!A:D,3,0)&amp;" | "&amp;VLOOKUP(left(I525,4),Setor!A:D,4,0)</f>
        <v>Utilidade Pública | Energia Elétrica</v>
      </c>
      <c r="L525" s="168">
        <f>(VLOOKUP($I525,Capa!$A:$F,6,0))</f>
        <v>1.22</v>
      </c>
      <c r="M525" s="168">
        <f t="shared" si="7"/>
        <v>95957.14</v>
      </c>
      <c r="N525" s="11" t="str">
        <f>IFERROR(__xludf.DUMMYFUNCTION("(VLOOKUP($I525,Capa!$A:$H,7,0))"),"")</f>
        <v/>
      </c>
      <c r="O525" s="169">
        <f>(VLOOKUP($I525,Capa!$A:$H,8,0))</f>
        <v>0.2079207921</v>
      </c>
      <c r="P525" s="11" t="str">
        <f>IFERROR(__xludf.DUMMYFUNCTION("(VLOOKUP($I525,Capa!$A:$J,10,0))"),"")</f>
        <v/>
      </c>
      <c r="Q525" s="169">
        <f>(VLOOKUP($I525,Capa!$A:$K,11,0))</f>
        <v>-0.4245283019</v>
      </c>
      <c r="R525" s="45" t="str">
        <f>'Dados StatusInvest'!A520</f>
        <v>SEQL3</v>
      </c>
      <c r="S525" s="170">
        <f t="shared" si="234"/>
        <v>453.0453</v>
      </c>
      <c r="T525" s="171">
        <f>VLOOKUP(R525,'Dados StatusInvest'!A:Z,26,0)</f>
        <v>674267.7</v>
      </c>
      <c r="U525" s="172">
        <f t="shared" ref="U525:AS525" si="528">IF(AT525="","", RANK(AT525,AT$7:AT$626,0)+RANK(AT525,AT$7:AT$626,0)/10000)</f>
        <v>186.0186</v>
      </c>
      <c r="V525" s="172">
        <f t="shared" si="528"/>
        <v>267.0267</v>
      </c>
      <c r="W525" s="172" t="str">
        <f t="shared" si="528"/>
        <v/>
      </c>
      <c r="X525" s="172" t="str">
        <f t="shared" si="528"/>
        <v/>
      </c>
      <c r="Y525" s="172" t="str">
        <f t="shared" si="528"/>
        <v/>
      </c>
      <c r="Z525" s="172" t="str">
        <f t="shared" si="528"/>
        <v/>
      </c>
      <c r="AA525" s="172" t="str">
        <f t="shared" si="528"/>
        <v/>
      </c>
      <c r="AB525" s="172" t="str">
        <f t="shared" si="528"/>
        <v/>
      </c>
      <c r="AC525" s="172" t="str">
        <f t="shared" si="528"/>
        <v/>
      </c>
      <c r="AD525" s="172" t="str">
        <f t="shared" si="528"/>
        <v/>
      </c>
      <c r="AE525" s="172" t="str">
        <f t="shared" si="528"/>
        <v/>
      </c>
      <c r="AF525" s="172" t="str">
        <f t="shared" si="528"/>
        <v/>
      </c>
      <c r="AG525" s="172" t="str">
        <f t="shared" si="528"/>
        <v/>
      </c>
      <c r="AH525" s="172" t="str">
        <f t="shared" si="528"/>
        <v/>
      </c>
      <c r="AI525" s="172" t="str">
        <f t="shared" si="528"/>
        <v/>
      </c>
      <c r="AJ525" s="172" t="str">
        <f t="shared" si="528"/>
        <v/>
      </c>
      <c r="AK525" s="172" t="str">
        <f t="shared" si="528"/>
        <v/>
      </c>
      <c r="AL525" s="172" t="str">
        <f t="shared" si="528"/>
        <v/>
      </c>
      <c r="AM525" s="172" t="str">
        <f t="shared" si="528"/>
        <v/>
      </c>
      <c r="AN525" s="172" t="str">
        <f t="shared" si="528"/>
        <v/>
      </c>
      <c r="AO525" s="172" t="str">
        <f t="shared" si="528"/>
        <v/>
      </c>
      <c r="AP525" s="172" t="str">
        <f t="shared" si="528"/>
        <v/>
      </c>
      <c r="AQ525" s="172" t="str">
        <f t="shared" si="528"/>
        <v/>
      </c>
      <c r="AR525" s="172" t="str">
        <f t="shared" si="528"/>
        <v/>
      </c>
      <c r="AS525" s="172" t="str">
        <f t="shared" si="528"/>
        <v/>
      </c>
      <c r="AT525" s="173">
        <f>IF(AT$6="","",IF(AT$3="Maior",iferror(VLOOKUP($R525,Capa!$A:$AJ,AT$5,0),0),IF(ISERROR(1/VLOOKUP($R525,Capa!$A:$AJ,AT$5,0)),0,1/VLOOKUP($R525,Capa!$A:$AJ,AT$5,0))))</f>
        <v>-0.2373247033</v>
      </c>
      <c r="AU525" s="174">
        <f>IF(AU$6="","",IF(AU$3="Maior",iferror(VLOOKUP($R525,Capa!$A:$AJ,AU$5,0),0),IF(ISERROR(1/VLOOKUP($R525,Capa!$A:$AJ,AU$5,0)),0,1/VLOOKUP($R525,Capa!$A:$AJ,AU$5,0))))</f>
        <v>0</v>
      </c>
      <c r="AV525" s="174" t="str">
        <f>IF(AV$6="","",IF(AV$3="Maior",iferror(VLOOKUP($R525,Capa!$A:$AJ,AV$5,0),0),IF(ISERROR(1/VLOOKUP($R525,Capa!$A:$AJ,AV$5,0)),0,1/VLOOKUP($R525,Capa!$A:$AJ,AV$5,0))))</f>
        <v/>
      </c>
      <c r="AW525" s="174" t="str">
        <f>IF(AW$6="","",IF(AW$3="Maior",iferror(VLOOKUP($R525,Capa!$A:$AJ,AW$5,0),0),IF(ISERROR(1/VLOOKUP($R525,Capa!$A:$AJ,AW$5,0)),0,1/VLOOKUP($R525,Capa!$A:$AJ,AW$5,0))))</f>
        <v/>
      </c>
      <c r="AX525" s="174" t="str">
        <f>IF(AX$6="","",IF(AX$3="Maior",iferror(VLOOKUP($R525,Capa!$A:$AJ,AX$5,0),0),IF(ISERROR(1/VLOOKUP($R525,Capa!$A:$AJ,AX$5,0)),0,1/VLOOKUP($R525,Capa!$A:$AJ,AX$5,0))))</f>
        <v/>
      </c>
      <c r="AY525" s="174" t="str">
        <f>IF(AY$6="","",IF(AY$3="Maior",iferror(VLOOKUP($R525,Capa!$A:$AJ,AY$5,0),0),IF(ISERROR(1/VLOOKUP($R525,Capa!$A:$AJ,AY$5,0)),0,1/VLOOKUP($R525,Capa!$A:$AJ,AY$5,0))))</f>
        <v/>
      </c>
      <c r="AZ525" s="174" t="str">
        <f>IF(AZ$6="","",IF(AZ$3="Maior",iferror(VLOOKUP($R525,Capa!$A:$AJ,AZ$5,0),0),IF(ISERROR(1/VLOOKUP($R525,Capa!$A:$AJ,AZ$5,0)),0,1/VLOOKUP($R525,Capa!$A:$AJ,AZ$5,0))))</f>
        <v/>
      </c>
      <c r="BA525" s="174" t="str">
        <f>IF(BA$6="","",IF(BA$3="Maior",iferror(VLOOKUP($R525,Capa!$A:$AJ,BA$5,0),0),IF(ISERROR(1/VLOOKUP($R525,Capa!$A:$AJ,BA$5,0)),0,1/VLOOKUP($R525,Capa!$A:$AJ,BA$5,0))))</f>
        <v/>
      </c>
      <c r="BB525" s="174" t="str">
        <f>IF(BB$6="","",IF(BB$3="Maior",iferror(VLOOKUP($R525,Capa!$A:$AJ,BB$5,0),0),IF(ISERROR(1/VLOOKUP($R525,Capa!$A:$AJ,BB$5,0)),0,1/VLOOKUP($R525,Capa!$A:$AJ,BB$5,0))))</f>
        <v/>
      </c>
      <c r="BC525" s="174" t="str">
        <f>IF(BC$6="","",IF(BC$3="Maior",iferror(VLOOKUP($R525,Capa!$A:$AJ,BC$5,0),0),IF(ISERROR(1/VLOOKUP($R525,Capa!$A:$AJ,BC$5,0)),0,1/VLOOKUP($R525,Capa!$A:$AJ,BC$5,0))))</f>
        <v/>
      </c>
      <c r="BD525" s="174" t="str">
        <f>IF(BD$6="","",IF(BD$3="Maior",iferror(VLOOKUP($R525,Capa!$A:$AJ,BD$5,0),0),IF(ISERROR(1/VLOOKUP($R525,Capa!$A:$AJ,BD$5,0)),0,1/VLOOKUP($R525,Capa!$A:$AJ,BD$5,0))))</f>
        <v/>
      </c>
      <c r="BE525" s="174" t="str">
        <f>IF(BE$6="","",IF(BE$3="Maior",iferror(VLOOKUP($R525,Capa!$A:$AJ,BE$5,0),0),IF(ISERROR(1/VLOOKUP($R525,Capa!$A:$AJ,BE$5,0)),0,1/VLOOKUP($R525,Capa!$A:$AJ,BE$5,0))))</f>
        <v/>
      </c>
      <c r="BF525" s="174" t="str">
        <f>IF(BF$6="","",IF(BF$3="Maior",iferror(VLOOKUP($R525,Capa!$A:$AJ,BF$5,0),0),IF(ISERROR(1/VLOOKUP($R525,Capa!$A:$AJ,BF$5,0)),0,1/VLOOKUP($R525,Capa!$A:$AJ,BF$5,0))))</f>
        <v/>
      </c>
      <c r="BG525" s="174" t="str">
        <f>IF(BG$6="","",IF(BG$3="Maior",iferror(VLOOKUP($R525,Capa!$A:$AJ,BG$5,0),0),IF(ISERROR(1/VLOOKUP($R525,Capa!$A:$AJ,BG$5,0)),0,1/VLOOKUP($R525,Capa!$A:$AJ,BG$5,0))))</f>
        <v/>
      </c>
      <c r="BH525" s="174" t="str">
        <f>IF(BH$6="","",IF(BH$3="Maior",iferror(VLOOKUP($R525,Capa!$A:$AJ,BH$5,0),0),IF(ISERROR(1/VLOOKUP($R525,Capa!$A:$AJ,BH$5,0)),0,1/VLOOKUP($R525,Capa!$A:$AJ,BH$5,0))))</f>
        <v/>
      </c>
      <c r="BI525" s="174" t="str">
        <f>IF(BI$6="","",IF(BI$3="Maior",iferror(VLOOKUP($R525,Capa!$A:$AJ,BI$5,0),0),IF(ISERROR(1/VLOOKUP($R525,Capa!$A:$AJ,BI$5,0)),0,1/VLOOKUP($R525,Capa!$A:$AJ,BI$5,0))))</f>
        <v/>
      </c>
      <c r="BJ525" s="174" t="str">
        <f>IF(BJ$6="","",IF(BJ$3="Maior",iferror(VLOOKUP($R525,Capa!$A:$AJ,BJ$5,0),0),IF(ISERROR(1/VLOOKUP($R525,Capa!$A:$AJ,BJ$5,0)),0,1/VLOOKUP($R525,Capa!$A:$AJ,BJ$5,0))))</f>
        <v/>
      </c>
      <c r="BK525" s="174" t="str">
        <f>IF(BK$6="","",IF(BK$3="Maior",iferror(VLOOKUP($R525,Capa!$A:$AJ,BK$5,0),0),IF(ISERROR(1/VLOOKUP($R525,Capa!$A:$AJ,BK$5,0)),0,1/VLOOKUP($R525,Capa!$A:$AJ,BK$5,0))))</f>
        <v/>
      </c>
      <c r="BL525" s="174" t="str">
        <f>IF(BL$6="","",IF(BL$3="Maior",iferror(VLOOKUP($R525,Capa!$A:$AJ,BL$5,0),0),IF(ISERROR(1/VLOOKUP($R525,Capa!$A:$AJ,BL$5,0)),0,1/VLOOKUP($R525,Capa!$A:$AJ,BL$5,0))))</f>
        <v/>
      </c>
      <c r="BM525" s="174" t="str">
        <f>IF(BM$6="","",IF(BM$3="Maior",iferror(VLOOKUP($R525,Capa!$A:$AJ,BM$5,0),0),IF(ISERROR(1/VLOOKUP($R525,Capa!$A:$AJ,BM$5,0)),0,1/VLOOKUP($R525,Capa!$A:$AJ,BM$5,0))))</f>
        <v/>
      </c>
      <c r="BN525" s="174" t="str">
        <f>IF(BN$6="","",IF(BN$3="Maior",iferror(VLOOKUP($R525,Capa!$A:$AJ,BN$5,0),0),IF(ISERROR(1/VLOOKUP($R525,Capa!$A:$AJ,BN$5,0)),0,1/VLOOKUP($R525,Capa!$A:$AJ,BN$5,0))))</f>
        <v/>
      </c>
      <c r="BO525" s="174" t="str">
        <f>IF(BO$6="","",IF(BO$3="Maior",iferror(VLOOKUP($R525,Capa!$A:$AJ,BO$5,0),0),IF(ISERROR(1/VLOOKUP($R525,Capa!$A:$AJ,BO$5,0)),0,1/VLOOKUP($R525,Capa!$A:$AJ,BO$5,0))))</f>
        <v/>
      </c>
      <c r="BP525" s="174" t="str">
        <f>IF(BP$6="","",IF(BP$3="Maior",iferror(VLOOKUP($R525,Capa!$A:$AJ,BP$5,0),0),IF(ISERROR(1/VLOOKUP($R525,Capa!$A:$AJ,BP$5,0)),0,1/VLOOKUP($R525,Capa!$A:$AJ,BP$5,0))))</f>
        <v/>
      </c>
      <c r="BQ525" s="174" t="str">
        <f>IF(BQ$6="","",IF(BQ$3="Maior",iferror(VLOOKUP($R525,Capa!$A:$AJ,BQ$5,0),0),IF(ISERROR(1/VLOOKUP($R525,Capa!$A:$AJ,BQ$5,0)),0,1/VLOOKUP($R525,Capa!$A:$AJ,BQ$5,0))))</f>
        <v/>
      </c>
      <c r="BR525" s="175"/>
      <c r="BS525" s="147"/>
    </row>
    <row r="526">
      <c r="H526" s="8">
        <v>520.0</v>
      </c>
      <c r="I526" s="165" t="str">
        <f t="shared" si="6"/>
        <v>FHER3</v>
      </c>
      <c r="J526" s="166" t="str">
        <f>(VLOOKUP($I526,Capa!$A:$B,2,0))</f>
        <v>Fertilizantes Heringer SA</v>
      </c>
      <c r="K526" s="167" t="str">
        <f>VLOOKUP(left(I526,4),Setor!A:D,3,0)&amp;" | "&amp;VLOOKUP(left(I526,4),Setor!A:D,4,0)</f>
        <v>Materiais Básicos | Químicos</v>
      </c>
      <c r="L526" s="168">
        <f>(VLOOKUP($I526,Capa!$A:$F,6,0))</f>
        <v>4.11</v>
      </c>
      <c r="M526" s="168">
        <f t="shared" si="7"/>
        <v>47300.05</v>
      </c>
      <c r="N526" s="11" t="str">
        <f>IFERROR(__xludf.DUMMYFUNCTION("(VLOOKUP($I526,Capa!$A:$H,7,0))"),"")</f>
        <v/>
      </c>
      <c r="O526" s="169">
        <f>(VLOOKUP($I526,Capa!$A:$H,8,0))</f>
        <v>-0.05949656751</v>
      </c>
      <c r="P526" s="11" t="str">
        <f>IFERROR(__xludf.DUMMYFUNCTION("(VLOOKUP($I526,Capa!$A:$J,10,0))"),"")</f>
        <v/>
      </c>
      <c r="Q526" s="169">
        <f>(VLOOKUP($I526,Capa!$A:$K,11,0))</f>
        <v>-0.1925343811</v>
      </c>
      <c r="R526" s="45" t="str">
        <f>'Dados StatusInvest'!A521</f>
        <v>SGPS3</v>
      </c>
      <c r="S526" s="170">
        <f t="shared" si="234"/>
        <v>1884.0884</v>
      </c>
      <c r="T526" s="171">
        <f>VLOOKUP(R526,'Dados StatusInvest'!A:Z,26,0)</f>
        <v>0</v>
      </c>
      <c r="U526" s="172">
        <f t="shared" ref="U526:AS526" si="529">IF(AT526="","", RANK(AT526,AT$7:AT$626,0)+RANK(AT526,AT$7:AT$626,0)/10000)</f>
        <v>617.0617</v>
      </c>
      <c r="V526" s="172">
        <f t="shared" si="529"/>
        <v>267.0267</v>
      </c>
      <c r="W526" s="172" t="str">
        <f t="shared" si="529"/>
        <v/>
      </c>
      <c r="X526" s="172" t="str">
        <f t="shared" si="529"/>
        <v/>
      </c>
      <c r="Y526" s="172" t="str">
        <f t="shared" si="529"/>
        <v/>
      </c>
      <c r="Z526" s="172" t="str">
        <f t="shared" si="529"/>
        <v/>
      </c>
      <c r="AA526" s="172" t="str">
        <f t="shared" si="529"/>
        <v/>
      </c>
      <c r="AB526" s="172" t="str">
        <f t="shared" si="529"/>
        <v/>
      </c>
      <c r="AC526" s="172" t="str">
        <f t="shared" si="529"/>
        <v/>
      </c>
      <c r="AD526" s="172" t="str">
        <f t="shared" si="529"/>
        <v/>
      </c>
      <c r="AE526" s="172" t="str">
        <f t="shared" si="529"/>
        <v/>
      </c>
      <c r="AF526" s="172" t="str">
        <f t="shared" si="529"/>
        <v/>
      </c>
      <c r="AG526" s="172" t="str">
        <f t="shared" si="529"/>
        <v/>
      </c>
      <c r="AH526" s="172" t="str">
        <f t="shared" si="529"/>
        <v/>
      </c>
      <c r="AI526" s="172" t="str">
        <f t="shared" si="529"/>
        <v/>
      </c>
      <c r="AJ526" s="172" t="str">
        <f t="shared" si="529"/>
        <v/>
      </c>
      <c r="AK526" s="172" t="str">
        <f t="shared" si="529"/>
        <v/>
      </c>
      <c r="AL526" s="172" t="str">
        <f t="shared" si="529"/>
        <v/>
      </c>
      <c r="AM526" s="172" t="str">
        <f t="shared" si="529"/>
        <v/>
      </c>
      <c r="AN526" s="172" t="str">
        <f t="shared" si="529"/>
        <v/>
      </c>
      <c r="AO526" s="172" t="str">
        <f t="shared" si="529"/>
        <v/>
      </c>
      <c r="AP526" s="172" t="str">
        <f t="shared" si="529"/>
        <v/>
      </c>
      <c r="AQ526" s="172" t="str">
        <f t="shared" si="529"/>
        <v/>
      </c>
      <c r="AR526" s="172" t="str">
        <f t="shared" si="529"/>
        <v/>
      </c>
      <c r="AS526" s="172" t="str">
        <f t="shared" si="529"/>
        <v/>
      </c>
      <c r="AT526" s="173">
        <f>IF(AT$6="","",IF(AT$3="Maior",iferror(VLOOKUP($R526,Capa!$A:$AJ,AT$5,0),0),IF(ISERROR(1/VLOOKUP($R526,Capa!$A:$AJ,AT$5,0)),0,1/VLOOKUP($R526,Capa!$A:$AJ,AT$5,0))))</f>
        <v>-100</v>
      </c>
      <c r="AU526" s="174">
        <f>IF(AU$6="","",IF(AU$3="Maior",iferror(VLOOKUP($R526,Capa!$A:$AJ,AU$5,0),0),IF(ISERROR(1/VLOOKUP($R526,Capa!$A:$AJ,AU$5,0)),0,1/VLOOKUP($R526,Capa!$A:$AJ,AU$5,0))))</f>
        <v>0</v>
      </c>
      <c r="AV526" s="174" t="str">
        <f>IF(AV$6="","",IF(AV$3="Maior",iferror(VLOOKUP($R526,Capa!$A:$AJ,AV$5,0),0),IF(ISERROR(1/VLOOKUP($R526,Capa!$A:$AJ,AV$5,0)),0,1/VLOOKUP($R526,Capa!$A:$AJ,AV$5,0))))</f>
        <v/>
      </c>
      <c r="AW526" s="174" t="str">
        <f>IF(AW$6="","",IF(AW$3="Maior",iferror(VLOOKUP($R526,Capa!$A:$AJ,AW$5,0),0),IF(ISERROR(1/VLOOKUP($R526,Capa!$A:$AJ,AW$5,0)),0,1/VLOOKUP($R526,Capa!$A:$AJ,AW$5,0))))</f>
        <v/>
      </c>
      <c r="AX526" s="174" t="str">
        <f>IF(AX$6="","",IF(AX$3="Maior",iferror(VLOOKUP($R526,Capa!$A:$AJ,AX$5,0),0),IF(ISERROR(1/VLOOKUP($R526,Capa!$A:$AJ,AX$5,0)),0,1/VLOOKUP($R526,Capa!$A:$AJ,AX$5,0))))</f>
        <v/>
      </c>
      <c r="AY526" s="174" t="str">
        <f>IF(AY$6="","",IF(AY$3="Maior",iferror(VLOOKUP($R526,Capa!$A:$AJ,AY$5,0),0),IF(ISERROR(1/VLOOKUP($R526,Capa!$A:$AJ,AY$5,0)),0,1/VLOOKUP($R526,Capa!$A:$AJ,AY$5,0))))</f>
        <v/>
      </c>
      <c r="AZ526" s="174" t="str">
        <f>IF(AZ$6="","",IF(AZ$3="Maior",iferror(VLOOKUP($R526,Capa!$A:$AJ,AZ$5,0),0),IF(ISERROR(1/VLOOKUP($R526,Capa!$A:$AJ,AZ$5,0)),0,1/VLOOKUP($R526,Capa!$A:$AJ,AZ$5,0))))</f>
        <v/>
      </c>
      <c r="BA526" s="174" t="str">
        <f>IF(BA$6="","",IF(BA$3="Maior",iferror(VLOOKUP($R526,Capa!$A:$AJ,BA$5,0),0),IF(ISERROR(1/VLOOKUP($R526,Capa!$A:$AJ,BA$5,0)),0,1/VLOOKUP($R526,Capa!$A:$AJ,BA$5,0))))</f>
        <v/>
      </c>
      <c r="BB526" s="174" t="str">
        <f>IF(BB$6="","",IF(BB$3="Maior",iferror(VLOOKUP($R526,Capa!$A:$AJ,BB$5,0),0),IF(ISERROR(1/VLOOKUP($R526,Capa!$A:$AJ,BB$5,0)),0,1/VLOOKUP($R526,Capa!$A:$AJ,BB$5,0))))</f>
        <v/>
      </c>
      <c r="BC526" s="174" t="str">
        <f>IF(BC$6="","",IF(BC$3="Maior",iferror(VLOOKUP($R526,Capa!$A:$AJ,BC$5,0),0),IF(ISERROR(1/VLOOKUP($R526,Capa!$A:$AJ,BC$5,0)),0,1/VLOOKUP($R526,Capa!$A:$AJ,BC$5,0))))</f>
        <v/>
      </c>
      <c r="BD526" s="174" t="str">
        <f>IF(BD$6="","",IF(BD$3="Maior",iferror(VLOOKUP($R526,Capa!$A:$AJ,BD$5,0),0),IF(ISERROR(1/VLOOKUP($R526,Capa!$A:$AJ,BD$5,0)),0,1/VLOOKUP($R526,Capa!$A:$AJ,BD$5,0))))</f>
        <v/>
      </c>
      <c r="BE526" s="174" t="str">
        <f>IF(BE$6="","",IF(BE$3="Maior",iferror(VLOOKUP($R526,Capa!$A:$AJ,BE$5,0),0),IF(ISERROR(1/VLOOKUP($R526,Capa!$A:$AJ,BE$5,0)),0,1/VLOOKUP($R526,Capa!$A:$AJ,BE$5,0))))</f>
        <v/>
      </c>
      <c r="BF526" s="174" t="str">
        <f>IF(BF$6="","",IF(BF$3="Maior",iferror(VLOOKUP($R526,Capa!$A:$AJ,BF$5,0),0),IF(ISERROR(1/VLOOKUP($R526,Capa!$A:$AJ,BF$5,0)),0,1/VLOOKUP($R526,Capa!$A:$AJ,BF$5,0))))</f>
        <v/>
      </c>
      <c r="BG526" s="174" t="str">
        <f>IF(BG$6="","",IF(BG$3="Maior",iferror(VLOOKUP($R526,Capa!$A:$AJ,BG$5,0),0),IF(ISERROR(1/VLOOKUP($R526,Capa!$A:$AJ,BG$5,0)),0,1/VLOOKUP($R526,Capa!$A:$AJ,BG$5,0))))</f>
        <v/>
      </c>
      <c r="BH526" s="174" t="str">
        <f>IF(BH$6="","",IF(BH$3="Maior",iferror(VLOOKUP($R526,Capa!$A:$AJ,BH$5,0),0),IF(ISERROR(1/VLOOKUP($R526,Capa!$A:$AJ,BH$5,0)),0,1/VLOOKUP($R526,Capa!$A:$AJ,BH$5,0))))</f>
        <v/>
      </c>
      <c r="BI526" s="174" t="str">
        <f>IF(BI$6="","",IF(BI$3="Maior",iferror(VLOOKUP($R526,Capa!$A:$AJ,BI$5,0),0),IF(ISERROR(1/VLOOKUP($R526,Capa!$A:$AJ,BI$5,0)),0,1/VLOOKUP($R526,Capa!$A:$AJ,BI$5,0))))</f>
        <v/>
      </c>
      <c r="BJ526" s="174" t="str">
        <f>IF(BJ$6="","",IF(BJ$3="Maior",iferror(VLOOKUP($R526,Capa!$A:$AJ,BJ$5,0),0),IF(ISERROR(1/VLOOKUP($R526,Capa!$A:$AJ,BJ$5,0)),0,1/VLOOKUP($R526,Capa!$A:$AJ,BJ$5,0))))</f>
        <v/>
      </c>
      <c r="BK526" s="174" t="str">
        <f>IF(BK$6="","",IF(BK$3="Maior",iferror(VLOOKUP($R526,Capa!$A:$AJ,BK$5,0),0),IF(ISERROR(1/VLOOKUP($R526,Capa!$A:$AJ,BK$5,0)),0,1/VLOOKUP($R526,Capa!$A:$AJ,BK$5,0))))</f>
        <v/>
      </c>
      <c r="BL526" s="174" t="str">
        <f>IF(BL$6="","",IF(BL$3="Maior",iferror(VLOOKUP($R526,Capa!$A:$AJ,BL$5,0),0),IF(ISERROR(1/VLOOKUP($R526,Capa!$A:$AJ,BL$5,0)),0,1/VLOOKUP($R526,Capa!$A:$AJ,BL$5,0))))</f>
        <v/>
      </c>
      <c r="BM526" s="174" t="str">
        <f>IF(BM$6="","",IF(BM$3="Maior",iferror(VLOOKUP($R526,Capa!$A:$AJ,BM$5,0),0),IF(ISERROR(1/VLOOKUP($R526,Capa!$A:$AJ,BM$5,0)),0,1/VLOOKUP($R526,Capa!$A:$AJ,BM$5,0))))</f>
        <v/>
      </c>
      <c r="BN526" s="174" t="str">
        <f>IF(BN$6="","",IF(BN$3="Maior",iferror(VLOOKUP($R526,Capa!$A:$AJ,BN$5,0),0),IF(ISERROR(1/VLOOKUP($R526,Capa!$A:$AJ,BN$5,0)),0,1/VLOOKUP($R526,Capa!$A:$AJ,BN$5,0))))</f>
        <v/>
      </c>
      <c r="BO526" s="174" t="str">
        <f>IF(BO$6="","",IF(BO$3="Maior",iferror(VLOOKUP($R526,Capa!$A:$AJ,BO$5,0),0),IF(ISERROR(1/VLOOKUP($R526,Capa!$A:$AJ,BO$5,0)),0,1/VLOOKUP($R526,Capa!$A:$AJ,BO$5,0))))</f>
        <v/>
      </c>
      <c r="BP526" s="174" t="str">
        <f>IF(BP$6="","",IF(BP$3="Maior",iferror(VLOOKUP($R526,Capa!$A:$AJ,BP$5,0),0),IF(ISERROR(1/VLOOKUP($R526,Capa!$A:$AJ,BP$5,0)),0,1/VLOOKUP($R526,Capa!$A:$AJ,BP$5,0))))</f>
        <v/>
      </c>
      <c r="BQ526" s="174" t="str">
        <f>IF(BQ$6="","",IF(BQ$3="Maior",iferror(VLOOKUP($R526,Capa!$A:$AJ,BQ$5,0),0),IF(ISERROR(1/VLOOKUP($R526,Capa!$A:$AJ,BQ$5,0)),0,1/VLOOKUP($R526,Capa!$A:$AJ,BQ$5,0))))</f>
        <v/>
      </c>
      <c r="BR526" s="175"/>
      <c r="BS526" s="147"/>
    </row>
    <row r="527">
      <c r="H527" s="8">
        <v>521.0</v>
      </c>
      <c r="I527" s="165" t="str">
        <f t="shared" si="6"/>
        <v>FHER3</v>
      </c>
      <c r="J527" s="166" t="str">
        <f>(VLOOKUP($I527,Capa!$A:$B,2,0))</f>
        <v>Fertilizantes Heringer SA</v>
      </c>
      <c r="K527" s="167" t="str">
        <f>VLOOKUP(left(I527,4),Setor!A:D,3,0)&amp;" | "&amp;VLOOKUP(left(I527,4),Setor!A:D,4,0)</f>
        <v>Materiais Básicos | Químicos</v>
      </c>
      <c r="L527" s="168">
        <f>(VLOOKUP($I527,Capa!$A:$F,6,0))</f>
        <v>4.11</v>
      </c>
      <c r="M527" s="168">
        <f t="shared" si="7"/>
        <v>47300.05</v>
      </c>
      <c r="N527" s="11" t="str">
        <f>IFERROR(__xludf.DUMMYFUNCTION("(VLOOKUP($I527,Capa!$A:$H,7,0))"),"")</f>
        <v/>
      </c>
      <c r="O527" s="169">
        <f>(VLOOKUP($I527,Capa!$A:$H,8,0))</f>
        <v>-0.05949656751</v>
      </c>
      <c r="P527" s="11" t="str">
        <f>IFERROR(__xludf.DUMMYFUNCTION("(VLOOKUP($I527,Capa!$A:$J,10,0))"),"")</f>
        <v/>
      </c>
      <c r="Q527" s="169">
        <f>(VLOOKUP($I527,Capa!$A:$K,11,0))</f>
        <v>-0.1925343811</v>
      </c>
      <c r="R527" s="45" t="str">
        <f>'Dados StatusInvest'!A522</f>
        <v>SHOW3</v>
      </c>
      <c r="S527" s="170">
        <f t="shared" si="234"/>
        <v>1806.0806</v>
      </c>
      <c r="T527" s="171">
        <f>VLOOKUP(R527,'Dados StatusInvest'!A:Z,26,0)</f>
        <v>288937.9</v>
      </c>
      <c r="U527" s="172">
        <f t="shared" ref="U527:AS527" si="530">IF(AT527="","", RANK(AT527,AT$7:AT$626,0)+RANK(AT527,AT$7:AT$626,0)/10000)</f>
        <v>539.0539</v>
      </c>
      <c r="V527" s="172">
        <f t="shared" si="530"/>
        <v>267.0267</v>
      </c>
      <c r="W527" s="172" t="str">
        <f t="shared" si="530"/>
        <v/>
      </c>
      <c r="X527" s="172" t="str">
        <f t="shared" si="530"/>
        <v/>
      </c>
      <c r="Y527" s="172" t="str">
        <f t="shared" si="530"/>
        <v/>
      </c>
      <c r="Z527" s="172" t="str">
        <f t="shared" si="530"/>
        <v/>
      </c>
      <c r="AA527" s="172" t="str">
        <f t="shared" si="530"/>
        <v/>
      </c>
      <c r="AB527" s="172" t="str">
        <f t="shared" si="530"/>
        <v/>
      </c>
      <c r="AC527" s="172" t="str">
        <f t="shared" si="530"/>
        <v/>
      </c>
      <c r="AD527" s="172" t="str">
        <f t="shared" si="530"/>
        <v/>
      </c>
      <c r="AE527" s="172" t="str">
        <f t="shared" si="530"/>
        <v/>
      </c>
      <c r="AF527" s="172" t="str">
        <f t="shared" si="530"/>
        <v/>
      </c>
      <c r="AG527" s="172" t="str">
        <f t="shared" si="530"/>
        <v/>
      </c>
      <c r="AH527" s="172" t="str">
        <f t="shared" si="530"/>
        <v/>
      </c>
      <c r="AI527" s="172" t="str">
        <f t="shared" si="530"/>
        <v/>
      </c>
      <c r="AJ527" s="172" t="str">
        <f t="shared" si="530"/>
        <v/>
      </c>
      <c r="AK527" s="172" t="str">
        <f t="shared" si="530"/>
        <v/>
      </c>
      <c r="AL527" s="172" t="str">
        <f t="shared" si="530"/>
        <v/>
      </c>
      <c r="AM527" s="172" t="str">
        <f t="shared" si="530"/>
        <v/>
      </c>
      <c r="AN527" s="172" t="str">
        <f t="shared" si="530"/>
        <v/>
      </c>
      <c r="AO527" s="172" t="str">
        <f t="shared" si="530"/>
        <v/>
      </c>
      <c r="AP527" s="172" t="str">
        <f t="shared" si="530"/>
        <v/>
      </c>
      <c r="AQ527" s="172" t="str">
        <f t="shared" si="530"/>
        <v/>
      </c>
      <c r="AR527" s="172" t="str">
        <f t="shared" si="530"/>
        <v/>
      </c>
      <c r="AS527" s="172" t="str">
        <f t="shared" si="530"/>
        <v/>
      </c>
      <c r="AT527" s="173">
        <f>IF(AT$6="","",IF(AT$3="Maior",iferror(VLOOKUP($R527,Capa!$A:$AJ,AT$5,0),0),IF(ISERROR(1/VLOOKUP($R527,Capa!$A:$AJ,AT$5,0)),0,1/VLOOKUP($R527,Capa!$A:$AJ,AT$5,0))))</f>
        <v>-4.566463302</v>
      </c>
      <c r="AU527" s="174">
        <f>IF(AU$6="","",IF(AU$3="Maior",iferror(VLOOKUP($R527,Capa!$A:$AJ,AU$5,0),0),IF(ISERROR(1/VLOOKUP($R527,Capa!$A:$AJ,AU$5,0)),0,1/VLOOKUP($R527,Capa!$A:$AJ,AU$5,0))))</f>
        <v>0</v>
      </c>
      <c r="AV527" s="174" t="str">
        <f>IF(AV$6="","",IF(AV$3="Maior",iferror(VLOOKUP($R527,Capa!$A:$AJ,AV$5,0),0),IF(ISERROR(1/VLOOKUP($R527,Capa!$A:$AJ,AV$5,0)),0,1/VLOOKUP($R527,Capa!$A:$AJ,AV$5,0))))</f>
        <v/>
      </c>
      <c r="AW527" s="174" t="str">
        <f>IF(AW$6="","",IF(AW$3="Maior",iferror(VLOOKUP($R527,Capa!$A:$AJ,AW$5,0),0),IF(ISERROR(1/VLOOKUP($R527,Capa!$A:$AJ,AW$5,0)),0,1/VLOOKUP($R527,Capa!$A:$AJ,AW$5,0))))</f>
        <v/>
      </c>
      <c r="AX527" s="174" t="str">
        <f>IF(AX$6="","",IF(AX$3="Maior",iferror(VLOOKUP($R527,Capa!$A:$AJ,AX$5,0),0),IF(ISERROR(1/VLOOKUP($R527,Capa!$A:$AJ,AX$5,0)),0,1/VLOOKUP($R527,Capa!$A:$AJ,AX$5,0))))</f>
        <v/>
      </c>
      <c r="AY527" s="174" t="str">
        <f>IF(AY$6="","",IF(AY$3="Maior",iferror(VLOOKUP($R527,Capa!$A:$AJ,AY$5,0),0),IF(ISERROR(1/VLOOKUP($R527,Capa!$A:$AJ,AY$5,0)),0,1/VLOOKUP($R527,Capa!$A:$AJ,AY$5,0))))</f>
        <v/>
      </c>
      <c r="AZ527" s="174" t="str">
        <f>IF(AZ$6="","",IF(AZ$3="Maior",iferror(VLOOKUP($R527,Capa!$A:$AJ,AZ$5,0),0),IF(ISERROR(1/VLOOKUP($R527,Capa!$A:$AJ,AZ$5,0)),0,1/VLOOKUP($R527,Capa!$A:$AJ,AZ$5,0))))</f>
        <v/>
      </c>
      <c r="BA527" s="174" t="str">
        <f>IF(BA$6="","",IF(BA$3="Maior",iferror(VLOOKUP($R527,Capa!$A:$AJ,BA$5,0),0),IF(ISERROR(1/VLOOKUP($R527,Capa!$A:$AJ,BA$5,0)),0,1/VLOOKUP($R527,Capa!$A:$AJ,BA$5,0))))</f>
        <v/>
      </c>
      <c r="BB527" s="174" t="str">
        <f>IF(BB$6="","",IF(BB$3="Maior",iferror(VLOOKUP($R527,Capa!$A:$AJ,BB$5,0),0),IF(ISERROR(1/VLOOKUP($R527,Capa!$A:$AJ,BB$5,0)),0,1/VLOOKUP($R527,Capa!$A:$AJ,BB$5,0))))</f>
        <v/>
      </c>
      <c r="BC527" s="174" t="str">
        <f>IF(BC$6="","",IF(BC$3="Maior",iferror(VLOOKUP($R527,Capa!$A:$AJ,BC$5,0),0),IF(ISERROR(1/VLOOKUP($R527,Capa!$A:$AJ,BC$5,0)),0,1/VLOOKUP($R527,Capa!$A:$AJ,BC$5,0))))</f>
        <v/>
      </c>
      <c r="BD527" s="174" t="str">
        <f>IF(BD$6="","",IF(BD$3="Maior",iferror(VLOOKUP($R527,Capa!$A:$AJ,BD$5,0),0),IF(ISERROR(1/VLOOKUP($R527,Capa!$A:$AJ,BD$5,0)),0,1/VLOOKUP($R527,Capa!$A:$AJ,BD$5,0))))</f>
        <v/>
      </c>
      <c r="BE527" s="174" t="str">
        <f>IF(BE$6="","",IF(BE$3="Maior",iferror(VLOOKUP($R527,Capa!$A:$AJ,BE$5,0),0),IF(ISERROR(1/VLOOKUP($R527,Capa!$A:$AJ,BE$5,0)),0,1/VLOOKUP($R527,Capa!$A:$AJ,BE$5,0))))</f>
        <v/>
      </c>
      <c r="BF527" s="174" t="str">
        <f>IF(BF$6="","",IF(BF$3="Maior",iferror(VLOOKUP($R527,Capa!$A:$AJ,BF$5,0),0),IF(ISERROR(1/VLOOKUP($R527,Capa!$A:$AJ,BF$5,0)),0,1/VLOOKUP($R527,Capa!$A:$AJ,BF$5,0))))</f>
        <v/>
      </c>
      <c r="BG527" s="174" t="str">
        <f>IF(BG$6="","",IF(BG$3="Maior",iferror(VLOOKUP($R527,Capa!$A:$AJ,BG$5,0),0),IF(ISERROR(1/VLOOKUP($R527,Capa!$A:$AJ,BG$5,0)),0,1/VLOOKUP($R527,Capa!$A:$AJ,BG$5,0))))</f>
        <v/>
      </c>
      <c r="BH527" s="174" t="str">
        <f>IF(BH$6="","",IF(BH$3="Maior",iferror(VLOOKUP($R527,Capa!$A:$AJ,BH$5,0),0),IF(ISERROR(1/VLOOKUP($R527,Capa!$A:$AJ,BH$5,0)),0,1/VLOOKUP($R527,Capa!$A:$AJ,BH$5,0))))</f>
        <v/>
      </c>
      <c r="BI527" s="174" t="str">
        <f>IF(BI$6="","",IF(BI$3="Maior",iferror(VLOOKUP($R527,Capa!$A:$AJ,BI$5,0),0),IF(ISERROR(1/VLOOKUP($R527,Capa!$A:$AJ,BI$5,0)),0,1/VLOOKUP($R527,Capa!$A:$AJ,BI$5,0))))</f>
        <v/>
      </c>
      <c r="BJ527" s="174" t="str">
        <f>IF(BJ$6="","",IF(BJ$3="Maior",iferror(VLOOKUP($R527,Capa!$A:$AJ,BJ$5,0),0),IF(ISERROR(1/VLOOKUP($R527,Capa!$A:$AJ,BJ$5,0)),0,1/VLOOKUP($R527,Capa!$A:$AJ,BJ$5,0))))</f>
        <v/>
      </c>
      <c r="BK527" s="174" t="str">
        <f>IF(BK$6="","",IF(BK$3="Maior",iferror(VLOOKUP($R527,Capa!$A:$AJ,BK$5,0),0),IF(ISERROR(1/VLOOKUP($R527,Capa!$A:$AJ,BK$5,0)),0,1/VLOOKUP($R527,Capa!$A:$AJ,BK$5,0))))</f>
        <v/>
      </c>
      <c r="BL527" s="174" t="str">
        <f>IF(BL$6="","",IF(BL$3="Maior",iferror(VLOOKUP($R527,Capa!$A:$AJ,BL$5,0),0),IF(ISERROR(1/VLOOKUP($R527,Capa!$A:$AJ,BL$5,0)),0,1/VLOOKUP($R527,Capa!$A:$AJ,BL$5,0))))</f>
        <v/>
      </c>
      <c r="BM527" s="174" t="str">
        <f>IF(BM$6="","",IF(BM$3="Maior",iferror(VLOOKUP($R527,Capa!$A:$AJ,BM$5,0),0),IF(ISERROR(1/VLOOKUP($R527,Capa!$A:$AJ,BM$5,0)),0,1/VLOOKUP($R527,Capa!$A:$AJ,BM$5,0))))</f>
        <v/>
      </c>
      <c r="BN527" s="174" t="str">
        <f>IF(BN$6="","",IF(BN$3="Maior",iferror(VLOOKUP($R527,Capa!$A:$AJ,BN$5,0),0),IF(ISERROR(1/VLOOKUP($R527,Capa!$A:$AJ,BN$5,0)),0,1/VLOOKUP($R527,Capa!$A:$AJ,BN$5,0))))</f>
        <v/>
      </c>
      <c r="BO527" s="174" t="str">
        <f>IF(BO$6="","",IF(BO$3="Maior",iferror(VLOOKUP($R527,Capa!$A:$AJ,BO$5,0),0),IF(ISERROR(1/VLOOKUP($R527,Capa!$A:$AJ,BO$5,0)),0,1/VLOOKUP($R527,Capa!$A:$AJ,BO$5,0))))</f>
        <v/>
      </c>
      <c r="BP527" s="174" t="str">
        <f>IF(BP$6="","",IF(BP$3="Maior",iferror(VLOOKUP($R527,Capa!$A:$AJ,BP$5,0),0),IF(ISERROR(1/VLOOKUP($R527,Capa!$A:$AJ,BP$5,0)),0,1/VLOOKUP($R527,Capa!$A:$AJ,BP$5,0))))</f>
        <v/>
      </c>
      <c r="BQ527" s="174" t="str">
        <f>IF(BQ$6="","",IF(BQ$3="Maior",iferror(VLOOKUP($R527,Capa!$A:$AJ,BQ$5,0),0),IF(ISERROR(1/VLOOKUP($R527,Capa!$A:$AJ,BQ$5,0)),0,1/VLOOKUP($R527,Capa!$A:$AJ,BQ$5,0))))</f>
        <v/>
      </c>
      <c r="BR527" s="175"/>
      <c r="BS527" s="147"/>
    </row>
    <row r="528">
      <c r="H528" s="8">
        <v>522.0</v>
      </c>
      <c r="I528" s="165" t="str">
        <f t="shared" si="6"/>
        <v>BRSR3</v>
      </c>
      <c r="J528" s="166" t="str">
        <f>(VLOOKUP($I528,Capa!$A:$B,2,0))</f>
        <v>Banco do Estado do Rio Grande do Sul SA</v>
      </c>
      <c r="K528" s="167" t="str">
        <f>VLOOKUP(left(I528,4),Setor!A:D,3,0)&amp;" | "&amp;VLOOKUP(left(I528,4),Setor!A:D,4,0)</f>
        <v>Financeiro | Intermediários Financeiros</v>
      </c>
      <c r="L528" s="168">
        <f>(VLOOKUP($I528,Capa!$A:$F,6,0))</f>
        <v>19.11</v>
      </c>
      <c r="M528" s="168">
        <f t="shared" si="7"/>
        <v>200454</v>
      </c>
      <c r="N528" s="11" t="str">
        <f>IFERROR(__xludf.DUMMYFUNCTION("(VLOOKUP($I528,Capa!$A:$H,7,0))"),"")</f>
        <v/>
      </c>
      <c r="O528" s="169">
        <f>(VLOOKUP($I528,Capa!$A:$H,8,0))</f>
        <v>0.06166666667</v>
      </c>
      <c r="P528" s="11" t="str">
        <f>IFERROR(__xludf.DUMMYFUNCTION("(VLOOKUP($I528,Capa!$A:$J,10,0))"),"")</f>
        <v/>
      </c>
      <c r="Q528" s="169">
        <f>(VLOOKUP($I528,Capa!$A:$K,11,0))</f>
        <v>0.5536585366</v>
      </c>
      <c r="R528" s="45" t="str">
        <f>'Dados StatusInvest'!A523</f>
        <v>SHUL3</v>
      </c>
      <c r="S528" s="170">
        <f t="shared" si="234"/>
        <v>1279.0279</v>
      </c>
      <c r="T528" s="171">
        <f>VLOOKUP(R528,'Dados StatusInvest'!A:Z,26,0)</f>
        <v>0</v>
      </c>
      <c r="U528" s="172">
        <f t="shared" ref="U528:AS528" si="531">IF(AT528="","", RANK(AT528,AT$7:AT$626,0)+RANK(AT528,AT$7:AT$626,0)/10000)</f>
        <v>153.0153</v>
      </c>
      <c r="V528" s="172">
        <f t="shared" si="531"/>
        <v>126.0126</v>
      </c>
      <c r="W528" s="172" t="str">
        <f t="shared" si="531"/>
        <v/>
      </c>
      <c r="X528" s="172" t="str">
        <f t="shared" si="531"/>
        <v/>
      </c>
      <c r="Y528" s="172" t="str">
        <f t="shared" si="531"/>
        <v/>
      </c>
      <c r="Z528" s="172" t="str">
        <f t="shared" si="531"/>
        <v/>
      </c>
      <c r="AA528" s="172" t="str">
        <f t="shared" si="531"/>
        <v/>
      </c>
      <c r="AB528" s="172" t="str">
        <f t="shared" si="531"/>
        <v/>
      </c>
      <c r="AC528" s="172" t="str">
        <f t="shared" si="531"/>
        <v/>
      </c>
      <c r="AD528" s="172" t="str">
        <f t="shared" si="531"/>
        <v/>
      </c>
      <c r="AE528" s="172" t="str">
        <f t="shared" si="531"/>
        <v/>
      </c>
      <c r="AF528" s="172" t="str">
        <f t="shared" si="531"/>
        <v/>
      </c>
      <c r="AG528" s="172" t="str">
        <f t="shared" si="531"/>
        <v/>
      </c>
      <c r="AH528" s="172" t="str">
        <f t="shared" si="531"/>
        <v/>
      </c>
      <c r="AI528" s="172" t="str">
        <f t="shared" si="531"/>
        <v/>
      </c>
      <c r="AJ528" s="172" t="str">
        <f t="shared" si="531"/>
        <v/>
      </c>
      <c r="AK528" s="172" t="str">
        <f t="shared" si="531"/>
        <v/>
      </c>
      <c r="AL528" s="172" t="str">
        <f t="shared" si="531"/>
        <v/>
      </c>
      <c r="AM528" s="172" t="str">
        <f t="shared" si="531"/>
        <v/>
      </c>
      <c r="AN528" s="172" t="str">
        <f t="shared" si="531"/>
        <v/>
      </c>
      <c r="AO528" s="172" t="str">
        <f t="shared" si="531"/>
        <v/>
      </c>
      <c r="AP528" s="172" t="str">
        <f t="shared" si="531"/>
        <v/>
      </c>
      <c r="AQ528" s="172" t="str">
        <f t="shared" si="531"/>
        <v/>
      </c>
      <c r="AR528" s="172" t="str">
        <f t="shared" si="531"/>
        <v/>
      </c>
      <c r="AS528" s="172" t="str">
        <f t="shared" si="531"/>
        <v/>
      </c>
      <c r="AT528" s="173">
        <f>IF(AT$6="","",IF(AT$3="Maior",iferror(VLOOKUP($R528,Capa!$A:$AJ,AT$5,0),0),IF(ISERROR(1/VLOOKUP($R528,Capa!$A:$AJ,AT$5,0)),0,1/VLOOKUP($R528,Capa!$A:$AJ,AT$5,0))))</f>
        <v>-0.1051389906</v>
      </c>
      <c r="AU528" s="174">
        <f>IF(AU$6="","",IF(AU$3="Maior",iferror(VLOOKUP($R528,Capa!$A:$AJ,AU$5,0),0),IF(ISERROR(1/VLOOKUP($R528,Capa!$A:$AJ,AU$5,0)),0,1/VLOOKUP($R528,Capa!$A:$AJ,AU$5,0))))</f>
        <v>21.85</v>
      </c>
      <c r="AV528" s="174" t="str">
        <f>IF(AV$6="","",IF(AV$3="Maior",iferror(VLOOKUP($R528,Capa!$A:$AJ,AV$5,0),0),IF(ISERROR(1/VLOOKUP($R528,Capa!$A:$AJ,AV$5,0)),0,1/VLOOKUP($R528,Capa!$A:$AJ,AV$5,0))))</f>
        <v/>
      </c>
      <c r="AW528" s="174" t="str">
        <f>IF(AW$6="","",IF(AW$3="Maior",iferror(VLOOKUP($R528,Capa!$A:$AJ,AW$5,0),0),IF(ISERROR(1/VLOOKUP($R528,Capa!$A:$AJ,AW$5,0)),0,1/VLOOKUP($R528,Capa!$A:$AJ,AW$5,0))))</f>
        <v/>
      </c>
      <c r="AX528" s="174" t="str">
        <f>IF(AX$6="","",IF(AX$3="Maior",iferror(VLOOKUP($R528,Capa!$A:$AJ,AX$5,0),0),IF(ISERROR(1/VLOOKUP($R528,Capa!$A:$AJ,AX$5,0)),0,1/VLOOKUP($R528,Capa!$A:$AJ,AX$5,0))))</f>
        <v/>
      </c>
      <c r="AY528" s="174" t="str">
        <f>IF(AY$6="","",IF(AY$3="Maior",iferror(VLOOKUP($R528,Capa!$A:$AJ,AY$5,0),0),IF(ISERROR(1/VLOOKUP($R528,Capa!$A:$AJ,AY$5,0)),0,1/VLOOKUP($R528,Capa!$A:$AJ,AY$5,0))))</f>
        <v/>
      </c>
      <c r="AZ528" s="174" t="str">
        <f>IF(AZ$6="","",IF(AZ$3="Maior",iferror(VLOOKUP($R528,Capa!$A:$AJ,AZ$5,0),0),IF(ISERROR(1/VLOOKUP($R528,Capa!$A:$AJ,AZ$5,0)),0,1/VLOOKUP($R528,Capa!$A:$AJ,AZ$5,0))))</f>
        <v/>
      </c>
      <c r="BA528" s="174" t="str">
        <f>IF(BA$6="","",IF(BA$3="Maior",iferror(VLOOKUP($R528,Capa!$A:$AJ,BA$5,0),0),IF(ISERROR(1/VLOOKUP($R528,Capa!$A:$AJ,BA$5,0)),0,1/VLOOKUP($R528,Capa!$A:$AJ,BA$5,0))))</f>
        <v/>
      </c>
      <c r="BB528" s="174" t="str">
        <f>IF(BB$6="","",IF(BB$3="Maior",iferror(VLOOKUP($R528,Capa!$A:$AJ,BB$5,0),0),IF(ISERROR(1/VLOOKUP($R528,Capa!$A:$AJ,BB$5,0)),0,1/VLOOKUP($R528,Capa!$A:$AJ,BB$5,0))))</f>
        <v/>
      </c>
      <c r="BC528" s="174" t="str">
        <f>IF(BC$6="","",IF(BC$3="Maior",iferror(VLOOKUP($R528,Capa!$A:$AJ,BC$5,0),0),IF(ISERROR(1/VLOOKUP($R528,Capa!$A:$AJ,BC$5,0)),0,1/VLOOKUP($R528,Capa!$A:$AJ,BC$5,0))))</f>
        <v/>
      </c>
      <c r="BD528" s="174" t="str">
        <f>IF(BD$6="","",IF(BD$3="Maior",iferror(VLOOKUP($R528,Capa!$A:$AJ,BD$5,0),0),IF(ISERROR(1/VLOOKUP($R528,Capa!$A:$AJ,BD$5,0)),0,1/VLOOKUP($R528,Capa!$A:$AJ,BD$5,0))))</f>
        <v/>
      </c>
      <c r="BE528" s="174" t="str">
        <f>IF(BE$6="","",IF(BE$3="Maior",iferror(VLOOKUP($R528,Capa!$A:$AJ,BE$5,0),0),IF(ISERROR(1/VLOOKUP($R528,Capa!$A:$AJ,BE$5,0)),0,1/VLOOKUP($R528,Capa!$A:$AJ,BE$5,0))))</f>
        <v/>
      </c>
      <c r="BF528" s="174" t="str">
        <f>IF(BF$6="","",IF(BF$3="Maior",iferror(VLOOKUP($R528,Capa!$A:$AJ,BF$5,0),0),IF(ISERROR(1/VLOOKUP($R528,Capa!$A:$AJ,BF$5,0)),0,1/VLOOKUP($R528,Capa!$A:$AJ,BF$5,0))))</f>
        <v/>
      </c>
      <c r="BG528" s="174" t="str">
        <f>IF(BG$6="","",IF(BG$3="Maior",iferror(VLOOKUP($R528,Capa!$A:$AJ,BG$5,0),0),IF(ISERROR(1/VLOOKUP($R528,Capa!$A:$AJ,BG$5,0)),0,1/VLOOKUP($R528,Capa!$A:$AJ,BG$5,0))))</f>
        <v/>
      </c>
      <c r="BH528" s="174" t="str">
        <f>IF(BH$6="","",IF(BH$3="Maior",iferror(VLOOKUP($R528,Capa!$A:$AJ,BH$5,0),0),IF(ISERROR(1/VLOOKUP($R528,Capa!$A:$AJ,BH$5,0)),0,1/VLOOKUP($R528,Capa!$A:$AJ,BH$5,0))))</f>
        <v/>
      </c>
      <c r="BI528" s="174" t="str">
        <f>IF(BI$6="","",IF(BI$3="Maior",iferror(VLOOKUP($R528,Capa!$A:$AJ,BI$5,0),0),IF(ISERROR(1/VLOOKUP($R528,Capa!$A:$AJ,BI$5,0)),0,1/VLOOKUP($R528,Capa!$A:$AJ,BI$5,0))))</f>
        <v/>
      </c>
      <c r="BJ528" s="174" t="str">
        <f>IF(BJ$6="","",IF(BJ$3="Maior",iferror(VLOOKUP($R528,Capa!$A:$AJ,BJ$5,0),0),IF(ISERROR(1/VLOOKUP($R528,Capa!$A:$AJ,BJ$5,0)),0,1/VLOOKUP($R528,Capa!$A:$AJ,BJ$5,0))))</f>
        <v/>
      </c>
      <c r="BK528" s="174" t="str">
        <f>IF(BK$6="","",IF(BK$3="Maior",iferror(VLOOKUP($R528,Capa!$A:$AJ,BK$5,0),0),IF(ISERROR(1/VLOOKUP($R528,Capa!$A:$AJ,BK$5,0)),0,1/VLOOKUP($R528,Capa!$A:$AJ,BK$5,0))))</f>
        <v/>
      </c>
      <c r="BL528" s="174" t="str">
        <f>IF(BL$6="","",IF(BL$3="Maior",iferror(VLOOKUP($R528,Capa!$A:$AJ,BL$5,0),0),IF(ISERROR(1/VLOOKUP($R528,Capa!$A:$AJ,BL$5,0)),0,1/VLOOKUP($R528,Capa!$A:$AJ,BL$5,0))))</f>
        <v/>
      </c>
      <c r="BM528" s="174" t="str">
        <f>IF(BM$6="","",IF(BM$3="Maior",iferror(VLOOKUP($R528,Capa!$A:$AJ,BM$5,0),0),IF(ISERROR(1/VLOOKUP($R528,Capa!$A:$AJ,BM$5,0)),0,1/VLOOKUP($R528,Capa!$A:$AJ,BM$5,0))))</f>
        <v/>
      </c>
      <c r="BN528" s="174" t="str">
        <f>IF(BN$6="","",IF(BN$3="Maior",iferror(VLOOKUP($R528,Capa!$A:$AJ,BN$5,0),0),IF(ISERROR(1/VLOOKUP($R528,Capa!$A:$AJ,BN$5,0)),0,1/VLOOKUP($R528,Capa!$A:$AJ,BN$5,0))))</f>
        <v/>
      </c>
      <c r="BO528" s="174" t="str">
        <f>IF(BO$6="","",IF(BO$3="Maior",iferror(VLOOKUP($R528,Capa!$A:$AJ,BO$5,0),0),IF(ISERROR(1/VLOOKUP($R528,Capa!$A:$AJ,BO$5,0)),0,1/VLOOKUP($R528,Capa!$A:$AJ,BO$5,0))))</f>
        <v/>
      </c>
      <c r="BP528" s="174" t="str">
        <f>IF(BP$6="","",IF(BP$3="Maior",iferror(VLOOKUP($R528,Capa!$A:$AJ,BP$5,0),0),IF(ISERROR(1/VLOOKUP($R528,Capa!$A:$AJ,BP$5,0)),0,1/VLOOKUP($R528,Capa!$A:$AJ,BP$5,0))))</f>
        <v/>
      </c>
      <c r="BQ528" s="174" t="str">
        <f>IF(BQ$6="","",IF(BQ$3="Maior",iferror(VLOOKUP($R528,Capa!$A:$AJ,BQ$5,0),0),IF(ISERROR(1/VLOOKUP($R528,Capa!$A:$AJ,BQ$5,0)),0,1/VLOOKUP($R528,Capa!$A:$AJ,BQ$5,0))))</f>
        <v/>
      </c>
      <c r="BR528" s="175"/>
      <c r="BS528" s="147"/>
    </row>
    <row r="529">
      <c r="H529" s="8">
        <v>523.0</v>
      </c>
      <c r="I529" s="165" t="str">
        <f t="shared" si="6"/>
        <v>HAGA3</v>
      </c>
      <c r="J529" s="166" t="str">
        <f>(VLOOKUP($I529,Capa!$A:$B,2,0))</f>
        <v>Haga SA Industria e Comercio</v>
      </c>
      <c r="K529" s="167" t="str">
        <f>VLOOKUP(left(I529,4),Setor!A:D,3,0)&amp;" | "&amp;VLOOKUP(left(I529,4),Setor!A:D,4,0)</f>
        <v>Bens Industriais | Construção e Engenharia</v>
      </c>
      <c r="L529" s="168">
        <f>(VLOOKUP($I529,Capa!$A:$F,6,0))</f>
        <v>2.2</v>
      </c>
      <c r="M529" s="168">
        <f t="shared" si="7"/>
        <v>7786.35</v>
      </c>
      <c r="N529" s="11" t="str">
        <f>IFERROR(__xludf.DUMMYFUNCTION("(VLOOKUP($I529,Capa!$A:$H,7,0))"),"")</f>
        <v/>
      </c>
      <c r="O529" s="169">
        <f>(VLOOKUP($I529,Capa!$A:$H,8,0))</f>
        <v>0.2571428571</v>
      </c>
      <c r="P529" s="11" t="str">
        <f>IFERROR(__xludf.DUMMYFUNCTION("(VLOOKUP($I529,Capa!$A:$J,10,0))"),"")</f>
        <v/>
      </c>
      <c r="Q529" s="169">
        <f>(VLOOKUP($I529,Capa!$A:$K,11,0))</f>
        <v>-0.01785714286</v>
      </c>
      <c r="R529" s="45" t="str">
        <f>'Dados StatusInvest'!A524</f>
        <v>SHUL4</v>
      </c>
      <c r="S529" s="170">
        <f t="shared" si="234"/>
        <v>380.038</v>
      </c>
      <c r="T529" s="171">
        <f>VLOOKUP(R529,'Dados StatusInvest'!A:Z,26,0)</f>
        <v>2399025</v>
      </c>
      <c r="U529" s="172">
        <f t="shared" ref="U529:AS529" si="532">IF(AT529="","", RANK(AT529,AT$7:AT$626,0)+RANK(AT529,AT$7:AT$626,0)/10000)</f>
        <v>254.0254</v>
      </c>
      <c r="V529" s="172">
        <f t="shared" si="532"/>
        <v>126.0126</v>
      </c>
      <c r="W529" s="172" t="str">
        <f t="shared" si="532"/>
        <v/>
      </c>
      <c r="X529" s="172" t="str">
        <f t="shared" si="532"/>
        <v/>
      </c>
      <c r="Y529" s="172" t="str">
        <f t="shared" si="532"/>
        <v/>
      </c>
      <c r="Z529" s="172" t="str">
        <f t="shared" si="532"/>
        <v/>
      </c>
      <c r="AA529" s="172" t="str">
        <f t="shared" si="532"/>
        <v/>
      </c>
      <c r="AB529" s="172" t="str">
        <f t="shared" si="532"/>
        <v/>
      </c>
      <c r="AC529" s="172" t="str">
        <f t="shared" si="532"/>
        <v/>
      </c>
      <c r="AD529" s="172" t="str">
        <f t="shared" si="532"/>
        <v/>
      </c>
      <c r="AE529" s="172" t="str">
        <f t="shared" si="532"/>
        <v/>
      </c>
      <c r="AF529" s="172" t="str">
        <f t="shared" si="532"/>
        <v/>
      </c>
      <c r="AG529" s="172" t="str">
        <f t="shared" si="532"/>
        <v/>
      </c>
      <c r="AH529" s="172" t="str">
        <f t="shared" si="532"/>
        <v/>
      </c>
      <c r="AI529" s="172" t="str">
        <f t="shared" si="532"/>
        <v/>
      </c>
      <c r="AJ529" s="172" t="str">
        <f t="shared" si="532"/>
        <v/>
      </c>
      <c r="AK529" s="172" t="str">
        <f t="shared" si="532"/>
        <v/>
      </c>
      <c r="AL529" s="172" t="str">
        <f t="shared" si="532"/>
        <v/>
      </c>
      <c r="AM529" s="172" t="str">
        <f t="shared" si="532"/>
        <v/>
      </c>
      <c r="AN529" s="172" t="str">
        <f t="shared" si="532"/>
        <v/>
      </c>
      <c r="AO529" s="172" t="str">
        <f t="shared" si="532"/>
        <v/>
      </c>
      <c r="AP529" s="172" t="str">
        <f t="shared" si="532"/>
        <v/>
      </c>
      <c r="AQ529" s="172" t="str">
        <f t="shared" si="532"/>
        <v/>
      </c>
      <c r="AR529" s="172" t="str">
        <f t="shared" si="532"/>
        <v/>
      </c>
      <c r="AS529" s="172" t="str">
        <f t="shared" si="532"/>
        <v/>
      </c>
      <c r="AT529" s="173">
        <f>IF(AT$6="","",IF(AT$3="Maior",iferror(VLOOKUP($R529,Capa!$A:$AJ,AT$5,0),0),IF(ISERROR(1/VLOOKUP($R529,Capa!$A:$AJ,AT$5,0)),0,1/VLOOKUP($R529,Capa!$A:$AJ,AT$5,0))))</f>
        <v>-0.5032703488</v>
      </c>
      <c r="AU529" s="174">
        <f>IF(AU$6="","",IF(AU$3="Maior",iferror(VLOOKUP($R529,Capa!$A:$AJ,AU$5,0),0),IF(ISERROR(1/VLOOKUP($R529,Capa!$A:$AJ,AU$5,0)),0,1/VLOOKUP($R529,Capa!$A:$AJ,AU$5,0))))</f>
        <v>21.85</v>
      </c>
      <c r="AV529" s="174" t="str">
        <f>IF(AV$6="","",IF(AV$3="Maior",iferror(VLOOKUP($R529,Capa!$A:$AJ,AV$5,0),0),IF(ISERROR(1/VLOOKUP($R529,Capa!$A:$AJ,AV$5,0)),0,1/VLOOKUP($R529,Capa!$A:$AJ,AV$5,0))))</f>
        <v/>
      </c>
      <c r="AW529" s="174" t="str">
        <f>IF(AW$6="","",IF(AW$3="Maior",iferror(VLOOKUP($R529,Capa!$A:$AJ,AW$5,0),0),IF(ISERROR(1/VLOOKUP($R529,Capa!$A:$AJ,AW$5,0)),0,1/VLOOKUP($R529,Capa!$A:$AJ,AW$5,0))))</f>
        <v/>
      </c>
      <c r="AX529" s="174" t="str">
        <f>IF(AX$6="","",IF(AX$3="Maior",iferror(VLOOKUP($R529,Capa!$A:$AJ,AX$5,0),0),IF(ISERROR(1/VLOOKUP($R529,Capa!$A:$AJ,AX$5,0)),0,1/VLOOKUP($R529,Capa!$A:$AJ,AX$5,0))))</f>
        <v/>
      </c>
      <c r="AY529" s="174" t="str">
        <f>IF(AY$6="","",IF(AY$3="Maior",iferror(VLOOKUP($R529,Capa!$A:$AJ,AY$5,0),0),IF(ISERROR(1/VLOOKUP($R529,Capa!$A:$AJ,AY$5,0)),0,1/VLOOKUP($R529,Capa!$A:$AJ,AY$5,0))))</f>
        <v/>
      </c>
      <c r="AZ529" s="174" t="str">
        <f>IF(AZ$6="","",IF(AZ$3="Maior",iferror(VLOOKUP($R529,Capa!$A:$AJ,AZ$5,0),0),IF(ISERROR(1/VLOOKUP($R529,Capa!$A:$AJ,AZ$5,0)),0,1/VLOOKUP($R529,Capa!$A:$AJ,AZ$5,0))))</f>
        <v/>
      </c>
      <c r="BA529" s="174" t="str">
        <f>IF(BA$6="","",IF(BA$3="Maior",iferror(VLOOKUP($R529,Capa!$A:$AJ,BA$5,0),0),IF(ISERROR(1/VLOOKUP($R529,Capa!$A:$AJ,BA$5,0)),0,1/VLOOKUP($R529,Capa!$A:$AJ,BA$5,0))))</f>
        <v/>
      </c>
      <c r="BB529" s="174" t="str">
        <f>IF(BB$6="","",IF(BB$3="Maior",iferror(VLOOKUP($R529,Capa!$A:$AJ,BB$5,0),0),IF(ISERROR(1/VLOOKUP($R529,Capa!$A:$AJ,BB$5,0)),0,1/VLOOKUP($R529,Capa!$A:$AJ,BB$5,0))))</f>
        <v/>
      </c>
      <c r="BC529" s="174" t="str">
        <f>IF(BC$6="","",IF(BC$3="Maior",iferror(VLOOKUP($R529,Capa!$A:$AJ,BC$5,0),0),IF(ISERROR(1/VLOOKUP($R529,Capa!$A:$AJ,BC$5,0)),0,1/VLOOKUP($R529,Capa!$A:$AJ,BC$5,0))))</f>
        <v/>
      </c>
      <c r="BD529" s="174" t="str">
        <f>IF(BD$6="","",IF(BD$3="Maior",iferror(VLOOKUP($R529,Capa!$A:$AJ,BD$5,0),0),IF(ISERROR(1/VLOOKUP($R529,Capa!$A:$AJ,BD$5,0)),0,1/VLOOKUP($R529,Capa!$A:$AJ,BD$5,0))))</f>
        <v/>
      </c>
      <c r="BE529" s="174" t="str">
        <f>IF(BE$6="","",IF(BE$3="Maior",iferror(VLOOKUP($R529,Capa!$A:$AJ,BE$5,0),0),IF(ISERROR(1/VLOOKUP($R529,Capa!$A:$AJ,BE$5,0)),0,1/VLOOKUP($R529,Capa!$A:$AJ,BE$5,0))))</f>
        <v/>
      </c>
      <c r="BF529" s="174" t="str">
        <f>IF(BF$6="","",IF(BF$3="Maior",iferror(VLOOKUP($R529,Capa!$A:$AJ,BF$5,0),0),IF(ISERROR(1/VLOOKUP($R529,Capa!$A:$AJ,BF$5,0)),0,1/VLOOKUP($R529,Capa!$A:$AJ,BF$5,0))))</f>
        <v/>
      </c>
      <c r="BG529" s="174" t="str">
        <f>IF(BG$6="","",IF(BG$3="Maior",iferror(VLOOKUP($R529,Capa!$A:$AJ,BG$5,0),0),IF(ISERROR(1/VLOOKUP($R529,Capa!$A:$AJ,BG$5,0)),0,1/VLOOKUP($R529,Capa!$A:$AJ,BG$5,0))))</f>
        <v/>
      </c>
      <c r="BH529" s="174" t="str">
        <f>IF(BH$6="","",IF(BH$3="Maior",iferror(VLOOKUP($R529,Capa!$A:$AJ,BH$5,0),0),IF(ISERROR(1/VLOOKUP($R529,Capa!$A:$AJ,BH$5,0)),0,1/VLOOKUP($R529,Capa!$A:$AJ,BH$5,0))))</f>
        <v/>
      </c>
      <c r="BI529" s="174" t="str">
        <f>IF(BI$6="","",IF(BI$3="Maior",iferror(VLOOKUP($R529,Capa!$A:$AJ,BI$5,0),0),IF(ISERROR(1/VLOOKUP($R529,Capa!$A:$AJ,BI$5,0)),0,1/VLOOKUP($R529,Capa!$A:$AJ,BI$5,0))))</f>
        <v/>
      </c>
      <c r="BJ529" s="174" t="str">
        <f>IF(BJ$6="","",IF(BJ$3="Maior",iferror(VLOOKUP($R529,Capa!$A:$AJ,BJ$5,0),0),IF(ISERROR(1/VLOOKUP($R529,Capa!$A:$AJ,BJ$5,0)),0,1/VLOOKUP($R529,Capa!$A:$AJ,BJ$5,0))))</f>
        <v/>
      </c>
      <c r="BK529" s="174" t="str">
        <f>IF(BK$6="","",IF(BK$3="Maior",iferror(VLOOKUP($R529,Capa!$A:$AJ,BK$5,0),0),IF(ISERROR(1/VLOOKUP($R529,Capa!$A:$AJ,BK$5,0)),0,1/VLOOKUP($R529,Capa!$A:$AJ,BK$5,0))))</f>
        <v/>
      </c>
      <c r="BL529" s="174" t="str">
        <f>IF(BL$6="","",IF(BL$3="Maior",iferror(VLOOKUP($R529,Capa!$A:$AJ,BL$5,0),0),IF(ISERROR(1/VLOOKUP($R529,Capa!$A:$AJ,BL$5,0)),0,1/VLOOKUP($R529,Capa!$A:$AJ,BL$5,0))))</f>
        <v/>
      </c>
      <c r="BM529" s="174" t="str">
        <f>IF(BM$6="","",IF(BM$3="Maior",iferror(VLOOKUP($R529,Capa!$A:$AJ,BM$5,0),0),IF(ISERROR(1/VLOOKUP($R529,Capa!$A:$AJ,BM$5,0)),0,1/VLOOKUP($R529,Capa!$A:$AJ,BM$5,0))))</f>
        <v/>
      </c>
      <c r="BN529" s="174" t="str">
        <f>IF(BN$6="","",IF(BN$3="Maior",iferror(VLOOKUP($R529,Capa!$A:$AJ,BN$5,0),0),IF(ISERROR(1/VLOOKUP($R529,Capa!$A:$AJ,BN$5,0)),0,1/VLOOKUP($R529,Capa!$A:$AJ,BN$5,0))))</f>
        <v/>
      </c>
      <c r="BO529" s="174" t="str">
        <f>IF(BO$6="","",IF(BO$3="Maior",iferror(VLOOKUP($R529,Capa!$A:$AJ,BO$5,0),0),IF(ISERROR(1/VLOOKUP($R529,Capa!$A:$AJ,BO$5,0)),0,1/VLOOKUP($R529,Capa!$A:$AJ,BO$5,0))))</f>
        <v/>
      </c>
      <c r="BP529" s="174" t="str">
        <f>IF(BP$6="","",IF(BP$3="Maior",iferror(VLOOKUP($R529,Capa!$A:$AJ,BP$5,0),0),IF(ISERROR(1/VLOOKUP($R529,Capa!$A:$AJ,BP$5,0)),0,1/VLOOKUP($R529,Capa!$A:$AJ,BP$5,0))))</f>
        <v/>
      </c>
      <c r="BQ529" s="174" t="str">
        <f>IF(BQ$6="","",IF(BQ$3="Maior",iferror(VLOOKUP($R529,Capa!$A:$AJ,BQ$5,0),0),IF(ISERROR(1/VLOOKUP($R529,Capa!$A:$AJ,BQ$5,0)),0,1/VLOOKUP($R529,Capa!$A:$AJ,BQ$5,0))))</f>
        <v/>
      </c>
      <c r="BR529" s="175"/>
      <c r="BS529" s="147"/>
    </row>
    <row r="530">
      <c r="H530" s="8">
        <v>524.0</v>
      </c>
      <c r="I530" s="165" t="str">
        <f t="shared" si="6"/>
        <v>CEDO3</v>
      </c>
      <c r="J530" s="166" t="str">
        <f>(VLOOKUP($I530,Capa!$A:$B,2,0))</f>
        <v>Companhia de Fc  Tcds Cdr Cchr</v>
      </c>
      <c r="K530" s="167" t="str">
        <f>VLOOKUP(left(I530,4),Setor!A:D,3,0)&amp;" | "&amp;VLOOKUP(left(I530,4),Setor!A:D,4,0)</f>
        <v>Consumo Cíclico | Tecidos, Vestuário e Calçados</v>
      </c>
      <c r="L530" s="168">
        <f>(VLOOKUP($I530,Capa!$A:$F,6,0))</f>
        <v>13.99</v>
      </c>
      <c r="M530" s="168">
        <f t="shared" si="7"/>
        <v>1399</v>
      </c>
      <c r="N530" s="11" t="str">
        <f>IFERROR(__xludf.DUMMYFUNCTION("(VLOOKUP($I530,Capa!$A:$H,7,0))"),"")</f>
        <v/>
      </c>
      <c r="O530" s="169" t="str">
        <f>(VLOOKUP($I530,Capa!$A:$H,8,0))</f>
        <v/>
      </c>
      <c r="P530" s="11" t="str">
        <f>IFERROR(__xludf.DUMMYFUNCTION("(VLOOKUP($I530,Capa!$A:$J,10,0))"),"")</f>
        <v/>
      </c>
      <c r="Q530" s="169" t="str">
        <f>(VLOOKUP($I530,Capa!$A:$K,11,0))</f>
        <v/>
      </c>
      <c r="R530" s="45" t="str">
        <f>'Dados StatusInvest'!A525</f>
        <v>SIMH3</v>
      </c>
      <c r="S530" s="170">
        <f t="shared" si="234"/>
        <v>842.0842</v>
      </c>
      <c r="T530" s="171">
        <f>VLOOKUP(R530,'Dados StatusInvest'!A:Z,26,0)</f>
        <v>44767676</v>
      </c>
      <c r="U530" s="172">
        <f t="shared" ref="U530:AS530" si="533">IF(AT530="","", RANK(AT530,AT$7:AT$626,0)+RANK(AT530,AT$7:AT$626,0)/10000)</f>
        <v>575.0575</v>
      </c>
      <c r="V530" s="172">
        <f t="shared" si="533"/>
        <v>267.0267</v>
      </c>
      <c r="W530" s="172" t="str">
        <f t="shared" si="533"/>
        <v/>
      </c>
      <c r="X530" s="172" t="str">
        <f t="shared" si="533"/>
        <v/>
      </c>
      <c r="Y530" s="172" t="str">
        <f t="shared" si="533"/>
        <v/>
      </c>
      <c r="Z530" s="172" t="str">
        <f t="shared" si="533"/>
        <v/>
      </c>
      <c r="AA530" s="172" t="str">
        <f t="shared" si="533"/>
        <v/>
      </c>
      <c r="AB530" s="172" t="str">
        <f t="shared" si="533"/>
        <v/>
      </c>
      <c r="AC530" s="172" t="str">
        <f t="shared" si="533"/>
        <v/>
      </c>
      <c r="AD530" s="172" t="str">
        <f t="shared" si="533"/>
        <v/>
      </c>
      <c r="AE530" s="172" t="str">
        <f t="shared" si="533"/>
        <v/>
      </c>
      <c r="AF530" s="172" t="str">
        <f t="shared" si="533"/>
        <v/>
      </c>
      <c r="AG530" s="172" t="str">
        <f t="shared" si="533"/>
        <v/>
      </c>
      <c r="AH530" s="172" t="str">
        <f t="shared" si="533"/>
        <v/>
      </c>
      <c r="AI530" s="172" t="str">
        <f t="shared" si="533"/>
        <v/>
      </c>
      <c r="AJ530" s="172" t="str">
        <f t="shared" si="533"/>
        <v/>
      </c>
      <c r="AK530" s="172" t="str">
        <f t="shared" si="533"/>
        <v/>
      </c>
      <c r="AL530" s="172" t="str">
        <f t="shared" si="533"/>
        <v/>
      </c>
      <c r="AM530" s="172" t="str">
        <f t="shared" si="533"/>
        <v/>
      </c>
      <c r="AN530" s="172" t="str">
        <f t="shared" si="533"/>
        <v/>
      </c>
      <c r="AO530" s="172" t="str">
        <f t="shared" si="533"/>
        <v/>
      </c>
      <c r="AP530" s="172" t="str">
        <f t="shared" si="533"/>
        <v/>
      </c>
      <c r="AQ530" s="172" t="str">
        <f t="shared" si="533"/>
        <v/>
      </c>
      <c r="AR530" s="172" t="str">
        <f t="shared" si="533"/>
        <v/>
      </c>
      <c r="AS530" s="172" t="str">
        <f t="shared" si="533"/>
        <v/>
      </c>
      <c r="AT530" s="173">
        <f>IF(AT$6="","",IF(AT$3="Maior",iferror(VLOOKUP($R530,Capa!$A:$AJ,AT$5,0),0),IF(ISERROR(1/VLOOKUP($R530,Capa!$A:$AJ,AT$5,0)),0,1/VLOOKUP($R530,Capa!$A:$AJ,AT$5,0))))</f>
        <v>-8.862985152</v>
      </c>
      <c r="AU530" s="174">
        <f>IF(AU$6="","",IF(AU$3="Maior",iferror(VLOOKUP($R530,Capa!$A:$AJ,AU$5,0),0),IF(ISERROR(1/VLOOKUP($R530,Capa!$A:$AJ,AU$5,0)),0,1/VLOOKUP($R530,Capa!$A:$AJ,AU$5,0))))</f>
        <v>0</v>
      </c>
      <c r="AV530" s="174" t="str">
        <f>IF(AV$6="","",IF(AV$3="Maior",iferror(VLOOKUP($R530,Capa!$A:$AJ,AV$5,0),0),IF(ISERROR(1/VLOOKUP($R530,Capa!$A:$AJ,AV$5,0)),0,1/VLOOKUP($R530,Capa!$A:$AJ,AV$5,0))))</f>
        <v/>
      </c>
      <c r="AW530" s="174" t="str">
        <f>IF(AW$6="","",IF(AW$3="Maior",iferror(VLOOKUP($R530,Capa!$A:$AJ,AW$5,0),0),IF(ISERROR(1/VLOOKUP($R530,Capa!$A:$AJ,AW$5,0)),0,1/VLOOKUP($R530,Capa!$A:$AJ,AW$5,0))))</f>
        <v/>
      </c>
      <c r="AX530" s="174" t="str">
        <f>IF(AX$6="","",IF(AX$3="Maior",iferror(VLOOKUP($R530,Capa!$A:$AJ,AX$5,0),0),IF(ISERROR(1/VLOOKUP($R530,Capa!$A:$AJ,AX$5,0)),0,1/VLOOKUP($R530,Capa!$A:$AJ,AX$5,0))))</f>
        <v/>
      </c>
      <c r="AY530" s="174" t="str">
        <f>IF(AY$6="","",IF(AY$3="Maior",iferror(VLOOKUP($R530,Capa!$A:$AJ,AY$5,0),0),IF(ISERROR(1/VLOOKUP($R530,Capa!$A:$AJ,AY$5,0)),0,1/VLOOKUP($R530,Capa!$A:$AJ,AY$5,0))))</f>
        <v/>
      </c>
      <c r="AZ530" s="174" t="str">
        <f>IF(AZ$6="","",IF(AZ$3="Maior",iferror(VLOOKUP($R530,Capa!$A:$AJ,AZ$5,0),0),IF(ISERROR(1/VLOOKUP($R530,Capa!$A:$AJ,AZ$5,0)),0,1/VLOOKUP($R530,Capa!$A:$AJ,AZ$5,0))))</f>
        <v/>
      </c>
      <c r="BA530" s="174" t="str">
        <f>IF(BA$6="","",IF(BA$3="Maior",iferror(VLOOKUP($R530,Capa!$A:$AJ,BA$5,0),0),IF(ISERROR(1/VLOOKUP($R530,Capa!$A:$AJ,BA$5,0)),0,1/VLOOKUP($R530,Capa!$A:$AJ,BA$5,0))))</f>
        <v/>
      </c>
      <c r="BB530" s="174" t="str">
        <f>IF(BB$6="","",IF(BB$3="Maior",iferror(VLOOKUP($R530,Capa!$A:$AJ,BB$5,0),0),IF(ISERROR(1/VLOOKUP($R530,Capa!$A:$AJ,BB$5,0)),0,1/VLOOKUP($R530,Capa!$A:$AJ,BB$5,0))))</f>
        <v/>
      </c>
      <c r="BC530" s="174" t="str">
        <f>IF(BC$6="","",IF(BC$3="Maior",iferror(VLOOKUP($R530,Capa!$A:$AJ,BC$5,0),0),IF(ISERROR(1/VLOOKUP($R530,Capa!$A:$AJ,BC$5,0)),0,1/VLOOKUP($R530,Capa!$A:$AJ,BC$5,0))))</f>
        <v/>
      </c>
      <c r="BD530" s="174" t="str">
        <f>IF(BD$6="","",IF(BD$3="Maior",iferror(VLOOKUP($R530,Capa!$A:$AJ,BD$5,0),0),IF(ISERROR(1/VLOOKUP($R530,Capa!$A:$AJ,BD$5,0)),0,1/VLOOKUP($R530,Capa!$A:$AJ,BD$5,0))))</f>
        <v/>
      </c>
      <c r="BE530" s="174" t="str">
        <f>IF(BE$6="","",IF(BE$3="Maior",iferror(VLOOKUP($R530,Capa!$A:$AJ,BE$5,0),0),IF(ISERROR(1/VLOOKUP($R530,Capa!$A:$AJ,BE$5,0)),0,1/VLOOKUP($R530,Capa!$A:$AJ,BE$5,0))))</f>
        <v/>
      </c>
      <c r="BF530" s="174" t="str">
        <f>IF(BF$6="","",IF(BF$3="Maior",iferror(VLOOKUP($R530,Capa!$A:$AJ,BF$5,0),0),IF(ISERROR(1/VLOOKUP($R530,Capa!$A:$AJ,BF$5,0)),0,1/VLOOKUP($R530,Capa!$A:$AJ,BF$5,0))))</f>
        <v/>
      </c>
      <c r="BG530" s="174" t="str">
        <f>IF(BG$6="","",IF(BG$3="Maior",iferror(VLOOKUP($R530,Capa!$A:$AJ,BG$5,0),0),IF(ISERROR(1/VLOOKUP($R530,Capa!$A:$AJ,BG$5,0)),0,1/VLOOKUP($R530,Capa!$A:$AJ,BG$5,0))))</f>
        <v/>
      </c>
      <c r="BH530" s="174" t="str">
        <f>IF(BH$6="","",IF(BH$3="Maior",iferror(VLOOKUP($R530,Capa!$A:$AJ,BH$5,0),0),IF(ISERROR(1/VLOOKUP($R530,Capa!$A:$AJ,BH$5,0)),0,1/VLOOKUP($R530,Capa!$A:$AJ,BH$5,0))))</f>
        <v/>
      </c>
      <c r="BI530" s="174" t="str">
        <f>IF(BI$6="","",IF(BI$3="Maior",iferror(VLOOKUP($R530,Capa!$A:$AJ,BI$5,0),0),IF(ISERROR(1/VLOOKUP($R530,Capa!$A:$AJ,BI$5,0)),0,1/VLOOKUP($R530,Capa!$A:$AJ,BI$5,0))))</f>
        <v/>
      </c>
      <c r="BJ530" s="174" t="str">
        <f>IF(BJ$6="","",IF(BJ$3="Maior",iferror(VLOOKUP($R530,Capa!$A:$AJ,BJ$5,0),0),IF(ISERROR(1/VLOOKUP($R530,Capa!$A:$AJ,BJ$5,0)),0,1/VLOOKUP($R530,Capa!$A:$AJ,BJ$5,0))))</f>
        <v/>
      </c>
      <c r="BK530" s="174" t="str">
        <f>IF(BK$6="","",IF(BK$3="Maior",iferror(VLOOKUP($R530,Capa!$A:$AJ,BK$5,0),0),IF(ISERROR(1/VLOOKUP($R530,Capa!$A:$AJ,BK$5,0)),0,1/VLOOKUP($R530,Capa!$A:$AJ,BK$5,0))))</f>
        <v/>
      </c>
      <c r="BL530" s="174" t="str">
        <f>IF(BL$6="","",IF(BL$3="Maior",iferror(VLOOKUP($R530,Capa!$A:$AJ,BL$5,0),0),IF(ISERROR(1/VLOOKUP($R530,Capa!$A:$AJ,BL$5,0)),0,1/VLOOKUP($R530,Capa!$A:$AJ,BL$5,0))))</f>
        <v/>
      </c>
      <c r="BM530" s="174" t="str">
        <f>IF(BM$6="","",IF(BM$3="Maior",iferror(VLOOKUP($R530,Capa!$A:$AJ,BM$5,0),0),IF(ISERROR(1/VLOOKUP($R530,Capa!$A:$AJ,BM$5,0)),0,1/VLOOKUP($R530,Capa!$A:$AJ,BM$5,0))))</f>
        <v/>
      </c>
      <c r="BN530" s="174" t="str">
        <f>IF(BN$6="","",IF(BN$3="Maior",iferror(VLOOKUP($R530,Capa!$A:$AJ,BN$5,0),0),IF(ISERROR(1/VLOOKUP($R530,Capa!$A:$AJ,BN$5,0)),0,1/VLOOKUP($R530,Capa!$A:$AJ,BN$5,0))))</f>
        <v/>
      </c>
      <c r="BO530" s="174" t="str">
        <f>IF(BO$6="","",IF(BO$3="Maior",iferror(VLOOKUP($R530,Capa!$A:$AJ,BO$5,0),0),IF(ISERROR(1/VLOOKUP($R530,Capa!$A:$AJ,BO$5,0)),0,1/VLOOKUP($R530,Capa!$A:$AJ,BO$5,0))))</f>
        <v/>
      </c>
      <c r="BP530" s="174" t="str">
        <f>IF(BP$6="","",IF(BP$3="Maior",iferror(VLOOKUP($R530,Capa!$A:$AJ,BP$5,0),0),IF(ISERROR(1/VLOOKUP($R530,Capa!$A:$AJ,BP$5,0)),0,1/VLOOKUP($R530,Capa!$A:$AJ,BP$5,0))))</f>
        <v/>
      </c>
      <c r="BQ530" s="174" t="str">
        <f>IF(BQ$6="","",IF(BQ$3="Maior",iferror(VLOOKUP($R530,Capa!$A:$AJ,BQ$5,0),0),IF(ISERROR(1/VLOOKUP($R530,Capa!$A:$AJ,BQ$5,0)),0,1/VLOOKUP($R530,Capa!$A:$AJ,BQ$5,0))))</f>
        <v/>
      </c>
      <c r="BR530" s="175"/>
      <c r="BS530" s="147"/>
    </row>
    <row r="531">
      <c r="H531" s="8">
        <v>525.0</v>
      </c>
      <c r="I531" s="165" t="str">
        <f t="shared" si="6"/>
        <v>G2DI33</v>
      </c>
      <c r="J531" s="166" t="str">
        <f>(VLOOKUP($I531,Capa!$A:$B,2,0))</f>
        <v>G2D Investments Ltd</v>
      </c>
      <c r="K531" s="167" t="str">
        <f>VLOOKUP(left(I531,4),Setor!A:D,3,0)&amp;" | "&amp;VLOOKUP(left(I531,4),Setor!A:D,4,0)</f>
        <v>#N/A</v>
      </c>
      <c r="L531" s="168">
        <f>(VLOOKUP($I531,Capa!$A:$F,6,0))</f>
        <v>1.65</v>
      </c>
      <c r="M531" s="168">
        <f t="shared" si="7"/>
        <v>65478.62</v>
      </c>
      <c r="N531" s="11" t="str">
        <f>IFERROR(__xludf.DUMMYFUNCTION("(VLOOKUP($I531,Capa!$A:$H,7,0))"),"")</f>
        <v/>
      </c>
      <c r="O531" s="169">
        <f>(VLOOKUP($I531,Capa!$A:$H,8,0))</f>
        <v>-0.0119760479</v>
      </c>
      <c r="P531" s="11" t="str">
        <f>IFERROR(__xludf.DUMMYFUNCTION("(VLOOKUP($I531,Capa!$A:$J,10,0))"),"")</f>
        <v/>
      </c>
      <c r="Q531" s="169">
        <f>(VLOOKUP($I531,Capa!$A:$K,11,0))</f>
        <v>-0.08333333333</v>
      </c>
      <c r="R531" s="45" t="str">
        <f>'Dados StatusInvest'!A526</f>
        <v>SLCE3</v>
      </c>
      <c r="S531" s="170">
        <f t="shared" si="234"/>
        <v>561.0561</v>
      </c>
      <c r="T531" s="171">
        <f>VLOOKUP(R531,'Dados StatusInvest'!A:Z,26,0)</f>
        <v>33396585</v>
      </c>
      <c r="U531" s="172">
        <f t="shared" ref="U531:AS531" si="534">IF(AT531="","", RANK(AT531,AT$7:AT$626,0)+RANK(AT531,AT$7:AT$626,0)/10000)</f>
        <v>401.0401</v>
      </c>
      <c r="V531" s="172">
        <f t="shared" si="534"/>
        <v>160.016</v>
      </c>
      <c r="W531" s="172" t="str">
        <f t="shared" si="534"/>
        <v/>
      </c>
      <c r="X531" s="172" t="str">
        <f t="shared" si="534"/>
        <v/>
      </c>
      <c r="Y531" s="172" t="str">
        <f t="shared" si="534"/>
        <v/>
      </c>
      <c r="Z531" s="172" t="str">
        <f t="shared" si="534"/>
        <v/>
      </c>
      <c r="AA531" s="172" t="str">
        <f t="shared" si="534"/>
        <v/>
      </c>
      <c r="AB531" s="172" t="str">
        <f t="shared" si="534"/>
        <v/>
      </c>
      <c r="AC531" s="172" t="str">
        <f t="shared" si="534"/>
        <v/>
      </c>
      <c r="AD531" s="172" t="str">
        <f t="shared" si="534"/>
        <v/>
      </c>
      <c r="AE531" s="172" t="str">
        <f t="shared" si="534"/>
        <v/>
      </c>
      <c r="AF531" s="172" t="str">
        <f t="shared" si="534"/>
        <v/>
      </c>
      <c r="AG531" s="172" t="str">
        <f t="shared" si="534"/>
        <v/>
      </c>
      <c r="AH531" s="172" t="str">
        <f t="shared" si="534"/>
        <v/>
      </c>
      <c r="AI531" s="172" t="str">
        <f t="shared" si="534"/>
        <v/>
      </c>
      <c r="AJ531" s="172" t="str">
        <f t="shared" si="534"/>
        <v/>
      </c>
      <c r="AK531" s="172" t="str">
        <f t="shared" si="534"/>
        <v/>
      </c>
      <c r="AL531" s="172" t="str">
        <f t="shared" si="534"/>
        <v/>
      </c>
      <c r="AM531" s="172" t="str">
        <f t="shared" si="534"/>
        <v/>
      </c>
      <c r="AN531" s="172" t="str">
        <f t="shared" si="534"/>
        <v/>
      </c>
      <c r="AO531" s="172" t="str">
        <f t="shared" si="534"/>
        <v/>
      </c>
      <c r="AP531" s="172" t="str">
        <f t="shared" si="534"/>
        <v/>
      </c>
      <c r="AQ531" s="172" t="str">
        <f t="shared" si="534"/>
        <v/>
      </c>
      <c r="AR531" s="172" t="str">
        <f t="shared" si="534"/>
        <v/>
      </c>
      <c r="AS531" s="172" t="str">
        <f t="shared" si="534"/>
        <v/>
      </c>
      <c r="AT531" s="173">
        <f>IF(AT$6="","",IF(AT$3="Maior",iferror(VLOOKUP($R531,Capa!$A:$AJ,AT$5,0),0),IF(ISERROR(1/VLOOKUP($R531,Capa!$A:$AJ,AT$5,0)),0,1/VLOOKUP($R531,Capa!$A:$AJ,AT$5,0))))</f>
        <v>-1.385172225</v>
      </c>
      <c r="AU531" s="174">
        <f>IF(AU$6="","",IF(AU$3="Maior",iferror(VLOOKUP($R531,Capa!$A:$AJ,AU$5,0),0),IF(ISERROR(1/VLOOKUP($R531,Capa!$A:$AJ,AU$5,0)),0,1/VLOOKUP($R531,Capa!$A:$AJ,AU$5,0))))</f>
        <v>16.12</v>
      </c>
      <c r="AV531" s="174" t="str">
        <f>IF(AV$6="","",IF(AV$3="Maior",iferror(VLOOKUP($R531,Capa!$A:$AJ,AV$5,0),0),IF(ISERROR(1/VLOOKUP($R531,Capa!$A:$AJ,AV$5,0)),0,1/VLOOKUP($R531,Capa!$A:$AJ,AV$5,0))))</f>
        <v/>
      </c>
      <c r="AW531" s="174" t="str">
        <f>IF(AW$6="","",IF(AW$3="Maior",iferror(VLOOKUP($R531,Capa!$A:$AJ,AW$5,0),0),IF(ISERROR(1/VLOOKUP($R531,Capa!$A:$AJ,AW$5,0)),0,1/VLOOKUP($R531,Capa!$A:$AJ,AW$5,0))))</f>
        <v/>
      </c>
      <c r="AX531" s="174" t="str">
        <f>IF(AX$6="","",IF(AX$3="Maior",iferror(VLOOKUP($R531,Capa!$A:$AJ,AX$5,0),0),IF(ISERROR(1/VLOOKUP($R531,Capa!$A:$AJ,AX$5,0)),0,1/VLOOKUP($R531,Capa!$A:$AJ,AX$5,0))))</f>
        <v/>
      </c>
      <c r="AY531" s="174" t="str">
        <f>IF(AY$6="","",IF(AY$3="Maior",iferror(VLOOKUP($R531,Capa!$A:$AJ,AY$5,0),0),IF(ISERROR(1/VLOOKUP($R531,Capa!$A:$AJ,AY$5,0)),0,1/VLOOKUP($R531,Capa!$A:$AJ,AY$5,0))))</f>
        <v/>
      </c>
      <c r="AZ531" s="174" t="str">
        <f>IF(AZ$6="","",IF(AZ$3="Maior",iferror(VLOOKUP($R531,Capa!$A:$AJ,AZ$5,0),0),IF(ISERROR(1/VLOOKUP($R531,Capa!$A:$AJ,AZ$5,0)),0,1/VLOOKUP($R531,Capa!$A:$AJ,AZ$5,0))))</f>
        <v/>
      </c>
      <c r="BA531" s="174" t="str">
        <f>IF(BA$6="","",IF(BA$3="Maior",iferror(VLOOKUP($R531,Capa!$A:$AJ,BA$5,0),0),IF(ISERROR(1/VLOOKUP($R531,Capa!$A:$AJ,BA$5,0)),0,1/VLOOKUP($R531,Capa!$A:$AJ,BA$5,0))))</f>
        <v/>
      </c>
      <c r="BB531" s="174" t="str">
        <f>IF(BB$6="","",IF(BB$3="Maior",iferror(VLOOKUP($R531,Capa!$A:$AJ,BB$5,0),0),IF(ISERROR(1/VLOOKUP($R531,Capa!$A:$AJ,BB$5,0)),0,1/VLOOKUP($R531,Capa!$A:$AJ,BB$5,0))))</f>
        <v/>
      </c>
      <c r="BC531" s="174" t="str">
        <f>IF(BC$6="","",IF(BC$3="Maior",iferror(VLOOKUP($R531,Capa!$A:$AJ,BC$5,0),0),IF(ISERROR(1/VLOOKUP($R531,Capa!$A:$AJ,BC$5,0)),0,1/VLOOKUP($R531,Capa!$A:$AJ,BC$5,0))))</f>
        <v/>
      </c>
      <c r="BD531" s="174" t="str">
        <f>IF(BD$6="","",IF(BD$3="Maior",iferror(VLOOKUP($R531,Capa!$A:$AJ,BD$5,0),0),IF(ISERROR(1/VLOOKUP($R531,Capa!$A:$AJ,BD$5,0)),0,1/VLOOKUP($R531,Capa!$A:$AJ,BD$5,0))))</f>
        <v/>
      </c>
      <c r="BE531" s="174" t="str">
        <f>IF(BE$6="","",IF(BE$3="Maior",iferror(VLOOKUP($R531,Capa!$A:$AJ,BE$5,0),0),IF(ISERROR(1/VLOOKUP($R531,Capa!$A:$AJ,BE$5,0)),0,1/VLOOKUP($R531,Capa!$A:$AJ,BE$5,0))))</f>
        <v/>
      </c>
      <c r="BF531" s="174" t="str">
        <f>IF(BF$6="","",IF(BF$3="Maior",iferror(VLOOKUP($R531,Capa!$A:$AJ,BF$5,0),0),IF(ISERROR(1/VLOOKUP($R531,Capa!$A:$AJ,BF$5,0)),0,1/VLOOKUP($R531,Capa!$A:$AJ,BF$5,0))))</f>
        <v/>
      </c>
      <c r="BG531" s="174" t="str">
        <f>IF(BG$6="","",IF(BG$3="Maior",iferror(VLOOKUP($R531,Capa!$A:$AJ,BG$5,0),0),IF(ISERROR(1/VLOOKUP($R531,Capa!$A:$AJ,BG$5,0)),0,1/VLOOKUP($R531,Capa!$A:$AJ,BG$5,0))))</f>
        <v/>
      </c>
      <c r="BH531" s="174" t="str">
        <f>IF(BH$6="","",IF(BH$3="Maior",iferror(VLOOKUP($R531,Capa!$A:$AJ,BH$5,0),0),IF(ISERROR(1/VLOOKUP($R531,Capa!$A:$AJ,BH$5,0)),0,1/VLOOKUP($R531,Capa!$A:$AJ,BH$5,0))))</f>
        <v/>
      </c>
      <c r="BI531" s="174" t="str">
        <f>IF(BI$6="","",IF(BI$3="Maior",iferror(VLOOKUP($R531,Capa!$A:$AJ,BI$5,0),0),IF(ISERROR(1/VLOOKUP($R531,Capa!$A:$AJ,BI$5,0)),0,1/VLOOKUP($R531,Capa!$A:$AJ,BI$5,0))))</f>
        <v/>
      </c>
      <c r="BJ531" s="174" t="str">
        <f>IF(BJ$6="","",IF(BJ$3="Maior",iferror(VLOOKUP($R531,Capa!$A:$AJ,BJ$5,0),0),IF(ISERROR(1/VLOOKUP($R531,Capa!$A:$AJ,BJ$5,0)),0,1/VLOOKUP($R531,Capa!$A:$AJ,BJ$5,0))))</f>
        <v/>
      </c>
      <c r="BK531" s="174" t="str">
        <f>IF(BK$6="","",IF(BK$3="Maior",iferror(VLOOKUP($R531,Capa!$A:$AJ,BK$5,0),0),IF(ISERROR(1/VLOOKUP($R531,Capa!$A:$AJ,BK$5,0)),0,1/VLOOKUP($R531,Capa!$A:$AJ,BK$5,0))))</f>
        <v/>
      </c>
      <c r="BL531" s="174" t="str">
        <f>IF(BL$6="","",IF(BL$3="Maior",iferror(VLOOKUP($R531,Capa!$A:$AJ,BL$5,0),0),IF(ISERROR(1/VLOOKUP($R531,Capa!$A:$AJ,BL$5,0)),0,1/VLOOKUP($R531,Capa!$A:$AJ,BL$5,0))))</f>
        <v/>
      </c>
      <c r="BM531" s="174" t="str">
        <f>IF(BM$6="","",IF(BM$3="Maior",iferror(VLOOKUP($R531,Capa!$A:$AJ,BM$5,0),0),IF(ISERROR(1/VLOOKUP($R531,Capa!$A:$AJ,BM$5,0)),0,1/VLOOKUP($R531,Capa!$A:$AJ,BM$5,0))))</f>
        <v/>
      </c>
      <c r="BN531" s="174" t="str">
        <f>IF(BN$6="","",IF(BN$3="Maior",iferror(VLOOKUP($R531,Capa!$A:$AJ,BN$5,0),0),IF(ISERROR(1/VLOOKUP($R531,Capa!$A:$AJ,BN$5,0)),0,1/VLOOKUP($R531,Capa!$A:$AJ,BN$5,0))))</f>
        <v/>
      </c>
      <c r="BO531" s="174" t="str">
        <f>IF(BO$6="","",IF(BO$3="Maior",iferror(VLOOKUP($R531,Capa!$A:$AJ,BO$5,0),0),IF(ISERROR(1/VLOOKUP($R531,Capa!$A:$AJ,BO$5,0)),0,1/VLOOKUP($R531,Capa!$A:$AJ,BO$5,0))))</f>
        <v/>
      </c>
      <c r="BP531" s="174" t="str">
        <f>IF(BP$6="","",IF(BP$3="Maior",iferror(VLOOKUP($R531,Capa!$A:$AJ,BP$5,0),0),IF(ISERROR(1/VLOOKUP($R531,Capa!$A:$AJ,BP$5,0)),0,1/VLOOKUP($R531,Capa!$A:$AJ,BP$5,0))))</f>
        <v/>
      </c>
      <c r="BQ531" s="174" t="str">
        <f>IF(BQ$6="","",IF(BQ$3="Maior",iferror(VLOOKUP($R531,Capa!$A:$AJ,BQ$5,0),0),IF(ISERROR(1/VLOOKUP($R531,Capa!$A:$AJ,BQ$5,0)),0,1/VLOOKUP($R531,Capa!$A:$AJ,BQ$5,0))))</f>
        <v/>
      </c>
      <c r="BR531" s="175"/>
      <c r="BS531" s="147"/>
    </row>
    <row r="532">
      <c r="H532" s="8">
        <v>526.0</v>
      </c>
      <c r="I532" s="165" t="str">
        <f t="shared" si="6"/>
        <v>BIDI11</v>
      </c>
      <c r="J532" s="166" t="str">
        <f>(VLOOKUP($I532,Capa!$A:$B,2,0))</f>
        <v/>
      </c>
      <c r="K532" s="167" t="str">
        <f>VLOOKUP(left(I532,4),Setor!A:D,3,0)&amp;" | "&amp;VLOOKUP(left(I532,4),Setor!A:D,4,0)</f>
        <v>Financeiro | Intermediários Financeiros</v>
      </c>
      <c r="L532" s="168" t="str">
        <f>(VLOOKUP($I532,Capa!$A:$F,6,0))</f>
        <v/>
      </c>
      <c r="M532" s="168">
        <f t="shared" si="7"/>
        <v>0</v>
      </c>
      <c r="N532" s="11" t="str">
        <f>(VLOOKUP($I532,Capa!$A:$H,7,0))</f>
        <v/>
      </c>
      <c r="O532" s="169" t="str">
        <f>(VLOOKUP($I532,Capa!$A:$H,8,0))</f>
        <v/>
      </c>
      <c r="P532" s="11" t="str">
        <f>(VLOOKUP($I532,Capa!$A:$J,10,0))</f>
        <v/>
      </c>
      <c r="Q532" s="169" t="str">
        <f>(VLOOKUP($I532,Capa!$A:$K,11,0))</f>
        <v/>
      </c>
      <c r="R532" s="45" t="str">
        <f>'Dados StatusInvest'!A527</f>
        <v>SLED3</v>
      </c>
      <c r="S532" s="170">
        <f t="shared" si="234"/>
        <v>1714.0714</v>
      </c>
      <c r="T532" s="171">
        <f>VLOOKUP(R532,'Dados StatusInvest'!A:Z,26,0)</f>
        <v>0</v>
      </c>
      <c r="U532" s="172">
        <f t="shared" ref="U532:AS532" si="535">IF(AT532="","", RANK(AT532,AT$7:AT$626,0)+RANK(AT532,AT$7:AT$626,0)/10000)</f>
        <v>447.0447</v>
      </c>
      <c r="V532" s="172">
        <f t="shared" si="535"/>
        <v>267.0267</v>
      </c>
      <c r="W532" s="172" t="str">
        <f t="shared" si="535"/>
        <v/>
      </c>
      <c r="X532" s="172" t="str">
        <f t="shared" si="535"/>
        <v/>
      </c>
      <c r="Y532" s="172" t="str">
        <f t="shared" si="535"/>
        <v/>
      </c>
      <c r="Z532" s="172" t="str">
        <f t="shared" si="535"/>
        <v/>
      </c>
      <c r="AA532" s="172" t="str">
        <f t="shared" si="535"/>
        <v/>
      </c>
      <c r="AB532" s="172" t="str">
        <f t="shared" si="535"/>
        <v/>
      </c>
      <c r="AC532" s="172" t="str">
        <f t="shared" si="535"/>
        <v/>
      </c>
      <c r="AD532" s="172" t="str">
        <f t="shared" si="535"/>
        <v/>
      </c>
      <c r="AE532" s="172" t="str">
        <f t="shared" si="535"/>
        <v/>
      </c>
      <c r="AF532" s="172" t="str">
        <f t="shared" si="535"/>
        <v/>
      </c>
      <c r="AG532" s="172" t="str">
        <f t="shared" si="535"/>
        <v/>
      </c>
      <c r="AH532" s="172" t="str">
        <f t="shared" si="535"/>
        <v/>
      </c>
      <c r="AI532" s="172" t="str">
        <f t="shared" si="535"/>
        <v/>
      </c>
      <c r="AJ532" s="172" t="str">
        <f t="shared" si="535"/>
        <v/>
      </c>
      <c r="AK532" s="172" t="str">
        <f t="shared" si="535"/>
        <v/>
      </c>
      <c r="AL532" s="172" t="str">
        <f t="shared" si="535"/>
        <v/>
      </c>
      <c r="AM532" s="172" t="str">
        <f t="shared" si="535"/>
        <v/>
      </c>
      <c r="AN532" s="172" t="str">
        <f t="shared" si="535"/>
        <v/>
      </c>
      <c r="AO532" s="172" t="str">
        <f t="shared" si="535"/>
        <v/>
      </c>
      <c r="AP532" s="172" t="str">
        <f t="shared" si="535"/>
        <v/>
      </c>
      <c r="AQ532" s="172" t="str">
        <f t="shared" si="535"/>
        <v/>
      </c>
      <c r="AR532" s="172" t="str">
        <f t="shared" si="535"/>
        <v/>
      </c>
      <c r="AS532" s="172" t="str">
        <f t="shared" si="535"/>
        <v/>
      </c>
      <c r="AT532" s="173">
        <f>IF(AT$6="","",IF(AT$3="Maior",iferror(VLOOKUP($R532,Capa!$A:$AJ,AT$5,0),0),IF(ISERROR(1/VLOOKUP($R532,Capa!$A:$AJ,AT$5,0)),0,1/VLOOKUP($R532,Capa!$A:$AJ,AT$5,0))))</f>
        <v>-1.923076923</v>
      </c>
      <c r="AU532" s="174">
        <f>IF(AU$6="","",IF(AU$3="Maior",iferror(VLOOKUP($R532,Capa!$A:$AJ,AU$5,0),0),IF(ISERROR(1/VLOOKUP($R532,Capa!$A:$AJ,AU$5,0)),0,1/VLOOKUP($R532,Capa!$A:$AJ,AU$5,0))))</f>
        <v>0</v>
      </c>
      <c r="AV532" s="174" t="str">
        <f>IF(AV$6="","",IF(AV$3="Maior",iferror(VLOOKUP($R532,Capa!$A:$AJ,AV$5,0),0),IF(ISERROR(1/VLOOKUP($R532,Capa!$A:$AJ,AV$5,0)),0,1/VLOOKUP($R532,Capa!$A:$AJ,AV$5,0))))</f>
        <v/>
      </c>
      <c r="AW532" s="174" t="str">
        <f>IF(AW$6="","",IF(AW$3="Maior",iferror(VLOOKUP($R532,Capa!$A:$AJ,AW$5,0),0),IF(ISERROR(1/VLOOKUP($R532,Capa!$A:$AJ,AW$5,0)),0,1/VLOOKUP($R532,Capa!$A:$AJ,AW$5,0))))</f>
        <v/>
      </c>
      <c r="AX532" s="174" t="str">
        <f>IF(AX$6="","",IF(AX$3="Maior",iferror(VLOOKUP($R532,Capa!$A:$AJ,AX$5,0),0),IF(ISERROR(1/VLOOKUP($R532,Capa!$A:$AJ,AX$5,0)),0,1/VLOOKUP($R532,Capa!$A:$AJ,AX$5,0))))</f>
        <v/>
      </c>
      <c r="AY532" s="174" t="str">
        <f>IF(AY$6="","",IF(AY$3="Maior",iferror(VLOOKUP($R532,Capa!$A:$AJ,AY$5,0),0),IF(ISERROR(1/VLOOKUP($R532,Capa!$A:$AJ,AY$5,0)),0,1/VLOOKUP($R532,Capa!$A:$AJ,AY$5,0))))</f>
        <v/>
      </c>
      <c r="AZ532" s="174" t="str">
        <f>IF(AZ$6="","",IF(AZ$3="Maior",iferror(VLOOKUP($R532,Capa!$A:$AJ,AZ$5,0),0),IF(ISERROR(1/VLOOKUP($R532,Capa!$A:$AJ,AZ$5,0)),0,1/VLOOKUP($R532,Capa!$A:$AJ,AZ$5,0))))</f>
        <v/>
      </c>
      <c r="BA532" s="174" t="str">
        <f>IF(BA$6="","",IF(BA$3="Maior",iferror(VLOOKUP($R532,Capa!$A:$AJ,BA$5,0),0),IF(ISERROR(1/VLOOKUP($R532,Capa!$A:$AJ,BA$5,0)),0,1/VLOOKUP($R532,Capa!$A:$AJ,BA$5,0))))</f>
        <v/>
      </c>
      <c r="BB532" s="174" t="str">
        <f>IF(BB$6="","",IF(BB$3="Maior",iferror(VLOOKUP($R532,Capa!$A:$AJ,BB$5,0),0),IF(ISERROR(1/VLOOKUP($R532,Capa!$A:$AJ,BB$5,0)),0,1/VLOOKUP($R532,Capa!$A:$AJ,BB$5,0))))</f>
        <v/>
      </c>
      <c r="BC532" s="174" t="str">
        <f>IF(BC$6="","",IF(BC$3="Maior",iferror(VLOOKUP($R532,Capa!$A:$AJ,BC$5,0),0),IF(ISERROR(1/VLOOKUP($R532,Capa!$A:$AJ,BC$5,0)),0,1/VLOOKUP($R532,Capa!$A:$AJ,BC$5,0))))</f>
        <v/>
      </c>
      <c r="BD532" s="174" t="str">
        <f>IF(BD$6="","",IF(BD$3="Maior",iferror(VLOOKUP($R532,Capa!$A:$AJ,BD$5,0),0),IF(ISERROR(1/VLOOKUP($R532,Capa!$A:$AJ,BD$5,0)),0,1/VLOOKUP($R532,Capa!$A:$AJ,BD$5,0))))</f>
        <v/>
      </c>
      <c r="BE532" s="174" t="str">
        <f>IF(BE$6="","",IF(BE$3="Maior",iferror(VLOOKUP($R532,Capa!$A:$AJ,BE$5,0),0),IF(ISERROR(1/VLOOKUP($R532,Capa!$A:$AJ,BE$5,0)),0,1/VLOOKUP($R532,Capa!$A:$AJ,BE$5,0))))</f>
        <v/>
      </c>
      <c r="BF532" s="174" t="str">
        <f>IF(BF$6="","",IF(BF$3="Maior",iferror(VLOOKUP($R532,Capa!$A:$AJ,BF$5,0),0),IF(ISERROR(1/VLOOKUP($R532,Capa!$A:$AJ,BF$5,0)),0,1/VLOOKUP($R532,Capa!$A:$AJ,BF$5,0))))</f>
        <v/>
      </c>
      <c r="BG532" s="174" t="str">
        <f>IF(BG$6="","",IF(BG$3="Maior",iferror(VLOOKUP($R532,Capa!$A:$AJ,BG$5,0),0),IF(ISERROR(1/VLOOKUP($R532,Capa!$A:$AJ,BG$5,0)),0,1/VLOOKUP($R532,Capa!$A:$AJ,BG$5,0))))</f>
        <v/>
      </c>
      <c r="BH532" s="174" t="str">
        <f>IF(BH$6="","",IF(BH$3="Maior",iferror(VLOOKUP($R532,Capa!$A:$AJ,BH$5,0),0),IF(ISERROR(1/VLOOKUP($R532,Capa!$A:$AJ,BH$5,0)),0,1/VLOOKUP($R532,Capa!$A:$AJ,BH$5,0))))</f>
        <v/>
      </c>
      <c r="BI532" s="174" t="str">
        <f>IF(BI$6="","",IF(BI$3="Maior",iferror(VLOOKUP($R532,Capa!$A:$AJ,BI$5,0),0),IF(ISERROR(1/VLOOKUP($R532,Capa!$A:$AJ,BI$5,0)),0,1/VLOOKUP($R532,Capa!$A:$AJ,BI$5,0))))</f>
        <v/>
      </c>
      <c r="BJ532" s="174" t="str">
        <f>IF(BJ$6="","",IF(BJ$3="Maior",iferror(VLOOKUP($R532,Capa!$A:$AJ,BJ$5,0),0),IF(ISERROR(1/VLOOKUP($R532,Capa!$A:$AJ,BJ$5,0)),0,1/VLOOKUP($R532,Capa!$A:$AJ,BJ$5,0))))</f>
        <v/>
      </c>
      <c r="BK532" s="174" t="str">
        <f>IF(BK$6="","",IF(BK$3="Maior",iferror(VLOOKUP($R532,Capa!$A:$AJ,BK$5,0),0),IF(ISERROR(1/VLOOKUP($R532,Capa!$A:$AJ,BK$5,0)),0,1/VLOOKUP($R532,Capa!$A:$AJ,BK$5,0))))</f>
        <v/>
      </c>
      <c r="BL532" s="174" t="str">
        <f>IF(BL$6="","",IF(BL$3="Maior",iferror(VLOOKUP($R532,Capa!$A:$AJ,BL$5,0),0),IF(ISERROR(1/VLOOKUP($R532,Capa!$A:$AJ,BL$5,0)),0,1/VLOOKUP($R532,Capa!$A:$AJ,BL$5,0))))</f>
        <v/>
      </c>
      <c r="BM532" s="174" t="str">
        <f>IF(BM$6="","",IF(BM$3="Maior",iferror(VLOOKUP($R532,Capa!$A:$AJ,BM$5,0),0),IF(ISERROR(1/VLOOKUP($R532,Capa!$A:$AJ,BM$5,0)),0,1/VLOOKUP($R532,Capa!$A:$AJ,BM$5,0))))</f>
        <v/>
      </c>
      <c r="BN532" s="174" t="str">
        <f>IF(BN$6="","",IF(BN$3="Maior",iferror(VLOOKUP($R532,Capa!$A:$AJ,BN$5,0),0),IF(ISERROR(1/VLOOKUP($R532,Capa!$A:$AJ,BN$5,0)),0,1/VLOOKUP($R532,Capa!$A:$AJ,BN$5,0))))</f>
        <v/>
      </c>
      <c r="BO532" s="174" t="str">
        <f>IF(BO$6="","",IF(BO$3="Maior",iferror(VLOOKUP($R532,Capa!$A:$AJ,BO$5,0),0),IF(ISERROR(1/VLOOKUP($R532,Capa!$A:$AJ,BO$5,0)),0,1/VLOOKUP($R532,Capa!$A:$AJ,BO$5,0))))</f>
        <v/>
      </c>
      <c r="BP532" s="174" t="str">
        <f>IF(BP$6="","",IF(BP$3="Maior",iferror(VLOOKUP($R532,Capa!$A:$AJ,BP$5,0),0),IF(ISERROR(1/VLOOKUP($R532,Capa!$A:$AJ,BP$5,0)),0,1/VLOOKUP($R532,Capa!$A:$AJ,BP$5,0))))</f>
        <v/>
      </c>
      <c r="BQ532" s="174" t="str">
        <f>IF(BQ$6="","",IF(BQ$3="Maior",iferror(VLOOKUP($R532,Capa!$A:$AJ,BQ$5,0),0),IF(ISERROR(1/VLOOKUP($R532,Capa!$A:$AJ,BQ$5,0)),0,1/VLOOKUP($R532,Capa!$A:$AJ,BQ$5,0))))</f>
        <v/>
      </c>
      <c r="BR532" s="175"/>
      <c r="BS532" s="147"/>
    </row>
    <row r="533">
      <c r="H533" s="8">
        <v>527.0</v>
      </c>
      <c r="I533" s="165" t="str">
        <f t="shared" si="6"/>
        <v>BIDI11</v>
      </c>
      <c r="J533" s="166" t="str">
        <f>(VLOOKUP($I533,Capa!$A:$B,2,0))</f>
        <v/>
      </c>
      <c r="K533" s="167" t="str">
        <f>VLOOKUP(left(I533,4),Setor!A:D,3,0)&amp;" | "&amp;VLOOKUP(left(I533,4),Setor!A:D,4,0)</f>
        <v>Financeiro | Intermediários Financeiros</v>
      </c>
      <c r="L533" s="168" t="str">
        <f>(VLOOKUP($I533,Capa!$A:$F,6,0))</f>
        <v/>
      </c>
      <c r="M533" s="168">
        <f t="shared" si="7"/>
        <v>0</v>
      </c>
      <c r="N533" s="11" t="str">
        <f>(VLOOKUP($I533,Capa!$A:$H,7,0))</f>
        <v/>
      </c>
      <c r="O533" s="169" t="str">
        <f>(VLOOKUP($I533,Capa!$A:$H,8,0))</f>
        <v/>
      </c>
      <c r="P533" s="11" t="str">
        <f>(VLOOKUP($I533,Capa!$A:$J,10,0))</f>
        <v/>
      </c>
      <c r="Q533" s="169" t="str">
        <f>(VLOOKUP($I533,Capa!$A:$K,11,0))</f>
        <v/>
      </c>
      <c r="R533" s="45" t="str">
        <f>'Dados StatusInvest'!A528</f>
        <v>SLED4</v>
      </c>
      <c r="S533" s="170">
        <f t="shared" si="234"/>
        <v>1783.0783</v>
      </c>
      <c r="T533" s="171">
        <f>VLOOKUP(R533,'Dados StatusInvest'!A:Z,26,0)</f>
        <v>0</v>
      </c>
      <c r="U533" s="172">
        <f t="shared" ref="U533:AS533" si="536">IF(AT533="","", RANK(AT533,AT$7:AT$626,0)+RANK(AT533,AT$7:AT$626,0)/10000)</f>
        <v>516.0516</v>
      </c>
      <c r="V533" s="172">
        <f t="shared" si="536"/>
        <v>267.0267</v>
      </c>
      <c r="W533" s="172" t="str">
        <f t="shared" si="536"/>
        <v/>
      </c>
      <c r="X533" s="172" t="str">
        <f t="shared" si="536"/>
        <v/>
      </c>
      <c r="Y533" s="172" t="str">
        <f t="shared" si="536"/>
        <v/>
      </c>
      <c r="Z533" s="172" t="str">
        <f t="shared" si="536"/>
        <v/>
      </c>
      <c r="AA533" s="172" t="str">
        <f t="shared" si="536"/>
        <v/>
      </c>
      <c r="AB533" s="172" t="str">
        <f t="shared" si="536"/>
        <v/>
      </c>
      <c r="AC533" s="172" t="str">
        <f t="shared" si="536"/>
        <v/>
      </c>
      <c r="AD533" s="172" t="str">
        <f t="shared" si="536"/>
        <v/>
      </c>
      <c r="AE533" s="172" t="str">
        <f t="shared" si="536"/>
        <v/>
      </c>
      <c r="AF533" s="172" t="str">
        <f t="shared" si="536"/>
        <v/>
      </c>
      <c r="AG533" s="172" t="str">
        <f t="shared" si="536"/>
        <v/>
      </c>
      <c r="AH533" s="172" t="str">
        <f t="shared" si="536"/>
        <v/>
      </c>
      <c r="AI533" s="172" t="str">
        <f t="shared" si="536"/>
        <v/>
      </c>
      <c r="AJ533" s="172" t="str">
        <f t="shared" si="536"/>
        <v/>
      </c>
      <c r="AK533" s="172" t="str">
        <f t="shared" si="536"/>
        <v/>
      </c>
      <c r="AL533" s="172" t="str">
        <f t="shared" si="536"/>
        <v/>
      </c>
      <c r="AM533" s="172" t="str">
        <f t="shared" si="536"/>
        <v/>
      </c>
      <c r="AN533" s="172" t="str">
        <f t="shared" si="536"/>
        <v/>
      </c>
      <c r="AO533" s="172" t="str">
        <f t="shared" si="536"/>
        <v/>
      </c>
      <c r="AP533" s="172" t="str">
        <f t="shared" si="536"/>
        <v/>
      </c>
      <c r="AQ533" s="172" t="str">
        <f t="shared" si="536"/>
        <v/>
      </c>
      <c r="AR533" s="172" t="str">
        <f t="shared" si="536"/>
        <v/>
      </c>
      <c r="AS533" s="172" t="str">
        <f t="shared" si="536"/>
        <v/>
      </c>
      <c r="AT533" s="173">
        <f>IF(AT$6="","",IF(AT$3="Maior",iferror(VLOOKUP($R533,Capa!$A:$AJ,AT$5,0),0),IF(ISERROR(1/VLOOKUP($R533,Capa!$A:$AJ,AT$5,0)),0,1/VLOOKUP($R533,Capa!$A:$AJ,AT$5,0))))</f>
        <v>-3.846153846</v>
      </c>
      <c r="AU533" s="174">
        <f>IF(AU$6="","",IF(AU$3="Maior",iferror(VLOOKUP($R533,Capa!$A:$AJ,AU$5,0),0),IF(ISERROR(1/VLOOKUP($R533,Capa!$A:$AJ,AU$5,0)),0,1/VLOOKUP($R533,Capa!$A:$AJ,AU$5,0))))</f>
        <v>0</v>
      </c>
      <c r="AV533" s="174" t="str">
        <f>IF(AV$6="","",IF(AV$3="Maior",iferror(VLOOKUP($R533,Capa!$A:$AJ,AV$5,0),0),IF(ISERROR(1/VLOOKUP($R533,Capa!$A:$AJ,AV$5,0)),0,1/VLOOKUP($R533,Capa!$A:$AJ,AV$5,0))))</f>
        <v/>
      </c>
      <c r="AW533" s="174" t="str">
        <f>IF(AW$6="","",IF(AW$3="Maior",iferror(VLOOKUP($R533,Capa!$A:$AJ,AW$5,0),0),IF(ISERROR(1/VLOOKUP($R533,Capa!$A:$AJ,AW$5,0)),0,1/VLOOKUP($R533,Capa!$A:$AJ,AW$5,0))))</f>
        <v/>
      </c>
      <c r="AX533" s="174" t="str">
        <f>IF(AX$6="","",IF(AX$3="Maior",iferror(VLOOKUP($R533,Capa!$A:$AJ,AX$5,0),0),IF(ISERROR(1/VLOOKUP($R533,Capa!$A:$AJ,AX$5,0)),0,1/VLOOKUP($R533,Capa!$A:$AJ,AX$5,0))))</f>
        <v/>
      </c>
      <c r="AY533" s="174" t="str">
        <f>IF(AY$6="","",IF(AY$3="Maior",iferror(VLOOKUP($R533,Capa!$A:$AJ,AY$5,0),0),IF(ISERROR(1/VLOOKUP($R533,Capa!$A:$AJ,AY$5,0)),0,1/VLOOKUP($R533,Capa!$A:$AJ,AY$5,0))))</f>
        <v/>
      </c>
      <c r="AZ533" s="174" t="str">
        <f>IF(AZ$6="","",IF(AZ$3="Maior",iferror(VLOOKUP($R533,Capa!$A:$AJ,AZ$5,0),0),IF(ISERROR(1/VLOOKUP($R533,Capa!$A:$AJ,AZ$5,0)),0,1/VLOOKUP($R533,Capa!$A:$AJ,AZ$5,0))))</f>
        <v/>
      </c>
      <c r="BA533" s="174" t="str">
        <f>IF(BA$6="","",IF(BA$3="Maior",iferror(VLOOKUP($R533,Capa!$A:$AJ,BA$5,0),0),IF(ISERROR(1/VLOOKUP($R533,Capa!$A:$AJ,BA$5,0)),0,1/VLOOKUP($R533,Capa!$A:$AJ,BA$5,0))))</f>
        <v/>
      </c>
      <c r="BB533" s="174" t="str">
        <f>IF(BB$6="","",IF(BB$3="Maior",iferror(VLOOKUP($R533,Capa!$A:$AJ,BB$5,0),0),IF(ISERROR(1/VLOOKUP($R533,Capa!$A:$AJ,BB$5,0)),0,1/VLOOKUP($R533,Capa!$A:$AJ,BB$5,0))))</f>
        <v/>
      </c>
      <c r="BC533" s="174" t="str">
        <f>IF(BC$6="","",IF(BC$3="Maior",iferror(VLOOKUP($R533,Capa!$A:$AJ,BC$5,0),0),IF(ISERROR(1/VLOOKUP($R533,Capa!$A:$AJ,BC$5,0)),0,1/VLOOKUP($R533,Capa!$A:$AJ,BC$5,0))))</f>
        <v/>
      </c>
      <c r="BD533" s="174" t="str">
        <f>IF(BD$6="","",IF(BD$3="Maior",iferror(VLOOKUP($R533,Capa!$A:$AJ,BD$5,0),0),IF(ISERROR(1/VLOOKUP($R533,Capa!$A:$AJ,BD$5,0)),0,1/VLOOKUP($R533,Capa!$A:$AJ,BD$5,0))))</f>
        <v/>
      </c>
      <c r="BE533" s="174" t="str">
        <f>IF(BE$6="","",IF(BE$3="Maior",iferror(VLOOKUP($R533,Capa!$A:$AJ,BE$5,0),0),IF(ISERROR(1/VLOOKUP($R533,Capa!$A:$AJ,BE$5,0)),0,1/VLOOKUP($R533,Capa!$A:$AJ,BE$5,0))))</f>
        <v/>
      </c>
      <c r="BF533" s="174" t="str">
        <f>IF(BF$6="","",IF(BF$3="Maior",iferror(VLOOKUP($R533,Capa!$A:$AJ,BF$5,0),0),IF(ISERROR(1/VLOOKUP($R533,Capa!$A:$AJ,BF$5,0)),0,1/VLOOKUP($R533,Capa!$A:$AJ,BF$5,0))))</f>
        <v/>
      </c>
      <c r="BG533" s="174" t="str">
        <f>IF(BG$6="","",IF(BG$3="Maior",iferror(VLOOKUP($R533,Capa!$A:$AJ,BG$5,0),0),IF(ISERROR(1/VLOOKUP($R533,Capa!$A:$AJ,BG$5,0)),0,1/VLOOKUP($R533,Capa!$A:$AJ,BG$5,0))))</f>
        <v/>
      </c>
      <c r="BH533" s="174" t="str">
        <f>IF(BH$6="","",IF(BH$3="Maior",iferror(VLOOKUP($R533,Capa!$A:$AJ,BH$5,0),0),IF(ISERROR(1/VLOOKUP($R533,Capa!$A:$AJ,BH$5,0)),0,1/VLOOKUP($R533,Capa!$A:$AJ,BH$5,0))))</f>
        <v/>
      </c>
      <c r="BI533" s="174" t="str">
        <f>IF(BI$6="","",IF(BI$3="Maior",iferror(VLOOKUP($R533,Capa!$A:$AJ,BI$5,0),0),IF(ISERROR(1/VLOOKUP($R533,Capa!$A:$AJ,BI$5,0)),0,1/VLOOKUP($R533,Capa!$A:$AJ,BI$5,0))))</f>
        <v/>
      </c>
      <c r="BJ533" s="174" t="str">
        <f>IF(BJ$6="","",IF(BJ$3="Maior",iferror(VLOOKUP($R533,Capa!$A:$AJ,BJ$5,0),0),IF(ISERROR(1/VLOOKUP($R533,Capa!$A:$AJ,BJ$5,0)),0,1/VLOOKUP($R533,Capa!$A:$AJ,BJ$5,0))))</f>
        <v/>
      </c>
      <c r="BK533" s="174" t="str">
        <f>IF(BK$6="","",IF(BK$3="Maior",iferror(VLOOKUP($R533,Capa!$A:$AJ,BK$5,0),0),IF(ISERROR(1/VLOOKUP($R533,Capa!$A:$AJ,BK$5,0)),0,1/VLOOKUP($R533,Capa!$A:$AJ,BK$5,0))))</f>
        <v/>
      </c>
      <c r="BL533" s="174" t="str">
        <f>IF(BL$6="","",IF(BL$3="Maior",iferror(VLOOKUP($R533,Capa!$A:$AJ,BL$5,0),0),IF(ISERROR(1/VLOOKUP($R533,Capa!$A:$AJ,BL$5,0)),0,1/VLOOKUP($R533,Capa!$A:$AJ,BL$5,0))))</f>
        <v/>
      </c>
      <c r="BM533" s="174" t="str">
        <f>IF(BM$6="","",IF(BM$3="Maior",iferror(VLOOKUP($R533,Capa!$A:$AJ,BM$5,0),0),IF(ISERROR(1/VLOOKUP($R533,Capa!$A:$AJ,BM$5,0)),0,1/VLOOKUP($R533,Capa!$A:$AJ,BM$5,0))))</f>
        <v/>
      </c>
      <c r="BN533" s="174" t="str">
        <f>IF(BN$6="","",IF(BN$3="Maior",iferror(VLOOKUP($R533,Capa!$A:$AJ,BN$5,0),0),IF(ISERROR(1/VLOOKUP($R533,Capa!$A:$AJ,BN$5,0)),0,1/VLOOKUP($R533,Capa!$A:$AJ,BN$5,0))))</f>
        <v/>
      </c>
      <c r="BO533" s="174" t="str">
        <f>IF(BO$6="","",IF(BO$3="Maior",iferror(VLOOKUP($R533,Capa!$A:$AJ,BO$5,0),0),IF(ISERROR(1/VLOOKUP($R533,Capa!$A:$AJ,BO$5,0)),0,1/VLOOKUP($R533,Capa!$A:$AJ,BO$5,0))))</f>
        <v/>
      </c>
      <c r="BP533" s="174" t="str">
        <f>IF(BP$6="","",IF(BP$3="Maior",iferror(VLOOKUP($R533,Capa!$A:$AJ,BP$5,0),0),IF(ISERROR(1/VLOOKUP($R533,Capa!$A:$AJ,BP$5,0)),0,1/VLOOKUP($R533,Capa!$A:$AJ,BP$5,0))))</f>
        <v/>
      </c>
      <c r="BQ533" s="174" t="str">
        <f>IF(BQ$6="","",IF(BQ$3="Maior",iferror(VLOOKUP($R533,Capa!$A:$AJ,BQ$5,0),0),IF(ISERROR(1/VLOOKUP($R533,Capa!$A:$AJ,BQ$5,0)),0,1/VLOOKUP($R533,Capa!$A:$AJ,BQ$5,0))))</f>
        <v/>
      </c>
      <c r="BR533" s="175"/>
      <c r="BS533" s="147"/>
    </row>
    <row r="534">
      <c r="H534" s="8">
        <v>528.0</v>
      </c>
      <c r="I534" s="165" t="str">
        <f t="shared" si="6"/>
        <v>BIDI11</v>
      </c>
      <c r="J534" s="166" t="str">
        <f>(VLOOKUP($I534,Capa!$A:$B,2,0))</f>
        <v/>
      </c>
      <c r="K534" s="167" t="str">
        <f>VLOOKUP(left(I534,4),Setor!A:D,3,0)&amp;" | "&amp;VLOOKUP(left(I534,4),Setor!A:D,4,0)</f>
        <v>Financeiro | Intermediários Financeiros</v>
      </c>
      <c r="L534" s="168" t="str">
        <f>(VLOOKUP($I534,Capa!$A:$F,6,0))</f>
        <v/>
      </c>
      <c r="M534" s="168">
        <f t="shared" si="7"/>
        <v>0</v>
      </c>
      <c r="N534" s="11" t="str">
        <f>(VLOOKUP($I534,Capa!$A:$H,7,0))</f>
        <v/>
      </c>
      <c r="O534" s="169" t="str">
        <f>(VLOOKUP($I534,Capa!$A:$H,8,0))</f>
        <v/>
      </c>
      <c r="P534" s="11" t="str">
        <f>(VLOOKUP($I534,Capa!$A:$J,10,0))</f>
        <v/>
      </c>
      <c r="Q534" s="169" t="str">
        <f>(VLOOKUP($I534,Capa!$A:$K,11,0))</f>
        <v/>
      </c>
      <c r="R534" s="45" t="str">
        <f>'Dados StatusInvest'!A529</f>
        <v>SMFT3</v>
      </c>
      <c r="S534" s="170">
        <f t="shared" si="234"/>
        <v>619.0619</v>
      </c>
      <c r="T534" s="171">
        <f>VLOOKUP(R534,'Dados StatusInvest'!A:Z,26,0)</f>
        <v>152000000</v>
      </c>
      <c r="U534" s="172">
        <f t="shared" ref="U534:AS534" si="537">IF(AT534="","", RANK(AT534,AT$7:AT$626,0)+RANK(AT534,AT$7:AT$626,0)/10000)</f>
        <v>352.0352</v>
      </c>
      <c r="V534" s="172">
        <f t="shared" si="537"/>
        <v>267.0267</v>
      </c>
      <c r="W534" s="172" t="str">
        <f t="shared" si="537"/>
        <v/>
      </c>
      <c r="X534" s="172" t="str">
        <f t="shared" si="537"/>
        <v/>
      </c>
      <c r="Y534" s="172" t="str">
        <f t="shared" si="537"/>
        <v/>
      </c>
      <c r="Z534" s="172" t="str">
        <f t="shared" si="537"/>
        <v/>
      </c>
      <c r="AA534" s="172" t="str">
        <f t="shared" si="537"/>
        <v/>
      </c>
      <c r="AB534" s="172" t="str">
        <f t="shared" si="537"/>
        <v/>
      </c>
      <c r="AC534" s="172" t="str">
        <f t="shared" si="537"/>
        <v/>
      </c>
      <c r="AD534" s="172" t="str">
        <f t="shared" si="537"/>
        <v/>
      </c>
      <c r="AE534" s="172" t="str">
        <f t="shared" si="537"/>
        <v/>
      </c>
      <c r="AF534" s="172" t="str">
        <f t="shared" si="537"/>
        <v/>
      </c>
      <c r="AG534" s="172" t="str">
        <f t="shared" si="537"/>
        <v/>
      </c>
      <c r="AH534" s="172" t="str">
        <f t="shared" si="537"/>
        <v/>
      </c>
      <c r="AI534" s="172" t="str">
        <f t="shared" si="537"/>
        <v/>
      </c>
      <c r="AJ534" s="172" t="str">
        <f t="shared" si="537"/>
        <v/>
      </c>
      <c r="AK534" s="172" t="str">
        <f t="shared" si="537"/>
        <v/>
      </c>
      <c r="AL534" s="172" t="str">
        <f t="shared" si="537"/>
        <v/>
      </c>
      <c r="AM534" s="172" t="str">
        <f t="shared" si="537"/>
        <v/>
      </c>
      <c r="AN534" s="172" t="str">
        <f t="shared" si="537"/>
        <v/>
      </c>
      <c r="AO534" s="172" t="str">
        <f t="shared" si="537"/>
        <v/>
      </c>
      <c r="AP534" s="172" t="str">
        <f t="shared" si="537"/>
        <v/>
      </c>
      <c r="AQ534" s="172" t="str">
        <f t="shared" si="537"/>
        <v/>
      </c>
      <c r="AR534" s="172" t="str">
        <f t="shared" si="537"/>
        <v/>
      </c>
      <c r="AS534" s="172" t="str">
        <f t="shared" si="537"/>
        <v/>
      </c>
      <c r="AT534" s="173">
        <f>IF(AT$6="","",IF(AT$3="Maior",iferror(VLOOKUP($R534,Capa!$A:$AJ,AT$5,0),0),IF(ISERROR(1/VLOOKUP($R534,Capa!$A:$AJ,AT$5,0)),0,1/VLOOKUP($R534,Capa!$A:$AJ,AT$5,0))))</f>
        <v>-1.000620103</v>
      </c>
      <c r="AU534" s="174">
        <f>IF(AU$6="","",IF(AU$3="Maior",iferror(VLOOKUP($R534,Capa!$A:$AJ,AU$5,0),0),IF(ISERROR(1/VLOOKUP($R534,Capa!$A:$AJ,AU$5,0)),0,1/VLOOKUP($R534,Capa!$A:$AJ,AU$5,0))))</f>
        <v>0</v>
      </c>
      <c r="AV534" s="174" t="str">
        <f>IF(AV$6="","",IF(AV$3="Maior",iferror(VLOOKUP($R534,Capa!$A:$AJ,AV$5,0),0),IF(ISERROR(1/VLOOKUP($R534,Capa!$A:$AJ,AV$5,0)),0,1/VLOOKUP($R534,Capa!$A:$AJ,AV$5,0))))</f>
        <v/>
      </c>
      <c r="AW534" s="174" t="str">
        <f>IF(AW$6="","",IF(AW$3="Maior",iferror(VLOOKUP($R534,Capa!$A:$AJ,AW$5,0),0),IF(ISERROR(1/VLOOKUP($R534,Capa!$A:$AJ,AW$5,0)),0,1/VLOOKUP($R534,Capa!$A:$AJ,AW$5,0))))</f>
        <v/>
      </c>
      <c r="AX534" s="174" t="str">
        <f>IF(AX$6="","",IF(AX$3="Maior",iferror(VLOOKUP($R534,Capa!$A:$AJ,AX$5,0),0),IF(ISERROR(1/VLOOKUP($R534,Capa!$A:$AJ,AX$5,0)),0,1/VLOOKUP($R534,Capa!$A:$AJ,AX$5,0))))</f>
        <v/>
      </c>
      <c r="AY534" s="174" t="str">
        <f>IF(AY$6="","",IF(AY$3="Maior",iferror(VLOOKUP($R534,Capa!$A:$AJ,AY$5,0),0),IF(ISERROR(1/VLOOKUP($R534,Capa!$A:$AJ,AY$5,0)),0,1/VLOOKUP($R534,Capa!$A:$AJ,AY$5,0))))</f>
        <v/>
      </c>
      <c r="AZ534" s="174" t="str">
        <f>IF(AZ$6="","",IF(AZ$3="Maior",iferror(VLOOKUP($R534,Capa!$A:$AJ,AZ$5,0),0),IF(ISERROR(1/VLOOKUP($R534,Capa!$A:$AJ,AZ$5,0)),0,1/VLOOKUP($R534,Capa!$A:$AJ,AZ$5,0))))</f>
        <v/>
      </c>
      <c r="BA534" s="174" t="str">
        <f>IF(BA$6="","",IF(BA$3="Maior",iferror(VLOOKUP($R534,Capa!$A:$AJ,BA$5,0),0),IF(ISERROR(1/VLOOKUP($R534,Capa!$A:$AJ,BA$5,0)),0,1/VLOOKUP($R534,Capa!$A:$AJ,BA$5,0))))</f>
        <v/>
      </c>
      <c r="BB534" s="174" t="str">
        <f>IF(BB$6="","",IF(BB$3="Maior",iferror(VLOOKUP($R534,Capa!$A:$AJ,BB$5,0),0),IF(ISERROR(1/VLOOKUP($R534,Capa!$A:$AJ,BB$5,0)),0,1/VLOOKUP($R534,Capa!$A:$AJ,BB$5,0))))</f>
        <v/>
      </c>
      <c r="BC534" s="174" t="str">
        <f>IF(BC$6="","",IF(BC$3="Maior",iferror(VLOOKUP($R534,Capa!$A:$AJ,BC$5,0),0),IF(ISERROR(1/VLOOKUP($R534,Capa!$A:$AJ,BC$5,0)),0,1/VLOOKUP($R534,Capa!$A:$AJ,BC$5,0))))</f>
        <v/>
      </c>
      <c r="BD534" s="174" t="str">
        <f>IF(BD$6="","",IF(BD$3="Maior",iferror(VLOOKUP($R534,Capa!$A:$AJ,BD$5,0),0),IF(ISERROR(1/VLOOKUP($R534,Capa!$A:$AJ,BD$5,0)),0,1/VLOOKUP($R534,Capa!$A:$AJ,BD$5,0))))</f>
        <v/>
      </c>
      <c r="BE534" s="174" t="str">
        <f>IF(BE$6="","",IF(BE$3="Maior",iferror(VLOOKUP($R534,Capa!$A:$AJ,BE$5,0),0),IF(ISERROR(1/VLOOKUP($R534,Capa!$A:$AJ,BE$5,0)),0,1/VLOOKUP($R534,Capa!$A:$AJ,BE$5,0))))</f>
        <v/>
      </c>
      <c r="BF534" s="174" t="str">
        <f>IF(BF$6="","",IF(BF$3="Maior",iferror(VLOOKUP($R534,Capa!$A:$AJ,BF$5,0),0),IF(ISERROR(1/VLOOKUP($R534,Capa!$A:$AJ,BF$5,0)),0,1/VLOOKUP($R534,Capa!$A:$AJ,BF$5,0))))</f>
        <v/>
      </c>
      <c r="BG534" s="174" t="str">
        <f>IF(BG$6="","",IF(BG$3="Maior",iferror(VLOOKUP($R534,Capa!$A:$AJ,BG$5,0),0),IF(ISERROR(1/VLOOKUP($R534,Capa!$A:$AJ,BG$5,0)),0,1/VLOOKUP($R534,Capa!$A:$AJ,BG$5,0))))</f>
        <v/>
      </c>
      <c r="BH534" s="174" t="str">
        <f>IF(BH$6="","",IF(BH$3="Maior",iferror(VLOOKUP($R534,Capa!$A:$AJ,BH$5,0),0),IF(ISERROR(1/VLOOKUP($R534,Capa!$A:$AJ,BH$5,0)),0,1/VLOOKUP($R534,Capa!$A:$AJ,BH$5,0))))</f>
        <v/>
      </c>
      <c r="BI534" s="174" t="str">
        <f>IF(BI$6="","",IF(BI$3="Maior",iferror(VLOOKUP($R534,Capa!$A:$AJ,BI$5,0),0),IF(ISERROR(1/VLOOKUP($R534,Capa!$A:$AJ,BI$5,0)),0,1/VLOOKUP($R534,Capa!$A:$AJ,BI$5,0))))</f>
        <v/>
      </c>
      <c r="BJ534" s="174" t="str">
        <f>IF(BJ$6="","",IF(BJ$3="Maior",iferror(VLOOKUP($R534,Capa!$A:$AJ,BJ$5,0),0),IF(ISERROR(1/VLOOKUP($R534,Capa!$A:$AJ,BJ$5,0)),0,1/VLOOKUP($R534,Capa!$A:$AJ,BJ$5,0))))</f>
        <v/>
      </c>
      <c r="BK534" s="174" t="str">
        <f>IF(BK$6="","",IF(BK$3="Maior",iferror(VLOOKUP($R534,Capa!$A:$AJ,BK$5,0),0),IF(ISERROR(1/VLOOKUP($R534,Capa!$A:$AJ,BK$5,0)),0,1/VLOOKUP($R534,Capa!$A:$AJ,BK$5,0))))</f>
        <v/>
      </c>
      <c r="BL534" s="174" t="str">
        <f>IF(BL$6="","",IF(BL$3="Maior",iferror(VLOOKUP($R534,Capa!$A:$AJ,BL$5,0),0),IF(ISERROR(1/VLOOKUP($R534,Capa!$A:$AJ,BL$5,0)),0,1/VLOOKUP($R534,Capa!$A:$AJ,BL$5,0))))</f>
        <v/>
      </c>
      <c r="BM534" s="174" t="str">
        <f>IF(BM$6="","",IF(BM$3="Maior",iferror(VLOOKUP($R534,Capa!$A:$AJ,BM$5,0),0),IF(ISERROR(1/VLOOKUP($R534,Capa!$A:$AJ,BM$5,0)),0,1/VLOOKUP($R534,Capa!$A:$AJ,BM$5,0))))</f>
        <v/>
      </c>
      <c r="BN534" s="174" t="str">
        <f>IF(BN$6="","",IF(BN$3="Maior",iferror(VLOOKUP($R534,Capa!$A:$AJ,BN$5,0),0),IF(ISERROR(1/VLOOKUP($R534,Capa!$A:$AJ,BN$5,0)),0,1/VLOOKUP($R534,Capa!$A:$AJ,BN$5,0))))</f>
        <v/>
      </c>
      <c r="BO534" s="174" t="str">
        <f>IF(BO$6="","",IF(BO$3="Maior",iferror(VLOOKUP($R534,Capa!$A:$AJ,BO$5,0),0),IF(ISERROR(1/VLOOKUP($R534,Capa!$A:$AJ,BO$5,0)),0,1/VLOOKUP($R534,Capa!$A:$AJ,BO$5,0))))</f>
        <v/>
      </c>
      <c r="BP534" s="174" t="str">
        <f>IF(BP$6="","",IF(BP$3="Maior",iferror(VLOOKUP($R534,Capa!$A:$AJ,BP$5,0),0),IF(ISERROR(1/VLOOKUP($R534,Capa!$A:$AJ,BP$5,0)),0,1/VLOOKUP($R534,Capa!$A:$AJ,BP$5,0))))</f>
        <v/>
      </c>
      <c r="BQ534" s="174" t="str">
        <f>IF(BQ$6="","",IF(BQ$3="Maior",iferror(VLOOKUP($R534,Capa!$A:$AJ,BQ$5,0),0),IF(ISERROR(1/VLOOKUP($R534,Capa!$A:$AJ,BQ$5,0)),0,1/VLOOKUP($R534,Capa!$A:$AJ,BQ$5,0))))</f>
        <v/>
      </c>
      <c r="BR534" s="175"/>
      <c r="BS534" s="147"/>
    </row>
    <row r="535">
      <c r="H535" s="8">
        <v>529.0</v>
      </c>
      <c r="I535" s="165" t="str">
        <f t="shared" si="6"/>
        <v>BEES4</v>
      </c>
      <c r="J535" s="166" t="str">
        <f>(VLOOKUP($I535,Capa!$A:$B,2,0))</f>
        <v>Banestes SA Banco do Estado Esprt Santo Preference Shares</v>
      </c>
      <c r="K535" s="167" t="str">
        <f>VLOOKUP(left(I535,4),Setor!A:D,3,0)&amp;" | "&amp;VLOOKUP(left(I535,4),Setor!A:D,4,0)</f>
        <v>Financeiro | Intermediários Financeiros</v>
      </c>
      <c r="L535" s="168">
        <f>(VLOOKUP($I535,Capa!$A:$F,6,0))</f>
        <v>8.43</v>
      </c>
      <c r="M535" s="168">
        <f t="shared" si="7"/>
        <v>45167.33</v>
      </c>
      <c r="N535" s="11" t="str">
        <f>IFERROR(__xludf.DUMMYFUNCTION("(VLOOKUP($I535,Capa!$A:$H,7,0))"),"")</f>
        <v/>
      </c>
      <c r="O535" s="169">
        <f>(VLOOKUP($I535,Capa!$A:$H,8,0))</f>
        <v>0.02804878049</v>
      </c>
      <c r="P535" s="11" t="str">
        <f>IFERROR(__xludf.DUMMYFUNCTION("(VLOOKUP($I535,Capa!$A:$J,10,0))"),"")</f>
        <v/>
      </c>
      <c r="Q535" s="169">
        <f>(VLOOKUP($I535,Capa!$A:$K,11,0))</f>
        <v>0.1048492792</v>
      </c>
      <c r="R535" s="45" t="str">
        <f>'Dados StatusInvest'!A530</f>
        <v>SMLS3</v>
      </c>
      <c r="S535" s="170">
        <f t="shared" si="234"/>
        <v>1399.0399</v>
      </c>
      <c r="T535" s="171">
        <f>VLOOKUP(R535,'Dados StatusInvest'!A:Z,26,0)</f>
        <v>0</v>
      </c>
      <c r="U535" s="172">
        <f t="shared" ref="U535:AS535" si="538">IF(AT535="","", RANK(AT535,AT$7:AT$626,0)+RANK(AT535,AT$7:AT$626,0)/10000)</f>
        <v>132.0132</v>
      </c>
      <c r="V535" s="172">
        <f t="shared" si="538"/>
        <v>267.0267</v>
      </c>
      <c r="W535" s="172" t="str">
        <f t="shared" si="538"/>
        <v/>
      </c>
      <c r="X535" s="172" t="str">
        <f t="shared" si="538"/>
        <v/>
      </c>
      <c r="Y535" s="172" t="str">
        <f t="shared" si="538"/>
        <v/>
      </c>
      <c r="Z535" s="172" t="str">
        <f t="shared" si="538"/>
        <v/>
      </c>
      <c r="AA535" s="172" t="str">
        <f t="shared" si="538"/>
        <v/>
      </c>
      <c r="AB535" s="172" t="str">
        <f t="shared" si="538"/>
        <v/>
      </c>
      <c r="AC535" s="172" t="str">
        <f t="shared" si="538"/>
        <v/>
      </c>
      <c r="AD535" s="172" t="str">
        <f t="shared" si="538"/>
        <v/>
      </c>
      <c r="AE535" s="172" t="str">
        <f t="shared" si="538"/>
        <v/>
      </c>
      <c r="AF535" s="172" t="str">
        <f t="shared" si="538"/>
        <v/>
      </c>
      <c r="AG535" s="172" t="str">
        <f t="shared" si="538"/>
        <v/>
      </c>
      <c r="AH535" s="172" t="str">
        <f t="shared" si="538"/>
        <v/>
      </c>
      <c r="AI535" s="172" t="str">
        <f t="shared" si="538"/>
        <v/>
      </c>
      <c r="AJ535" s="172" t="str">
        <f t="shared" si="538"/>
        <v/>
      </c>
      <c r="AK535" s="172" t="str">
        <f t="shared" si="538"/>
        <v/>
      </c>
      <c r="AL535" s="172" t="str">
        <f t="shared" si="538"/>
        <v/>
      </c>
      <c r="AM535" s="172" t="str">
        <f t="shared" si="538"/>
        <v/>
      </c>
      <c r="AN535" s="172" t="str">
        <f t="shared" si="538"/>
        <v/>
      </c>
      <c r="AO535" s="172" t="str">
        <f t="shared" si="538"/>
        <v/>
      </c>
      <c r="AP535" s="172" t="str">
        <f t="shared" si="538"/>
        <v/>
      </c>
      <c r="AQ535" s="172" t="str">
        <f t="shared" si="538"/>
        <v/>
      </c>
      <c r="AR535" s="172" t="str">
        <f t="shared" si="538"/>
        <v/>
      </c>
      <c r="AS535" s="172" t="str">
        <f t="shared" si="538"/>
        <v/>
      </c>
      <c r="AT535" s="173">
        <f>IF(AT$6="","",IF(AT$3="Maior",iferror(VLOOKUP($R535,Capa!$A:$AJ,AT$5,0),0),IF(ISERROR(1/VLOOKUP($R535,Capa!$A:$AJ,AT$5,0)),0,1/VLOOKUP($R535,Capa!$A:$AJ,AT$5,0))))</f>
        <v>-0.0469043152</v>
      </c>
      <c r="AU535" s="174">
        <f>IF(AU$6="","",IF(AU$3="Maior",iferror(VLOOKUP($R535,Capa!$A:$AJ,AU$5,0),0),IF(ISERROR(1/VLOOKUP($R535,Capa!$A:$AJ,AU$5,0)),0,1/VLOOKUP($R535,Capa!$A:$AJ,AU$5,0))))</f>
        <v>0</v>
      </c>
      <c r="AV535" s="174" t="str">
        <f>IF(AV$6="","",IF(AV$3="Maior",iferror(VLOOKUP($R535,Capa!$A:$AJ,AV$5,0),0),IF(ISERROR(1/VLOOKUP($R535,Capa!$A:$AJ,AV$5,0)),0,1/VLOOKUP($R535,Capa!$A:$AJ,AV$5,0))))</f>
        <v/>
      </c>
      <c r="AW535" s="174" t="str">
        <f>IF(AW$6="","",IF(AW$3="Maior",iferror(VLOOKUP($R535,Capa!$A:$AJ,AW$5,0),0),IF(ISERROR(1/VLOOKUP($R535,Capa!$A:$AJ,AW$5,0)),0,1/VLOOKUP($R535,Capa!$A:$AJ,AW$5,0))))</f>
        <v/>
      </c>
      <c r="AX535" s="174" t="str">
        <f>IF(AX$6="","",IF(AX$3="Maior",iferror(VLOOKUP($R535,Capa!$A:$AJ,AX$5,0),0),IF(ISERROR(1/VLOOKUP($R535,Capa!$A:$AJ,AX$5,0)),0,1/VLOOKUP($R535,Capa!$A:$AJ,AX$5,0))))</f>
        <v/>
      </c>
      <c r="AY535" s="174" t="str">
        <f>IF(AY$6="","",IF(AY$3="Maior",iferror(VLOOKUP($R535,Capa!$A:$AJ,AY$5,0),0),IF(ISERROR(1/VLOOKUP($R535,Capa!$A:$AJ,AY$5,0)),0,1/VLOOKUP($R535,Capa!$A:$AJ,AY$5,0))))</f>
        <v/>
      </c>
      <c r="AZ535" s="174" t="str">
        <f>IF(AZ$6="","",IF(AZ$3="Maior",iferror(VLOOKUP($R535,Capa!$A:$AJ,AZ$5,0),0),IF(ISERROR(1/VLOOKUP($R535,Capa!$A:$AJ,AZ$5,0)),0,1/VLOOKUP($R535,Capa!$A:$AJ,AZ$5,0))))</f>
        <v/>
      </c>
      <c r="BA535" s="174" t="str">
        <f>IF(BA$6="","",IF(BA$3="Maior",iferror(VLOOKUP($R535,Capa!$A:$AJ,BA$5,0),0),IF(ISERROR(1/VLOOKUP($R535,Capa!$A:$AJ,BA$5,0)),0,1/VLOOKUP($R535,Capa!$A:$AJ,BA$5,0))))</f>
        <v/>
      </c>
      <c r="BB535" s="174" t="str">
        <f>IF(BB$6="","",IF(BB$3="Maior",iferror(VLOOKUP($R535,Capa!$A:$AJ,BB$5,0),0),IF(ISERROR(1/VLOOKUP($R535,Capa!$A:$AJ,BB$5,0)),0,1/VLOOKUP($R535,Capa!$A:$AJ,BB$5,0))))</f>
        <v/>
      </c>
      <c r="BC535" s="174" t="str">
        <f>IF(BC$6="","",IF(BC$3="Maior",iferror(VLOOKUP($R535,Capa!$A:$AJ,BC$5,0),0),IF(ISERROR(1/VLOOKUP($R535,Capa!$A:$AJ,BC$5,0)),0,1/VLOOKUP($R535,Capa!$A:$AJ,BC$5,0))))</f>
        <v/>
      </c>
      <c r="BD535" s="174" t="str">
        <f>IF(BD$6="","",IF(BD$3="Maior",iferror(VLOOKUP($R535,Capa!$A:$AJ,BD$5,0),0),IF(ISERROR(1/VLOOKUP($R535,Capa!$A:$AJ,BD$5,0)),0,1/VLOOKUP($R535,Capa!$A:$AJ,BD$5,0))))</f>
        <v/>
      </c>
      <c r="BE535" s="174" t="str">
        <f>IF(BE$6="","",IF(BE$3="Maior",iferror(VLOOKUP($R535,Capa!$A:$AJ,BE$5,0),0),IF(ISERROR(1/VLOOKUP($R535,Capa!$A:$AJ,BE$5,0)),0,1/VLOOKUP($R535,Capa!$A:$AJ,BE$5,0))))</f>
        <v/>
      </c>
      <c r="BF535" s="174" t="str">
        <f>IF(BF$6="","",IF(BF$3="Maior",iferror(VLOOKUP($R535,Capa!$A:$AJ,BF$5,0),0),IF(ISERROR(1/VLOOKUP($R535,Capa!$A:$AJ,BF$5,0)),0,1/VLOOKUP($R535,Capa!$A:$AJ,BF$5,0))))</f>
        <v/>
      </c>
      <c r="BG535" s="174" t="str">
        <f>IF(BG$6="","",IF(BG$3="Maior",iferror(VLOOKUP($R535,Capa!$A:$AJ,BG$5,0),0),IF(ISERROR(1/VLOOKUP($R535,Capa!$A:$AJ,BG$5,0)),0,1/VLOOKUP($R535,Capa!$A:$AJ,BG$5,0))))</f>
        <v/>
      </c>
      <c r="BH535" s="174" t="str">
        <f>IF(BH$6="","",IF(BH$3="Maior",iferror(VLOOKUP($R535,Capa!$A:$AJ,BH$5,0),0),IF(ISERROR(1/VLOOKUP($R535,Capa!$A:$AJ,BH$5,0)),0,1/VLOOKUP($R535,Capa!$A:$AJ,BH$5,0))))</f>
        <v/>
      </c>
      <c r="BI535" s="174" t="str">
        <f>IF(BI$6="","",IF(BI$3="Maior",iferror(VLOOKUP($R535,Capa!$A:$AJ,BI$5,0),0),IF(ISERROR(1/VLOOKUP($R535,Capa!$A:$AJ,BI$5,0)),0,1/VLOOKUP($R535,Capa!$A:$AJ,BI$5,0))))</f>
        <v/>
      </c>
      <c r="BJ535" s="174" t="str">
        <f>IF(BJ$6="","",IF(BJ$3="Maior",iferror(VLOOKUP($R535,Capa!$A:$AJ,BJ$5,0),0),IF(ISERROR(1/VLOOKUP($R535,Capa!$A:$AJ,BJ$5,0)),0,1/VLOOKUP($R535,Capa!$A:$AJ,BJ$5,0))))</f>
        <v/>
      </c>
      <c r="BK535" s="174" t="str">
        <f>IF(BK$6="","",IF(BK$3="Maior",iferror(VLOOKUP($R535,Capa!$A:$AJ,BK$5,0),0),IF(ISERROR(1/VLOOKUP($R535,Capa!$A:$AJ,BK$5,0)),0,1/VLOOKUP($R535,Capa!$A:$AJ,BK$5,0))))</f>
        <v/>
      </c>
      <c r="BL535" s="174" t="str">
        <f>IF(BL$6="","",IF(BL$3="Maior",iferror(VLOOKUP($R535,Capa!$A:$AJ,BL$5,0),0),IF(ISERROR(1/VLOOKUP($R535,Capa!$A:$AJ,BL$5,0)),0,1/VLOOKUP($R535,Capa!$A:$AJ,BL$5,0))))</f>
        <v/>
      </c>
      <c r="BM535" s="174" t="str">
        <f>IF(BM$6="","",IF(BM$3="Maior",iferror(VLOOKUP($R535,Capa!$A:$AJ,BM$5,0),0),IF(ISERROR(1/VLOOKUP($R535,Capa!$A:$AJ,BM$5,0)),0,1/VLOOKUP($R535,Capa!$A:$AJ,BM$5,0))))</f>
        <v/>
      </c>
      <c r="BN535" s="174" t="str">
        <f>IF(BN$6="","",IF(BN$3="Maior",iferror(VLOOKUP($R535,Capa!$A:$AJ,BN$5,0),0),IF(ISERROR(1/VLOOKUP($R535,Capa!$A:$AJ,BN$5,0)),0,1/VLOOKUP($R535,Capa!$A:$AJ,BN$5,0))))</f>
        <v/>
      </c>
      <c r="BO535" s="174" t="str">
        <f>IF(BO$6="","",IF(BO$3="Maior",iferror(VLOOKUP($R535,Capa!$A:$AJ,BO$5,0),0),IF(ISERROR(1/VLOOKUP($R535,Capa!$A:$AJ,BO$5,0)),0,1/VLOOKUP($R535,Capa!$A:$AJ,BO$5,0))))</f>
        <v/>
      </c>
      <c r="BP535" s="174" t="str">
        <f>IF(BP$6="","",IF(BP$3="Maior",iferror(VLOOKUP($R535,Capa!$A:$AJ,BP$5,0),0),IF(ISERROR(1/VLOOKUP($R535,Capa!$A:$AJ,BP$5,0)),0,1/VLOOKUP($R535,Capa!$A:$AJ,BP$5,0))))</f>
        <v/>
      </c>
      <c r="BQ535" s="174" t="str">
        <f>IF(BQ$6="","",IF(BQ$3="Maior",iferror(VLOOKUP($R535,Capa!$A:$AJ,BQ$5,0),0),IF(ISERROR(1/VLOOKUP($R535,Capa!$A:$AJ,BQ$5,0)),0,1/VLOOKUP($R535,Capa!$A:$AJ,BQ$5,0))))</f>
        <v/>
      </c>
      <c r="BR535" s="175"/>
      <c r="BS535" s="147"/>
    </row>
    <row r="536">
      <c r="H536" s="8">
        <v>530.0</v>
      </c>
      <c r="I536" s="165" t="str">
        <f t="shared" si="6"/>
        <v>BEES3</v>
      </c>
      <c r="J536" s="166" t="str">
        <f>(VLOOKUP($I536,Capa!$A:$B,2,0))</f>
        <v>Banestes SA Banco do Estado Esprt Santo</v>
      </c>
      <c r="K536" s="167" t="str">
        <f>VLOOKUP(left(I536,4),Setor!A:D,3,0)&amp;" | "&amp;VLOOKUP(left(I536,4),Setor!A:D,4,0)</f>
        <v>Financeiro | Intermediários Financeiros</v>
      </c>
      <c r="L536" s="168">
        <f>(VLOOKUP($I536,Capa!$A:$F,6,0))</f>
        <v>8.35</v>
      </c>
      <c r="M536" s="168">
        <f t="shared" si="7"/>
        <v>147559.3</v>
      </c>
      <c r="N536" s="11" t="str">
        <f>IFERROR(__xludf.DUMMYFUNCTION("(VLOOKUP($I536,Capa!$A:$H,7,0))"),"")</f>
        <v/>
      </c>
      <c r="O536" s="169">
        <f>(VLOOKUP($I536,Capa!$A:$H,8,0))</f>
        <v>0.009673518742</v>
      </c>
      <c r="P536" s="11" t="str">
        <f>IFERROR(__xludf.DUMMYFUNCTION("(VLOOKUP($I536,Capa!$A:$J,10,0))"),"")</f>
        <v/>
      </c>
      <c r="Q536" s="169">
        <f>(VLOOKUP($I536,Capa!$A:$K,11,0))</f>
        <v>0.1268556005</v>
      </c>
      <c r="R536" s="45" t="str">
        <f>'Dados StatusInvest'!A531</f>
        <v>SMTO3</v>
      </c>
      <c r="S536" s="170">
        <f t="shared" si="234"/>
        <v>1045.1045</v>
      </c>
      <c r="T536" s="171">
        <f>VLOOKUP(R536,'Dados StatusInvest'!A:Z,26,0)</f>
        <v>50090515</v>
      </c>
      <c r="U536" s="172">
        <f t="shared" ref="U536:AS536" si="539">IF(AT536="","", RANK(AT536,AT$7:AT$626,0)+RANK(AT536,AT$7:AT$626,0)/10000)</f>
        <v>491.0491</v>
      </c>
      <c r="V536" s="172">
        <f t="shared" si="539"/>
        <v>554.0554</v>
      </c>
      <c r="W536" s="172" t="str">
        <f t="shared" si="539"/>
        <v/>
      </c>
      <c r="X536" s="172" t="str">
        <f t="shared" si="539"/>
        <v/>
      </c>
      <c r="Y536" s="172" t="str">
        <f t="shared" si="539"/>
        <v/>
      </c>
      <c r="Z536" s="172" t="str">
        <f t="shared" si="539"/>
        <v/>
      </c>
      <c r="AA536" s="172" t="str">
        <f t="shared" si="539"/>
        <v/>
      </c>
      <c r="AB536" s="172" t="str">
        <f t="shared" si="539"/>
        <v/>
      </c>
      <c r="AC536" s="172" t="str">
        <f t="shared" si="539"/>
        <v/>
      </c>
      <c r="AD536" s="172" t="str">
        <f t="shared" si="539"/>
        <v/>
      </c>
      <c r="AE536" s="172" t="str">
        <f t="shared" si="539"/>
        <v/>
      </c>
      <c r="AF536" s="172" t="str">
        <f t="shared" si="539"/>
        <v/>
      </c>
      <c r="AG536" s="172" t="str">
        <f t="shared" si="539"/>
        <v/>
      </c>
      <c r="AH536" s="172" t="str">
        <f t="shared" si="539"/>
        <v/>
      </c>
      <c r="AI536" s="172" t="str">
        <f t="shared" si="539"/>
        <v/>
      </c>
      <c r="AJ536" s="172" t="str">
        <f t="shared" si="539"/>
        <v/>
      </c>
      <c r="AK536" s="172" t="str">
        <f t="shared" si="539"/>
        <v/>
      </c>
      <c r="AL536" s="172" t="str">
        <f t="shared" si="539"/>
        <v/>
      </c>
      <c r="AM536" s="172" t="str">
        <f t="shared" si="539"/>
        <v/>
      </c>
      <c r="AN536" s="172" t="str">
        <f t="shared" si="539"/>
        <v/>
      </c>
      <c r="AO536" s="172" t="str">
        <f t="shared" si="539"/>
        <v/>
      </c>
      <c r="AP536" s="172" t="str">
        <f t="shared" si="539"/>
        <v/>
      </c>
      <c r="AQ536" s="172" t="str">
        <f t="shared" si="539"/>
        <v/>
      </c>
      <c r="AR536" s="172" t="str">
        <f t="shared" si="539"/>
        <v/>
      </c>
      <c r="AS536" s="172" t="str">
        <f t="shared" si="539"/>
        <v/>
      </c>
      <c r="AT536" s="173">
        <f>IF(AT$6="","",IF(AT$3="Maior",iferror(VLOOKUP($R536,Capa!$A:$AJ,AT$5,0),0),IF(ISERROR(1/VLOOKUP($R536,Capa!$A:$AJ,AT$5,0)),0,1/VLOOKUP($R536,Capa!$A:$AJ,AT$5,0))))</f>
        <v>-2.873091446</v>
      </c>
      <c r="AU536" s="174">
        <f>IF(AU$6="","",IF(AU$3="Maior",iferror(VLOOKUP($R536,Capa!$A:$AJ,AU$5,0),0),IF(ISERROR(1/VLOOKUP($R536,Capa!$A:$AJ,AU$5,0)),0,1/VLOOKUP($R536,Capa!$A:$AJ,AU$5,0))))</f>
        <v>-4.7</v>
      </c>
      <c r="AV536" s="174" t="str">
        <f>IF(AV$6="","",IF(AV$3="Maior",iferror(VLOOKUP($R536,Capa!$A:$AJ,AV$5,0),0),IF(ISERROR(1/VLOOKUP($R536,Capa!$A:$AJ,AV$5,0)),0,1/VLOOKUP($R536,Capa!$A:$AJ,AV$5,0))))</f>
        <v/>
      </c>
      <c r="AW536" s="174" t="str">
        <f>IF(AW$6="","",IF(AW$3="Maior",iferror(VLOOKUP($R536,Capa!$A:$AJ,AW$5,0),0),IF(ISERROR(1/VLOOKUP($R536,Capa!$A:$AJ,AW$5,0)),0,1/VLOOKUP($R536,Capa!$A:$AJ,AW$5,0))))</f>
        <v/>
      </c>
      <c r="AX536" s="174" t="str">
        <f>IF(AX$6="","",IF(AX$3="Maior",iferror(VLOOKUP($R536,Capa!$A:$AJ,AX$5,0),0),IF(ISERROR(1/VLOOKUP($R536,Capa!$A:$AJ,AX$5,0)),0,1/VLOOKUP($R536,Capa!$A:$AJ,AX$5,0))))</f>
        <v/>
      </c>
      <c r="AY536" s="174" t="str">
        <f>IF(AY$6="","",IF(AY$3="Maior",iferror(VLOOKUP($R536,Capa!$A:$AJ,AY$5,0),0),IF(ISERROR(1/VLOOKUP($R536,Capa!$A:$AJ,AY$5,0)),0,1/VLOOKUP($R536,Capa!$A:$AJ,AY$5,0))))</f>
        <v/>
      </c>
      <c r="AZ536" s="174" t="str">
        <f>IF(AZ$6="","",IF(AZ$3="Maior",iferror(VLOOKUP($R536,Capa!$A:$AJ,AZ$5,0),0),IF(ISERROR(1/VLOOKUP($R536,Capa!$A:$AJ,AZ$5,0)),0,1/VLOOKUP($R536,Capa!$A:$AJ,AZ$5,0))))</f>
        <v/>
      </c>
      <c r="BA536" s="174" t="str">
        <f>IF(BA$6="","",IF(BA$3="Maior",iferror(VLOOKUP($R536,Capa!$A:$AJ,BA$5,0),0),IF(ISERROR(1/VLOOKUP($R536,Capa!$A:$AJ,BA$5,0)),0,1/VLOOKUP($R536,Capa!$A:$AJ,BA$5,0))))</f>
        <v/>
      </c>
      <c r="BB536" s="174" t="str">
        <f>IF(BB$6="","",IF(BB$3="Maior",iferror(VLOOKUP($R536,Capa!$A:$AJ,BB$5,0),0),IF(ISERROR(1/VLOOKUP($R536,Capa!$A:$AJ,BB$5,0)),0,1/VLOOKUP($R536,Capa!$A:$AJ,BB$5,0))))</f>
        <v/>
      </c>
      <c r="BC536" s="174" t="str">
        <f>IF(BC$6="","",IF(BC$3="Maior",iferror(VLOOKUP($R536,Capa!$A:$AJ,BC$5,0),0),IF(ISERROR(1/VLOOKUP($R536,Capa!$A:$AJ,BC$5,0)),0,1/VLOOKUP($R536,Capa!$A:$AJ,BC$5,0))))</f>
        <v/>
      </c>
      <c r="BD536" s="174" t="str">
        <f>IF(BD$6="","",IF(BD$3="Maior",iferror(VLOOKUP($R536,Capa!$A:$AJ,BD$5,0),0),IF(ISERROR(1/VLOOKUP($R536,Capa!$A:$AJ,BD$5,0)),0,1/VLOOKUP($R536,Capa!$A:$AJ,BD$5,0))))</f>
        <v/>
      </c>
      <c r="BE536" s="174" t="str">
        <f>IF(BE$6="","",IF(BE$3="Maior",iferror(VLOOKUP($R536,Capa!$A:$AJ,BE$5,0),0),IF(ISERROR(1/VLOOKUP($R536,Capa!$A:$AJ,BE$5,0)),0,1/VLOOKUP($R536,Capa!$A:$AJ,BE$5,0))))</f>
        <v/>
      </c>
      <c r="BF536" s="174" t="str">
        <f>IF(BF$6="","",IF(BF$3="Maior",iferror(VLOOKUP($R536,Capa!$A:$AJ,BF$5,0),0),IF(ISERROR(1/VLOOKUP($R536,Capa!$A:$AJ,BF$5,0)),0,1/VLOOKUP($R536,Capa!$A:$AJ,BF$5,0))))</f>
        <v/>
      </c>
      <c r="BG536" s="174" t="str">
        <f>IF(BG$6="","",IF(BG$3="Maior",iferror(VLOOKUP($R536,Capa!$A:$AJ,BG$5,0),0),IF(ISERROR(1/VLOOKUP($R536,Capa!$A:$AJ,BG$5,0)),0,1/VLOOKUP($R536,Capa!$A:$AJ,BG$5,0))))</f>
        <v/>
      </c>
      <c r="BH536" s="174" t="str">
        <f>IF(BH$6="","",IF(BH$3="Maior",iferror(VLOOKUP($R536,Capa!$A:$AJ,BH$5,0),0),IF(ISERROR(1/VLOOKUP($R536,Capa!$A:$AJ,BH$5,0)),0,1/VLOOKUP($R536,Capa!$A:$AJ,BH$5,0))))</f>
        <v/>
      </c>
      <c r="BI536" s="174" t="str">
        <f>IF(BI$6="","",IF(BI$3="Maior",iferror(VLOOKUP($R536,Capa!$A:$AJ,BI$5,0),0),IF(ISERROR(1/VLOOKUP($R536,Capa!$A:$AJ,BI$5,0)),0,1/VLOOKUP($R536,Capa!$A:$AJ,BI$5,0))))</f>
        <v/>
      </c>
      <c r="BJ536" s="174" t="str">
        <f>IF(BJ$6="","",IF(BJ$3="Maior",iferror(VLOOKUP($R536,Capa!$A:$AJ,BJ$5,0),0),IF(ISERROR(1/VLOOKUP($R536,Capa!$A:$AJ,BJ$5,0)),0,1/VLOOKUP($R536,Capa!$A:$AJ,BJ$5,0))))</f>
        <v/>
      </c>
      <c r="BK536" s="174" t="str">
        <f>IF(BK$6="","",IF(BK$3="Maior",iferror(VLOOKUP($R536,Capa!$A:$AJ,BK$5,0),0),IF(ISERROR(1/VLOOKUP($R536,Capa!$A:$AJ,BK$5,0)),0,1/VLOOKUP($R536,Capa!$A:$AJ,BK$5,0))))</f>
        <v/>
      </c>
      <c r="BL536" s="174" t="str">
        <f>IF(BL$6="","",IF(BL$3="Maior",iferror(VLOOKUP($R536,Capa!$A:$AJ,BL$5,0),0),IF(ISERROR(1/VLOOKUP($R536,Capa!$A:$AJ,BL$5,0)),0,1/VLOOKUP($R536,Capa!$A:$AJ,BL$5,0))))</f>
        <v/>
      </c>
      <c r="BM536" s="174" t="str">
        <f>IF(BM$6="","",IF(BM$3="Maior",iferror(VLOOKUP($R536,Capa!$A:$AJ,BM$5,0),0),IF(ISERROR(1/VLOOKUP($R536,Capa!$A:$AJ,BM$5,0)),0,1/VLOOKUP($R536,Capa!$A:$AJ,BM$5,0))))</f>
        <v/>
      </c>
      <c r="BN536" s="174" t="str">
        <f>IF(BN$6="","",IF(BN$3="Maior",iferror(VLOOKUP($R536,Capa!$A:$AJ,BN$5,0),0),IF(ISERROR(1/VLOOKUP($R536,Capa!$A:$AJ,BN$5,0)),0,1/VLOOKUP($R536,Capa!$A:$AJ,BN$5,0))))</f>
        <v/>
      </c>
      <c r="BO536" s="174" t="str">
        <f>IF(BO$6="","",IF(BO$3="Maior",iferror(VLOOKUP($R536,Capa!$A:$AJ,BO$5,0),0),IF(ISERROR(1/VLOOKUP($R536,Capa!$A:$AJ,BO$5,0)),0,1/VLOOKUP($R536,Capa!$A:$AJ,BO$5,0))))</f>
        <v/>
      </c>
      <c r="BP536" s="174" t="str">
        <f>IF(BP$6="","",IF(BP$3="Maior",iferror(VLOOKUP($R536,Capa!$A:$AJ,BP$5,0),0),IF(ISERROR(1/VLOOKUP($R536,Capa!$A:$AJ,BP$5,0)),0,1/VLOOKUP($R536,Capa!$A:$AJ,BP$5,0))))</f>
        <v/>
      </c>
      <c r="BQ536" s="174" t="str">
        <f>IF(BQ$6="","",IF(BQ$3="Maior",iferror(VLOOKUP($R536,Capa!$A:$AJ,BQ$5,0),0),IF(ISERROR(1/VLOOKUP($R536,Capa!$A:$AJ,BQ$5,0)),0,1/VLOOKUP($R536,Capa!$A:$AJ,BQ$5,0))))</f>
        <v/>
      </c>
      <c r="BR536" s="175"/>
      <c r="BS536" s="147"/>
    </row>
    <row r="537">
      <c r="H537" s="8">
        <v>531.0</v>
      </c>
      <c r="I537" s="165" t="str">
        <f t="shared" si="6"/>
        <v>BEES3</v>
      </c>
      <c r="J537" s="166" t="str">
        <f>(VLOOKUP($I537,Capa!$A:$B,2,0))</f>
        <v>Banestes SA Banco do Estado Esprt Santo</v>
      </c>
      <c r="K537" s="167" t="str">
        <f>VLOOKUP(left(I537,4),Setor!A:D,3,0)&amp;" | "&amp;VLOOKUP(left(I537,4),Setor!A:D,4,0)</f>
        <v>Financeiro | Intermediários Financeiros</v>
      </c>
      <c r="L537" s="168">
        <f>(VLOOKUP($I537,Capa!$A:$F,6,0))</f>
        <v>8.35</v>
      </c>
      <c r="M537" s="168">
        <f t="shared" si="7"/>
        <v>147559.3</v>
      </c>
      <c r="N537" s="11" t="str">
        <f>IFERROR(__xludf.DUMMYFUNCTION("(VLOOKUP($I537,Capa!$A:$H,7,0))"),"")</f>
        <v/>
      </c>
      <c r="O537" s="169">
        <f>(VLOOKUP($I537,Capa!$A:$H,8,0))</f>
        <v>0.009673518742</v>
      </c>
      <c r="P537" s="11" t="str">
        <f>IFERROR(__xludf.DUMMYFUNCTION("(VLOOKUP($I537,Capa!$A:$J,10,0))"),"")</f>
        <v/>
      </c>
      <c r="Q537" s="169">
        <f>(VLOOKUP($I537,Capa!$A:$K,11,0))</f>
        <v>0.1268556005</v>
      </c>
      <c r="R537" s="45" t="str">
        <f>'Dados StatusInvest'!A532</f>
        <v>SNSY3</v>
      </c>
      <c r="S537" s="170">
        <f t="shared" si="234"/>
        <v>1765.0765</v>
      </c>
      <c r="T537" s="171">
        <f>VLOOKUP(R537,'Dados StatusInvest'!A:Z,26,0)</f>
        <v>6559.5</v>
      </c>
      <c r="U537" s="172">
        <f t="shared" ref="U537:AS537" si="540">IF(AT537="","", RANK(AT537,AT$7:AT$626,0)+RANK(AT537,AT$7:AT$626,0)/10000)</f>
        <v>498.0498</v>
      </c>
      <c r="V537" s="172">
        <f t="shared" si="540"/>
        <v>267.0267</v>
      </c>
      <c r="W537" s="172" t="str">
        <f t="shared" si="540"/>
        <v/>
      </c>
      <c r="X537" s="172" t="str">
        <f t="shared" si="540"/>
        <v/>
      </c>
      <c r="Y537" s="172" t="str">
        <f t="shared" si="540"/>
        <v/>
      </c>
      <c r="Z537" s="172" t="str">
        <f t="shared" si="540"/>
        <v/>
      </c>
      <c r="AA537" s="172" t="str">
        <f t="shared" si="540"/>
        <v/>
      </c>
      <c r="AB537" s="172" t="str">
        <f t="shared" si="540"/>
        <v/>
      </c>
      <c r="AC537" s="172" t="str">
        <f t="shared" si="540"/>
        <v/>
      </c>
      <c r="AD537" s="172" t="str">
        <f t="shared" si="540"/>
        <v/>
      </c>
      <c r="AE537" s="172" t="str">
        <f t="shared" si="540"/>
        <v/>
      </c>
      <c r="AF537" s="172" t="str">
        <f t="shared" si="540"/>
        <v/>
      </c>
      <c r="AG537" s="172" t="str">
        <f t="shared" si="540"/>
        <v/>
      </c>
      <c r="AH537" s="172" t="str">
        <f t="shared" si="540"/>
        <v/>
      </c>
      <c r="AI537" s="172" t="str">
        <f t="shared" si="540"/>
        <v/>
      </c>
      <c r="AJ537" s="172" t="str">
        <f t="shared" si="540"/>
        <v/>
      </c>
      <c r="AK537" s="172" t="str">
        <f t="shared" si="540"/>
        <v/>
      </c>
      <c r="AL537" s="172" t="str">
        <f t="shared" si="540"/>
        <v/>
      </c>
      <c r="AM537" s="172" t="str">
        <f t="shared" si="540"/>
        <v/>
      </c>
      <c r="AN537" s="172" t="str">
        <f t="shared" si="540"/>
        <v/>
      </c>
      <c r="AO537" s="172" t="str">
        <f t="shared" si="540"/>
        <v/>
      </c>
      <c r="AP537" s="172" t="str">
        <f t="shared" si="540"/>
        <v/>
      </c>
      <c r="AQ537" s="172" t="str">
        <f t="shared" si="540"/>
        <v/>
      </c>
      <c r="AR537" s="172" t="str">
        <f t="shared" si="540"/>
        <v/>
      </c>
      <c r="AS537" s="172" t="str">
        <f t="shared" si="540"/>
        <v/>
      </c>
      <c r="AT537" s="173">
        <f>IF(AT$6="","",IF(AT$3="Maior",iferror(VLOOKUP($R537,Capa!$A:$AJ,AT$5,0),0),IF(ISERROR(1/VLOOKUP($R537,Capa!$A:$AJ,AT$5,0)),0,1/VLOOKUP($R537,Capa!$A:$AJ,AT$5,0))))</f>
        <v>-3.125</v>
      </c>
      <c r="AU537" s="174">
        <f>IF(AU$6="","",IF(AU$3="Maior",iferror(VLOOKUP($R537,Capa!$A:$AJ,AU$5,0),0),IF(ISERROR(1/VLOOKUP($R537,Capa!$A:$AJ,AU$5,0)),0,1/VLOOKUP($R537,Capa!$A:$AJ,AU$5,0))))</f>
        <v>0</v>
      </c>
      <c r="AV537" s="174" t="str">
        <f>IF(AV$6="","",IF(AV$3="Maior",iferror(VLOOKUP($R537,Capa!$A:$AJ,AV$5,0),0),IF(ISERROR(1/VLOOKUP($R537,Capa!$A:$AJ,AV$5,0)),0,1/VLOOKUP($R537,Capa!$A:$AJ,AV$5,0))))</f>
        <v/>
      </c>
      <c r="AW537" s="174" t="str">
        <f>IF(AW$6="","",IF(AW$3="Maior",iferror(VLOOKUP($R537,Capa!$A:$AJ,AW$5,0),0),IF(ISERROR(1/VLOOKUP($R537,Capa!$A:$AJ,AW$5,0)),0,1/VLOOKUP($R537,Capa!$A:$AJ,AW$5,0))))</f>
        <v/>
      </c>
      <c r="AX537" s="174" t="str">
        <f>IF(AX$6="","",IF(AX$3="Maior",iferror(VLOOKUP($R537,Capa!$A:$AJ,AX$5,0),0),IF(ISERROR(1/VLOOKUP($R537,Capa!$A:$AJ,AX$5,0)),0,1/VLOOKUP($R537,Capa!$A:$AJ,AX$5,0))))</f>
        <v/>
      </c>
      <c r="AY537" s="174" t="str">
        <f>IF(AY$6="","",IF(AY$3="Maior",iferror(VLOOKUP($R537,Capa!$A:$AJ,AY$5,0),0),IF(ISERROR(1/VLOOKUP($R537,Capa!$A:$AJ,AY$5,0)),0,1/VLOOKUP($R537,Capa!$A:$AJ,AY$5,0))))</f>
        <v/>
      </c>
      <c r="AZ537" s="174" t="str">
        <f>IF(AZ$6="","",IF(AZ$3="Maior",iferror(VLOOKUP($R537,Capa!$A:$AJ,AZ$5,0),0),IF(ISERROR(1/VLOOKUP($R537,Capa!$A:$AJ,AZ$5,0)),0,1/VLOOKUP($R537,Capa!$A:$AJ,AZ$5,0))))</f>
        <v/>
      </c>
      <c r="BA537" s="174" t="str">
        <f>IF(BA$6="","",IF(BA$3="Maior",iferror(VLOOKUP($R537,Capa!$A:$AJ,BA$5,0),0),IF(ISERROR(1/VLOOKUP($R537,Capa!$A:$AJ,BA$5,0)),0,1/VLOOKUP($R537,Capa!$A:$AJ,BA$5,0))))</f>
        <v/>
      </c>
      <c r="BB537" s="174" t="str">
        <f>IF(BB$6="","",IF(BB$3="Maior",iferror(VLOOKUP($R537,Capa!$A:$AJ,BB$5,0),0),IF(ISERROR(1/VLOOKUP($R537,Capa!$A:$AJ,BB$5,0)),0,1/VLOOKUP($R537,Capa!$A:$AJ,BB$5,0))))</f>
        <v/>
      </c>
      <c r="BC537" s="174" t="str">
        <f>IF(BC$6="","",IF(BC$3="Maior",iferror(VLOOKUP($R537,Capa!$A:$AJ,BC$5,0),0),IF(ISERROR(1/VLOOKUP($R537,Capa!$A:$AJ,BC$5,0)),0,1/VLOOKUP($R537,Capa!$A:$AJ,BC$5,0))))</f>
        <v/>
      </c>
      <c r="BD537" s="174" t="str">
        <f>IF(BD$6="","",IF(BD$3="Maior",iferror(VLOOKUP($R537,Capa!$A:$AJ,BD$5,0),0),IF(ISERROR(1/VLOOKUP($R537,Capa!$A:$AJ,BD$5,0)),0,1/VLOOKUP($R537,Capa!$A:$AJ,BD$5,0))))</f>
        <v/>
      </c>
      <c r="BE537" s="174" t="str">
        <f>IF(BE$6="","",IF(BE$3="Maior",iferror(VLOOKUP($R537,Capa!$A:$AJ,BE$5,0),0),IF(ISERROR(1/VLOOKUP($R537,Capa!$A:$AJ,BE$5,0)),0,1/VLOOKUP($R537,Capa!$A:$AJ,BE$5,0))))</f>
        <v/>
      </c>
      <c r="BF537" s="174" t="str">
        <f>IF(BF$6="","",IF(BF$3="Maior",iferror(VLOOKUP($R537,Capa!$A:$AJ,BF$5,0),0),IF(ISERROR(1/VLOOKUP($R537,Capa!$A:$AJ,BF$5,0)),0,1/VLOOKUP($R537,Capa!$A:$AJ,BF$5,0))))</f>
        <v/>
      </c>
      <c r="BG537" s="174" t="str">
        <f>IF(BG$6="","",IF(BG$3="Maior",iferror(VLOOKUP($R537,Capa!$A:$AJ,BG$5,0),0),IF(ISERROR(1/VLOOKUP($R537,Capa!$A:$AJ,BG$5,0)),0,1/VLOOKUP($R537,Capa!$A:$AJ,BG$5,0))))</f>
        <v/>
      </c>
      <c r="BH537" s="174" t="str">
        <f>IF(BH$6="","",IF(BH$3="Maior",iferror(VLOOKUP($R537,Capa!$A:$AJ,BH$5,0),0),IF(ISERROR(1/VLOOKUP($R537,Capa!$A:$AJ,BH$5,0)),0,1/VLOOKUP($R537,Capa!$A:$AJ,BH$5,0))))</f>
        <v/>
      </c>
      <c r="BI537" s="174" t="str">
        <f>IF(BI$6="","",IF(BI$3="Maior",iferror(VLOOKUP($R537,Capa!$A:$AJ,BI$5,0),0),IF(ISERROR(1/VLOOKUP($R537,Capa!$A:$AJ,BI$5,0)),0,1/VLOOKUP($R537,Capa!$A:$AJ,BI$5,0))))</f>
        <v/>
      </c>
      <c r="BJ537" s="174" t="str">
        <f>IF(BJ$6="","",IF(BJ$3="Maior",iferror(VLOOKUP($R537,Capa!$A:$AJ,BJ$5,0),0),IF(ISERROR(1/VLOOKUP($R537,Capa!$A:$AJ,BJ$5,0)),0,1/VLOOKUP($R537,Capa!$A:$AJ,BJ$5,0))))</f>
        <v/>
      </c>
      <c r="BK537" s="174" t="str">
        <f>IF(BK$6="","",IF(BK$3="Maior",iferror(VLOOKUP($R537,Capa!$A:$AJ,BK$5,0),0),IF(ISERROR(1/VLOOKUP($R537,Capa!$A:$AJ,BK$5,0)),0,1/VLOOKUP($R537,Capa!$A:$AJ,BK$5,0))))</f>
        <v/>
      </c>
      <c r="BL537" s="174" t="str">
        <f>IF(BL$6="","",IF(BL$3="Maior",iferror(VLOOKUP($R537,Capa!$A:$AJ,BL$5,0),0),IF(ISERROR(1/VLOOKUP($R537,Capa!$A:$AJ,BL$5,0)),0,1/VLOOKUP($R537,Capa!$A:$AJ,BL$5,0))))</f>
        <v/>
      </c>
      <c r="BM537" s="174" t="str">
        <f>IF(BM$6="","",IF(BM$3="Maior",iferror(VLOOKUP($R537,Capa!$A:$AJ,BM$5,0),0),IF(ISERROR(1/VLOOKUP($R537,Capa!$A:$AJ,BM$5,0)),0,1/VLOOKUP($R537,Capa!$A:$AJ,BM$5,0))))</f>
        <v/>
      </c>
      <c r="BN537" s="174" t="str">
        <f>IF(BN$6="","",IF(BN$3="Maior",iferror(VLOOKUP($R537,Capa!$A:$AJ,BN$5,0),0),IF(ISERROR(1/VLOOKUP($R537,Capa!$A:$AJ,BN$5,0)),0,1/VLOOKUP($R537,Capa!$A:$AJ,BN$5,0))))</f>
        <v/>
      </c>
      <c r="BO537" s="174" t="str">
        <f>IF(BO$6="","",IF(BO$3="Maior",iferror(VLOOKUP($R537,Capa!$A:$AJ,BO$5,0),0),IF(ISERROR(1/VLOOKUP($R537,Capa!$A:$AJ,BO$5,0)),0,1/VLOOKUP($R537,Capa!$A:$AJ,BO$5,0))))</f>
        <v/>
      </c>
      <c r="BP537" s="174" t="str">
        <f>IF(BP$6="","",IF(BP$3="Maior",iferror(VLOOKUP($R537,Capa!$A:$AJ,BP$5,0),0),IF(ISERROR(1/VLOOKUP($R537,Capa!$A:$AJ,BP$5,0)),0,1/VLOOKUP($R537,Capa!$A:$AJ,BP$5,0))))</f>
        <v/>
      </c>
      <c r="BQ537" s="174" t="str">
        <f>IF(BQ$6="","",IF(BQ$3="Maior",iferror(VLOOKUP($R537,Capa!$A:$AJ,BQ$5,0),0),IF(ISERROR(1/VLOOKUP($R537,Capa!$A:$AJ,BQ$5,0)),0,1/VLOOKUP($R537,Capa!$A:$AJ,BQ$5,0))))</f>
        <v/>
      </c>
      <c r="BR537" s="175"/>
      <c r="BS537" s="147"/>
    </row>
    <row r="538">
      <c r="H538" s="8">
        <v>532.0</v>
      </c>
      <c r="I538" s="165" t="str">
        <f t="shared" si="6"/>
        <v>BGIP3</v>
      </c>
      <c r="J538" s="166" t="str">
        <f>(VLOOKUP($I538,Capa!$A:$B,2,0))</f>
        <v>Banco do Estado de Sergipe SA</v>
      </c>
      <c r="K538" s="167" t="str">
        <f>VLOOKUP(left(I538,4),Setor!A:D,3,0)&amp;" | "&amp;VLOOKUP(left(I538,4),Setor!A:D,4,0)</f>
        <v>Financeiro | Intermediários Financeiros</v>
      </c>
      <c r="L538" s="168">
        <f>(VLOOKUP($I538,Capa!$A:$F,6,0))</f>
        <v>51.74</v>
      </c>
      <c r="M538" s="168">
        <f t="shared" si="7"/>
        <v>15227</v>
      </c>
      <c r="N538" s="11" t="str">
        <f>IFERROR(__xludf.DUMMYFUNCTION("(VLOOKUP($I538,Capa!$A:$H,7,0))"),"")</f>
        <v/>
      </c>
      <c r="O538" s="169">
        <f>(VLOOKUP($I538,Capa!$A:$H,8,0))</f>
        <v>0.1634809984</v>
      </c>
      <c r="P538" s="11" t="str">
        <f>IFERROR(__xludf.DUMMYFUNCTION("(VLOOKUP($I538,Capa!$A:$J,10,0))"),"")</f>
        <v/>
      </c>
      <c r="Q538" s="169">
        <f>(VLOOKUP($I538,Capa!$A:$K,11,0))</f>
        <v>1.058893752</v>
      </c>
      <c r="R538" s="45" t="str">
        <f>'Dados StatusInvest'!A533</f>
        <v>SNSY5</v>
      </c>
      <c r="S538" s="170">
        <f t="shared" si="234"/>
        <v>1856.0856</v>
      </c>
      <c r="T538" s="171">
        <f>VLOOKUP(R538,'Dados StatusInvest'!A:Z,26,0)</f>
        <v>12134.31</v>
      </c>
      <c r="U538" s="172">
        <f t="shared" ref="U538:AS538" si="541">IF(AT538="","", RANK(AT538,AT$7:AT$626,0)+RANK(AT538,AT$7:AT$626,0)/10000)</f>
        <v>589.0589</v>
      </c>
      <c r="V538" s="172">
        <f t="shared" si="541"/>
        <v>267.0267</v>
      </c>
      <c r="W538" s="172" t="str">
        <f t="shared" si="541"/>
        <v/>
      </c>
      <c r="X538" s="172" t="str">
        <f t="shared" si="541"/>
        <v/>
      </c>
      <c r="Y538" s="172" t="str">
        <f t="shared" si="541"/>
        <v/>
      </c>
      <c r="Z538" s="172" t="str">
        <f t="shared" si="541"/>
        <v/>
      </c>
      <c r="AA538" s="172" t="str">
        <f t="shared" si="541"/>
        <v/>
      </c>
      <c r="AB538" s="172" t="str">
        <f t="shared" si="541"/>
        <v/>
      </c>
      <c r="AC538" s="172" t="str">
        <f t="shared" si="541"/>
        <v/>
      </c>
      <c r="AD538" s="172" t="str">
        <f t="shared" si="541"/>
        <v/>
      </c>
      <c r="AE538" s="172" t="str">
        <f t="shared" si="541"/>
        <v/>
      </c>
      <c r="AF538" s="172" t="str">
        <f t="shared" si="541"/>
        <v/>
      </c>
      <c r="AG538" s="172" t="str">
        <f t="shared" si="541"/>
        <v/>
      </c>
      <c r="AH538" s="172" t="str">
        <f t="shared" si="541"/>
        <v/>
      </c>
      <c r="AI538" s="172" t="str">
        <f t="shared" si="541"/>
        <v/>
      </c>
      <c r="AJ538" s="172" t="str">
        <f t="shared" si="541"/>
        <v/>
      </c>
      <c r="AK538" s="172" t="str">
        <f t="shared" si="541"/>
        <v/>
      </c>
      <c r="AL538" s="172" t="str">
        <f t="shared" si="541"/>
        <v/>
      </c>
      <c r="AM538" s="172" t="str">
        <f t="shared" si="541"/>
        <v/>
      </c>
      <c r="AN538" s="172" t="str">
        <f t="shared" si="541"/>
        <v/>
      </c>
      <c r="AO538" s="172" t="str">
        <f t="shared" si="541"/>
        <v/>
      </c>
      <c r="AP538" s="172" t="str">
        <f t="shared" si="541"/>
        <v/>
      </c>
      <c r="AQ538" s="172" t="str">
        <f t="shared" si="541"/>
        <v/>
      </c>
      <c r="AR538" s="172" t="str">
        <f t="shared" si="541"/>
        <v/>
      </c>
      <c r="AS538" s="172" t="str">
        <f t="shared" si="541"/>
        <v/>
      </c>
      <c r="AT538" s="173">
        <f>IF(AT$6="","",IF(AT$3="Maior",iferror(VLOOKUP($R538,Capa!$A:$AJ,AT$5,0),0),IF(ISERROR(1/VLOOKUP($R538,Capa!$A:$AJ,AT$5,0)),0,1/VLOOKUP($R538,Capa!$A:$AJ,AT$5,0))))</f>
        <v>-12.5</v>
      </c>
      <c r="AU538" s="174">
        <f>IF(AU$6="","",IF(AU$3="Maior",iferror(VLOOKUP($R538,Capa!$A:$AJ,AU$5,0),0),IF(ISERROR(1/VLOOKUP($R538,Capa!$A:$AJ,AU$5,0)),0,1/VLOOKUP($R538,Capa!$A:$AJ,AU$5,0))))</f>
        <v>0</v>
      </c>
      <c r="AV538" s="174" t="str">
        <f>IF(AV$6="","",IF(AV$3="Maior",iferror(VLOOKUP($R538,Capa!$A:$AJ,AV$5,0),0),IF(ISERROR(1/VLOOKUP($R538,Capa!$A:$AJ,AV$5,0)),0,1/VLOOKUP($R538,Capa!$A:$AJ,AV$5,0))))</f>
        <v/>
      </c>
      <c r="AW538" s="174" t="str">
        <f>IF(AW$6="","",IF(AW$3="Maior",iferror(VLOOKUP($R538,Capa!$A:$AJ,AW$5,0),0),IF(ISERROR(1/VLOOKUP($R538,Capa!$A:$AJ,AW$5,0)),0,1/VLOOKUP($R538,Capa!$A:$AJ,AW$5,0))))</f>
        <v/>
      </c>
      <c r="AX538" s="174" t="str">
        <f>IF(AX$6="","",IF(AX$3="Maior",iferror(VLOOKUP($R538,Capa!$A:$AJ,AX$5,0),0),IF(ISERROR(1/VLOOKUP($R538,Capa!$A:$AJ,AX$5,0)),0,1/VLOOKUP($R538,Capa!$A:$AJ,AX$5,0))))</f>
        <v/>
      </c>
      <c r="AY538" s="174" t="str">
        <f>IF(AY$6="","",IF(AY$3="Maior",iferror(VLOOKUP($R538,Capa!$A:$AJ,AY$5,0),0),IF(ISERROR(1/VLOOKUP($R538,Capa!$A:$AJ,AY$5,0)),0,1/VLOOKUP($R538,Capa!$A:$AJ,AY$5,0))))</f>
        <v/>
      </c>
      <c r="AZ538" s="174" t="str">
        <f>IF(AZ$6="","",IF(AZ$3="Maior",iferror(VLOOKUP($R538,Capa!$A:$AJ,AZ$5,0),0),IF(ISERROR(1/VLOOKUP($R538,Capa!$A:$AJ,AZ$5,0)),0,1/VLOOKUP($R538,Capa!$A:$AJ,AZ$5,0))))</f>
        <v/>
      </c>
      <c r="BA538" s="174" t="str">
        <f>IF(BA$6="","",IF(BA$3="Maior",iferror(VLOOKUP($R538,Capa!$A:$AJ,BA$5,0),0),IF(ISERROR(1/VLOOKUP($R538,Capa!$A:$AJ,BA$5,0)),0,1/VLOOKUP($R538,Capa!$A:$AJ,BA$5,0))))</f>
        <v/>
      </c>
      <c r="BB538" s="174" t="str">
        <f>IF(BB$6="","",IF(BB$3="Maior",iferror(VLOOKUP($R538,Capa!$A:$AJ,BB$5,0),0),IF(ISERROR(1/VLOOKUP($R538,Capa!$A:$AJ,BB$5,0)),0,1/VLOOKUP($R538,Capa!$A:$AJ,BB$5,0))))</f>
        <v/>
      </c>
      <c r="BC538" s="174" t="str">
        <f>IF(BC$6="","",IF(BC$3="Maior",iferror(VLOOKUP($R538,Capa!$A:$AJ,BC$5,0),0),IF(ISERROR(1/VLOOKUP($R538,Capa!$A:$AJ,BC$5,0)),0,1/VLOOKUP($R538,Capa!$A:$AJ,BC$5,0))))</f>
        <v/>
      </c>
      <c r="BD538" s="174" t="str">
        <f>IF(BD$6="","",IF(BD$3="Maior",iferror(VLOOKUP($R538,Capa!$A:$AJ,BD$5,0),0),IF(ISERROR(1/VLOOKUP($R538,Capa!$A:$AJ,BD$5,0)),0,1/VLOOKUP($R538,Capa!$A:$AJ,BD$5,0))))</f>
        <v/>
      </c>
      <c r="BE538" s="174" t="str">
        <f>IF(BE$6="","",IF(BE$3="Maior",iferror(VLOOKUP($R538,Capa!$A:$AJ,BE$5,0),0),IF(ISERROR(1/VLOOKUP($R538,Capa!$A:$AJ,BE$5,0)),0,1/VLOOKUP($R538,Capa!$A:$AJ,BE$5,0))))</f>
        <v/>
      </c>
      <c r="BF538" s="174" t="str">
        <f>IF(BF$6="","",IF(BF$3="Maior",iferror(VLOOKUP($R538,Capa!$A:$AJ,BF$5,0),0),IF(ISERROR(1/VLOOKUP($R538,Capa!$A:$AJ,BF$5,0)),0,1/VLOOKUP($R538,Capa!$A:$AJ,BF$5,0))))</f>
        <v/>
      </c>
      <c r="BG538" s="174" t="str">
        <f>IF(BG$6="","",IF(BG$3="Maior",iferror(VLOOKUP($R538,Capa!$A:$AJ,BG$5,0),0),IF(ISERROR(1/VLOOKUP($R538,Capa!$A:$AJ,BG$5,0)),0,1/VLOOKUP($R538,Capa!$A:$AJ,BG$5,0))))</f>
        <v/>
      </c>
      <c r="BH538" s="174" t="str">
        <f>IF(BH$6="","",IF(BH$3="Maior",iferror(VLOOKUP($R538,Capa!$A:$AJ,BH$5,0),0),IF(ISERROR(1/VLOOKUP($R538,Capa!$A:$AJ,BH$5,0)),0,1/VLOOKUP($R538,Capa!$A:$AJ,BH$5,0))))</f>
        <v/>
      </c>
      <c r="BI538" s="174" t="str">
        <f>IF(BI$6="","",IF(BI$3="Maior",iferror(VLOOKUP($R538,Capa!$A:$AJ,BI$5,0),0),IF(ISERROR(1/VLOOKUP($R538,Capa!$A:$AJ,BI$5,0)),0,1/VLOOKUP($R538,Capa!$A:$AJ,BI$5,0))))</f>
        <v/>
      </c>
      <c r="BJ538" s="174" t="str">
        <f>IF(BJ$6="","",IF(BJ$3="Maior",iferror(VLOOKUP($R538,Capa!$A:$AJ,BJ$5,0),0),IF(ISERROR(1/VLOOKUP($R538,Capa!$A:$AJ,BJ$5,0)),0,1/VLOOKUP($R538,Capa!$A:$AJ,BJ$5,0))))</f>
        <v/>
      </c>
      <c r="BK538" s="174" t="str">
        <f>IF(BK$6="","",IF(BK$3="Maior",iferror(VLOOKUP($R538,Capa!$A:$AJ,BK$5,0),0),IF(ISERROR(1/VLOOKUP($R538,Capa!$A:$AJ,BK$5,0)),0,1/VLOOKUP($R538,Capa!$A:$AJ,BK$5,0))))</f>
        <v/>
      </c>
      <c r="BL538" s="174" t="str">
        <f>IF(BL$6="","",IF(BL$3="Maior",iferror(VLOOKUP($R538,Capa!$A:$AJ,BL$5,0),0),IF(ISERROR(1/VLOOKUP($R538,Capa!$A:$AJ,BL$5,0)),0,1/VLOOKUP($R538,Capa!$A:$AJ,BL$5,0))))</f>
        <v/>
      </c>
      <c r="BM538" s="174" t="str">
        <f>IF(BM$6="","",IF(BM$3="Maior",iferror(VLOOKUP($R538,Capa!$A:$AJ,BM$5,0),0),IF(ISERROR(1/VLOOKUP($R538,Capa!$A:$AJ,BM$5,0)),0,1/VLOOKUP($R538,Capa!$A:$AJ,BM$5,0))))</f>
        <v/>
      </c>
      <c r="BN538" s="174" t="str">
        <f>IF(BN$6="","",IF(BN$3="Maior",iferror(VLOOKUP($R538,Capa!$A:$AJ,BN$5,0),0),IF(ISERROR(1/VLOOKUP($R538,Capa!$A:$AJ,BN$5,0)),0,1/VLOOKUP($R538,Capa!$A:$AJ,BN$5,0))))</f>
        <v/>
      </c>
      <c r="BO538" s="174" t="str">
        <f>IF(BO$6="","",IF(BO$3="Maior",iferror(VLOOKUP($R538,Capa!$A:$AJ,BO$5,0),0),IF(ISERROR(1/VLOOKUP($R538,Capa!$A:$AJ,BO$5,0)),0,1/VLOOKUP($R538,Capa!$A:$AJ,BO$5,0))))</f>
        <v/>
      </c>
      <c r="BP538" s="174" t="str">
        <f>IF(BP$6="","",IF(BP$3="Maior",iferror(VLOOKUP($R538,Capa!$A:$AJ,BP$5,0),0),IF(ISERROR(1/VLOOKUP($R538,Capa!$A:$AJ,BP$5,0)),0,1/VLOOKUP($R538,Capa!$A:$AJ,BP$5,0))))</f>
        <v/>
      </c>
      <c r="BQ538" s="174" t="str">
        <f>IF(BQ$6="","",IF(BQ$3="Maior",iferror(VLOOKUP($R538,Capa!$A:$AJ,BQ$5,0),0),IF(ISERROR(1/VLOOKUP($R538,Capa!$A:$AJ,BQ$5,0)),0,1/VLOOKUP($R538,Capa!$A:$AJ,BQ$5,0))))</f>
        <v/>
      </c>
      <c r="BR538" s="175"/>
      <c r="BS538" s="147"/>
    </row>
    <row r="539">
      <c r="H539" s="8">
        <v>533.0</v>
      </c>
      <c r="I539" s="165" t="str">
        <f t="shared" si="6"/>
        <v>BGIP3</v>
      </c>
      <c r="J539" s="166" t="str">
        <f>(VLOOKUP($I539,Capa!$A:$B,2,0))</f>
        <v>Banco do Estado de Sergipe SA</v>
      </c>
      <c r="K539" s="167" t="str">
        <f>VLOOKUP(left(I539,4),Setor!A:D,3,0)&amp;" | "&amp;VLOOKUP(left(I539,4),Setor!A:D,4,0)</f>
        <v>Financeiro | Intermediários Financeiros</v>
      </c>
      <c r="L539" s="168">
        <f>(VLOOKUP($I539,Capa!$A:$F,6,0))</f>
        <v>51.74</v>
      </c>
      <c r="M539" s="168">
        <f t="shared" si="7"/>
        <v>15227</v>
      </c>
      <c r="N539" s="11" t="str">
        <f>IFERROR(__xludf.DUMMYFUNCTION("(VLOOKUP($I539,Capa!$A:$H,7,0))"),"")</f>
        <v/>
      </c>
      <c r="O539" s="169">
        <f>(VLOOKUP($I539,Capa!$A:$H,8,0))</f>
        <v>0.1634809984</v>
      </c>
      <c r="P539" s="11" t="str">
        <f>IFERROR(__xludf.DUMMYFUNCTION("(VLOOKUP($I539,Capa!$A:$J,10,0))"),"")</f>
        <v/>
      </c>
      <c r="Q539" s="169">
        <f>(VLOOKUP($I539,Capa!$A:$K,11,0))</f>
        <v>1.058893752</v>
      </c>
      <c r="R539" s="45" t="str">
        <f>'Dados StatusInvest'!A534</f>
        <v>SNSY6</v>
      </c>
      <c r="S539" s="170">
        <f t="shared" si="234"/>
        <v>1749.0749</v>
      </c>
      <c r="T539" s="171">
        <f>VLOOKUP(R539,'Dados StatusInvest'!A:Z,26,0)</f>
        <v>0</v>
      </c>
      <c r="U539" s="172">
        <f t="shared" ref="U539:AS539" si="542">IF(AT539="","", RANK(AT539,AT$7:AT$626,0)+RANK(AT539,AT$7:AT$626,0)/10000)</f>
        <v>482.0482</v>
      </c>
      <c r="V539" s="172">
        <f t="shared" si="542"/>
        <v>267.0267</v>
      </c>
      <c r="W539" s="172" t="str">
        <f t="shared" si="542"/>
        <v/>
      </c>
      <c r="X539" s="172" t="str">
        <f t="shared" si="542"/>
        <v/>
      </c>
      <c r="Y539" s="172" t="str">
        <f t="shared" si="542"/>
        <v/>
      </c>
      <c r="Z539" s="172" t="str">
        <f t="shared" si="542"/>
        <v/>
      </c>
      <c r="AA539" s="172" t="str">
        <f t="shared" si="542"/>
        <v/>
      </c>
      <c r="AB539" s="172" t="str">
        <f t="shared" si="542"/>
        <v/>
      </c>
      <c r="AC539" s="172" t="str">
        <f t="shared" si="542"/>
        <v/>
      </c>
      <c r="AD539" s="172" t="str">
        <f t="shared" si="542"/>
        <v/>
      </c>
      <c r="AE539" s="172" t="str">
        <f t="shared" si="542"/>
        <v/>
      </c>
      <c r="AF539" s="172" t="str">
        <f t="shared" si="542"/>
        <v/>
      </c>
      <c r="AG539" s="172" t="str">
        <f t="shared" si="542"/>
        <v/>
      </c>
      <c r="AH539" s="172" t="str">
        <f t="shared" si="542"/>
        <v/>
      </c>
      <c r="AI539" s="172" t="str">
        <f t="shared" si="542"/>
        <v/>
      </c>
      <c r="AJ539" s="172" t="str">
        <f t="shared" si="542"/>
        <v/>
      </c>
      <c r="AK539" s="172" t="str">
        <f t="shared" si="542"/>
        <v/>
      </c>
      <c r="AL539" s="172" t="str">
        <f t="shared" si="542"/>
        <v/>
      </c>
      <c r="AM539" s="172" t="str">
        <f t="shared" si="542"/>
        <v/>
      </c>
      <c r="AN539" s="172" t="str">
        <f t="shared" si="542"/>
        <v/>
      </c>
      <c r="AO539" s="172" t="str">
        <f t="shared" si="542"/>
        <v/>
      </c>
      <c r="AP539" s="172" t="str">
        <f t="shared" si="542"/>
        <v/>
      </c>
      <c r="AQ539" s="172" t="str">
        <f t="shared" si="542"/>
        <v/>
      </c>
      <c r="AR539" s="172" t="str">
        <f t="shared" si="542"/>
        <v/>
      </c>
      <c r="AS539" s="172" t="str">
        <f t="shared" si="542"/>
        <v/>
      </c>
      <c r="AT539" s="173">
        <f>IF(AT$6="","",IF(AT$3="Maior",iferror(VLOOKUP($R539,Capa!$A:$AJ,AT$5,0),0),IF(ISERROR(1/VLOOKUP($R539,Capa!$A:$AJ,AT$5,0)),0,1/VLOOKUP($R539,Capa!$A:$AJ,AT$5,0))))</f>
        <v>-2.702702703</v>
      </c>
      <c r="AU539" s="174">
        <f>IF(AU$6="","",IF(AU$3="Maior",iferror(VLOOKUP($R539,Capa!$A:$AJ,AU$5,0),0),IF(ISERROR(1/VLOOKUP($R539,Capa!$A:$AJ,AU$5,0)),0,1/VLOOKUP($R539,Capa!$A:$AJ,AU$5,0))))</f>
        <v>0</v>
      </c>
      <c r="AV539" s="174" t="str">
        <f>IF(AV$6="","",IF(AV$3="Maior",iferror(VLOOKUP($R539,Capa!$A:$AJ,AV$5,0),0),IF(ISERROR(1/VLOOKUP($R539,Capa!$A:$AJ,AV$5,0)),0,1/VLOOKUP($R539,Capa!$A:$AJ,AV$5,0))))</f>
        <v/>
      </c>
      <c r="AW539" s="174" t="str">
        <f>IF(AW$6="","",IF(AW$3="Maior",iferror(VLOOKUP($R539,Capa!$A:$AJ,AW$5,0),0),IF(ISERROR(1/VLOOKUP($R539,Capa!$A:$AJ,AW$5,0)),0,1/VLOOKUP($R539,Capa!$A:$AJ,AW$5,0))))</f>
        <v/>
      </c>
      <c r="AX539" s="174" t="str">
        <f>IF(AX$6="","",IF(AX$3="Maior",iferror(VLOOKUP($R539,Capa!$A:$AJ,AX$5,0),0),IF(ISERROR(1/VLOOKUP($R539,Capa!$A:$AJ,AX$5,0)),0,1/VLOOKUP($R539,Capa!$A:$AJ,AX$5,0))))</f>
        <v/>
      </c>
      <c r="AY539" s="174" t="str">
        <f>IF(AY$6="","",IF(AY$3="Maior",iferror(VLOOKUP($R539,Capa!$A:$AJ,AY$5,0),0),IF(ISERROR(1/VLOOKUP($R539,Capa!$A:$AJ,AY$5,0)),0,1/VLOOKUP($R539,Capa!$A:$AJ,AY$5,0))))</f>
        <v/>
      </c>
      <c r="AZ539" s="174" t="str">
        <f>IF(AZ$6="","",IF(AZ$3="Maior",iferror(VLOOKUP($R539,Capa!$A:$AJ,AZ$5,0),0),IF(ISERROR(1/VLOOKUP($R539,Capa!$A:$AJ,AZ$5,0)),0,1/VLOOKUP($R539,Capa!$A:$AJ,AZ$5,0))))</f>
        <v/>
      </c>
      <c r="BA539" s="174" t="str">
        <f>IF(BA$6="","",IF(BA$3="Maior",iferror(VLOOKUP($R539,Capa!$A:$AJ,BA$5,0),0),IF(ISERROR(1/VLOOKUP($R539,Capa!$A:$AJ,BA$5,0)),0,1/VLOOKUP($R539,Capa!$A:$AJ,BA$5,0))))</f>
        <v/>
      </c>
      <c r="BB539" s="174" t="str">
        <f>IF(BB$6="","",IF(BB$3="Maior",iferror(VLOOKUP($R539,Capa!$A:$AJ,BB$5,0),0),IF(ISERROR(1/VLOOKUP($R539,Capa!$A:$AJ,BB$5,0)),0,1/VLOOKUP($R539,Capa!$A:$AJ,BB$5,0))))</f>
        <v/>
      </c>
      <c r="BC539" s="174" t="str">
        <f>IF(BC$6="","",IF(BC$3="Maior",iferror(VLOOKUP($R539,Capa!$A:$AJ,BC$5,0),0),IF(ISERROR(1/VLOOKUP($R539,Capa!$A:$AJ,BC$5,0)),0,1/VLOOKUP($R539,Capa!$A:$AJ,BC$5,0))))</f>
        <v/>
      </c>
      <c r="BD539" s="174" t="str">
        <f>IF(BD$6="","",IF(BD$3="Maior",iferror(VLOOKUP($R539,Capa!$A:$AJ,BD$5,0),0),IF(ISERROR(1/VLOOKUP($R539,Capa!$A:$AJ,BD$5,0)),0,1/VLOOKUP($R539,Capa!$A:$AJ,BD$5,0))))</f>
        <v/>
      </c>
      <c r="BE539" s="174" t="str">
        <f>IF(BE$6="","",IF(BE$3="Maior",iferror(VLOOKUP($R539,Capa!$A:$AJ,BE$5,0),0),IF(ISERROR(1/VLOOKUP($R539,Capa!$A:$AJ,BE$5,0)),0,1/VLOOKUP($R539,Capa!$A:$AJ,BE$5,0))))</f>
        <v/>
      </c>
      <c r="BF539" s="174" t="str">
        <f>IF(BF$6="","",IF(BF$3="Maior",iferror(VLOOKUP($R539,Capa!$A:$AJ,BF$5,0),0),IF(ISERROR(1/VLOOKUP($R539,Capa!$A:$AJ,BF$5,0)),0,1/VLOOKUP($R539,Capa!$A:$AJ,BF$5,0))))</f>
        <v/>
      </c>
      <c r="BG539" s="174" t="str">
        <f>IF(BG$6="","",IF(BG$3="Maior",iferror(VLOOKUP($R539,Capa!$A:$AJ,BG$5,0),0),IF(ISERROR(1/VLOOKUP($R539,Capa!$A:$AJ,BG$5,0)),0,1/VLOOKUP($R539,Capa!$A:$AJ,BG$5,0))))</f>
        <v/>
      </c>
      <c r="BH539" s="174" t="str">
        <f>IF(BH$6="","",IF(BH$3="Maior",iferror(VLOOKUP($R539,Capa!$A:$AJ,BH$5,0),0),IF(ISERROR(1/VLOOKUP($R539,Capa!$A:$AJ,BH$5,0)),0,1/VLOOKUP($R539,Capa!$A:$AJ,BH$5,0))))</f>
        <v/>
      </c>
      <c r="BI539" s="174" t="str">
        <f>IF(BI$6="","",IF(BI$3="Maior",iferror(VLOOKUP($R539,Capa!$A:$AJ,BI$5,0),0),IF(ISERROR(1/VLOOKUP($R539,Capa!$A:$AJ,BI$5,0)),0,1/VLOOKUP($R539,Capa!$A:$AJ,BI$5,0))))</f>
        <v/>
      </c>
      <c r="BJ539" s="174" t="str">
        <f>IF(BJ$6="","",IF(BJ$3="Maior",iferror(VLOOKUP($R539,Capa!$A:$AJ,BJ$5,0),0),IF(ISERROR(1/VLOOKUP($R539,Capa!$A:$AJ,BJ$5,0)),0,1/VLOOKUP($R539,Capa!$A:$AJ,BJ$5,0))))</f>
        <v/>
      </c>
      <c r="BK539" s="174" t="str">
        <f>IF(BK$6="","",IF(BK$3="Maior",iferror(VLOOKUP($R539,Capa!$A:$AJ,BK$5,0),0),IF(ISERROR(1/VLOOKUP($R539,Capa!$A:$AJ,BK$5,0)),0,1/VLOOKUP($R539,Capa!$A:$AJ,BK$5,0))))</f>
        <v/>
      </c>
      <c r="BL539" s="174" t="str">
        <f>IF(BL$6="","",IF(BL$3="Maior",iferror(VLOOKUP($R539,Capa!$A:$AJ,BL$5,0),0),IF(ISERROR(1/VLOOKUP($R539,Capa!$A:$AJ,BL$5,0)),0,1/VLOOKUP($R539,Capa!$A:$AJ,BL$5,0))))</f>
        <v/>
      </c>
      <c r="BM539" s="174" t="str">
        <f>IF(BM$6="","",IF(BM$3="Maior",iferror(VLOOKUP($R539,Capa!$A:$AJ,BM$5,0),0),IF(ISERROR(1/VLOOKUP($R539,Capa!$A:$AJ,BM$5,0)),0,1/VLOOKUP($R539,Capa!$A:$AJ,BM$5,0))))</f>
        <v/>
      </c>
      <c r="BN539" s="174" t="str">
        <f>IF(BN$6="","",IF(BN$3="Maior",iferror(VLOOKUP($R539,Capa!$A:$AJ,BN$5,0),0),IF(ISERROR(1/VLOOKUP($R539,Capa!$A:$AJ,BN$5,0)),0,1/VLOOKUP($R539,Capa!$A:$AJ,BN$5,0))))</f>
        <v/>
      </c>
      <c r="BO539" s="174" t="str">
        <f>IF(BO$6="","",IF(BO$3="Maior",iferror(VLOOKUP($R539,Capa!$A:$AJ,BO$5,0),0),IF(ISERROR(1/VLOOKUP($R539,Capa!$A:$AJ,BO$5,0)),0,1/VLOOKUP($R539,Capa!$A:$AJ,BO$5,0))))</f>
        <v/>
      </c>
      <c r="BP539" s="174" t="str">
        <f>IF(BP$6="","",IF(BP$3="Maior",iferror(VLOOKUP($R539,Capa!$A:$AJ,BP$5,0),0),IF(ISERROR(1/VLOOKUP($R539,Capa!$A:$AJ,BP$5,0)),0,1/VLOOKUP($R539,Capa!$A:$AJ,BP$5,0))))</f>
        <v/>
      </c>
      <c r="BQ539" s="174" t="str">
        <f>IF(BQ$6="","",IF(BQ$3="Maior",iferror(VLOOKUP($R539,Capa!$A:$AJ,BQ$5,0),0),IF(ISERROR(1/VLOOKUP($R539,Capa!$A:$AJ,BQ$5,0)),0,1/VLOOKUP($R539,Capa!$A:$AJ,BQ$5,0))))</f>
        <v/>
      </c>
      <c r="BR539" s="175"/>
      <c r="BS539" s="147"/>
    </row>
    <row r="540">
      <c r="H540" s="8">
        <v>534.0</v>
      </c>
      <c r="I540" s="165" t="str">
        <f t="shared" si="6"/>
        <v>MSPA3</v>
      </c>
      <c r="J540" s="166" t="str">
        <f>(VLOOKUP($I540,Capa!$A:$B,2,0))</f>
        <v>Companhia Melhoramentos de Sao Paulo</v>
      </c>
      <c r="K540" s="167" t="str">
        <f>VLOOKUP(left(I540,4),Setor!A:D,3,0)&amp;" | "&amp;VLOOKUP(left(I540,4),Setor!A:D,4,0)</f>
        <v>Materiais Básicos | Madeira e Papel</v>
      </c>
      <c r="L540" s="168">
        <f>(VLOOKUP($I540,Capa!$A:$F,6,0))</f>
        <v>47</v>
      </c>
      <c r="M540" s="168">
        <f t="shared" si="7"/>
        <v>0</v>
      </c>
      <c r="N540" s="11" t="str">
        <f>(VLOOKUP($I540,Capa!$A:$H,7,0))</f>
        <v/>
      </c>
      <c r="O540" s="169" t="str">
        <f>(VLOOKUP($I540,Capa!$A:$H,8,0))</f>
        <v/>
      </c>
      <c r="P540" s="11" t="str">
        <f>IFERROR(__xludf.DUMMYFUNCTION("(VLOOKUP($I540,Capa!$A:$J,10,0))"),"")</f>
        <v/>
      </c>
      <c r="Q540" s="169" t="str">
        <f>(VLOOKUP($I540,Capa!$A:$K,11,0))</f>
        <v/>
      </c>
      <c r="R540" s="45" t="str">
        <f>'Dados StatusInvest'!A535</f>
        <v>SOJA3</v>
      </c>
      <c r="S540" s="170">
        <f t="shared" si="234"/>
        <v>458.0458</v>
      </c>
      <c r="T540" s="171">
        <f>VLOOKUP(R540,'Dados StatusInvest'!A:Z,26,0)</f>
        <v>7825007</v>
      </c>
      <c r="U540" s="172">
        <f t="shared" ref="U540:AS540" si="543">IF(AT540="","", RANK(AT540,AT$7:AT$626,0)+RANK(AT540,AT$7:AT$626,0)/10000)</f>
        <v>379.0379</v>
      </c>
      <c r="V540" s="172">
        <f t="shared" si="543"/>
        <v>79.0079</v>
      </c>
      <c r="W540" s="172" t="str">
        <f t="shared" si="543"/>
        <v/>
      </c>
      <c r="X540" s="172" t="str">
        <f t="shared" si="543"/>
        <v/>
      </c>
      <c r="Y540" s="172" t="str">
        <f t="shared" si="543"/>
        <v/>
      </c>
      <c r="Z540" s="172" t="str">
        <f t="shared" si="543"/>
        <v/>
      </c>
      <c r="AA540" s="172" t="str">
        <f t="shared" si="543"/>
        <v/>
      </c>
      <c r="AB540" s="172" t="str">
        <f t="shared" si="543"/>
        <v/>
      </c>
      <c r="AC540" s="172" t="str">
        <f t="shared" si="543"/>
        <v/>
      </c>
      <c r="AD540" s="172" t="str">
        <f t="shared" si="543"/>
        <v/>
      </c>
      <c r="AE540" s="172" t="str">
        <f t="shared" si="543"/>
        <v/>
      </c>
      <c r="AF540" s="172" t="str">
        <f t="shared" si="543"/>
        <v/>
      </c>
      <c r="AG540" s="172" t="str">
        <f t="shared" si="543"/>
        <v/>
      </c>
      <c r="AH540" s="172" t="str">
        <f t="shared" si="543"/>
        <v/>
      </c>
      <c r="AI540" s="172" t="str">
        <f t="shared" si="543"/>
        <v/>
      </c>
      <c r="AJ540" s="172" t="str">
        <f t="shared" si="543"/>
        <v/>
      </c>
      <c r="AK540" s="172" t="str">
        <f t="shared" si="543"/>
        <v/>
      </c>
      <c r="AL540" s="172" t="str">
        <f t="shared" si="543"/>
        <v/>
      </c>
      <c r="AM540" s="172" t="str">
        <f t="shared" si="543"/>
        <v/>
      </c>
      <c r="AN540" s="172" t="str">
        <f t="shared" si="543"/>
        <v/>
      </c>
      <c r="AO540" s="172" t="str">
        <f t="shared" si="543"/>
        <v/>
      </c>
      <c r="AP540" s="172" t="str">
        <f t="shared" si="543"/>
        <v/>
      </c>
      <c r="AQ540" s="172" t="str">
        <f t="shared" si="543"/>
        <v/>
      </c>
      <c r="AR540" s="172" t="str">
        <f t="shared" si="543"/>
        <v/>
      </c>
      <c r="AS540" s="172" t="str">
        <f t="shared" si="543"/>
        <v/>
      </c>
      <c r="AT540" s="173">
        <f>IF(AT$6="","",IF(AT$3="Maior",iferror(VLOOKUP($R540,Capa!$A:$AJ,AT$5,0),0),IF(ISERROR(1/VLOOKUP($R540,Capa!$A:$AJ,AT$5,0)),0,1/VLOOKUP($R540,Capa!$A:$AJ,AT$5,0))))</f>
        <v>-1.171518765</v>
      </c>
      <c r="AU540" s="174">
        <f>IF(AU$6="","",IF(AU$3="Maior",iferror(VLOOKUP($R540,Capa!$A:$AJ,AU$5,0),0),IF(ISERROR(1/VLOOKUP($R540,Capa!$A:$AJ,AU$5,0)),0,1/VLOOKUP($R540,Capa!$A:$AJ,AU$5,0))))</f>
        <v>30.59</v>
      </c>
      <c r="AV540" s="174" t="str">
        <f>IF(AV$6="","",IF(AV$3="Maior",iferror(VLOOKUP($R540,Capa!$A:$AJ,AV$5,0),0),IF(ISERROR(1/VLOOKUP($R540,Capa!$A:$AJ,AV$5,0)),0,1/VLOOKUP($R540,Capa!$A:$AJ,AV$5,0))))</f>
        <v/>
      </c>
      <c r="AW540" s="174" t="str">
        <f>IF(AW$6="","",IF(AW$3="Maior",iferror(VLOOKUP($R540,Capa!$A:$AJ,AW$5,0),0),IF(ISERROR(1/VLOOKUP($R540,Capa!$A:$AJ,AW$5,0)),0,1/VLOOKUP($R540,Capa!$A:$AJ,AW$5,0))))</f>
        <v/>
      </c>
      <c r="AX540" s="174" t="str">
        <f>IF(AX$6="","",IF(AX$3="Maior",iferror(VLOOKUP($R540,Capa!$A:$AJ,AX$5,0),0),IF(ISERROR(1/VLOOKUP($R540,Capa!$A:$AJ,AX$5,0)),0,1/VLOOKUP($R540,Capa!$A:$AJ,AX$5,0))))</f>
        <v/>
      </c>
      <c r="AY540" s="174" t="str">
        <f>IF(AY$6="","",IF(AY$3="Maior",iferror(VLOOKUP($R540,Capa!$A:$AJ,AY$5,0),0),IF(ISERROR(1/VLOOKUP($R540,Capa!$A:$AJ,AY$5,0)),0,1/VLOOKUP($R540,Capa!$A:$AJ,AY$5,0))))</f>
        <v/>
      </c>
      <c r="AZ540" s="174" t="str">
        <f>IF(AZ$6="","",IF(AZ$3="Maior",iferror(VLOOKUP($R540,Capa!$A:$AJ,AZ$5,0),0),IF(ISERROR(1/VLOOKUP($R540,Capa!$A:$AJ,AZ$5,0)),0,1/VLOOKUP($R540,Capa!$A:$AJ,AZ$5,0))))</f>
        <v/>
      </c>
      <c r="BA540" s="174" t="str">
        <f>IF(BA$6="","",IF(BA$3="Maior",iferror(VLOOKUP($R540,Capa!$A:$AJ,BA$5,0),0),IF(ISERROR(1/VLOOKUP($R540,Capa!$A:$AJ,BA$5,0)),0,1/VLOOKUP($R540,Capa!$A:$AJ,BA$5,0))))</f>
        <v/>
      </c>
      <c r="BB540" s="174" t="str">
        <f>IF(BB$6="","",IF(BB$3="Maior",iferror(VLOOKUP($R540,Capa!$A:$AJ,BB$5,0),0),IF(ISERROR(1/VLOOKUP($R540,Capa!$A:$AJ,BB$5,0)),0,1/VLOOKUP($R540,Capa!$A:$AJ,BB$5,0))))</f>
        <v/>
      </c>
      <c r="BC540" s="174" t="str">
        <f>IF(BC$6="","",IF(BC$3="Maior",iferror(VLOOKUP($R540,Capa!$A:$AJ,BC$5,0),0),IF(ISERROR(1/VLOOKUP($R540,Capa!$A:$AJ,BC$5,0)),0,1/VLOOKUP($R540,Capa!$A:$AJ,BC$5,0))))</f>
        <v/>
      </c>
      <c r="BD540" s="174" t="str">
        <f>IF(BD$6="","",IF(BD$3="Maior",iferror(VLOOKUP($R540,Capa!$A:$AJ,BD$5,0),0),IF(ISERROR(1/VLOOKUP($R540,Capa!$A:$AJ,BD$5,0)),0,1/VLOOKUP($R540,Capa!$A:$AJ,BD$5,0))))</f>
        <v/>
      </c>
      <c r="BE540" s="174" t="str">
        <f>IF(BE$6="","",IF(BE$3="Maior",iferror(VLOOKUP($R540,Capa!$A:$AJ,BE$5,0),0),IF(ISERROR(1/VLOOKUP($R540,Capa!$A:$AJ,BE$5,0)),0,1/VLOOKUP($R540,Capa!$A:$AJ,BE$5,0))))</f>
        <v/>
      </c>
      <c r="BF540" s="174" t="str">
        <f>IF(BF$6="","",IF(BF$3="Maior",iferror(VLOOKUP($R540,Capa!$A:$AJ,BF$5,0),0),IF(ISERROR(1/VLOOKUP($R540,Capa!$A:$AJ,BF$5,0)),0,1/VLOOKUP($R540,Capa!$A:$AJ,BF$5,0))))</f>
        <v/>
      </c>
      <c r="BG540" s="174" t="str">
        <f>IF(BG$6="","",IF(BG$3="Maior",iferror(VLOOKUP($R540,Capa!$A:$AJ,BG$5,0),0),IF(ISERROR(1/VLOOKUP($R540,Capa!$A:$AJ,BG$5,0)),0,1/VLOOKUP($R540,Capa!$A:$AJ,BG$5,0))))</f>
        <v/>
      </c>
      <c r="BH540" s="174" t="str">
        <f>IF(BH$6="","",IF(BH$3="Maior",iferror(VLOOKUP($R540,Capa!$A:$AJ,BH$5,0),0),IF(ISERROR(1/VLOOKUP($R540,Capa!$A:$AJ,BH$5,0)),0,1/VLOOKUP($R540,Capa!$A:$AJ,BH$5,0))))</f>
        <v/>
      </c>
      <c r="BI540" s="174" t="str">
        <f>IF(BI$6="","",IF(BI$3="Maior",iferror(VLOOKUP($R540,Capa!$A:$AJ,BI$5,0),0),IF(ISERROR(1/VLOOKUP($R540,Capa!$A:$AJ,BI$5,0)),0,1/VLOOKUP($R540,Capa!$A:$AJ,BI$5,0))))</f>
        <v/>
      </c>
      <c r="BJ540" s="174" t="str">
        <f>IF(BJ$6="","",IF(BJ$3="Maior",iferror(VLOOKUP($R540,Capa!$A:$AJ,BJ$5,0),0),IF(ISERROR(1/VLOOKUP($R540,Capa!$A:$AJ,BJ$5,0)),0,1/VLOOKUP($R540,Capa!$A:$AJ,BJ$5,0))))</f>
        <v/>
      </c>
      <c r="BK540" s="174" t="str">
        <f>IF(BK$6="","",IF(BK$3="Maior",iferror(VLOOKUP($R540,Capa!$A:$AJ,BK$5,0),0),IF(ISERROR(1/VLOOKUP($R540,Capa!$A:$AJ,BK$5,0)),0,1/VLOOKUP($R540,Capa!$A:$AJ,BK$5,0))))</f>
        <v/>
      </c>
      <c r="BL540" s="174" t="str">
        <f>IF(BL$6="","",IF(BL$3="Maior",iferror(VLOOKUP($R540,Capa!$A:$AJ,BL$5,0),0),IF(ISERROR(1/VLOOKUP($R540,Capa!$A:$AJ,BL$5,0)),0,1/VLOOKUP($R540,Capa!$A:$AJ,BL$5,0))))</f>
        <v/>
      </c>
      <c r="BM540" s="174" t="str">
        <f>IF(BM$6="","",IF(BM$3="Maior",iferror(VLOOKUP($R540,Capa!$A:$AJ,BM$5,0),0),IF(ISERROR(1/VLOOKUP($R540,Capa!$A:$AJ,BM$5,0)),0,1/VLOOKUP($R540,Capa!$A:$AJ,BM$5,0))))</f>
        <v/>
      </c>
      <c r="BN540" s="174" t="str">
        <f>IF(BN$6="","",IF(BN$3="Maior",iferror(VLOOKUP($R540,Capa!$A:$AJ,BN$5,0),0),IF(ISERROR(1/VLOOKUP($R540,Capa!$A:$AJ,BN$5,0)),0,1/VLOOKUP($R540,Capa!$A:$AJ,BN$5,0))))</f>
        <v/>
      </c>
      <c r="BO540" s="174" t="str">
        <f>IF(BO$6="","",IF(BO$3="Maior",iferror(VLOOKUP($R540,Capa!$A:$AJ,BO$5,0),0),IF(ISERROR(1/VLOOKUP($R540,Capa!$A:$AJ,BO$5,0)),0,1/VLOOKUP($R540,Capa!$A:$AJ,BO$5,0))))</f>
        <v/>
      </c>
      <c r="BP540" s="174" t="str">
        <f>IF(BP$6="","",IF(BP$3="Maior",iferror(VLOOKUP($R540,Capa!$A:$AJ,BP$5,0),0),IF(ISERROR(1/VLOOKUP($R540,Capa!$A:$AJ,BP$5,0)),0,1/VLOOKUP($R540,Capa!$A:$AJ,BP$5,0))))</f>
        <v/>
      </c>
      <c r="BQ540" s="174" t="str">
        <f>IF(BQ$6="","",IF(BQ$3="Maior",iferror(VLOOKUP($R540,Capa!$A:$AJ,BQ$5,0),0),IF(ISERROR(1/VLOOKUP($R540,Capa!$A:$AJ,BQ$5,0)),0,1/VLOOKUP($R540,Capa!$A:$AJ,BQ$5,0))))</f>
        <v/>
      </c>
      <c r="BR540" s="175"/>
      <c r="BS540" s="147"/>
    </row>
    <row r="541">
      <c r="H541" s="8">
        <v>535.0</v>
      </c>
      <c r="I541" s="165" t="str">
        <f t="shared" si="6"/>
        <v>CEED4</v>
      </c>
      <c r="J541" s="166" t="str">
        <f>(VLOOKUP($I541,Capa!$A:$B,2,0))</f>
        <v>Companhia Estadual de Distribuicao Preference Shares</v>
      </c>
      <c r="K541" s="167" t="str">
        <f>VLOOKUP(left(I541,4),Setor!A:D,3,0)&amp;" | "&amp;VLOOKUP(left(I541,4),Setor!A:D,4,0)</f>
        <v>Utilidade Pública | Energia Elétrica</v>
      </c>
      <c r="L541" s="168">
        <f>(VLOOKUP($I541,Capa!$A:$F,6,0))</f>
        <v>20</v>
      </c>
      <c r="M541" s="168">
        <f t="shared" si="7"/>
        <v>0</v>
      </c>
      <c r="N541" s="11" t="str">
        <f>(VLOOKUP($I541,Capa!$A:$H,7,0))</f>
        <v/>
      </c>
      <c r="O541" s="169" t="str">
        <f>(VLOOKUP($I541,Capa!$A:$H,8,0))</f>
        <v/>
      </c>
      <c r="P541" s="11" t="str">
        <f>IFERROR(__xludf.DUMMYFUNCTION("(VLOOKUP($I541,Capa!$A:$J,10,0))"),"")</f>
        <v/>
      </c>
      <c r="Q541" s="169" t="str">
        <f>(VLOOKUP($I541,Capa!$A:$K,11,0))</f>
        <v/>
      </c>
      <c r="R541" s="45" t="str">
        <f>'Dados StatusInvest'!A536</f>
        <v>SOMA3</v>
      </c>
      <c r="S541" s="170">
        <f t="shared" si="234"/>
        <v>231.0231</v>
      </c>
      <c r="T541" s="171">
        <f>VLOOKUP(R541,'Dados StatusInvest'!A:Z,26,0)</f>
        <v>99716529</v>
      </c>
      <c r="U541" s="172">
        <f t="shared" ref="U541:AS541" si="544">IF(AT541="","", RANK(AT541,AT$7:AT$626,0)+RANK(AT541,AT$7:AT$626,0)/10000)</f>
        <v>223.0223</v>
      </c>
      <c r="V541" s="172">
        <f t="shared" si="544"/>
        <v>8.0008</v>
      </c>
      <c r="W541" s="172" t="str">
        <f t="shared" si="544"/>
        <v/>
      </c>
      <c r="X541" s="172" t="str">
        <f t="shared" si="544"/>
        <v/>
      </c>
      <c r="Y541" s="172" t="str">
        <f t="shared" si="544"/>
        <v/>
      </c>
      <c r="Z541" s="172" t="str">
        <f t="shared" si="544"/>
        <v/>
      </c>
      <c r="AA541" s="172" t="str">
        <f t="shared" si="544"/>
        <v/>
      </c>
      <c r="AB541" s="172" t="str">
        <f t="shared" si="544"/>
        <v/>
      </c>
      <c r="AC541" s="172" t="str">
        <f t="shared" si="544"/>
        <v/>
      </c>
      <c r="AD541" s="172" t="str">
        <f t="shared" si="544"/>
        <v/>
      </c>
      <c r="AE541" s="172" t="str">
        <f t="shared" si="544"/>
        <v/>
      </c>
      <c r="AF541" s="172" t="str">
        <f t="shared" si="544"/>
        <v/>
      </c>
      <c r="AG541" s="172" t="str">
        <f t="shared" si="544"/>
        <v/>
      </c>
      <c r="AH541" s="172" t="str">
        <f t="shared" si="544"/>
        <v/>
      </c>
      <c r="AI541" s="172" t="str">
        <f t="shared" si="544"/>
        <v/>
      </c>
      <c r="AJ541" s="172" t="str">
        <f t="shared" si="544"/>
        <v/>
      </c>
      <c r="AK541" s="172" t="str">
        <f t="shared" si="544"/>
        <v/>
      </c>
      <c r="AL541" s="172" t="str">
        <f t="shared" si="544"/>
        <v/>
      </c>
      <c r="AM541" s="172" t="str">
        <f t="shared" si="544"/>
        <v/>
      </c>
      <c r="AN541" s="172" t="str">
        <f t="shared" si="544"/>
        <v/>
      </c>
      <c r="AO541" s="172" t="str">
        <f t="shared" si="544"/>
        <v/>
      </c>
      <c r="AP541" s="172" t="str">
        <f t="shared" si="544"/>
        <v/>
      </c>
      <c r="AQ541" s="172" t="str">
        <f t="shared" si="544"/>
        <v/>
      </c>
      <c r="AR541" s="172" t="str">
        <f t="shared" si="544"/>
        <v/>
      </c>
      <c r="AS541" s="172" t="str">
        <f t="shared" si="544"/>
        <v/>
      </c>
      <c r="AT541" s="173">
        <f>IF(AT$6="","",IF(AT$3="Maior",iferror(VLOOKUP($R541,Capa!$A:$AJ,AT$5,0),0),IF(ISERROR(1/VLOOKUP($R541,Capa!$A:$AJ,AT$5,0)),0,1/VLOOKUP($R541,Capa!$A:$AJ,AT$5,0))))</f>
        <v>-0.350877193</v>
      </c>
      <c r="AU541" s="174">
        <f>IF(AU$6="","",IF(AU$3="Maior",iferror(VLOOKUP($R541,Capa!$A:$AJ,AU$5,0),0),IF(ISERROR(1/VLOOKUP($R541,Capa!$A:$AJ,AU$5,0)),0,1/VLOOKUP($R541,Capa!$A:$AJ,AU$5,0))))</f>
        <v>80.87</v>
      </c>
      <c r="AV541" s="174" t="str">
        <f>IF(AV$6="","",IF(AV$3="Maior",iferror(VLOOKUP($R541,Capa!$A:$AJ,AV$5,0),0),IF(ISERROR(1/VLOOKUP($R541,Capa!$A:$AJ,AV$5,0)),0,1/VLOOKUP($R541,Capa!$A:$AJ,AV$5,0))))</f>
        <v/>
      </c>
      <c r="AW541" s="174" t="str">
        <f>IF(AW$6="","",IF(AW$3="Maior",iferror(VLOOKUP($R541,Capa!$A:$AJ,AW$5,0),0),IF(ISERROR(1/VLOOKUP($R541,Capa!$A:$AJ,AW$5,0)),0,1/VLOOKUP($R541,Capa!$A:$AJ,AW$5,0))))</f>
        <v/>
      </c>
      <c r="AX541" s="174" t="str">
        <f>IF(AX$6="","",IF(AX$3="Maior",iferror(VLOOKUP($R541,Capa!$A:$AJ,AX$5,0),0),IF(ISERROR(1/VLOOKUP($R541,Capa!$A:$AJ,AX$5,0)),0,1/VLOOKUP($R541,Capa!$A:$AJ,AX$5,0))))</f>
        <v/>
      </c>
      <c r="AY541" s="174" t="str">
        <f>IF(AY$6="","",IF(AY$3="Maior",iferror(VLOOKUP($R541,Capa!$A:$AJ,AY$5,0),0),IF(ISERROR(1/VLOOKUP($R541,Capa!$A:$AJ,AY$5,0)),0,1/VLOOKUP($R541,Capa!$A:$AJ,AY$5,0))))</f>
        <v/>
      </c>
      <c r="AZ541" s="174" t="str">
        <f>IF(AZ$6="","",IF(AZ$3="Maior",iferror(VLOOKUP($R541,Capa!$A:$AJ,AZ$5,0),0),IF(ISERROR(1/VLOOKUP($R541,Capa!$A:$AJ,AZ$5,0)),0,1/VLOOKUP($R541,Capa!$A:$AJ,AZ$5,0))))</f>
        <v/>
      </c>
      <c r="BA541" s="174" t="str">
        <f>IF(BA$6="","",IF(BA$3="Maior",iferror(VLOOKUP($R541,Capa!$A:$AJ,BA$5,0),0),IF(ISERROR(1/VLOOKUP($R541,Capa!$A:$AJ,BA$5,0)),0,1/VLOOKUP($R541,Capa!$A:$AJ,BA$5,0))))</f>
        <v/>
      </c>
      <c r="BB541" s="174" t="str">
        <f>IF(BB$6="","",IF(BB$3="Maior",iferror(VLOOKUP($R541,Capa!$A:$AJ,BB$5,0),0),IF(ISERROR(1/VLOOKUP($R541,Capa!$A:$AJ,BB$5,0)),0,1/VLOOKUP($R541,Capa!$A:$AJ,BB$5,0))))</f>
        <v/>
      </c>
      <c r="BC541" s="174" t="str">
        <f>IF(BC$6="","",IF(BC$3="Maior",iferror(VLOOKUP($R541,Capa!$A:$AJ,BC$5,0),0),IF(ISERROR(1/VLOOKUP($R541,Capa!$A:$AJ,BC$5,0)),0,1/VLOOKUP($R541,Capa!$A:$AJ,BC$5,0))))</f>
        <v/>
      </c>
      <c r="BD541" s="174" t="str">
        <f>IF(BD$6="","",IF(BD$3="Maior",iferror(VLOOKUP($R541,Capa!$A:$AJ,BD$5,0),0),IF(ISERROR(1/VLOOKUP($R541,Capa!$A:$AJ,BD$5,0)),0,1/VLOOKUP($R541,Capa!$A:$AJ,BD$5,0))))</f>
        <v/>
      </c>
      <c r="BE541" s="174" t="str">
        <f>IF(BE$6="","",IF(BE$3="Maior",iferror(VLOOKUP($R541,Capa!$A:$AJ,BE$5,0),0),IF(ISERROR(1/VLOOKUP($R541,Capa!$A:$AJ,BE$5,0)),0,1/VLOOKUP($R541,Capa!$A:$AJ,BE$5,0))))</f>
        <v/>
      </c>
      <c r="BF541" s="174" t="str">
        <f>IF(BF$6="","",IF(BF$3="Maior",iferror(VLOOKUP($R541,Capa!$A:$AJ,BF$5,0),0),IF(ISERROR(1/VLOOKUP($R541,Capa!$A:$AJ,BF$5,0)),0,1/VLOOKUP($R541,Capa!$A:$AJ,BF$5,0))))</f>
        <v/>
      </c>
      <c r="BG541" s="174" t="str">
        <f>IF(BG$6="","",IF(BG$3="Maior",iferror(VLOOKUP($R541,Capa!$A:$AJ,BG$5,0),0),IF(ISERROR(1/VLOOKUP($R541,Capa!$A:$AJ,BG$5,0)),0,1/VLOOKUP($R541,Capa!$A:$AJ,BG$5,0))))</f>
        <v/>
      </c>
      <c r="BH541" s="174" t="str">
        <f>IF(BH$6="","",IF(BH$3="Maior",iferror(VLOOKUP($R541,Capa!$A:$AJ,BH$5,0),0),IF(ISERROR(1/VLOOKUP($R541,Capa!$A:$AJ,BH$5,0)),0,1/VLOOKUP($R541,Capa!$A:$AJ,BH$5,0))))</f>
        <v/>
      </c>
      <c r="BI541" s="174" t="str">
        <f>IF(BI$6="","",IF(BI$3="Maior",iferror(VLOOKUP($R541,Capa!$A:$AJ,BI$5,0),0),IF(ISERROR(1/VLOOKUP($R541,Capa!$A:$AJ,BI$5,0)),0,1/VLOOKUP($R541,Capa!$A:$AJ,BI$5,0))))</f>
        <v/>
      </c>
      <c r="BJ541" s="174" t="str">
        <f>IF(BJ$6="","",IF(BJ$3="Maior",iferror(VLOOKUP($R541,Capa!$A:$AJ,BJ$5,0),0),IF(ISERROR(1/VLOOKUP($R541,Capa!$A:$AJ,BJ$5,0)),0,1/VLOOKUP($R541,Capa!$A:$AJ,BJ$5,0))))</f>
        <v/>
      </c>
      <c r="BK541" s="174" t="str">
        <f>IF(BK$6="","",IF(BK$3="Maior",iferror(VLOOKUP($R541,Capa!$A:$AJ,BK$5,0),0),IF(ISERROR(1/VLOOKUP($R541,Capa!$A:$AJ,BK$5,0)),0,1/VLOOKUP($R541,Capa!$A:$AJ,BK$5,0))))</f>
        <v/>
      </c>
      <c r="BL541" s="174" t="str">
        <f>IF(BL$6="","",IF(BL$3="Maior",iferror(VLOOKUP($R541,Capa!$A:$AJ,BL$5,0),0),IF(ISERROR(1/VLOOKUP($R541,Capa!$A:$AJ,BL$5,0)),0,1/VLOOKUP($R541,Capa!$A:$AJ,BL$5,0))))</f>
        <v/>
      </c>
      <c r="BM541" s="174" t="str">
        <f>IF(BM$6="","",IF(BM$3="Maior",iferror(VLOOKUP($R541,Capa!$A:$AJ,BM$5,0),0),IF(ISERROR(1/VLOOKUP($R541,Capa!$A:$AJ,BM$5,0)),0,1/VLOOKUP($R541,Capa!$A:$AJ,BM$5,0))))</f>
        <v/>
      </c>
      <c r="BN541" s="174" t="str">
        <f>IF(BN$6="","",IF(BN$3="Maior",iferror(VLOOKUP($R541,Capa!$A:$AJ,BN$5,0),0),IF(ISERROR(1/VLOOKUP($R541,Capa!$A:$AJ,BN$5,0)),0,1/VLOOKUP($R541,Capa!$A:$AJ,BN$5,0))))</f>
        <v/>
      </c>
      <c r="BO541" s="174" t="str">
        <f>IF(BO$6="","",IF(BO$3="Maior",iferror(VLOOKUP($R541,Capa!$A:$AJ,BO$5,0),0),IF(ISERROR(1/VLOOKUP($R541,Capa!$A:$AJ,BO$5,0)),0,1/VLOOKUP($R541,Capa!$A:$AJ,BO$5,0))))</f>
        <v/>
      </c>
      <c r="BP541" s="174" t="str">
        <f>IF(BP$6="","",IF(BP$3="Maior",iferror(VLOOKUP($R541,Capa!$A:$AJ,BP$5,0),0),IF(ISERROR(1/VLOOKUP($R541,Capa!$A:$AJ,BP$5,0)),0,1/VLOOKUP($R541,Capa!$A:$AJ,BP$5,0))))</f>
        <v/>
      </c>
      <c r="BQ541" s="174" t="str">
        <f>IF(BQ$6="","",IF(BQ$3="Maior",iferror(VLOOKUP($R541,Capa!$A:$AJ,BQ$5,0),0),IF(ISERROR(1/VLOOKUP($R541,Capa!$A:$AJ,BQ$5,0)),0,1/VLOOKUP($R541,Capa!$A:$AJ,BQ$5,0))))</f>
        <v/>
      </c>
      <c r="BR541" s="175"/>
      <c r="BS541" s="147"/>
    </row>
    <row r="542">
      <c r="H542" s="8">
        <v>536.0</v>
      </c>
      <c r="I542" s="165" t="str">
        <f t="shared" si="6"/>
        <v>HBTS5</v>
      </c>
      <c r="J542" s="166" t="str">
        <f>(VLOOKUP($I542,Capa!$A:$B,2,0))</f>
        <v>Companhia Habitasul de Participacoes Preference Shares Class A</v>
      </c>
      <c r="K542" s="167" t="str">
        <f>VLOOKUP(left(I542,4),Setor!A:D,3,0)&amp;" | "&amp;VLOOKUP(left(I542,4),Setor!A:D,4,0)</f>
        <v>Financeiro | Exploração de Imóveis</v>
      </c>
      <c r="L542" s="168">
        <f>(VLOOKUP($I542,Capa!$A:$F,6,0))</f>
        <v>36.97</v>
      </c>
      <c r="M542" s="168">
        <f t="shared" si="7"/>
        <v>4284.21</v>
      </c>
      <c r="N542" s="11" t="str">
        <f>IFERROR(__xludf.DUMMYFUNCTION("(VLOOKUP($I542,Capa!$A:$H,7,0))"),"")</f>
        <v/>
      </c>
      <c r="O542" s="169">
        <f>(VLOOKUP($I542,Capa!$A:$H,8,0))</f>
        <v>0.1736507937</v>
      </c>
      <c r="P542" s="11" t="str">
        <f>IFERROR(__xludf.DUMMYFUNCTION("(VLOOKUP($I542,Capa!$A:$J,10,0))"),"")</f>
        <v/>
      </c>
      <c r="Q542" s="169">
        <f>(VLOOKUP($I542,Capa!$A:$K,11,0))</f>
        <v>0.368752314</v>
      </c>
      <c r="R542" s="45" t="str">
        <f>'Dados StatusInvest'!A537</f>
        <v>SOND3</v>
      </c>
      <c r="S542" s="170">
        <f t="shared" si="234"/>
        <v>1288.0288</v>
      </c>
      <c r="T542" s="171">
        <f>VLOOKUP(R542,'Dados StatusInvest'!A:Z,26,0)</f>
        <v>3866</v>
      </c>
      <c r="U542" s="172">
        <f t="shared" ref="U542:AS542" si="545">IF(AT542="","", RANK(AT542,AT$7:AT$626,0)+RANK(AT542,AT$7:AT$626,0)/10000)</f>
        <v>258.0258</v>
      </c>
      <c r="V542" s="172">
        <f t="shared" si="545"/>
        <v>30.003</v>
      </c>
      <c r="W542" s="172" t="str">
        <f t="shared" si="545"/>
        <v/>
      </c>
      <c r="X542" s="172" t="str">
        <f t="shared" si="545"/>
        <v/>
      </c>
      <c r="Y542" s="172" t="str">
        <f t="shared" si="545"/>
        <v/>
      </c>
      <c r="Z542" s="172" t="str">
        <f t="shared" si="545"/>
        <v/>
      </c>
      <c r="AA542" s="172" t="str">
        <f t="shared" si="545"/>
        <v/>
      </c>
      <c r="AB542" s="172" t="str">
        <f t="shared" si="545"/>
        <v/>
      </c>
      <c r="AC542" s="172" t="str">
        <f t="shared" si="545"/>
        <v/>
      </c>
      <c r="AD542" s="172" t="str">
        <f t="shared" si="545"/>
        <v/>
      </c>
      <c r="AE542" s="172" t="str">
        <f t="shared" si="545"/>
        <v/>
      </c>
      <c r="AF542" s="172" t="str">
        <f t="shared" si="545"/>
        <v/>
      </c>
      <c r="AG542" s="172" t="str">
        <f t="shared" si="545"/>
        <v/>
      </c>
      <c r="AH542" s="172" t="str">
        <f t="shared" si="545"/>
        <v/>
      </c>
      <c r="AI542" s="172" t="str">
        <f t="shared" si="545"/>
        <v/>
      </c>
      <c r="AJ542" s="172" t="str">
        <f t="shared" si="545"/>
        <v/>
      </c>
      <c r="AK542" s="172" t="str">
        <f t="shared" si="545"/>
        <v/>
      </c>
      <c r="AL542" s="172" t="str">
        <f t="shared" si="545"/>
        <v/>
      </c>
      <c r="AM542" s="172" t="str">
        <f t="shared" si="545"/>
        <v/>
      </c>
      <c r="AN542" s="172" t="str">
        <f t="shared" si="545"/>
        <v/>
      </c>
      <c r="AO542" s="172" t="str">
        <f t="shared" si="545"/>
        <v/>
      </c>
      <c r="AP542" s="172" t="str">
        <f t="shared" si="545"/>
        <v/>
      </c>
      <c r="AQ542" s="172" t="str">
        <f t="shared" si="545"/>
        <v/>
      </c>
      <c r="AR542" s="172" t="str">
        <f t="shared" si="545"/>
        <v/>
      </c>
      <c r="AS542" s="172" t="str">
        <f t="shared" si="545"/>
        <v/>
      </c>
      <c r="AT542" s="173">
        <f>IF(AT$6="","",IF(AT$3="Maior",iferror(VLOOKUP($R542,Capa!$A:$AJ,AT$5,0),0),IF(ISERROR(1/VLOOKUP($R542,Capa!$A:$AJ,AT$5,0)),0,1/VLOOKUP($R542,Capa!$A:$AJ,AT$5,0))))</f>
        <v>-0.5208333333</v>
      </c>
      <c r="AU542" s="174">
        <f>IF(AU$6="","",IF(AU$3="Maior",iferror(VLOOKUP($R542,Capa!$A:$AJ,AU$5,0),0),IF(ISERROR(1/VLOOKUP($R542,Capa!$A:$AJ,AU$5,0)),0,1/VLOOKUP($R542,Capa!$A:$AJ,AU$5,0))))</f>
        <v>44.65</v>
      </c>
      <c r="AV542" s="174" t="str">
        <f>IF(AV$6="","",IF(AV$3="Maior",iferror(VLOOKUP($R542,Capa!$A:$AJ,AV$5,0),0),IF(ISERROR(1/VLOOKUP($R542,Capa!$A:$AJ,AV$5,0)),0,1/VLOOKUP($R542,Capa!$A:$AJ,AV$5,0))))</f>
        <v/>
      </c>
      <c r="AW542" s="174" t="str">
        <f>IF(AW$6="","",IF(AW$3="Maior",iferror(VLOOKUP($R542,Capa!$A:$AJ,AW$5,0),0),IF(ISERROR(1/VLOOKUP($R542,Capa!$A:$AJ,AW$5,0)),0,1/VLOOKUP($R542,Capa!$A:$AJ,AW$5,0))))</f>
        <v/>
      </c>
      <c r="AX542" s="174" t="str">
        <f>IF(AX$6="","",IF(AX$3="Maior",iferror(VLOOKUP($R542,Capa!$A:$AJ,AX$5,0),0),IF(ISERROR(1/VLOOKUP($R542,Capa!$A:$AJ,AX$5,0)),0,1/VLOOKUP($R542,Capa!$A:$AJ,AX$5,0))))</f>
        <v/>
      </c>
      <c r="AY542" s="174" t="str">
        <f>IF(AY$6="","",IF(AY$3="Maior",iferror(VLOOKUP($R542,Capa!$A:$AJ,AY$5,0),0),IF(ISERROR(1/VLOOKUP($R542,Capa!$A:$AJ,AY$5,0)),0,1/VLOOKUP($R542,Capa!$A:$AJ,AY$5,0))))</f>
        <v/>
      </c>
      <c r="AZ542" s="174" t="str">
        <f>IF(AZ$6="","",IF(AZ$3="Maior",iferror(VLOOKUP($R542,Capa!$A:$AJ,AZ$5,0),0),IF(ISERROR(1/VLOOKUP($R542,Capa!$A:$AJ,AZ$5,0)),0,1/VLOOKUP($R542,Capa!$A:$AJ,AZ$5,0))))</f>
        <v/>
      </c>
      <c r="BA542" s="174" t="str">
        <f>IF(BA$6="","",IF(BA$3="Maior",iferror(VLOOKUP($R542,Capa!$A:$AJ,BA$5,0),0),IF(ISERROR(1/VLOOKUP($R542,Capa!$A:$AJ,BA$5,0)),0,1/VLOOKUP($R542,Capa!$A:$AJ,BA$5,0))))</f>
        <v/>
      </c>
      <c r="BB542" s="174" t="str">
        <f>IF(BB$6="","",IF(BB$3="Maior",iferror(VLOOKUP($R542,Capa!$A:$AJ,BB$5,0),0),IF(ISERROR(1/VLOOKUP($R542,Capa!$A:$AJ,BB$5,0)),0,1/VLOOKUP($R542,Capa!$A:$AJ,BB$5,0))))</f>
        <v/>
      </c>
      <c r="BC542" s="174" t="str">
        <f>IF(BC$6="","",IF(BC$3="Maior",iferror(VLOOKUP($R542,Capa!$A:$AJ,BC$5,0),0),IF(ISERROR(1/VLOOKUP($R542,Capa!$A:$AJ,BC$5,0)),0,1/VLOOKUP($R542,Capa!$A:$AJ,BC$5,0))))</f>
        <v/>
      </c>
      <c r="BD542" s="174" t="str">
        <f>IF(BD$6="","",IF(BD$3="Maior",iferror(VLOOKUP($R542,Capa!$A:$AJ,BD$5,0),0),IF(ISERROR(1/VLOOKUP($R542,Capa!$A:$AJ,BD$5,0)),0,1/VLOOKUP($R542,Capa!$A:$AJ,BD$5,0))))</f>
        <v/>
      </c>
      <c r="BE542" s="174" t="str">
        <f>IF(BE$6="","",IF(BE$3="Maior",iferror(VLOOKUP($R542,Capa!$A:$AJ,BE$5,0),0),IF(ISERROR(1/VLOOKUP($R542,Capa!$A:$AJ,BE$5,0)),0,1/VLOOKUP($R542,Capa!$A:$AJ,BE$5,0))))</f>
        <v/>
      </c>
      <c r="BF542" s="174" t="str">
        <f>IF(BF$6="","",IF(BF$3="Maior",iferror(VLOOKUP($R542,Capa!$A:$AJ,BF$5,0),0),IF(ISERROR(1/VLOOKUP($R542,Capa!$A:$AJ,BF$5,0)),0,1/VLOOKUP($R542,Capa!$A:$AJ,BF$5,0))))</f>
        <v/>
      </c>
      <c r="BG542" s="174" t="str">
        <f>IF(BG$6="","",IF(BG$3="Maior",iferror(VLOOKUP($R542,Capa!$A:$AJ,BG$5,0),0),IF(ISERROR(1/VLOOKUP($R542,Capa!$A:$AJ,BG$5,0)),0,1/VLOOKUP($R542,Capa!$A:$AJ,BG$5,0))))</f>
        <v/>
      </c>
      <c r="BH542" s="174" t="str">
        <f>IF(BH$6="","",IF(BH$3="Maior",iferror(VLOOKUP($R542,Capa!$A:$AJ,BH$5,0),0),IF(ISERROR(1/VLOOKUP($R542,Capa!$A:$AJ,BH$5,0)),0,1/VLOOKUP($R542,Capa!$A:$AJ,BH$5,0))))</f>
        <v/>
      </c>
      <c r="BI542" s="174" t="str">
        <f>IF(BI$6="","",IF(BI$3="Maior",iferror(VLOOKUP($R542,Capa!$A:$AJ,BI$5,0),0),IF(ISERROR(1/VLOOKUP($R542,Capa!$A:$AJ,BI$5,0)),0,1/VLOOKUP($R542,Capa!$A:$AJ,BI$5,0))))</f>
        <v/>
      </c>
      <c r="BJ542" s="174" t="str">
        <f>IF(BJ$6="","",IF(BJ$3="Maior",iferror(VLOOKUP($R542,Capa!$A:$AJ,BJ$5,0),0),IF(ISERROR(1/VLOOKUP($R542,Capa!$A:$AJ,BJ$5,0)),0,1/VLOOKUP($R542,Capa!$A:$AJ,BJ$5,0))))</f>
        <v/>
      </c>
      <c r="BK542" s="174" t="str">
        <f>IF(BK$6="","",IF(BK$3="Maior",iferror(VLOOKUP($R542,Capa!$A:$AJ,BK$5,0),0),IF(ISERROR(1/VLOOKUP($R542,Capa!$A:$AJ,BK$5,0)),0,1/VLOOKUP($R542,Capa!$A:$AJ,BK$5,0))))</f>
        <v/>
      </c>
      <c r="BL542" s="174" t="str">
        <f>IF(BL$6="","",IF(BL$3="Maior",iferror(VLOOKUP($R542,Capa!$A:$AJ,BL$5,0),0),IF(ISERROR(1/VLOOKUP($R542,Capa!$A:$AJ,BL$5,0)),0,1/VLOOKUP($R542,Capa!$A:$AJ,BL$5,0))))</f>
        <v/>
      </c>
      <c r="BM542" s="174" t="str">
        <f>IF(BM$6="","",IF(BM$3="Maior",iferror(VLOOKUP($R542,Capa!$A:$AJ,BM$5,0),0),IF(ISERROR(1/VLOOKUP($R542,Capa!$A:$AJ,BM$5,0)),0,1/VLOOKUP($R542,Capa!$A:$AJ,BM$5,0))))</f>
        <v/>
      </c>
      <c r="BN542" s="174" t="str">
        <f>IF(BN$6="","",IF(BN$3="Maior",iferror(VLOOKUP($R542,Capa!$A:$AJ,BN$5,0),0),IF(ISERROR(1/VLOOKUP($R542,Capa!$A:$AJ,BN$5,0)),0,1/VLOOKUP($R542,Capa!$A:$AJ,BN$5,0))))</f>
        <v/>
      </c>
      <c r="BO542" s="174" t="str">
        <f>IF(BO$6="","",IF(BO$3="Maior",iferror(VLOOKUP($R542,Capa!$A:$AJ,BO$5,0),0),IF(ISERROR(1/VLOOKUP($R542,Capa!$A:$AJ,BO$5,0)),0,1/VLOOKUP($R542,Capa!$A:$AJ,BO$5,0))))</f>
        <v/>
      </c>
      <c r="BP542" s="174" t="str">
        <f>IF(BP$6="","",IF(BP$3="Maior",iferror(VLOOKUP($R542,Capa!$A:$AJ,BP$5,0),0),IF(ISERROR(1/VLOOKUP($R542,Capa!$A:$AJ,BP$5,0)),0,1/VLOOKUP($R542,Capa!$A:$AJ,BP$5,0))))</f>
        <v/>
      </c>
      <c r="BQ542" s="174" t="str">
        <f>IF(BQ$6="","",IF(BQ$3="Maior",iferror(VLOOKUP($R542,Capa!$A:$AJ,BQ$5,0),0),IF(ISERROR(1/VLOOKUP($R542,Capa!$A:$AJ,BQ$5,0)),0,1/VLOOKUP($R542,Capa!$A:$AJ,BQ$5,0))))</f>
        <v/>
      </c>
      <c r="BR542" s="175"/>
      <c r="BS542" s="147"/>
    </row>
    <row r="543">
      <c r="H543" s="8">
        <v>537.0</v>
      </c>
      <c r="I543" s="165" t="str">
        <f t="shared" si="6"/>
        <v>BGIP4</v>
      </c>
      <c r="J543" s="166" t="str">
        <f>(VLOOKUP($I543,Capa!$A:$B,2,0))</f>
        <v>Banco do Estado de Sergipe SA Preference Shares</v>
      </c>
      <c r="K543" s="167" t="str">
        <f>VLOOKUP(left(I543,4),Setor!A:D,3,0)&amp;" | "&amp;VLOOKUP(left(I543,4),Setor!A:D,4,0)</f>
        <v>Financeiro | Intermediários Financeiros</v>
      </c>
      <c r="L543" s="168">
        <f>(VLOOKUP($I543,Capa!$A:$F,6,0))</f>
        <v>34.88</v>
      </c>
      <c r="M543" s="168">
        <f t="shared" si="7"/>
        <v>90723.38</v>
      </c>
      <c r="N543" s="11" t="str">
        <f>IFERROR(__xludf.DUMMYFUNCTION("(VLOOKUP($I543,Capa!$A:$H,7,0))"),"")</f>
        <v/>
      </c>
      <c r="O543" s="169">
        <f>(VLOOKUP($I543,Capa!$A:$H,8,0))</f>
        <v>-0.09166666667</v>
      </c>
      <c r="P543" s="11" t="str">
        <f>IFERROR(__xludf.DUMMYFUNCTION("(VLOOKUP($I543,Capa!$A:$J,10,0))"),"")</f>
        <v/>
      </c>
      <c r="Q543" s="169">
        <f>(VLOOKUP($I543,Capa!$A:$K,11,0))</f>
        <v>0.4563674322</v>
      </c>
      <c r="R543" s="45" t="str">
        <f>'Dados StatusInvest'!A538</f>
        <v>SOND5</v>
      </c>
      <c r="S543" s="170">
        <f t="shared" si="234"/>
        <v>1237.0237</v>
      </c>
      <c r="T543" s="171">
        <f>VLOOKUP(R543,'Dados StatusInvest'!A:Z,26,0)</f>
        <v>8219.92</v>
      </c>
      <c r="U543" s="172">
        <f t="shared" ref="U543:AS543" si="546">IF(AT543="","", RANK(AT543,AT$7:AT$626,0)+RANK(AT543,AT$7:AT$626,0)/10000)</f>
        <v>207.0207</v>
      </c>
      <c r="V543" s="172">
        <f t="shared" si="546"/>
        <v>30.003</v>
      </c>
      <c r="W543" s="172" t="str">
        <f t="shared" si="546"/>
        <v/>
      </c>
      <c r="X543" s="172" t="str">
        <f t="shared" si="546"/>
        <v/>
      </c>
      <c r="Y543" s="172" t="str">
        <f t="shared" si="546"/>
        <v/>
      </c>
      <c r="Z543" s="172" t="str">
        <f t="shared" si="546"/>
        <v/>
      </c>
      <c r="AA543" s="172" t="str">
        <f t="shared" si="546"/>
        <v/>
      </c>
      <c r="AB543" s="172" t="str">
        <f t="shared" si="546"/>
        <v/>
      </c>
      <c r="AC543" s="172" t="str">
        <f t="shared" si="546"/>
        <v/>
      </c>
      <c r="AD543" s="172" t="str">
        <f t="shared" si="546"/>
        <v/>
      </c>
      <c r="AE543" s="172" t="str">
        <f t="shared" si="546"/>
        <v/>
      </c>
      <c r="AF543" s="172" t="str">
        <f t="shared" si="546"/>
        <v/>
      </c>
      <c r="AG543" s="172" t="str">
        <f t="shared" si="546"/>
        <v/>
      </c>
      <c r="AH543" s="172" t="str">
        <f t="shared" si="546"/>
        <v/>
      </c>
      <c r="AI543" s="172" t="str">
        <f t="shared" si="546"/>
        <v/>
      </c>
      <c r="AJ543" s="172" t="str">
        <f t="shared" si="546"/>
        <v/>
      </c>
      <c r="AK543" s="172" t="str">
        <f t="shared" si="546"/>
        <v/>
      </c>
      <c r="AL543" s="172" t="str">
        <f t="shared" si="546"/>
        <v/>
      </c>
      <c r="AM543" s="172" t="str">
        <f t="shared" si="546"/>
        <v/>
      </c>
      <c r="AN543" s="172" t="str">
        <f t="shared" si="546"/>
        <v/>
      </c>
      <c r="AO543" s="172" t="str">
        <f t="shared" si="546"/>
        <v/>
      </c>
      <c r="AP543" s="172" t="str">
        <f t="shared" si="546"/>
        <v/>
      </c>
      <c r="AQ543" s="172" t="str">
        <f t="shared" si="546"/>
        <v/>
      </c>
      <c r="AR543" s="172" t="str">
        <f t="shared" si="546"/>
        <v/>
      </c>
      <c r="AS543" s="172" t="str">
        <f t="shared" si="546"/>
        <v/>
      </c>
      <c r="AT543" s="173">
        <f>IF(AT$6="","",IF(AT$3="Maior",iferror(VLOOKUP($R543,Capa!$A:$AJ,AT$5,0),0),IF(ISERROR(1/VLOOKUP($R543,Capa!$A:$AJ,AT$5,0)),0,1/VLOOKUP($R543,Capa!$A:$AJ,AT$5,0))))</f>
        <v>-0.288184438</v>
      </c>
      <c r="AU543" s="174">
        <f>IF(AU$6="","",IF(AU$3="Maior",iferror(VLOOKUP($R543,Capa!$A:$AJ,AU$5,0),0),IF(ISERROR(1/VLOOKUP($R543,Capa!$A:$AJ,AU$5,0)),0,1/VLOOKUP($R543,Capa!$A:$AJ,AU$5,0))))</f>
        <v>44.65</v>
      </c>
      <c r="AV543" s="174" t="str">
        <f>IF(AV$6="","",IF(AV$3="Maior",iferror(VLOOKUP($R543,Capa!$A:$AJ,AV$5,0),0),IF(ISERROR(1/VLOOKUP($R543,Capa!$A:$AJ,AV$5,0)),0,1/VLOOKUP($R543,Capa!$A:$AJ,AV$5,0))))</f>
        <v/>
      </c>
      <c r="AW543" s="174" t="str">
        <f>IF(AW$6="","",IF(AW$3="Maior",iferror(VLOOKUP($R543,Capa!$A:$AJ,AW$5,0),0),IF(ISERROR(1/VLOOKUP($R543,Capa!$A:$AJ,AW$5,0)),0,1/VLOOKUP($R543,Capa!$A:$AJ,AW$5,0))))</f>
        <v/>
      </c>
      <c r="AX543" s="174" t="str">
        <f>IF(AX$6="","",IF(AX$3="Maior",iferror(VLOOKUP($R543,Capa!$A:$AJ,AX$5,0),0),IF(ISERROR(1/VLOOKUP($R543,Capa!$A:$AJ,AX$5,0)),0,1/VLOOKUP($R543,Capa!$A:$AJ,AX$5,0))))</f>
        <v/>
      </c>
      <c r="AY543" s="174" t="str">
        <f>IF(AY$6="","",IF(AY$3="Maior",iferror(VLOOKUP($R543,Capa!$A:$AJ,AY$5,0),0),IF(ISERROR(1/VLOOKUP($R543,Capa!$A:$AJ,AY$5,0)),0,1/VLOOKUP($R543,Capa!$A:$AJ,AY$5,0))))</f>
        <v/>
      </c>
      <c r="AZ543" s="174" t="str">
        <f>IF(AZ$6="","",IF(AZ$3="Maior",iferror(VLOOKUP($R543,Capa!$A:$AJ,AZ$5,0),0),IF(ISERROR(1/VLOOKUP($R543,Capa!$A:$AJ,AZ$5,0)),0,1/VLOOKUP($R543,Capa!$A:$AJ,AZ$5,0))))</f>
        <v/>
      </c>
      <c r="BA543" s="174" t="str">
        <f>IF(BA$6="","",IF(BA$3="Maior",iferror(VLOOKUP($R543,Capa!$A:$AJ,BA$5,0),0),IF(ISERROR(1/VLOOKUP($R543,Capa!$A:$AJ,BA$5,0)),0,1/VLOOKUP($R543,Capa!$A:$AJ,BA$5,0))))</f>
        <v/>
      </c>
      <c r="BB543" s="174" t="str">
        <f>IF(BB$6="","",IF(BB$3="Maior",iferror(VLOOKUP($R543,Capa!$A:$AJ,BB$5,0),0),IF(ISERROR(1/VLOOKUP($R543,Capa!$A:$AJ,BB$5,0)),0,1/VLOOKUP($R543,Capa!$A:$AJ,BB$5,0))))</f>
        <v/>
      </c>
      <c r="BC543" s="174" t="str">
        <f>IF(BC$6="","",IF(BC$3="Maior",iferror(VLOOKUP($R543,Capa!$A:$AJ,BC$5,0),0),IF(ISERROR(1/VLOOKUP($R543,Capa!$A:$AJ,BC$5,0)),0,1/VLOOKUP($R543,Capa!$A:$AJ,BC$5,0))))</f>
        <v/>
      </c>
      <c r="BD543" s="174" t="str">
        <f>IF(BD$6="","",IF(BD$3="Maior",iferror(VLOOKUP($R543,Capa!$A:$AJ,BD$5,0),0),IF(ISERROR(1/VLOOKUP($R543,Capa!$A:$AJ,BD$5,0)),0,1/VLOOKUP($R543,Capa!$A:$AJ,BD$5,0))))</f>
        <v/>
      </c>
      <c r="BE543" s="174" t="str">
        <f>IF(BE$6="","",IF(BE$3="Maior",iferror(VLOOKUP($R543,Capa!$A:$AJ,BE$5,0),0),IF(ISERROR(1/VLOOKUP($R543,Capa!$A:$AJ,BE$5,0)),0,1/VLOOKUP($R543,Capa!$A:$AJ,BE$5,0))))</f>
        <v/>
      </c>
      <c r="BF543" s="174" t="str">
        <f>IF(BF$6="","",IF(BF$3="Maior",iferror(VLOOKUP($R543,Capa!$A:$AJ,BF$5,0),0),IF(ISERROR(1/VLOOKUP($R543,Capa!$A:$AJ,BF$5,0)),0,1/VLOOKUP($R543,Capa!$A:$AJ,BF$5,0))))</f>
        <v/>
      </c>
      <c r="BG543" s="174" t="str">
        <f>IF(BG$6="","",IF(BG$3="Maior",iferror(VLOOKUP($R543,Capa!$A:$AJ,BG$5,0),0),IF(ISERROR(1/VLOOKUP($R543,Capa!$A:$AJ,BG$5,0)),0,1/VLOOKUP($R543,Capa!$A:$AJ,BG$5,0))))</f>
        <v/>
      </c>
      <c r="BH543" s="174" t="str">
        <f>IF(BH$6="","",IF(BH$3="Maior",iferror(VLOOKUP($R543,Capa!$A:$AJ,BH$5,0),0),IF(ISERROR(1/VLOOKUP($R543,Capa!$A:$AJ,BH$5,0)),0,1/VLOOKUP($R543,Capa!$A:$AJ,BH$5,0))))</f>
        <v/>
      </c>
      <c r="BI543" s="174" t="str">
        <f>IF(BI$6="","",IF(BI$3="Maior",iferror(VLOOKUP($R543,Capa!$A:$AJ,BI$5,0),0),IF(ISERROR(1/VLOOKUP($R543,Capa!$A:$AJ,BI$5,0)),0,1/VLOOKUP($R543,Capa!$A:$AJ,BI$5,0))))</f>
        <v/>
      </c>
      <c r="BJ543" s="174" t="str">
        <f>IF(BJ$6="","",IF(BJ$3="Maior",iferror(VLOOKUP($R543,Capa!$A:$AJ,BJ$5,0),0),IF(ISERROR(1/VLOOKUP($R543,Capa!$A:$AJ,BJ$5,0)),0,1/VLOOKUP($R543,Capa!$A:$AJ,BJ$5,0))))</f>
        <v/>
      </c>
      <c r="BK543" s="174" t="str">
        <f>IF(BK$6="","",IF(BK$3="Maior",iferror(VLOOKUP($R543,Capa!$A:$AJ,BK$5,0),0),IF(ISERROR(1/VLOOKUP($R543,Capa!$A:$AJ,BK$5,0)),0,1/VLOOKUP($R543,Capa!$A:$AJ,BK$5,0))))</f>
        <v/>
      </c>
      <c r="BL543" s="174" t="str">
        <f>IF(BL$6="","",IF(BL$3="Maior",iferror(VLOOKUP($R543,Capa!$A:$AJ,BL$5,0),0),IF(ISERROR(1/VLOOKUP($R543,Capa!$A:$AJ,BL$5,0)),0,1/VLOOKUP($R543,Capa!$A:$AJ,BL$5,0))))</f>
        <v/>
      </c>
      <c r="BM543" s="174" t="str">
        <f>IF(BM$6="","",IF(BM$3="Maior",iferror(VLOOKUP($R543,Capa!$A:$AJ,BM$5,0),0),IF(ISERROR(1/VLOOKUP($R543,Capa!$A:$AJ,BM$5,0)),0,1/VLOOKUP($R543,Capa!$A:$AJ,BM$5,0))))</f>
        <v/>
      </c>
      <c r="BN543" s="174" t="str">
        <f>IF(BN$6="","",IF(BN$3="Maior",iferror(VLOOKUP($R543,Capa!$A:$AJ,BN$5,0),0),IF(ISERROR(1/VLOOKUP($R543,Capa!$A:$AJ,BN$5,0)),0,1/VLOOKUP($R543,Capa!$A:$AJ,BN$5,0))))</f>
        <v/>
      </c>
      <c r="BO543" s="174" t="str">
        <f>IF(BO$6="","",IF(BO$3="Maior",iferror(VLOOKUP($R543,Capa!$A:$AJ,BO$5,0),0),IF(ISERROR(1/VLOOKUP($R543,Capa!$A:$AJ,BO$5,0)),0,1/VLOOKUP($R543,Capa!$A:$AJ,BO$5,0))))</f>
        <v/>
      </c>
      <c r="BP543" s="174" t="str">
        <f>IF(BP$6="","",IF(BP$3="Maior",iferror(VLOOKUP($R543,Capa!$A:$AJ,BP$5,0),0),IF(ISERROR(1/VLOOKUP($R543,Capa!$A:$AJ,BP$5,0)),0,1/VLOOKUP($R543,Capa!$A:$AJ,BP$5,0))))</f>
        <v/>
      </c>
      <c r="BQ543" s="174" t="str">
        <f>IF(BQ$6="","",IF(BQ$3="Maior",iferror(VLOOKUP($R543,Capa!$A:$AJ,BQ$5,0),0),IF(ISERROR(1/VLOOKUP($R543,Capa!$A:$AJ,BQ$5,0)),0,1/VLOOKUP($R543,Capa!$A:$AJ,BQ$5,0))))</f>
        <v/>
      </c>
      <c r="BR543" s="175"/>
      <c r="BS543" s="147"/>
    </row>
    <row r="544">
      <c r="H544" s="8">
        <v>538.0</v>
      </c>
      <c r="I544" s="165" t="str">
        <f t="shared" si="6"/>
        <v>BGIP4</v>
      </c>
      <c r="J544" s="166" t="str">
        <f>(VLOOKUP($I544,Capa!$A:$B,2,0))</f>
        <v>Banco do Estado de Sergipe SA Preference Shares</v>
      </c>
      <c r="K544" s="167" t="str">
        <f>VLOOKUP(left(I544,4),Setor!A:D,3,0)&amp;" | "&amp;VLOOKUP(left(I544,4),Setor!A:D,4,0)</f>
        <v>Financeiro | Intermediários Financeiros</v>
      </c>
      <c r="L544" s="168">
        <f>(VLOOKUP($I544,Capa!$A:$F,6,0))</f>
        <v>34.88</v>
      </c>
      <c r="M544" s="168">
        <f t="shared" si="7"/>
        <v>90723.38</v>
      </c>
      <c r="N544" s="11" t="str">
        <f>IFERROR(__xludf.DUMMYFUNCTION("(VLOOKUP($I544,Capa!$A:$H,7,0))"),"")</f>
        <v/>
      </c>
      <c r="O544" s="169">
        <f>(VLOOKUP($I544,Capa!$A:$H,8,0))</f>
        <v>-0.09166666667</v>
      </c>
      <c r="P544" s="11" t="str">
        <f>IFERROR(__xludf.DUMMYFUNCTION("(VLOOKUP($I544,Capa!$A:$J,10,0))"),"")</f>
        <v/>
      </c>
      <c r="Q544" s="169">
        <f>(VLOOKUP($I544,Capa!$A:$K,11,0))</f>
        <v>0.4563674322</v>
      </c>
      <c r="R544" s="45" t="str">
        <f>'Dados StatusInvest'!A539</f>
        <v>SOND6</v>
      </c>
      <c r="S544" s="170">
        <f t="shared" si="234"/>
        <v>1238.0238</v>
      </c>
      <c r="T544" s="171">
        <f>VLOOKUP(R544,'Dados StatusInvest'!A:Z,26,0)</f>
        <v>6449.8</v>
      </c>
      <c r="U544" s="172">
        <f t="shared" ref="U544:AS544" si="547">IF(AT544="","", RANK(AT544,AT$7:AT$626,0)+RANK(AT544,AT$7:AT$626,0)/10000)</f>
        <v>208.0208</v>
      </c>
      <c r="V544" s="172">
        <f t="shared" si="547"/>
        <v>30.003</v>
      </c>
      <c r="W544" s="172" t="str">
        <f t="shared" si="547"/>
        <v/>
      </c>
      <c r="X544" s="172" t="str">
        <f t="shared" si="547"/>
        <v/>
      </c>
      <c r="Y544" s="172" t="str">
        <f t="shared" si="547"/>
        <v/>
      </c>
      <c r="Z544" s="172" t="str">
        <f t="shared" si="547"/>
        <v/>
      </c>
      <c r="AA544" s="172" t="str">
        <f t="shared" si="547"/>
        <v/>
      </c>
      <c r="AB544" s="172" t="str">
        <f t="shared" si="547"/>
        <v/>
      </c>
      <c r="AC544" s="172" t="str">
        <f t="shared" si="547"/>
        <v/>
      </c>
      <c r="AD544" s="172" t="str">
        <f t="shared" si="547"/>
        <v/>
      </c>
      <c r="AE544" s="172" t="str">
        <f t="shared" si="547"/>
        <v/>
      </c>
      <c r="AF544" s="172" t="str">
        <f t="shared" si="547"/>
        <v/>
      </c>
      <c r="AG544" s="172" t="str">
        <f t="shared" si="547"/>
        <v/>
      </c>
      <c r="AH544" s="172" t="str">
        <f t="shared" si="547"/>
        <v/>
      </c>
      <c r="AI544" s="172" t="str">
        <f t="shared" si="547"/>
        <v/>
      </c>
      <c r="AJ544" s="172" t="str">
        <f t="shared" si="547"/>
        <v/>
      </c>
      <c r="AK544" s="172" t="str">
        <f t="shared" si="547"/>
        <v/>
      </c>
      <c r="AL544" s="172" t="str">
        <f t="shared" si="547"/>
        <v/>
      </c>
      <c r="AM544" s="172" t="str">
        <f t="shared" si="547"/>
        <v/>
      </c>
      <c r="AN544" s="172" t="str">
        <f t="shared" si="547"/>
        <v/>
      </c>
      <c r="AO544" s="172" t="str">
        <f t="shared" si="547"/>
        <v/>
      </c>
      <c r="AP544" s="172" t="str">
        <f t="shared" si="547"/>
        <v/>
      </c>
      <c r="AQ544" s="172" t="str">
        <f t="shared" si="547"/>
        <v/>
      </c>
      <c r="AR544" s="172" t="str">
        <f t="shared" si="547"/>
        <v/>
      </c>
      <c r="AS544" s="172" t="str">
        <f t="shared" si="547"/>
        <v/>
      </c>
      <c r="AT544" s="173">
        <f>IF(AT$6="","",IF(AT$3="Maior",iferror(VLOOKUP($R544,Capa!$A:$AJ,AT$5,0),0),IF(ISERROR(1/VLOOKUP($R544,Capa!$A:$AJ,AT$5,0)),0,1/VLOOKUP($R544,Capa!$A:$AJ,AT$5,0))))</f>
        <v>-0.296735905</v>
      </c>
      <c r="AU544" s="174">
        <f>IF(AU$6="","",IF(AU$3="Maior",iferror(VLOOKUP($R544,Capa!$A:$AJ,AU$5,0),0),IF(ISERROR(1/VLOOKUP($R544,Capa!$A:$AJ,AU$5,0)),0,1/VLOOKUP($R544,Capa!$A:$AJ,AU$5,0))))</f>
        <v>44.65</v>
      </c>
      <c r="AV544" s="174" t="str">
        <f>IF(AV$6="","",IF(AV$3="Maior",iferror(VLOOKUP($R544,Capa!$A:$AJ,AV$5,0),0),IF(ISERROR(1/VLOOKUP($R544,Capa!$A:$AJ,AV$5,0)),0,1/VLOOKUP($R544,Capa!$A:$AJ,AV$5,0))))</f>
        <v/>
      </c>
      <c r="AW544" s="174" t="str">
        <f>IF(AW$6="","",IF(AW$3="Maior",iferror(VLOOKUP($R544,Capa!$A:$AJ,AW$5,0),0),IF(ISERROR(1/VLOOKUP($R544,Capa!$A:$AJ,AW$5,0)),0,1/VLOOKUP($R544,Capa!$A:$AJ,AW$5,0))))</f>
        <v/>
      </c>
      <c r="AX544" s="174" t="str">
        <f>IF(AX$6="","",IF(AX$3="Maior",iferror(VLOOKUP($R544,Capa!$A:$AJ,AX$5,0),0),IF(ISERROR(1/VLOOKUP($R544,Capa!$A:$AJ,AX$5,0)),0,1/VLOOKUP($R544,Capa!$A:$AJ,AX$5,0))))</f>
        <v/>
      </c>
      <c r="AY544" s="174" t="str">
        <f>IF(AY$6="","",IF(AY$3="Maior",iferror(VLOOKUP($R544,Capa!$A:$AJ,AY$5,0),0),IF(ISERROR(1/VLOOKUP($R544,Capa!$A:$AJ,AY$5,0)),0,1/VLOOKUP($R544,Capa!$A:$AJ,AY$5,0))))</f>
        <v/>
      </c>
      <c r="AZ544" s="174" t="str">
        <f>IF(AZ$6="","",IF(AZ$3="Maior",iferror(VLOOKUP($R544,Capa!$A:$AJ,AZ$5,0),0),IF(ISERROR(1/VLOOKUP($R544,Capa!$A:$AJ,AZ$5,0)),0,1/VLOOKUP($R544,Capa!$A:$AJ,AZ$5,0))))</f>
        <v/>
      </c>
      <c r="BA544" s="174" t="str">
        <f>IF(BA$6="","",IF(BA$3="Maior",iferror(VLOOKUP($R544,Capa!$A:$AJ,BA$5,0),0),IF(ISERROR(1/VLOOKUP($R544,Capa!$A:$AJ,BA$5,0)),0,1/VLOOKUP($R544,Capa!$A:$AJ,BA$5,0))))</f>
        <v/>
      </c>
      <c r="BB544" s="174" t="str">
        <f>IF(BB$6="","",IF(BB$3="Maior",iferror(VLOOKUP($R544,Capa!$A:$AJ,BB$5,0),0),IF(ISERROR(1/VLOOKUP($R544,Capa!$A:$AJ,BB$5,0)),0,1/VLOOKUP($R544,Capa!$A:$AJ,BB$5,0))))</f>
        <v/>
      </c>
      <c r="BC544" s="174" t="str">
        <f>IF(BC$6="","",IF(BC$3="Maior",iferror(VLOOKUP($R544,Capa!$A:$AJ,BC$5,0),0),IF(ISERROR(1/VLOOKUP($R544,Capa!$A:$AJ,BC$5,0)),0,1/VLOOKUP($R544,Capa!$A:$AJ,BC$5,0))))</f>
        <v/>
      </c>
      <c r="BD544" s="174" t="str">
        <f>IF(BD$6="","",IF(BD$3="Maior",iferror(VLOOKUP($R544,Capa!$A:$AJ,BD$5,0),0),IF(ISERROR(1/VLOOKUP($R544,Capa!$A:$AJ,BD$5,0)),0,1/VLOOKUP($R544,Capa!$A:$AJ,BD$5,0))))</f>
        <v/>
      </c>
      <c r="BE544" s="174" t="str">
        <f>IF(BE$6="","",IF(BE$3="Maior",iferror(VLOOKUP($R544,Capa!$A:$AJ,BE$5,0),0),IF(ISERROR(1/VLOOKUP($R544,Capa!$A:$AJ,BE$5,0)),0,1/VLOOKUP($R544,Capa!$A:$AJ,BE$5,0))))</f>
        <v/>
      </c>
      <c r="BF544" s="174" t="str">
        <f>IF(BF$6="","",IF(BF$3="Maior",iferror(VLOOKUP($R544,Capa!$A:$AJ,BF$5,0),0),IF(ISERROR(1/VLOOKUP($R544,Capa!$A:$AJ,BF$5,0)),0,1/VLOOKUP($R544,Capa!$A:$AJ,BF$5,0))))</f>
        <v/>
      </c>
      <c r="BG544" s="174" t="str">
        <f>IF(BG$6="","",IF(BG$3="Maior",iferror(VLOOKUP($R544,Capa!$A:$AJ,BG$5,0),0),IF(ISERROR(1/VLOOKUP($R544,Capa!$A:$AJ,BG$5,0)),0,1/VLOOKUP($R544,Capa!$A:$AJ,BG$5,0))))</f>
        <v/>
      </c>
      <c r="BH544" s="174" t="str">
        <f>IF(BH$6="","",IF(BH$3="Maior",iferror(VLOOKUP($R544,Capa!$A:$AJ,BH$5,0),0),IF(ISERROR(1/VLOOKUP($R544,Capa!$A:$AJ,BH$5,0)),0,1/VLOOKUP($R544,Capa!$A:$AJ,BH$5,0))))</f>
        <v/>
      </c>
      <c r="BI544" s="174" t="str">
        <f>IF(BI$6="","",IF(BI$3="Maior",iferror(VLOOKUP($R544,Capa!$A:$AJ,BI$5,0),0),IF(ISERROR(1/VLOOKUP($R544,Capa!$A:$AJ,BI$5,0)),0,1/VLOOKUP($R544,Capa!$A:$AJ,BI$5,0))))</f>
        <v/>
      </c>
      <c r="BJ544" s="174" t="str">
        <f>IF(BJ$6="","",IF(BJ$3="Maior",iferror(VLOOKUP($R544,Capa!$A:$AJ,BJ$5,0),0),IF(ISERROR(1/VLOOKUP($R544,Capa!$A:$AJ,BJ$5,0)),0,1/VLOOKUP($R544,Capa!$A:$AJ,BJ$5,0))))</f>
        <v/>
      </c>
      <c r="BK544" s="174" t="str">
        <f>IF(BK$6="","",IF(BK$3="Maior",iferror(VLOOKUP($R544,Capa!$A:$AJ,BK$5,0),0),IF(ISERROR(1/VLOOKUP($R544,Capa!$A:$AJ,BK$5,0)),0,1/VLOOKUP($R544,Capa!$A:$AJ,BK$5,0))))</f>
        <v/>
      </c>
      <c r="BL544" s="174" t="str">
        <f>IF(BL$6="","",IF(BL$3="Maior",iferror(VLOOKUP($R544,Capa!$A:$AJ,BL$5,0),0),IF(ISERROR(1/VLOOKUP($R544,Capa!$A:$AJ,BL$5,0)),0,1/VLOOKUP($R544,Capa!$A:$AJ,BL$5,0))))</f>
        <v/>
      </c>
      <c r="BM544" s="174" t="str">
        <f>IF(BM$6="","",IF(BM$3="Maior",iferror(VLOOKUP($R544,Capa!$A:$AJ,BM$5,0),0),IF(ISERROR(1/VLOOKUP($R544,Capa!$A:$AJ,BM$5,0)),0,1/VLOOKUP($R544,Capa!$A:$AJ,BM$5,0))))</f>
        <v/>
      </c>
      <c r="BN544" s="174" t="str">
        <f>IF(BN$6="","",IF(BN$3="Maior",iferror(VLOOKUP($R544,Capa!$A:$AJ,BN$5,0),0),IF(ISERROR(1/VLOOKUP($R544,Capa!$A:$AJ,BN$5,0)),0,1/VLOOKUP($R544,Capa!$A:$AJ,BN$5,0))))</f>
        <v/>
      </c>
      <c r="BO544" s="174" t="str">
        <f>IF(BO$6="","",IF(BO$3="Maior",iferror(VLOOKUP($R544,Capa!$A:$AJ,BO$5,0),0),IF(ISERROR(1/VLOOKUP($R544,Capa!$A:$AJ,BO$5,0)),0,1/VLOOKUP($R544,Capa!$A:$AJ,BO$5,0))))</f>
        <v/>
      </c>
      <c r="BP544" s="174" t="str">
        <f>IF(BP$6="","",IF(BP$3="Maior",iferror(VLOOKUP($R544,Capa!$A:$AJ,BP$5,0),0),IF(ISERROR(1/VLOOKUP($R544,Capa!$A:$AJ,BP$5,0)),0,1/VLOOKUP($R544,Capa!$A:$AJ,BP$5,0))))</f>
        <v/>
      </c>
      <c r="BQ544" s="174" t="str">
        <f>IF(BQ$6="","",IF(BQ$3="Maior",iferror(VLOOKUP($R544,Capa!$A:$AJ,BQ$5,0),0),IF(ISERROR(1/VLOOKUP($R544,Capa!$A:$AJ,BQ$5,0)),0,1/VLOOKUP($R544,Capa!$A:$AJ,BQ$5,0))))</f>
        <v/>
      </c>
      <c r="BR544" s="175"/>
      <c r="BS544" s="147"/>
    </row>
    <row r="545">
      <c r="H545" s="8">
        <v>539.0</v>
      </c>
      <c r="I545" s="165" t="str">
        <f t="shared" si="6"/>
        <v>SHOW3</v>
      </c>
      <c r="J545" s="166" t="str">
        <f>(VLOOKUP($I545,Capa!$A:$B,2,0))</f>
        <v>T4f Entretenimento SA</v>
      </c>
      <c r="K545" s="167" t="str">
        <f>VLOOKUP(left(I545,4),Setor!A:D,3,0)&amp;" | "&amp;VLOOKUP(left(I545,4),Setor!A:D,4,0)</f>
        <v>Consumo Cíclico | Viagens e Lazer</v>
      </c>
      <c r="L545" s="168">
        <f>(VLOOKUP($I545,Capa!$A:$F,6,0))</f>
        <v>4.88</v>
      </c>
      <c r="M545" s="168">
        <f t="shared" si="7"/>
        <v>288937.9</v>
      </c>
      <c r="N545" s="177" t="str">
        <f>IFERROR(__xludf.DUMMYFUNCTION("(VLOOKUP($I545,Capa!$A:$H,7,0))"),"")</f>
        <v/>
      </c>
      <c r="O545" s="169">
        <f>(VLOOKUP($I545,Capa!$A:$H,8,0))</f>
        <v>-0.2327044025</v>
      </c>
      <c r="P545" s="169" t="str">
        <f>IFERROR(__xludf.DUMMYFUNCTION("(VLOOKUP($I545,Capa!$A:$J,10,0))"),"")</f>
        <v/>
      </c>
      <c r="Q545" s="169">
        <f>(VLOOKUP($I545,Capa!$A:$K,11,0))</f>
        <v>-0.3028571429</v>
      </c>
      <c r="R545" s="45" t="str">
        <f>'Dados StatusInvest'!A540</f>
        <v>SPRT3B</v>
      </c>
      <c r="S545" s="170">
        <f t="shared" si="234"/>
        <v>1376.0376</v>
      </c>
      <c r="T545" s="171">
        <f>VLOOKUP(R545,'Dados StatusInvest'!A:Z,26,0)</f>
        <v>0</v>
      </c>
      <c r="U545" s="172">
        <f t="shared" ref="U545:AS545" si="548">IF(AT545="","", RANK(AT545,AT$7:AT$626,0)+RANK(AT545,AT$7:AT$626,0)/10000)</f>
        <v>109.0109</v>
      </c>
      <c r="V545" s="172">
        <f t="shared" si="548"/>
        <v>267.0267</v>
      </c>
      <c r="W545" s="172" t="str">
        <f t="shared" si="548"/>
        <v/>
      </c>
      <c r="X545" s="172" t="str">
        <f t="shared" si="548"/>
        <v/>
      </c>
      <c r="Y545" s="172" t="str">
        <f t="shared" si="548"/>
        <v/>
      </c>
      <c r="Z545" s="172" t="str">
        <f t="shared" si="548"/>
        <v/>
      </c>
      <c r="AA545" s="172" t="str">
        <f t="shared" si="548"/>
        <v/>
      </c>
      <c r="AB545" s="172" t="str">
        <f t="shared" si="548"/>
        <v/>
      </c>
      <c r="AC545" s="172" t="str">
        <f t="shared" si="548"/>
        <v/>
      </c>
      <c r="AD545" s="172" t="str">
        <f t="shared" si="548"/>
        <v/>
      </c>
      <c r="AE545" s="172" t="str">
        <f t="shared" si="548"/>
        <v/>
      </c>
      <c r="AF545" s="172" t="str">
        <f t="shared" si="548"/>
        <v/>
      </c>
      <c r="AG545" s="172" t="str">
        <f t="shared" si="548"/>
        <v/>
      </c>
      <c r="AH545" s="172" t="str">
        <f t="shared" si="548"/>
        <v/>
      </c>
      <c r="AI545" s="172" t="str">
        <f t="shared" si="548"/>
        <v/>
      </c>
      <c r="AJ545" s="172" t="str">
        <f t="shared" si="548"/>
        <v/>
      </c>
      <c r="AK545" s="172" t="str">
        <f t="shared" si="548"/>
        <v/>
      </c>
      <c r="AL545" s="172" t="str">
        <f t="shared" si="548"/>
        <v/>
      </c>
      <c r="AM545" s="172" t="str">
        <f t="shared" si="548"/>
        <v/>
      </c>
      <c r="AN545" s="172" t="str">
        <f t="shared" si="548"/>
        <v/>
      </c>
      <c r="AO545" s="172" t="str">
        <f t="shared" si="548"/>
        <v/>
      </c>
      <c r="AP545" s="172" t="str">
        <f t="shared" si="548"/>
        <v/>
      </c>
      <c r="AQ545" s="172" t="str">
        <f t="shared" si="548"/>
        <v/>
      </c>
      <c r="AR545" s="172" t="str">
        <f t="shared" si="548"/>
        <v/>
      </c>
      <c r="AS545" s="172" t="str">
        <f t="shared" si="548"/>
        <v/>
      </c>
      <c r="AT545" s="173">
        <f>IF(AT$6="","",IF(AT$3="Maior",iferror(VLOOKUP($R545,Capa!$A:$AJ,AT$5,0),0),IF(ISERROR(1/VLOOKUP($R545,Capa!$A:$AJ,AT$5,0)),0,1/VLOOKUP($R545,Capa!$A:$AJ,AT$5,0))))</f>
        <v>-0.0002598023424</v>
      </c>
      <c r="AU545" s="174">
        <f>IF(AU$6="","",IF(AU$3="Maior",iferror(VLOOKUP($R545,Capa!$A:$AJ,AU$5,0),0),IF(ISERROR(1/VLOOKUP($R545,Capa!$A:$AJ,AU$5,0)),0,1/VLOOKUP($R545,Capa!$A:$AJ,AU$5,0))))</f>
        <v>0</v>
      </c>
      <c r="AV545" s="174" t="str">
        <f>IF(AV$6="","",IF(AV$3="Maior",iferror(VLOOKUP($R545,Capa!$A:$AJ,AV$5,0),0),IF(ISERROR(1/VLOOKUP($R545,Capa!$A:$AJ,AV$5,0)),0,1/VLOOKUP($R545,Capa!$A:$AJ,AV$5,0))))</f>
        <v/>
      </c>
      <c r="AW545" s="174" t="str">
        <f>IF(AW$6="","",IF(AW$3="Maior",iferror(VLOOKUP($R545,Capa!$A:$AJ,AW$5,0),0),IF(ISERROR(1/VLOOKUP($R545,Capa!$A:$AJ,AW$5,0)),0,1/VLOOKUP($R545,Capa!$A:$AJ,AW$5,0))))</f>
        <v/>
      </c>
      <c r="AX545" s="174" t="str">
        <f>IF(AX$6="","",IF(AX$3="Maior",iferror(VLOOKUP($R545,Capa!$A:$AJ,AX$5,0),0),IF(ISERROR(1/VLOOKUP($R545,Capa!$A:$AJ,AX$5,0)),0,1/VLOOKUP($R545,Capa!$A:$AJ,AX$5,0))))</f>
        <v/>
      </c>
      <c r="AY545" s="174" t="str">
        <f>IF(AY$6="","",IF(AY$3="Maior",iferror(VLOOKUP($R545,Capa!$A:$AJ,AY$5,0),0),IF(ISERROR(1/VLOOKUP($R545,Capa!$A:$AJ,AY$5,0)),0,1/VLOOKUP($R545,Capa!$A:$AJ,AY$5,0))))</f>
        <v/>
      </c>
      <c r="AZ545" s="174" t="str">
        <f>IF(AZ$6="","",IF(AZ$3="Maior",iferror(VLOOKUP($R545,Capa!$A:$AJ,AZ$5,0),0),IF(ISERROR(1/VLOOKUP($R545,Capa!$A:$AJ,AZ$5,0)),0,1/VLOOKUP($R545,Capa!$A:$AJ,AZ$5,0))))</f>
        <v/>
      </c>
      <c r="BA545" s="174" t="str">
        <f>IF(BA$6="","",IF(BA$3="Maior",iferror(VLOOKUP($R545,Capa!$A:$AJ,BA$5,0),0),IF(ISERROR(1/VLOOKUP($R545,Capa!$A:$AJ,BA$5,0)),0,1/VLOOKUP($R545,Capa!$A:$AJ,BA$5,0))))</f>
        <v/>
      </c>
      <c r="BB545" s="174" t="str">
        <f>IF(BB$6="","",IF(BB$3="Maior",iferror(VLOOKUP($R545,Capa!$A:$AJ,BB$5,0),0),IF(ISERROR(1/VLOOKUP($R545,Capa!$A:$AJ,BB$5,0)),0,1/VLOOKUP($R545,Capa!$A:$AJ,BB$5,0))))</f>
        <v/>
      </c>
      <c r="BC545" s="174" t="str">
        <f>IF(BC$6="","",IF(BC$3="Maior",iferror(VLOOKUP($R545,Capa!$A:$AJ,BC$5,0),0),IF(ISERROR(1/VLOOKUP($R545,Capa!$A:$AJ,BC$5,0)),0,1/VLOOKUP($R545,Capa!$A:$AJ,BC$5,0))))</f>
        <v/>
      </c>
      <c r="BD545" s="174" t="str">
        <f>IF(BD$6="","",IF(BD$3="Maior",iferror(VLOOKUP($R545,Capa!$A:$AJ,BD$5,0),0),IF(ISERROR(1/VLOOKUP($R545,Capa!$A:$AJ,BD$5,0)),0,1/VLOOKUP($R545,Capa!$A:$AJ,BD$5,0))))</f>
        <v/>
      </c>
      <c r="BE545" s="174" t="str">
        <f>IF(BE$6="","",IF(BE$3="Maior",iferror(VLOOKUP($R545,Capa!$A:$AJ,BE$5,0),0),IF(ISERROR(1/VLOOKUP($R545,Capa!$A:$AJ,BE$5,0)),0,1/VLOOKUP($R545,Capa!$A:$AJ,BE$5,0))))</f>
        <v/>
      </c>
      <c r="BF545" s="174" t="str">
        <f>IF(BF$6="","",IF(BF$3="Maior",iferror(VLOOKUP($R545,Capa!$A:$AJ,BF$5,0),0),IF(ISERROR(1/VLOOKUP($R545,Capa!$A:$AJ,BF$5,0)),0,1/VLOOKUP($R545,Capa!$A:$AJ,BF$5,0))))</f>
        <v/>
      </c>
      <c r="BG545" s="174" t="str">
        <f>IF(BG$6="","",IF(BG$3="Maior",iferror(VLOOKUP($R545,Capa!$A:$AJ,BG$5,0),0),IF(ISERROR(1/VLOOKUP($R545,Capa!$A:$AJ,BG$5,0)),0,1/VLOOKUP($R545,Capa!$A:$AJ,BG$5,0))))</f>
        <v/>
      </c>
      <c r="BH545" s="174" t="str">
        <f>IF(BH$6="","",IF(BH$3="Maior",iferror(VLOOKUP($R545,Capa!$A:$AJ,BH$5,0),0),IF(ISERROR(1/VLOOKUP($R545,Capa!$A:$AJ,BH$5,0)),0,1/VLOOKUP($R545,Capa!$A:$AJ,BH$5,0))))</f>
        <v/>
      </c>
      <c r="BI545" s="174" t="str">
        <f>IF(BI$6="","",IF(BI$3="Maior",iferror(VLOOKUP($R545,Capa!$A:$AJ,BI$5,0),0),IF(ISERROR(1/VLOOKUP($R545,Capa!$A:$AJ,BI$5,0)),0,1/VLOOKUP($R545,Capa!$A:$AJ,BI$5,0))))</f>
        <v/>
      </c>
      <c r="BJ545" s="174" t="str">
        <f>IF(BJ$6="","",IF(BJ$3="Maior",iferror(VLOOKUP($R545,Capa!$A:$AJ,BJ$5,0),0),IF(ISERROR(1/VLOOKUP($R545,Capa!$A:$AJ,BJ$5,0)),0,1/VLOOKUP($R545,Capa!$A:$AJ,BJ$5,0))))</f>
        <v/>
      </c>
      <c r="BK545" s="174" t="str">
        <f>IF(BK$6="","",IF(BK$3="Maior",iferror(VLOOKUP($R545,Capa!$A:$AJ,BK$5,0),0),IF(ISERROR(1/VLOOKUP($R545,Capa!$A:$AJ,BK$5,0)),0,1/VLOOKUP($R545,Capa!$A:$AJ,BK$5,0))))</f>
        <v/>
      </c>
      <c r="BL545" s="174" t="str">
        <f>IF(BL$6="","",IF(BL$3="Maior",iferror(VLOOKUP($R545,Capa!$A:$AJ,BL$5,0),0),IF(ISERROR(1/VLOOKUP($R545,Capa!$A:$AJ,BL$5,0)),0,1/VLOOKUP($R545,Capa!$A:$AJ,BL$5,0))))</f>
        <v/>
      </c>
      <c r="BM545" s="174" t="str">
        <f>IF(BM$6="","",IF(BM$3="Maior",iferror(VLOOKUP($R545,Capa!$A:$AJ,BM$5,0),0),IF(ISERROR(1/VLOOKUP($R545,Capa!$A:$AJ,BM$5,0)),0,1/VLOOKUP($R545,Capa!$A:$AJ,BM$5,0))))</f>
        <v/>
      </c>
      <c r="BN545" s="174" t="str">
        <f>IF(BN$6="","",IF(BN$3="Maior",iferror(VLOOKUP($R545,Capa!$A:$AJ,BN$5,0),0),IF(ISERROR(1/VLOOKUP($R545,Capa!$A:$AJ,BN$5,0)),0,1/VLOOKUP($R545,Capa!$A:$AJ,BN$5,0))))</f>
        <v/>
      </c>
      <c r="BO545" s="174" t="str">
        <f>IF(BO$6="","",IF(BO$3="Maior",iferror(VLOOKUP($R545,Capa!$A:$AJ,BO$5,0),0),IF(ISERROR(1/VLOOKUP($R545,Capa!$A:$AJ,BO$5,0)),0,1/VLOOKUP($R545,Capa!$A:$AJ,BO$5,0))))</f>
        <v/>
      </c>
      <c r="BP545" s="174" t="str">
        <f>IF(BP$6="","",IF(BP$3="Maior",iferror(VLOOKUP($R545,Capa!$A:$AJ,BP$5,0),0),IF(ISERROR(1/VLOOKUP($R545,Capa!$A:$AJ,BP$5,0)),0,1/VLOOKUP($R545,Capa!$A:$AJ,BP$5,0))))</f>
        <v/>
      </c>
      <c r="BQ545" s="174" t="str">
        <f>IF(BQ$6="","",IF(BQ$3="Maior",iferror(VLOOKUP($R545,Capa!$A:$AJ,BQ$5,0),0),IF(ISERROR(1/VLOOKUP($R545,Capa!$A:$AJ,BQ$5,0)),0,1/VLOOKUP($R545,Capa!$A:$AJ,BQ$5,0))))</f>
        <v/>
      </c>
      <c r="BR545" s="175"/>
      <c r="BS545" s="147"/>
    </row>
    <row r="546">
      <c r="H546" s="8">
        <v>540.0</v>
      </c>
      <c r="I546" s="165" t="str">
        <f t="shared" si="6"/>
        <v>MNDL3</v>
      </c>
      <c r="J546" s="166" t="str">
        <f>(VLOOKUP($I546,Capa!$A:$B,2,0))</f>
        <v>Mundial SA Produtos de Consumo</v>
      </c>
      <c r="K546" s="167" t="str">
        <f>VLOOKUP(left(I546,4),Setor!A:D,3,0)&amp;" | "&amp;VLOOKUP(left(I546,4),Setor!A:D,4,0)</f>
        <v>Consumo Cíclico | Tecidos, Vestuário e Calçados</v>
      </c>
      <c r="L546" s="168">
        <f>(VLOOKUP($I546,Capa!$A:$F,6,0))</f>
        <v>17.85</v>
      </c>
      <c r="M546" s="168">
        <f t="shared" si="7"/>
        <v>131410</v>
      </c>
      <c r="N546" s="11" t="str">
        <f>IFERROR(__xludf.DUMMYFUNCTION("(VLOOKUP($I546,Capa!$A:$H,7,0))"),"")</f>
        <v/>
      </c>
      <c r="O546" s="169">
        <f>(VLOOKUP($I546,Capa!$A:$H,8,0))</f>
        <v>0.06886227545</v>
      </c>
      <c r="P546" s="11" t="str">
        <f>IFERROR(__xludf.DUMMYFUNCTION("(VLOOKUP($I546,Capa!$A:$J,10,0))"),"")</f>
        <v/>
      </c>
      <c r="Q546" s="169" t="str">
        <f>(VLOOKUP($I546,Capa!$A:$K,11,0))</f>
        <v/>
      </c>
      <c r="R546" s="45" t="str">
        <f>'Dados StatusInvest'!A541</f>
        <v>SQIA3</v>
      </c>
      <c r="S546" s="170">
        <f t="shared" si="234"/>
        <v>1396.0396</v>
      </c>
      <c r="T546" s="171">
        <f>VLOOKUP(R546,'Dados StatusInvest'!A:Z,26,0)</f>
        <v>0</v>
      </c>
      <c r="U546" s="172">
        <f t="shared" ref="U546:AS546" si="549">IF(AT546="","", RANK(AT546,AT$7:AT$626,0)+RANK(AT546,AT$7:AT$626,0)/10000)</f>
        <v>129.0129</v>
      </c>
      <c r="V546" s="172">
        <f t="shared" si="549"/>
        <v>267.0267</v>
      </c>
      <c r="W546" s="172" t="str">
        <f t="shared" si="549"/>
        <v/>
      </c>
      <c r="X546" s="172" t="str">
        <f t="shared" si="549"/>
        <v/>
      </c>
      <c r="Y546" s="172" t="str">
        <f t="shared" si="549"/>
        <v/>
      </c>
      <c r="Z546" s="172" t="str">
        <f t="shared" si="549"/>
        <v/>
      </c>
      <c r="AA546" s="172" t="str">
        <f t="shared" si="549"/>
        <v/>
      </c>
      <c r="AB546" s="172" t="str">
        <f t="shared" si="549"/>
        <v/>
      </c>
      <c r="AC546" s="172" t="str">
        <f t="shared" si="549"/>
        <v/>
      </c>
      <c r="AD546" s="172" t="str">
        <f t="shared" si="549"/>
        <v/>
      </c>
      <c r="AE546" s="172" t="str">
        <f t="shared" si="549"/>
        <v/>
      </c>
      <c r="AF546" s="172" t="str">
        <f t="shared" si="549"/>
        <v/>
      </c>
      <c r="AG546" s="172" t="str">
        <f t="shared" si="549"/>
        <v/>
      </c>
      <c r="AH546" s="172" t="str">
        <f t="shared" si="549"/>
        <v/>
      </c>
      <c r="AI546" s="172" t="str">
        <f t="shared" si="549"/>
        <v/>
      </c>
      <c r="AJ546" s="172" t="str">
        <f t="shared" si="549"/>
        <v/>
      </c>
      <c r="AK546" s="172" t="str">
        <f t="shared" si="549"/>
        <v/>
      </c>
      <c r="AL546" s="172" t="str">
        <f t="shared" si="549"/>
        <v/>
      </c>
      <c r="AM546" s="172" t="str">
        <f t="shared" si="549"/>
        <v/>
      </c>
      <c r="AN546" s="172" t="str">
        <f t="shared" si="549"/>
        <v/>
      </c>
      <c r="AO546" s="172" t="str">
        <f t="shared" si="549"/>
        <v/>
      </c>
      <c r="AP546" s="172" t="str">
        <f t="shared" si="549"/>
        <v/>
      </c>
      <c r="AQ546" s="172" t="str">
        <f t="shared" si="549"/>
        <v/>
      </c>
      <c r="AR546" s="172" t="str">
        <f t="shared" si="549"/>
        <v/>
      </c>
      <c r="AS546" s="172" t="str">
        <f t="shared" si="549"/>
        <v/>
      </c>
      <c r="AT546" s="173">
        <f>IF(AT$6="","",IF(AT$3="Maior",iferror(VLOOKUP($R546,Capa!$A:$AJ,AT$5,0),0),IF(ISERROR(1/VLOOKUP($R546,Capa!$A:$AJ,AT$5,0)),0,1/VLOOKUP($R546,Capa!$A:$AJ,AT$5,0))))</f>
        <v>-0.03608805485</v>
      </c>
      <c r="AU546" s="174">
        <f>IF(AU$6="","",IF(AU$3="Maior",iferror(VLOOKUP($R546,Capa!$A:$AJ,AU$5,0),0),IF(ISERROR(1/VLOOKUP($R546,Capa!$A:$AJ,AU$5,0)),0,1/VLOOKUP($R546,Capa!$A:$AJ,AU$5,0))))</f>
        <v>0</v>
      </c>
      <c r="AV546" s="174" t="str">
        <f>IF(AV$6="","",IF(AV$3="Maior",iferror(VLOOKUP($R546,Capa!$A:$AJ,AV$5,0),0),IF(ISERROR(1/VLOOKUP($R546,Capa!$A:$AJ,AV$5,0)),0,1/VLOOKUP($R546,Capa!$A:$AJ,AV$5,0))))</f>
        <v/>
      </c>
      <c r="AW546" s="174" t="str">
        <f>IF(AW$6="","",IF(AW$3="Maior",iferror(VLOOKUP($R546,Capa!$A:$AJ,AW$5,0),0),IF(ISERROR(1/VLOOKUP($R546,Capa!$A:$AJ,AW$5,0)),0,1/VLOOKUP($R546,Capa!$A:$AJ,AW$5,0))))</f>
        <v/>
      </c>
      <c r="AX546" s="174" t="str">
        <f>IF(AX$6="","",IF(AX$3="Maior",iferror(VLOOKUP($R546,Capa!$A:$AJ,AX$5,0),0),IF(ISERROR(1/VLOOKUP($R546,Capa!$A:$AJ,AX$5,0)),0,1/VLOOKUP($R546,Capa!$A:$AJ,AX$5,0))))</f>
        <v/>
      </c>
      <c r="AY546" s="174" t="str">
        <f>IF(AY$6="","",IF(AY$3="Maior",iferror(VLOOKUP($R546,Capa!$A:$AJ,AY$5,0),0),IF(ISERROR(1/VLOOKUP($R546,Capa!$A:$AJ,AY$5,0)),0,1/VLOOKUP($R546,Capa!$A:$AJ,AY$5,0))))</f>
        <v/>
      </c>
      <c r="AZ546" s="174" t="str">
        <f>IF(AZ$6="","",IF(AZ$3="Maior",iferror(VLOOKUP($R546,Capa!$A:$AJ,AZ$5,0),0),IF(ISERROR(1/VLOOKUP($R546,Capa!$A:$AJ,AZ$5,0)),0,1/VLOOKUP($R546,Capa!$A:$AJ,AZ$5,0))))</f>
        <v/>
      </c>
      <c r="BA546" s="174" t="str">
        <f>IF(BA$6="","",IF(BA$3="Maior",iferror(VLOOKUP($R546,Capa!$A:$AJ,BA$5,0),0),IF(ISERROR(1/VLOOKUP($R546,Capa!$A:$AJ,BA$5,0)),0,1/VLOOKUP($R546,Capa!$A:$AJ,BA$5,0))))</f>
        <v/>
      </c>
      <c r="BB546" s="174" t="str">
        <f>IF(BB$6="","",IF(BB$3="Maior",iferror(VLOOKUP($R546,Capa!$A:$AJ,BB$5,0),0),IF(ISERROR(1/VLOOKUP($R546,Capa!$A:$AJ,BB$5,0)),0,1/VLOOKUP($R546,Capa!$A:$AJ,BB$5,0))))</f>
        <v/>
      </c>
      <c r="BC546" s="174" t="str">
        <f>IF(BC$6="","",IF(BC$3="Maior",iferror(VLOOKUP($R546,Capa!$A:$AJ,BC$5,0),0),IF(ISERROR(1/VLOOKUP($R546,Capa!$A:$AJ,BC$5,0)),0,1/VLOOKUP($R546,Capa!$A:$AJ,BC$5,0))))</f>
        <v/>
      </c>
      <c r="BD546" s="174" t="str">
        <f>IF(BD$6="","",IF(BD$3="Maior",iferror(VLOOKUP($R546,Capa!$A:$AJ,BD$5,0),0),IF(ISERROR(1/VLOOKUP($R546,Capa!$A:$AJ,BD$5,0)),0,1/VLOOKUP($R546,Capa!$A:$AJ,BD$5,0))))</f>
        <v/>
      </c>
      <c r="BE546" s="174" t="str">
        <f>IF(BE$6="","",IF(BE$3="Maior",iferror(VLOOKUP($R546,Capa!$A:$AJ,BE$5,0),0),IF(ISERROR(1/VLOOKUP($R546,Capa!$A:$AJ,BE$5,0)),0,1/VLOOKUP($R546,Capa!$A:$AJ,BE$5,0))))</f>
        <v/>
      </c>
      <c r="BF546" s="174" t="str">
        <f>IF(BF$6="","",IF(BF$3="Maior",iferror(VLOOKUP($R546,Capa!$A:$AJ,BF$5,0),0),IF(ISERROR(1/VLOOKUP($R546,Capa!$A:$AJ,BF$5,0)),0,1/VLOOKUP($R546,Capa!$A:$AJ,BF$5,0))))</f>
        <v/>
      </c>
      <c r="BG546" s="174" t="str">
        <f>IF(BG$6="","",IF(BG$3="Maior",iferror(VLOOKUP($R546,Capa!$A:$AJ,BG$5,0),0),IF(ISERROR(1/VLOOKUP($R546,Capa!$A:$AJ,BG$5,0)),0,1/VLOOKUP($R546,Capa!$A:$AJ,BG$5,0))))</f>
        <v/>
      </c>
      <c r="BH546" s="174" t="str">
        <f>IF(BH$6="","",IF(BH$3="Maior",iferror(VLOOKUP($R546,Capa!$A:$AJ,BH$5,0),0),IF(ISERROR(1/VLOOKUP($R546,Capa!$A:$AJ,BH$5,0)),0,1/VLOOKUP($R546,Capa!$A:$AJ,BH$5,0))))</f>
        <v/>
      </c>
      <c r="BI546" s="174" t="str">
        <f>IF(BI$6="","",IF(BI$3="Maior",iferror(VLOOKUP($R546,Capa!$A:$AJ,BI$5,0),0),IF(ISERROR(1/VLOOKUP($R546,Capa!$A:$AJ,BI$5,0)),0,1/VLOOKUP($R546,Capa!$A:$AJ,BI$5,0))))</f>
        <v/>
      </c>
      <c r="BJ546" s="174" t="str">
        <f>IF(BJ$6="","",IF(BJ$3="Maior",iferror(VLOOKUP($R546,Capa!$A:$AJ,BJ$5,0),0),IF(ISERROR(1/VLOOKUP($R546,Capa!$A:$AJ,BJ$5,0)),0,1/VLOOKUP($R546,Capa!$A:$AJ,BJ$5,0))))</f>
        <v/>
      </c>
      <c r="BK546" s="174" t="str">
        <f>IF(BK$6="","",IF(BK$3="Maior",iferror(VLOOKUP($R546,Capa!$A:$AJ,BK$5,0),0),IF(ISERROR(1/VLOOKUP($R546,Capa!$A:$AJ,BK$5,0)),0,1/VLOOKUP($R546,Capa!$A:$AJ,BK$5,0))))</f>
        <v/>
      </c>
      <c r="BL546" s="174" t="str">
        <f>IF(BL$6="","",IF(BL$3="Maior",iferror(VLOOKUP($R546,Capa!$A:$AJ,BL$5,0),0),IF(ISERROR(1/VLOOKUP($R546,Capa!$A:$AJ,BL$5,0)),0,1/VLOOKUP($R546,Capa!$A:$AJ,BL$5,0))))</f>
        <v/>
      </c>
      <c r="BM546" s="174" t="str">
        <f>IF(BM$6="","",IF(BM$3="Maior",iferror(VLOOKUP($R546,Capa!$A:$AJ,BM$5,0),0),IF(ISERROR(1/VLOOKUP($R546,Capa!$A:$AJ,BM$5,0)),0,1/VLOOKUP($R546,Capa!$A:$AJ,BM$5,0))))</f>
        <v/>
      </c>
      <c r="BN546" s="174" t="str">
        <f>IF(BN$6="","",IF(BN$3="Maior",iferror(VLOOKUP($R546,Capa!$A:$AJ,BN$5,0),0),IF(ISERROR(1/VLOOKUP($R546,Capa!$A:$AJ,BN$5,0)),0,1/VLOOKUP($R546,Capa!$A:$AJ,BN$5,0))))</f>
        <v/>
      </c>
      <c r="BO546" s="174" t="str">
        <f>IF(BO$6="","",IF(BO$3="Maior",iferror(VLOOKUP($R546,Capa!$A:$AJ,BO$5,0),0),IF(ISERROR(1/VLOOKUP($R546,Capa!$A:$AJ,BO$5,0)),0,1/VLOOKUP($R546,Capa!$A:$AJ,BO$5,0))))</f>
        <v/>
      </c>
      <c r="BP546" s="174" t="str">
        <f>IF(BP$6="","",IF(BP$3="Maior",iferror(VLOOKUP($R546,Capa!$A:$AJ,BP$5,0),0),IF(ISERROR(1/VLOOKUP($R546,Capa!$A:$AJ,BP$5,0)),0,1/VLOOKUP($R546,Capa!$A:$AJ,BP$5,0))))</f>
        <v/>
      </c>
      <c r="BQ546" s="174" t="str">
        <f>IF(BQ$6="","",IF(BQ$3="Maior",iferror(VLOOKUP($R546,Capa!$A:$AJ,BQ$5,0),0),IF(ISERROR(1/VLOOKUP($R546,Capa!$A:$AJ,BQ$5,0)),0,1/VLOOKUP($R546,Capa!$A:$AJ,BQ$5,0))))</f>
        <v/>
      </c>
      <c r="BR546" s="175"/>
      <c r="BS546" s="147"/>
    </row>
    <row r="547">
      <c r="H547" s="8">
        <v>541.0</v>
      </c>
      <c r="I547" s="165" t="str">
        <f t="shared" si="6"/>
        <v>MSPA4</v>
      </c>
      <c r="J547" s="166" t="str">
        <f>(VLOOKUP($I547,Capa!$A:$B,2,0))</f>
        <v>Companhia Melhoramentos de Sao Paulo Preference Shares</v>
      </c>
      <c r="K547" s="167" t="str">
        <f>VLOOKUP(left(I547,4),Setor!A:D,3,0)&amp;" | "&amp;VLOOKUP(left(I547,4),Setor!A:D,4,0)</f>
        <v>Materiais Básicos | Madeira e Papel</v>
      </c>
      <c r="L547" s="168">
        <f>(VLOOKUP($I547,Capa!$A:$F,6,0))</f>
        <v>41</v>
      </c>
      <c r="M547" s="168">
        <f t="shared" si="7"/>
        <v>0</v>
      </c>
      <c r="N547" s="11" t="str">
        <f>(VLOOKUP($I547,Capa!$A:$H,7,0))</f>
        <v/>
      </c>
      <c r="O547" s="169" t="str">
        <f>(VLOOKUP($I547,Capa!$A:$H,8,0))</f>
        <v/>
      </c>
      <c r="P547" s="11" t="str">
        <f>IFERROR(__xludf.DUMMYFUNCTION("(VLOOKUP($I547,Capa!$A:$J,10,0))"),"")</f>
        <v/>
      </c>
      <c r="Q547" s="169" t="str">
        <f>(VLOOKUP($I547,Capa!$A:$K,11,0))</f>
        <v/>
      </c>
      <c r="R547" s="45" t="str">
        <f>'Dados StatusInvest'!A542</f>
        <v>SRNA3</v>
      </c>
      <c r="S547" s="170">
        <f t="shared" si="234"/>
        <v>288.0288</v>
      </c>
      <c r="T547" s="171">
        <f>VLOOKUP(R547,'Dados StatusInvest'!A:Z,26,0)</f>
        <v>6704467</v>
      </c>
      <c r="U547" s="172">
        <f t="shared" ref="U547:AS547" si="550">IF(AT547="","", RANK(AT547,AT$7:AT$626,0)+RANK(AT547,AT$7:AT$626,0)/10000)</f>
        <v>21.0021</v>
      </c>
      <c r="V547" s="172">
        <f t="shared" si="550"/>
        <v>267.0267</v>
      </c>
      <c r="W547" s="172" t="str">
        <f t="shared" si="550"/>
        <v/>
      </c>
      <c r="X547" s="172" t="str">
        <f t="shared" si="550"/>
        <v/>
      </c>
      <c r="Y547" s="172" t="str">
        <f t="shared" si="550"/>
        <v/>
      </c>
      <c r="Z547" s="172" t="str">
        <f t="shared" si="550"/>
        <v/>
      </c>
      <c r="AA547" s="172" t="str">
        <f t="shared" si="550"/>
        <v/>
      </c>
      <c r="AB547" s="172" t="str">
        <f t="shared" si="550"/>
        <v/>
      </c>
      <c r="AC547" s="172" t="str">
        <f t="shared" si="550"/>
        <v/>
      </c>
      <c r="AD547" s="172" t="str">
        <f t="shared" si="550"/>
        <v/>
      </c>
      <c r="AE547" s="172" t="str">
        <f t="shared" si="550"/>
        <v/>
      </c>
      <c r="AF547" s="172" t="str">
        <f t="shared" si="550"/>
        <v/>
      </c>
      <c r="AG547" s="172" t="str">
        <f t="shared" si="550"/>
        <v/>
      </c>
      <c r="AH547" s="172" t="str">
        <f t="shared" si="550"/>
        <v/>
      </c>
      <c r="AI547" s="172" t="str">
        <f t="shared" si="550"/>
        <v/>
      </c>
      <c r="AJ547" s="172" t="str">
        <f t="shared" si="550"/>
        <v/>
      </c>
      <c r="AK547" s="172" t="str">
        <f t="shared" si="550"/>
        <v/>
      </c>
      <c r="AL547" s="172" t="str">
        <f t="shared" si="550"/>
        <v/>
      </c>
      <c r="AM547" s="172" t="str">
        <f t="shared" si="550"/>
        <v/>
      </c>
      <c r="AN547" s="172" t="str">
        <f t="shared" si="550"/>
        <v/>
      </c>
      <c r="AO547" s="172" t="str">
        <f t="shared" si="550"/>
        <v/>
      </c>
      <c r="AP547" s="172" t="str">
        <f t="shared" si="550"/>
        <v/>
      </c>
      <c r="AQ547" s="172" t="str">
        <f t="shared" si="550"/>
        <v/>
      </c>
      <c r="AR547" s="172" t="str">
        <f t="shared" si="550"/>
        <v/>
      </c>
      <c r="AS547" s="172" t="str">
        <f t="shared" si="550"/>
        <v/>
      </c>
      <c r="AT547" s="173">
        <f>IF(AT$6="","",IF(AT$3="Maior",iferror(VLOOKUP($R547,Capa!$A:$AJ,AT$5,0),0),IF(ISERROR(1/VLOOKUP($R547,Capa!$A:$AJ,AT$5,0)),0,1/VLOOKUP($R547,Capa!$A:$AJ,AT$5,0))))</f>
        <v>0.1189060642</v>
      </c>
      <c r="AU547" s="174">
        <f>IF(AU$6="","",IF(AU$3="Maior",iferror(VLOOKUP($R547,Capa!$A:$AJ,AU$5,0),0),IF(ISERROR(1/VLOOKUP($R547,Capa!$A:$AJ,AU$5,0)),0,1/VLOOKUP($R547,Capa!$A:$AJ,AU$5,0))))</f>
        <v>0</v>
      </c>
      <c r="AV547" s="174" t="str">
        <f>IF(AV$6="","",IF(AV$3="Maior",iferror(VLOOKUP($R547,Capa!$A:$AJ,AV$5,0),0),IF(ISERROR(1/VLOOKUP($R547,Capa!$A:$AJ,AV$5,0)),0,1/VLOOKUP($R547,Capa!$A:$AJ,AV$5,0))))</f>
        <v/>
      </c>
      <c r="AW547" s="174" t="str">
        <f>IF(AW$6="","",IF(AW$3="Maior",iferror(VLOOKUP($R547,Capa!$A:$AJ,AW$5,0),0),IF(ISERROR(1/VLOOKUP($R547,Capa!$A:$AJ,AW$5,0)),0,1/VLOOKUP($R547,Capa!$A:$AJ,AW$5,0))))</f>
        <v/>
      </c>
      <c r="AX547" s="174" t="str">
        <f>IF(AX$6="","",IF(AX$3="Maior",iferror(VLOOKUP($R547,Capa!$A:$AJ,AX$5,0),0),IF(ISERROR(1/VLOOKUP($R547,Capa!$A:$AJ,AX$5,0)),0,1/VLOOKUP($R547,Capa!$A:$AJ,AX$5,0))))</f>
        <v/>
      </c>
      <c r="AY547" s="174" t="str">
        <f>IF(AY$6="","",IF(AY$3="Maior",iferror(VLOOKUP($R547,Capa!$A:$AJ,AY$5,0),0),IF(ISERROR(1/VLOOKUP($R547,Capa!$A:$AJ,AY$5,0)),0,1/VLOOKUP($R547,Capa!$A:$AJ,AY$5,0))))</f>
        <v/>
      </c>
      <c r="AZ547" s="174" t="str">
        <f>IF(AZ$6="","",IF(AZ$3="Maior",iferror(VLOOKUP($R547,Capa!$A:$AJ,AZ$5,0),0),IF(ISERROR(1/VLOOKUP($R547,Capa!$A:$AJ,AZ$5,0)),0,1/VLOOKUP($R547,Capa!$A:$AJ,AZ$5,0))))</f>
        <v/>
      </c>
      <c r="BA547" s="174" t="str">
        <f>IF(BA$6="","",IF(BA$3="Maior",iferror(VLOOKUP($R547,Capa!$A:$AJ,BA$5,0),0),IF(ISERROR(1/VLOOKUP($R547,Capa!$A:$AJ,BA$5,0)),0,1/VLOOKUP($R547,Capa!$A:$AJ,BA$5,0))))</f>
        <v/>
      </c>
      <c r="BB547" s="174" t="str">
        <f>IF(BB$6="","",IF(BB$3="Maior",iferror(VLOOKUP($R547,Capa!$A:$AJ,BB$5,0),0),IF(ISERROR(1/VLOOKUP($R547,Capa!$A:$AJ,BB$5,0)),0,1/VLOOKUP($R547,Capa!$A:$AJ,BB$5,0))))</f>
        <v/>
      </c>
      <c r="BC547" s="174" t="str">
        <f>IF(BC$6="","",IF(BC$3="Maior",iferror(VLOOKUP($R547,Capa!$A:$AJ,BC$5,0),0),IF(ISERROR(1/VLOOKUP($R547,Capa!$A:$AJ,BC$5,0)),0,1/VLOOKUP($R547,Capa!$A:$AJ,BC$5,0))))</f>
        <v/>
      </c>
      <c r="BD547" s="174" t="str">
        <f>IF(BD$6="","",IF(BD$3="Maior",iferror(VLOOKUP($R547,Capa!$A:$AJ,BD$5,0),0),IF(ISERROR(1/VLOOKUP($R547,Capa!$A:$AJ,BD$5,0)),0,1/VLOOKUP($R547,Capa!$A:$AJ,BD$5,0))))</f>
        <v/>
      </c>
      <c r="BE547" s="174" t="str">
        <f>IF(BE$6="","",IF(BE$3="Maior",iferror(VLOOKUP($R547,Capa!$A:$AJ,BE$5,0),0),IF(ISERROR(1/VLOOKUP($R547,Capa!$A:$AJ,BE$5,0)),0,1/VLOOKUP($R547,Capa!$A:$AJ,BE$5,0))))</f>
        <v/>
      </c>
      <c r="BF547" s="174" t="str">
        <f>IF(BF$6="","",IF(BF$3="Maior",iferror(VLOOKUP($R547,Capa!$A:$AJ,BF$5,0),0),IF(ISERROR(1/VLOOKUP($R547,Capa!$A:$AJ,BF$5,0)),0,1/VLOOKUP($R547,Capa!$A:$AJ,BF$5,0))))</f>
        <v/>
      </c>
      <c r="BG547" s="174" t="str">
        <f>IF(BG$6="","",IF(BG$3="Maior",iferror(VLOOKUP($R547,Capa!$A:$AJ,BG$5,0),0),IF(ISERROR(1/VLOOKUP($R547,Capa!$A:$AJ,BG$5,0)),0,1/VLOOKUP($R547,Capa!$A:$AJ,BG$5,0))))</f>
        <v/>
      </c>
      <c r="BH547" s="174" t="str">
        <f>IF(BH$6="","",IF(BH$3="Maior",iferror(VLOOKUP($R547,Capa!$A:$AJ,BH$5,0),0),IF(ISERROR(1/VLOOKUP($R547,Capa!$A:$AJ,BH$5,0)),0,1/VLOOKUP($R547,Capa!$A:$AJ,BH$5,0))))</f>
        <v/>
      </c>
      <c r="BI547" s="174" t="str">
        <f>IF(BI$6="","",IF(BI$3="Maior",iferror(VLOOKUP($R547,Capa!$A:$AJ,BI$5,0),0),IF(ISERROR(1/VLOOKUP($R547,Capa!$A:$AJ,BI$5,0)),0,1/VLOOKUP($R547,Capa!$A:$AJ,BI$5,0))))</f>
        <v/>
      </c>
      <c r="BJ547" s="174" t="str">
        <f>IF(BJ$6="","",IF(BJ$3="Maior",iferror(VLOOKUP($R547,Capa!$A:$AJ,BJ$5,0),0),IF(ISERROR(1/VLOOKUP($R547,Capa!$A:$AJ,BJ$5,0)),0,1/VLOOKUP($R547,Capa!$A:$AJ,BJ$5,0))))</f>
        <v/>
      </c>
      <c r="BK547" s="174" t="str">
        <f>IF(BK$6="","",IF(BK$3="Maior",iferror(VLOOKUP($R547,Capa!$A:$AJ,BK$5,0),0),IF(ISERROR(1/VLOOKUP($R547,Capa!$A:$AJ,BK$5,0)),0,1/VLOOKUP($R547,Capa!$A:$AJ,BK$5,0))))</f>
        <v/>
      </c>
      <c r="BL547" s="174" t="str">
        <f>IF(BL$6="","",IF(BL$3="Maior",iferror(VLOOKUP($R547,Capa!$A:$AJ,BL$5,0),0),IF(ISERROR(1/VLOOKUP($R547,Capa!$A:$AJ,BL$5,0)),0,1/VLOOKUP($R547,Capa!$A:$AJ,BL$5,0))))</f>
        <v/>
      </c>
      <c r="BM547" s="174" t="str">
        <f>IF(BM$6="","",IF(BM$3="Maior",iferror(VLOOKUP($R547,Capa!$A:$AJ,BM$5,0),0),IF(ISERROR(1/VLOOKUP($R547,Capa!$A:$AJ,BM$5,0)),0,1/VLOOKUP($R547,Capa!$A:$AJ,BM$5,0))))</f>
        <v/>
      </c>
      <c r="BN547" s="174" t="str">
        <f>IF(BN$6="","",IF(BN$3="Maior",iferror(VLOOKUP($R547,Capa!$A:$AJ,BN$5,0),0),IF(ISERROR(1/VLOOKUP($R547,Capa!$A:$AJ,BN$5,0)),0,1/VLOOKUP($R547,Capa!$A:$AJ,BN$5,0))))</f>
        <v/>
      </c>
      <c r="BO547" s="174" t="str">
        <f>IF(BO$6="","",IF(BO$3="Maior",iferror(VLOOKUP($R547,Capa!$A:$AJ,BO$5,0),0),IF(ISERROR(1/VLOOKUP($R547,Capa!$A:$AJ,BO$5,0)),0,1/VLOOKUP($R547,Capa!$A:$AJ,BO$5,0))))</f>
        <v/>
      </c>
      <c r="BP547" s="174" t="str">
        <f>IF(BP$6="","",IF(BP$3="Maior",iferror(VLOOKUP($R547,Capa!$A:$AJ,BP$5,0),0),IF(ISERROR(1/VLOOKUP($R547,Capa!$A:$AJ,BP$5,0)),0,1/VLOOKUP($R547,Capa!$A:$AJ,BP$5,0))))</f>
        <v/>
      </c>
      <c r="BQ547" s="174" t="str">
        <f>IF(BQ$6="","",IF(BQ$3="Maior",iferror(VLOOKUP($R547,Capa!$A:$AJ,BQ$5,0),0),IF(ISERROR(1/VLOOKUP($R547,Capa!$A:$AJ,BQ$5,0)),0,1/VLOOKUP($R547,Capa!$A:$AJ,BQ$5,0))))</f>
        <v/>
      </c>
      <c r="BR547" s="175"/>
      <c r="BS547" s="147"/>
    </row>
    <row r="548">
      <c r="H548" s="8">
        <v>542.0</v>
      </c>
      <c r="I548" s="165" t="str">
        <f t="shared" si="6"/>
        <v>INEP4</v>
      </c>
      <c r="J548" s="166" t="str">
        <f>(VLOOKUP($I548,Capa!$A:$B,2,0))</f>
        <v>Inepr SA Indstr e Constrs em Rcprco Jdcl Preference Shares</v>
      </c>
      <c r="K548" s="167" t="str">
        <f>VLOOKUP(left(I548,4),Setor!A:D,3,0)&amp;" | "&amp;VLOOKUP(left(I548,4),Setor!A:D,4,0)</f>
        <v>Bens Industriais | Máquinas e Equipamentos</v>
      </c>
      <c r="L548" s="168">
        <f>(VLOOKUP($I548,Capa!$A:$F,6,0))</f>
        <v>1.15</v>
      </c>
      <c r="M548" s="168">
        <f t="shared" si="7"/>
        <v>62412.29</v>
      </c>
      <c r="N548" s="11" t="str">
        <f>IFERROR(__xludf.DUMMYFUNCTION("(VLOOKUP($I548,Capa!$A:$H,7,0))"),"")</f>
        <v/>
      </c>
      <c r="O548" s="169">
        <f>(VLOOKUP($I548,Capa!$A:$H,8,0))</f>
        <v>-0.06504065041</v>
      </c>
      <c r="P548" s="11" t="str">
        <f>IFERROR(__xludf.DUMMYFUNCTION("(VLOOKUP($I548,Capa!$A:$J,10,0))"),"")</f>
        <v/>
      </c>
      <c r="Q548" s="169">
        <f>(VLOOKUP($I548,Capa!$A:$K,11,0))</f>
        <v>-0.2333333333</v>
      </c>
      <c r="R548" s="45" t="str">
        <f>'Dados StatusInvest'!A543</f>
        <v>STBP3</v>
      </c>
      <c r="S548" s="170">
        <f t="shared" si="234"/>
        <v>131.0131</v>
      </c>
      <c r="T548" s="171">
        <f>VLOOKUP(R548,'Dados StatusInvest'!A:Z,26,0)</f>
        <v>3082209</v>
      </c>
      <c r="U548" s="172">
        <f t="shared" ref="U548:AS548" si="551">IF(AT548="","", RANK(AT548,AT$7:AT$626,0)+RANK(AT548,AT$7:AT$626,0)/10000)</f>
        <v>128.0128</v>
      </c>
      <c r="V548" s="172">
        <f t="shared" si="551"/>
        <v>3.0003</v>
      </c>
      <c r="W548" s="172" t="str">
        <f t="shared" si="551"/>
        <v/>
      </c>
      <c r="X548" s="172" t="str">
        <f t="shared" si="551"/>
        <v/>
      </c>
      <c r="Y548" s="172" t="str">
        <f t="shared" si="551"/>
        <v/>
      </c>
      <c r="Z548" s="172" t="str">
        <f t="shared" si="551"/>
        <v/>
      </c>
      <c r="AA548" s="172" t="str">
        <f t="shared" si="551"/>
        <v/>
      </c>
      <c r="AB548" s="172" t="str">
        <f t="shared" si="551"/>
        <v/>
      </c>
      <c r="AC548" s="172" t="str">
        <f t="shared" si="551"/>
        <v/>
      </c>
      <c r="AD548" s="172" t="str">
        <f t="shared" si="551"/>
        <v/>
      </c>
      <c r="AE548" s="172" t="str">
        <f t="shared" si="551"/>
        <v/>
      </c>
      <c r="AF548" s="172" t="str">
        <f t="shared" si="551"/>
        <v/>
      </c>
      <c r="AG548" s="172" t="str">
        <f t="shared" si="551"/>
        <v/>
      </c>
      <c r="AH548" s="172" t="str">
        <f t="shared" si="551"/>
        <v/>
      </c>
      <c r="AI548" s="172" t="str">
        <f t="shared" si="551"/>
        <v/>
      </c>
      <c r="AJ548" s="172" t="str">
        <f t="shared" si="551"/>
        <v/>
      </c>
      <c r="AK548" s="172" t="str">
        <f t="shared" si="551"/>
        <v/>
      </c>
      <c r="AL548" s="172" t="str">
        <f t="shared" si="551"/>
        <v/>
      </c>
      <c r="AM548" s="172" t="str">
        <f t="shared" si="551"/>
        <v/>
      </c>
      <c r="AN548" s="172" t="str">
        <f t="shared" si="551"/>
        <v/>
      </c>
      <c r="AO548" s="172" t="str">
        <f t="shared" si="551"/>
        <v/>
      </c>
      <c r="AP548" s="172" t="str">
        <f t="shared" si="551"/>
        <v/>
      </c>
      <c r="AQ548" s="172" t="str">
        <f t="shared" si="551"/>
        <v/>
      </c>
      <c r="AR548" s="172" t="str">
        <f t="shared" si="551"/>
        <v/>
      </c>
      <c r="AS548" s="172" t="str">
        <f t="shared" si="551"/>
        <v/>
      </c>
      <c r="AT548" s="173">
        <f>IF(AT$6="","",IF(AT$3="Maior",iferror(VLOOKUP($R548,Capa!$A:$AJ,AT$5,0),0),IF(ISERROR(1/VLOOKUP($R548,Capa!$A:$AJ,AT$5,0)),0,1/VLOOKUP($R548,Capa!$A:$AJ,AT$5,0))))</f>
        <v>-0.02434274586</v>
      </c>
      <c r="AU548" s="174">
        <f>IF(AU$6="","",IF(AU$3="Maior",iferror(VLOOKUP($R548,Capa!$A:$AJ,AU$5,0),0),IF(ISERROR(1/VLOOKUP($R548,Capa!$A:$AJ,AU$5,0)),0,1/VLOOKUP($R548,Capa!$A:$AJ,AU$5,0))))</f>
        <v>122.03</v>
      </c>
      <c r="AV548" s="174" t="str">
        <f>IF(AV$6="","",IF(AV$3="Maior",iferror(VLOOKUP($R548,Capa!$A:$AJ,AV$5,0),0),IF(ISERROR(1/VLOOKUP($R548,Capa!$A:$AJ,AV$5,0)),0,1/VLOOKUP($R548,Capa!$A:$AJ,AV$5,0))))</f>
        <v/>
      </c>
      <c r="AW548" s="174" t="str">
        <f>IF(AW$6="","",IF(AW$3="Maior",iferror(VLOOKUP($R548,Capa!$A:$AJ,AW$5,0),0),IF(ISERROR(1/VLOOKUP($R548,Capa!$A:$AJ,AW$5,0)),0,1/VLOOKUP($R548,Capa!$A:$AJ,AW$5,0))))</f>
        <v/>
      </c>
      <c r="AX548" s="174" t="str">
        <f>IF(AX$6="","",IF(AX$3="Maior",iferror(VLOOKUP($R548,Capa!$A:$AJ,AX$5,0),0),IF(ISERROR(1/VLOOKUP($R548,Capa!$A:$AJ,AX$5,0)),0,1/VLOOKUP($R548,Capa!$A:$AJ,AX$5,0))))</f>
        <v/>
      </c>
      <c r="AY548" s="174" t="str">
        <f>IF(AY$6="","",IF(AY$3="Maior",iferror(VLOOKUP($R548,Capa!$A:$AJ,AY$5,0),0),IF(ISERROR(1/VLOOKUP($R548,Capa!$A:$AJ,AY$5,0)),0,1/VLOOKUP($R548,Capa!$A:$AJ,AY$5,0))))</f>
        <v/>
      </c>
      <c r="AZ548" s="174" t="str">
        <f>IF(AZ$6="","",IF(AZ$3="Maior",iferror(VLOOKUP($R548,Capa!$A:$AJ,AZ$5,0),0),IF(ISERROR(1/VLOOKUP($R548,Capa!$A:$AJ,AZ$5,0)),0,1/VLOOKUP($R548,Capa!$A:$AJ,AZ$5,0))))</f>
        <v/>
      </c>
      <c r="BA548" s="174" t="str">
        <f>IF(BA$6="","",IF(BA$3="Maior",iferror(VLOOKUP($R548,Capa!$A:$AJ,BA$5,0),0),IF(ISERROR(1/VLOOKUP($R548,Capa!$A:$AJ,BA$5,0)),0,1/VLOOKUP($R548,Capa!$A:$AJ,BA$5,0))))</f>
        <v/>
      </c>
      <c r="BB548" s="174" t="str">
        <f>IF(BB$6="","",IF(BB$3="Maior",iferror(VLOOKUP($R548,Capa!$A:$AJ,BB$5,0),0),IF(ISERROR(1/VLOOKUP($R548,Capa!$A:$AJ,BB$5,0)),0,1/VLOOKUP($R548,Capa!$A:$AJ,BB$5,0))))</f>
        <v/>
      </c>
      <c r="BC548" s="174" t="str">
        <f>IF(BC$6="","",IF(BC$3="Maior",iferror(VLOOKUP($R548,Capa!$A:$AJ,BC$5,0),0),IF(ISERROR(1/VLOOKUP($R548,Capa!$A:$AJ,BC$5,0)),0,1/VLOOKUP($R548,Capa!$A:$AJ,BC$5,0))))</f>
        <v/>
      </c>
      <c r="BD548" s="174" t="str">
        <f>IF(BD$6="","",IF(BD$3="Maior",iferror(VLOOKUP($R548,Capa!$A:$AJ,BD$5,0),0),IF(ISERROR(1/VLOOKUP($R548,Capa!$A:$AJ,BD$5,0)),0,1/VLOOKUP($R548,Capa!$A:$AJ,BD$5,0))))</f>
        <v/>
      </c>
      <c r="BE548" s="174" t="str">
        <f>IF(BE$6="","",IF(BE$3="Maior",iferror(VLOOKUP($R548,Capa!$A:$AJ,BE$5,0),0),IF(ISERROR(1/VLOOKUP($R548,Capa!$A:$AJ,BE$5,0)),0,1/VLOOKUP($R548,Capa!$A:$AJ,BE$5,0))))</f>
        <v/>
      </c>
      <c r="BF548" s="174" t="str">
        <f>IF(BF$6="","",IF(BF$3="Maior",iferror(VLOOKUP($R548,Capa!$A:$AJ,BF$5,0),0),IF(ISERROR(1/VLOOKUP($R548,Capa!$A:$AJ,BF$5,0)),0,1/VLOOKUP($R548,Capa!$A:$AJ,BF$5,0))))</f>
        <v/>
      </c>
      <c r="BG548" s="174" t="str">
        <f>IF(BG$6="","",IF(BG$3="Maior",iferror(VLOOKUP($R548,Capa!$A:$AJ,BG$5,0),0),IF(ISERROR(1/VLOOKUP($R548,Capa!$A:$AJ,BG$5,0)),0,1/VLOOKUP($R548,Capa!$A:$AJ,BG$5,0))))</f>
        <v/>
      </c>
      <c r="BH548" s="174" t="str">
        <f>IF(BH$6="","",IF(BH$3="Maior",iferror(VLOOKUP($R548,Capa!$A:$AJ,BH$5,0),0),IF(ISERROR(1/VLOOKUP($R548,Capa!$A:$AJ,BH$5,0)),0,1/VLOOKUP($R548,Capa!$A:$AJ,BH$5,0))))</f>
        <v/>
      </c>
      <c r="BI548" s="174" t="str">
        <f>IF(BI$6="","",IF(BI$3="Maior",iferror(VLOOKUP($R548,Capa!$A:$AJ,BI$5,0),0),IF(ISERROR(1/VLOOKUP($R548,Capa!$A:$AJ,BI$5,0)),0,1/VLOOKUP($R548,Capa!$A:$AJ,BI$5,0))))</f>
        <v/>
      </c>
      <c r="BJ548" s="174" t="str">
        <f>IF(BJ$6="","",IF(BJ$3="Maior",iferror(VLOOKUP($R548,Capa!$A:$AJ,BJ$5,0),0),IF(ISERROR(1/VLOOKUP($R548,Capa!$A:$AJ,BJ$5,0)),0,1/VLOOKUP($R548,Capa!$A:$AJ,BJ$5,0))))</f>
        <v/>
      </c>
      <c r="BK548" s="174" t="str">
        <f>IF(BK$6="","",IF(BK$3="Maior",iferror(VLOOKUP($R548,Capa!$A:$AJ,BK$5,0),0),IF(ISERROR(1/VLOOKUP($R548,Capa!$A:$AJ,BK$5,0)),0,1/VLOOKUP($R548,Capa!$A:$AJ,BK$5,0))))</f>
        <v/>
      </c>
      <c r="BL548" s="174" t="str">
        <f>IF(BL$6="","",IF(BL$3="Maior",iferror(VLOOKUP($R548,Capa!$A:$AJ,BL$5,0),0),IF(ISERROR(1/VLOOKUP($R548,Capa!$A:$AJ,BL$5,0)),0,1/VLOOKUP($R548,Capa!$A:$AJ,BL$5,0))))</f>
        <v/>
      </c>
      <c r="BM548" s="174" t="str">
        <f>IF(BM$6="","",IF(BM$3="Maior",iferror(VLOOKUP($R548,Capa!$A:$AJ,BM$5,0),0),IF(ISERROR(1/VLOOKUP($R548,Capa!$A:$AJ,BM$5,0)),0,1/VLOOKUP($R548,Capa!$A:$AJ,BM$5,0))))</f>
        <v/>
      </c>
      <c r="BN548" s="174" t="str">
        <f>IF(BN$6="","",IF(BN$3="Maior",iferror(VLOOKUP($R548,Capa!$A:$AJ,BN$5,0),0),IF(ISERROR(1/VLOOKUP($R548,Capa!$A:$AJ,BN$5,0)),0,1/VLOOKUP($R548,Capa!$A:$AJ,BN$5,0))))</f>
        <v/>
      </c>
      <c r="BO548" s="174" t="str">
        <f>IF(BO$6="","",IF(BO$3="Maior",iferror(VLOOKUP($R548,Capa!$A:$AJ,BO$5,0),0),IF(ISERROR(1/VLOOKUP($R548,Capa!$A:$AJ,BO$5,0)),0,1/VLOOKUP($R548,Capa!$A:$AJ,BO$5,0))))</f>
        <v/>
      </c>
      <c r="BP548" s="174" t="str">
        <f>IF(BP$6="","",IF(BP$3="Maior",iferror(VLOOKUP($R548,Capa!$A:$AJ,BP$5,0),0),IF(ISERROR(1/VLOOKUP($R548,Capa!$A:$AJ,BP$5,0)),0,1/VLOOKUP($R548,Capa!$A:$AJ,BP$5,0))))</f>
        <v/>
      </c>
      <c r="BQ548" s="174" t="str">
        <f>IF(BQ$6="","",IF(BQ$3="Maior",iferror(VLOOKUP($R548,Capa!$A:$AJ,BQ$5,0),0),IF(ISERROR(1/VLOOKUP($R548,Capa!$A:$AJ,BQ$5,0)),0,1/VLOOKUP($R548,Capa!$A:$AJ,BQ$5,0))))</f>
        <v/>
      </c>
      <c r="BR548" s="175"/>
      <c r="BS548" s="147"/>
    </row>
    <row r="549">
      <c r="H549" s="8">
        <v>543.0</v>
      </c>
      <c r="I549" s="165" t="str">
        <f t="shared" si="6"/>
        <v>AZEV3</v>
      </c>
      <c r="J549" s="166" t="str">
        <f>(VLOOKUP($I549,Capa!$A:$B,2,0))</f>
        <v>Azevedo &amp; Travassos SA</v>
      </c>
      <c r="K549" s="167" t="str">
        <f>VLOOKUP(left(I549,4),Setor!A:D,3,0)&amp;" | "&amp;VLOOKUP(left(I549,4),Setor!A:D,4,0)</f>
        <v>Bens Industriais | Construção e Engenharia</v>
      </c>
      <c r="L549" s="168">
        <f>(VLOOKUP($I549,Capa!$A:$F,6,0))</f>
        <v>0.25</v>
      </c>
      <c r="M549" s="168">
        <f t="shared" si="7"/>
        <v>483773.5</v>
      </c>
      <c r="N549" s="11" t="str">
        <f>IFERROR(__xludf.DUMMYFUNCTION("(VLOOKUP($I549,Capa!$A:$H,7,0))"),"")</f>
        <v/>
      </c>
      <c r="O549" s="169">
        <f>(VLOOKUP($I549,Capa!$A:$H,8,0))</f>
        <v>-0.3055555556</v>
      </c>
      <c r="P549" s="11" t="str">
        <f>IFERROR(__xludf.DUMMYFUNCTION("(VLOOKUP($I549,Capa!$A:$J,10,0))"),"")</f>
        <v/>
      </c>
      <c r="Q549" s="169">
        <f>(VLOOKUP($I549,Capa!$A:$K,11,0))</f>
        <v>-0.6835443038</v>
      </c>
      <c r="R549" s="45" t="str">
        <f>'Dados StatusInvest'!A544</f>
        <v>STKF3</v>
      </c>
      <c r="S549" s="170">
        <f t="shared" si="234"/>
        <v>1151.0151</v>
      </c>
      <c r="T549" s="171">
        <f>VLOOKUP(R549,'Dados StatusInvest'!A:Z,26,0)</f>
        <v>0</v>
      </c>
      <c r="U549" s="172">
        <f t="shared" ref="U549:AS549" si="552">IF(AT549="","", RANK(AT549,AT$7:AT$626,0)+RANK(AT549,AT$7:AT$626,0)/10000)</f>
        <v>51.0051</v>
      </c>
      <c r="V549" s="172">
        <f t="shared" si="552"/>
        <v>100.01</v>
      </c>
      <c r="W549" s="172" t="str">
        <f t="shared" si="552"/>
        <v/>
      </c>
      <c r="X549" s="172" t="str">
        <f t="shared" si="552"/>
        <v/>
      </c>
      <c r="Y549" s="172" t="str">
        <f t="shared" si="552"/>
        <v/>
      </c>
      <c r="Z549" s="172" t="str">
        <f t="shared" si="552"/>
        <v/>
      </c>
      <c r="AA549" s="172" t="str">
        <f t="shared" si="552"/>
        <v/>
      </c>
      <c r="AB549" s="172" t="str">
        <f t="shared" si="552"/>
        <v/>
      </c>
      <c r="AC549" s="172" t="str">
        <f t="shared" si="552"/>
        <v/>
      </c>
      <c r="AD549" s="172" t="str">
        <f t="shared" si="552"/>
        <v/>
      </c>
      <c r="AE549" s="172" t="str">
        <f t="shared" si="552"/>
        <v/>
      </c>
      <c r="AF549" s="172" t="str">
        <f t="shared" si="552"/>
        <v/>
      </c>
      <c r="AG549" s="172" t="str">
        <f t="shared" si="552"/>
        <v/>
      </c>
      <c r="AH549" s="172" t="str">
        <f t="shared" si="552"/>
        <v/>
      </c>
      <c r="AI549" s="172" t="str">
        <f t="shared" si="552"/>
        <v/>
      </c>
      <c r="AJ549" s="172" t="str">
        <f t="shared" si="552"/>
        <v/>
      </c>
      <c r="AK549" s="172" t="str">
        <f t="shared" si="552"/>
        <v/>
      </c>
      <c r="AL549" s="172" t="str">
        <f t="shared" si="552"/>
        <v/>
      </c>
      <c r="AM549" s="172" t="str">
        <f t="shared" si="552"/>
        <v/>
      </c>
      <c r="AN549" s="172" t="str">
        <f t="shared" si="552"/>
        <v/>
      </c>
      <c r="AO549" s="172" t="str">
        <f t="shared" si="552"/>
        <v/>
      </c>
      <c r="AP549" s="172" t="str">
        <f t="shared" si="552"/>
        <v/>
      </c>
      <c r="AQ549" s="172" t="str">
        <f t="shared" si="552"/>
        <v/>
      </c>
      <c r="AR549" s="172" t="str">
        <f t="shared" si="552"/>
        <v/>
      </c>
      <c r="AS549" s="172" t="str">
        <f t="shared" si="552"/>
        <v/>
      </c>
      <c r="AT549" s="173">
        <f>IF(AT$6="","",IF(AT$3="Maior",iferror(VLOOKUP($R549,Capa!$A:$AJ,AT$5,0),0),IF(ISERROR(1/VLOOKUP($R549,Capa!$A:$AJ,AT$5,0)),0,1/VLOOKUP($R549,Capa!$A:$AJ,AT$5,0))))</f>
        <v>0</v>
      </c>
      <c r="AU549" s="174">
        <f>IF(AU$6="","",IF(AU$3="Maior",iferror(VLOOKUP($R549,Capa!$A:$AJ,AU$5,0),0),IF(ISERROR(1/VLOOKUP($R549,Capa!$A:$AJ,AU$5,0)),0,1/VLOOKUP($R549,Capa!$A:$AJ,AU$5,0))))</f>
        <v>27.74</v>
      </c>
      <c r="AV549" s="174" t="str">
        <f>IF(AV$6="","",IF(AV$3="Maior",iferror(VLOOKUP($R549,Capa!$A:$AJ,AV$5,0),0),IF(ISERROR(1/VLOOKUP($R549,Capa!$A:$AJ,AV$5,0)),0,1/VLOOKUP($R549,Capa!$A:$AJ,AV$5,0))))</f>
        <v/>
      </c>
      <c r="AW549" s="174" t="str">
        <f>IF(AW$6="","",IF(AW$3="Maior",iferror(VLOOKUP($R549,Capa!$A:$AJ,AW$5,0),0),IF(ISERROR(1/VLOOKUP($R549,Capa!$A:$AJ,AW$5,0)),0,1/VLOOKUP($R549,Capa!$A:$AJ,AW$5,0))))</f>
        <v/>
      </c>
      <c r="AX549" s="174" t="str">
        <f>IF(AX$6="","",IF(AX$3="Maior",iferror(VLOOKUP($R549,Capa!$A:$AJ,AX$5,0),0),IF(ISERROR(1/VLOOKUP($R549,Capa!$A:$AJ,AX$5,0)),0,1/VLOOKUP($R549,Capa!$A:$AJ,AX$5,0))))</f>
        <v/>
      </c>
      <c r="AY549" s="174" t="str">
        <f>IF(AY$6="","",IF(AY$3="Maior",iferror(VLOOKUP($R549,Capa!$A:$AJ,AY$5,0),0),IF(ISERROR(1/VLOOKUP($R549,Capa!$A:$AJ,AY$5,0)),0,1/VLOOKUP($R549,Capa!$A:$AJ,AY$5,0))))</f>
        <v/>
      </c>
      <c r="AZ549" s="174" t="str">
        <f>IF(AZ$6="","",IF(AZ$3="Maior",iferror(VLOOKUP($R549,Capa!$A:$AJ,AZ$5,0),0),IF(ISERROR(1/VLOOKUP($R549,Capa!$A:$AJ,AZ$5,0)),0,1/VLOOKUP($R549,Capa!$A:$AJ,AZ$5,0))))</f>
        <v/>
      </c>
      <c r="BA549" s="174" t="str">
        <f>IF(BA$6="","",IF(BA$3="Maior",iferror(VLOOKUP($R549,Capa!$A:$AJ,BA$5,0),0),IF(ISERROR(1/VLOOKUP($R549,Capa!$A:$AJ,BA$5,0)),0,1/VLOOKUP($R549,Capa!$A:$AJ,BA$5,0))))</f>
        <v/>
      </c>
      <c r="BB549" s="174" t="str">
        <f>IF(BB$6="","",IF(BB$3="Maior",iferror(VLOOKUP($R549,Capa!$A:$AJ,BB$5,0),0),IF(ISERROR(1/VLOOKUP($R549,Capa!$A:$AJ,BB$5,0)),0,1/VLOOKUP($R549,Capa!$A:$AJ,BB$5,0))))</f>
        <v/>
      </c>
      <c r="BC549" s="174" t="str">
        <f>IF(BC$6="","",IF(BC$3="Maior",iferror(VLOOKUP($R549,Capa!$A:$AJ,BC$5,0),0),IF(ISERROR(1/VLOOKUP($R549,Capa!$A:$AJ,BC$5,0)),0,1/VLOOKUP($R549,Capa!$A:$AJ,BC$5,0))))</f>
        <v/>
      </c>
      <c r="BD549" s="174" t="str">
        <f>IF(BD$6="","",IF(BD$3="Maior",iferror(VLOOKUP($R549,Capa!$A:$AJ,BD$5,0),0),IF(ISERROR(1/VLOOKUP($R549,Capa!$A:$AJ,BD$5,0)),0,1/VLOOKUP($R549,Capa!$A:$AJ,BD$5,0))))</f>
        <v/>
      </c>
      <c r="BE549" s="174" t="str">
        <f>IF(BE$6="","",IF(BE$3="Maior",iferror(VLOOKUP($R549,Capa!$A:$AJ,BE$5,0),0),IF(ISERROR(1/VLOOKUP($R549,Capa!$A:$AJ,BE$5,0)),0,1/VLOOKUP($R549,Capa!$A:$AJ,BE$5,0))))</f>
        <v/>
      </c>
      <c r="BF549" s="174" t="str">
        <f>IF(BF$6="","",IF(BF$3="Maior",iferror(VLOOKUP($R549,Capa!$A:$AJ,BF$5,0),0),IF(ISERROR(1/VLOOKUP($R549,Capa!$A:$AJ,BF$5,0)),0,1/VLOOKUP($R549,Capa!$A:$AJ,BF$5,0))))</f>
        <v/>
      </c>
      <c r="BG549" s="174" t="str">
        <f>IF(BG$6="","",IF(BG$3="Maior",iferror(VLOOKUP($R549,Capa!$A:$AJ,BG$5,0),0),IF(ISERROR(1/VLOOKUP($R549,Capa!$A:$AJ,BG$5,0)),0,1/VLOOKUP($R549,Capa!$A:$AJ,BG$5,0))))</f>
        <v/>
      </c>
      <c r="BH549" s="174" t="str">
        <f>IF(BH$6="","",IF(BH$3="Maior",iferror(VLOOKUP($R549,Capa!$A:$AJ,BH$5,0),0),IF(ISERROR(1/VLOOKUP($R549,Capa!$A:$AJ,BH$5,0)),0,1/VLOOKUP($R549,Capa!$A:$AJ,BH$5,0))))</f>
        <v/>
      </c>
      <c r="BI549" s="174" t="str">
        <f>IF(BI$6="","",IF(BI$3="Maior",iferror(VLOOKUP($R549,Capa!$A:$AJ,BI$5,0),0),IF(ISERROR(1/VLOOKUP($R549,Capa!$A:$AJ,BI$5,0)),0,1/VLOOKUP($R549,Capa!$A:$AJ,BI$5,0))))</f>
        <v/>
      </c>
      <c r="BJ549" s="174" t="str">
        <f>IF(BJ$6="","",IF(BJ$3="Maior",iferror(VLOOKUP($R549,Capa!$A:$AJ,BJ$5,0),0),IF(ISERROR(1/VLOOKUP($R549,Capa!$A:$AJ,BJ$5,0)),0,1/VLOOKUP($R549,Capa!$A:$AJ,BJ$5,0))))</f>
        <v/>
      </c>
      <c r="BK549" s="174" t="str">
        <f>IF(BK$6="","",IF(BK$3="Maior",iferror(VLOOKUP($R549,Capa!$A:$AJ,BK$5,0),0),IF(ISERROR(1/VLOOKUP($R549,Capa!$A:$AJ,BK$5,0)),0,1/VLOOKUP($R549,Capa!$A:$AJ,BK$5,0))))</f>
        <v/>
      </c>
      <c r="BL549" s="174" t="str">
        <f>IF(BL$6="","",IF(BL$3="Maior",iferror(VLOOKUP($R549,Capa!$A:$AJ,BL$5,0),0),IF(ISERROR(1/VLOOKUP($R549,Capa!$A:$AJ,BL$5,0)),0,1/VLOOKUP($R549,Capa!$A:$AJ,BL$5,0))))</f>
        <v/>
      </c>
      <c r="BM549" s="174" t="str">
        <f>IF(BM$6="","",IF(BM$3="Maior",iferror(VLOOKUP($R549,Capa!$A:$AJ,BM$5,0),0),IF(ISERROR(1/VLOOKUP($R549,Capa!$A:$AJ,BM$5,0)),0,1/VLOOKUP($R549,Capa!$A:$AJ,BM$5,0))))</f>
        <v/>
      </c>
      <c r="BN549" s="174" t="str">
        <f>IF(BN$6="","",IF(BN$3="Maior",iferror(VLOOKUP($R549,Capa!$A:$AJ,BN$5,0),0),IF(ISERROR(1/VLOOKUP($R549,Capa!$A:$AJ,BN$5,0)),0,1/VLOOKUP($R549,Capa!$A:$AJ,BN$5,0))))</f>
        <v/>
      </c>
      <c r="BO549" s="174" t="str">
        <f>IF(BO$6="","",IF(BO$3="Maior",iferror(VLOOKUP($R549,Capa!$A:$AJ,BO$5,0),0),IF(ISERROR(1/VLOOKUP($R549,Capa!$A:$AJ,BO$5,0)),0,1/VLOOKUP($R549,Capa!$A:$AJ,BO$5,0))))</f>
        <v/>
      </c>
      <c r="BP549" s="174" t="str">
        <f>IF(BP$6="","",IF(BP$3="Maior",iferror(VLOOKUP($R549,Capa!$A:$AJ,BP$5,0),0),IF(ISERROR(1/VLOOKUP($R549,Capa!$A:$AJ,BP$5,0)),0,1/VLOOKUP($R549,Capa!$A:$AJ,BP$5,0))))</f>
        <v/>
      </c>
      <c r="BQ549" s="174" t="str">
        <f>IF(BQ$6="","",IF(BQ$3="Maior",iferror(VLOOKUP($R549,Capa!$A:$AJ,BQ$5,0),0),IF(ISERROR(1/VLOOKUP($R549,Capa!$A:$AJ,BQ$5,0)),0,1/VLOOKUP($R549,Capa!$A:$AJ,BQ$5,0))))</f>
        <v/>
      </c>
      <c r="BR549" s="175"/>
      <c r="BS549" s="147"/>
    </row>
    <row r="550">
      <c r="H550" s="8">
        <v>544.0</v>
      </c>
      <c r="I550" s="165" t="str">
        <f t="shared" si="6"/>
        <v>AZEV3</v>
      </c>
      <c r="J550" s="166" t="str">
        <f>(VLOOKUP($I550,Capa!$A:$B,2,0))</f>
        <v>Azevedo &amp; Travassos SA</v>
      </c>
      <c r="K550" s="167" t="str">
        <f>VLOOKUP(left(I550,4),Setor!A:D,3,0)&amp;" | "&amp;VLOOKUP(left(I550,4),Setor!A:D,4,0)</f>
        <v>Bens Industriais | Construção e Engenharia</v>
      </c>
      <c r="L550" s="168">
        <f>(VLOOKUP($I550,Capa!$A:$F,6,0))</f>
        <v>0.25</v>
      </c>
      <c r="M550" s="168">
        <f t="shared" si="7"/>
        <v>483773.5</v>
      </c>
      <c r="N550" s="11" t="str">
        <f>IFERROR(__xludf.DUMMYFUNCTION("(VLOOKUP($I550,Capa!$A:$H,7,0))"),"")</f>
        <v/>
      </c>
      <c r="O550" s="169">
        <f>(VLOOKUP($I550,Capa!$A:$H,8,0))</f>
        <v>-0.3055555556</v>
      </c>
      <c r="P550" s="11" t="str">
        <f>IFERROR(__xludf.DUMMYFUNCTION("(VLOOKUP($I550,Capa!$A:$J,10,0))"),"")</f>
        <v/>
      </c>
      <c r="Q550" s="169">
        <f>(VLOOKUP($I550,Capa!$A:$K,11,0))</f>
        <v>-0.6835443038</v>
      </c>
      <c r="R550" s="45" t="str">
        <f>'Dados StatusInvest'!A545</f>
        <v>STTR3</v>
      </c>
      <c r="S550" s="170">
        <f t="shared" si="234"/>
        <v>1318.0318</v>
      </c>
      <c r="T550" s="171">
        <f>VLOOKUP(R550,'Dados StatusInvest'!A:Z,26,0)</f>
        <v>0</v>
      </c>
      <c r="U550" s="172">
        <f t="shared" ref="U550:AS550" si="553">IF(AT550="","", RANK(AT550,AT$7:AT$626,0)+RANK(AT550,AT$7:AT$626,0)/10000)</f>
        <v>51.0051</v>
      </c>
      <c r="V550" s="172">
        <f t="shared" si="553"/>
        <v>267.0267</v>
      </c>
      <c r="W550" s="172" t="str">
        <f t="shared" si="553"/>
        <v/>
      </c>
      <c r="X550" s="172" t="str">
        <f t="shared" si="553"/>
        <v/>
      </c>
      <c r="Y550" s="172" t="str">
        <f t="shared" si="553"/>
        <v/>
      </c>
      <c r="Z550" s="172" t="str">
        <f t="shared" si="553"/>
        <v/>
      </c>
      <c r="AA550" s="172" t="str">
        <f t="shared" si="553"/>
        <v/>
      </c>
      <c r="AB550" s="172" t="str">
        <f t="shared" si="553"/>
        <v/>
      </c>
      <c r="AC550" s="172" t="str">
        <f t="shared" si="553"/>
        <v/>
      </c>
      <c r="AD550" s="172" t="str">
        <f t="shared" si="553"/>
        <v/>
      </c>
      <c r="AE550" s="172" t="str">
        <f t="shared" si="553"/>
        <v/>
      </c>
      <c r="AF550" s="172" t="str">
        <f t="shared" si="553"/>
        <v/>
      </c>
      <c r="AG550" s="172" t="str">
        <f t="shared" si="553"/>
        <v/>
      </c>
      <c r="AH550" s="172" t="str">
        <f t="shared" si="553"/>
        <v/>
      </c>
      <c r="AI550" s="172" t="str">
        <f t="shared" si="553"/>
        <v/>
      </c>
      <c r="AJ550" s="172" t="str">
        <f t="shared" si="553"/>
        <v/>
      </c>
      <c r="AK550" s="172" t="str">
        <f t="shared" si="553"/>
        <v/>
      </c>
      <c r="AL550" s="172" t="str">
        <f t="shared" si="553"/>
        <v/>
      </c>
      <c r="AM550" s="172" t="str">
        <f t="shared" si="553"/>
        <v/>
      </c>
      <c r="AN550" s="172" t="str">
        <f t="shared" si="553"/>
        <v/>
      </c>
      <c r="AO550" s="172" t="str">
        <f t="shared" si="553"/>
        <v/>
      </c>
      <c r="AP550" s="172" t="str">
        <f t="shared" si="553"/>
        <v/>
      </c>
      <c r="AQ550" s="172" t="str">
        <f t="shared" si="553"/>
        <v/>
      </c>
      <c r="AR550" s="172" t="str">
        <f t="shared" si="553"/>
        <v/>
      </c>
      <c r="AS550" s="172" t="str">
        <f t="shared" si="553"/>
        <v/>
      </c>
      <c r="AT550" s="173">
        <f>IF(AT$6="","",IF(AT$3="Maior",iferror(VLOOKUP($R550,Capa!$A:$AJ,AT$5,0),0),IF(ISERROR(1/VLOOKUP($R550,Capa!$A:$AJ,AT$5,0)),0,1/VLOOKUP($R550,Capa!$A:$AJ,AT$5,0))))</f>
        <v>0</v>
      </c>
      <c r="AU550" s="174">
        <f>IF(AU$6="","",IF(AU$3="Maior",iferror(VLOOKUP($R550,Capa!$A:$AJ,AU$5,0),0),IF(ISERROR(1/VLOOKUP($R550,Capa!$A:$AJ,AU$5,0)),0,1/VLOOKUP($R550,Capa!$A:$AJ,AU$5,0))))</f>
        <v>0</v>
      </c>
      <c r="AV550" s="174" t="str">
        <f>IF(AV$6="","",IF(AV$3="Maior",iferror(VLOOKUP($R550,Capa!$A:$AJ,AV$5,0),0),IF(ISERROR(1/VLOOKUP($R550,Capa!$A:$AJ,AV$5,0)),0,1/VLOOKUP($R550,Capa!$A:$AJ,AV$5,0))))</f>
        <v/>
      </c>
      <c r="AW550" s="174" t="str">
        <f>IF(AW$6="","",IF(AW$3="Maior",iferror(VLOOKUP($R550,Capa!$A:$AJ,AW$5,0),0),IF(ISERROR(1/VLOOKUP($R550,Capa!$A:$AJ,AW$5,0)),0,1/VLOOKUP($R550,Capa!$A:$AJ,AW$5,0))))</f>
        <v/>
      </c>
      <c r="AX550" s="174" t="str">
        <f>IF(AX$6="","",IF(AX$3="Maior",iferror(VLOOKUP($R550,Capa!$A:$AJ,AX$5,0),0),IF(ISERROR(1/VLOOKUP($R550,Capa!$A:$AJ,AX$5,0)),0,1/VLOOKUP($R550,Capa!$A:$AJ,AX$5,0))))</f>
        <v/>
      </c>
      <c r="AY550" s="174" t="str">
        <f>IF(AY$6="","",IF(AY$3="Maior",iferror(VLOOKUP($R550,Capa!$A:$AJ,AY$5,0),0),IF(ISERROR(1/VLOOKUP($R550,Capa!$A:$AJ,AY$5,0)),0,1/VLOOKUP($R550,Capa!$A:$AJ,AY$5,0))))</f>
        <v/>
      </c>
      <c r="AZ550" s="174" t="str">
        <f>IF(AZ$6="","",IF(AZ$3="Maior",iferror(VLOOKUP($R550,Capa!$A:$AJ,AZ$5,0),0),IF(ISERROR(1/VLOOKUP($R550,Capa!$A:$AJ,AZ$5,0)),0,1/VLOOKUP($R550,Capa!$A:$AJ,AZ$5,0))))</f>
        <v/>
      </c>
      <c r="BA550" s="174" t="str">
        <f>IF(BA$6="","",IF(BA$3="Maior",iferror(VLOOKUP($R550,Capa!$A:$AJ,BA$5,0),0),IF(ISERROR(1/VLOOKUP($R550,Capa!$A:$AJ,BA$5,0)),0,1/VLOOKUP($R550,Capa!$A:$AJ,BA$5,0))))</f>
        <v/>
      </c>
      <c r="BB550" s="174" t="str">
        <f>IF(BB$6="","",IF(BB$3="Maior",iferror(VLOOKUP($R550,Capa!$A:$AJ,BB$5,0),0),IF(ISERROR(1/VLOOKUP($R550,Capa!$A:$AJ,BB$5,0)),0,1/VLOOKUP($R550,Capa!$A:$AJ,BB$5,0))))</f>
        <v/>
      </c>
      <c r="BC550" s="174" t="str">
        <f>IF(BC$6="","",IF(BC$3="Maior",iferror(VLOOKUP($R550,Capa!$A:$AJ,BC$5,0),0),IF(ISERROR(1/VLOOKUP($R550,Capa!$A:$AJ,BC$5,0)),0,1/VLOOKUP($R550,Capa!$A:$AJ,BC$5,0))))</f>
        <v/>
      </c>
      <c r="BD550" s="174" t="str">
        <f>IF(BD$6="","",IF(BD$3="Maior",iferror(VLOOKUP($R550,Capa!$A:$AJ,BD$5,0),0),IF(ISERROR(1/VLOOKUP($R550,Capa!$A:$AJ,BD$5,0)),0,1/VLOOKUP($R550,Capa!$A:$AJ,BD$5,0))))</f>
        <v/>
      </c>
      <c r="BE550" s="174" t="str">
        <f>IF(BE$6="","",IF(BE$3="Maior",iferror(VLOOKUP($R550,Capa!$A:$AJ,BE$5,0),0),IF(ISERROR(1/VLOOKUP($R550,Capa!$A:$AJ,BE$5,0)),0,1/VLOOKUP($R550,Capa!$A:$AJ,BE$5,0))))</f>
        <v/>
      </c>
      <c r="BF550" s="174" t="str">
        <f>IF(BF$6="","",IF(BF$3="Maior",iferror(VLOOKUP($R550,Capa!$A:$AJ,BF$5,0),0),IF(ISERROR(1/VLOOKUP($R550,Capa!$A:$AJ,BF$5,0)),0,1/VLOOKUP($R550,Capa!$A:$AJ,BF$5,0))))</f>
        <v/>
      </c>
      <c r="BG550" s="174" t="str">
        <f>IF(BG$6="","",IF(BG$3="Maior",iferror(VLOOKUP($R550,Capa!$A:$AJ,BG$5,0),0),IF(ISERROR(1/VLOOKUP($R550,Capa!$A:$AJ,BG$5,0)),0,1/VLOOKUP($R550,Capa!$A:$AJ,BG$5,0))))</f>
        <v/>
      </c>
      <c r="BH550" s="174" t="str">
        <f>IF(BH$6="","",IF(BH$3="Maior",iferror(VLOOKUP($R550,Capa!$A:$AJ,BH$5,0),0),IF(ISERROR(1/VLOOKUP($R550,Capa!$A:$AJ,BH$5,0)),0,1/VLOOKUP($R550,Capa!$A:$AJ,BH$5,0))))</f>
        <v/>
      </c>
      <c r="BI550" s="174" t="str">
        <f>IF(BI$6="","",IF(BI$3="Maior",iferror(VLOOKUP($R550,Capa!$A:$AJ,BI$5,0),0),IF(ISERROR(1/VLOOKUP($R550,Capa!$A:$AJ,BI$5,0)),0,1/VLOOKUP($R550,Capa!$A:$AJ,BI$5,0))))</f>
        <v/>
      </c>
      <c r="BJ550" s="174" t="str">
        <f>IF(BJ$6="","",IF(BJ$3="Maior",iferror(VLOOKUP($R550,Capa!$A:$AJ,BJ$5,0),0),IF(ISERROR(1/VLOOKUP($R550,Capa!$A:$AJ,BJ$5,0)),0,1/VLOOKUP($R550,Capa!$A:$AJ,BJ$5,0))))</f>
        <v/>
      </c>
      <c r="BK550" s="174" t="str">
        <f>IF(BK$6="","",IF(BK$3="Maior",iferror(VLOOKUP($R550,Capa!$A:$AJ,BK$5,0),0),IF(ISERROR(1/VLOOKUP($R550,Capa!$A:$AJ,BK$5,0)),0,1/VLOOKUP($R550,Capa!$A:$AJ,BK$5,0))))</f>
        <v/>
      </c>
      <c r="BL550" s="174" t="str">
        <f>IF(BL$6="","",IF(BL$3="Maior",iferror(VLOOKUP($R550,Capa!$A:$AJ,BL$5,0),0),IF(ISERROR(1/VLOOKUP($R550,Capa!$A:$AJ,BL$5,0)),0,1/VLOOKUP($R550,Capa!$A:$AJ,BL$5,0))))</f>
        <v/>
      </c>
      <c r="BM550" s="174" t="str">
        <f>IF(BM$6="","",IF(BM$3="Maior",iferror(VLOOKUP($R550,Capa!$A:$AJ,BM$5,0),0),IF(ISERROR(1/VLOOKUP($R550,Capa!$A:$AJ,BM$5,0)),0,1/VLOOKUP($R550,Capa!$A:$AJ,BM$5,0))))</f>
        <v/>
      </c>
      <c r="BN550" s="174" t="str">
        <f>IF(BN$6="","",IF(BN$3="Maior",iferror(VLOOKUP($R550,Capa!$A:$AJ,BN$5,0),0),IF(ISERROR(1/VLOOKUP($R550,Capa!$A:$AJ,BN$5,0)),0,1/VLOOKUP($R550,Capa!$A:$AJ,BN$5,0))))</f>
        <v/>
      </c>
      <c r="BO550" s="174" t="str">
        <f>IF(BO$6="","",IF(BO$3="Maior",iferror(VLOOKUP($R550,Capa!$A:$AJ,BO$5,0),0),IF(ISERROR(1/VLOOKUP($R550,Capa!$A:$AJ,BO$5,0)),0,1/VLOOKUP($R550,Capa!$A:$AJ,BO$5,0))))</f>
        <v/>
      </c>
      <c r="BP550" s="174" t="str">
        <f>IF(BP$6="","",IF(BP$3="Maior",iferror(VLOOKUP($R550,Capa!$A:$AJ,BP$5,0),0),IF(ISERROR(1/VLOOKUP($R550,Capa!$A:$AJ,BP$5,0)),0,1/VLOOKUP($R550,Capa!$A:$AJ,BP$5,0))))</f>
        <v/>
      </c>
      <c r="BQ550" s="174" t="str">
        <f>IF(BQ$6="","",IF(BQ$3="Maior",iferror(VLOOKUP($R550,Capa!$A:$AJ,BQ$5,0),0),IF(ISERROR(1/VLOOKUP($R550,Capa!$A:$AJ,BQ$5,0)),0,1/VLOOKUP($R550,Capa!$A:$AJ,BQ$5,0))))</f>
        <v/>
      </c>
      <c r="BR550" s="175"/>
      <c r="BS550" s="147"/>
    </row>
    <row r="551">
      <c r="H551" s="8">
        <v>545.0</v>
      </c>
      <c r="I551" s="165" t="str">
        <f t="shared" si="6"/>
        <v>JFEN3</v>
      </c>
      <c r="J551" s="166" t="str">
        <f>(VLOOKUP($I551,Capa!$A:$B,2,0))</f>
        <v>Joao Fortes Engenharia SA</v>
      </c>
      <c r="K551" s="167" t="str">
        <f>VLOOKUP(left(I551,4),Setor!A:D,3,0)&amp;" | "&amp;VLOOKUP(left(I551,4),Setor!A:D,4,0)</f>
        <v>Consumo Cíclico | Construção Civil</v>
      </c>
      <c r="L551" s="168">
        <f>(VLOOKUP($I551,Capa!$A:$F,6,0))</f>
        <v>0.98</v>
      </c>
      <c r="M551" s="168">
        <f t="shared" si="7"/>
        <v>54805.43</v>
      </c>
      <c r="N551" s="11" t="str">
        <f>IFERROR(__xludf.DUMMYFUNCTION("(VLOOKUP($I551,Capa!$A:$H,7,0))"),"")</f>
        <v/>
      </c>
      <c r="O551" s="169">
        <f>(VLOOKUP($I551,Capa!$A:$H,8,0))</f>
        <v>-0.03921568627</v>
      </c>
      <c r="P551" s="11" t="str">
        <f>IFERROR(__xludf.DUMMYFUNCTION("(VLOOKUP($I551,Capa!$A:$J,10,0))"),"")</f>
        <v/>
      </c>
      <c r="Q551" s="169">
        <f>(VLOOKUP($I551,Capa!$A:$K,11,0))</f>
        <v>-0.5916666667</v>
      </c>
      <c r="R551" s="45" t="str">
        <f>'Dados StatusInvest'!A546</f>
        <v>SULA11</v>
      </c>
      <c r="S551" s="170">
        <f t="shared" si="234"/>
        <v>888.0888</v>
      </c>
      <c r="T551" s="171">
        <f>VLOOKUP(R551,'Dados StatusInvest'!A:Z,26,0)</f>
        <v>313000000</v>
      </c>
      <c r="U551" s="172">
        <f t="shared" ref="U551:AS551" si="554">IF(AT551="","", RANK(AT551,AT$7:AT$626,0)+RANK(AT551,AT$7:AT$626,0)/10000)</f>
        <v>283.0283</v>
      </c>
      <c r="V551" s="172">
        <f t="shared" si="554"/>
        <v>605.0605</v>
      </c>
      <c r="W551" s="172" t="str">
        <f t="shared" si="554"/>
        <v/>
      </c>
      <c r="X551" s="172" t="str">
        <f t="shared" si="554"/>
        <v/>
      </c>
      <c r="Y551" s="172" t="str">
        <f t="shared" si="554"/>
        <v/>
      </c>
      <c r="Z551" s="172" t="str">
        <f t="shared" si="554"/>
        <v/>
      </c>
      <c r="AA551" s="172" t="str">
        <f t="shared" si="554"/>
        <v/>
      </c>
      <c r="AB551" s="172" t="str">
        <f t="shared" si="554"/>
        <v/>
      </c>
      <c r="AC551" s="172" t="str">
        <f t="shared" si="554"/>
        <v/>
      </c>
      <c r="AD551" s="172" t="str">
        <f t="shared" si="554"/>
        <v/>
      </c>
      <c r="AE551" s="172" t="str">
        <f t="shared" si="554"/>
        <v/>
      </c>
      <c r="AF551" s="172" t="str">
        <f t="shared" si="554"/>
        <v/>
      </c>
      <c r="AG551" s="172" t="str">
        <f t="shared" si="554"/>
        <v/>
      </c>
      <c r="AH551" s="172" t="str">
        <f t="shared" si="554"/>
        <v/>
      </c>
      <c r="AI551" s="172" t="str">
        <f t="shared" si="554"/>
        <v/>
      </c>
      <c r="AJ551" s="172" t="str">
        <f t="shared" si="554"/>
        <v/>
      </c>
      <c r="AK551" s="172" t="str">
        <f t="shared" si="554"/>
        <v/>
      </c>
      <c r="AL551" s="172" t="str">
        <f t="shared" si="554"/>
        <v/>
      </c>
      <c r="AM551" s="172" t="str">
        <f t="shared" si="554"/>
        <v/>
      </c>
      <c r="AN551" s="172" t="str">
        <f t="shared" si="554"/>
        <v/>
      </c>
      <c r="AO551" s="172" t="str">
        <f t="shared" si="554"/>
        <v/>
      </c>
      <c r="AP551" s="172" t="str">
        <f t="shared" si="554"/>
        <v/>
      </c>
      <c r="AQ551" s="172" t="str">
        <f t="shared" si="554"/>
        <v/>
      </c>
      <c r="AR551" s="172" t="str">
        <f t="shared" si="554"/>
        <v/>
      </c>
      <c r="AS551" s="172" t="str">
        <f t="shared" si="554"/>
        <v/>
      </c>
      <c r="AT551" s="173">
        <f>IF(AT$6="","",IF(AT$3="Maior",iferror(VLOOKUP($R551,Capa!$A:$AJ,AT$5,0),0),IF(ISERROR(1/VLOOKUP($R551,Capa!$A:$AJ,AT$5,0)),0,1/VLOOKUP($R551,Capa!$A:$AJ,AT$5,0))))</f>
        <v>-0.6097560976</v>
      </c>
      <c r="AU551" s="174">
        <f>IF(AU$6="","",IF(AU$3="Maior",iferror(VLOOKUP($R551,Capa!$A:$AJ,AU$5,0),0),IF(ISERROR(1/VLOOKUP($R551,Capa!$A:$AJ,AU$5,0)),0,1/VLOOKUP($R551,Capa!$A:$AJ,AU$5,0))))</f>
        <v>-23.56</v>
      </c>
      <c r="AV551" s="174" t="str">
        <f>IF(AV$6="","",IF(AV$3="Maior",iferror(VLOOKUP($R551,Capa!$A:$AJ,AV$5,0),0),IF(ISERROR(1/VLOOKUP($R551,Capa!$A:$AJ,AV$5,0)),0,1/VLOOKUP($R551,Capa!$A:$AJ,AV$5,0))))</f>
        <v/>
      </c>
      <c r="AW551" s="174" t="str">
        <f>IF(AW$6="","",IF(AW$3="Maior",iferror(VLOOKUP($R551,Capa!$A:$AJ,AW$5,0),0),IF(ISERROR(1/VLOOKUP($R551,Capa!$A:$AJ,AW$5,0)),0,1/VLOOKUP($R551,Capa!$A:$AJ,AW$5,0))))</f>
        <v/>
      </c>
      <c r="AX551" s="174" t="str">
        <f>IF(AX$6="","",IF(AX$3="Maior",iferror(VLOOKUP($R551,Capa!$A:$AJ,AX$5,0),0),IF(ISERROR(1/VLOOKUP($R551,Capa!$A:$AJ,AX$5,0)),0,1/VLOOKUP($R551,Capa!$A:$AJ,AX$5,0))))</f>
        <v/>
      </c>
      <c r="AY551" s="174" t="str">
        <f>IF(AY$6="","",IF(AY$3="Maior",iferror(VLOOKUP($R551,Capa!$A:$AJ,AY$5,0),0),IF(ISERROR(1/VLOOKUP($R551,Capa!$A:$AJ,AY$5,0)),0,1/VLOOKUP($R551,Capa!$A:$AJ,AY$5,0))))</f>
        <v/>
      </c>
      <c r="AZ551" s="174" t="str">
        <f>IF(AZ$6="","",IF(AZ$3="Maior",iferror(VLOOKUP($R551,Capa!$A:$AJ,AZ$5,0),0),IF(ISERROR(1/VLOOKUP($R551,Capa!$A:$AJ,AZ$5,0)),0,1/VLOOKUP($R551,Capa!$A:$AJ,AZ$5,0))))</f>
        <v/>
      </c>
      <c r="BA551" s="174" t="str">
        <f>IF(BA$6="","",IF(BA$3="Maior",iferror(VLOOKUP($R551,Capa!$A:$AJ,BA$5,0),0),IF(ISERROR(1/VLOOKUP($R551,Capa!$A:$AJ,BA$5,0)),0,1/VLOOKUP($R551,Capa!$A:$AJ,BA$5,0))))</f>
        <v/>
      </c>
      <c r="BB551" s="174" t="str">
        <f>IF(BB$6="","",IF(BB$3="Maior",iferror(VLOOKUP($R551,Capa!$A:$AJ,BB$5,0),0),IF(ISERROR(1/VLOOKUP($R551,Capa!$A:$AJ,BB$5,0)),0,1/VLOOKUP($R551,Capa!$A:$AJ,BB$5,0))))</f>
        <v/>
      </c>
      <c r="BC551" s="174" t="str">
        <f>IF(BC$6="","",IF(BC$3="Maior",iferror(VLOOKUP($R551,Capa!$A:$AJ,BC$5,0),0),IF(ISERROR(1/VLOOKUP($R551,Capa!$A:$AJ,BC$5,0)),0,1/VLOOKUP($R551,Capa!$A:$AJ,BC$5,0))))</f>
        <v/>
      </c>
      <c r="BD551" s="174" t="str">
        <f>IF(BD$6="","",IF(BD$3="Maior",iferror(VLOOKUP($R551,Capa!$A:$AJ,BD$5,0),0),IF(ISERROR(1/VLOOKUP($R551,Capa!$A:$AJ,BD$5,0)),0,1/VLOOKUP($R551,Capa!$A:$AJ,BD$5,0))))</f>
        <v/>
      </c>
      <c r="BE551" s="174" t="str">
        <f>IF(BE$6="","",IF(BE$3="Maior",iferror(VLOOKUP($R551,Capa!$A:$AJ,BE$5,0),0),IF(ISERROR(1/VLOOKUP($R551,Capa!$A:$AJ,BE$5,0)),0,1/VLOOKUP($R551,Capa!$A:$AJ,BE$5,0))))</f>
        <v/>
      </c>
      <c r="BF551" s="174" t="str">
        <f>IF(BF$6="","",IF(BF$3="Maior",iferror(VLOOKUP($R551,Capa!$A:$AJ,BF$5,0),0),IF(ISERROR(1/VLOOKUP($R551,Capa!$A:$AJ,BF$5,0)),0,1/VLOOKUP($R551,Capa!$A:$AJ,BF$5,0))))</f>
        <v/>
      </c>
      <c r="BG551" s="174" t="str">
        <f>IF(BG$6="","",IF(BG$3="Maior",iferror(VLOOKUP($R551,Capa!$A:$AJ,BG$5,0),0),IF(ISERROR(1/VLOOKUP($R551,Capa!$A:$AJ,BG$5,0)),0,1/VLOOKUP($R551,Capa!$A:$AJ,BG$5,0))))</f>
        <v/>
      </c>
      <c r="BH551" s="174" t="str">
        <f>IF(BH$6="","",IF(BH$3="Maior",iferror(VLOOKUP($R551,Capa!$A:$AJ,BH$5,0),0),IF(ISERROR(1/VLOOKUP($R551,Capa!$A:$AJ,BH$5,0)),0,1/VLOOKUP($R551,Capa!$A:$AJ,BH$5,0))))</f>
        <v/>
      </c>
      <c r="BI551" s="174" t="str">
        <f>IF(BI$6="","",IF(BI$3="Maior",iferror(VLOOKUP($R551,Capa!$A:$AJ,BI$5,0),0),IF(ISERROR(1/VLOOKUP($R551,Capa!$A:$AJ,BI$5,0)),0,1/VLOOKUP($R551,Capa!$A:$AJ,BI$5,0))))</f>
        <v/>
      </c>
      <c r="BJ551" s="174" t="str">
        <f>IF(BJ$6="","",IF(BJ$3="Maior",iferror(VLOOKUP($R551,Capa!$A:$AJ,BJ$5,0),0),IF(ISERROR(1/VLOOKUP($R551,Capa!$A:$AJ,BJ$5,0)),0,1/VLOOKUP($R551,Capa!$A:$AJ,BJ$5,0))))</f>
        <v/>
      </c>
      <c r="BK551" s="174" t="str">
        <f>IF(BK$6="","",IF(BK$3="Maior",iferror(VLOOKUP($R551,Capa!$A:$AJ,BK$5,0),0),IF(ISERROR(1/VLOOKUP($R551,Capa!$A:$AJ,BK$5,0)),0,1/VLOOKUP($R551,Capa!$A:$AJ,BK$5,0))))</f>
        <v/>
      </c>
      <c r="BL551" s="174" t="str">
        <f>IF(BL$6="","",IF(BL$3="Maior",iferror(VLOOKUP($R551,Capa!$A:$AJ,BL$5,0),0),IF(ISERROR(1/VLOOKUP($R551,Capa!$A:$AJ,BL$5,0)),0,1/VLOOKUP($R551,Capa!$A:$AJ,BL$5,0))))</f>
        <v/>
      </c>
      <c r="BM551" s="174" t="str">
        <f>IF(BM$6="","",IF(BM$3="Maior",iferror(VLOOKUP($R551,Capa!$A:$AJ,BM$5,0),0),IF(ISERROR(1/VLOOKUP($R551,Capa!$A:$AJ,BM$5,0)),0,1/VLOOKUP($R551,Capa!$A:$AJ,BM$5,0))))</f>
        <v/>
      </c>
      <c r="BN551" s="174" t="str">
        <f>IF(BN$6="","",IF(BN$3="Maior",iferror(VLOOKUP($R551,Capa!$A:$AJ,BN$5,0),0),IF(ISERROR(1/VLOOKUP($R551,Capa!$A:$AJ,BN$5,0)),0,1/VLOOKUP($R551,Capa!$A:$AJ,BN$5,0))))</f>
        <v/>
      </c>
      <c r="BO551" s="174" t="str">
        <f>IF(BO$6="","",IF(BO$3="Maior",iferror(VLOOKUP($R551,Capa!$A:$AJ,BO$5,0),0),IF(ISERROR(1/VLOOKUP($R551,Capa!$A:$AJ,BO$5,0)),0,1/VLOOKUP($R551,Capa!$A:$AJ,BO$5,0))))</f>
        <v/>
      </c>
      <c r="BP551" s="174" t="str">
        <f>IF(BP$6="","",IF(BP$3="Maior",iferror(VLOOKUP($R551,Capa!$A:$AJ,BP$5,0),0),IF(ISERROR(1/VLOOKUP($R551,Capa!$A:$AJ,BP$5,0)),0,1/VLOOKUP($R551,Capa!$A:$AJ,BP$5,0))))</f>
        <v/>
      </c>
      <c r="BQ551" s="174" t="str">
        <f>IF(BQ$6="","",IF(BQ$3="Maior",iferror(VLOOKUP($R551,Capa!$A:$AJ,BQ$5,0),0),IF(ISERROR(1/VLOOKUP($R551,Capa!$A:$AJ,BQ$5,0)),0,1/VLOOKUP($R551,Capa!$A:$AJ,BQ$5,0))))</f>
        <v/>
      </c>
      <c r="BR551" s="175"/>
      <c r="BS551" s="147"/>
    </row>
    <row r="552">
      <c r="H552" s="8">
        <v>546.0</v>
      </c>
      <c r="I552" s="165" t="str">
        <f t="shared" si="6"/>
        <v>MWET3</v>
      </c>
      <c r="J552" s="166" t="str">
        <f>(VLOOKUP($I552,Capa!$A:$B,2,0))</f>
        <v>Wetzel SA</v>
      </c>
      <c r="K552" s="167" t="str">
        <f>VLOOKUP(left(I552,4),Setor!A:D,3,0)&amp;" | "&amp;VLOOKUP(left(I552,4),Setor!A:D,4,0)</f>
        <v>Bens Industriais | Material de Transporte</v>
      </c>
      <c r="L552" s="168">
        <f>(VLOOKUP($I552,Capa!$A:$F,6,0))</f>
        <v>16</v>
      </c>
      <c r="M552" s="168">
        <f t="shared" si="7"/>
        <v>400</v>
      </c>
      <c r="N552" s="11" t="str">
        <f>(VLOOKUP($I552,Capa!$A:$H,7,0))</f>
        <v/>
      </c>
      <c r="O552" s="169" t="str">
        <f>(VLOOKUP($I552,Capa!$A:$H,8,0))</f>
        <v/>
      </c>
      <c r="P552" s="11" t="str">
        <f>IFERROR(__xludf.DUMMYFUNCTION("(VLOOKUP($I552,Capa!$A:$J,10,0))"),"")</f>
        <v/>
      </c>
      <c r="Q552" s="169" t="str">
        <f>(VLOOKUP($I552,Capa!$A:$K,11,0))</f>
        <v/>
      </c>
      <c r="R552" s="45" t="str">
        <f>'Dados StatusInvest'!A547</f>
        <v>SULA3</v>
      </c>
      <c r="S552" s="170">
        <f t="shared" si="234"/>
        <v>1875.0875</v>
      </c>
      <c r="T552" s="171">
        <f>VLOOKUP(R552,'Dados StatusInvest'!A:Z,26,0)</f>
        <v>0</v>
      </c>
      <c r="U552" s="172">
        <f t="shared" ref="U552:AS552" si="555">IF(AT552="","", RANK(AT552,AT$7:AT$626,0)+RANK(AT552,AT$7:AT$626,0)/10000)</f>
        <v>270.027</v>
      </c>
      <c r="V552" s="172">
        <f t="shared" si="555"/>
        <v>605.0605</v>
      </c>
      <c r="W552" s="172" t="str">
        <f t="shared" si="555"/>
        <v/>
      </c>
      <c r="X552" s="172" t="str">
        <f t="shared" si="555"/>
        <v/>
      </c>
      <c r="Y552" s="172" t="str">
        <f t="shared" si="555"/>
        <v/>
      </c>
      <c r="Z552" s="172" t="str">
        <f t="shared" si="555"/>
        <v/>
      </c>
      <c r="AA552" s="172" t="str">
        <f t="shared" si="555"/>
        <v/>
      </c>
      <c r="AB552" s="172" t="str">
        <f t="shared" si="555"/>
        <v/>
      </c>
      <c r="AC552" s="172" t="str">
        <f t="shared" si="555"/>
        <v/>
      </c>
      <c r="AD552" s="172" t="str">
        <f t="shared" si="555"/>
        <v/>
      </c>
      <c r="AE552" s="172" t="str">
        <f t="shared" si="555"/>
        <v/>
      </c>
      <c r="AF552" s="172" t="str">
        <f t="shared" si="555"/>
        <v/>
      </c>
      <c r="AG552" s="172" t="str">
        <f t="shared" si="555"/>
        <v/>
      </c>
      <c r="AH552" s="172" t="str">
        <f t="shared" si="555"/>
        <v/>
      </c>
      <c r="AI552" s="172" t="str">
        <f t="shared" si="555"/>
        <v/>
      </c>
      <c r="AJ552" s="172" t="str">
        <f t="shared" si="555"/>
        <v/>
      </c>
      <c r="AK552" s="172" t="str">
        <f t="shared" si="555"/>
        <v/>
      </c>
      <c r="AL552" s="172" t="str">
        <f t="shared" si="555"/>
        <v/>
      </c>
      <c r="AM552" s="172" t="str">
        <f t="shared" si="555"/>
        <v/>
      </c>
      <c r="AN552" s="172" t="str">
        <f t="shared" si="555"/>
        <v/>
      </c>
      <c r="AO552" s="172" t="str">
        <f t="shared" si="555"/>
        <v/>
      </c>
      <c r="AP552" s="172" t="str">
        <f t="shared" si="555"/>
        <v/>
      </c>
      <c r="AQ552" s="172" t="str">
        <f t="shared" si="555"/>
        <v/>
      </c>
      <c r="AR552" s="172" t="str">
        <f t="shared" si="555"/>
        <v/>
      </c>
      <c r="AS552" s="172" t="str">
        <f t="shared" si="555"/>
        <v/>
      </c>
      <c r="AT552" s="173">
        <f>IF(AT$6="","",IF(AT$3="Maior",iferror(VLOOKUP($R552,Capa!$A:$AJ,AT$5,0),0),IF(ISERROR(1/VLOOKUP($R552,Capa!$A:$AJ,AT$5,0)),0,1/VLOOKUP($R552,Capa!$A:$AJ,AT$5,0))))</f>
        <v>-0.5681818182</v>
      </c>
      <c r="AU552" s="174">
        <f>IF(AU$6="","",IF(AU$3="Maior",iferror(VLOOKUP($R552,Capa!$A:$AJ,AU$5,0),0),IF(ISERROR(1/VLOOKUP($R552,Capa!$A:$AJ,AU$5,0)),0,1/VLOOKUP($R552,Capa!$A:$AJ,AU$5,0))))</f>
        <v>-23.56</v>
      </c>
      <c r="AV552" s="174" t="str">
        <f>IF(AV$6="","",IF(AV$3="Maior",iferror(VLOOKUP($R552,Capa!$A:$AJ,AV$5,0),0),IF(ISERROR(1/VLOOKUP($R552,Capa!$A:$AJ,AV$5,0)),0,1/VLOOKUP($R552,Capa!$A:$AJ,AV$5,0))))</f>
        <v/>
      </c>
      <c r="AW552" s="174" t="str">
        <f>IF(AW$6="","",IF(AW$3="Maior",iferror(VLOOKUP($R552,Capa!$A:$AJ,AW$5,0),0),IF(ISERROR(1/VLOOKUP($R552,Capa!$A:$AJ,AW$5,0)),0,1/VLOOKUP($R552,Capa!$A:$AJ,AW$5,0))))</f>
        <v/>
      </c>
      <c r="AX552" s="174" t="str">
        <f>IF(AX$6="","",IF(AX$3="Maior",iferror(VLOOKUP($R552,Capa!$A:$AJ,AX$5,0),0),IF(ISERROR(1/VLOOKUP($R552,Capa!$A:$AJ,AX$5,0)),0,1/VLOOKUP($R552,Capa!$A:$AJ,AX$5,0))))</f>
        <v/>
      </c>
      <c r="AY552" s="174" t="str">
        <f>IF(AY$6="","",IF(AY$3="Maior",iferror(VLOOKUP($R552,Capa!$A:$AJ,AY$5,0),0),IF(ISERROR(1/VLOOKUP($R552,Capa!$A:$AJ,AY$5,0)),0,1/VLOOKUP($R552,Capa!$A:$AJ,AY$5,0))))</f>
        <v/>
      </c>
      <c r="AZ552" s="174" t="str">
        <f>IF(AZ$6="","",IF(AZ$3="Maior",iferror(VLOOKUP($R552,Capa!$A:$AJ,AZ$5,0),0),IF(ISERROR(1/VLOOKUP($R552,Capa!$A:$AJ,AZ$5,0)),0,1/VLOOKUP($R552,Capa!$A:$AJ,AZ$5,0))))</f>
        <v/>
      </c>
      <c r="BA552" s="174" t="str">
        <f>IF(BA$6="","",IF(BA$3="Maior",iferror(VLOOKUP($R552,Capa!$A:$AJ,BA$5,0),0),IF(ISERROR(1/VLOOKUP($R552,Capa!$A:$AJ,BA$5,0)),0,1/VLOOKUP($R552,Capa!$A:$AJ,BA$5,0))))</f>
        <v/>
      </c>
      <c r="BB552" s="174" t="str">
        <f>IF(BB$6="","",IF(BB$3="Maior",iferror(VLOOKUP($R552,Capa!$A:$AJ,BB$5,0),0),IF(ISERROR(1/VLOOKUP($R552,Capa!$A:$AJ,BB$5,0)),0,1/VLOOKUP($R552,Capa!$A:$AJ,BB$5,0))))</f>
        <v/>
      </c>
      <c r="BC552" s="174" t="str">
        <f>IF(BC$6="","",IF(BC$3="Maior",iferror(VLOOKUP($R552,Capa!$A:$AJ,BC$5,0),0),IF(ISERROR(1/VLOOKUP($R552,Capa!$A:$AJ,BC$5,0)),0,1/VLOOKUP($R552,Capa!$A:$AJ,BC$5,0))))</f>
        <v/>
      </c>
      <c r="BD552" s="174" t="str">
        <f>IF(BD$6="","",IF(BD$3="Maior",iferror(VLOOKUP($R552,Capa!$A:$AJ,BD$5,0),0),IF(ISERROR(1/VLOOKUP($R552,Capa!$A:$AJ,BD$5,0)),0,1/VLOOKUP($R552,Capa!$A:$AJ,BD$5,0))))</f>
        <v/>
      </c>
      <c r="BE552" s="174" t="str">
        <f>IF(BE$6="","",IF(BE$3="Maior",iferror(VLOOKUP($R552,Capa!$A:$AJ,BE$5,0),0),IF(ISERROR(1/VLOOKUP($R552,Capa!$A:$AJ,BE$5,0)),0,1/VLOOKUP($R552,Capa!$A:$AJ,BE$5,0))))</f>
        <v/>
      </c>
      <c r="BF552" s="174" t="str">
        <f>IF(BF$6="","",IF(BF$3="Maior",iferror(VLOOKUP($R552,Capa!$A:$AJ,BF$5,0),0),IF(ISERROR(1/VLOOKUP($R552,Capa!$A:$AJ,BF$5,0)),0,1/VLOOKUP($R552,Capa!$A:$AJ,BF$5,0))))</f>
        <v/>
      </c>
      <c r="BG552" s="174" t="str">
        <f>IF(BG$6="","",IF(BG$3="Maior",iferror(VLOOKUP($R552,Capa!$A:$AJ,BG$5,0),0),IF(ISERROR(1/VLOOKUP($R552,Capa!$A:$AJ,BG$5,0)),0,1/VLOOKUP($R552,Capa!$A:$AJ,BG$5,0))))</f>
        <v/>
      </c>
      <c r="BH552" s="174" t="str">
        <f>IF(BH$6="","",IF(BH$3="Maior",iferror(VLOOKUP($R552,Capa!$A:$AJ,BH$5,0),0),IF(ISERROR(1/VLOOKUP($R552,Capa!$A:$AJ,BH$5,0)),0,1/VLOOKUP($R552,Capa!$A:$AJ,BH$5,0))))</f>
        <v/>
      </c>
      <c r="BI552" s="174" t="str">
        <f>IF(BI$6="","",IF(BI$3="Maior",iferror(VLOOKUP($R552,Capa!$A:$AJ,BI$5,0),0),IF(ISERROR(1/VLOOKUP($R552,Capa!$A:$AJ,BI$5,0)),0,1/VLOOKUP($R552,Capa!$A:$AJ,BI$5,0))))</f>
        <v/>
      </c>
      <c r="BJ552" s="174" t="str">
        <f>IF(BJ$6="","",IF(BJ$3="Maior",iferror(VLOOKUP($R552,Capa!$A:$AJ,BJ$5,0),0),IF(ISERROR(1/VLOOKUP($R552,Capa!$A:$AJ,BJ$5,0)),0,1/VLOOKUP($R552,Capa!$A:$AJ,BJ$5,0))))</f>
        <v/>
      </c>
      <c r="BK552" s="174" t="str">
        <f>IF(BK$6="","",IF(BK$3="Maior",iferror(VLOOKUP($R552,Capa!$A:$AJ,BK$5,0),0),IF(ISERROR(1/VLOOKUP($R552,Capa!$A:$AJ,BK$5,0)),0,1/VLOOKUP($R552,Capa!$A:$AJ,BK$5,0))))</f>
        <v/>
      </c>
      <c r="BL552" s="174" t="str">
        <f>IF(BL$6="","",IF(BL$3="Maior",iferror(VLOOKUP($R552,Capa!$A:$AJ,BL$5,0),0),IF(ISERROR(1/VLOOKUP($R552,Capa!$A:$AJ,BL$5,0)),0,1/VLOOKUP($R552,Capa!$A:$AJ,BL$5,0))))</f>
        <v/>
      </c>
      <c r="BM552" s="174" t="str">
        <f>IF(BM$6="","",IF(BM$3="Maior",iferror(VLOOKUP($R552,Capa!$A:$AJ,BM$5,0),0),IF(ISERROR(1/VLOOKUP($R552,Capa!$A:$AJ,BM$5,0)),0,1/VLOOKUP($R552,Capa!$A:$AJ,BM$5,0))))</f>
        <v/>
      </c>
      <c r="BN552" s="174" t="str">
        <f>IF(BN$6="","",IF(BN$3="Maior",iferror(VLOOKUP($R552,Capa!$A:$AJ,BN$5,0),0),IF(ISERROR(1/VLOOKUP($R552,Capa!$A:$AJ,BN$5,0)),0,1/VLOOKUP($R552,Capa!$A:$AJ,BN$5,0))))</f>
        <v/>
      </c>
      <c r="BO552" s="174" t="str">
        <f>IF(BO$6="","",IF(BO$3="Maior",iferror(VLOOKUP($R552,Capa!$A:$AJ,BO$5,0),0),IF(ISERROR(1/VLOOKUP($R552,Capa!$A:$AJ,BO$5,0)),0,1/VLOOKUP($R552,Capa!$A:$AJ,BO$5,0))))</f>
        <v/>
      </c>
      <c r="BP552" s="174" t="str">
        <f>IF(BP$6="","",IF(BP$3="Maior",iferror(VLOOKUP($R552,Capa!$A:$AJ,BP$5,0),0),IF(ISERROR(1/VLOOKUP($R552,Capa!$A:$AJ,BP$5,0)),0,1/VLOOKUP($R552,Capa!$A:$AJ,BP$5,0))))</f>
        <v/>
      </c>
      <c r="BQ552" s="174" t="str">
        <f>IF(BQ$6="","",IF(BQ$3="Maior",iferror(VLOOKUP($R552,Capa!$A:$AJ,BQ$5,0),0),IF(ISERROR(1/VLOOKUP($R552,Capa!$A:$AJ,BQ$5,0)),0,1/VLOOKUP($R552,Capa!$A:$AJ,BQ$5,0))))</f>
        <v/>
      </c>
      <c r="BR552" s="175"/>
      <c r="BS552" s="147"/>
    </row>
    <row r="553">
      <c r="H553" s="8">
        <v>547.0</v>
      </c>
      <c r="I553" s="165" t="str">
        <f t="shared" si="6"/>
        <v>CEDO4</v>
      </c>
      <c r="J553" s="166" t="str">
        <f>(VLOOKUP($I553,Capa!$A:$B,2,0))</f>
        <v>Companhia de Fc  Tcds Cdr Cchr Preference Shares</v>
      </c>
      <c r="K553" s="167" t="str">
        <f>VLOOKUP(left(I553,4),Setor!A:D,3,0)&amp;" | "&amp;VLOOKUP(left(I553,4),Setor!A:D,4,0)</f>
        <v>Consumo Cíclico | Tecidos, Vestuário e Calçados</v>
      </c>
      <c r="L553" s="168">
        <f>(VLOOKUP($I553,Capa!$A:$F,6,0))</f>
        <v>9.65</v>
      </c>
      <c r="M553" s="168">
        <f t="shared" si="7"/>
        <v>9930.56</v>
      </c>
      <c r="N553" s="11" t="str">
        <f>IFERROR(__xludf.DUMMYFUNCTION("(VLOOKUP($I553,Capa!$A:$H,7,0))"),"")</f>
        <v/>
      </c>
      <c r="O553" s="169">
        <f>(VLOOKUP($I553,Capa!$A:$H,8,0))</f>
        <v>0.02659574468</v>
      </c>
      <c r="P553" s="11" t="str">
        <f>IFERROR(__xludf.DUMMYFUNCTION("(VLOOKUP($I553,Capa!$A:$J,10,0))"),"")</f>
        <v/>
      </c>
      <c r="Q553" s="169">
        <f>(VLOOKUP($I553,Capa!$A:$K,11,0))</f>
        <v>-0.5175</v>
      </c>
      <c r="R553" s="45" t="str">
        <f>'Dados StatusInvest'!A548</f>
        <v>SULA4</v>
      </c>
      <c r="S553" s="170">
        <f t="shared" si="234"/>
        <v>1869.0869</v>
      </c>
      <c r="T553" s="171">
        <f>VLOOKUP(R553,'Dados StatusInvest'!A:Z,26,0)</f>
        <v>0</v>
      </c>
      <c r="U553" s="172">
        <f t="shared" ref="U553:AS553" si="556">IF(AT553="","", RANK(AT553,AT$7:AT$626,0)+RANK(AT553,AT$7:AT$626,0)/10000)</f>
        <v>264.0264</v>
      </c>
      <c r="V553" s="172">
        <f t="shared" si="556"/>
        <v>605.0605</v>
      </c>
      <c r="W553" s="172" t="str">
        <f t="shared" si="556"/>
        <v/>
      </c>
      <c r="X553" s="172" t="str">
        <f t="shared" si="556"/>
        <v/>
      </c>
      <c r="Y553" s="172" t="str">
        <f t="shared" si="556"/>
        <v/>
      </c>
      <c r="Z553" s="172" t="str">
        <f t="shared" si="556"/>
        <v/>
      </c>
      <c r="AA553" s="172" t="str">
        <f t="shared" si="556"/>
        <v/>
      </c>
      <c r="AB553" s="172" t="str">
        <f t="shared" si="556"/>
        <v/>
      </c>
      <c r="AC553" s="172" t="str">
        <f t="shared" si="556"/>
        <v/>
      </c>
      <c r="AD553" s="172" t="str">
        <f t="shared" si="556"/>
        <v/>
      </c>
      <c r="AE553" s="172" t="str">
        <f t="shared" si="556"/>
        <v/>
      </c>
      <c r="AF553" s="172" t="str">
        <f t="shared" si="556"/>
        <v/>
      </c>
      <c r="AG553" s="172" t="str">
        <f t="shared" si="556"/>
        <v/>
      </c>
      <c r="AH553" s="172" t="str">
        <f t="shared" si="556"/>
        <v/>
      </c>
      <c r="AI553" s="172" t="str">
        <f t="shared" si="556"/>
        <v/>
      </c>
      <c r="AJ553" s="172" t="str">
        <f t="shared" si="556"/>
        <v/>
      </c>
      <c r="AK553" s="172" t="str">
        <f t="shared" si="556"/>
        <v/>
      </c>
      <c r="AL553" s="172" t="str">
        <f t="shared" si="556"/>
        <v/>
      </c>
      <c r="AM553" s="172" t="str">
        <f t="shared" si="556"/>
        <v/>
      </c>
      <c r="AN553" s="172" t="str">
        <f t="shared" si="556"/>
        <v/>
      </c>
      <c r="AO553" s="172" t="str">
        <f t="shared" si="556"/>
        <v/>
      </c>
      <c r="AP553" s="172" t="str">
        <f t="shared" si="556"/>
        <v/>
      </c>
      <c r="AQ553" s="172" t="str">
        <f t="shared" si="556"/>
        <v/>
      </c>
      <c r="AR553" s="172" t="str">
        <f t="shared" si="556"/>
        <v/>
      </c>
      <c r="AS553" s="172" t="str">
        <f t="shared" si="556"/>
        <v/>
      </c>
      <c r="AT553" s="173">
        <f>IF(AT$6="","",IF(AT$3="Maior",iferror(VLOOKUP($R553,Capa!$A:$AJ,AT$5,0),0),IF(ISERROR(1/VLOOKUP($R553,Capa!$A:$AJ,AT$5,0)),0,1/VLOOKUP($R553,Capa!$A:$AJ,AT$5,0))))</f>
        <v>-0.5524861878</v>
      </c>
      <c r="AU553" s="174">
        <f>IF(AU$6="","",IF(AU$3="Maior",iferror(VLOOKUP($R553,Capa!$A:$AJ,AU$5,0),0),IF(ISERROR(1/VLOOKUP($R553,Capa!$A:$AJ,AU$5,0)),0,1/VLOOKUP($R553,Capa!$A:$AJ,AU$5,0))))</f>
        <v>-23.56</v>
      </c>
      <c r="AV553" s="174" t="str">
        <f>IF(AV$6="","",IF(AV$3="Maior",iferror(VLOOKUP($R553,Capa!$A:$AJ,AV$5,0),0),IF(ISERROR(1/VLOOKUP($R553,Capa!$A:$AJ,AV$5,0)),0,1/VLOOKUP($R553,Capa!$A:$AJ,AV$5,0))))</f>
        <v/>
      </c>
      <c r="AW553" s="174" t="str">
        <f>IF(AW$6="","",IF(AW$3="Maior",iferror(VLOOKUP($R553,Capa!$A:$AJ,AW$5,0),0),IF(ISERROR(1/VLOOKUP($R553,Capa!$A:$AJ,AW$5,0)),0,1/VLOOKUP($R553,Capa!$A:$AJ,AW$5,0))))</f>
        <v/>
      </c>
      <c r="AX553" s="174" t="str">
        <f>IF(AX$6="","",IF(AX$3="Maior",iferror(VLOOKUP($R553,Capa!$A:$AJ,AX$5,0),0),IF(ISERROR(1/VLOOKUP($R553,Capa!$A:$AJ,AX$5,0)),0,1/VLOOKUP($R553,Capa!$A:$AJ,AX$5,0))))</f>
        <v/>
      </c>
      <c r="AY553" s="174" t="str">
        <f>IF(AY$6="","",IF(AY$3="Maior",iferror(VLOOKUP($R553,Capa!$A:$AJ,AY$5,0),0),IF(ISERROR(1/VLOOKUP($R553,Capa!$A:$AJ,AY$5,0)),0,1/VLOOKUP($R553,Capa!$A:$AJ,AY$5,0))))</f>
        <v/>
      </c>
      <c r="AZ553" s="174" t="str">
        <f>IF(AZ$6="","",IF(AZ$3="Maior",iferror(VLOOKUP($R553,Capa!$A:$AJ,AZ$5,0),0),IF(ISERROR(1/VLOOKUP($R553,Capa!$A:$AJ,AZ$5,0)),0,1/VLOOKUP($R553,Capa!$A:$AJ,AZ$5,0))))</f>
        <v/>
      </c>
      <c r="BA553" s="174" t="str">
        <f>IF(BA$6="","",IF(BA$3="Maior",iferror(VLOOKUP($R553,Capa!$A:$AJ,BA$5,0),0),IF(ISERROR(1/VLOOKUP($R553,Capa!$A:$AJ,BA$5,0)),0,1/VLOOKUP($R553,Capa!$A:$AJ,BA$5,0))))</f>
        <v/>
      </c>
      <c r="BB553" s="174" t="str">
        <f>IF(BB$6="","",IF(BB$3="Maior",iferror(VLOOKUP($R553,Capa!$A:$AJ,BB$5,0),0),IF(ISERROR(1/VLOOKUP($R553,Capa!$A:$AJ,BB$5,0)),0,1/VLOOKUP($R553,Capa!$A:$AJ,BB$5,0))))</f>
        <v/>
      </c>
      <c r="BC553" s="174" t="str">
        <f>IF(BC$6="","",IF(BC$3="Maior",iferror(VLOOKUP($R553,Capa!$A:$AJ,BC$5,0),0),IF(ISERROR(1/VLOOKUP($R553,Capa!$A:$AJ,BC$5,0)),0,1/VLOOKUP($R553,Capa!$A:$AJ,BC$5,0))))</f>
        <v/>
      </c>
      <c r="BD553" s="174" t="str">
        <f>IF(BD$6="","",IF(BD$3="Maior",iferror(VLOOKUP($R553,Capa!$A:$AJ,BD$5,0),0),IF(ISERROR(1/VLOOKUP($R553,Capa!$A:$AJ,BD$5,0)),0,1/VLOOKUP($R553,Capa!$A:$AJ,BD$5,0))))</f>
        <v/>
      </c>
      <c r="BE553" s="174" t="str">
        <f>IF(BE$6="","",IF(BE$3="Maior",iferror(VLOOKUP($R553,Capa!$A:$AJ,BE$5,0),0),IF(ISERROR(1/VLOOKUP($R553,Capa!$A:$AJ,BE$5,0)),0,1/VLOOKUP($R553,Capa!$A:$AJ,BE$5,0))))</f>
        <v/>
      </c>
      <c r="BF553" s="174" t="str">
        <f>IF(BF$6="","",IF(BF$3="Maior",iferror(VLOOKUP($R553,Capa!$A:$AJ,BF$5,0),0),IF(ISERROR(1/VLOOKUP($R553,Capa!$A:$AJ,BF$5,0)),0,1/VLOOKUP($R553,Capa!$A:$AJ,BF$5,0))))</f>
        <v/>
      </c>
      <c r="BG553" s="174" t="str">
        <f>IF(BG$6="","",IF(BG$3="Maior",iferror(VLOOKUP($R553,Capa!$A:$AJ,BG$5,0),0),IF(ISERROR(1/VLOOKUP($R553,Capa!$A:$AJ,BG$5,0)),0,1/VLOOKUP($R553,Capa!$A:$AJ,BG$5,0))))</f>
        <v/>
      </c>
      <c r="BH553" s="174" t="str">
        <f>IF(BH$6="","",IF(BH$3="Maior",iferror(VLOOKUP($R553,Capa!$A:$AJ,BH$5,0),0),IF(ISERROR(1/VLOOKUP($R553,Capa!$A:$AJ,BH$5,0)),0,1/VLOOKUP($R553,Capa!$A:$AJ,BH$5,0))))</f>
        <v/>
      </c>
      <c r="BI553" s="174" t="str">
        <f>IF(BI$6="","",IF(BI$3="Maior",iferror(VLOOKUP($R553,Capa!$A:$AJ,BI$5,0),0),IF(ISERROR(1/VLOOKUP($R553,Capa!$A:$AJ,BI$5,0)),0,1/VLOOKUP($R553,Capa!$A:$AJ,BI$5,0))))</f>
        <v/>
      </c>
      <c r="BJ553" s="174" t="str">
        <f>IF(BJ$6="","",IF(BJ$3="Maior",iferror(VLOOKUP($R553,Capa!$A:$AJ,BJ$5,0),0),IF(ISERROR(1/VLOOKUP($R553,Capa!$A:$AJ,BJ$5,0)),0,1/VLOOKUP($R553,Capa!$A:$AJ,BJ$5,0))))</f>
        <v/>
      </c>
      <c r="BK553" s="174" t="str">
        <f>IF(BK$6="","",IF(BK$3="Maior",iferror(VLOOKUP($R553,Capa!$A:$AJ,BK$5,0),0),IF(ISERROR(1/VLOOKUP($R553,Capa!$A:$AJ,BK$5,0)),0,1/VLOOKUP($R553,Capa!$A:$AJ,BK$5,0))))</f>
        <v/>
      </c>
      <c r="BL553" s="174" t="str">
        <f>IF(BL$6="","",IF(BL$3="Maior",iferror(VLOOKUP($R553,Capa!$A:$AJ,BL$5,0),0),IF(ISERROR(1/VLOOKUP($R553,Capa!$A:$AJ,BL$5,0)),0,1/VLOOKUP($R553,Capa!$A:$AJ,BL$5,0))))</f>
        <v/>
      </c>
      <c r="BM553" s="174" t="str">
        <f>IF(BM$6="","",IF(BM$3="Maior",iferror(VLOOKUP($R553,Capa!$A:$AJ,BM$5,0),0),IF(ISERROR(1/VLOOKUP($R553,Capa!$A:$AJ,BM$5,0)),0,1/VLOOKUP($R553,Capa!$A:$AJ,BM$5,0))))</f>
        <v/>
      </c>
      <c r="BN553" s="174" t="str">
        <f>IF(BN$6="","",IF(BN$3="Maior",iferror(VLOOKUP($R553,Capa!$A:$AJ,BN$5,0),0),IF(ISERROR(1/VLOOKUP($R553,Capa!$A:$AJ,BN$5,0)),0,1/VLOOKUP($R553,Capa!$A:$AJ,BN$5,0))))</f>
        <v/>
      </c>
      <c r="BO553" s="174" t="str">
        <f>IF(BO$6="","",IF(BO$3="Maior",iferror(VLOOKUP($R553,Capa!$A:$AJ,BO$5,0),0),IF(ISERROR(1/VLOOKUP($R553,Capa!$A:$AJ,BO$5,0)),0,1/VLOOKUP($R553,Capa!$A:$AJ,BO$5,0))))</f>
        <v/>
      </c>
      <c r="BP553" s="174" t="str">
        <f>IF(BP$6="","",IF(BP$3="Maior",iferror(VLOOKUP($R553,Capa!$A:$AJ,BP$5,0),0),IF(ISERROR(1/VLOOKUP($R553,Capa!$A:$AJ,BP$5,0)),0,1/VLOOKUP($R553,Capa!$A:$AJ,BP$5,0))))</f>
        <v/>
      </c>
      <c r="BQ553" s="174" t="str">
        <f>IF(BQ$6="","",IF(BQ$3="Maior",iferror(VLOOKUP($R553,Capa!$A:$AJ,BQ$5,0),0),IF(ISERROR(1/VLOOKUP($R553,Capa!$A:$AJ,BQ$5,0)),0,1/VLOOKUP($R553,Capa!$A:$AJ,BQ$5,0))))</f>
        <v/>
      </c>
      <c r="BR553" s="175"/>
      <c r="BS553" s="147"/>
    </row>
    <row r="554">
      <c r="H554" s="8">
        <v>548.0</v>
      </c>
      <c r="I554" s="165" t="str">
        <f t="shared" si="6"/>
        <v>CEDO4</v>
      </c>
      <c r="J554" s="166" t="str">
        <f>(VLOOKUP($I554,Capa!$A:$B,2,0))</f>
        <v>Companhia de Fc  Tcds Cdr Cchr Preference Shares</v>
      </c>
      <c r="K554" s="167" t="str">
        <f>VLOOKUP(left(I554,4),Setor!A:D,3,0)&amp;" | "&amp;VLOOKUP(left(I554,4),Setor!A:D,4,0)</f>
        <v>Consumo Cíclico | Tecidos, Vestuário e Calçados</v>
      </c>
      <c r="L554" s="168">
        <f>(VLOOKUP($I554,Capa!$A:$F,6,0))</f>
        <v>9.65</v>
      </c>
      <c r="M554" s="168">
        <f t="shared" si="7"/>
        <v>9930.56</v>
      </c>
      <c r="N554" s="11" t="str">
        <f>IFERROR(__xludf.DUMMYFUNCTION("(VLOOKUP($I554,Capa!$A:$H,7,0))"),"")</f>
        <v/>
      </c>
      <c r="O554" s="169">
        <f>(VLOOKUP($I554,Capa!$A:$H,8,0))</f>
        <v>0.02659574468</v>
      </c>
      <c r="P554" s="11" t="str">
        <f>IFERROR(__xludf.DUMMYFUNCTION("(VLOOKUP($I554,Capa!$A:$J,10,0))"),"")</f>
        <v/>
      </c>
      <c r="Q554" s="169">
        <f>(VLOOKUP($I554,Capa!$A:$K,11,0))</f>
        <v>-0.5175</v>
      </c>
      <c r="R554" s="45" t="str">
        <f>'Dados StatusInvest'!A549</f>
        <v>SUZB3</v>
      </c>
      <c r="S554" s="170">
        <f t="shared" si="234"/>
        <v>307.0307</v>
      </c>
      <c r="T554" s="171">
        <f>VLOOKUP(R554,'Dados StatusInvest'!A:Z,26,0)</f>
        <v>432000000</v>
      </c>
      <c r="U554" s="172">
        <f t="shared" ref="U554:AS554" si="557">IF(AT554="","", RANK(AT554,AT$7:AT$626,0)+RANK(AT554,AT$7:AT$626,0)/10000)</f>
        <v>40.004</v>
      </c>
      <c r="V554" s="172">
        <f t="shared" si="557"/>
        <v>267.0267</v>
      </c>
      <c r="W554" s="172" t="str">
        <f t="shared" si="557"/>
        <v/>
      </c>
      <c r="X554" s="172" t="str">
        <f t="shared" si="557"/>
        <v/>
      </c>
      <c r="Y554" s="172" t="str">
        <f t="shared" si="557"/>
        <v/>
      </c>
      <c r="Z554" s="172" t="str">
        <f t="shared" si="557"/>
        <v/>
      </c>
      <c r="AA554" s="172" t="str">
        <f t="shared" si="557"/>
        <v/>
      </c>
      <c r="AB554" s="172" t="str">
        <f t="shared" si="557"/>
        <v/>
      </c>
      <c r="AC554" s="172" t="str">
        <f t="shared" si="557"/>
        <v/>
      </c>
      <c r="AD554" s="172" t="str">
        <f t="shared" si="557"/>
        <v/>
      </c>
      <c r="AE554" s="172" t="str">
        <f t="shared" si="557"/>
        <v/>
      </c>
      <c r="AF554" s="172" t="str">
        <f t="shared" si="557"/>
        <v/>
      </c>
      <c r="AG554" s="172" t="str">
        <f t="shared" si="557"/>
        <v/>
      </c>
      <c r="AH554" s="172" t="str">
        <f t="shared" si="557"/>
        <v/>
      </c>
      <c r="AI554" s="172" t="str">
        <f t="shared" si="557"/>
        <v/>
      </c>
      <c r="AJ554" s="172" t="str">
        <f t="shared" si="557"/>
        <v/>
      </c>
      <c r="AK554" s="172" t="str">
        <f t="shared" si="557"/>
        <v/>
      </c>
      <c r="AL554" s="172" t="str">
        <f t="shared" si="557"/>
        <v/>
      </c>
      <c r="AM554" s="172" t="str">
        <f t="shared" si="557"/>
        <v/>
      </c>
      <c r="AN554" s="172" t="str">
        <f t="shared" si="557"/>
        <v/>
      </c>
      <c r="AO554" s="172" t="str">
        <f t="shared" si="557"/>
        <v/>
      </c>
      <c r="AP554" s="172" t="str">
        <f t="shared" si="557"/>
        <v/>
      </c>
      <c r="AQ554" s="172" t="str">
        <f t="shared" si="557"/>
        <v/>
      </c>
      <c r="AR554" s="172" t="str">
        <f t="shared" si="557"/>
        <v/>
      </c>
      <c r="AS554" s="172" t="str">
        <f t="shared" si="557"/>
        <v/>
      </c>
      <c r="AT554" s="173">
        <f>IF(AT$6="","",IF(AT$3="Maior",iferror(VLOOKUP($R554,Capa!$A:$AJ,AT$5,0),0),IF(ISERROR(1/VLOOKUP($R554,Capa!$A:$AJ,AT$5,0)),0,1/VLOOKUP($R554,Capa!$A:$AJ,AT$5,0))))</f>
        <v>0.001457510165</v>
      </c>
      <c r="AU554" s="174">
        <f>IF(AU$6="","",IF(AU$3="Maior",iferror(VLOOKUP($R554,Capa!$A:$AJ,AU$5,0),0),IF(ISERROR(1/VLOOKUP($R554,Capa!$A:$AJ,AU$5,0)),0,1/VLOOKUP($R554,Capa!$A:$AJ,AU$5,0))))</f>
        <v>0</v>
      </c>
      <c r="AV554" s="174" t="str">
        <f>IF(AV$6="","",IF(AV$3="Maior",iferror(VLOOKUP($R554,Capa!$A:$AJ,AV$5,0),0),IF(ISERROR(1/VLOOKUP($R554,Capa!$A:$AJ,AV$5,0)),0,1/VLOOKUP($R554,Capa!$A:$AJ,AV$5,0))))</f>
        <v/>
      </c>
      <c r="AW554" s="174" t="str">
        <f>IF(AW$6="","",IF(AW$3="Maior",iferror(VLOOKUP($R554,Capa!$A:$AJ,AW$5,0),0),IF(ISERROR(1/VLOOKUP($R554,Capa!$A:$AJ,AW$5,0)),0,1/VLOOKUP($R554,Capa!$A:$AJ,AW$5,0))))</f>
        <v/>
      </c>
      <c r="AX554" s="174" t="str">
        <f>IF(AX$6="","",IF(AX$3="Maior",iferror(VLOOKUP($R554,Capa!$A:$AJ,AX$5,0),0),IF(ISERROR(1/VLOOKUP($R554,Capa!$A:$AJ,AX$5,0)),0,1/VLOOKUP($R554,Capa!$A:$AJ,AX$5,0))))</f>
        <v/>
      </c>
      <c r="AY554" s="174" t="str">
        <f>IF(AY$6="","",IF(AY$3="Maior",iferror(VLOOKUP($R554,Capa!$A:$AJ,AY$5,0),0),IF(ISERROR(1/VLOOKUP($R554,Capa!$A:$AJ,AY$5,0)),0,1/VLOOKUP($R554,Capa!$A:$AJ,AY$5,0))))</f>
        <v/>
      </c>
      <c r="AZ554" s="174" t="str">
        <f>IF(AZ$6="","",IF(AZ$3="Maior",iferror(VLOOKUP($R554,Capa!$A:$AJ,AZ$5,0),0),IF(ISERROR(1/VLOOKUP($R554,Capa!$A:$AJ,AZ$5,0)),0,1/VLOOKUP($R554,Capa!$A:$AJ,AZ$5,0))))</f>
        <v/>
      </c>
      <c r="BA554" s="174" t="str">
        <f>IF(BA$6="","",IF(BA$3="Maior",iferror(VLOOKUP($R554,Capa!$A:$AJ,BA$5,0),0),IF(ISERROR(1/VLOOKUP($R554,Capa!$A:$AJ,BA$5,0)),0,1/VLOOKUP($R554,Capa!$A:$AJ,BA$5,0))))</f>
        <v/>
      </c>
      <c r="BB554" s="174" t="str">
        <f>IF(BB$6="","",IF(BB$3="Maior",iferror(VLOOKUP($R554,Capa!$A:$AJ,BB$5,0),0),IF(ISERROR(1/VLOOKUP($R554,Capa!$A:$AJ,BB$5,0)),0,1/VLOOKUP($R554,Capa!$A:$AJ,BB$5,0))))</f>
        <v/>
      </c>
      <c r="BC554" s="174" t="str">
        <f>IF(BC$6="","",IF(BC$3="Maior",iferror(VLOOKUP($R554,Capa!$A:$AJ,BC$5,0),0),IF(ISERROR(1/VLOOKUP($R554,Capa!$A:$AJ,BC$5,0)),0,1/VLOOKUP($R554,Capa!$A:$AJ,BC$5,0))))</f>
        <v/>
      </c>
      <c r="BD554" s="174" t="str">
        <f>IF(BD$6="","",IF(BD$3="Maior",iferror(VLOOKUP($R554,Capa!$A:$AJ,BD$5,0),0),IF(ISERROR(1/VLOOKUP($R554,Capa!$A:$AJ,BD$5,0)),0,1/VLOOKUP($R554,Capa!$A:$AJ,BD$5,0))))</f>
        <v/>
      </c>
      <c r="BE554" s="174" t="str">
        <f>IF(BE$6="","",IF(BE$3="Maior",iferror(VLOOKUP($R554,Capa!$A:$AJ,BE$5,0),0),IF(ISERROR(1/VLOOKUP($R554,Capa!$A:$AJ,BE$5,0)),0,1/VLOOKUP($R554,Capa!$A:$AJ,BE$5,0))))</f>
        <v/>
      </c>
      <c r="BF554" s="174" t="str">
        <f>IF(BF$6="","",IF(BF$3="Maior",iferror(VLOOKUP($R554,Capa!$A:$AJ,BF$5,0),0),IF(ISERROR(1/VLOOKUP($R554,Capa!$A:$AJ,BF$5,0)),0,1/VLOOKUP($R554,Capa!$A:$AJ,BF$5,0))))</f>
        <v/>
      </c>
      <c r="BG554" s="174" t="str">
        <f>IF(BG$6="","",IF(BG$3="Maior",iferror(VLOOKUP($R554,Capa!$A:$AJ,BG$5,0),0),IF(ISERROR(1/VLOOKUP($R554,Capa!$A:$AJ,BG$5,0)),0,1/VLOOKUP($R554,Capa!$A:$AJ,BG$5,0))))</f>
        <v/>
      </c>
      <c r="BH554" s="174" t="str">
        <f>IF(BH$6="","",IF(BH$3="Maior",iferror(VLOOKUP($R554,Capa!$A:$AJ,BH$5,0),0),IF(ISERROR(1/VLOOKUP($R554,Capa!$A:$AJ,BH$5,0)),0,1/VLOOKUP($R554,Capa!$A:$AJ,BH$5,0))))</f>
        <v/>
      </c>
      <c r="BI554" s="174" t="str">
        <f>IF(BI$6="","",IF(BI$3="Maior",iferror(VLOOKUP($R554,Capa!$A:$AJ,BI$5,0),0),IF(ISERROR(1/VLOOKUP($R554,Capa!$A:$AJ,BI$5,0)),0,1/VLOOKUP($R554,Capa!$A:$AJ,BI$5,0))))</f>
        <v/>
      </c>
      <c r="BJ554" s="174" t="str">
        <f>IF(BJ$6="","",IF(BJ$3="Maior",iferror(VLOOKUP($R554,Capa!$A:$AJ,BJ$5,0),0),IF(ISERROR(1/VLOOKUP($R554,Capa!$A:$AJ,BJ$5,0)),0,1/VLOOKUP($R554,Capa!$A:$AJ,BJ$5,0))))</f>
        <v/>
      </c>
      <c r="BK554" s="174" t="str">
        <f>IF(BK$6="","",IF(BK$3="Maior",iferror(VLOOKUP($R554,Capa!$A:$AJ,BK$5,0),0),IF(ISERROR(1/VLOOKUP($R554,Capa!$A:$AJ,BK$5,0)),0,1/VLOOKUP($R554,Capa!$A:$AJ,BK$5,0))))</f>
        <v/>
      </c>
      <c r="BL554" s="174" t="str">
        <f>IF(BL$6="","",IF(BL$3="Maior",iferror(VLOOKUP($R554,Capa!$A:$AJ,BL$5,0),0),IF(ISERROR(1/VLOOKUP($R554,Capa!$A:$AJ,BL$5,0)),0,1/VLOOKUP($R554,Capa!$A:$AJ,BL$5,0))))</f>
        <v/>
      </c>
      <c r="BM554" s="174" t="str">
        <f>IF(BM$6="","",IF(BM$3="Maior",iferror(VLOOKUP($R554,Capa!$A:$AJ,BM$5,0),0),IF(ISERROR(1/VLOOKUP($R554,Capa!$A:$AJ,BM$5,0)),0,1/VLOOKUP($R554,Capa!$A:$AJ,BM$5,0))))</f>
        <v/>
      </c>
      <c r="BN554" s="174" t="str">
        <f>IF(BN$6="","",IF(BN$3="Maior",iferror(VLOOKUP($R554,Capa!$A:$AJ,BN$5,0),0),IF(ISERROR(1/VLOOKUP($R554,Capa!$A:$AJ,BN$5,0)),0,1/VLOOKUP($R554,Capa!$A:$AJ,BN$5,0))))</f>
        <v/>
      </c>
      <c r="BO554" s="174" t="str">
        <f>IF(BO$6="","",IF(BO$3="Maior",iferror(VLOOKUP($R554,Capa!$A:$AJ,BO$5,0),0),IF(ISERROR(1/VLOOKUP($R554,Capa!$A:$AJ,BO$5,0)),0,1/VLOOKUP($R554,Capa!$A:$AJ,BO$5,0))))</f>
        <v/>
      </c>
      <c r="BP554" s="174" t="str">
        <f>IF(BP$6="","",IF(BP$3="Maior",iferror(VLOOKUP($R554,Capa!$A:$AJ,BP$5,0),0),IF(ISERROR(1/VLOOKUP($R554,Capa!$A:$AJ,BP$5,0)),0,1/VLOOKUP($R554,Capa!$A:$AJ,BP$5,0))))</f>
        <v/>
      </c>
      <c r="BQ554" s="174" t="str">
        <f>IF(BQ$6="","",IF(BQ$3="Maior",iferror(VLOOKUP($R554,Capa!$A:$AJ,BQ$5,0),0),IF(ISERROR(1/VLOOKUP($R554,Capa!$A:$AJ,BQ$5,0)),0,1/VLOOKUP($R554,Capa!$A:$AJ,BQ$5,0))))</f>
        <v/>
      </c>
      <c r="BR554" s="175"/>
      <c r="BS554" s="147"/>
    </row>
    <row r="555">
      <c r="H555" s="8">
        <v>549.0</v>
      </c>
      <c r="I555" s="165" t="str">
        <f t="shared" si="6"/>
        <v>ESTR4</v>
      </c>
      <c r="J555" s="166" t="str">
        <f>(VLOOKUP($I555,Capa!$A:$B,2,0))</f>
        <v>Manufatura de Brinquedos Estrela SA Preference Shares</v>
      </c>
      <c r="K555" s="167" t="str">
        <f>VLOOKUP(left(I555,4),Setor!A:D,3,0)&amp;" | "&amp;VLOOKUP(left(I555,4),Setor!A:D,4,0)</f>
        <v>Consumo Cíclico | Viagens e Lazer</v>
      </c>
      <c r="L555" s="168">
        <f>(VLOOKUP($I555,Capa!$A:$F,6,0))</f>
        <v>4.4</v>
      </c>
      <c r="M555" s="168">
        <f t="shared" si="7"/>
        <v>1444.38</v>
      </c>
      <c r="N555" s="11" t="str">
        <f>IFERROR(__xludf.DUMMYFUNCTION("(VLOOKUP($I555,Capa!$A:$H,7,0))"),"")</f>
        <v/>
      </c>
      <c r="O555" s="169" t="str">
        <f>(VLOOKUP($I555,Capa!$A:$H,8,0))</f>
        <v/>
      </c>
      <c r="P555" s="11" t="str">
        <f>IFERROR(__xludf.DUMMYFUNCTION("(VLOOKUP($I555,Capa!$A:$J,10,0))"),"")</f>
        <v/>
      </c>
      <c r="Q555" s="169">
        <f>(VLOOKUP($I555,Capa!$A:$K,11,0))</f>
        <v>0.2087912088</v>
      </c>
      <c r="R555" s="45" t="str">
        <f>'Dados StatusInvest'!A550</f>
        <v>SYNE3</v>
      </c>
      <c r="S555" s="170">
        <f t="shared" si="234"/>
        <v>579.0579</v>
      </c>
      <c r="T555" s="171">
        <f>VLOOKUP(R555,'Dados StatusInvest'!A:Z,26,0)</f>
        <v>2428992</v>
      </c>
      <c r="U555" s="172">
        <f t="shared" ref="U555:AS555" si="558">IF(AT555="","", RANK(AT555,AT$7:AT$626,0)+RANK(AT555,AT$7:AT$626,0)/10000)</f>
        <v>488.0488</v>
      </c>
      <c r="V555" s="172">
        <f t="shared" si="558"/>
        <v>91.0091</v>
      </c>
      <c r="W555" s="172" t="str">
        <f t="shared" si="558"/>
        <v/>
      </c>
      <c r="X555" s="172" t="str">
        <f t="shared" si="558"/>
        <v/>
      </c>
      <c r="Y555" s="172" t="str">
        <f t="shared" si="558"/>
        <v/>
      </c>
      <c r="Z555" s="172" t="str">
        <f t="shared" si="558"/>
        <v/>
      </c>
      <c r="AA555" s="172" t="str">
        <f t="shared" si="558"/>
        <v/>
      </c>
      <c r="AB555" s="172" t="str">
        <f t="shared" si="558"/>
        <v/>
      </c>
      <c r="AC555" s="172" t="str">
        <f t="shared" si="558"/>
        <v/>
      </c>
      <c r="AD555" s="172" t="str">
        <f t="shared" si="558"/>
        <v/>
      </c>
      <c r="AE555" s="172" t="str">
        <f t="shared" si="558"/>
        <v/>
      </c>
      <c r="AF555" s="172" t="str">
        <f t="shared" si="558"/>
        <v/>
      </c>
      <c r="AG555" s="172" t="str">
        <f t="shared" si="558"/>
        <v/>
      </c>
      <c r="AH555" s="172" t="str">
        <f t="shared" si="558"/>
        <v/>
      </c>
      <c r="AI555" s="172" t="str">
        <f t="shared" si="558"/>
        <v/>
      </c>
      <c r="AJ555" s="172" t="str">
        <f t="shared" si="558"/>
        <v/>
      </c>
      <c r="AK555" s="172" t="str">
        <f t="shared" si="558"/>
        <v/>
      </c>
      <c r="AL555" s="172" t="str">
        <f t="shared" si="558"/>
        <v/>
      </c>
      <c r="AM555" s="172" t="str">
        <f t="shared" si="558"/>
        <v/>
      </c>
      <c r="AN555" s="172" t="str">
        <f t="shared" si="558"/>
        <v/>
      </c>
      <c r="AO555" s="172" t="str">
        <f t="shared" si="558"/>
        <v/>
      </c>
      <c r="AP555" s="172" t="str">
        <f t="shared" si="558"/>
        <v/>
      </c>
      <c r="AQ555" s="172" t="str">
        <f t="shared" si="558"/>
        <v/>
      </c>
      <c r="AR555" s="172" t="str">
        <f t="shared" si="558"/>
        <v/>
      </c>
      <c r="AS555" s="172" t="str">
        <f t="shared" si="558"/>
        <v/>
      </c>
      <c r="AT555" s="173">
        <f>IF(AT$6="","",IF(AT$3="Maior",iferror(VLOOKUP($R555,Capa!$A:$AJ,AT$5,0),0),IF(ISERROR(1/VLOOKUP($R555,Capa!$A:$AJ,AT$5,0)),0,1/VLOOKUP($R555,Capa!$A:$AJ,AT$5,0))))</f>
        <v>-2.777777778</v>
      </c>
      <c r="AU555" s="174">
        <f>IF(AU$6="","",IF(AU$3="Maior",iferror(VLOOKUP($R555,Capa!$A:$AJ,AU$5,0),0),IF(ISERROR(1/VLOOKUP($R555,Capa!$A:$AJ,AU$5,0)),0,1/VLOOKUP($R555,Capa!$A:$AJ,AU$5,0))))</f>
        <v>29.23</v>
      </c>
      <c r="AV555" s="174" t="str">
        <f>IF(AV$6="","",IF(AV$3="Maior",iferror(VLOOKUP($R555,Capa!$A:$AJ,AV$5,0),0),IF(ISERROR(1/VLOOKUP($R555,Capa!$A:$AJ,AV$5,0)),0,1/VLOOKUP($R555,Capa!$A:$AJ,AV$5,0))))</f>
        <v/>
      </c>
      <c r="AW555" s="174" t="str">
        <f>IF(AW$6="","",IF(AW$3="Maior",iferror(VLOOKUP($R555,Capa!$A:$AJ,AW$5,0),0),IF(ISERROR(1/VLOOKUP($R555,Capa!$A:$AJ,AW$5,0)),0,1/VLOOKUP($R555,Capa!$A:$AJ,AW$5,0))))</f>
        <v/>
      </c>
      <c r="AX555" s="174" t="str">
        <f>IF(AX$6="","",IF(AX$3="Maior",iferror(VLOOKUP($R555,Capa!$A:$AJ,AX$5,0),0),IF(ISERROR(1/VLOOKUP($R555,Capa!$A:$AJ,AX$5,0)),0,1/VLOOKUP($R555,Capa!$A:$AJ,AX$5,0))))</f>
        <v/>
      </c>
      <c r="AY555" s="174" t="str">
        <f>IF(AY$6="","",IF(AY$3="Maior",iferror(VLOOKUP($R555,Capa!$A:$AJ,AY$5,0),0),IF(ISERROR(1/VLOOKUP($R555,Capa!$A:$AJ,AY$5,0)),0,1/VLOOKUP($R555,Capa!$A:$AJ,AY$5,0))))</f>
        <v/>
      </c>
      <c r="AZ555" s="174" t="str">
        <f>IF(AZ$6="","",IF(AZ$3="Maior",iferror(VLOOKUP($R555,Capa!$A:$AJ,AZ$5,0),0),IF(ISERROR(1/VLOOKUP($R555,Capa!$A:$AJ,AZ$5,0)),0,1/VLOOKUP($R555,Capa!$A:$AJ,AZ$5,0))))</f>
        <v/>
      </c>
      <c r="BA555" s="174" t="str">
        <f>IF(BA$6="","",IF(BA$3="Maior",iferror(VLOOKUP($R555,Capa!$A:$AJ,BA$5,0),0),IF(ISERROR(1/VLOOKUP($R555,Capa!$A:$AJ,BA$5,0)),0,1/VLOOKUP($R555,Capa!$A:$AJ,BA$5,0))))</f>
        <v/>
      </c>
      <c r="BB555" s="174" t="str">
        <f>IF(BB$6="","",IF(BB$3="Maior",iferror(VLOOKUP($R555,Capa!$A:$AJ,BB$5,0),0),IF(ISERROR(1/VLOOKUP($R555,Capa!$A:$AJ,BB$5,0)),0,1/VLOOKUP($R555,Capa!$A:$AJ,BB$5,0))))</f>
        <v/>
      </c>
      <c r="BC555" s="174" t="str">
        <f>IF(BC$6="","",IF(BC$3="Maior",iferror(VLOOKUP($R555,Capa!$A:$AJ,BC$5,0),0),IF(ISERROR(1/VLOOKUP($R555,Capa!$A:$AJ,BC$5,0)),0,1/VLOOKUP($R555,Capa!$A:$AJ,BC$5,0))))</f>
        <v/>
      </c>
      <c r="BD555" s="174" t="str">
        <f>IF(BD$6="","",IF(BD$3="Maior",iferror(VLOOKUP($R555,Capa!$A:$AJ,BD$5,0),0),IF(ISERROR(1/VLOOKUP($R555,Capa!$A:$AJ,BD$5,0)),0,1/VLOOKUP($R555,Capa!$A:$AJ,BD$5,0))))</f>
        <v/>
      </c>
      <c r="BE555" s="174" t="str">
        <f>IF(BE$6="","",IF(BE$3="Maior",iferror(VLOOKUP($R555,Capa!$A:$AJ,BE$5,0),0),IF(ISERROR(1/VLOOKUP($R555,Capa!$A:$AJ,BE$5,0)),0,1/VLOOKUP($R555,Capa!$A:$AJ,BE$5,0))))</f>
        <v/>
      </c>
      <c r="BF555" s="174" t="str">
        <f>IF(BF$6="","",IF(BF$3="Maior",iferror(VLOOKUP($R555,Capa!$A:$AJ,BF$5,0),0),IF(ISERROR(1/VLOOKUP($R555,Capa!$A:$AJ,BF$5,0)),0,1/VLOOKUP($R555,Capa!$A:$AJ,BF$5,0))))</f>
        <v/>
      </c>
      <c r="BG555" s="174" t="str">
        <f>IF(BG$6="","",IF(BG$3="Maior",iferror(VLOOKUP($R555,Capa!$A:$AJ,BG$5,0),0),IF(ISERROR(1/VLOOKUP($R555,Capa!$A:$AJ,BG$5,0)),0,1/VLOOKUP($R555,Capa!$A:$AJ,BG$5,0))))</f>
        <v/>
      </c>
      <c r="BH555" s="174" t="str">
        <f>IF(BH$6="","",IF(BH$3="Maior",iferror(VLOOKUP($R555,Capa!$A:$AJ,BH$5,0),0),IF(ISERROR(1/VLOOKUP($R555,Capa!$A:$AJ,BH$5,0)),0,1/VLOOKUP($R555,Capa!$A:$AJ,BH$5,0))))</f>
        <v/>
      </c>
      <c r="BI555" s="174" t="str">
        <f>IF(BI$6="","",IF(BI$3="Maior",iferror(VLOOKUP($R555,Capa!$A:$AJ,BI$5,0),0),IF(ISERROR(1/VLOOKUP($R555,Capa!$A:$AJ,BI$5,0)),0,1/VLOOKUP($R555,Capa!$A:$AJ,BI$5,0))))</f>
        <v/>
      </c>
      <c r="BJ555" s="174" t="str">
        <f>IF(BJ$6="","",IF(BJ$3="Maior",iferror(VLOOKUP($R555,Capa!$A:$AJ,BJ$5,0),0),IF(ISERROR(1/VLOOKUP($R555,Capa!$A:$AJ,BJ$5,0)),0,1/VLOOKUP($R555,Capa!$A:$AJ,BJ$5,0))))</f>
        <v/>
      </c>
      <c r="BK555" s="174" t="str">
        <f>IF(BK$6="","",IF(BK$3="Maior",iferror(VLOOKUP($R555,Capa!$A:$AJ,BK$5,0),0),IF(ISERROR(1/VLOOKUP($R555,Capa!$A:$AJ,BK$5,0)),0,1/VLOOKUP($R555,Capa!$A:$AJ,BK$5,0))))</f>
        <v/>
      </c>
      <c r="BL555" s="174" t="str">
        <f>IF(BL$6="","",IF(BL$3="Maior",iferror(VLOOKUP($R555,Capa!$A:$AJ,BL$5,0),0),IF(ISERROR(1/VLOOKUP($R555,Capa!$A:$AJ,BL$5,0)),0,1/VLOOKUP($R555,Capa!$A:$AJ,BL$5,0))))</f>
        <v/>
      </c>
      <c r="BM555" s="174" t="str">
        <f>IF(BM$6="","",IF(BM$3="Maior",iferror(VLOOKUP($R555,Capa!$A:$AJ,BM$5,0),0),IF(ISERROR(1/VLOOKUP($R555,Capa!$A:$AJ,BM$5,0)),0,1/VLOOKUP($R555,Capa!$A:$AJ,BM$5,0))))</f>
        <v/>
      </c>
      <c r="BN555" s="174" t="str">
        <f>IF(BN$6="","",IF(BN$3="Maior",iferror(VLOOKUP($R555,Capa!$A:$AJ,BN$5,0),0),IF(ISERROR(1/VLOOKUP($R555,Capa!$A:$AJ,BN$5,0)),0,1/VLOOKUP($R555,Capa!$A:$AJ,BN$5,0))))</f>
        <v/>
      </c>
      <c r="BO555" s="174" t="str">
        <f>IF(BO$6="","",IF(BO$3="Maior",iferror(VLOOKUP($R555,Capa!$A:$AJ,BO$5,0),0),IF(ISERROR(1/VLOOKUP($R555,Capa!$A:$AJ,BO$5,0)),0,1/VLOOKUP($R555,Capa!$A:$AJ,BO$5,0))))</f>
        <v/>
      </c>
      <c r="BP555" s="174" t="str">
        <f>IF(BP$6="","",IF(BP$3="Maior",iferror(VLOOKUP($R555,Capa!$A:$AJ,BP$5,0),0),IF(ISERROR(1/VLOOKUP($R555,Capa!$A:$AJ,BP$5,0)),0,1/VLOOKUP($R555,Capa!$A:$AJ,BP$5,0))))</f>
        <v/>
      </c>
      <c r="BQ555" s="174" t="str">
        <f>IF(BQ$6="","",IF(BQ$3="Maior",iferror(VLOOKUP($R555,Capa!$A:$AJ,BQ$5,0),0),IF(ISERROR(1/VLOOKUP($R555,Capa!$A:$AJ,BQ$5,0)),0,1/VLOOKUP($R555,Capa!$A:$AJ,BQ$5,0))))</f>
        <v/>
      </c>
      <c r="BR555" s="175"/>
      <c r="BS555" s="147"/>
    </row>
    <row r="556">
      <c r="H556" s="8">
        <v>550.0</v>
      </c>
      <c r="I556" s="165" t="str">
        <f t="shared" si="6"/>
        <v>LUPA3</v>
      </c>
      <c r="J556" s="166" t="str">
        <f>(VLOOKUP($I556,Capa!$A:$B,2,0))</f>
        <v>Lupatech SA</v>
      </c>
      <c r="K556" s="167" t="str">
        <f>VLOOKUP(left(I556,4),Setor!A:D,3,0)&amp;" | "&amp;VLOOKUP(left(I556,4),Setor!A:D,4,0)</f>
        <v>Petróleo, Gás e Biocombustíveis | Petróleo, Gás e Biocombustíveis</v>
      </c>
      <c r="L556" s="168">
        <f>(VLOOKUP($I556,Capa!$A:$F,6,0))</f>
        <v>1.18</v>
      </c>
      <c r="M556" s="168">
        <f t="shared" si="7"/>
        <v>261793.6</v>
      </c>
      <c r="N556" s="11" t="str">
        <f>IFERROR(__xludf.DUMMYFUNCTION("(VLOOKUP($I556,Capa!$A:$H,7,0))"),"")</f>
        <v/>
      </c>
      <c r="O556" s="169">
        <f>(VLOOKUP($I556,Capa!$A:$H,8,0))</f>
        <v>-0.1631205674</v>
      </c>
      <c r="P556" s="11" t="str">
        <f>IFERROR(__xludf.DUMMYFUNCTION("(VLOOKUP($I556,Capa!$A:$J,10,0))"),"")</f>
        <v/>
      </c>
      <c r="Q556" s="169">
        <f>(VLOOKUP($I556,Capa!$A:$K,11,0))</f>
        <v>-0.06349206349</v>
      </c>
      <c r="R556" s="45" t="str">
        <f>'Dados StatusInvest'!A551</f>
        <v>TAEE11</v>
      </c>
      <c r="S556" s="170">
        <f t="shared" si="234"/>
        <v>566.0566</v>
      </c>
      <c r="T556" s="171">
        <f>VLOOKUP(R556,'Dados StatusInvest'!A:Z,26,0)</f>
        <v>81249691</v>
      </c>
      <c r="U556" s="172">
        <f t="shared" ref="U556:AS556" si="559">IF(AT556="","", RANK(AT556,AT$7:AT$626,0)+RANK(AT556,AT$7:AT$626,0)/10000)</f>
        <v>370.037</v>
      </c>
      <c r="V556" s="172">
        <f t="shared" si="559"/>
        <v>196.0196</v>
      </c>
      <c r="W556" s="172" t="str">
        <f t="shared" si="559"/>
        <v/>
      </c>
      <c r="X556" s="172" t="str">
        <f t="shared" si="559"/>
        <v/>
      </c>
      <c r="Y556" s="172" t="str">
        <f t="shared" si="559"/>
        <v/>
      </c>
      <c r="Z556" s="172" t="str">
        <f t="shared" si="559"/>
        <v/>
      </c>
      <c r="AA556" s="172" t="str">
        <f t="shared" si="559"/>
        <v/>
      </c>
      <c r="AB556" s="172" t="str">
        <f t="shared" si="559"/>
        <v/>
      </c>
      <c r="AC556" s="172" t="str">
        <f t="shared" si="559"/>
        <v/>
      </c>
      <c r="AD556" s="172" t="str">
        <f t="shared" si="559"/>
        <v/>
      </c>
      <c r="AE556" s="172" t="str">
        <f t="shared" si="559"/>
        <v/>
      </c>
      <c r="AF556" s="172" t="str">
        <f t="shared" si="559"/>
        <v/>
      </c>
      <c r="AG556" s="172" t="str">
        <f t="shared" si="559"/>
        <v/>
      </c>
      <c r="AH556" s="172" t="str">
        <f t="shared" si="559"/>
        <v/>
      </c>
      <c r="AI556" s="172" t="str">
        <f t="shared" si="559"/>
        <v/>
      </c>
      <c r="AJ556" s="172" t="str">
        <f t="shared" si="559"/>
        <v/>
      </c>
      <c r="AK556" s="172" t="str">
        <f t="shared" si="559"/>
        <v/>
      </c>
      <c r="AL556" s="172" t="str">
        <f t="shared" si="559"/>
        <v/>
      </c>
      <c r="AM556" s="172" t="str">
        <f t="shared" si="559"/>
        <v/>
      </c>
      <c r="AN556" s="172" t="str">
        <f t="shared" si="559"/>
        <v/>
      </c>
      <c r="AO556" s="172" t="str">
        <f t="shared" si="559"/>
        <v/>
      </c>
      <c r="AP556" s="172" t="str">
        <f t="shared" si="559"/>
        <v/>
      </c>
      <c r="AQ556" s="172" t="str">
        <f t="shared" si="559"/>
        <v/>
      </c>
      <c r="AR556" s="172" t="str">
        <f t="shared" si="559"/>
        <v/>
      </c>
      <c r="AS556" s="172" t="str">
        <f t="shared" si="559"/>
        <v/>
      </c>
      <c r="AT556" s="173">
        <f>IF(AT$6="","",IF(AT$3="Maior",iferror(VLOOKUP($R556,Capa!$A:$AJ,AT$5,0),0),IF(ISERROR(1/VLOOKUP($R556,Capa!$A:$AJ,AT$5,0)),0,1/VLOOKUP($R556,Capa!$A:$AJ,AT$5,0))))</f>
        <v>-1.125647639</v>
      </c>
      <c r="AU556" s="174">
        <f>IF(AU$6="","",IF(AU$3="Maior",iferror(VLOOKUP($R556,Capa!$A:$AJ,AU$5,0),0),IF(ISERROR(1/VLOOKUP($R556,Capa!$A:$AJ,AU$5,0)),0,1/VLOOKUP($R556,Capa!$A:$AJ,AU$5,0))))</f>
        <v>11.46</v>
      </c>
      <c r="AV556" s="174" t="str">
        <f>IF(AV$6="","",IF(AV$3="Maior",iferror(VLOOKUP($R556,Capa!$A:$AJ,AV$5,0),0),IF(ISERROR(1/VLOOKUP($R556,Capa!$A:$AJ,AV$5,0)),0,1/VLOOKUP($R556,Capa!$A:$AJ,AV$5,0))))</f>
        <v/>
      </c>
      <c r="AW556" s="174" t="str">
        <f>IF(AW$6="","",IF(AW$3="Maior",iferror(VLOOKUP($R556,Capa!$A:$AJ,AW$5,0),0),IF(ISERROR(1/VLOOKUP($R556,Capa!$A:$AJ,AW$5,0)),0,1/VLOOKUP($R556,Capa!$A:$AJ,AW$5,0))))</f>
        <v/>
      </c>
      <c r="AX556" s="174" t="str">
        <f>IF(AX$6="","",IF(AX$3="Maior",iferror(VLOOKUP($R556,Capa!$A:$AJ,AX$5,0),0),IF(ISERROR(1/VLOOKUP($R556,Capa!$A:$AJ,AX$5,0)),0,1/VLOOKUP($R556,Capa!$A:$AJ,AX$5,0))))</f>
        <v/>
      </c>
      <c r="AY556" s="174" t="str">
        <f>IF(AY$6="","",IF(AY$3="Maior",iferror(VLOOKUP($R556,Capa!$A:$AJ,AY$5,0),0),IF(ISERROR(1/VLOOKUP($R556,Capa!$A:$AJ,AY$5,0)),0,1/VLOOKUP($R556,Capa!$A:$AJ,AY$5,0))))</f>
        <v/>
      </c>
      <c r="AZ556" s="174" t="str">
        <f>IF(AZ$6="","",IF(AZ$3="Maior",iferror(VLOOKUP($R556,Capa!$A:$AJ,AZ$5,0),0),IF(ISERROR(1/VLOOKUP($R556,Capa!$A:$AJ,AZ$5,0)),0,1/VLOOKUP($R556,Capa!$A:$AJ,AZ$5,0))))</f>
        <v/>
      </c>
      <c r="BA556" s="174" t="str">
        <f>IF(BA$6="","",IF(BA$3="Maior",iferror(VLOOKUP($R556,Capa!$A:$AJ,BA$5,0),0),IF(ISERROR(1/VLOOKUP($R556,Capa!$A:$AJ,BA$5,0)),0,1/VLOOKUP($R556,Capa!$A:$AJ,BA$5,0))))</f>
        <v/>
      </c>
      <c r="BB556" s="174" t="str">
        <f>IF(BB$6="","",IF(BB$3="Maior",iferror(VLOOKUP($R556,Capa!$A:$AJ,BB$5,0),0),IF(ISERROR(1/VLOOKUP($R556,Capa!$A:$AJ,BB$5,0)),0,1/VLOOKUP($R556,Capa!$A:$AJ,BB$5,0))))</f>
        <v/>
      </c>
      <c r="BC556" s="174" t="str">
        <f>IF(BC$6="","",IF(BC$3="Maior",iferror(VLOOKUP($R556,Capa!$A:$AJ,BC$5,0),0),IF(ISERROR(1/VLOOKUP($R556,Capa!$A:$AJ,BC$5,0)),0,1/VLOOKUP($R556,Capa!$A:$AJ,BC$5,0))))</f>
        <v/>
      </c>
      <c r="BD556" s="174" t="str">
        <f>IF(BD$6="","",IF(BD$3="Maior",iferror(VLOOKUP($R556,Capa!$A:$AJ,BD$5,0),0),IF(ISERROR(1/VLOOKUP($R556,Capa!$A:$AJ,BD$5,0)),0,1/VLOOKUP($R556,Capa!$A:$AJ,BD$5,0))))</f>
        <v/>
      </c>
      <c r="BE556" s="174" t="str">
        <f>IF(BE$6="","",IF(BE$3="Maior",iferror(VLOOKUP($R556,Capa!$A:$AJ,BE$5,0),0),IF(ISERROR(1/VLOOKUP($R556,Capa!$A:$AJ,BE$5,0)),0,1/VLOOKUP($R556,Capa!$A:$AJ,BE$5,0))))</f>
        <v/>
      </c>
      <c r="BF556" s="174" t="str">
        <f>IF(BF$6="","",IF(BF$3="Maior",iferror(VLOOKUP($R556,Capa!$A:$AJ,BF$5,0),0),IF(ISERROR(1/VLOOKUP($R556,Capa!$A:$AJ,BF$5,0)),0,1/VLOOKUP($R556,Capa!$A:$AJ,BF$5,0))))</f>
        <v/>
      </c>
      <c r="BG556" s="174" t="str">
        <f>IF(BG$6="","",IF(BG$3="Maior",iferror(VLOOKUP($R556,Capa!$A:$AJ,BG$5,0),0),IF(ISERROR(1/VLOOKUP($R556,Capa!$A:$AJ,BG$5,0)),0,1/VLOOKUP($R556,Capa!$A:$AJ,BG$5,0))))</f>
        <v/>
      </c>
      <c r="BH556" s="174" t="str">
        <f>IF(BH$6="","",IF(BH$3="Maior",iferror(VLOOKUP($R556,Capa!$A:$AJ,BH$5,0),0),IF(ISERROR(1/VLOOKUP($R556,Capa!$A:$AJ,BH$5,0)),0,1/VLOOKUP($R556,Capa!$A:$AJ,BH$5,0))))</f>
        <v/>
      </c>
      <c r="BI556" s="174" t="str">
        <f>IF(BI$6="","",IF(BI$3="Maior",iferror(VLOOKUP($R556,Capa!$A:$AJ,BI$5,0),0),IF(ISERROR(1/VLOOKUP($R556,Capa!$A:$AJ,BI$5,0)),0,1/VLOOKUP($R556,Capa!$A:$AJ,BI$5,0))))</f>
        <v/>
      </c>
      <c r="BJ556" s="174" t="str">
        <f>IF(BJ$6="","",IF(BJ$3="Maior",iferror(VLOOKUP($R556,Capa!$A:$AJ,BJ$5,0),0),IF(ISERROR(1/VLOOKUP($R556,Capa!$A:$AJ,BJ$5,0)),0,1/VLOOKUP($R556,Capa!$A:$AJ,BJ$5,0))))</f>
        <v/>
      </c>
      <c r="BK556" s="174" t="str">
        <f>IF(BK$6="","",IF(BK$3="Maior",iferror(VLOOKUP($R556,Capa!$A:$AJ,BK$5,0),0),IF(ISERROR(1/VLOOKUP($R556,Capa!$A:$AJ,BK$5,0)),0,1/VLOOKUP($R556,Capa!$A:$AJ,BK$5,0))))</f>
        <v/>
      </c>
      <c r="BL556" s="174" t="str">
        <f>IF(BL$6="","",IF(BL$3="Maior",iferror(VLOOKUP($R556,Capa!$A:$AJ,BL$5,0),0),IF(ISERROR(1/VLOOKUP($R556,Capa!$A:$AJ,BL$5,0)),0,1/VLOOKUP($R556,Capa!$A:$AJ,BL$5,0))))</f>
        <v/>
      </c>
      <c r="BM556" s="174" t="str">
        <f>IF(BM$6="","",IF(BM$3="Maior",iferror(VLOOKUP($R556,Capa!$A:$AJ,BM$5,0),0),IF(ISERROR(1/VLOOKUP($R556,Capa!$A:$AJ,BM$5,0)),0,1/VLOOKUP($R556,Capa!$A:$AJ,BM$5,0))))</f>
        <v/>
      </c>
      <c r="BN556" s="174" t="str">
        <f>IF(BN$6="","",IF(BN$3="Maior",iferror(VLOOKUP($R556,Capa!$A:$AJ,BN$5,0),0),IF(ISERROR(1/VLOOKUP($R556,Capa!$A:$AJ,BN$5,0)),0,1/VLOOKUP($R556,Capa!$A:$AJ,BN$5,0))))</f>
        <v/>
      </c>
      <c r="BO556" s="174" t="str">
        <f>IF(BO$6="","",IF(BO$3="Maior",iferror(VLOOKUP($R556,Capa!$A:$AJ,BO$5,0),0),IF(ISERROR(1/VLOOKUP($R556,Capa!$A:$AJ,BO$5,0)),0,1/VLOOKUP($R556,Capa!$A:$AJ,BO$5,0))))</f>
        <v/>
      </c>
      <c r="BP556" s="174" t="str">
        <f>IF(BP$6="","",IF(BP$3="Maior",iferror(VLOOKUP($R556,Capa!$A:$AJ,BP$5,0),0),IF(ISERROR(1/VLOOKUP($R556,Capa!$A:$AJ,BP$5,0)),0,1/VLOOKUP($R556,Capa!$A:$AJ,BP$5,0))))</f>
        <v/>
      </c>
      <c r="BQ556" s="174" t="str">
        <f>IF(BQ$6="","",IF(BQ$3="Maior",iferror(VLOOKUP($R556,Capa!$A:$AJ,BQ$5,0),0),IF(ISERROR(1/VLOOKUP($R556,Capa!$A:$AJ,BQ$5,0)),0,1/VLOOKUP($R556,Capa!$A:$AJ,BQ$5,0))))</f>
        <v/>
      </c>
      <c r="BR556" s="175"/>
      <c r="BS556" s="147"/>
    </row>
    <row r="557">
      <c r="H557" s="8">
        <v>551.0</v>
      </c>
      <c r="I557" s="165" t="str">
        <f t="shared" si="6"/>
        <v>MEAL3</v>
      </c>
      <c r="J557" s="166" t="str">
        <f>(VLOOKUP($I557,Capa!$A:$B,2,0))</f>
        <v>International Meal Company Alimentcao SA</v>
      </c>
      <c r="K557" s="167" t="str">
        <f>VLOOKUP(left(I557,4),Setor!A:D,3,0)&amp;" | "&amp;VLOOKUP(left(I557,4),Setor!A:D,4,0)</f>
        <v>Consumo Cíclico | Hoteis e Restaurantes</v>
      </c>
      <c r="L557" s="168">
        <f>(VLOOKUP($I557,Capa!$A:$F,6,0))</f>
        <v>1.21</v>
      </c>
      <c r="M557" s="168">
        <f t="shared" si="7"/>
        <v>235340.3</v>
      </c>
      <c r="N557" s="11" t="str">
        <f>IFERROR(__xludf.DUMMYFUNCTION("(VLOOKUP($I557,Capa!$A:$H,7,0))"),"")</f>
        <v/>
      </c>
      <c r="O557" s="169">
        <f>(VLOOKUP($I557,Capa!$A:$H,8,0))</f>
        <v>-0.0162601626</v>
      </c>
      <c r="P557" s="11" t="str">
        <f>IFERROR(__xludf.DUMMYFUNCTION("(VLOOKUP($I557,Capa!$A:$J,10,0))"),"")</f>
        <v/>
      </c>
      <c r="Q557" s="169">
        <f>(VLOOKUP($I557,Capa!$A:$K,11,0))</f>
        <v>0.21</v>
      </c>
      <c r="R557" s="45" t="str">
        <f>'Dados StatusInvest'!A552</f>
        <v>TAEE3</v>
      </c>
      <c r="S557" s="170">
        <f t="shared" si="234"/>
        <v>563.0563</v>
      </c>
      <c r="T557" s="171">
        <f>VLOOKUP(R557,'Dados StatusInvest'!A:Z,26,0)</f>
        <v>996539.2</v>
      </c>
      <c r="U557" s="172">
        <f t="shared" ref="U557:AS557" si="560">IF(AT557="","", RANK(AT557,AT$7:AT$626,0)+RANK(AT557,AT$7:AT$626,0)/10000)</f>
        <v>367.0367</v>
      </c>
      <c r="V557" s="172">
        <f t="shared" si="560"/>
        <v>196.0196</v>
      </c>
      <c r="W557" s="172" t="str">
        <f t="shared" si="560"/>
        <v/>
      </c>
      <c r="X557" s="172" t="str">
        <f t="shared" si="560"/>
        <v/>
      </c>
      <c r="Y557" s="172" t="str">
        <f t="shared" si="560"/>
        <v/>
      </c>
      <c r="Z557" s="172" t="str">
        <f t="shared" si="560"/>
        <v/>
      </c>
      <c r="AA557" s="172" t="str">
        <f t="shared" si="560"/>
        <v/>
      </c>
      <c r="AB557" s="172" t="str">
        <f t="shared" si="560"/>
        <v/>
      </c>
      <c r="AC557" s="172" t="str">
        <f t="shared" si="560"/>
        <v/>
      </c>
      <c r="AD557" s="172" t="str">
        <f t="shared" si="560"/>
        <v/>
      </c>
      <c r="AE557" s="172" t="str">
        <f t="shared" si="560"/>
        <v/>
      </c>
      <c r="AF557" s="172" t="str">
        <f t="shared" si="560"/>
        <v/>
      </c>
      <c r="AG557" s="172" t="str">
        <f t="shared" si="560"/>
        <v/>
      </c>
      <c r="AH557" s="172" t="str">
        <f t="shared" si="560"/>
        <v/>
      </c>
      <c r="AI557" s="172" t="str">
        <f t="shared" si="560"/>
        <v/>
      </c>
      <c r="AJ557" s="172" t="str">
        <f t="shared" si="560"/>
        <v/>
      </c>
      <c r="AK557" s="172" t="str">
        <f t="shared" si="560"/>
        <v/>
      </c>
      <c r="AL557" s="172" t="str">
        <f t="shared" si="560"/>
        <v/>
      </c>
      <c r="AM557" s="172" t="str">
        <f t="shared" si="560"/>
        <v/>
      </c>
      <c r="AN557" s="172" t="str">
        <f t="shared" si="560"/>
        <v/>
      </c>
      <c r="AO557" s="172" t="str">
        <f t="shared" si="560"/>
        <v/>
      </c>
      <c r="AP557" s="172" t="str">
        <f t="shared" si="560"/>
        <v/>
      </c>
      <c r="AQ557" s="172" t="str">
        <f t="shared" si="560"/>
        <v/>
      </c>
      <c r="AR557" s="172" t="str">
        <f t="shared" si="560"/>
        <v/>
      </c>
      <c r="AS557" s="172" t="str">
        <f t="shared" si="560"/>
        <v/>
      </c>
      <c r="AT557" s="173">
        <f>IF(AT$6="","",IF(AT$3="Maior",iferror(VLOOKUP($R557,Capa!$A:$AJ,AT$5,0),0),IF(ISERROR(1/VLOOKUP($R557,Capa!$A:$AJ,AT$5,0)),0,1/VLOOKUP($R557,Capa!$A:$AJ,AT$5,0))))</f>
        <v>-1.115874609</v>
      </c>
      <c r="AU557" s="174">
        <f>IF(AU$6="","",IF(AU$3="Maior",iferror(VLOOKUP($R557,Capa!$A:$AJ,AU$5,0),0),IF(ISERROR(1/VLOOKUP($R557,Capa!$A:$AJ,AU$5,0)),0,1/VLOOKUP($R557,Capa!$A:$AJ,AU$5,0))))</f>
        <v>11.46</v>
      </c>
      <c r="AV557" s="174" t="str">
        <f>IF(AV$6="","",IF(AV$3="Maior",iferror(VLOOKUP($R557,Capa!$A:$AJ,AV$5,0),0),IF(ISERROR(1/VLOOKUP($R557,Capa!$A:$AJ,AV$5,0)),0,1/VLOOKUP($R557,Capa!$A:$AJ,AV$5,0))))</f>
        <v/>
      </c>
      <c r="AW557" s="174" t="str">
        <f>IF(AW$6="","",IF(AW$3="Maior",iferror(VLOOKUP($R557,Capa!$A:$AJ,AW$5,0),0),IF(ISERROR(1/VLOOKUP($R557,Capa!$A:$AJ,AW$5,0)),0,1/VLOOKUP($R557,Capa!$A:$AJ,AW$5,0))))</f>
        <v/>
      </c>
      <c r="AX557" s="174" t="str">
        <f>IF(AX$6="","",IF(AX$3="Maior",iferror(VLOOKUP($R557,Capa!$A:$AJ,AX$5,0),0),IF(ISERROR(1/VLOOKUP($R557,Capa!$A:$AJ,AX$5,0)),0,1/VLOOKUP($R557,Capa!$A:$AJ,AX$5,0))))</f>
        <v/>
      </c>
      <c r="AY557" s="174" t="str">
        <f>IF(AY$6="","",IF(AY$3="Maior",iferror(VLOOKUP($R557,Capa!$A:$AJ,AY$5,0),0),IF(ISERROR(1/VLOOKUP($R557,Capa!$A:$AJ,AY$5,0)),0,1/VLOOKUP($R557,Capa!$A:$AJ,AY$5,0))))</f>
        <v/>
      </c>
      <c r="AZ557" s="174" t="str">
        <f>IF(AZ$6="","",IF(AZ$3="Maior",iferror(VLOOKUP($R557,Capa!$A:$AJ,AZ$5,0),0),IF(ISERROR(1/VLOOKUP($R557,Capa!$A:$AJ,AZ$5,0)),0,1/VLOOKUP($R557,Capa!$A:$AJ,AZ$5,0))))</f>
        <v/>
      </c>
      <c r="BA557" s="174" t="str">
        <f>IF(BA$6="","",IF(BA$3="Maior",iferror(VLOOKUP($R557,Capa!$A:$AJ,BA$5,0),0),IF(ISERROR(1/VLOOKUP($R557,Capa!$A:$AJ,BA$5,0)),0,1/VLOOKUP($R557,Capa!$A:$AJ,BA$5,0))))</f>
        <v/>
      </c>
      <c r="BB557" s="174" t="str">
        <f>IF(BB$6="","",IF(BB$3="Maior",iferror(VLOOKUP($R557,Capa!$A:$AJ,BB$5,0),0),IF(ISERROR(1/VLOOKUP($R557,Capa!$A:$AJ,BB$5,0)),0,1/VLOOKUP($R557,Capa!$A:$AJ,BB$5,0))))</f>
        <v/>
      </c>
      <c r="BC557" s="174" t="str">
        <f>IF(BC$6="","",IF(BC$3="Maior",iferror(VLOOKUP($R557,Capa!$A:$AJ,BC$5,0),0),IF(ISERROR(1/VLOOKUP($R557,Capa!$A:$AJ,BC$5,0)),0,1/VLOOKUP($R557,Capa!$A:$AJ,BC$5,0))))</f>
        <v/>
      </c>
      <c r="BD557" s="174" t="str">
        <f>IF(BD$6="","",IF(BD$3="Maior",iferror(VLOOKUP($R557,Capa!$A:$AJ,BD$5,0),0),IF(ISERROR(1/VLOOKUP($R557,Capa!$A:$AJ,BD$5,0)),0,1/VLOOKUP($R557,Capa!$A:$AJ,BD$5,0))))</f>
        <v/>
      </c>
      <c r="BE557" s="174" t="str">
        <f>IF(BE$6="","",IF(BE$3="Maior",iferror(VLOOKUP($R557,Capa!$A:$AJ,BE$5,0),0),IF(ISERROR(1/VLOOKUP($R557,Capa!$A:$AJ,BE$5,0)),0,1/VLOOKUP($R557,Capa!$A:$AJ,BE$5,0))))</f>
        <v/>
      </c>
      <c r="BF557" s="174" t="str">
        <f>IF(BF$6="","",IF(BF$3="Maior",iferror(VLOOKUP($R557,Capa!$A:$AJ,BF$5,0),0),IF(ISERROR(1/VLOOKUP($R557,Capa!$A:$AJ,BF$5,0)),0,1/VLOOKUP($R557,Capa!$A:$AJ,BF$5,0))))</f>
        <v/>
      </c>
      <c r="BG557" s="174" t="str">
        <f>IF(BG$6="","",IF(BG$3="Maior",iferror(VLOOKUP($R557,Capa!$A:$AJ,BG$5,0),0),IF(ISERROR(1/VLOOKUP($R557,Capa!$A:$AJ,BG$5,0)),0,1/VLOOKUP($R557,Capa!$A:$AJ,BG$5,0))))</f>
        <v/>
      </c>
      <c r="BH557" s="174" t="str">
        <f>IF(BH$6="","",IF(BH$3="Maior",iferror(VLOOKUP($R557,Capa!$A:$AJ,BH$5,0),0),IF(ISERROR(1/VLOOKUP($R557,Capa!$A:$AJ,BH$5,0)),0,1/VLOOKUP($R557,Capa!$A:$AJ,BH$5,0))))</f>
        <v/>
      </c>
      <c r="BI557" s="174" t="str">
        <f>IF(BI$6="","",IF(BI$3="Maior",iferror(VLOOKUP($R557,Capa!$A:$AJ,BI$5,0),0),IF(ISERROR(1/VLOOKUP($R557,Capa!$A:$AJ,BI$5,0)),0,1/VLOOKUP($R557,Capa!$A:$AJ,BI$5,0))))</f>
        <v/>
      </c>
      <c r="BJ557" s="174" t="str">
        <f>IF(BJ$6="","",IF(BJ$3="Maior",iferror(VLOOKUP($R557,Capa!$A:$AJ,BJ$5,0),0),IF(ISERROR(1/VLOOKUP($R557,Capa!$A:$AJ,BJ$5,0)),0,1/VLOOKUP($R557,Capa!$A:$AJ,BJ$5,0))))</f>
        <v/>
      </c>
      <c r="BK557" s="174" t="str">
        <f>IF(BK$6="","",IF(BK$3="Maior",iferror(VLOOKUP($R557,Capa!$A:$AJ,BK$5,0),0),IF(ISERROR(1/VLOOKUP($R557,Capa!$A:$AJ,BK$5,0)),0,1/VLOOKUP($R557,Capa!$A:$AJ,BK$5,0))))</f>
        <v/>
      </c>
      <c r="BL557" s="174" t="str">
        <f>IF(BL$6="","",IF(BL$3="Maior",iferror(VLOOKUP($R557,Capa!$A:$AJ,BL$5,0),0),IF(ISERROR(1/VLOOKUP($R557,Capa!$A:$AJ,BL$5,0)),0,1/VLOOKUP($R557,Capa!$A:$AJ,BL$5,0))))</f>
        <v/>
      </c>
      <c r="BM557" s="174" t="str">
        <f>IF(BM$6="","",IF(BM$3="Maior",iferror(VLOOKUP($R557,Capa!$A:$AJ,BM$5,0),0),IF(ISERROR(1/VLOOKUP($R557,Capa!$A:$AJ,BM$5,0)),0,1/VLOOKUP($R557,Capa!$A:$AJ,BM$5,0))))</f>
        <v/>
      </c>
      <c r="BN557" s="174" t="str">
        <f>IF(BN$6="","",IF(BN$3="Maior",iferror(VLOOKUP($R557,Capa!$A:$AJ,BN$5,0),0),IF(ISERROR(1/VLOOKUP($R557,Capa!$A:$AJ,BN$5,0)),0,1/VLOOKUP($R557,Capa!$A:$AJ,BN$5,0))))</f>
        <v/>
      </c>
      <c r="BO557" s="174" t="str">
        <f>IF(BO$6="","",IF(BO$3="Maior",iferror(VLOOKUP($R557,Capa!$A:$AJ,BO$5,0),0),IF(ISERROR(1/VLOOKUP($R557,Capa!$A:$AJ,BO$5,0)),0,1/VLOOKUP($R557,Capa!$A:$AJ,BO$5,0))))</f>
        <v/>
      </c>
      <c r="BP557" s="174" t="str">
        <f>IF(BP$6="","",IF(BP$3="Maior",iferror(VLOOKUP($R557,Capa!$A:$AJ,BP$5,0),0),IF(ISERROR(1/VLOOKUP($R557,Capa!$A:$AJ,BP$5,0)),0,1/VLOOKUP($R557,Capa!$A:$AJ,BP$5,0))))</f>
        <v/>
      </c>
      <c r="BQ557" s="174" t="str">
        <f>IF(BQ$6="","",IF(BQ$3="Maior",iferror(VLOOKUP($R557,Capa!$A:$AJ,BQ$5,0),0),IF(ISERROR(1/VLOOKUP($R557,Capa!$A:$AJ,BQ$5,0)),0,1/VLOOKUP($R557,Capa!$A:$AJ,BQ$5,0))))</f>
        <v/>
      </c>
      <c r="BR557" s="175"/>
      <c r="BS557" s="147"/>
    </row>
    <row r="558">
      <c r="H558" s="8">
        <v>552.0</v>
      </c>
      <c r="I558" s="165" t="str">
        <f t="shared" si="6"/>
        <v>RNEW4</v>
      </c>
      <c r="J558" s="166" t="str">
        <f>(VLOOKUP($I558,Capa!$A:$B,2,0))</f>
        <v>Renova Energia SA Em Recuperaco Judicial Preference Shares</v>
      </c>
      <c r="K558" s="167" t="str">
        <f>VLOOKUP(left(I558,4),Setor!A:D,3,0)&amp;" | "&amp;VLOOKUP(left(I558,4),Setor!A:D,4,0)</f>
        <v>Utilidade Pública | Energia Elétrica</v>
      </c>
      <c r="L558" s="168">
        <f>(VLOOKUP($I558,Capa!$A:$F,6,0))</f>
        <v>1</v>
      </c>
      <c r="M558" s="168">
        <f t="shared" si="7"/>
        <v>81851.05</v>
      </c>
      <c r="N558" s="11" t="str">
        <f>IFERROR(__xludf.DUMMYFUNCTION("(VLOOKUP($I558,Capa!$A:$H,7,0))"),"")</f>
        <v/>
      </c>
      <c r="O558" s="169">
        <f>(VLOOKUP($I558,Capa!$A:$H,8,0))</f>
        <v>0.1111111111</v>
      </c>
      <c r="P558" s="11" t="str">
        <f>IFERROR(__xludf.DUMMYFUNCTION("(VLOOKUP($I558,Capa!$A:$J,10,0))"),"")</f>
        <v/>
      </c>
      <c r="Q558" s="169">
        <f>(VLOOKUP($I558,Capa!$A:$K,11,0))</f>
        <v>-0.5024875622</v>
      </c>
      <c r="R558" s="45" t="str">
        <f>'Dados StatusInvest'!A553</f>
        <v>TAEE4</v>
      </c>
      <c r="S558" s="170">
        <f t="shared" si="234"/>
        <v>590.059</v>
      </c>
      <c r="T558" s="171">
        <f>VLOOKUP(R558,'Dados StatusInvest'!A:Z,26,0)</f>
        <v>1873095</v>
      </c>
      <c r="U558" s="172">
        <f t="shared" ref="U558:AS558" si="561">IF(AT558="","", RANK(AT558,AT$7:AT$626,0)+RANK(AT558,AT$7:AT$626,0)/10000)</f>
        <v>394.0394</v>
      </c>
      <c r="V558" s="172">
        <f t="shared" si="561"/>
        <v>196.0196</v>
      </c>
      <c r="W558" s="172" t="str">
        <f t="shared" si="561"/>
        <v/>
      </c>
      <c r="X558" s="172" t="str">
        <f t="shared" si="561"/>
        <v/>
      </c>
      <c r="Y558" s="172" t="str">
        <f t="shared" si="561"/>
        <v/>
      </c>
      <c r="Z558" s="172" t="str">
        <f t="shared" si="561"/>
        <v/>
      </c>
      <c r="AA558" s="172" t="str">
        <f t="shared" si="561"/>
        <v/>
      </c>
      <c r="AB558" s="172" t="str">
        <f t="shared" si="561"/>
        <v/>
      </c>
      <c r="AC558" s="172" t="str">
        <f t="shared" si="561"/>
        <v/>
      </c>
      <c r="AD558" s="172" t="str">
        <f t="shared" si="561"/>
        <v/>
      </c>
      <c r="AE558" s="172" t="str">
        <f t="shared" si="561"/>
        <v/>
      </c>
      <c r="AF558" s="172" t="str">
        <f t="shared" si="561"/>
        <v/>
      </c>
      <c r="AG558" s="172" t="str">
        <f t="shared" si="561"/>
        <v/>
      </c>
      <c r="AH558" s="172" t="str">
        <f t="shared" si="561"/>
        <v/>
      </c>
      <c r="AI558" s="172" t="str">
        <f t="shared" si="561"/>
        <v/>
      </c>
      <c r="AJ558" s="172" t="str">
        <f t="shared" si="561"/>
        <v/>
      </c>
      <c r="AK558" s="172" t="str">
        <f t="shared" si="561"/>
        <v/>
      </c>
      <c r="AL558" s="172" t="str">
        <f t="shared" si="561"/>
        <v/>
      </c>
      <c r="AM558" s="172" t="str">
        <f t="shared" si="561"/>
        <v/>
      </c>
      <c r="AN558" s="172" t="str">
        <f t="shared" si="561"/>
        <v/>
      </c>
      <c r="AO558" s="172" t="str">
        <f t="shared" si="561"/>
        <v/>
      </c>
      <c r="AP558" s="172" t="str">
        <f t="shared" si="561"/>
        <v/>
      </c>
      <c r="AQ558" s="172" t="str">
        <f t="shared" si="561"/>
        <v/>
      </c>
      <c r="AR558" s="172" t="str">
        <f t="shared" si="561"/>
        <v/>
      </c>
      <c r="AS558" s="172" t="str">
        <f t="shared" si="561"/>
        <v/>
      </c>
      <c r="AT558" s="173">
        <f>IF(AT$6="","",IF(AT$3="Maior",iferror(VLOOKUP($R558,Capa!$A:$AJ,AT$5,0),0),IF(ISERROR(1/VLOOKUP($R558,Capa!$A:$AJ,AT$5,0)),0,1/VLOOKUP($R558,Capa!$A:$AJ,AT$5,0))))</f>
        <v>-1.326464675</v>
      </c>
      <c r="AU558" s="174">
        <f>IF(AU$6="","",IF(AU$3="Maior",iferror(VLOOKUP($R558,Capa!$A:$AJ,AU$5,0),0),IF(ISERROR(1/VLOOKUP($R558,Capa!$A:$AJ,AU$5,0)),0,1/VLOOKUP($R558,Capa!$A:$AJ,AU$5,0))))</f>
        <v>11.46</v>
      </c>
      <c r="AV558" s="174" t="str">
        <f>IF(AV$6="","",IF(AV$3="Maior",iferror(VLOOKUP($R558,Capa!$A:$AJ,AV$5,0),0),IF(ISERROR(1/VLOOKUP($R558,Capa!$A:$AJ,AV$5,0)),0,1/VLOOKUP($R558,Capa!$A:$AJ,AV$5,0))))</f>
        <v/>
      </c>
      <c r="AW558" s="174" t="str">
        <f>IF(AW$6="","",IF(AW$3="Maior",iferror(VLOOKUP($R558,Capa!$A:$AJ,AW$5,0),0),IF(ISERROR(1/VLOOKUP($R558,Capa!$A:$AJ,AW$5,0)),0,1/VLOOKUP($R558,Capa!$A:$AJ,AW$5,0))))</f>
        <v/>
      </c>
      <c r="AX558" s="174" t="str">
        <f>IF(AX$6="","",IF(AX$3="Maior",iferror(VLOOKUP($R558,Capa!$A:$AJ,AX$5,0),0),IF(ISERROR(1/VLOOKUP($R558,Capa!$A:$AJ,AX$5,0)),0,1/VLOOKUP($R558,Capa!$A:$AJ,AX$5,0))))</f>
        <v/>
      </c>
      <c r="AY558" s="174" t="str">
        <f>IF(AY$6="","",IF(AY$3="Maior",iferror(VLOOKUP($R558,Capa!$A:$AJ,AY$5,0),0),IF(ISERROR(1/VLOOKUP($R558,Capa!$A:$AJ,AY$5,0)),0,1/VLOOKUP($R558,Capa!$A:$AJ,AY$5,0))))</f>
        <v/>
      </c>
      <c r="AZ558" s="174" t="str">
        <f>IF(AZ$6="","",IF(AZ$3="Maior",iferror(VLOOKUP($R558,Capa!$A:$AJ,AZ$5,0),0),IF(ISERROR(1/VLOOKUP($R558,Capa!$A:$AJ,AZ$5,0)),0,1/VLOOKUP($R558,Capa!$A:$AJ,AZ$5,0))))</f>
        <v/>
      </c>
      <c r="BA558" s="174" t="str">
        <f>IF(BA$6="","",IF(BA$3="Maior",iferror(VLOOKUP($R558,Capa!$A:$AJ,BA$5,0),0),IF(ISERROR(1/VLOOKUP($R558,Capa!$A:$AJ,BA$5,0)),0,1/VLOOKUP($R558,Capa!$A:$AJ,BA$5,0))))</f>
        <v/>
      </c>
      <c r="BB558" s="174" t="str">
        <f>IF(BB$6="","",IF(BB$3="Maior",iferror(VLOOKUP($R558,Capa!$A:$AJ,BB$5,0),0),IF(ISERROR(1/VLOOKUP($R558,Capa!$A:$AJ,BB$5,0)),0,1/VLOOKUP($R558,Capa!$A:$AJ,BB$5,0))))</f>
        <v/>
      </c>
      <c r="BC558" s="174" t="str">
        <f>IF(BC$6="","",IF(BC$3="Maior",iferror(VLOOKUP($R558,Capa!$A:$AJ,BC$5,0),0),IF(ISERROR(1/VLOOKUP($R558,Capa!$A:$AJ,BC$5,0)),0,1/VLOOKUP($R558,Capa!$A:$AJ,BC$5,0))))</f>
        <v/>
      </c>
      <c r="BD558" s="174" t="str">
        <f>IF(BD$6="","",IF(BD$3="Maior",iferror(VLOOKUP($R558,Capa!$A:$AJ,BD$5,0),0),IF(ISERROR(1/VLOOKUP($R558,Capa!$A:$AJ,BD$5,0)),0,1/VLOOKUP($R558,Capa!$A:$AJ,BD$5,0))))</f>
        <v/>
      </c>
      <c r="BE558" s="174" t="str">
        <f>IF(BE$6="","",IF(BE$3="Maior",iferror(VLOOKUP($R558,Capa!$A:$AJ,BE$5,0),0),IF(ISERROR(1/VLOOKUP($R558,Capa!$A:$AJ,BE$5,0)),0,1/VLOOKUP($R558,Capa!$A:$AJ,BE$5,0))))</f>
        <v/>
      </c>
      <c r="BF558" s="174" t="str">
        <f>IF(BF$6="","",IF(BF$3="Maior",iferror(VLOOKUP($R558,Capa!$A:$AJ,BF$5,0),0),IF(ISERROR(1/VLOOKUP($R558,Capa!$A:$AJ,BF$5,0)),0,1/VLOOKUP($R558,Capa!$A:$AJ,BF$5,0))))</f>
        <v/>
      </c>
      <c r="BG558" s="174" t="str">
        <f>IF(BG$6="","",IF(BG$3="Maior",iferror(VLOOKUP($R558,Capa!$A:$AJ,BG$5,0),0),IF(ISERROR(1/VLOOKUP($R558,Capa!$A:$AJ,BG$5,0)),0,1/VLOOKUP($R558,Capa!$A:$AJ,BG$5,0))))</f>
        <v/>
      </c>
      <c r="BH558" s="174" t="str">
        <f>IF(BH$6="","",IF(BH$3="Maior",iferror(VLOOKUP($R558,Capa!$A:$AJ,BH$5,0),0),IF(ISERROR(1/VLOOKUP($R558,Capa!$A:$AJ,BH$5,0)),0,1/VLOOKUP($R558,Capa!$A:$AJ,BH$5,0))))</f>
        <v/>
      </c>
      <c r="BI558" s="174" t="str">
        <f>IF(BI$6="","",IF(BI$3="Maior",iferror(VLOOKUP($R558,Capa!$A:$AJ,BI$5,0),0),IF(ISERROR(1/VLOOKUP($R558,Capa!$A:$AJ,BI$5,0)),0,1/VLOOKUP($R558,Capa!$A:$AJ,BI$5,0))))</f>
        <v/>
      </c>
      <c r="BJ558" s="174" t="str">
        <f>IF(BJ$6="","",IF(BJ$3="Maior",iferror(VLOOKUP($R558,Capa!$A:$AJ,BJ$5,0),0),IF(ISERROR(1/VLOOKUP($R558,Capa!$A:$AJ,BJ$5,0)),0,1/VLOOKUP($R558,Capa!$A:$AJ,BJ$5,0))))</f>
        <v/>
      </c>
      <c r="BK558" s="174" t="str">
        <f>IF(BK$6="","",IF(BK$3="Maior",iferror(VLOOKUP($R558,Capa!$A:$AJ,BK$5,0),0),IF(ISERROR(1/VLOOKUP($R558,Capa!$A:$AJ,BK$5,0)),0,1/VLOOKUP($R558,Capa!$A:$AJ,BK$5,0))))</f>
        <v/>
      </c>
      <c r="BL558" s="174" t="str">
        <f>IF(BL$6="","",IF(BL$3="Maior",iferror(VLOOKUP($R558,Capa!$A:$AJ,BL$5,0),0),IF(ISERROR(1/VLOOKUP($R558,Capa!$A:$AJ,BL$5,0)),0,1/VLOOKUP($R558,Capa!$A:$AJ,BL$5,0))))</f>
        <v/>
      </c>
      <c r="BM558" s="174" t="str">
        <f>IF(BM$6="","",IF(BM$3="Maior",iferror(VLOOKUP($R558,Capa!$A:$AJ,BM$5,0),0),IF(ISERROR(1/VLOOKUP($R558,Capa!$A:$AJ,BM$5,0)),0,1/VLOOKUP($R558,Capa!$A:$AJ,BM$5,0))))</f>
        <v/>
      </c>
      <c r="BN558" s="174" t="str">
        <f>IF(BN$6="","",IF(BN$3="Maior",iferror(VLOOKUP($R558,Capa!$A:$AJ,BN$5,0),0),IF(ISERROR(1/VLOOKUP($R558,Capa!$A:$AJ,BN$5,0)),0,1/VLOOKUP($R558,Capa!$A:$AJ,BN$5,0))))</f>
        <v/>
      </c>
      <c r="BO558" s="174" t="str">
        <f>IF(BO$6="","",IF(BO$3="Maior",iferror(VLOOKUP($R558,Capa!$A:$AJ,BO$5,0),0),IF(ISERROR(1/VLOOKUP($R558,Capa!$A:$AJ,BO$5,0)),0,1/VLOOKUP($R558,Capa!$A:$AJ,BO$5,0))))</f>
        <v/>
      </c>
      <c r="BP558" s="174" t="str">
        <f>IF(BP$6="","",IF(BP$3="Maior",iferror(VLOOKUP($R558,Capa!$A:$AJ,BP$5,0),0),IF(ISERROR(1/VLOOKUP($R558,Capa!$A:$AJ,BP$5,0)),0,1/VLOOKUP($R558,Capa!$A:$AJ,BP$5,0))))</f>
        <v/>
      </c>
      <c r="BQ558" s="174" t="str">
        <f>IF(BQ$6="","",IF(BQ$3="Maior",iferror(VLOOKUP($R558,Capa!$A:$AJ,BQ$5,0),0),IF(ISERROR(1/VLOOKUP($R558,Capa!$A:$AJ,BQ$5,0)),0,1/VLOOKUP($R558,Capa!$A:$AJ,BQ$5,0))))</f>
        <v/>
      </c>
      <c r="BR558" s="175"/>
      <c r="BS558" s="147"/>
    </row>
    <row r="559">
      <c r="H559" s="8">
        <v>553.0</v>
      </c>
      <c r="I559" s="165" t="str">
        <f t="shared" si="6"/>
        <v>WHRL4</v>
      </c>
      <c r="J559" s="166" t="str">
        <f>(VLOOKUP($I559,Capa!$A:$B,2,0))</f>
        <v>Whirlpool SA Preference Shares</v>
      </c>
      <c r="K559" s="167" t="str">
        <f>VLOOKUP(left(I559,4),Setor!A:D,3,0)&amp;" | "&amp;VLOOKUP(left(I559,4),Setor!A:D,4,0)</f>
        <v>Consumo Cíclico | Utilidades Domésticas</v>
      </c>
      <c r="L559" s="168">
        <f>(VLOOKUP($I559,Capa!$A:$F,6,0))</f>
        <v>4.74</v>
      </c>
      <c r="M559" s="168">
        <f t="shared" si="7"/>
        <v>26775.05</v>
      </c>
      <c r="N559" s="177" t="str">
        <f>IFERROR(__xludf.DUMMYFUNCTION("(VLOOKUP($I559,Capa!$A:$H,7,0))"),"")</f>
        <v/>
      </c>
      <c r="O559" s="177" t="str">
        <f>(VLOOKUP($I559,Capa!$A:$H,8,0))</f>
        <v/>
      </c>
      <c r="P559" s="169" t="str">
        <f>IFERROR(__xludf.DUMMYFUNCTION("(VLOOKUP($I559,Capa!$A:$J,10,0))"),"")</f>
        <v/>
      </c>
      <c r="Q559" s="169">
        <f>(VLOOKUP($I559,Capa!$A:$K,11,0))</f>
        <v>0.1421686747</v>
      </c>
      <c r="R559" s="45" t="str">
        <f>'Dados StatusInvest'!A554</f>
        <v>TASA3</v>
      </c>
      <c r="S559" s="170">
        <f t="shared" si="234"/>
        <v>1531.0531</v>
      </c>
      <c r="T559" s="171">
        <f>VLOOKUP(R559,'Dados StatusInvest'!A:Z,26,0)</f>
        <v>228196.4</v>
      </c>
      <c r="U559" s="172">
        <f t="shared" ref="U559:AS559" si="562">IF(AT559="","", RANK(AT559,AT$7:AT$626,0)+RANK(AT559,AT$7:AT$626,0)/10000)</f>
        <v>410.041</v>
      </c>
      <c r="V559" s="172">
        <f t="shared" si="562"/>
        <v>121.0121</v>
      </c>
      <c r="W559" s="172" t="str">
        <f t="shared" si="562"/>
        <v/>
      </c>
      <c r="X559" s="172" t="str">
        <f t="shared" si="562"/>
        <v/>
      </c>
      <c r="Y559" s="172" t="str">
        <f t="shared" si="562"/>
        <v/>
      </c>
      <c r="Z559" s="172" t="str">
        <f t="shared" si="562"/>
        <v/>
      </c>
      <c r="AA559" s="172" t="str">
        <f t="shared" si="562"/>
        <v/>
      </c>
      <c r="AB559" s="172" t="str">
        <f t="shared" si="562"/>
        <v/>
      </c>
      <c r="AC559" s="172" t="str">
        <f t="shared" si="562"/>
        <v/>
      </c>
      <c r="AD559" s="172" t="str">
        <f t="shared" si="562"/>
        <v/>
      </c>
      <c r="AE559" s="172" t="str">
        <f t="shared" si="562"/>
        <v/>
      </c>
      <c r="AF559" s="172" t="str">
        <f t="shared" si="562"/>
        <v/>
      </c>
      <c r="AG559" s="172" t="str">
        <f t="shared" si="562"/>
        <v/>
      </c>
      <c r="AH559" s="172" t="str">
        <f t="shared" si="562"/>
        <v/>
      </c>
      <c r="AI559" s="172" t="str">
        <f t="shared" si="562"/>
        <v/>
      </c>
      <c r="AJ559" s="172" t="str">
        <f t="shared" si="562"/>
        <v/>
      </c>
      <c r="AK559" s="172" t="str">
        <f t="shared" si="562"/>
        <v/>
      </c>
      <c r="AL559" s="172" t="str">
        <f t="shared" si="562"/>
        <v/>
      </c>
      <c r="AM559" s="172" t="str">
        <f t="shared" si="562"/>
        <v/>
      </c>
      <c r="AN559" s="172" t="str">
        <f t="shared" si="562"/>
        <v/>
      </c>
      <c r="AO559" s="172" t="str">
        <f t="shared" si="562"/>
        <v/>
      </c>
      <c r="AP559" s="172" t="str">
        <f t="shared" si="562"/>
        <v/>
      </c>
      <c r="AQ559" s="172" t="str">
        <f t="shared" si="562"/>
        <v/>
      </c>
      <c r="AR559" s="172" t="str">
        <f t="shared" si="562"/>
        <v/>
      </c>
      <c r="AS559" s="172" t="str">
        <f t="shared" si="562"/>
        <v/>
      </c>
      <c r="AT559" s="173">
        <f>IF(AT$6="","",IF(AT$3="Maior",iferror(VLOOKUP($R559,Capa!$A:$AJ,AT$5,0),0),IF(ISERROR(1/VLOOKUP($R559,Capa!$A:$AJ,AT$5,0)),0,1/VLOOKUP($R559,Capa!$A:$AJ,AT$5,0))))</f>
        <v>-1.439515799</v>
      </c>
      <c r="AU559" s="174">
        <f>IF(AU$6="","",IF(AU$3="Maior",iferror(VLOOKUP($R559,Capa!$A:$AJ,AU$5,0),0),IF(ISERROR(1/VLOOKUP($R559,Capa!$A:$AJ,AU$5,0)),0,1/VLOOKUP($R559,Capa!$A:$AJ,AU$5,0))))</f>
        <v>23.3</v>
      </c>
      <c r="AV559" s="174" t="str">
        <f>IF(AV$6="","",IF(AV$3="Maior",iferror(VLOOKUP($R559,Capa!$A:$AJ,AV$5,0),0),IF(ISERROR(1/VLOOKUP($R559,Capa!$A:$AJ,AV$5,0)),0,1/VLOOKUP($R559,Capa!$A:$AJ,AV$5,0))))</f>
        <v/>
      </c>
      <c r="AW559" s="174" t="str">
        <f>IF(AW$6="","",IF(AW$3="Maior",iferror(VLOOKUP($R559,Capa!$A:$AJ,AW$5,0),0),IF(ISERROR(1/VLOOKUP($R559,Capa!$A:$AJ,AW$5,0)),0,1/VLOOKUP($R559,Capa!$A:$AJ,AW$5,0))))</f>
        <v/>
      </c>
      <c r="AX559" s="174" t="str">
        <f>IF(AX$6="","",IF(AX$3="Maior",iferror(VLOOKUP($R559,Capa!$A:$AJ,AX$5,0),0),IF(ISERROR(1/VLOOKUP($R559,Capa!$A:$AJ,AX$5,0)),0,1/VLOOKUP($R559,Capa!$A:$AJ,AX$5,0))))</f>
        <v/>
      </c>
      <c r="AY559" s="174" t="str">
        <f>IF(AY$6="","",IF(AY$3="Maior",iferror(VLOOKUP($R559,Capa!$A:$AJ,AY$5,0),0),IF(ISERROR(1/VLOOKUP($R559,Capa!$A:$AJ,AY$5,0)),0,1/VLOOKUP($R559,Capa!$A:$AJ,AY$5,0))))</f>
        <v/>
      </c>
      <c r="AZ559" s="174" t="str">
        <f>IF(AZ$6="","",IF(AZ$3="Maior",iferror(VLOOKUP($R559,Capa!$A:$AJ,AZ$5,0),0),IF(ISERROR(1/VLOOKUP($R559,Capa!$A:$AJ,AZ$5,0)),0,1/VLOOKUP($R559,Capa!$A:$AJ,AZ$5,0))))</f>
        <v/>
      </c>
      <c r="BA559" s="174" t="str">
        <f>IF(BA$6="","",IF(BA$3="Maior",iferror(VLOOKUP($R559,Capa!$A:$AJ,BA$5,0),0),IF(ISERROR(1/VLOOKUP($R559,Capa!$A:$AJ,BA$5,0)),0,1/VLOOKUP($R559,Capa!$A:$AJ,BA$5,0))))</f>
        <v/>
      </c>
      <c r="BB559" s="174" t="str">
        <f>IF(BB$6="","",IF(BB$3="Maior",iferror(VLOOKUP($R559,Capa!$A:$AJ,BB$5,0),0),IF(ISERROR(1/VLOOKUP($R559,Capa!$A:$AJ,BB$5,0)),0,1/VLOOKUP($R559,Capa!$A:$AJ,BB$5,0))))</f>
        <v/>
      </c>
      <c r="BC559" s="174" t="str">
        <f>IF(BC$6="","",IF(BC$3="Maior",iferror(VLOOKUP($R559,Capa!$A:$AJ,BC$5,0),0),IF(ISERROR(1/VLOOKUP($R559,Capa!$A:$AJ,BC$5,0)),0,1/VLOOKUP($R559,Capa!$A:$AJ,BC$5,0))))</f>
        <v/>
      </c>
      <c r="BD559" s="174" t="str">
        <f>IF(BD$6="","",IF(BD$3="Maior",iferror(VLOOKUP($R559,Capa!$A:$AJ,BD$5,0),0),IF(ISERROR(1/VLOOKUP($R559,Capa!$A:$AJ,BD$5,0)),0,1/VLOOKUP($R559,Capa!$A:$AJ,BD$5,0))))</f>
        <v/>
      </c>
      <c r="BE559" s="174" t="str">
        <f>IF(BE$6="","",IF(BE$3="Maior",iferror(VLOOKUP($R559,Capa!$A:$AJ,BE$5,0),0),IF(ISERROR(1/VLOOKUP($R559,Capa!$A:$AJ,BE$5,0)),0,1/VLOOKUP($R559,Capa!$A:$AJ,BE$5,0))))</f>
        <v/>
      </c>
      <c r="BF559" s="174" t="str">
        <f>IF(BF$6="","",IF(BF$3="Maior",iferror(VLOOKUP($R559,Capa!$A:$AJ,BF$5,0),0),IF(ISERROR(1/VLOOKUP($R559,Capa!$A:$AJ,BF$5,0)),0,1/VLOOKUP($R559,Capa!$A:$AJ,BF$5,0))))</f>
        <v/>
      </c>
      <c r="BG559" s="174" t="str">
        <f>IF(BG$6="","",IF(BG$3="Maior",iferror(VLOOKUP($R559,Capa!$A:$AJ,BG$5,0),0),IF(ISERROR(1/VLOOKUP($R559,Capa!$A:$AJ,BG$5,0)),0,1/VLOOKUP($R559,Capa!$A:$AJ,BG$5,0))))</f>
        <v/>
      </c>
      <c r="BH559" s="174" t="str">
        <f>IF(BH$6="","",IF(BH$3="Maior",iferror(VLOOKUP($R559,Capa!$A:$AJ,BH$5,0),0),IF(ISERROR(1/VLOOKUP($R559,Capa!$A:$AJ,BH$5,0)),0,1/VLOOKUP($R559,Capa!$A:$AJ,BH$5,0))))</f>
        <v/>
      </c>
      <c r="BI559" s="174" t="str">
        <f>IF(BI$6="","",IF(BI$3="Maior",iferror(VLOOKUP($R559,Capa!$A:$AJ,BI$5,0),0),IF(ISERROR(1/VLOOKUP($R559,Capa!$A:$AJ,BI$5,0)),0,1/VLOOKUP($R559,Capa!$A:$AJ,BI$5,0))))</f>
        <v/>
      </c>
      <c r="BJ559" s="174" t="str">
        <f>IF(BJ$6="","",IF(BJ$3="Maior",iferror(VLOOKUP($R559,Capa!$A:$AJ,BJ$5,0),0),IF(ISERROR(1/VLOOKUP($R559,Capa!$A:$AJ,BJ$5,0)),0,1/VLOOKUP($R559,Capa!$A:$AJ,BJ$5,0))))</f>
        <v/>
      </c>
      <c r="BK559" s="174" t="str">
        <f>IF(BK$6="","",IF(BK$3="Maior",iferror(VLOOKUP($R559,Capa!$A:$AJ,BK$5,0),0),IF(ISERROR(1/VLOOKUP($R559,Capa!$A:$AJ,BK$5,0)),0,1/VLOOKUP($R559,Capa!$A:$AJ,BK$5,0))))</f>
        <v/>
      </c>
      <c r="BL559" s="174" t="str">
        <f>IF(BL$6="","",IF(BL$3="Maior",iferror(VLOOKUP($R559,Capa!$A:$AJ,BL$5,0),0),IF(ISERROR(1/VLOOKUP($R559,Capa!$A:$AJ,BL$5,0)),0,1/VLOOKUP($R559,Capa!$A:$AJ,BL$5,0))))</f>
        <v/>
      </c>
      <c r="BM559" s="174" t="str">
        <f>IF(BM$6="","",IF(BM$3="Maior",iferror(VLOOKUP($R559,Capa!$A:$AJ,BM$5,0),0),IF(ISERROR(1/VLOOKUP($R559,Capa!$A:$AJ,BM$5,0)),0,1/VLOOKUP($R559,Capa!$A:$AJ,BM$5,0))))</f>
        <v/>
      </c>
      <c r="BN559" s="174" t="str">
        <f>IF(BN$6="","",IF(BN$3="Maior",iferror(VLOOKUP($R559,Capa!$A:$AJ,BN$5,0),0),IF(ISERROR(1/VLOOKUP($R559,Capa!$A:$AJ,BN$5,0)),0,1/VLOOKUP($R559,Capa!$A:$AJ,BN$5,0))))</f>
        <v/>
      </c>
      <c r="BO559" s="174" t="str">
        <f>IF(BO$6="","",IF(BO$3="Maior",iferror(VLOOKUP($R559,Capa!$A:$AJ,BO$5,0),0),IF(ISERROR(1/VLOOKUP($R559,Capa!$A:$AJ,BO$5,0)),0,1/VLOOKUP($R559,Capa!$A:$AJ,BO$5,0))))</f>
        <v/>
      </c>
      <c r="BP559" s="174" t="str">
        <f>IF(BP$6="","",IF(BP$3="Maior",iferror(VLOOKUP($R559,Capa!$A:$AJ,BP$5,0),0),IF(ISERROR(1/VLOOKUP($R559,Capa!$A:$AJ,BP$5,0)),0,1/VLOOKUP($R559,Capa!$A:$AJ,BP$5,0))))</f>
        <v/>
      </c>
      <c r="BQ559" s="174" t="str">
        <f>IF(BQ$6="","",IF(BQ$3="Maior",iferror(VLOOKUP($R559,Capa!$A:$AJ,BQ$5,0),0),IF(ISERROR(1/VLOOKUP($R559,Capa!$A:$AJ,BQ$5,0)),0,1/VLOOKUP($R559,Capa!$A:$AJ,BQ$5,0))))</f>
        <v/>
      </c>
      <c r="BR559" s="175"/>
      <c r="BS559" s="147"/>
    </row>
    <row r="560">
      <c r="H560" s="8">
        <v>554.0</v>
      </c>
      <c r="I560" s="165" t="str">
        <f t="shared" si="6"/>
        <v>PLAS3</v>
      </c>
      <c r="J560" s="166" t="str">
        <f>(VLOOKUP($I560,Capa!$A:$B,2,0))</f>
        <v>Plascar Participacoes Industriais SA</v>
      </c>
      <c r="K560" s="167" t="str">
        <f>VLOOKUP(left(I560,4),Setor!A:D,3,0)&amp;" | "&amp;VLOOKUP(left(I560,4),Setor!A:D,4,0)</f>
        <v>Consumo Cíclico | Automóveis e Motocicletas</v>
      </c>
      <c r="L560" s="168">
        <f>(VLOOKUP($I560,Capa!$A:$F,6,0))</f>
        <v>4.65</v>
      </c>
      <c r="M560" s="168">
        <f t="shared" si="7"/>
        <v>2066.24</v>
      </c>
      <c r="N560" s="11" t="str">
        <f>IFERROR(__xludf.DUMMYFUNCTION("(VLOOKUP($I560,Capa!$A:$H,7,0))"),"")</f>
        <v/>
      </c>
      <c r="O560" s="169">
        <f>(VLOOKUP($I560,Capa!$A:$H,8,0))</f>
        <v>-0.0490797546</v>
      </c>
      <c r="P560" s="11" t="str">
        <f>IFERROR(__xludf.DUMMYFUNCTION("(VLOOKUP($I560,Capa!$A:$J,10,0))"),"")</f>
        <v/>
      </c>
      <c r="Q560" s="169">
        <f>(VLOOKUP($I560,Capa!$A:$K,11,0))</f>
        <v>-0.2288557214</v>
      </c>
      <c r="R560" s="45" t="str">
        <f>'Dados StatusInvest'!A555</f>
        <v>TASA4</v>
      </c>
      <c r="S560" s="170">
        <f t="shared" si="234"/>
        <v>534.0534</v>
      </c>
      <c r="T560" s="171">
        <f>VLOOKUP(R560,'Dados StatusInvest'!A:Z,26,0)</f>
        <v>2096716</v>
      </c>
      <c r="U560" s="172">
        <f t="shared" ref="U560:AS560" si="563">IF(AT560="","", RANK(AT560,AT$7:AT$626,0)+RANK(AT560,AT$7:AT$626,0)/10000)</f>
        <v>413.0413</v>
      </c>
      <c r="V560" s="172">
        <f t="shared" si="563"/>
        <v>121.0121</v>
      </c>
      <c r="W560" s="172" t="str">
        <f t="shared" si="563"/>
        <v/>
      </c>
      <c r="X560" s="172" t="str">
        <f t="shared" si="563"/>
        <v/>
      </c>
      <c r="Y560" s="172" t="str">
        <f t="shared" si="563"/>
        <v/>
      </c>
      <c r="Z560" s="172" t="str">
        <f t="shared" si="563"/>
        <v/>
      </c>
      <c r="AA560" s="172" t="str">
        <f t="shared" si="563"/>
        <v/>
      </c>
      <c r="AB560" s="172" t="str">
        <f t="shared" si="563"/>
        <v/>
      </c>
      <c r="AC560" s="172" t="str">
        <f t="shared" si="563"/>
        <v/>
      </c>
      <c r="AD560" s="172" t="str">
        <f t="shared" si="563"/>
        <v/>
      </c>
      <c r="AE560" s="172" t="str">
        <f t="shared" si="563"/>
        <v/>
      </c>
      <c r="AF560" s="172" t="str">
        <f t="shared" si="563"/>
        <v/>
      </c>
      <c r="AG560" s="172" t="str">
        <f t="shared" si="563"/>
        <v/>
      </c>
      <c r="AH560" s="172" t="str">
        <f t="shared" si="563"/>
        <v/>
      </c>
      <c r="AI560" s="172" t="str">
        <f t="shared" si="563"/>
        <v/>
      </c>
      <c r="AJ560" s="172" t="str">
        <f t="shared" si="563"/>
        <v/>
      </c>
      <c r="AK560" s="172" t="str">
        <f t="shared" si="563"/>
        <v/>
      </c>
      <c r="AL560" s="172" t="str">
        <f t="shared" si="563"/>
        <v/>
      </c>
      <c r="AM560" s="172" t="str">
        <f t="shared" si="563"/>
        <v/>
      </c>
      <c r="AN560" s="172" t="str">
        <f t="shared" si="563"/>
        <v/>
      </c>
      <c r="AO560" s="172" t="str">
        <f t="shared" si="563"/>
        <v/>
      </c>
      <c r="AP560" s="172" t="str">
        <f t="shared" si="563"/>
        <v/>
      </c>
      <c r="AQ560" s="172" t="str">
        <f t="shared" si="563"/>
        <v/>
      </c>
      <c r="AR560" s="172" t="str">
        <f t="shared" si="563"/>
        <v/>
      </c>
      <c r="AS560" s="172" t="str">
        <f t="shared" si="563"/>
        <v/>
      </c>
      <c r="AT560" s="173">
        <f>IF(AT$6="","",IF(AT$3="Maior",iferror(VLOOKUP($R560,Capa!$A:$AJ,AT$5,0),0),IF(ISERROR(1/VLOOKUP($R560,Capa!$A:$AJ,AT$5,0)),0,1/VLOOKUP($R560,Capa!$A:$AJ,AT$5,0))))</f>
        <v>-1.460589272</v>
      </c>
      <c r="AU560" s="174">
        <f>IF(AU$6="","",IF(AU$3="Maior",iferror(VLOOKUP($R560,Capa!$A:$AJ,AU$5,0),0),IF(ISERROR(1/VLOOKUP($R560,Capa!$A:$AJ,AU$5,0)),0,1/VLOOKUP($R560,Capa!$A:$AJ,AU$5,0))))</f>
        <v>23.3</v>
      </c>
      <c r="AV560" s="174" t="str">
        <f>IF(AV$6="","",IF(AV$3="Maior",iferror(VLOOKUP($R560,Capa!$A:$AJ,AV$5,0),0),IF(ISERROR(1/VLOOKUP($R560,Capa!$A:$AJ,AV$5,0)),0,1/VLOOKUP($R560,Capa!$A:$AJ,AV$5,0))))</f>
        <v/>
      </c>
      <c r="AW560" s="174" t="str">
        <f>IF(AW$6="","",IF(AW$3="Maior",iferror(VLOOKUP($R560,Capa!$A:$AJ,AW$5,0),0),IF(ISERROR(1/VLOOKUP($R560,Capa!$A:$AJ,AW$5,0)),0,1/VLOOKUP($R560,Capa!$A:$AJ,AW$5,0))))</f>
        <v/>
      </c>
      <c r="AX560" s="174" t="str">
        <f>IF(AX$6="","",IF(AX$3="Maior",iferror(VLOOKUP($R560,Capa!$A:$AJ,AX$5,0),0),IF(ISERROR(1/VLOOKUP($R560,Capa!$A:$AJ,AX$5,0)),0,1/VLOOKUP($R560,Capa!$A:$AJ,AX$5,0))))</f>
        <v/>
      </c>
      <c r="AY560" s="174" t="str">
        <f>IF(AY$6="","",IF(AY$3="Maior",iferror(VLOOKUP($R560,Capa!$A:$AJ,AY$5,0),0),IF(ISERROR(1/VLOOKUP($R560,Capa!$A:$AJ,AY$5,0)),0,1/VLOOKUP($R560,Capa!$A:$AJ,AY$5,0))))</f>
        <v/>
      </c>
      <c r="AZ560" s="174" t="str">
        <f>IF(AZ$6="","",IF(AZ$3="Maior",iferror(VLOOKUP($R560,Capa!$A:$AJ,AZ$5,0),0),IF(ISERROR(1/VLOOKUP($R560,Capa!$A:$AJ,AZ$5,0)),0,1/VLOOKUP($R560,Capa!$A:$AJ,AZ$5,0))))</f>
        <v/>
      </c>
      <c r="BA560" s="174" t="str">
        <f>IF(BA$6="","",IF(BA$3="Maior",iferror(VLOOKUP($R560,Capa!$A:$AJ,BA$5,0),0),IF(ISERROR(1/VLOOKUP($R560,Capa!$A:$AJ,BA$5,0)),0,1/VLOOKUP($R560,Capa!$A:$AJ,BA$5,0))))</f>
        <v/>
      </c>
      <c r="BB560" s="174" t="str">
        <f>IF(BB$6="","",IF(BB$3="Maior",iferror(VLOOKUP($R560,Capa!$A:$AJ,BB$5,0),0),IF(ISERROR(1/VLOOKUP($R560,Capa!$A:$AJ,BB$5,0)),0,1/VLOOKUP($R560,Capa!$A:$AJ,BB$5,0))))</f>
        <v/>
      </c>
      <c r="BC560" s="174" t="str">
        <f>IF(BC$6="","",IF(BC$3="Maior",iferror(VLOOKUP($R560,Capa!$A:$AJ,BC$5,0),0),IF(ISERROR(1/VLOOKUP($R560,Capa!$A:$AJ,BC$5,0)),0,1/VLOOKUP($R560,Capa!$A:$AJ,BC$5,0))))</f>
        <v/>
      </c>
      <c r="BD560" s="174" t="str">
        <f>IF(BD$6="","",IF(BD$3="Maior",iferror(VLOOKUP($R560,Capa!$A:$AJ,BD$5,0),0),IF(ISERROR(1/VLOOKUP($R560,Capa!$A:$AJ,BD$5,0)),0,1/VLOOKUP($R560,Capa!$A:$AJ,BD$5,0))))</f>
        <v/>
      </c>
      <c r="BE560" s="174" t="str">
        <f>IF(BE$6="","",IF(BE$3="Maior",iferror(VLOOKUP($R560,Capa!$A:$AJ,BE$5,0),0),IF(ISERROR(1/VLOOKUP($R560,Capa!$A:$AJ,BE$5,0)),0,1/VLOOKUP($R560,Capa!$A:$AJ,BE$5,0))))</f>
        <v/>
      </c>
      <c r="BF560" s="174" t="str">
        <f>IF(BF$6="","",IF(BF$3="Maior",iferror(VLOOKUP($R560,Capa!$A:$AJ,BF$5,0),0),IF(ISERROR(1/VLOOKUP($R560,Capa!$A:$AJ,BF$5,0)),0,1/VLOOKUP($R560,Capa!$A:$AJ,BF$5,0))))</f>
        <v/>
      </c>
      <c r="BG560" s="174" t="str">
        <f>IF(BG$6="","",IF(BG$3="Maior",iferror(VLOOKUP($R560,Capa!$A:$AJ,BG$5,0),0),IF(ISERROR(1/VLOOKUP($R560,Capa!$A:$AJ,BG$5,0)),0,1/VLOOKUP($R560,Capa!$A:$AJ,BG$5,0))))</f>
        <v/>
      </c>
      <c r="BH560" s="174" t="str">
        <f>IF(BH$6="","",IF(BH$3="Maior",iferror(VLOOKUP($R560,Capa!$A:$AJ,BH$5,0),0),IF(ISERROR(1/VLOOKUP($R560,Capa!$A:$AJ,BH$5,0)),0,1/VLOOKUP($R560,Capa!$A:$AJ,BH$5,0))))</f>
        <v/>
      </c>
      <c r="BI560" s="174" t="str">
        <f>IF(BI$6="","",IF(BI$3="Maior",iferror(VLOOKUP($R560,Capa!$A:$AJ,BI$5,0),0),IF(ISERROR(1/VLOOKUP($R560,Capa!$A:$AJ,BI$5,0)),0,1/VLOOKUP($R560,Capa!$A:$AJ,BI$5,0))))</f>
        <v/>
      </c>
      <c r="BJ560" s="174" t="str">
        <f>IF(BJ$6="","",IF(BJ$3="Maior",iferror(VLOOKUP($R560,Capa!$A:$AJ,BJ$5,0),0),IF(ISERROR(1/VLOOKUP($R560,Capa!$A:$AJ,BJ$5,0)),0,1/VLOOKUP($R560,Capa!$A:$AJ,BJ$5,0))))</f>
        <v/>
      </c>
      <c r="BK560" s="174" t="str">
        <f>IF(BK$6="","",IF(BK$3="Maior",iferror(VLOOKUP($R560,Capa!$A:$AJ,BK$5,0),0),IF(ISERROR(1/VLOOKUP($R560,Capa!$A:$AJ,BK$5,0)),0,1/VLOOKUP($R560,Capa!$A:$AJ,BK$5,0))))</f>
        <v/>
      </c>
      <c r="BL560" s="174" t="str">
        <f>IF(BL$6="","",IF(BL$3="Maior",iferror(VLOOKUP($R560,Capa!$A:$AJ,BL$5,0),0),IF(ISERROR(1/VLOOKUP($R560,Capa!$A:$AJ,BL$5,0)),0,1/VLOOKUP($R560,Capa!$A:$AJ,BL$5,0))))</f>
        <v/>
      </c>
      <c r="BM560" s="174" t="str">
        <f>IF(BM$6="","",IF(BM$3="Maior",iferror(VLOOKUP($R560,Capa!$A:$AJ,BM$5,0),0),IF(ISERROR(1/VLOOKUP($R560,Capa!$A:$AJ,BM$5,0)),0,1/VLOOKUP($R560,Capa!$A:$AJ,BM$5,0))))</f>
        <v/>
      </c>
      <c r="BN560" s="174" t="str">
        <f>IF(BN$6="","",IF(BN$3="Maior",iferror(VLOOKUP($R560,Capa!$A:$AJ,BN$5,0),0),IF(ISERROR(1/VLOOKUP($R560,Capa!$A:$AJ,BN$5,0)),0,1/VLOOKUP($R560,Capa!$A:$AJ,BN$5,0))))</f>
        <v/>
      </c>
      <c r="BO560" s="174" t="str">
        <f>IF(BO$6="","",IF(BO$3="Maior",iferror(VLOOKUP($R560,Capa!$A:$AJ,BO$5,0),0),IF(ISERROR(1/VLOOKUP($R560,Capa!$A:$AJ,BO$5,0)),0,1/VLOOKUP($R560,Capa!$A:$AJ,BO$5,0))))</f>
        <v/>
      </c>
      <c r="BP560" s="174" t="str">
        <f>IF(BP$6="","",IF(BP$3="Maior",iferror(VLOOKUP($R560,Capa!$A:$AJ,BP$5,0),0),IF(ISERROR(1/VLOOKUP($R560,Capa!$A:$AJ,BP$5,0)),0,1/VLOOKUP($R560,Capa!$A:$AJ,BP$5,0))))</f>
        <v/>
      </c>
      <c r="BQ560" s="174" t="str">
        <f>IF(BQ$6="","",IF(BQ$3="Maior",iferror(VLOOKUP($R560,Capa!$A:$AJ,BQ$5,0),0),IF(ISERROR(1/VLOOKUP($R560,Capa!$A:$AJ,BQ$5,0)),0,1/VLOOKUP($R560,Capa!$A:$AJ,BQ$5,0))))</f>
        <v/>
      </c>
      <c r="BR560" s="175"/>
      <c r="BS560" s="147"/>
    </row>
    <row r="561">
      <c r="H561" s="8">
        <v>555.0</v>
      </c>
      <c r="I561" s="165" t="str">
        <f t="shared" si="6"/>
        <v>TCSA3</v>
      </c>
      <c r="J561" s="166" t="str">
        <f>(VLOOKUP($I561,Capa!$A:$B,2,0))</f>
        <v>Tecnisa SA</v>
      </c>
      <c r="K561" s="167" t="str">
        <f>VLOOKUP(left(I561,4),Setor!A:D,3,0)&amp;" | "&amp;VLOOKUP(left(I561,4),Setor!A:D,4,0)</f>
        <v>Consumo Cíclico | Construção Civil</v>
      </c>
      <c r="L561" s="168">
        <f>(VLOOKUP($I561,Capa!$A:$F,6,0))</f>
        <v>1.51</v>
      </c>
      <c r="M561" s="168">
        <f t="shared" si="7"/>
        <v>259804.8</v>
      </c>
      <c r="N561" s="177" t="str">
        <f>IFERROR(__xludf.DUMMYFUNCTION("(VLOOKUP($I561,Capa!$A:$H,7,0))"),"")</f>
        <v/>
      </c>
      <c r="O561" s="169">
        <f>(VLOOKUP($I561,Capa!$A:$H,8,0))</f>
        <v>0.2276422764</v>
      </c>
      <c r="P561" s="169" t="str">
        <f>IFERROR(__xludf.DUMMYFUNCTION("(VLOOKUP($I561,Capa!$A:$J,10,0))"),"")</f>
        <v/>
      </c>
      <c r="Q561" s="169">
        <f>(VLOOKUP($I561,Capa!$A:$K,11,0))</f>
        <v>-0.01307189542</v>
      </c>
      <c r="R561" s="45" t="str">
        <f>'Dados StatusInvest'!A556</f>
        <v>TCNO3</v>
      </c>
      <c r="S561" s="170">
        <f t="shared" si="234"/>
        <v>1270.027</v>
      </c>
      <c r="T561" s="171">
        <f>VLOOKUP(R561,'Dados StatusInvest'!A:Z,26,0)</f>
        <v>0</v>
      </c>
      <c r="U561" s="172">
        <f t="shared" ref="U561:AS561" si="564">IF(AT561="","", RANK(AT561,AT$7:AT$626,0)+RANK(AT561,AT$7:AT$626,0)/10000)</f>
        <v>3.0003</v>
      </c>
      <c r="V561" s="172">
        <f t="shared" si="564"/>
        <v>267.0267</v>
      </c>
      <c r="W561" s="172" t="str">
        <f t="shared" si="564"/>
        <v/>
      </c>
      <c r="X561" s="172" t="str">
        <f t="shared" si="564"/>
        <v/>
      </c>
      <c r="Y561" s="172" t="str">
        <f t="shared" si="564"/>
        <v/>
      </c>
      <c r="Z561" s="172" t="str">
        <f t="shared" si="564"/>
        <v/>
      </c>
      <c r="AA561" s="172" t="str">
        <f t="shared" si="564"/>
        <v/>
      </c>
      <c r="AB561" s="172" t="str">
        <f t="shared" si="564"/>
        <v/>
      </c>
      <c r="AC561" s="172" t="str">
        <f t="shared" si="564"/>
        <v/>
      </c>
      <c r="AD561" s="172" t="str">
        <f t="shared" si="564"/>
        <v/>
      </c>
      <c r="AE561" s="172" t="str">
        <f t="shared" si="564"/>
        <v/>
      </c>
      <c r="AF561" s="172" t="str">
        <f t="shared" si="564"/>
        <v/>
      </c>
      <c r="AG561" s="172" t="str">
        <f t="shared" si="564"/>
        <v/>
      </c>
      <c r="AH561" s="172" t="str">
        <f t="shared" si="564"/>
        <v/>
      </c>
      <c r="AI561" s="172" t="str">
        <f t="shared" si="564"/>
        <v/>
      </c>
      <c r="AJ561" s="172" t="str">
        <f t="shared" si="564"/>
        <v/>
      </c>
      <c r="AK561" s="172" t="str">
        <f t="shared" si="564"/>
        <v/>
      </c>
      <c r="AL561" s="172" t="str">
        <f t="shared" si="564"/>
        <v/>
      </c>
      <c r="AM561" s="172" t="str">
        <f t="shared" si="564"/>
        <v/>
      </c>
      <c r="AN561" s="172" t="str">
        <f t="shared" si="564"/>
        <v/>
      </c>
      <c r="AO561" s="172" t="str">
        <f t="shared" si="564"/>
        <v/>
      </c>
      <c r="AP561" s="172" t="str">
        <f t="shared" si="564"/>
        <v/>
      </c>
      <c r="AQ561" s="172" t="str">
        <f t="shared" si="564"/>
        <v/>
      </c>
      <c r="AR561" s="172" t="str">
        <f t="shared" si="564"/>
        <v/>
      </c>
      <c r="AS561" s="172" t="str">
        <f t="shared" si="564"/>
        <v/>
      </c>
      <c r="AT561" s="173">
        <f>IF(AT$6="","",IF(AT$3="Maior",iferror(VLOOKUP($R561,Capa!$A:$AJ,AT$5,0),0),IF(ISERROR(1/VLOOKUP($R561,Capa!$A:$AJ,AT$5,0)),0,1/VLOOKUP($R561,Capa!$A:$AJ,AT$5,0))))</f>
        <v>25</v>
      </c>
      <c r="AU561" s="174">
        <f>IF(AU$6="","",IF(AU$3="Maior",iferror(VLOOKUP($R561,Capa!$A:$AJ,AU$5,0),0),IF(ISERROR(1/VLOOKUP($R561,Capa!$A:$AJ,AU$5,0)),0,1/VLOOKUP($R561,Capa!$A:$AJ,AU$5,0))))</f>
        <v>0</v>
      </c>
      <c r="AV561" s="174" t="str">
        <f>IF(AV$6="","",IF(AV$3="Maior",iferror(VLOOKUP($R561,Capa!$A:$AJ,AV$5,0),0),IF(ISERROR(1/VLOOKUP($R561,Capa!$A:$AJ,AV$5,0)),0,1/VLOOKUP($R561,Capa!$A:$AJ,AV$5,0))))</f>
        <v/>
      </c>
      <c r="AW561" s="174" t="str">
        <f>IF(AW$6="","",IF(AW$3="Maior",iferror(VLOOKUP($R561,Capa!$A:$AJ,AW$5,0),0),IF(ISERROR(1/VLOOKUP($R561,Capa!$A:$AJ,AW$5,0)),0,1/VLOOKUP($R561,Capa!$A:$AJ,AW$5,0))))</f>
        <v/>
      </c>
      <c r="AX561" s="174" t="str">
        <f>IF(AX$6="","",IF(AX$3="Maior",iferror(VLOOKUP($R561,Capa!$A:$AJ,AX$5,0),0),IF(ISERROR(1/VLOOKUP($R561,Capa!$A:$AJ,AX$5,0)),0,1/VLOOKUP($R561,Capa!$A:$AJ,AX$5,0))))</f>
        <v/>
      </c>
      <c r="AY561" s="174" t="str">
        <f>IF(AY$6="","",IF(AY$3="Maior",iferror(VLOOKUP($R561,Capa!$A:$AJ,AY$5,0),0),IF(ISERROR(1/VLOOKUP($R561,Capa!$A:$AJ,AY$5,0)),0,1/VLOOKUP($R561,Capa!$A:$AJ,AY$5,0))))</f>
        <v/>
      </c>
      <c r="AZ561" s="174" t="str">
        <f>IF(AZ$6="","",IF(AZ$3="Maior",iferror(VLOOKUP($R561,Capa!$A:$AJ,AZ$5,0),0),IF(ISERROR(1/VLOOKUP($R561,Capa!$A:$AJ,AZ$5,0)),0,1/VLOOKUP($R561,Capa!$A:$AJ,AZ$5,0))))</f>
        <v/>
      </c>
      <c r="BA561" s="174" t="str">
        <f>IF(BA$6="","",IF(BA$3="Maior",iferror(VLOOKUP($R561,Capa!$A:$AJ,BA$5,0),0),IF(ISERROR(1/VLOOKUP($R561,Capa!$A:$AJ,BA$5,0)),0,1/VLOOKUP($R561,Capa!$A:$AJ,BA$5,0))))</f>
        <v/>
      </c>
      <c r="BB561" s="174" t="str">
        <f>IF(BB$6="","",IF(BB$3="Maior",iferror(VLOOKUP($R561,Capa!$A:$AJ,BB$5,0),0),IF(ISERROR(1/VLOOKUP($R561,Capa!$A:$AJ,BB$5,0)),0,1/VLOOKUP($R561,Capa!$A:$AJ,BB$5,0))))</f>
        <v/>
      </c>
      <c r="BC561" s="174" t="str">
        <f>IF(BC$6="","",IF(BC$3="Maior",iferror(VLOOKUP($R561,Capa!$A:$AJ,BC$5,0),0),IF(ISERROR(1/VLOOKUP($R561,Capa!$A:$AJ,BC$5,0)),0,1/VLOOKUP($R561,Capa!$A:$AJ,BC$5,0))))</f>
        <v/>
      </c>
      <c r="BD561" s="174" t="str">
        <f>IF(BD$6="","",IF(BD$3="Maior",iferror(VLOOKUP($R561,Capa!$A:$AJ,BD$5,0),0),IF(ISERROR(1/VLOOKUP($R561,Capa!$A:$AJ,BD$5,0)),0,1/VLOOKUP($R561,Capa!$A:$AJ,BD$5,0))))</f>
        <v/>
      </c>
      <c r="BE561" s="174" t="str">
        <f>IF(BE$6="","",IF(BE$3="Maior",iferror(VLOOKUP($R561,Capa!$A:$AJ,BE$5,0),0),IF(ISERROR(1/VLOOKUP($R561,Capa!$A:$AJ,BE$5,0)),0,1/VLOOKUP($R561,Capa!$A:$AJ,BE$5,0))))</f>
        <v/>
      </c>
      <c r="BF561" s="174" t="str">
        <f>IF(BF$6="","",IF(BF$3="Maior",iferror(VLOOKUP($R561,Capa!$A:$AJ,BF$5,0),0),IF(ISERROR(1/VLOOKUP($R561,Capa!$A:$AJ,BF$5,0)),0,1/VLOOKUP($R561,Capa!$A:$AJ,BF$5,0))))</f>
        <v/>
      </c>
      <c r="BG561" s="174" t="str">
        <f>IF(BG$6="","",IF(BG$3="Maior",iferror(VLOOKUP($R561,Capa!$A:$AJ,BG$5,0),0),IF(ISERROR(1/VLOOKUP($R561,Capa!$A:$AJ,BG$5,0)),0,1/VLOOKUP($R561,Capa!$A:$AJ,BG$5,0))))</f>
        <v/>
      </c>
      <c r="BH561" s="174" t="str">
        <f>IF(BH$6="","",IF(BH$3="Maior",iferror(VLOOKUP($R561,Capa!$A:$AJ,BH$5,0),0),IF(ISERROR(1/VLOOKUP($R561,Capa!$A:$AJ,BH$5,0)),0,1/VLOOKUP($R561,Capa!$A:$AJ,BH$5,0))))</f>
        <v/>
      </c>
      <c r="BI561" s="174" t="str">
        <f>IF(BI$6="","",IF(BI$3="Maior",iferror(VLOOKUP($R561,Capa!$A:$AJ,BI$5,0),0),IF(ISERROR(1/VLOOKUP($R561,Capa!$A:$AJ,BI$5,0)),0,1/VLOOKUP($R561,Capa!$A:$AJ,BI$5,0))))</f>
        <v/>
      </c>
      <c r="BJ561" s="174" t="str">
        <f>IF(BJ$6="","",IF(BJ$3="Maior",iferror(VLOOKUP($R561,Capa!$A:$AJ,BJ$5,0),0),IF(ISERROR(1/VLOOKUP($R561,Capa!$A:$AJ,BJ$5,0)),0,1/VLOOKUP($R561,Capa!$A:$AJ,BJ$5,0))))</f>
        <v/>
      </c>
      <c r="BK561" s="174" t="str">
        <f>IF(BK$6="","",IF(BK$3="Maior",iferror(VLOOKUP($R561,Capa!$A:$AJ,BK$5,0),0),IF(ISERROR(1/VLOOKUP($R561,Capa!$A:$AJ,BK$5,0)),0,1/VLOOKUP($R561,Capa!$A:$AJ,BK$5,0))))</f>
        <v/>
      </c>
      <c r="BL561" s="174" t="str">
        <f>IF(BL$6="","",IF(BL$3="Maior",iferror(VLOOKUP($R561,Capa!$A:$AJ,BL$5,0),0),IF(ISERROR(1/VLOOKUP($R561,Capa!$A:$AJ,BL$5,0)),0,1/VLOOKUP($R561,Capa!$A:$AJ,BL$5,0))))</f>
        <v/>
      </c>
      <c r="BM561" s="174" t="str">
        <f>IF(BM$6="","",IF(BM$3="Maior",iferror(VLOOKUP($R561,Capa!$A:$AJ,BM$5,0),0),IF(ISERROR(1/VLOOKUP($R561,Capa!$A:$AJ,BM$5,0)),0,1/VLOOKUP($R561,Capa!$A:$AJ,BM$5,0))))</f>
        <v/>
      </c>
      <c r="BN561" s="174" t="str">
        <f>IF(BN$6="","",IF(BN$3="Maior",iferror(VLOOKUP($R561,Capa!$A:$AJ,BN$5,0),0),IF(ISERROR(1/VLOOKUP($R561,Capa!$A:$AJ,BN$5,0)),0,1/VLOOKUP($R561,Capa!$A:$AJ,BN$5,0))))</f>
        <v/>
      </c>
      <c r="BO561" s="174" t="str">
        <f>IF(BO$6="","",IF(BO$3="Maior",iferror(VLOOKUP($R561,Capa!$A:$AJ,BO$5,0),0),IF(ISERROR(1/VLOOKUP($R561,Capa!$A:$AJ,BO$5,0)),0,1/VLOOKUP($R561,Capa!$A:$AJ,BO$5,0))))</f>
        <v/>
      </c>
      <c r="BP561" s="174" t="str">
        <f>IF(BP$6="","",IF(BP$3="Maior",iferror(VLOOKUP($R561,Capa!$A:$AJ,BP$5,0),0),IF(ISERROR(1/VLOOKUP($R561,Capa!$A:$AJ,BP$5,0)),0,1/VLOOKUP($R561,Capa!$A:$AJ,BP$5,0))))</f>
        <v/>
      </c>
      <c r="BQ561" s="174" t="str">
        <f>IF(BQ$6="","",IF(BQ$3="Maior",iferror(VLOOKUP($R561,Capa!$A:$AJ,BQ$5,0),0),IF(ISERROR(1/VLOOKUP($R561,Capa!$A:$AJ,BQ$5,0)),0,1/VLOOKUP($R561,Capa!$A:$AJ,BQ$5,0))))</f>
        <v/>
      </c>
      <c r="BR561" s="175"/>
      <c r="BS561" s="147"/>
    </row>
    <row r="562">
      <c r="H562" s="8">
        <v>556.0</v>
      </c>
      <c r="I562" s="165" t="str">
        <f t="shared" si="6"/>
        <v>RSID3</v>
      </c>
      <c r="J562" s="166" t="str">
        <f>(VLOOKUP($I562,Capa!$A:$B,2,0))</f>
        <v>Rossi Residencal SA - em Recuprco Judicl</v>
      </c>
      <c r="K562" s="167" t="str">
        <f>VLOOKUP(left(I562,4),Setor!A:D,3,0)&amp;" | "&amp;VLOOKUP(left(I562,4),Setor!A:D,4,0)</f>
        <v>Consumo Cíclico | Construção Civil</v>
      </c>
      <c r="L562" s="168">
        <f>(VLOOKUP($I562,Capa!$A:$F,6,0))</f>
        <v>1.65</v>
      </c>
      <c r="M562" s="168">
        <f t="shared" si="7"/>
        <v>6829.53</v>
      </c>
      <c r="N562" s="11" t="str">
        <f>IFERROR(__xludf.DUMMYFUNCTION("(VLOOKUP($I562,Capa!$A:$H,7,0))"),"")</f>
        <v/>
      </c>
      <c r="O562" s="169">
        <f>(VLOOKUP($I562,Capa!$A:$H,8,0))</f>
        <v>-0.1129032258</v>
      </c>
      <c r="P562" s="11" t="str">
        <f>IFERROR(__xludf.DUMMYFUNCTION("(VLOOKUP($I562,Capa!$A:$J,10,0))"),"")</f>
        <v/>
      </c>
      <c r="Q562" s="169">
        <f>(VLOOKUP($I562,Capa!$A:$K,11,0))</f>
        <v>-0.4761904762</v>
      </c>
      <c r="R562" s="45" t="str">
        <f>'Dados StatusInvest'!A557</f>
        <v>TCNO4</v>
      </c>
      <c r="S562" s="170">
        <f t="shared" si="234"/>
        <v>1268.0268</v>
      </c>
      <c r="T562" s="171">
        <f>VLOOKUP(R562,'Dados StatusInvest'!A:Z,26,0)</f>
        <v>0</v>
      </c>
      <c r="U562" s="172">
        <f t="shared" ref="U562:AS562" si="565">IF(AT562="","", RANK(AT562,AT$7:AT$626,0)+RANK(AT562,AT$7:AT$626,0)/10000)</f>
        <v>1.0001</v>
      </c>
      <c r="V562" s="172">
        <f t="shared" si="565"/>
        <v>267.0267</v>
      </c>
      <c r="W562" s="172" t="str">
        <f t="shared" si="565"/>
        <v/>
      </c>
      <c r="X562" s="172" t="str">
        <f t="shared" si="565"/>
        <v/>
      </c>
      <c r="Y562" s="172" t="str">
        <f t="shared" si="565"/>
        <v/>
      </c>
      <c r="Z562" s="172" t="str">
        <f t="shared" si="565"/>
        <v/>
      </c>
      <c r="AA562" s="172" t="str">
        <f t="shared" si="565"/>
        <v/>
      </c>
      <c r="AB562" s="172" t="str">
        <f t="shared" si="565"/>
        <v/>
      </c>
      <c r="AC562" s="172" t="str">
        <f t="shared" si="565"/>
        <v/>
      </c>
      <c r="AD562" s="172" t="str">
        <f t="shared" si="565"/>
        <v/>
      </c>
      <c r="AE562" s="172" t="str">
        <f t="shared" si="565"/>
        <v/>
      </c>
      <c r="AF562" s="172" t="str">
        <f t="shared" si="565"/>
        <v/>
      </c>
      <c r="AG562" s="172" t="str">
        <f t="shared" si="565"/>
        <v/>
      </c>
      <c r="AH562" s="172" t="str">
        <f t="shared" si="565"/>
        <v/>
      </c>
      <c r="AI562" s="172" t="str">
        <f t="shared" si="565"/>
        <v/>
      </c>
      <c r="AJ562" s="172" t="str">
        <f t="shared" si="565"/>
        <v/>
      </c>
      <c r="AK562" s="172" t="str">
        <f t="shared" si="565"/>
        <v/>
      </c>
      <c r="AL562" s="172" t="str">
        <f t="shared" si="565"/>
        <v/>
      </c>
      <c r="AM562" s="172" t="str">
        <f t="shared" si="565"/>
        <v/>
      </c>
      <c r="AN562" s="172" t="str">
        <f t="shared" si="565"/>
        <v/>
      </c>
      <c r="AO562" s="172" t="str">
        <f t="shared" si="565"/>
        <v/>
      </c>
      <c r="AP562" s="172" t="str">
        <f t="shared" si="565"/>
        <v/>
      </c>
      <c r="AQ562" s="172" t="str">
        <f t="shared" si="565"/>
        <v/>
      </c>
      <c r="AR562" s="172" t="str">
        <f t="shared" si="565"/>
        <v/>
      </c>
      <c r="AS562" s="172" t="str">
        <f t="shared" si="565"/>
        <v/>
      </c>
      <c r="AT562" s="173">
        <f>IF(AT$6="","",IF(AT$3="Maior",iferror(VLOOKUP($R562,Capa!$A:$AJ,AT$5,0),0),IF(ISERROR(1/VLOOKUP($R562,Capa!$A:$AJ,AT$5,0)),0,1/VLOOKUP($R562,Capa!$A:$AJ,AT$5,0))))</f>
        <v>33.33333333</v>
      </c>
      <c r="AU562" s="174">
        <f>IF(AU$6="","",IF(AU$3="Maior",iferror(VLOOKUP($R562,Capa!$A:$AJ,AU$5,0),0),IF(ISERROR(1/VLOOKUP($R562,Capa!$A:$AJ,AU$5,0)),0,1/VLOOKUP($R562,Capa!$A:$AJ,AU$5,0))))</f>
        <v>0</v>
      </c>
      <c r="AV562" s="174" t="str">
        <f>IF(AV$6="","",IF(AV$3="Maior",iferror(VLOOKUP($R562,Capa!$A:$AJ,AV$5,0),0),IF(ISERROR(1/VLOOKUP($R562,Capa!$A:$AJ,AV$5,0)),0,1/VLOOKUP($R562,Capa!$A:$AJ,AV$5,0))))</f>
        <v/>
      </c>
      <c r="AW562" s="174" t="str">
        <f>IF(AW$6="","",IF(AW$3="Maior",iferror(VLOOKUP($R562,Capa!$A:$AJ,AW$5,0),0),IF(ISERROR(1/VLOOKUP($R562,Capa!$A:$AJ,AW$5,0)),0,1/VLOOKUP($R562,Capa!$A:$AJ,AW$5,0))))</f>
        <v/>
      </c>
      <c r="AX562" s="174" t="str">
        <f>IF(AX$6="","",IF(AX$3="Maior",iferror(VLOOKUP($R562,Capa!$A:$AJ,AX$5,0),0),IF(ISERROR(1/VLOOKUP($R562,Capa!$A:$AJ,AX$5,0)),0,1/VLOOKUP($R562,Capa!$A:$AJ,AX$5,0))))</f>
        <v/>
      </c>
      <c r="AY562" s="174" t="str">
        <f>IF(AY$6="","",IF(AY$3="Maior",iferror(VLOOKUP($R562,Capa!$A:$AJ,AY$5,0),0),IF(ISERROR(1/VLOOKUP($R562,Capa!$A:$AJ,AY$5,0)),0,1/VLOOKUP($R562,Capa!$A:$AJ,AY$5,0))))</f>
        <v/>
      </c>
      <c r="AZ562" s="174" t="str">
        <f>IF(AZ$6="","",IF(AZ$3="Maior",iferror(VLOOKUP($R562,Capa!$A:$AJ,AZ$5,0),0),IF(ISERROR(1/VLOOKUP($R562,Capa!$A:$AJ,AZ$5,0)),0,1/VLOOKUP($R562,Capa!$A:$AJ,AZ$5,0))))</f>
        <v/>
      </c>
      <c r="BA562" s="174" t="str">
        <f>IF(BA$6="","",IF(BA$3="Maior",iferror(VLOOKUP($R562,Capa!$A:$AJ,BA$5,0),0),IF(ISERROR(1/VLOOKUP($R562,Capa!$A:$AJ,BA$5,0)),0,1/VLOOKUP($R562,Capa!$A:$AJ,BA$5,0))))</f>
        <v/>
      </c>
      <c r="BB562" s="174" t="str">
        <f>IF(BB$6="","",IF(BB$3="Maior",iferror(VLOOKUP($R562,Capa!$A:$AJ,BB$5,0),0),IF(ISERROR(1/VLOOKUP($R562,Capa!$A:$AJ,BB$5,0)),0,1/VLOOKUP($R562,Capa!$A:$AJ,BB$5,0))))</f>
        <v/>
      </c>
      <c r="BC562" s="174" t="str">
        <f>IF(BC$6="","",IF(BC$3="Maior",iferror(VLOOKUP($R562,Capa!$A:$AJ,BC$5,0),0),IF(ISERROR(1/VLOOKUP($R562,Capa!$A:$AJ,BC$5,0)),0,1/VLOOKUP($R562,Capa!$A:$AJ,BC$5,0))))</f>
        <v/>
      </c>
      <c r="BD562" s="174" t="str">
        <f>IF(BD$6="","",IF(BD$3="Maior",iferror(VLOOKUP($R562,Capa!$A:$AJ,BD$5,0),0),IF(ISERROR(1/VLOOKUP($R562,Capa!$A:$AJ,BD$5,0)),0,1/VLOOKUP($R562,Capa!$A:$AJ,BD$5,0))))</f>
        <v/>
      </c>
      <c r="BE562" s="174" t="str">
        <f>IF(BE$6="","",IF(BE$3="Maior",iferror(VLOOKUP($R562,Capa!$A:$AJ,BE$5,0),0),IF(ISERROR(1/VLOOKUP($R562,Capa!$A:$AJ,BE$5,0)),0,1/VLOOKUP($R562,Capa!$A:$AJ,BE$5,0))))</f>
        <v/>
      </c>
      <c r="BF562" s="174" t="str">
        <f>IF(BF$6="","",IF(BF$3="Maior",iferror(VLOOKUP($R562,Capa!$A:$AJ,BF$5,0),0),IF(ISERROR(1/VLOOKUP($R562,Capa!$A:$AJ,BF$5,0)),0,1/VLOOKUP($R562,Capa!$A:$AJ,BF$5,0))))</f>
        <v/>
      </c>
      <c r="BG562" s="174" t="str">
        <f>IF(BG$6="","",IF(BG$3="Maior",iferror(VLOOKUP($R562,Capa!$A:$AJ,BG$5,0),0),IF(ISERROR(1/VLOOKUP($R562,Capa!$A:$AJ,BG$5,0)),0,1/VLOOKUP($R562,Capa!$A:$AJ,BG$5,0))))</f>
        <v/>
      </c>
      <c r="BH562" s="174" t="str">
        <f>IF(BH$6="","",IF(BH$3="Maior",iferror(VLOOKUP($R562,Capa!$A:$AJ,BH$5,0),0),IF(ISERROR(1/VLOOKUP($R562,Capa!$A:$AJ,BH$5,0)),0,1/VLOOKUP($R562,Capa!$A:$AJ,BH$5,0))))</f>
        <v/>
      </c>
      <c r="BI562" s="174" t="str">
        <f>IF(BI$6="","",IF(BI$3="Maior",iferror(VLOOKUP($R562,Capa!$A:$AJ,BI$5,0),0),IF(ISERROR(1/VLOOKUP($R562,Capa!$A:$AJ,BI$5,0)),0,1/VLOOKUP($R562,Capa!$A:$AJ,BI$5,0))))</f>
        <v/>
      </c>
      <c r="BJ562" s="174" t="str">
        <f>IF(BJ$6="","",IF(BJ$3="Maior",iferror(VLOOKUP($R562,Capa!$A:$AJ,BJ$5,0),0),IF(ISERROR(1/VLOOKUP($R562,Capa!$A:$AJ,BJ$5,0)),0,1/VLOOKUP($R562,Capa!$A:$AJ,BJ$5,0))))</f>
        <v/>
      </c>
      <c r="BK562" s="174" t="str">
        <f>IF(BK$6="","",IF(BK$3="Maior",iferror(VLOOKUP($R562,Capa!$A:$AJ,BK$5,0),0),IF(ISERROR(1/VLOOKUP($R562,Capa!$A:$AJ,BK$5,0)),0,1/VLOOKUP($R562,Capa!$A:$AJ,BK$5,0))))</f>
        <v/>
      </c>
      <c r="BL562" s="174" t="str">
        <f>IF(BL$6="","",IF(BL$3="Maior",iferror(VLOOKUP($R562,Capa!$A:$AJ,BL$5,0),0),IF(ISERROR(1/VLOOKUP($R562,Capa!$A:$AJ,BL$5,0)),0,1/VLOOKUP($R562,Capa!$A:$AJ,BL$5,0))))</f>
        <v/>
      </c>
      <c r="BM562" s="174" t="str">
        <f>IF(BM$6="","",IF(BM$3="Maior",iferror(VLOOKUP($R562,Capa!$A:$AJ,BM$5,0),0),IF(ISERROR(1/VLOOKUP($R562,Capa!$A:$AJ,BM$5,0)),0,1/VLOOKUP($R562,Capa!$A:$AJ,BM$5,0))))</f>
        <v/>
      </c>
      <c r="BN562" s="174" t="str">
        <f>IF(BN$6="","",IF(BN$3="Maior",iferror(VLOOKUP($R562,Capa!$A:$AJ,BN$5,0),0),IF(ISERROR(1/VLOOKUP($R562,Capa!$A:$AJ,BN$5,0)),0,1/VLOOKUP($R562,Capa!$A:$AJ,BN$5,0))))</f>
        <v/>
      </c>
      <c r="BO562" s="174" t="str">
        <f>IF(BO$6="","",IF(BO$3="Maior",iferror(VLOOKUP($R562,Capa!$A:$AJ,BO$5,0),0),IF(ISERROR(1/VLOOKUP($R562,Capa!$A:$AJ,BO$5,0)),0,1/VLOOKUP($R562,Capa!$A:$AJ,BO$5,0))))</f>
        <v/>
      </c>
      <c r="BP562" s="174" t="str">
        <f>IF(BP$6="","",IF(BP$3="Maior",iferror(VLOOKUP($R562,Capa!$A:$AJ,BP$5,0),0),IF(ISERROR(1/VLOOKUP($R562,Capa!$A:$AJ,BP$5,0)),0,1/VLOOKUP($R562,Capa!$A:$AJ,BP$5,0))))</f>
        <v/>
      </c>
      <c r="BQ562" s="174" t="str">
        <f>IF(BQ$6="","",IF(BQ$3="Maior",iferror(VLOOKUP($R562,Capa!$A:$AJ,BQ$5,0),0),IF(ISERROR(1/VLOOKUP($R562,Capa!$A:$AJ,BQ$5,0)),0,1/VLOOKUP($R562,Capa!$A:$AJ,BQ$5,0))))</f>
        <v/>
      </c>
      <c r="BR562" s="175"/>
      <c r="BS562" s="147"/>
    </row>
    <row r="563">
      <c r="H563" s="8">
        <v>557.0</v>
      </c>
      <c r="I563" s="165" t="str">
        <f t="shared" si="6"/>
        <v>WHRL3</v>
      </c>
      <c r="J563" s="166" t="str">
        <f>(VLOOKUP($I563,Capa!$A:$B,2,0))</f>
        <v>Whirlpool SA</v>
      </c>
      <c r="K563" s="167" t="str">
        <f>VLOOKUP(left(I563,4),Setor!A:D,3,0)&amp;" | "&amp;VLOOKUP(left(I563,4),Setor!A:D,4,0)</f>
        <v>Consumo Cíclico | Utilidades Domésticas</v>
      </c>
      <c r="L563" s="168">
        <f>(VLOOKUP($I563,Capa!$A:$F,6,0))</f>
        <v>4.44</v>
      </c>
      <c r="M563" s="168">
        <f t="shared" si="7"/>
        <v>14478.62</v>
      </c>
      <c r="N563" s="177" t="str">
        <f>IFERROR(__xludf.DUMMYFUNCTION("(VLOOKUP($I563,Capa!$A:$H,7,0))"),"")</f>
        <v/>
      </c>
      <c r="O563" s="177" t="str">
        <f>(VLOOKUP($I563,Capa!$A:$H,8,0))</f>
        <v/>
      </c>
      <c r="P563" s="169" t="str">
        <f>IFERROR(__xludf.DUMMYFUNCTION("(VLOOKUP($I563,Capa!$A:$J,10,0))"),"")</f>
        <v/>
      </c>
      <c r="Q563" s="169">
        <f>(VLOOKUP($I563,Capa!$A:$K,11,0))</f>
        <v>0.1592689295</v>
      </c>
      <c r="R563" s="45" t="str">
        <f>'Dados StatusInvest'!A558</f>
        <v>TCSA3</v>
      </c>
      <c r="S563" s="170">
        <f t="shared" si="234"/>
        <v>1836.0836</v>
      </c>
      <c r="T563" s="171">
        <f>VLOOKUP(R563,'Dados StatusInvest'!A:Z,26,0)</f>
        <v>259804.8</v>
      </c>
      <c r="U563" s="172">
        <f t="shared" ref="U563:AS563" si="566">IF(AT563="","", RANK(AT563,AT$7:AT$626,0)+RANK(AT563,AT$7:AT$626,0)/10000)</f>
        <v>569.0569</v>
      </c>
      <c r="V563" s="172">
        <f t="shared" si="566"/>
        <v>267.0267</v>
      </c>
      <c r="W563" s="172" t="str">
        <f t="shared" si="566"/>
        <v/>
      </c>
      <c r="X563" s="172" t="str">
        <f t="shared" si="566"/>
        <v/>
      </c>
      <c r="Y563" s="172" t="str">
        <f t="shared" si="566"/>
        <v/>
      </c>
      <c r="Z563" s="172" t="str">
        <f t="shared" si="566"/>
        <v/>
      </c>
      <c r="AA563" s="172" t="str">
        <f t="shared" si="566"/>
        <v/>
      </c>
      <c r="AB563" s="172" t="str">
        <f t="shared" si="566"/>
        <v/>
      </c>
      <c r="AC563" s="172" t="str">
        <f t="shared" si="566"/>
        <v/>
      </c>
      <c r="AD563" s="172" t="str">
        <f t="shared" si="566"/>
        <v/>
      </c>
      <c r="AE563" s="172" t="str">
        <f t="shared" si="566"/>
        <v/>
      </c>
      <c r="AF563" s="172" t="str">
        <f t="shared" si="566"/>
        <v/>
      </c>
      <c r="AG563" s="172" t="str">
        <f t="shared" si="566"/>
        <v/>
      </c>
      <c r="AH563" s="172" t="str">
        <f t="shared" si="566"/>
        <v/>
      </c>
      <c r="AI563" s="172" t="str">
        <f t="shared" si="566"/>
        <v/>
      </c>
      <c r="AJ563" s="172" t="str">
        <f t="shared" si="566"/>
        <v/>
      </c>
      <c r="AK563" s="172" t="str">
        <f t="shared" si="566"/>
        <v/>
      </c>
      <c r="AL563" s="172" t="str">
        <f t="shared" si="566"/>
        <v/>
      </c>
      <c r="AM563" s="172" t="str">
        <f t="shared" si="566"/>
        <v/>
      </c>
      <c r="AN563" s="172" t="str">
        <f t="shared" si="566"/>
        <v/>
      </c>
      <c r="AO563" s="172" t="str">
        <f t="shared" si="566"/>
        <v/>
      </c>
      <c r="AP563" s="172" t="str">
        <f t="shared" si="566"/>
        <v/>
      </c>
      <c r="AQ563" s="172" t="str">
        <f t="shared" si="566"/>
        <v/>
      </c>
      <c r="AR563" s="172" t="str">
        <f t="shared" si="566"/>
        <v/>
      </c>
      <c r="AS563" s="172" t="str">
        <f t="shared" si="566"/>
        <v/>
      </c>
      <c r="AT563" s="173">
        <f>IF(AT$6="","",IF(AT$3="Maior",iferror(VLOOKUP($R563,Capa!$A:$AJ,AT$5,0),0),IF(ISERROR(1/VLOOKUP($R563,Capa!$A:$AJ,AT$5,0)),0,1/VLOOKUP($R563,Capa!$A:$AJ,AT$5,0))))</f>
        <v>-7.680646791</v>
      </c>
      <c r="AU563" s="174">
        <f>IF(AU$6="","",IF(AU$3="Maior",iferror(VLOOKUP($R563,Capa!$A:$AJ,AU$5,0),0),IF(ISERROR(1/VLOOKUP($R563,Capa!$A:$AJ,AU$5,0)),0,1/VLOOKUP($R563,Capa!$A:$AJ,AU$5,0))))</f>
        <v>0</v>
      </c>
      <c r="AV563" s="174" t="str">
        <f>IF(AV$6="","",IF(AV$3="Maior",iferror(VLOOKUP($R563,Capa!$A:$AJ,AV$5,0),0),IF(ISERROR(1/VLOOKUP($R563,Capa!$A:$AJ,AV$5,0)),0,1/VLOOKUP($R563,Capa!$A:$AJ,AV$5,0))))</f>
        <v/>
      </c>
      <c r="AW563" s="174" t="str">
        <f>IF(AW$6="","",IF(AW$3="Maior",iferror(VLOOKUP($R563,Capa!$A:$AJ,AW$5,0),0),IF(ISERROR(1/VLOOKUP($R563,Capa!$A:$AJ,AW$5,0)),0,1/VLOOKUP($R563,Capa!$A:$AJ,AW$5,0))))</f>
        <v/>
      </c>
      <c r="AX563" s="174" t="str">
        <f>IF(AX$6="","",IF(AX$3="Maior",iferror(VLOOKUP($R563,Capa!$A:$AJ,AX$5,0),0),IF(ISERROR(1/VLOOKUP($R563,Capa!$A:$AJ,AX$5,0)),0,1/VLOOKUP($R563,Capa!$A:$AJ,AX$5,0))))</f>
        <v/>
      </c>
      <c r="AY563" s="174" t="str">
        <f>IF(AY$6="","",IF(AY$3="Maior",iferror(VLOOKUP($R563,Capa!$A:$AJ,AY$5,0),0),IF(ISERROR(1/VLOOKUP($R563,Capa!$A:$AJ,AY$5,0)),0,1/VLOOKUP($R563,Capa!$A:$AJ,AY$5,0))))</f>
        <v/>
      </c>
      <c r="AZ563" s="174" t="str">
        <f>IF(AZ$6="","",IF(AZ$3="Maior",iferror(VLOOKUP($R563,Capa!$A:$AJ,AZ$5,0),0),IF(ISERROR(1/VLOOKUP($R563,Capa!$A:$AJ,AZ$5,0)),0,1/VLOOKUP($R563,Capa!$A:$AJ,AZ$5,0))))</f>
        <v/>
      </c>
      <c r="BA563" s="174" t="str">
        <f>IF(BA$6="","",IF(BA$3="Maior",iferror(VLOOKUP($R563,Capa!$A:$AJ,BA$5,0),0),IF(ISERROR(1/VLOOKUP($R563,Capa!$A:$AJ,BA$5,0)),0,1/VLOOKUP($R563,Capa!$A:$AJ,BA$5,0))))</f>
        <v/>
      </c>
      <c r="BB563" s="174" t="str">
        <f>IF(BB$6="","",IF(BB$3="Maior",iferror(VLOOKUP($R563,Capa!$A:$AJ,BB$5,0),0),IF(ISERROR(1/VLOOKUP($R563,Capa!$A:$AJ,BB$5,0)),0,1/VLOOKUP($R563,Capa!$A:$AJ,BB$5,0))))</f>
        <v/>
      </c>
      <c r="BC563" s="174" t="str">
        <f>IF(BC$6="","",IF(BC$3="Maior",iferror(VLOOKUP($R563,Capa!$A:$AJ,BC$5,0),0),IF(ISERROR(1/VLOOKUP($R563,Capa!$A:$AJ,BC$5,0)),0,1/VLOOKUP($R563,Capa!$A:$AJ,BC$5,0))))</f>
        <v/>
      </c>
      <c r="BD563" s="174" t="str">
        <f>IF(BD$6="","",IF(BD$3="Maior",iferror(VLOOKUP($R563,Capa!$A:$AJ,BD$5,0),0),IF(ISERROR(1/VLOOKUP($R563,Capa!$A:$AJ,BD$5,0)),0,1/VLOOKUP($R563,Capa!$A:$AJ,BD$5,0))))</f>
        <v/>
      </c>
      <c r="BE563" s="174" t="str">
        <f>IF(BE$6="","",IF(BE$3="Maior",iferror(VLOOKUP($R563,Capa!$A:$AJ,BE$5,0),0),IF(ISERROR(1/VLOOKUP($R563,Capa!$A:$AJ,BE$5,0)),0,1/VLOOKUP($R563,Capa!$A:$AJ,BE$5,0))))</f>
        <v/>
      </c>
      <c r="BF563" s="174" t="str">
        <f>IF(BF$6="","",IF(BF$3="Maior",iferror(VLOOKUP($R563,Capa!$A:$AJ,BF$5,0),0),IF(ISERROR(1/VLOOKUP($R563,Capa!$A:$AJ,BF$5,0)),0,1/VLOOKUP($R563,Capa!$A:$AJ,BF$5,0))))</f>
        <v/>
      </c>
      <c r="BG563" s="174" t="str">
        <f>IF(BG$6="","",IF(BG$3="Maior",iferror(VLOOKUP($R563,Capa!$A:$AJ,BG$5,0),0),IF(ISERROR(1/VLOOKUP($R563,Capa!$A:$AJ,BG$5,0)),0,1/VLOOKUP($R563,Capa!$A:$AJ,BG$5,0))))</f>
        <v/>
      </c>
      <c r="BH563" s="174" t="str">
        <f>IF(BH$6="","",IF(BH$3="Maior",iferror(VLOOKUP($R563,Capa!$A:$AJ,BH$5,0),0),IF(ISERROR(1/VLOOKUP($R563,Capa!$A:$AJ,BH$5,0)),0,1/VLOOKUP($R563,Capa!$A:$AJ,BH$5,0))))</f>
        <v/>
      </c>
      <c r="BI563" s="174" t="str">
        <f>IF(BI$6="","",IF(BI$3="Maior",iferror(VLOOKUP($R563,Capa!$A:$AJ,BI$5,0),0),IF(ISERROR(1/VLOOKUP($R563,Capa!$A:$AJ,BI$5,0)),0,1/VLOOKUP($R563,Capa!$A:$AJ,BI$5,0))))</f>
        <v/>
      </c>
      <c r="BJ563" s="174" t="str">
        <f>IF(BJ$6="","",IF(BJ$3="Maior",iferror(VLOOKUP($R563,Capa!$A:$AJ,BJ$5,0),0),IF(ISERROR(1/VLOOKUP($R563,Capa!$A:$AJ,BJ$5,0)),0,1/VLOOKUP($R563,Capa!$A:$AJ,BJ$5,0))))</f>
        <v/>
      </c>
      <c r="BK563" s="174" t="str">
        <f>IF(BK$6="","",IF(BK$3="Maior",iferror(VLOOKUP($R563,Capa!$A:$AJ,BK$5,0),0),IF(ISERROR(1/VLOOKUP($R563,Capa!$A:$AJ,BK$5,0)),0,1/VLOOKUP($R563,Capa!$A:$AJ,BK$5,0))))</f>
        <v/>
      </c>
      <c r="BL563" s="174" t="str">
        <f>IF(BL$6="","",IF(BL$3="Maior",iferror(VLOOKUP($R563,Capa!$A:$AJ,BL$5,0),0),IF(ISERROR(1/VLOOKUP($R563,Capa!$A:$AJ,BL$5,0)),0,1/VLOOKUP($R563,Capa!$A:$AJ,BL$5,0))))</f>
        <v/>
      </c>
      <c r="BM563" s="174" t="str">
        <f>IF(BM$6="","",IF(BM$3="Maior",iferror(VLOOKUP($R563,Capa!$A:$AJ,BM$5,0),0),IF(ISERROR(1/VLOOKUP($R563,Capa!$A:$AJ,BM$5,0)),0,1/VLOOKUP($R563,Capa!$A:$AJ,BM$5,0))))</f>
        <v/>
      </c>
      <c r="BN563" s="174" t="str">
        <f>IF(BN$6="","",IF(BN$3="Maior",iferror(VLOOKUP($R563,Capa!$A:$AJ,BN$5,0),0),IF(ISERROR(1/VLOOKUP($R563,Capa!$A:$AJ,BN$5,0)),0,1/VLOOKUP($R563,Capa!$A:$AJ,BN$5,0))))</f>
        <v/>
      </c>
      <c r="BO563" s="174" t="str">
        <f>IF(BO$6="","",IF(BO$3="Maior",iferror(VLOOKUP($R563,Capa!$A:$AJ,BO$5,0),0),IF(ISERROR(1/VLOOKUP($R563,Capa!$A:$AJ,BO$5,0)),0,1/VLOOKUP($R563,Capa!$A:$AJ,BO$5,0))))</f>
        <v/>
      </c>
      <c r="BP563" s="174" t="str">
        <f>IF(BP$6="","",IF(BP$3="Maior",iferror(VLOOKUP($R563,Capa!$A:$AJ,BP$5,0),0),IF(ISERROR(1/VLOOKUP($R563,Capa!$A:$AJ,BP$5,0)),0,1/VLOOKUP($R563,Capa!$A:$AJ,BP$5,0))))</f>
        <v/>
      </c>
      <c r="BQ563" s="174" t="str">
        <f>IF(BQ$6="","",IF(BQ$3="Maior",iferror(VLOOKUP($R563,Capa!$A:$AJ,BQ$5,0),0),IF(ISERROR(1/VLOOKUP($R563,Capa!$A:$AJ,BQ$5,0)),0,1/VLOOKUP($R563,Capa!$A:$AJ,BQ$5,0))))</f>
        <v/>
      </c>
      <c r="BR563" s="175"/>
      <c r="BS563" s="147"/>
    </row>
    <row r="564">
      <c r="H564" s="8">
        <v>558.0</v>
      </c>
      <c r="I564" s="165" t="str">
        <f t="shared" si="6"/>
        <v>TPIS3</v>
      </c>
      <c r="J564" s="166" t="str">
        <f>(VLOOKUP($I564,Capa!$A:$B,2,0))</f>
        <v>TPI Triunfo Participacoes e Invstmnts SA</v>
      </c>
      <c r="K564" s="167" t="str">
        <f>VLOOKUP(left(I564,4),Setor!A:D,3,0)&amp;" | "&amp;VLOOKUP(left(I564,4),Setor!A:D,4,0)</f>
        <v>Bens Industriais | Transporte</v>
      </c>
      <c r="L564" s="168">
        <f>(VLOOKUP($I564,Capa!$A:$F,6,0))</f>
        <v>6.51</v>
      </c>
      <c r="M564" s="168">
        <f t="shared" si="7"/>
        <v>211817.7</v>
      </c>
      <c r="N564" s="177" t="str">
        <f>IFERROR(__xludf.DUMMYFUNCTION("(VLOOKUP($I564,Capa!$A:$H,7,0))"),"")</f>
        <v/>
      </c>
      <c r="O564" s="169">
        <f>(VLOOKUP($I564,Capa!$A:$H,8,0))</f>
        <v>0.3285714286</v>
      </c>
      <c r="P564" s="169" t="str">
        <f>IFERROR(__xludf.DUMMYFUNCTION("(VLOOKUP($I564,Capa!$A:$J,10,0))"),"")</f>
        <v/>
      </c>
      <c r="Q564" s="169">
        <f>(VLOOKUP($I564,Capa!$A:$K,11,0))</f>
        <v>0.4795454545</v>
      </c>
      <c r="R564" s="45" t="str">
        <f>'Dados StatusInvest'!A559</f>
        <v>TECN3</v>
      </c>
      <c r="S564" s="170">
        <f t="shared" si="234"/>
        <v>1502.0502</v>
      </c>
      <c r="T564" s="171">
        <f>VLOOKUP(R564,'Dados StatusInvest'!A:Z,26,0)</f>
        <v>466551.2</v>
      </c>
      <c r="U564" s="172">
        <f t="shared" ref="U564:AS564" si="567">IF(AT564="","", RANK(AT564,AT$7:AT$626,0)+RANK(AT564,AT$7:AT$626,0)/10000)</f>
        <v>235.0235</v>
      </c>
      <c r="V564" s="172">
        <f t="shared" si="567"/>
        <v>267.0267</v>
      </c>
      <c r="W564" s="172" t="str">
        <f t="shared" si="567"/>
        <v/>
      </c>
      <c r="X564" s="172" t="str">
        <f t="shared" si="567"/>
        <v/>
      </c>
      <c r="Y564" s="172" t="str">
        <f t="shared" si="567"/>
        <v/>
      </c>
      <c r="Z564" s="172" t="str">
        <f t="shared" si="567"/>
        <v/>
      </c>
      <c r="AA564" s="172" t="str">
        <f t="shared" si="567"/>
        <v/>
      </c>
      <c r="AB564" s="172" t="str">
        <f t="shared" si="567"/>
        <v/>
      </c>
      <c r="AC564" s="172" t="str">
        <f t="shared" si="567"/>
        <v/>
      </c>
      <c r="AD564" s="172" t="str">
        <f t="shared" si="567"/>
        <v/>
      </c>
      <c r="AE564" s="172" t="str">
        <f t="shared" si="567"/>
        <v/>
      </c>
      <c r="AF564" s="172" t="str">
        <f t="shared" si="567"/>
        <v/>
      </c>
      <c r="AG564" s="172" t="str">
        <f t="shared" si="567"/>
        <v/>
      </c>
      <c r="AH564" s="172" t="str">
        <f t="shared" si="567"/>
        <v/>
      </c>
      <c r="AI564" s="172" t="str">
        <f t="shared" si="567"/>
        <v/>
      </c>
      <c r="AJ564" s="172" t="str">
        <f t="shared" si="567"/>
        <v/>
      </c>
      <c r="AK564" s="172" t="str">
        <f t="shared" si="567"/>
        <v/>
      </c>
      <c r="AL564" s="172" t="str">
        <f t="shared" si="567"/>
        <v/>
      </c>
      <c r="AM564" s="172" t="str">
        <f t="shared" si="567"/>
        <v/>
      </c>
      <c r="AN564" s="172" t="str">
        <f t="shared" si="567"/>
        <v/>
      </c>
      <c r="AO564" s="172" t="str">
        <f t="shared" si="567"/>
        <v/>
      </c>
      <c r="AP564" s="172" t="str">
        <f t="shared" si="567"/>
        <v/>
      </c>
      <c r="AQ564" s="172" t="str">
        <f t="shared" si="567"/>
        <v/>
      </c>
      <c r="AR564" s="172" t="str">
        <f t="shared" si="567"/>
        <v/>
      </c>
      <c r="AS564" s="172" t="str">
        <f t="shared" si="567"/>
        <v/>
      </c>
      <c r="AT564" s="173">
        <f>IF(AT$6="","",IF(AT$3="Maior",iferror(VLOOKUP($R564,Capa!$A:$AJ,AT$5,0),0),IF(ISERROR(1/VLOOKUP($R564,Capa!$A:$AJ,AT$5,0)),0,1/VLOOKUP($R564,Capa!$A:$AJ,AT$5,0))))</f>
        <v>-0.4255319149</v>
      </c>
      <c r="AU564" s="174">
        <f>IF(AU$6="","",IF(AU$3="Maior",iferror(VLOOKUP($R564,Capa!$A:$AJ,AU$5,0),0),IF(ISERROR(1/VLOOKUP($R564,Capa!$A:$AJ,AU$5,0)),0,1/VLOOKUP($R564,Capa!$A:$AJ,AU$5,0))))</f>
        <v>0</v>
      </c>
      <c r="AV564" s="174" t="str">
        <f>IF(AV$6="","",IF(AV$3="Maior",iferror(VLOOKUP($R564,Capa!$A:$AJ,AV$5,0),0),IF(ISERROR(1/VLOOKUP($R564,Capa!$A:$AJ,AV$5,0)),0,1/VLOOKUP($R564,Capa!$A:$AJ,AV$5,0))))</f>
        <v/>
      </c>
      <c r="AW564" s="174" t="str">
        <f>IF(AW$6="","",IF(AW$3="Maior",iferror(VLOOKUP($R564,Capa!$A:$AJ,AW$5,0),0),IF(ISERROR(1/VLOOKUP($R564,Capa!$A:$AJ,AW$5,0)),0,1/VLOOKUP($R564,Capa!$A:$AJ,AW$5,0))))</f>
        <v/>
      </c>
      <c r="AX564" s="174" t="str">
        <f>IF(AX$6="","",IF(AX$3="Maior",iferror(VLOOKUP($R564,Capa!$A:$AJ,AX$5,0),0),IF(ISERROR(1/VLOOKUP($R564,Capa!$A:$AJ,AX$5,0)),0,1/VLOOKUP($R564,Capa!$A:$AJ,AX$5,0))))</f>
        <v/>
      </c>
      <c r="AY564" s="174" t="str">
        <f>IF(AY$6="","",IF(AY$3="Maior",iferror(VLOOKUP($R564,Capa!$A:$AJ,AY$5,0),0),IF(ISERROR(1/VLOOKUP($R564,Capa!$A:$AJ,AY$5,0)),0,1/VLOOKUP($R564,Capa!$A:$AJ,AY$5,0))))</f>
        <v/>
      </c>
      <c r="AZ564" s="174" t="str">
        <f>IF(AZ$6="","",IF(AZ$3="Maior",iferror(VLOOKUP($R564,Capa!$A:$AJ,AZ$5,0),0),IF(ISERROR(1/VLOOKUP($R564,Capa!$A:$AJ,AZ$5,0)),0,1/VLOOKUP($R564,Capa!$A:$AJ,AZ$5,0))))</f>
        <v/>
      </c>
      <c r="BA564" s="174" t="str">
        <f>IF(BA$6="","",IF(BA$3="Maior",iferror(VLOOKUP($R564,Capa!$A:$AJ,BA$5,0),0),IF(ISERROR(1/VLOOKUP($R564,Capa!$A:$AJ,BA$5,0)),0,1/VLOOKUP($R564,Capa!$A:$AJ,BA$5,0))))</f>
        <v/>
      </c>
      <c r="BB564" s="174" t="str">
        <f>IF(BB$6="","",IF(BB$3="Maior",iferror(VLOOKUP($R564,Capa!$A:$AJ,BB$5,0),0),IF(ISERROR(1/VLOOKUP($R564,Capa!$A:$AJ,BB$5,0)),0,1/VLOOKUP($R564,Capa!$A:$AJ,BB$5,0))))</f>
        <v/>
      </c>
      <c r="BC564" s="174" t="str">
        <f>IF(BC$6="","",IF(BC$3="Maior",iferror(VLOOKUP($R564,Capa!$A:$AJ,BC$5,0),0),IF(ISERROR(1/VLOOKUP($R564,Capa!$A:$AJ,BC$5,0)),0,1/VLOOKUP($R564,Capa!$A:$AJ,BC$5,0))))</f>
        <v/>
      </c>
      <c r="BD564" s="174" t="str">
        <f>IF(BD$6="","",IF(BD$3="Maior",iferror(VLOOKUP($R564,Capa!$A:$AJ,BD$5,0),0),IF(ISERROR(1/VLOOKUP($R564,Capa!$A:$AJ,BD$5,0)),0,1/VLOOKUP($R564,Capa!$A:$AJ,BD$5,0))))</f>
        <v/>
      </c>
      <c r="BE564" s="174" t="str">
        <f>IF(BE$6="","",IF(BE$3="Maior",iferror(VLOOKUP($R564,Capa!$A:$AJ,BE$5,0),0),IF(ISERROR(1/VLOOKUP($R564,Capa!$A:$AJ,BE$5,0)),0,1/VLOOKUP($R564,Capa!$A:$AJ,BE$5,0))))</f>
        <v/>
      </c>
      <c r="BF564" s="174" t="str">
        <f>IF(BF$6="","",IF(BF$3="Maior",iferror(VLOOKUP($R564,Capa!$A:$AJ,BF$5,0),0),IF(ISERROR(1/VLOOKUP($R564,Capa!$A:$AJ,BF$5,0)),0,1/VLOOKUP($R564,Capa!$A:$AJ,BF$5,0))))</f>
        <v/>
      </c>
      <c r="BG564" s="174" t="str">
        <f>IF(BG$6="","",IF(BG$3="Maior",iferror(VLOOKUP($R564,Capa!$A:$AJ,BG$5,0),0),IF(ISERROR(1/VLOOKUP($R564,Capa!$A:$AJ,BG$5,0)),0,1/VLOOKUP($R564,Capa!$A:$AJ,BG$5,0))))</f>
        <v/>
      </c>
      <c r="BH564" s="174" t="str">
        <f>IF(BH$6="","",IF(BH$3="Maior",iferror(VLOOKUP($R564,Capa!$A:$AJ,BH$5,0),0),IF(ISERROR(1/VLOOKUP($R564,Capa!$A:$AJ,BH$5,0)),0,1/VLOOKUP($R564,Capa!$A:$AJ,BH$5,0))))</f>
        <v/>
      </c>
      <c r="BI564" s="174" t="str">
        <f>IF(BI$6="","",IF(BI$3="Maior",iferror(VLOOKUP($R564,Capa!$A:$AJ,BI$5,0),0),IF(ISERROR(1/VLOOKUP($R564,Capa!$A:$AJ,BI$5,0)),0,1/VLOOKUP($R564,Capa!$A:$AJ,BI$5,0))))</f>
        <v/>
      </c>
      <c r="BJ564" s="174" t="str">
        <f>IF(BJ$6="","",IF(BJ$3="Maior",iferror(VLOOKUP($R564,Capa!$A:$AJ,BJ$5,0),0),IF(ISERROR(1/VLOOKUP($R564,Capa!$A:$AJ,BJ$5,0)),0,1/VLOOKUP($R564,Capa!$A:$AJ,BJ$5,0))))</f>
        <v/>
      </c>
      <c r="BK564" s="174" t="str">
        <f>IF(BK$6="","",IF(BK$3="Maior",iferror(VLOOKUP($R564,Capa!$A:$AJ,BK$5,0),0),IF(ISERROR(1/VLOOKUP($R564,Capa!$A:$AJ,BK$5,0)),0,1/VLOOKUP($R564,Capa!$A:$AJ,BK$5,0))))</f>
        <v/>
      </c>
      <c r="BL564" s="174" t="str">
        <f>IF(BL$6="","",IF(BL$3="Maior",iferror(VLOOKUP($R564,Capa!$A:$AJ,BL$5,0),0),IF(ISERROR(1/VLOOKUP($R564,Capa!$A:$AJ,BL$5,0)),0,1/VLOOKUP($R564,Capa!$A:$AJ,BL$5,0))))</f>
        <v/>
      </c>
      <c r="BM564" s="174" t="str">
        <f>IF(BM$6="","",IF(BM$3="Maior",iferror(VLOOKUP($R564,Capa!$A:$AJ,BM$5,0),0),IF(ISERROR(1/VLOOKUP($R564,Capa!$A:$AJ,BM$5,0)),0,1/VLOOKUP($R564,Capa!$A:$AJ,BM$5,0))))</f>
        <v/>
      </c>
      <c r="BN564" s="174" t="str">
        <f>IF(BN$6="","",IF(BN$3="Maior",iferror(VLOOKUP($R564,Capa!$A:$AJ,BN$5,0),0),IF(ISERROR(1/VLOOKUP($R564,Capa!$A:$AJ,BN$5,0)),0,1/VLOOKUP($R564,Capa!$A:$AJ,BN$5,0))))</f>
        <v/>
      </c>
      <c r="BO564" s="174" t="str">
        <f>IF(BO$6="","",IF(BO$3="Maior",iferror(VLOOKUP($R564,Capa!$A:$AJ,BO$5,0),0),IF(ISERROR(1/VLOOKUP($R564,Capa!$A:$AJ,BO$5,0)),0,1/VLOOKUP($R564,Capa!$A:$AJ,BO$5,0))))</f>
        <v/>
      </c>
      <c r="BP564" s="174" t="str">
        <f>IF(BP$6="","",IF(BP$3="Maior",iferror(VLOOKUP($R564,Capa!$A:$AJ,BP$5,0),0),IF(ISERROR(1/VLOOKUP($R564,Capa!$A:$AJ,BP$5,0)),0,1/VLOOKUP($R564,Capa!$A:$AJ,BP$5,0))))</f>
        <v/>
      </c>
      <c r="BQ564" s="174" t="str">
        <f>IF(BQ$6="","",IF(BQ$3="Maior",iferror(VLOOKUP($R564,Capa!$A:$AJ,BQ$5,0),0),IF(ISERROR(1/VLOOKUP($R564,Capa!$A:$AJ,BQ$5,0)),0,1/VLOOKUP($R564,Capa!$A:$AJ,BQ$5,0))))</f>
        <v/>
      </c>
      <c r="BR564" s="175"/>
      <c r="BS564" s="147"/>
    </row>
    <row r="565">
      <c r="H565" s="8">
        <v>559.0</v>
      </c>
      <c r="I565" s="165" t="str">
        <f t="shared" si="6"/>
        <v>BRKM3</v>
      </c>
      <c r="J565" s="166" t="str">
        <f>(VLOOKUP($I565,Capa!$A:$B,2,0))</f>
        <v>Braskem SA</v>
      </c>
      <c r="K565" s="167" t="str">
        <f>VLOOKUP(left(I565,4),Setor!A:D,3,0)&amp;" | "&amp;VLOOKUP(left(I565,4),Setor!A:D,4,0)</f>
        <v>Materiais Básicos | Químicos</v>
      </c>
      <c r="L565" s="168">
        <f>(VLOOKUP($I565,Capa!$A:$F,6,0))</f>
        <v>9.4</v>
      </c>
      <c r="M565" s="168">
        <f t="shared" si="7"/>
        <v>453130.5</v>
      </c>
      <c r="N565" s="11" t="str">
        <f>IFERROR(__xludf.DUMMYFUNCTION("(VLOOKUP($I565,Capa!$A:$H,7,0))"),"")</f>
        <v/>
      </c>
      <c r="O565" s="169">
        <f>(VLOOKUP($I565,Capa!$A:$H,8,0))</f>
        <v>0.09684947491</v>
      </c>
      <c r="P565" s="11" t="str">
        <f>IFERROR(__xludf.DUMMYFUNCTION("(VLOOKUP($I565,Capa!$A:$J,10,0))"),"")</f>
        <v/>
      </c>
      <c r="Q565" s="169">
        <f>(VLOOKUP($I565,Capa!$A:$K,11,0))</f>
        <v>-0.2667706708</v>
      </c>
      <c r="R565" s="45" t="str">
        <f>'Dados StatusInvest'!A560</f>
        <v>TEKA3</v>
      </c>
      <c r="S565" s="170">
        <f t="shared" si="234"/>
        <v>1884.0884</v>
      </c>
      <c r="T565" s="171">
        <f>VLOOKUP(R565,'Dados StatusInvest'!A:Z,26,0)</f>
        <v>0</v>
      </c>
      <c r="U565" s="172">
        <f t="shared" ref="U565:AS565" si="568">IF(AT565="","", RANK(AT565,AT$7:AT$626,0)+RANK(AT565,AT$7:AT$626,0)/10000)</f>
        <v>617.0617</v>
      </c>
      <c r="V565" s="172">
        <f t="shared" si="568"/>
        <v>267.0267</v>
      </c>
      <c r="W565" s="172" t="str">
        <f t="shared" si="568"/>
        <v/>
      </c>
      <c r="X565" s="172" t="str">
        <f t="shared" si="568"/>
        <v/>
      </c>
      <c r="Y565" s="172" t="str">
        <f t="shared" si="568"/>
        <v/>
      </c>
      <c r="Z565" s="172" t="str">
        <f t="shared" si="568"/>
        <v/>
      </c>
      <c r="AA565" s="172" t="str">
        <f t="shared" si="568"/>
        <v/>
      </c>
      <c r="AB565" s="172" t="str">
        <f t="shared" si="568"/>
        <v/>
      </c>
      <c r="AC565" s="172" t="str">
        <f t="shared" si="568"/>
        <v/>
      </c>
      <c r="AD565" s="172" t="str">
        <f t="shared" si="568"/>
        <v/>
      </c>
      <c r="AE565" s="172" t="str">
        <f t="shared" si="568"/>
        <v/>
      </c>
      <c r="AF565" s="172" t="str">
        <f t="shared" si="568"/>
        <v/>
      </c>
      <c r="AG565" s="172" t="str">
        <f t="shared" si="568"/>
        <v/>
      </c>
      <c r="AH565" s="172" t="str">
        <f t="shared" si="568"/>
        <v/>
      </c>
      <c r="AI565" s="172" t="str">
        <f t="shared" si="568"/>
        <v/>
      </c>
      <c r="AJ565" s="172" t="str">
        <f t="shared" si="568"/>
        <v/>
      </c>
      <c r="AK565" s="172" t="str">
        <f t="shared" si="568"/>
        <v/>
      </c>
      <c r="AL565" s="172" t="str">
        <f t="shared" si="568"/>
        <v/>
      </c>
      <c r="AM565" s="172" t="str">
        <f t="shared" si="568"/>
        <v/>
      </c>
      <c r="AN565" s="172" t="str">
        <f t="shared" si="568"/>
        <v/>
      </c>
      <c r="AO565" s="172" t="str">
        <f t="shared" si="568"/>
        <v/>
      </c>
      <c r="AP565" s="172" t="str">
        <f t="shared" si="568"/>
        <v/>
      </c>
      <c r="AQ565" s="172" t="str">
        <f t="shared" si="568"/>
        <v/>
      </c>
      <c r="AR565" s="172" t="str">
        <f t="shared" si="568"/>
        <v/>
      </c>
      <c r="AS565" s="172" t="str">
        <f t="shared" si="568"/>
        <v/>
      </c>
      <c r="AT565" s="173">
        <f>IF(AT$6="","",IF(AT$3="Maior",iferror(VLOOKUP($R565,Capa!$A:$AJ,AT$5,0),0),IF(ISERROR(1/VLOOKUP($R565,Capa!$A:$AJ,AT$5,0)),0,1/VLOOKUP($R565,Capa!$A:$AJ,AT$5,0))))</f>
        <v>-100</v>
      </c>
      <c r="AU565" s="174">
        <f>IF(AU$6="","",IF(AU$3="Maior",iferror(VLOOKUP($R565,Capa!$A:$AJ,AU$5,0),0),IF(ISERROR(1/VLOOKUP($R565,Capa!$A:$AJ,AU$5,0)),0,1/VLOOKUP($R565,Capa!$A:$AJ,AU$5,0))))</f>
        <v>0</v>
      </c>
      <c r="AV565" s="174" t="str">
        <f>IF(AV$6="","",IF(AV$3="Maior",iferror(VLOOKUP($R565,Capa!$A:$AJ,AV$5,0),0),IF(ISERROR(1/VLOOKUP($R565,Capa!$A:$AJ,AV$5,0)),0,1/VLOOKUP($R565,Capa!$A:$AJ,AV$5,0))))</f>
        <v/>
      </c>
      <c r="AW565" s="174" t="str">
        <f>IF(AW$6="","",IF(AW$3="Maior",iferror(VLOOKUP($R565,Capa!$A:$AJ,AW$5,0),0),IF(ISERROR(1/VLOOKUP($R565,Capa!$A:$AJ,AW$5,0)),0,1/VLOOKUP($R565,Capa!$A:$AJ,AW$5,0))))</f>
        <v/>
      </c>
      <c r="AX565" s="174" t="str">
        <f>IF(AX$6="","",IF(AX$3="Maior",iferror(VLOOKUP($R565,Capa!$A:$AJ,AX$5,0),0),IF(ISERROR(1/VLOOKUP($R565,Capa!$A:$AJ,AX$5,0)),0,1/VLOOKUP($R565,Capa!$A:$AJ,AX$5,0))))</f>
        <v/>
      </c>
      <c r="AY565" s="174" t="str">
        <f>IF(AY$6="","",IF(AY$3="Maior",iferror(VLOOKUP($R565,Capa!$A:$AJ,AY$5,0),0),IF(ISERROR(1/VLOOKUP($R565,Capa!$A:$AJ,AY$5,0)),0,1/VLOOKUP($R565,Capa!$A:$AJ,AY$5,0))))</f>
        <v/>
      </c>
      <c r="AZ565" s="174" t="str">
        <f>IF(AZ$6="","",IF(AZ$3="Maior",iferror(VLOOKUP($R565,Capa!$A:$AJ,AZ$5,0),0),IF(ISERROR(1/VLOOKUP($R565,Capa!$A:$AJ,AZ$5,0)),0,1/VLOOKUP($R565,Capa!$A:$AJ,AZ$5,0))))</f>
        <v/>
      </c>
      <c r="BA565" s="174" t="str">
        <f>IF(BA$6="","",IF(BA$3="Maior",iferror(VLOOKUP($R565,Capa!$A:$AJ,BA$5,0),0),IF(ISERROR(1/VLOOKUP($R565,Capa!$A:$AJ,BA$5,0)),0,1/VLOOKUP($R565,Capa!$A:$AJ,BA$5,0))))</f>
        <v/>
      </c>
      <c r="BB565" s="174" t="str">
        <f>IF(BB$6="","",IF(BB$3="Maior",iferror(VLOOKUP($R565,Capa!$A:$AJ,BB$5,0),0),IF(ISERROR(1/VLOOKUP($R565,Capa!$A:$AJ,BB$5,0)),0,1/VLOOKUP($R565,Capa!$A:$AJ,BB$5,0))))</f>
        <v/>
      </c>
      <c r="BC565" s="174" t="str">
        <f>IF(BC$6="","",IF(BC$3="Maior",iferror(VLOOKUP($R565,Capa!$A:$AJ,BC$5,0),0),IF(ISERROR(1/VLOOKUP($R565,Capa!$A:$AJ,BC$5,0)),0,1/VLOOKUP($R565,Capa!$A:$AJ,BC$5,0))))</f>
        <v/>
      </c>
      <c r="BD565" s="174" t="str">
        <f>IF(BD$6="","",IF(BD$3="Maior",iferror(VLOOKUP($R565,Capa!$A:$AJ,BD$5,0),0),IF(ISERROR(1/VLOOKUP($R565,Capa!$A:$AJ,BD$5,0)),0,1/VLOOKUP($R565,Capa!$A:$AJ,BD$5,0))))</f>
        <v/>
      </c>
      <c r="BE565" s="174" t="str">
        <f>IF(BE$6="","",IF(BE$3="Maior",iferror(VLOOKUP($R565,Capa!$A:$AJ,BE$5,0),0),IF(ISERROR(1/VLOOKUP($R565,Capa!$A:$AJ,BE$5,0)),0,1/VLOOKUP($R565,Capa!$A:$AJ,BE$5,0))))</f>
        <v/>
      </c>
      <c r="BF565" s="174" t="str">
        <f>IF(BF$6="","",IF(BF$3="Maior",iferror(VLOOKUP($R565,Capa!$A:$AJ,BF$5,0),0),IF(ISERROR(1/VLOOKUP($R565,Capa!$A:$AJ,BF$5,0)),0,1/VLOOKUP($R565,Capa!$A:$AJ,BF$5,0))))</f>
        <v/>
      </c>
      <c r="BG565" s="174" t="str">
        <f>IF(BG$6="","",IF(BG$3="Maior",iferror(VLOOKUP($R565,Capa!$A:$AJ,BG$5,0),0),IF(ISERROR(1/VLOOKUP($R565,Capa!$A:$AJ,BG$5,0)),0,1/VLOOKUP($R565,Capa!$A:$AJ,BG$5,0))))</f>
        <v/>
      </c>
      <c r="BH565" s="174" t="str">
        <f>IF(BH$6="","",IF(BH$3="Maior",iferror(VLOOKUP($R565,Capa!$A:$AJ,BH$5,0),0),IF(ISERROR(1/VLOOKUP($R565,Capa!$A:$AJ,BH$5,0)),0,1/VLOOKUP($R565,Capa!$A:$AJ,BH$5,0))))</f>
        <v/>
      </c>
      <c r="BI565" s="174" t="str">
        <f>IF(BI$6="","",IF(BI$3="Maior",iferror(VLOOKUP($R565,Capa!$A:$AJ,BI$5,0),0),IF(ISERROR(1/VLOOKUP($R565,Capa!$A:$AJ,BI$5,0)),0,1/VLOOKUP($R565,Capa!$A:$AJ,BI$5,0))))</f>
        <v/>
      </c>
      <c r="BJ565" s="174" t="str">
        <f>IF(BJ$6="","",IF(BJ$3="Maior",iferror(VLOOKUP($R565,Capa!$A:$AJ,BJ$5,0),0),IF(ISERROR(1/VLOOKUP($R565,Capa!$A:$AJ,BJ$5,0)),0,1/VLOOKUP($R565,Capa!$A:$AJ,BJ$5,0))))</f>
        <v/>
      </c>
      <c r="BK565" s="174" t="str">
        <f>IF(BK$6="","",IF(BK$3="Maior",iferror(VLOOKUP($R565,Capa!$A:$AJ,BK$5,0),0),IF(ISERROR(1/VLOOKUP($R565,Capa!$A:$AJ,BK$5,0)),0,1/VLOOKUP($R565,Capa!$A:$AJ,BK$5,0))))</f>
        <v/>
      </c>
      <c r="BL565" s="174" t="str">
        <f>IF(BL$6="","",IF(BL$3="Maior",iferror(VLOOKUP($R565,Capa!$A:$AJ,BL$5,0),0),IF(ISERROR(1/VLOOKUP($R565,Capa!$A:$AJ,BL$5,0)),0,1/VLOOKUP($R565,Capa!$A:$AJ,BL$5,0))))</f>
        <v/>
      </c>
      <c r="BM565" s="174" t="str">
        <f>IF(BM$6="","",IF(BM$3="Maior",iferror(VLOOKUP($R565,Capa!$A:$AJ,BM$5,0),0),IF(ISERROR(1/VLOOKUP($R565,Capa!$A:$AJ,BM$5,0)),0,1/VLOOKUP($R565,Capa!$A:$AJ,BM$5,0))))</f>
        <v/>
      </c>
      <c r="BN565" s="174" t="str">
        <f>IF(BN$6="","",IF(BN$3="Maior",iferror(VLOOKUP($R565,Capa!$A:$AJ,BN$5,0),0),IF(ISERROR(1/VLOOKUP($R565,Capa!$A:$AJ,BN$5,0)),0,1/VLOOKUP($R565,Capa!$A:$AJ,BN$5,0))))</f>
        <v/>
      </c>
      <c r="BO565" s="174" t="str">
        <f>IF(BO$6="","",IF(BO$3="Maior",iferror(VLOOKUP($R565,Capa!$A:$AJ,BO$5,0),0),IF(ISERROR(1/VLOOKUP($R565,Capa!$A:$AJ,BO$5,0)),0,1/VLOOKUP($R565,Capa!$A:$AJ,BO$5,0))))</f>
        <v/>
      </c>
      <c r="BP565" s="174" t="str">
        <f>IF(BP$6="","",IF(BP$3="Maior",iferror(VLOOKUP($R565,Capa!$A:$AJ,BP$5,0),0),IF(ISERROR(1/VLOOKUP($R565,Capa!$A:$AJ,BP$5,0)),0,1/VLOOKUP($R565,Capa!$A:$AJ,BP$5,0))))</f>
        <v/>
      </c>
      <c r="BQ565" s="174" t="str">
        <f>IF(BQ$6="","",IF(BQ$3="Maior",iferror(VLOOKUP($R565,Capa!$A:$AJ,BQ$5,0),0),IF(ISERROR(1/VLOOKUP($R565,Capa!$A:$AJ,BQ$5,0)),0,1/VLOOKUP($R565,Capa!$A:$AJ,BQ$5,0))))</f>
        <v/>
      </c>
      <c r="BR565" s="175"/>
      <c r="BS565" s="147"/>
    </row>
    <row r="566">
      <c r="H566" s="8">
        <v>560.0</v>
      </c>
      <c r="I566" s="165" t="str">
        <f t="shared" si="6"/>
        <v>BRKM6</v>
      </c>
      <c r="J566" s="166" t="str">
        <f>(VLOOKUP($I566,Capa!$A:$B,2,0))</f>
        <v>Braskem SA Preference Shares Class B</v>
      </c>
      <c r="K566" s="167" t="str">
        <f>VLOOKUP(left(I566,4),Setor!A:D,3,0)&amp;" | "&amp;VLOOKUP(left(I566,4),Setor!A:D,4,0)</f>
        <v>Materiais Básicos | Químicos</v>
      </c>
      <c r="L566" s="168">
        <f>(VLOOKUP($I566,Capa!$A:$F,6,0))</f>
        <v>8.4</v>
      </c>
      <c r="M566" s="168">
        <f t="shared" si="7"/>
        <v>1401.5</v>
      </c>
      <c r="N566" s="11" t="str">
        <f>IFERROR(__xludf.DUMMYFUNCTION("(VLOOKUP($I566,Capa!$A:$H,7,0))"),"")</f>
        <v/>
      </c>
      <c r="O566" s="169">
        <f>(VLOOKUP($I566,Capa!$A:$H,8,0))</f>
        <v>-0.02211874272</v>
      </c>
      <c r="P566" s="11" t="str">
        <f>IFERROR(__xludf.DUMMYFUNCTION("(VLOOKUP($I566,Capa!$A:$J,10,0))"),"")</f>
        <v/>
      </c>
      <c r="Q566" s="169">
        <f>(VLOOKUP($I566,Capa!$A:$K,11,0))</f>
        <v>0.1125827815</v>
      </c>
      <c r="R566" s="45" t="str">
        <f>'Dados StatusInvest'!A561</f>
        <v>TEKA4</v>
      </c>
      <c r="S566" s="170">
        <f t="shared" si="234"/>
        <v>1884.0884</v>
      </c>
      <c r="T566" s="171">
        <f>VLOOKUP(R566,'Dados StatusInvest'!A:Z,26,0)</f>
        <v>0</v>
      </c>
      <c r="U566" s="172">
        <f t="shared" ref="U566:AS566" si="569">IF(AT566="","", RANK(AT566,AT$7:AT$626,0)+RANK(AT566,AT$7:AT$626,0)/10000)</f>
        <v>617.0617</v>
      </c>
      <c r="V566" s="172">
        <f t="shared" si="569"/>
        <v>267.0267</v>
      </c>
      <c r="W566" s="172" t="str">
        <f t="shared" si="569"/>
        <v/>
      </c>
      <c r="X566" s="172" t="str">
        <f t="shared" si="569"/>
        <v/>
      </c>
      <c r="Y566" s="172" t="str">
        <f t="shared" si="569"/>
        <v/>
      </c>
      <c r="Z566" s="172" t="str">
        <f t="shared" si="569"/>
        <v/>
      </c>
      <c r="AA566" s="172" t="str">
        <f t="shared" si="569"/>
        <v/>
      </c>
      <c r="AB566" s="172" t="str">
        <f t="shared" si="569"/>
        <v/>
      </c>
      <c r="AC566" s="172" t="str">
        <f t="shared" si="569"/>
        <v/>
      </c>
      <c r="AD566" s="172" t="str">
        <f t="shared" si="569"/>
        <v/>
      </c>
      <c r="AE566" s="172" t="str">
        <f t="shared" si="569"/>
        <v/>
      </c>
      <c r="AF566" s="172" t="str">
        <f t="shared" si="569"/>
        <v/>
      </c>
      <c r="AG566" s="172" t="str">
        <f t="shared" si="569"/>
        <v/>
      </c>
      <c r="AH566" s="172" t="str">
        <f t="shared" si="569"/>
        <v/>
      </c>
      <c r="AI566" s="172" t="str">
        <f t="shared" si="569"/>
        <v/>
      </c>
      <c r="AJ566" s="172" t="str">
        <f t="shared" si="569"/>
        <v/>
      </c>
      <c r="AK566" s="172" t="str">
        <f t="shared" si="569"/>
        <v/>
      </c>
      <c r="AL566" s="172" t="str">
        <f t="shared" si="569"/>
        <v/>
      </c>
      <c r="AM566" s="172" t="str">
        <f t="shared" si="569"/>
        <v/>
      </c>
      <c r="AN566" s="172" t="str">
        <f t="shared" si="569"/>
        <v/>
      </c>
      <c r="AO566" s="172" t="str">
        <f t="shared" si="569"/>
        <v/>
      </c>
      <c r="AP566" s="172" t="str">
        <f t="shared" si="569"/>
        <v/>
      </c>
      <c r="AQ566" s="172" t="str">
        <f t="shared" si="569"/>
        <v/>
      </c>
      <c r="AR566" s="172" t="str">
        <f t="shared" si="569"/>
        <v/>
      </c>
      <c r="AS566" s="172" t="str">
        <f t="shared" si="569"/>
        <v/>
      </c>
      <c r="AT566" s="173">
        <f>IF(AT$6="","",IF(AT$3="Maior",iferror(VLOOKUP($R566,Capa!$A:$AJ,AT$5,0),0),IF(ISERROR(1/VLOOKUP($R566,Capa!$A:$AJ,AT$5,0)),0,1/VLOOKUP($R566,Capa!$A:$AJ,AT$5,0))))</f>
        <v>-100</v>
      </c>
      <c r="AU566" s="174">
        <f>IF(AU$6="","",IF(AU$3="Maior",iferror(VLOOKUP($R566,Capa!$A:$AJ,AU$5,0),0),IF(ISERROR(1/VLOOKUP($R566,Capa!$A:$AJ,AU$5,0)),0,1/VLOOKUP($R566,Capa!$A:$AJ,AU$5,0))))</f>
        <v>0</v>
      </c>
      <c r="AV566" s="174" t="str">
        <f>IF(AV$6="","",IF(AV$3="Maior",iferror(VLOOKUP($R566,Capa!$A:$AJ,AV$5,0),0),IF(ISERROR(1/VLOOKUP($R566,Capa!$A:$AJ,AV$5,0)),0,1/VLOOKUP($R566,Capa!$A:$AJ,AV$5,0))))</f>
        <v/>
      </c>
      <c r="AW566" s="174" t="str">
        <f>IF(AW$6="","",IF(AW$3="Maior",iferror(VLOOKUP($R566,Capa!$A:$AJ,AW$5,0),0),IF(ISERROR(1/VLOOKUP($R566,Capa!$A:$AJ,AW$5,0)),0,1/VLOOKUP($R566,Capa!$A:$AJ,AW$5,0))))</f>
        <v/>
      </c>
      <c r="AX566" s="174" t="str">
        <f>IF(AX$6="","",IF(AX$3="Maior",iferror(VLOOKUP($R566,Capa!$A:$AJ,AX$5,0),0),IF(ISERROR(1/VLOOKUP($R566,Capa!$A:$AJ,AX$5,0)),0,1/VLOOKUP($R566,Capa!$A:$AJ,AX$5,0))))</f>
        <v/>
      </c>
      <c r="AY566" s="174" t="str">
        <f>IF(AY$6="","",IF(AY$3="Maior",iferror(VLOOKUP($R566,Capa!$A:$AJ,AY$5,0),0),IF(ISERROR(1/VLOOKUP($R566,Capa!$A:$AJ,AY$5,0)),0,1/VLOOKUP($R566,Capa!$A:$AJ,AY$5,0))))</f>
        <v/>
      </c>
      <c r="AZ566" s="174" t="str">
        <f>IF(AZ$6="","",IF(AZ$3="Maior",iferror(VLOOKUP($R566,Capa!$A:$AJ,AZ$5,0),0),IF(ISERROR(1/VLOOKUP($R566,Capa!$A:$AJ,AZ$5,0)),0,1/VLOOKUP($R566,Capa!$A:$AJ,AZ$5,0))))</f>
        <v/>
      </c>
      <c r="BA566" s="174" t="str">
        <f>IF(BA$6="","",IF(BA$3="Maior",iferror(VLOOKUP($R566,Capa!$A:$AJ,BA$5,0),0),IF(ISERROR(1/VLOOKUP($R566,Capa!$A:$AJ,BA$5,0)),0,1/VLOOKUP($R566,Capa!$A:$AJ,BA$5,0))))</f>
        <v/>
      </c>
      <c r="BB566" s="174" t="str">
        <f>IF(BB$6="","",IF(BB$3="Maior",iferror(VLOOKUP($R566,Capa!$A:$AJ,BB$5,0),0),IF(ISERROR(1/VLOOKUP($R566,Capa!$A:$AJ,BB$5,0)),0,1/VLOOKUP($R566,Capa!$A:$AJ,BB$5,0))))</f>
        <v/>
      </c>
      <c r="BC566" s="174" t="str">
        <f>IF(BC$6="","",IF(BC$3="Maior",iferror(VLOOKUP($R566,Capa!$A:$AJ,BC$5,0),0),IF(ISERROR(1/VLOOKUP($R566,Capa!$A:$AJ,BC$5,0)),0,1/VLOOKUP($R566,Capa!$A:$AJ,BC$5,0))))</f>
        <v/>
      </c>
      <c r="BD566" s="174" t="str">
        <f>IF(BD$6="","",IF(BD$3="Maior",iferror(VLOOKUP($R566,Capa!$A:$AJ,BD$5,0),0),IF(ISERROR(1/VLOOKUP($R566,Capa!$A:$AJ,BD$5,0)),0,1/VLOOKUP($R566,Capa!$A:$AJ,BD$5,0))))</f>
        <v/>
      </c>
      <c r="BE566" s="174" t="str">
        <f>IF(BE$6="","",IF(BE$3="Maior",iferror(VLOOKUP($R566,Capa!$A:$AJ,BE$5,0),0),IF(ISERROR(1/VLOOKUP($R566,Capa!$A:$AJ,BE$5,0)),0,1/VLOOKUP($R566,Capa!$A:$AJ,BE$5,0))))</f>
        <v/>
      </c>
      <c r="BF566" s="174" t="str">
        <f>IF(BF$6="","",IF(BF$3="Maior",iferror(VLOOKUP($R566,Capa!$A:$AJ,BF$5,0),0),IF(ISERROR(1/VLOOKUP($R566,Capa!$A:$AJ,BF$5,0)),0,1/VLOOKUP($R566,Capa!$A:$AJ,BF$5,0))))</f>
        <v/>
      </c>
      <c r="BG566" s="174" t="str">
        <f>IF(BG$6="","",IF(BG$3="Maior",iferror(VLOOKUP($R566,Capa!$A:$AJ,BG$5,0),0),IF(ISERROR(1/VLOOKUP($R566,Capa!$A:$AJ,BG$5,0)),0,1/VLOOKUP($R566,Capa!$A:$AJ,BG$5,0))))</f>
        <v/>
      </c>
      <c r="BH566" s="174" t="str">
        <f>IF(BH$6="","",IF(BH$3="Maior",iferror(VLOOKUP($R566,Capa!$A:$AJ,BH$5,0),0),IF(ISERROR(1/VLOOKUP($R566,Capa!$A:$AJ,BH$5,0)),0,1/VLOOKUP($R566,Capa!$A:$AJ,BH$5,0))))</f>
        <v/>
      </c>
      <c r="BI566" s="174" t="str">
        <f>IF(BI$6="","",IF(BI$3="Maior",iferror(VLOOKUP($R566,Capa!$A:$AJ,BI$5,0),0),IF(ISERROR(1/VLOOKUP($R566,Capa!$A:$AJ,BI$5,0)),0,1/VLOOKUP($R566,Capa!$A:$AJ,BI$5,0))))</f>
        <v/>
      </c>
      <c r="BJ566" s="174" t="str">
        <f>IF(BJ$6="","",IF(BJ$3="Maior",iferror(VLOOKUP($R566,Capa!$A:$AJ,BJ$5,0),0),IF(ISERROR(1/VLOOKUP($R566,Capa!$A:$AJ,BJ$5,0)),0,1/VLOOKUP($R566,Capa!$A:$AJ,BJ$5,0))))</f>
        <v/>
      </c>
      <c r="BK566" s="174" t="str">
        <f>IF(BK$6="","",IF(BK$3="Maior",iferror(VLOOKUP($R566,Capa!$A:$AJ,BK$5,0),0),IF(ISERROR(1/VLOOKUP($R566,Capa!$A:$AJ,BK$5,0)),0,1/VLOOKUP($R566,Capa!$A:$AJ,BK$5,0))))</f>
        <v/>
      </c>
      <c r="BL566" s="174" t="str">
        <f>IF(BL$6="","",IF(BL$3="Maior",iferror(VLOOKUP($R566,Capa!$A:$AJ,BL$5,0),0),IF(ISERROR(1/VLOOKUP($R566,Capa!$A:$AJ,BL$5,0)),0,1/VLOOKUP($R566,Capa!$A:$AJ,BL$5,0))))</f>
        <v/>
      </c>
      <c r="BM566" s="174" t="str">
        <f>IF(BM$6="","",IF(BM$3="Maior",iferror(VLOOKUP($R566,Capa!$A:$AJ,BM$5,0),0),IF(ISERROR(1/VLOOKUP($R566,Capa!$A:$AJ,BM$5,0)),0,1/VLOOKUP($R566,Capa!$A:$AJ,BM$5,0))))</f>
        <v/>
      </c>
      <c r="BN566" s="174" t="str">
        <f>IF(BN$6="","",IF(BN$3="Maior",iferror(VLOOKUP($R566,Capa!$A:$AJ,BN$5,0),0),IF(ISERROR(1/VLOOKUP($R566,Capa!$A:$AJ,BN$5,0)),0,1/VLOOKUP($R566,Capa!$A:$AJ,BN$5,0))))</f>
        <v/>
      </c>
      <c r="BO566" s="174" t="str">
        <f>IF(BO$6="","",IF(BO$3="Maior",iferror(VLOOKUP($R566,Capa!$A:$AJ,BO$5,0),0),IF(ISERROR(1/VLOOKUP($R566,Capa!$A:$AJ,BO$5,0)),0,1/VLOOKUP($R566,Capa!$A:$AJ,BO$5,0))))</f>
        <v/>
      </c>
      <c r="BP566" s="174" t="str">
        <f>IF(BP$6="","",IF(BP$3="Maior",iferror(VLOOKUP($R566,Capa!$A:$AJ,BP$5,0),0),IF(ISERROR(1/VLOOKUP($R566,Capa!$A:$AJ,BP$5,0)),0,1/VLOOKUP($R566,Capa!$A:$AJ,BP$5,0))))</f>
        <v/>
      </c>
      <c r="BQ566" s="174" t="str">
        <f>IF(BQ$6="","",IF(BQ$3="Maior",iferror(VLOOKUP($R566,Capa!$A:$AJ,BQ$5,0),0),IF(ISERROR(1/VLOOKUP($R566,Capa!$A:$AJ,BQ$5,0)),0,1/VLOOKUP($R566,Capa!$A:$AJ,BQ$5,0))))</f>
        <v/>
      </c>
      <c r="BR566" s="175"/>
      <c r="BS566" s="147"/>
    </row>
    <row r="567">
      <c r="H567" s="8">
        <v>561.0</v>
      </c>
      <c r="I567" s="165" t="str">
        <f t="shared" si="6"/>
        <v>BRKM6</v>
      </c>
      <c r="J567" s="166" t="str">
        <f>(VLOOKUP($I567,Capa!$A:$B,2,0))</f>
        <v>Braskem SA Preference Shares Class B</v>
      </c>
      <c r="K567" s="167" t="str">
        <f>VLOOKUP(left(I567,4),Setor!A:D,3,0)&amp;" | "&amp;VLOOKUP(left(I567,4),Setor!A:D,4,0)</f>
        <v>Materiais Básicos | Químicos</v>
      </c>
      <c r="L567" s="168">
        <f>(VLOOKUP($I567,Capa!$A:$F,6,0))</f>
        <v>8.4</v>
      </c>
      <c r="M567" s="168">
        <f t="shared" si="7"/>
        <v>1401.5</v>
      </c>
      <c r="N567" s="11" t="str">
        <f>IFERROR(__xludf.DUMMYFUNCTION("(VLOOKUP($I567,Capa!$A:$H,7,0))"),"")</f>
        <v/>
      </c>
      <c r="O567" s="169">
        <f>(VLOOKUP($I567,Capa!$A:$H,8,0))</f>
        <v>-0.02211874272</v>
      </c>
      <c r="P567" s="11" t="str">
        <f>IFERROR(__xludf.DUMMYFUNCTION("(VLOOKUP($I567,Capa!$A:$J,10,0))"),"")</f>
        <v/>
      </c>
      <c r="Q567" s="169">
        <f>(VLOOKUP($I567,Capa!$A:$K,11,0))</f>
        <v>0.1125827815</v>
      </c>
      <c r="R567" s="45" t="str">
        <f>'Dados StatusInvest'!A562</f>
        <v>TELB3</v>
      </c>
      <c r="S567" s="170">
        <f t="shared" si="234"/>
        <v>1693.0693</v>
      </c>
      <c r="T567" s="171">
        <f>VLOOKUP(R567,'Dados StatusInvest'!A:Z,26,0)</f>
        <v>16653.12</v>
      </c>
      <c r="U567" s="172">
        <f t="shared" ref="U567:AS567" si="570">IF(AT567="","", RANK(AT567,AT$7:AT$626,0)+RANK(AT567,AT$7:AT$626,0)/10000)</f>
        <v>426.0426</v>
      </c>
      <c r="V567" s="172">
        <f t="shared" si="570"/>
        <v>267.0267</v>
      </c>
      <c r="W567" s="172" t="str">
        <f t="shared" si="570"/>
        <v/>
      </c>
      <c r="X567" s="172" t="str">
        <f t="shared" si="570"/>
        <v/>
      </c>
      <c r="Y567" s="172" t="str">
        <f t="shared" si="570"/>
        <v/>
      </c>
      <c r="Z567" s="172" t="str">
        <f t="shared" si="570"/>
        <v/>
      </c>
      <c r="AA567" s="172" t="str">
        <f t="shared" si="570"/>
        <v/>
      </c>
      <c r="AB567" s="172" t="str">
        <f t="shared" si="570"/>
        <v/>
      </c>
      <c r="AC567" s="172" t="str">
        <f t="shared" si="570"/>
        <v/>
      </c>
      <c r="AD567" s="172" t="str">
        <f t="shared" si="570"/>
        <v/>
      </c>
      <c r="AE567" s="172" t="str">
        <f t="shared" si="570"/>
        <v/>
      </c>
      <c r="AF567" s="172" t="str">
        <f t="shared" si="570"/>
        <v/>
      </c>
      <c r="AG567" s="172" t="str">
        <f t="shared" si="570"/>
        <v/>
      </c>
      <c r="AH567" s="172" t="str">
        <f t="shared" si="570"/>
        <v/>
      </c>
      <c r="AI567" s="172" t="str">
        <f t="shared" si="570"/>
        <v/>
      </c>
      <c r="AJ567" s="172" t="str">
        <f t="shared" si="570"/>
        <v/>
      </c>
      <c r="AK567" s="172" t="str">
        <f t="shared" si="570"/>
        <v/>
      </c>
      <c r="AL567" s="172" t="str">
        <f t="shared" si="570"/>
        <v/>
      </c>
      <c r="AM567" s="172" t="str">
        <f t="shared" si="570"/>
        <v/>
      </c>
      <c r="AN567" s="172" t="str">
        <f t="shared" si="570"/>
        <v/>
      </c>
      <c r="AO567" s="172" t="str">
        <f t="shared" si="570"/>
        <v/>
      </c>
      <c r="AP567" s="172" t="str">
        <f t="shared" si="570"/>
        <v/>
      </c>
      <c r="AQ567" s="172" t="str">
        <f t="shared" si="570"/>
        <v/>
      </c>
      <c r="AR567" s="172" t="str">
        <f t="shared" si="570"/>
        <v/>
      </c>
      <c r="AS567" s="172" t="str">
        <f t="shared" si="570"/>
        <v/>
      </c>
      <c r="AT567" s="173">
        <f>IF(AT$6="","",IF(AT$3="Maior",iferror(VLOOKUP($R567,Capa!$A:$AJ,AT$5,0),0),IF(ISERROR(1/VLOOKUP($R567,Capa!$A:$AJ,AT$5,0)),0,1/VLOOKUP($R567,Capa!$A:$AJ,AT$5,0))))</f>
        <v>-1.587301587</v>
      </c>
      <c r="AU567" s="174">
        <f>IF(AU$6="","",IF(AU$3="Maior",iferror(VLOOKUP($R567,Capa!$A:$AJ,AU$5,0),0),IF(ISERROR(1/VLOOKUP($R567,Capa!$A:$AJ,AU$5,0)),0,1/VLOOKUP($R567,Capa!$A:$AJ,AU$5,0))))</f>
        <v>0</v>
      </c>
      <c r="AV567" s="174" t="str">
        <f>IF(AV$6="","",IF(AV$3="Maior",iferror(VLOOKUP($R567,Capa!$A:$AJ,AV$5,0),0),IF(ISERROR(1/VLOOKUP($R567,Capa!$A:$AJ,AV$5,0)),0,1/VLOOKUP($R567,Capa!$A:$AJ,AV$5,0))))</f>
        <v/>
      </c>
      <c r="AW567" s="174" t="str">
        <f>IF(AW$6="","",IF(AW$3="Maior",iferror(VLOOKUP($R567,Capa!$A:$AJ,AW$5,0),0),IF(ISERROR(1/VLOOKUP($R567,Capa!$A:$AJ,AW$5,0)),0,1/VLOOKUP($R567,Capa!$A:$AJ,AW$5,0))))</f>
        <v/>
      </c>
      <c r="AX567" s="174" t="str">
        <f>IF(AX$6="","",IF(AX$3="Maior",iferror(VLOOKUP($R567,Capa!$A:$AJ,AX$5,0),0),IF(ISERROR(1/VLOOKUP($R567,Capa!$A:$AJ,AX$5,0)),0,1/VLOOKUP($R567,Capa!$A:$AJ,AX$5,0))))</f>
        <v/>
      </c>
      <c r="AY567" s="174" t="str">
        <f>IF(AY$6="","",IF(AY$3="Maior",iferror(VLOOKUP($R567,Capa!$A:$AJ,AY$5,0),0),IF(ISERROR(1/VLOOKUP($R567,Capa!$A:$AJ,AY$5,0)),0,1/VLOOKUP($R567,Capa!$A:$AJ,AY$5,0))))</f>
        <v/>
      </c>
      <c r="AZ567" s="174" t="str">
        <f>IF(AZ$6="","",IF(AZ$3="Maior",iferror(VLOOKUP($R567,Capa!$A:$AJ,AZ$5,0),0),IF(ISERROR(1/VLOOKUP($R567,Capa!$A:$AJ,AZ$5,0)),0,1/VLOOKUP($R567,Capa!$A:$AJ,AZ$5,0))))</f>
        <v/>
      </c>
      <c r="BA567" s="174" t="str">
        <f>IF(BA$6="","",IF(BA$3="Maior",iferror(VLOOKUP($R567,Capa!$A:$AJ,BA$5,0),0),IF(ISERROR(1/VLOOKUP($R567,Capa!$A:$AJ,BA$5,0)),0,1/VLOOKUP($R567,Capa!$A:$AJ,BA$5,0))))</f>
        <v/>
      </c>
      <c r="BB567" s="174" t="str">
        <f>IF(BB$6="","",IF(BB$3="Maior",iferror(VLOOKUP($R567,Capa!$A:$AJ,BB$5,0),0),IF(ISERROR(1/VLOOKUP($R567,Capa!$A:$AJ,BB$5,0)),0,1/VLOOKUP($R567,Capa!$A:$AJ,BB$5,0))))</f>
        <v/>
      </c>
      <c r="BC567" s="174" t="str">
        <f>IF(BC$6="","",IF(BC$3="Maior",iferror(VLOOKUP($R567,Capa!$A:$AJ,BC$5,0),0),IF(ISERROR(1/VLOOKUP($R567,Capa!$A:$AJ,BC$5,0)),0,1/VLOOKUP($R567,Capa!$A:$AJ,BC$5,0))))</f>
        <v/>
      </c>
      <c r="BD567" s="174" t="str">
        <f>IF(BD$6="","",IF(BD$3="Maior",iferror(VLOOKUP($R567,Capa!$A:$AJ,BD$5,0),0),IF(ISERROR(1/VLOOKUP($R567,Capa!$A:$AJ,BD$5,0)),0,1/VLOOKUP($R567,Capa!$A:$AJ,BD$5,0))))</f>
        <v/>
      </c>
      <c r="BE567" s="174" t="str">
        <f>IF(BE$6="","",IF(BE$3="Maior",iferror(VLOOKUP($R567,Capa!$A:$AJ,BE$5,0),0),IF(ISERROR(1/VLOOKUP($R567,Capa!$A:$AJ,BE$5,0)),0,1/VLOOKUP($R567,Capa!$A:$AJ,BE$5,0))))</f>
        <v/>
      </c>
      <c r="BF567" s="174" t="str">
        <f>IF(BF$6="","",IF(BF$3="Maior",iferror(VLOOKUP($R567,Capa!$A:$AJ,BF$5,0),0),IF(ISERROR(1/VLOOKUP($R567,Capa!$A:$AJ,BF$5,0)),0,1/VLOOKUP($R567,Capa!$A:$AJ,BF$5,0))))</f>
        <v/>
      </c>
      <c r="BG567" s="174" t="str">
        <f>IF(BG$6="","",IF(BG$3="Maior",iferror(VLOOKUP($R567,Capa!$A:$AJ,BG$5,0),0),IF(ISERROR(1/VLOOKUP($R567,Capa!$A:$AJ,BG$5,0)),0,1/VLOOKUP($R567,Capa!$A:$AJ,BG$5,0))))</f>
        <v/>
      </c>
      <c r="BH567" s="174" t="str">
        <f>IF(BH$6="","",IF(BH$3="Maior",iferror(VLOOKUP($R567,Capa!$A:$AJ,BH$5,0),0),IF(ISERROR(1/VLOOKUP($R567,Capa!$A:$AJ,BH$5,0)),0,1/VLOOKUP($R567,Capa!$A:$AJ,BH$5,0))))</f>
        <v/>
      </c>
      <c r="BI567" s="174" t="str">
        <f>IF(BI$6="","",IF(BI$3="Maior",iferror(VLOOKUP($R567,Capa!$A:$AJ,BI$5,0),0),IF(ISERROR(1/VLOOKUP($R567,Capa!$A:$AJ,BI$5,0)),0,1/VLOOKUP($R567,Capa!$A:$AJ,BI$5,0))))</f>
        <v/>
      </c>
      <c r="BJ567" s="174" t="str">
        <f>IF(BJ$6="","",IF(BJ$3="Maior",iferror(VLOOKUP($R567,Capa!$A:$AJ,BJ$5,0),0),IF(ISERROR(1/VLOOKUP($R567,Capa!$A:$AJ,BJ$5,0)),0,1/VLOOKUP($R567,Capa!$A:$AJ,BJ$5,0))))</f>
        <v/>
      </c>
      <c r="BK567" s="174" t="str">
        <f>IF(BK$6="","",IF(BK$3="Maior",iferror(VLOOKUP($R567,Capa!$A:$AJ,BK$5,0),0),IF(ISERROR(1/VLOOKUP($R567,Capa!$A:$AJ,BK$5,0)),0,1/VLOOKUP($R567,Capa!$A:$AJ,BK$5,0))))</f>
        <v/>
      </c>
      <c r="BL567" s="174" t="str">
        <f>IF(BL$6="","",IF(BL$3="Maior",iferror(VLOOKUP($R567,Capa!$A:$AJ,BL$5,0),0),IF(ISERROR(1/VLOOKUP($R567,Capa!$A:$AJ,BL$5,0)),0,1/VLOOKUP($R567,Capa!$A:$AJ,BL$5,0))))</f>
        <v/>
      </c>
      <c r="BM567" s="174" t="str">
        <f>IF(BM$6="","",IF(BM$3="Maior",iferror(VLOOKUP($R567,Capa!$A:$AJ,BM$5,0),0),IF(ISERROR(1/VLOOKUP($R567,Capa!$A:$AJ,BM$5,0)),0,1/VLOOKUP($R567,Capa!$A:$AJ,BM$5,0))))</f>
        <v/>
      </c>
      <c r="BN567" s="174" t="str">
        <f>IF(BN$6="","",IF(BN$3="Maior",iferror(VLOOKUP($R567,Capa!$A:$AJ,BN$5,0),0),IF(ISERROR(1/VLOOKUP($R567,Capa!$A:$AJ,BN$5,0)),0,1/VLOOKUP($R567,Capa!$A:$AJ,BN$5,0))))</f>
        <v/>
      </c>
      <c r="BO567" s="174" t="str">
        <f>IF(BO$6="","",IF(BO$3="Maior",iferror(VLOOKUP($R567,Capa!$A:$AJ,BO$5,0),0),IF(ISERROR(1/VLOOKUP($R567,Capa!$A:$AJ,BO$5,0)),0,1/VLOOKUP($R567,Capa!$A:$AJ,BO$5,0))))</f>
        <v/>
      </c>
      <c r="BP567" s="174" t="str">
        <f>IF(BP$6="","",IF(BP$3="Maior",iferror(VLOOKUP($R567,Capa!$A:$AJ,BP$5,0),0),IF(ISERROR(1/VLOOKUP($R567,Capa!$A:$AJ,BP$5,0)),0,1/VLOOKUP($R567,Capa!$A:$AJ,BP$5,0))))</f>
        <v/>
      </c>
      <c r="BQ567" s="174" t="str">
        <f>IF(BQ$6="","",IF(BQ$3="Maior",iferror(VLOOKUP($R567,Capa!$A:$AJ,BQ$5,0),0),IF(ISERROR(1/VLOOKUP($R567,Capa!$A:$AJ,BQ$5,0)),0,1/VLOOKUP($R567,Capa!$A:$AJ,BQ$5,0))))</f>
        <v/>
      </c>
      <c r="BR567" s="175"/>
      <c r="BS567" s="147"/>
    </row>
    <row r="568">
      <c r="H568" s="8">
        <v>562.0</v>
      </c>
      <c r="I568" s="165" t="str">
        <f t="shared" si="6"/>
        <v>ESTR3</v>
      </c>
      <c r="J568" s="166" t="str">
        <f>(VLOOKUP($I568,Capa!$A:$B,2,0))</f>
        <v>Manufatura de Brinquedos Estrela SA</v>
      </c>
      <c r="K568" s="167" t="str">
        <f>VLOOKUP(left(I568,4),Setor!A:D,3,0)&amp;" | "&amp;VLOOKUP(left(I568,4),Setor!A:D,4,0)</f>
        <v>Consumo Cíclico | Viagens e Lazer</v>
      </c>
      <c r="L568" s="168">
        <f>(VLOOKUP($I568,Capa!$A:$F,6,0))</f>
        <v>3.01</v>
      </c>
      <c r="M568" s="168">
        <f t="shared" si="7"/>
        <v>301</v>
      </c>
      <c r="N568" s="11" t="str">
        <f>IFERROR(__xludf.DUMMYFUNCTION("(VLOOKUP($I568,Capa!$A:$H,7,0))"),"")</f>
        <v/>
      </c>
      <c r="O568" s="169" t="str">
        <f>(VLOOKUP($I568,Capa!$A:$H,8,0))</f>
        <v/>
      </c>
      <c r="P568" s="11" t="str">
        <f>IFERROR(__xludf.DUMMYFUNCTION("(VLOOKUP($I568,Capa!$A:$J,10,0))"),"")</f>
        <v/>
      </c>
      <c r="Q568" s="169" t="str">
        <f>(VLOOKUP($I568,Capa!$A:$K,11,0))</f>
        <v/>
      </c>
      <c r="R568" s="45" t="str">
        <f>'Dados StatusInvest'!A563</f>
        <v>TELB4</v>
      </c>
      <c r="S568" s="170">
        <f t="shared" si="234"/>
        <v>1745.0745</v>
      </c>
      <c r="T568" s="171">
        <f>VLOOKUP(R568,'Dados StatusInvest'!A:Z,26,0)</f>
        <v>23637.9</v>
      </c>
      <c r="U568" s="172">
        <f t="shared" ref="U568:AS568" si="571">IF(AT568="","", RANK(AT568,AT$7:AT$626,0)+RANK(AT568,AT$7:AT$626,0)/10000)</f>
        <v>478.0478</v>
      </c>
      <c r="V568" s="172">
        <f t="shared" si="571"/>
        <v>267.0267</v>
      </c>
      <c r="W568" s="172" t="str">
        <f t="shared" si="571"/>
        <v/>
      </c>
      <c r="X568" s="172" t="str">
        <f t="shared" si="571"/>
        <v/>
      </c>
      <c r="Y568" s="172" t="str">
        <f t="shared" si="571"/>
        <v/>
      </c>
      <c r="Z568" s="172" t="str">
        <f t="shared" si="571"/>
        <v/>
      </c>
      <c r="AA568" s="172" t="str">
        <f t="shared" si="571"/>
        <v/>
      </c>
      <c r="AB568" s="172" t="str">
        <f t="shared" si="571"/>
        <v/>
      </c>
      <c r="AC568" s="172" t="str">
        <f t="shared" si="571"/>
        <v/>
      </c>
      <c r="AD568" s="172" t="str">
        <f t="shared" si="571"/>
        <v/>
      </c>
      <c r="AE568" s="172" t="str">
        <f t="shared" si="571"/>
        <v/>
      </c>
      <c r="AF568" s="172" t="str">
        <f t="shared" si="571"/>
        <v/>
      </c>
      <c r="AG568" s="172" t="str">
        <f t="shared" si="571"/>
        <v/>
      </c>
      <c r="AH568" s="172" t="str">
        <f t="shared" si="571"/>
        <v/>
      </c>
      <c r="AI568" s="172" t="str">
        <f t="shared" si="571"/>
        <v/>
      </c>
      <c r="AJ568" s="172" t="str">
        <f t="shared" si="571"/>
        <v/>
      </c>
      <c r="AK568" s="172" t="str">
        <f t="shared" si="571"/>
        <v/>
      </c>
      <c r="AL568" s="172" t="str">
        <f t="shared" si="571"/>
        <v/>
      </c>
      <c r="AM568" s="172" t="str">
        <f t="shared" si="571"/>
        <v/>
      </c>
      <c r="AN568" s="172" t="str">
        <f t="shared" si="571"/>
        <v/>
      </c>
      <c r="AO568" s="172" t="str">
        <f t="shared" si="571"/>
        <v/>
      </c>
      <c r="AP568" s="172" t="str">
        <f t="shared" si="571"/>
        <v/>
      </c>
      <c r="AQ568" s="172" t="str">
        <f t="shared" si="571"/>
        <v/>
      </c>
      <c r="AR568" s="172" t="str">
        <f t="shared" si="571"/>
        <v/>
      </c>
      <c r="AS568" s="172" t="str">
        <f t="shared" si="571"/>
        <v/>
      </c>
      <c r="AT568" s="173">
        <f>IF(AT$6="","",IF(AT$3="Maior",iferror(VLOOKUP($R568,Capa!$A:$AJ,AT$5,0),0),IF(ISERROR(1/VLOOKUP($R568,Capa!$A:$AJ,AT$5,0)),0,1/VLOOKUP($R568,Capa!$A:$AJ,AT$5,0))))</f>
        <v>-2.5</v>
      </c>
      <c r="AU568" s="174">
        <f>IF(AU$6="","",IF(AU$3="Maior",iferror(VLOOKUP($R568,Capa!$A:$AJ,AU$5,0),0),IF(ISERROR(1/VLOOKUP($R568,Capa!$A:$AJ,AU$5,0)),0,1/VLOOKUP($R568,Capa!$A:$AJ,AU$5,0))))</f>
        <v>0</v>
      </c>
      <c r="AV568" s="174" t="str">
        <f>IF(AV$6="","",IF(AV$3="Maior",iferror(VLOOKUP($R568,Capa!$A:$AJ,AV$5,0),0),IF(ISERROR(1/VLOOKUP($R568,Capa!$A:$AJ,AV$5,0)),0,1/VLOOKUP($R568,Capa!$A:$AJ,AV$5,0))))</f>
        <v/>
      </c>
      <c r="AW568" s="174" t="str">
        <f>IF(AW$6="","",IF(AW$3="Maior",iferror(VLOOKUP($R568,Capa!$A:$AJ,AW$5,0),0),IF(ISERROR(1/VLOOKUP($R568,Capa!$A:$AJ,AW$5,0)),0,1/VLOOKUP($R568,Capa!$A:$AJ,AW$5,0))))</f>
        <v/>
      </c>
      <c r="AX568" s="174" t="str">
        <f>IF(AX$6="","",IF(AX$3="Maior",iferror(VLOOKUP($R568,Capa!$A:$AJ,AX$5,0),0),IF(ISERROR(1/VLOOKUP($R568,Capa!$A:$AJ,AX$5,0)),0,1/VLOOKUP($R568,Capa!$A:$AJ,AX$5,0))))</f>
        <v/>
      </c>
      <c r="AY568" s="174" t="str">
        <f>IF(AY$6="","",IF(AY$3="Maior",iferror(VLOOKUP($R568,Capa!$A:$AJ,AY$5,0),0),IF(ISERROR(1/VLOOKUP($R568,Capa!$A:$AJ,AY$5,0)),0,1/VLOOKUP($R568,Capa!$A:$AJ,AY$5,0))))</f>
        <v/>
      </c>
      <c r="AZ568" s="174" t="str">
        <f>IF(AZ$6="","",IF(AZ$3="Maior",iferror(VLOOKUP($R568,Capa!$A:$AJ,AZ$5,0),0),IF(ISERROR(1/VLOOKUP($R568,Capa!$A:$AJ,AZ$5,0)),0,1/VLOOKUP($R568,Capa!$A:$AJ,AZ$5,0))))</f>
        <v/>
      </c>
      <c r="BA568" s="174" t="str">
        <f>IF(BA$6="","",IF(BA$3="Maior",iferror(VLOOKUP($R568,Capa!$A:$AJ,BA$5,0),0),IF(ISERROR(1/VLOOKUP($R568,Capa!$A:$AJ,BA$5,0)),0,1/VLOOKUP($R568,Capa!$A:$AJ,BA$5,0))))</f>
        <v/>
      </c>
      <c r="BB568" s="174" t="str">
        <f>IF(BB$6="","",IF(BB$3="Maior",iferror(VLOOKUP($R568,Capa!$A:$AJ,BB$5,0),0),IF(ISERROR(1/VLOOKUP($R568,Capa!$A:$AJ,BB$5,0)),0,1/VLOOKUP($R568,Capa!$A:$AJ,BB$5,0))))</f>
        <v/>
      </c>
      <c r="BC568" s="174" t="str">
        <f>IF(BC$6="","",IF(BC$3="Maior",iferror(VLOOKUP($R568,Capa!$A:$AJ,BC$5,0),0),IF(ISERROR(1/VLOOKUP($R568,Capa!$A:$AJ,BC$5,0)),0,1/VLOOKUP($R568,Capa!$A:$AJ,BC$5,0))))</f>
        <v/>
      </c>
      <c r="BD568" s="174" t="str">
        <f>IF(BD$6="","",IF(BD$3="Maior",iferror(VLOOKUP($R568,Capa!$A:$AJ,BD$5,0),0),IF(ISERROR(1/VLOOKUP($R568,Capa!$A:$AJ,BD$5,0)),0,1/VLOOKUP($R568,Capa!$A:$AJ,BD$5,0))))</f>
        <v/>
      </c>
      <c r="BE568" s="174" t="str">
        <f>IF(BE$6="","",IF(BE$3="Maior",iferror(VLOOKUP($R568,Capa!$A:$AJ,BE$5,0),0),IF(ISERROR(1/VLOOKUP($R568,Capa!$A:$AJ,BE$5,0)),0,1/VLOOKUP($R568,Capa!$A:$AJ,BE$5,0))))</f>
        <v/>
      </c>
      <c r="BF568" s="174" t="str">
        <f>IF(BF$6="","",IF(BF$3="Maior",iferror(VLOOKUP($R568,Capa!$A:$AJ,BF$5,0),0),IF(ISERROR(1/VLOOKUP($R568,Capa!$A:$AJ,BF$5,0)),0,1/VLOOKUP($R568,Capa!$A:$AJ,BF$5,0))))</f>
        <v/>
      </c>
      <c r="BG568" s="174" t="str">
        <f>IF(BG$6="","",IF(BG$3="Maior",iferror(VLOOKUP($R568,Capa!$A:$AJ,BG$5,0),0),IF(ISERROR(1/VLOOKUP($R568,Capa!$A:$AJ,BG$5,0)),0,1/VLOOKUP($R568,Capa!$A:$AJ,BG$5,0))))</f>
        <v/>
      </c>
      <c r="BH568" s="174" t="str">
        <f>IF(BH$6="","",IF(BH$3="Maior",iferror(VLOOKUP($R568,Capa!$A:$AJ,BH$5,0),0),IF(ISERROR(1/VLOOKUP($R568,Capa!$A:$AJ,BH$5,0)),0,1/VLOOKUP($R568,Capa!$A:$AJ,BH$5,0))))</f>
        <v/>
      </c>
      <c r="BI568" s="174" t="str">
        <f>IF(BI$6="","",IF(BI$3="Maior",iferror(VLOOKUP($R568,Capa!$A:$AJ,BI$5,0),0),IF(ISERROR(1/VLOOKUP($R568,Capa!$A:$AJ,BI$5,0)),0,1/VLOOKUP($R568,Capa!$A:$AJ,BI$5,0))))</f>
        <v/>
      </c>
      <c r="BJ568" s="174" t="str">
        <f>IF(BJ$6="","",IF(BJ$3="Maior",iferror(VLOOKUP($R568,Capa!$A:$AJ,BJ$5,0),0),IF(ISERROR(1/VLOOKUP($R568,Capa!$A:$AJ,BJ$5,0)),0,1/VLOOKUP($R568,Capa!$A:$AJ,BJ$5,0))))</f>
        <v/>
      </c>
      <c r="BK568" s="174" t="str">
        <f>IF(BK$6="","",IF(BK$3="Maior",iferror(VLOOKUP($R568,Capa!$A:$AJ,BK$5,0),0),IF(ISERROR(1/VLOOKUP($R568,Capa!$A:$AJ,BK$5,0)),0,1/VLOOKUP($R568,Capa!$A:$AJ,BK$5,0))))</f>
        <v/>
      </c>
      <c r="BL568" s="174" t="str">
        <f>IF(BL$6="","",IF(BL$3="Maior",iferror(VLOOKUP($R568,Capa!$A:$AJ,BL$5,0),0),IF(ISERROR(1/VLOOKUP($R568,Capa!$A:$AJ,BL$5,0)),0,1/VLOOKUP($R568,Capa!$A:$AJ,BL$5,0))))</f>
        <v/>
      </c>
      <c r="BM568" s="174" t="str">
        <f>IF(BM$6="","",IF(BM$3="Maior",iferror(VLOOKUP($R568,Capa!$A:$AJ,BM$5,0),0),IF(ISERROR(1/VLOOKUP($R568,Capa!$A:$AJ,BM$5,0)),0,1/VLOOKUP($R568,Capa!$A:$AJ,BM$5,0))))</f>
        <v/>
      </c>
      <c r="BN568" s="174" t="str">
        <f>IF(BN$6="","",IF(BN$3="Maior",iferror(VLOOKUP($R568,Capa!$A:$AJ,BN$5,0),0),IF(ISERROR(1/VLOOKUP($R568,Capa!$A:$AJ,BN$5,0)),0,1/VLOOKUP($R568,Capa!$A:$AJ,BN$5,0))))</f>
        <v/>
      </c>
      <c r="BO568" s="174" t="str">
        <f>IF(BO$6="","",IF(BO$3="Maior",iferror(VLOOKUP($R568,Capa!$A:$AJ,BO$5,0),0),IF(ISERROR(1/VLOOKUP($R568,Capa!$A:$AJ,BO$5,0)),0,1/VLOOKUP($R568,Capa!$A:$AJ,BO$5,0))))</f>
        <v/>
      </c>
      <c r="BP568" s="174" t="str">
        <f>IF(BP$6="","",IF(BP$3="Maior",iferror(VLOOKUP($R568,Capa!$A:$AJ,BP$5,0),0),IF(ISERROR(1/VLOOKUP($R568,Capa!$A:$AJ,BP$5,0)),0,1/VLOOKUP($R568,Capa!$A:$AJ,BP$5,0))))</f>
        <v/>
      </c>
      <c r="BQ568" s="174" t="str">
        <f>IF(BQ$6="","",IF(BQ$3="Maior",iferror(VLOOKUP($R568,Capa!$A:$AJ,BQ$5,0),0),IF(ISERROR(1/VLOOKUP($R568,Capa!$A:$AJ,BQ$5,0)),0,1/VLOOKUP($R568,Capa!$A:$AJ,BQ$5,0))))</f>
        <v/>
      </c>
      <c r="BR568" s="175"/>
      <c r="BS568" s="147"/>
    </row>
    <row r="569">
      <c r="H569" s="8">
        <v>563.0</v>
      </c>
      <c r="I569" s="165" t="str">
        <f t="shared" si="6"/>
        <v>BRIV3</v>
      </c>
      <c r="J569" s="166" t="str">
        <f>(VLOOKUP($I569,Capa!$A:$B,2,0))</f>
        <v/>
      </c>
      <c r="K569" s="167" t="str">
        <f>VLOOKUP(left(I569,4),Setor!A:D,3,0)&amp;" | "&amp;VLOOKUP(left(I569,4),Setor!A:D,4,0)</f>
        <v>Financeiro | Intermediários Financeiros</v>
      </c>
      <c r="L569" s="168" t="str">
        <f>(VLOOKUP($I569,Capa!$A:$F,6,0))</f>
        <v/>
      </c>
      <c r="M569" s="168">
        <f t="shared" si="7"/>
        <v>0</v>
      </c>
      <c r="N569" s="11" t="str">
        <f>(VLOOKUP($I569,Capa!$A:$H,7,0))</f>
        <v/>
      </c>
      <c r="O569" s="169" t="str">
        <f>(VLOOKUP($I569,Capa!$A:$H,8,0))</f>
        <v/>
      </c>
      <c r="P569" s="11" t="str">
        <f>(VLOOKUP($I569,Capa!$A:$J,10,0))</f>
        <v/>
      </c>
      <c r="Q569" s="169" t="str">
        <f>(VLOOKUP($I569,Capa!$A:$K,11,0))</f>
        <v/>
      </c>
      <c r="R569" s="45" t="str">
        <f>'Dados StatusInvest'!A564</f>
        <v>TEND3</v>
      </c>
      <c r="S569" s="170">
        <f t="shared" si="234"/>
        <v>474.0474</v>
      </c>
      <c r="T569" s="171">
        <f>VLOOKUP(R569,'Dados StatusInvest'!A:Z,26,0)</f>
        <v>63965412</v>
      </c>
      <c r="U569" s="172">
        <f t="shared" ref="U569:AS569" si="572">IF(AT569="","", RANK(AT569,AT$7:AT$626,0)+RANK(AT569,AT$7:AT$626,0)/10000)</f>
        <v>266.0266</v>
      </c>
      <c r="V569" s="172">
        <f t="shared" si="572"/>
        <v>208.0208</v>
      </c>
      <c r="W569" s="172" t="str">
        <f t="shared" si="572"/>
        <v/>
      </c>
      <c r="X569" s="172" t="str">
        <f t="shared" si="572"/>
        <v/>
      </c>
      <c r="Y569" s="172" t="str">
        <f t="shared" si="572"/>
        <v/>
      </c>
      <c r="Z569" s="172" t="str">
        <f t="shared" si="572"/>
        <v/>
      </c>
      <c r="AA569" s="172" t="str">
        <f t="shared" si="572"/>
        <v/>
      </c>
      <c r="AB569" s="172" t="str">
        <f t="shared" si="572"/>
        <v/>
      </c>
      <c r="AC569" s="172" t="str">
        <f t="shared" si="572"/>
        <v/>
      </c>
      <c r="AD569" s="172" t="str">
        <f t="shared" si="572"/>
        <v/>
      </c>
      <c r="AE569" s="172" t="str">
        <f t="shared" si="572"/>
        <v/>
      </c>
      <c r="AF569" s="172" t="str">
        <f t="shared" si="572"/>
        <v/>
      </c>
      <c r="AG569" s="172" t="str">
        <f t="shared" si="572"/>
        <v/>
      </c>
      <c r="AH569" s="172" t="str">
        <f t="shared" si="572"/>
        <v/>
      </c>
      <c r="AI569" s="172" t="str">
        <f t="shared" si="572"/>
        <v/>
      </c>
      <c r="AJ569" s="172" t="str">
        <f t="shared" si="572"/>
        <v/>
      </c>
      <c r="AK569" s="172" t="str">
        <f t="shared" si="572"/>
        <v/>
      </c>
      <c r="AL569" s="172" t="str">
        <f t="shared" si="572"/>
        <v/>
      </c>
      <c r="AM569" s="172" t="str">
        <f t="shared" si="572"/>
        <v/>
      </c>
      <c r="AN569" s="172" t="str">
        <f t="shared" si="572"/>
        <v/>
      </c>
      <c r="AO569" s="172" t="str">
        <f t="shared" si="572"/>
        <v/>
      </c>
      <c r="AP569" s="172" t="str">
        <f t="shared" si="572"/>
        <v/>
      </c>
      <c r="AQ569" s="172" t="str">
        <f t="shared" si="572"/>
        <v/>
      </c>
      <c r="AR569" s="172" t="str">
        <f t="shared" si="572"/>
        <v/>
      </c>
      <c r="AS569" s="172" t="str">
        <f t="shared" si="572"/>
        <v/>
      </c>
      <c r="AT569" s="173">
        <f>IF(AT$6="","",IF(AT$3="Maior",iferror(VLOOKUP($R569,Capa!$A:$AJ,AT$5,0),0),IF(ISERROR(1/VLOOKUP($R569,Capa!$A:$AJ,AT$5,0)),0,1/VLOOKUP($R569,Capa!$A:$AJ,AT$5,0))))</f>
        <v>-0.5563298206</v>
      </c>
      <c r="AU569" s="174">
        <f>IF(AU$6="","",IF(AU$3="Maior",iferror(VLOOKUP($R569,Capa!$A:$AJ,AU$5,0),0),IF(ISERROR(1/VLOOKUP($R569,Capa!$A:$AJ,AU$5,0)),0,1/VLOOKUP($R569,Capa!$A:$AJ,AU$5,0))))</f>
        <v>9.89</v>
      </c>
      <c r="AV569" s="174" t="str">
        <f>IF(AV$6="","",IF(AV$3="Maior",iferror(VLOOKUP($R569,Capa!$A:$AJ,AV$5,0),0),IF(ISERROR(1/VLOOKUP($R569,Capa!$A:$AJ,AV$5,0)),0,1/VLOOKUP($R569,Capa!$A:$AJ,AV$5,0))))</f>
        <v/>
      </c>
      <c r="AW569" s="174" t="str">
        <f>IF(AW$6="","",IF(AW$3="Maior",iferror(VLOOKUP($R569,Capa!$A:$AJ,AW$5,0),0),IF(ISERROR(1/VLOOKUP($R569,Capa!$A:$AJ,AW$5,0)),0,1/VLOOKUP($R569,Capa!$A:$AJ,AW$5,0))))</f>
        <v/>
      </c>
      <c r="AX569" s="174" t="str">
        <f>IF(AX$6="","",IF(AX$3="Maior",iferror(VLOOKUP($R569,Capa!$A:$AJ,AX$5,0),0),IF(ISERROR(1/VLOOKUP($R569,Capa!$A:$AJ,AX$5,0)),0,1/VLOOKUP($R569,Capa!$A:$AJ,AX$5,0))))</f>
        <v/>
      </c>
      <c r="AY569" s="174" t="str">
        <f>IF(AY$6="","",IF(AY$3="Maior",iferror(VLOOKUP($R569,Capa!$A:$AJ,AY$5,0),0),IF(ISERROR(1/VLOOKUP($R569,Capa!$A:$AJ,AY$5,0)),0,1/VLOOKUP($R569,Capa!$A:$AJ,AY$5,0))))</f>
        <v/>
      </c>
      <c r="AZ569" s="174" t="str">
        <f>IF(AZ$6="","",IF(AZ$3="Maior",iferror(VLOOKUP($R569,Capa!$A:$AJ,AZ$5,0),0),IF(ISERROR(1/VLOOKUP($R569,Capa!$A:$AJ,AZ$5,0)),0,1/VLOOKUP($R569,Capa!$A:$AJ,AZ$5,0))))</f>
        <v/>
      </c>
      <c r="BA569" s="174" t="str">
        <f>IF(BA$6="","",IF(BA$3="Maior",iferror(VLOOKUP($R569,Capa!$A:$AJ,BA$5,0),0),IF(ISERROR(1/VLOOKUP($R569,Capa!$A:$AJ,BA$5,0)),0,1/VLOOKUP($R569,Capa!$A:$AJ,BA$5,0))))</f>
        <v/>
      </c>
      <c r="BB569" s="174" t="str">
        <f>IF(BB$6="","",IF(BB$3="Maior",iferror(VLOOKUP($R569,Capa!$A:$AJ,BB$5,0),0),IF(ISERROR(1/VLOOKUP($R569,Capa!$A:$AJ,BB$5,0)),0,1/VLOOKUP($R569,Capa!$A:$AJ,BB$5,0))))</f>
        <v/>
      </c>
      <c r="BC569" s="174" t="str">
        <f>IF(BC$6="","",IF(BC$3="Maior",iferror(VLOOKUP($R569,Capa!$A:$AJ,BC$5,0),0),IF(ISERROR(1/VLOOKUP($R569,Capa!$A:$AJ,BC$5,0)),0,1/VLOOKUP($R569,Capa!$A:$AJ,BC$5,0))))</f>
        <v/>
      </c>
      <c r="BD569" s="174" t="str">
        <f>IF(BD$6="","",IF(BD$3="Maior",iferror(VLOOKUP($R569,Capa!$A:$AJ,BD$5,0),0),IF(ISERROR(1/VLOOKUP($R569,Capa!$A:$AJ,BD$5,0)),0,1/VLOOKUP($R569,Capa!$A:$AJ,BD$5,0))))</f>
        <v/>
      </c>
      <c r="BE569" s="174" t="str">
        <f>IF(BE$6="","",IF(BE$3="Maior",iferror(VLOOKUP($R569,Capa!$A:$AJ,BE$5,0),0),IF(ISERROR(1/VLOOKUP($R569,Capa!$A:$AJ,BE$5,0)),0,1/VLOOKUP($R569,Capa!$A:$AJ,BE$5,0))))</f>
        <v/>
      </c>
      <c r="BF569" s="174" t="str">
        <f>IF(BF$6="","",IF(BF$3="Maior",iferror(VLOOKUP($R569,Capa!$A:$AJ,BF$5,0),0),IF(ISERROR(1/VLOOKUP($R569,Capa!$A:$AJ,BF$5,0)),0,1/VLOOKUP($R569,Capa!$A:$AJ,BF$5,0))))</f>
        <v/>
      </c>
      <c r="BG569" s="174" t="str">
        <f>IF(BG$6="","",IF(BG$3="Maior",iferror(VLOOKUP($R569,Capa!$A:$AJ,BG$5,0),0),IF(ISERROR(1/VLOOKUP($R569,Capa!$A:$AJ,BG$5,0)),0,1/VLOOKUP($R569,Capa!$A:$AJ,BG$5,0))))</f>
        <v/>
      </c>
      <c r="BH569" s="174" t="str">
        <f>IF(BH$6="","",IF(BH$3="Maior",iferror(VLOOKUP($R569,Capa!$A:$AJ,BH$5,0),0),IF(ISERROR(1/VLOOKUP($R569,Capa!$A:$AJ,BH$5,0)),0,1/VLOOKUP($R569,Capa!$A:$AJ,BH$5,0))))</f>
        <v/>
      </c>
      <c r="BI569" s="174" t="str">
        <f>IF(BI$6="","",IF(BI$3="Maior",iferror(VLOOKUP($R569,Capa!$A:$AJ,BI$5,0),0),IF(ISERROR(1/VLOOKUP($R569,Capa!$A:$AJ,BI$5,0)),0,1/VLOOKUP($R569,Capa!$A:$AJ,BI$5,0))))</f>
        <v/>
      </c>
      <c r="BJ569" s="174" t="str">
        <f>IF(BJ$6="","",IF(BJ$3="Maior",iferror(VLOOKUP($R569,Capa!$A:$AJ,BJ$5,0),0),IF(ISERROR(1/VLOOKUP($R569,Capa!$A:$AJ,BJ$5,0)),0,1/VLOOKUP($R569,Capa!$A:$AJ,BJ$5,0))))</f>
        <v/>
      </c>
      <c r="BK569" s="174" t="str">
        <f>IF(BK$6="","",IF(BK$3="Maior",iferror(VLOOKUP($R569,Capa!$A:$AJ,BK$5,0),0),IF(ISERROR(1/VLOOKUP($R569,Capa!$A:$AJ,BK$5,0)),0,1/VLOOKUP($R569,Capa!$A:$AJ,BK$5,0))))</f>
        <v/>
      </c>
      <c r="BL569" s="174" t="str">
        <f>IF(BL$6="","",IF(BL$3="Maior",iferror(VLOOKUP($R569,Capa!$A:$AJ,BL$5,0),0),IF(ISERROR(1/VLOOKUP($R569,Capa!$A:$AJ,BL$5,0)),0,1/VLOOKUP($R569,Capa!$A:$AJ,BL$5,0))))</f>
        <v/>
      </c>
      <c r="BM569" s="174" t="str">
        <f>IF(BM$6="","",IF(BM$3="Maior",iferror(VLOOKUP($R569,Capa!$A:$AJ,BM$5,0),0),IF(ISERROR(1/VLOOKUP($R569,Capa!$A:$AJ,BM$5,0)),0,1/VLOOKUP($R569,Capa!$A:$AJ,BM$5,0))))</f>
        <v/>
      </c>
      <c r="BN569" s="174" t="str">
        <f>IF(BN$6="","",IF(BN$3="Maior",iferror(VLOOKUP($R569,Capa!$A:$AJ,BN$5,0),0),IF(ISERROR(1/VLOOKUP($R569,Capa!$A:$AJ,BN$5,0)),0,1/VLOOKUP($R569,Capa!$A:$AJ,BN$5,0))))</f>
        <v/>
      </c>
      <c r="BO569" s="174" t="str">
        <f>IF(BO$6="","",IF(BO$3="Maior",iferror(VLOOKUP($R569,Capa!$A:$AJ,BO$5,0),0),IF(ISERROR(1/VLOOKUP($R569,Capa!$A:$AJ,BO$5,0)),0,1/VLOOKUP($R569,Capa!$A:$AJ,BO$5,0))))</f>
        <v/>
      </c>
      <c r="BP569" s="174" t="str">
        <f>IF(BP$6="","",IF(BP$3="Maior",iferror(VLOOKUP($R569,Capa!$A:$AJ,BP$5,0),0),IF(ISERROR(1/VLOOKUP($R569,Capa!$A:$AJ,BP$5,0)),0,1/VLOOKUP($R569,Capa!$A:$AJ,BP$5,0))))</f>
        <v/>
      </c>
      <c r="BQ569" s="174" t="str">
        <f>IF(BQ$6="","",IF(BQ$3="Maior",iferror(VLOOKUP($R569,Capa!$A:$AJ,BQ$5,0),0),IF(ISERROR(1/VLOOKUP($R569,Capa!$A:$AJ,BQ$5,0)),0,1/VLOOKUP($R569,Capa!$A:$AJ,BQ$5,0))))</f>
        <v/>
      </c>
      <c r="BR569" s="175"/>
      <c r="BS569" s="147"/>
    </row>
    <row r="570">
      <c r="H570" s="8">
        <v>564.0</v>
      </c>
      <c r="I570" s="165" t="str">
        <f t="shared" si="6"/>
        <v>CTNM3</v>
      </c>
      <c r="J570" s="166" t="str">
        <f>(VLOOKUP($I570,Capa!$A:$B,2,0))</f>
        <v>COTEMINAS ON</v>
      </c>
      <c r="K570" s="167" t="str">
        <f>VLOOKUP(left(I570,4),Setor!A:D,3,0)&amp;" | "&amp;VLOOKUP(left(I570,4),Setor!A:D,4,0)</f>
        <v>Consumo Cíclico | Tecidos, Vestuário e Calçados</v>
      </c>
      <c r="L570" s="168">
        <f>(VLOOKUP($I570,Capa!$A:$F,6,0))</f>
        <v>7.13</v>
      </c>
      <c r="M570" s="168">
        <f t="shared" si="7"/>
        <v>0</v>
      </c>
      <c r="N570" s="11" t="str">
        <f>(VLOOKUP($I570,Capa!$A:$H,7,0))</f>
        <v/>
      </c>
      <c r="O570" s="169" t="str">
        <f>(VLOOKUP($I570,Capa!$A:$H,8,0))</f>
        <v/>
      </c>
      <c r="P570" s="11" t="str">
        <f>(VLOOKUP($I570,Capa!$A:$J,10,0))</f>
        <v/>
      </c>
      <c r="Q570" s="169" t="str">
        <f>(VLOOKUP($I570,Capa!$A:$K,11,0))</f>
        <v/>
      </c>
      <c r="R570" s="45" t="str">
        <f>'Dados StatusInvest'!A565</f>
        <v>TESA3</v>
      </c>
      <c r="S570" s="170">
        <f t="shared" si="234"/>
        <v>1293.0293</v>
      </c>
      <c r="T570" s="171">
        <f>VLOOKUP(R570,'Dados StatusInvest'!A:Z,26,0)</f>
        <v>0</v>
      </c>
      <c r="U570" s="172">
        <f t="shared" ref="U570:AS570" si="573">IF(AT570="","", RANK(AT570,AT$7:AT$626,0)+RANK(AT570,AT$7:AT$626,0)/10000)</f>
        <v>26.0026</v>
      </c>
      <c r="V570" s="172">
        <f t="shared" si="573"/>
        <v>267.0267</v>
      </c>
      <c r="W570" s="172" t="str">
        <f t="shared" si="573"/>
        <v/>
      </c>
      <c r="X570" s="172" t="str">
        <f t="shared" si="573"/>
        <v/>
      </c>
      <c r="Y570" s="172" t="str">
        <f t="shared" si="573"/>
        <v/>
      </c>
      <c r="Z570" s="172" t="str">
        <f t="shared" si="573"/>
        <v/>
      </c>
      <c r="AA570" s="172" t="str">
        <f t="shared" si="573"/>
        <v/>
      </c>
      <c r="AB570" s="172" t="str">
        <f t="shared" si="573"/>
        <v/>
      </c>
      <c r="AC570" s="172" t="str">
        <f t="shared" si="573"/>
        <v/>
      </c>
      <c r="AD570" s="172" t="str">
        <f t="shared" si="573"/>
        <v/>
      </c>
      <c r="AE570" s="172" t="str">
        <f t="shared" si="573"/>
        <v/>
      </c>
      <c r="AF570" s="172" t="str">
        <f t="shared" si="573"/>
        <v/>
      </c>
      <c r="AG570" s="172" t="str">
        <f t="shared" si="573"/>
        <v/>
      </c>
      <c r="AH570" s="172" t="str">
        <f t="shared" si="573"/>
        <v/>
      </c>
      <c r="AI570" s="172" t="str">
        <f t="shared" si="573"/>
        <v/>
      </c>
      <c r="AJ570" s="172" t="str">
        <f t="shared" si="573"/>
        <v/>
      </c>
      <c r="AK570" s="172" t="str">
        <f t="shared" si="573"/>
        <v/>
      </c>
      <c r="AL570" s="172" t="str">
        <f t="shared" si="573"/>
        <v/>
      </c>
      <c r="AM570" s="172" t="str">
        <f t="shared" si="573"/>
        <v/>
      </c>
      <c r="AN570" s="172" t="str">
        <f t="shared" si="573"/>
        <v/>
      </c>
      <c r="AO570" s="172" t="str">
        <f t="shared" si="573"/>
        <v/>
      </c>
      <c r="AP570" s="172" t="str">
        <f t="shared" si="573"/>
        <v/>
      </c>
      <c r="AQ570" s="172" t="str">
        <f t="shared" si="573"/>
        <v/>
      </c>
      <c r="AR570" s="172" t="str">
        <f t="shared" si="573"/>
        <v/>
      </c>
      <c r="AS570" s="172" t="str">
        <f t="shared" si="573"/>
        <v/>
      </c>
      <c r="AT570" s="173">
        <f>IF(AT$6="","",IF(AT$3="Maior",iferror(VLOOKUP($R570,Capa!$A:$AJ,AT$5,0),0),IF(ISERROR(1/VLOOKUP($R570,Capa!$A:$AJ,AT$5,0)),0,1/VLOOKUP($R570,Capa!$A:$AJ,AT$5,0))))</f>
        <v>0.09652509653</v>
      </c>
      <c r="AU570" s="174">
        <f>IF(AU$6="","",IF(AU$3="Maior",iferror(VLOOKUP($R570,Capa!$A:$AJ,AU$5,0),0),IF(ISERROR(1/VLOOKUP($R570,Capa!$A:$AJ,AU$5,0)),0,1/VLOOKUP($R570,Capa!$A:$AJ,AU$5,0))))</f>
        <v>0</v>
      </c>
      <c r="AV570" s="174" t="str">
        <f>IF(AV$6="","",IF(AV$3="Maior",iferror(VLOOKUP($R570,Capa!$A:$AJ,AV$5,0),0),IF(ISERROR(1/VLOOKUP($R570,Capa!$A:$AJ,AV$5,0)),0,1/VLOOKUP($R570,Capa!$A:$AJ,AV$5,0))))</f>
        <v/>
      </c>
      <c r="AW570" s="174" t="str">
        <f>IF(AW$6="","",IF(AW$3="Maior",iferror(VLOOKUP($R570,Capa!$A:$AJ,AW$5,0),0),IF(ISERROR(1/VLOOKUP($R570,Capa!$A:$AJ,AW$5,0)),0,1/VLOOKUP($R570,Capa!$A:$AJ,AW$5,0))))</f>
        <v/>
      </c>
      <c r="AX570" s="174" t="str">
        <f>IF(AX$6="","",IF(AX$3="Maior",iferror(VLOOKUP($R570,Capa!$A:$AJ,AX$5,0),0),IF(ISERROR(1/VLOOKUP($R570,Capa!$A:$AJ,AX$5,0)),0,1/VLOOKUP($R570,Capa!$A:$AJ,AX$5,0))))</f>
        <v/>
      </c>
      <c r="AY570" s="174" t="str">
        <f>IF(AY$6="","",IF(AY$3="Maior",iferror(VLOOKUP($R570,Capa!$A:$AJ,AY$5,0),0),IF(ISERROR(1/VLOOKUP($R570,Capa!$A:$AJ,AY$5,0)),0,1/VLOOKUP($R570,Capa!$A:$AJ,AY$5,0))))</f>
        <v/>
      </c>
      <c r="AZ570" s="174" t="str">
        <f>IF(AZ$6="","",IF(AZ$3="Maior",iferror(VLOOKUP($R570,Capa!$A:$AJ,AZ$5,0),0),IF(ISERROR(1/VLOOKUP($R570,Capa!$A:$AJ,AZ$5,0)),0,1/VLOOKUP($R570,Capa!$A:$AJ,AZ$5,0))))</f>
        <v/>
      </c>
      <c r="BA570" s="174" t="str">
        <f>IF(BA$6="","",IF(BA$3="Maior",iferror(VLOOKUP($R570,Capa!$A:$AJ,BA$5,0),0),IF(ISERROR(1/VLOOKUP($R570,Capa!$A:$AJ,BA$5,0)),0,1/VLOOKUP($R570,Capa!$A:$AJ,BA$5,0))))</f>
        <v/>
      </c>
      <c r="BB570" s="174" t="str">
        <f>IF(BB$6="","",IF(BB$3="Maior",iferror(VLOOKUP($R570,Capa!$A:$AJ,BB$5,0),0),IF(ISERROR(1/VLOOKUP($R570,Capa!$A:$AJ,BB$5,0)),0,1/VLOOKUP($R570,Capa!$A:$AJ,BB$5,0))))</f>
        <v/>
      </c>
      <c r="BC570" s="174" t="str">
        <f>IF(BC$6="","",IF(BC$3="Maior",iferror(VLOOKUP($R570,Capa!$A:$AJ,BC$5,0),0),IF(ISERROR(1/VLOOKUP($R570,Capa!$A:$AJ,BC$5,0)),0,1/VLOOKUP($R570,Capa!$A:$AJ,BC$5,0))))</f>
        <v/>
      </c>
      <c r="BD570" s="174" t="str">
        <f>IF(BD$6="","",IF(BD$3="Maior",iferror(VLOOKUP($R570,Capa!$A:$AJ,BD$5,0),0),IF(ISERROR(1/VLOOKUP($R570,Capa!$A:$AJ,BD$5,0)),0,1/VLOOKUP($R570,Capa!$A:$AJ,BD$5,0))))</f>
        <v/>
      </c>
      <c r="BE570" s="174" t="str">
        <f>IF(BE$6="","",IF(BE$3="Maior",iferror(VLOOKUP($R570,Capa!$A:$AJ,BE$5,0),0),IF(ISERROR(1/VLOOKUP($R570,Capa!$A:$AJ,BE$5,0)),0,1/VLOOKUP($R570,Capa!$A:$AJ,BE$5,0))))</f>
        <v/>
      </c>
      <c r="BF570" s="174" t="str">
        <f>IF(BF$6="","",IF(BF$3="Maior",iferror(VLOOKUP($R570,Capa!$A:$AJ,BF$5,0),0),IF(ISERROR(1/VLOOKUP($R570,Capa!$A:$AJ,BF$5,0)),0,1/VLOOKUP($R570,Capa!$A:$AJ,BF$5,0))))</f>
        <v/>
      </c>
      <c r="BG570" s="174" t="str">
        <f>IF(BG$6="","",IF(BG$3="Maior",iferror(VLOOKUP($R570,Capa!$A:$AJ,BG$5,0),0),IF(ISERROR(1/VLOOKUP($R570,Capa!$A:$AJ,BG$5,0)),0,1/VLOOKUP($R570,Capa!$A:$AJ,BG$5,0))))</f>
        <v/>
      </c>
      <c r="BH570" s="174" t="str">
        <f>IF(BH$6="","",IF(BH$3="Maior",iferror(VLOOKUP($R570,Capa!$A:$AJ,BH$5,0),0),IF(ISERROR(1/VLOOKUP($R570,Capa!$A:$AJ,BH$5,0)),0,1/VLOOKUP($R570,Capa!$A:$AJ,BH$5,0))))</f>
        <v/>
      </c>
      <c r="BI570" s="174" t="str">
        <f>IF(BI$6="","",IF(BI$3="Maior",iferror(VLOOKUP($R570,Capa!$A:$AJ,BI$5,0),0),IF(ISERROR(1/VLOOKUP($R570,Capa!$A:$AJ,BI$5,0)),0,1/VLOOKUP($R570,Capa!$A:$AJ,BI$5,0))))</f>
        <v/>
      </c>
      <c r="BJ570" s="174" t="str">
        <f>IF(BJ$6="","",IF(BJ$3="Maior",iferror(VLOOKUP($R570,Capa!$A:$AJ,BJ$5,0),0),IF(ISERROR(1/VLOOKUP($R570,Capa!$A:$AJ,BJ$5,0)),0,1/VLOOKUP($R570,Capa!$A:$AJ,BJ$5,0))))</f>
        <v/>
      </c>
      <c r="BK570" s="174" t="str">
        <f>IF(BK$6="","",IF(BK$3="Maior",iferror(VLOOKUP($R570,Capa!$A:$AJ,BK$5,0),0),IF(ISERROR(1/VLOOKUP($R570,Capa!$A:$AJ,BK$5,0)),0,1/VLOOKUP($R570,Capa!$A:$AJ,BK$5,0))))</f>
        <v/>
      </c>
      <c r="BL570" s="174" t="str">
        <f>IF(BL$6="","",IF(BL$3="Maior",iferror(VLOOKUP($R570,Capa!$A:$AJ,BL$5,0),0),IF(ISERROR(1/VLOOKUP($R570,Capa!$A:$AJ,BL$5,0)),0,1/VLOOKUP($R570,Capa!$A:$AJ,BL$5,0))))</f>
        <v/>
      </c>
      <c r="BM570" s="174" t="str">
        <f>IF(BM$6="","",IF(BM$3="Maior",iferror(VLOOKUP($R570,Capa!$A:$AJ,BM$5,0),0),IF(ISERROR(1/VLOOKUP($R570,Capa!$A:$AJ,BM$5,0)),0,1/VLOOKUP($R570,Capa!$A:$AJ,BM$5,0))))</f>
        <v/>
      </c>
      <c r="BN570" s="174" t="str">
        <f>IF(BN$6="","",IF(BN$3="Maior",iferror(VLOOKUP($R570,Capa!$A:$AJ,BN$5,0),0),IF(ISERROR(1/VLOOKUP($R570,Capa!$A:$AJ,BN$5,0)),0,1/VLOOKUP($R570,Capa!$A:$AJ,BN$5,0))))</f>
        <v/>
      </c>
      <c r="BO570" s="174" t="str">
        <f>IF(BO$6="","",IF(BO$3="Maior",iferror(VLOOKUP($R570,Capa!$A:$AJ,BO$5,0),0),IF(ISERROR(1/VLOOKUP($R570,Capa!$A:$AJ,BO$5,0)),0,1/VLOOKUP($R570,Capa!$A:$AJ,BO$5,0))))</f>
        <v/>
      </c>
      <c r="BP570" s="174" t="str">
        <f>IF(BP$6="","",IF(BP$3="Maior",iferror(VLOOKUP($R570,Capa!$A:$AJ,BP$5,0),0),IF(ISERROR(1/VLOOKUP($R570,Capa!$A:$AJ,BP$5,0)),0,1/VLOOKUP($R570,Capa!$A:$AJ,BP$5,0))))</f>
        <v/>
      </c>
      <c r="BQ570" s="174" t="str">
        <f>IF(BQ$6="","",IF(BQ$3="Maior",iferror(VLOOKUP($R570,Capa!$A:$AJ,BQ$5,0),0),IF(ISERROR(1/VLOOKUP($R570,Capa!$A:$AJ,BQ$5,0)),0,1/VLOOKUP($R570,Capa!$A:$AJ,BQ$5,0))))</f>
        <v/>
      </c>
      <c r="BR570" s="175"/>
      <c r="BS570" s="147"/>
    </row>
    <row r="571">
      <c r="H571" s="8">
        <v>565.0</v>
      </c>
      <c r="I571" s="165" t="str">
        <f t="shared" si="6"/>
        <v>BRGE12</v>
      </c>
      <c r="J571" s="166" t="str">
        <f>(VLOOKUP($I571,Capa!$A:$B,2,0))</f>
        <v/>
      </c>
      <c r="K571" s="167" t="str">
        <f>VLOOKUP(left(I571,4),Setor!A:D,3,0)&amp;" | "&amp;VLOOKUP(left(I571,4),Setor!A:D,4,0)</f>
        <v>Financeiro | Previdência e Seguros</v>
      </c>
      <c r="L571" s="168" t="str">
        <f>(VLOOKUP($I571,Capa!$A:$F,6,0))</f>
        <v/>
      </c>
      <c r="M571" s="168">
        <f t="shared" si="7"/>
        <v>0</v>
      </c>
      <c r="N571" s="11" t="str">
        <f>(VLOOKUP($I571,Capa!$A:$H,7,0))</f>
        <v/>
      </c>
      <c r="O571" s="169" t="str">
        <f>(VLOOKUP($I571,Capa!$A:$H,8,0))</f>
        <v/>
      </c>
      <c r="P571" s="11" t="str">
        <f>(VLOOKUP($I571,Capa!$A:$J,10,0))</f>
        <v/>
      </c>
      <c r="Q571" s="169" t="str">
        <f>(VLOOKUP($I571,Capa!$A:$K,11,0))</f>
        <v/>
      </c>
      <c r="R571" s="45" t="str">
        <f>'Dados StatusInvest'!A566</f>
        <v>TFCO4</v>
      </c>
      <c r="S571" s="170">
        <f t="shared" si="234"/>
        <v>164.0164</v>
      </c>
      <c r="T571" s="171">
        <f>VLOOKUP(R571,'Dados StatusInvest'!A:Z,26,0)</f>
        <v>12489821</v>
      </c>
      <c r="U571" s="172">
        <f t="shared" ref="U571:AS571" si="574">IF(AT571="","", RANK(AT571,AT$7:AT$626,0)+RANK(AT571,AT$7:AT$626,0)/10000)</f>
        <v>124.0124</v>
      </c>
      <c r="V571" s="172">
        <f t="shared" si="574"/>
        <v>40.004</v>
      </c>
      <c r="W571" s="172" t="str">
        <f t="shared" si="574"/>
        <v/>
      </c>
      <c r="X571" s="172" t="str">
        <f t="shared" si="574"/>
        <v/>
      </c>
      <c r="Y571" s="172" t="str">
        <f t="shared" si="574"/>
        <v/>
      </c>
      <c r="Z571" s="172" t="str">
        <f t="shared" si="574"/>
        <v/>
      </c>
      <c r="AA571" s="172" t="str">
        <f t="shared" si="574"/>
        <v/>
      </c>
      <c r="AB571" s="172" t="str">
        <f t="shared" si="574"/>
        <v/>
      </c>
      <c r="AC571" s="172" t="str">
        <f t="shared" si="574"/>
        <v/>
      </c>
      <c r="AD571" s="172" t="str">
        <f t="shared" si="574"/>
        <v/>
      </c>
      <c r="AE571" s="172" t="str">
        <f t="shared" si="574"/>
        <v/>
      </c>
      <c r="AF571" s="172" t="str">
        <f t="shared" si="574"/>
        <v/>
      </c>
      <c r="AG571" s="172" t="str">
        <f t="shared" si="574"/>
        <v/>
      </c>
      <c r="AH571" s="172" t="str">
        <f t="shared" si="574"/>
        <v/>
      </c>
      <c r="AI571" s="172" t="str">
        <f t="shared" si="574"/>
        <v/>
      </c>
      <c r="AJ571" s="172" t="str">
        <f t="shared" si="574"/>
        <v/>
      </c>
      <c r="AK571" s="172" t="str">
        <f t="shared" si="574"/>
        <v/>
      </c>
      <c r="AL571" s="172" t="str">
        <f t="shared" si="574"/>
        <v/>
      </c>
      <c r="AM571" s="172" t="str">
        <f t="shared" si="574"/>
        <v/>
      </c>
      <c r="AN571" s="172" t="str">
        <f t="shared" si="574"/>
        <v/>
      </c>
      <c r="AO571" s="172" t="str">
        <f t="shared" si="574"/>
        <v/>
      </c>
      <c r="AP571" s="172" t="str">
        <f t="shared" si="574"/>
        <v/>
      </c>
      <c r="AQ571" s="172" t="str">
        <f t="shared" si="574"/>
        <v/>
      </c>
      <c r="AR571" s="172" t="str">
        <f t="shared" si="574"/>
        <v/>
      </c>
      <c r="AS571" s="172" t="str">
        <f t="shared" si="574"/>
        <v/>
      </c>
      <c r="AT571" s="173">
        <f>IF(AT$6="","",IF(AT$3="Maior",iferror(VLOOKUP($R571,Capa!$A:$AJ,AT$5,0),0),IF(ISERROR(1/VLOOKUP($R571,Capa!$A:$AJ,AT$5,0)),0,1/VLOOKUP($R571,Capa!$A:$AJ,AT$5,0))))</f>
        <v>-0.01799949973</v>
      </c>
      <c r="AU571" s="174">
        <f>IF(AU$6="","",IF(AU$3="Maior",iferror(VLOOKUP($R571,Capa!$A:$AJ,AU$5,0),0),IF(ISERROR(1/VLOOKUP($R571,Capa!$A:$AJ,AU$5,0)),0,1/VLOOKUP($R571,Capa!$A:$AJ,AU$5,0))))</f>
        <v>42.81</v>
      </c>
      <c r="AV571" s="174" t="str">
        <f>IF(AV$6="","",IF(AV$3="Maior",iferror(VLOOKUP($R571,Capa!$A:$AJ,AV$5,0),0),IF(ISERROR(1/VLOOKUP($R571,Capa!$A:$AJ,AV$5,0)),0,1/VLOOKUP($R571,Capa!$A:$AJ,AV$5,0))))</f>
        <v/>
      </c>
      <c r="AW571" s="174" t="str">
        <f>IF(AW$6="","",IF(AW$3="Maior",iferror(VLOOKUP($R571,Capa!$A:$AJ,AW$5,0),0),IF(ISERROR(1/VLOOKUP($R571,Capa!$A:$AJ,AW$5,0)),0,1/VLOOKUP($R571,Capa!$A:$AJ,AW$5,0))))</f>
        <v/>
      </c>
      <c r="AX571" s="174" t="str">
        <f>IF(AX$6="","",IF(AX$3="Maior",iferror(VLOOKUP($R571,Capa!$A:$AJ,AX$5,0),0),IF(ISERROR(1/VLOOKUP($R571,Capa!$A:$AJ,AX$5,0)),0,1/VLOOKUP($R571,Capa!$A:$AJ,AX$5,0))))</f>
        <v/>
      </c>
      <c r="AY571" s="174" t="str">
        <f>IF(AY$6="","",IF(AY$3="Maior",iferror(VLOOKUP($R571,Capa!$A:$AJ,AY$5,0),0),IF(ISERROR(1/VLOOKUP($R571,Capa!$A:$AJ,AY$5,0)),0,1/VLOOKUP($R571,Capa!$A:$AJ,AY$5,0))))</f>
        <v/>
      </c>
      <c r="AZ571" s="174" t="str">
        <f>IF(AZ$6="","",IF(AZ$3="Maior",iferror(VLOOKUP($R571,Capa!$A:$AJ,AZ$5,0),0),IF(ISERROR(1/VLOOKUP($R571,Capa!$A:$AJ,AZ$5,0)),0,1/VLOOKUP($R571,Capa!$A:$AJ,AZ$5,0))))</f>
        <v/>
      </c>
      <c r="BA571" s="174" t="str">
        <f>IF(BA$6="","",IF(BA$3="Maior",iferror(VLOOKUP($R571,Capa!$A:$AJ,BA$5,0),0),IF(ISERROR(1/VLOOKUP($R571,Capa!$A:$AJ,BA$5,0)),0,1/VLOOKUP($R571,Capa!$A:$AJ,BA$5,0))))</f>
        <v/>
      </c>
      <c r="BB571" s="174" t="str">
        <f>IF(BB$6="","",IF(BB$3="Maior",iferror(VLOOKUP($R571,Capa!$A:$AJ,BB$5,0),0),IF(ISERROR(1/VLOOKUP($R571,Capa!$A:$AJ,BB$5,0)),0,1/VLOOKUP($R571,Capa!$A:$AJ,BB$5,0))))</f>
        <v/>
      </c>
      <c r="BC571" s="174" t="str">
        <f>IF(BC$6="","",IF(BC$3="Maior",iferror(VLOOKUP($R571,Capa!$A:$AJ,BC$5,0),0),IF(ISERROR(1/VLOOKUP($R571,Capa!$A:$AJ,BC$5,0)),0,1/VLOOKUP($R571,Capa!$A:$AJ,BC$5,0))))</f>
        <v/>
      </c>
      <c r="BD571" s="174" t="str">
        <f>IF(BD$6="","",IF(BD$3="Maior",iferror(VLOOKUP($R571,Capa!$A:$AJ,BD$5,0),0),IF(ISERROR(1/VLOOKUP($R571,Capa!$A:$AJ,BD$5,0)),0,1/VLOOKUP($R571,Capa!$A:$AJ,BD$5,0))))</f>
        <v/>
      </c>
      <c r="BE571" s="174" t="str">
        <f>IF(BE$6="","",IF(BE$3="Maior",iferror(VLOOKUP($R571,Capa!$A:$AJ,BE$5,0),0),IF(ISERROR(1/VLOOKUP($R571,Capa!$A:$AJ,BE$5,0)),0,1/VLOOKUP($R571,Capa!$A:$AJ,BE$5,0))))</f>
        <v/>
      </c>
      <c r="BF571" s="174" t="str">
        <f>IF(BF$6="","",IF(BF$3="Maior",iferror(VLOOKUP($R571,Capa!$A:$AJ,BF$5,0),0),IF(ISERROR(1/VLOOKUP($R571,Capa!$A:$AJ,BF$5,0)),0,1/VLOOKUP($R571,Capa!$A:$AJ,BF$5,0))))</f>
        <v/>
      </c>
      <c r="BG571" s="174" t="str">
        <f>IF(BG$6="","",IF(BG$3="Maior",iferror(VLOOKUP($R571,Capa!$A:$AJ,BG$5,0),0),IF(ISERROR(1/VLOOKUP($R571,Capa!$A:$AJ,BG$5,0)),0,1/VLOOKUP($R571,Capa!$A:$AJ,BG$5,0))))</f>
        <v/>
      </c>
      <c r="BH571" s="174" t="str">
        <f>IF(BH$6="","",IF(BH$3="Maior",iferror(VLOOKUP($R571,Capa!$A:$AJ,BH$5,0),0),IF(ISERROR(1/VLOOKUP($R571,Capa!$A:$AJ,BH$5,0)),0,1/VLOOKUP($R571,Capa!$A:$AJ,BH$5,0))))</f>
        <v/>
      </c>
      <c r="BI571" s="174" t="str">
        <f>IF(BI$6="","",IF(BI$3="Maior",iferror(VLOOKUP($R571,Capa!$A:$AJ,BI$5,0),0),IF(ISERROR(1/VLOOKUP($R571,Capa!$A:$AJ,BI$5,0)),0,1/VLOOKUP($R571,Capa!$A:$AJ,BI$5,0))))</f>
        <v/>
      </c>
      <c r="BJ571" s="174" t="str">
        <f>IF(BJ$6="","",IF(BJ$3="Maior",iferror(VLOOKUP($R571,Capa!$A:$AJ,BJ$5,0),0),IF(ISERROR(1/VLOOKUP($R571,Capa!$A:$AJ,BJ$5,0)),0,1/VLOOKUP($R571,Capa!$A:$AJ,BJ$5,0))))</f>
        <v/>
      </c>
      <c r="BK571" s="174" t="str">
        <f>IF(BK$6="","",IF(BK$3="Maior",iferror(VLOOKUP($R571,Capa!$A:$AJ,BK$5,0),0),IF(ISERROR(1/VLOOKUP($R571,Capa!$A:$AJ,BK$5,0)),0,1/VLOOKUP($R571,Capa!$A:$AJ,BK$5,0))))</f>
        <v/>
      </c>
      <c r="BL571" s="174" t="str">
        <f>IF(BL$6="","",IF(BL$3="Maior",iferror(VLOOKUP($R571,Capa!$A:$AJ,BL$5,0),0),IF(ISERROR(1/VLOOKUP($R571,Capa!$A:$AJ,BL$5,0)),0,1/VLOOKUP($R571,Capa!$A:$AJ,BL$5,0))))</f>
        <v/>
      </c>
      <c r="BM571" s="174" t="str">
        <f>IF(BM$6="","",IF(BM$3="Maior",iferror(VLOOKUP($R571,Capa!$A:$AJ,BM$5,0),0),IF(ISERROR(1/VLOOKUP($R571,Capa!$A:$AJ,BM$5,0)),0,1/VLOOKUP($R571,Capa!$A:$AJ,BM$5,0))))</f>
        <v/>
      </c>
      <c r="BN571" s="174" t="str">
        <f>IF(BN$6="","",IF(BN$3="Maior",iferror(VLOOKUP($R571,Capa!$A:$AJ,BN$5,0),0),IF(ISERROR(1/VLOOKUP($R571,Capa!$A:$AJ,BN$5,0)),0,1/VLOOKUP($R571,Capa!$A:$AJ,BN$5,0))))</f>
        <v/>
      </c>
      <c r="BO571" s="174" t="str">
        <f>IF(BO$6="","",IF(BO$3="Maior",iferror(VLOOKUP($R571,Capa!$A:$AJ,BO$5,0),0),IF(ISERROR(1/VLOOKUP($R571,Capa!$A:$AJ,BO$5,0)),0,1/VLOOKUP($R571,Capa!$A:$AJ,BO$5,0))))</f>
        <v/>
      </c>
      <c r="BP571" s="174" t="str">
        <f>IF(BP$6="","",IF(BP$3="Maior",iferror(VLOOKUP($R571,Capa!$A:$AJ,BP$5,0),0),IF(ISERROR(1/VLOOKUP($R571,Capa!$A:$AJ,BP$5,0)),0,1/VLOOKUP($R571,Capa!$A:$AJ,BP$5,0))))</f>
        <v/>
      </c>
      <c r="BQ571" s="174" t="str">
        <f>IF(BQ$6="","",IF(BQ$3="Maior",iferror(VLOOKUP($R571,Capa!$A:$AJ,BQ$5,0),0),IF(ISERROR(1/VLOOKUP($R571,Capa!$A:$AJ,BQ$5,0)),0,1/VLOOKUP($R571,Capa!$A:$AJ,BQ$5,0))))</f>
        <v/>
      </c>
      <c r="BR571" s="175"/>
      <c r="BS571" s="147"/>
    </row>
    <row r="572">
      <c r="H572" s="8">
        <v>566.0</v>
      </c>
      <c r="I572" s="165" t="str">
        <f t="shared" si="6"/>
        <v>BRGE12</v>
      </c>
      <c r="J572" s="166" t="str">
        <f>(VLOOKUP($I572,Capa!$A:$B,2,0))</f>
        <v/>
      </c>
      <c r="K572" s="167" t="str">
        <f>VLOOKUP(left(I572,4),Setor!A:D,3,0)&amp;" | "&amp;VLOOKUP(left(I572,4),Setor!A:D,4,0)</f>
        <v>Financeiro | Previdência e Seguros</v>
      </c>
      <c r="L572" s="168" t="str">
        <f>(VLOOKUP($I572,Capa!$A:$F,6,0))</f>
        <v/>
      </c>
      <c r="M572" s="168">
        <f t="shared" si="7"/>
        <v>0</v>
      </c>
      <c r="N572" s="11" t="str">
        <f>(VLOOKUP($I572,Capa!$A:$H,7,0))</f>
        <v/>
      </c>
      <c r="O572" s="169" t="str">
        <f>(VLOOKUP($I572,Capa!$A:$H,8,0))</f>
        <v/>
      </c>
      <c r="P572" s="11" t="str">
        <f>(VLOOKUP($I572,Capa!$A:$J,10,0))</f>
        <v/>
      </c>
      <c r="Q572" s="169" t="str">
        <f>(VLOOKUP($I572,Capa!$A:$K,11,0))</f>
        <v/>
      </c>
      <c r="R572" s="45" t="str">
        <f>'Dados StatusInvest'!A567</f>
        <v>TGMA3</v>
      </c>
      <c r="S572" s="170">
        <f t="shared" si="234"/>
        <v>416.0416</v>
      </c>
      <c r="T572" s="171">
        <f>VLOOKUP(R572,'Dados StatusInvest'!A:Z,26,0)</f>
        <v>7915289</v>
      </c>
      <c r="U572" s="172">
        <f t="shared" ref="U572:AS572" si="575">IF(AT572="","", RANK(AT572,AT$7:AT$626,0)+RANK(AT572,AT$7:AT$626,0)/10000)</f>
        <v>191.0191</v>
      </c>
      <c r="V572" s="172">
        <f t="shared" si="575"/>
        <v>225.0225</v>
      </c>
      <c r="W572" s="172" t="str">
        <f t="shared" si="575"/>
        <v/>
      </c>
      <c r="X572" s="172" t="str">
        <f t="shared" si="575"/>
        <v/>
      </c>
      <c r="Y572" s="172" t="str">
        <f t="shared" si="575"/>
        <v/>
      </c>
      <c r="Z572" s="172" t="str">
        <f t="shared" si="575"/>
        <v/>
      </c>
      <c r="AA572" s="172" t="str">
        <f t="shared" si="575"/>
        <v/>
      </c>
      <c r="AB572" s="172" t="str">
        <f t="shared" si="575"/>
        <v/>
      </c>
      <c r="AC572" s="172" t="str">
        <f t="shared" si="575"/>
        <v/>
      </c>
      <c r="AD572" s="172" t="str">
        <f t="shared" si="575"/>
        <v/>
      </c>
      <c r="AE572" s="172" t="str">
        <f t="shared" si="575"/>
        <v/>
      </c>
      <c r="AF572" s="172" t="str">
        <f t="shared" si="575"/>
        <v/>
      </c>
      <c r="AG572" s="172" t="str">
        <f t="shared" si="575"/>
        <v/>
      </c>
      <c r="AH572" s="172" t="str">
        <f t="shared" si="575"/>
        <v/>
      </c>
      <c r="AI572" s="172" t="str">
        <f t="shared" si="575"/>
        <v/>
      </c>
      <c r="AJ572" s="172" t="str">
        <f t="shared" si="575"/>
        <v/>
      </c>
      <c r="AK572" s="172" t="str">
        <f t="shared" si="575"/>
        <v/>
      </c>
      <c r="AL572" s="172" t="str">
        <f t="shared" si="575"/>
        <v/>
      </c>
      <c r="AM572" s="172" t="str">
        <f t="shared" si="575"/>
        <v/>
      </c>
      <c r="AN572" s="172" t="str">
        <f t="shared" si="575"/>
        <v/>
      </c>
      <c r="AO572" s="172" t="str">
        <f t="shared" si="575"/>
        <v/>
      </c>
      <c r="AP572" s="172" t="str">
        <f t="shared" si="575"/>
        <v/>
      </c>
      <c r="AQ572" s="172" t="str">
        <f t="shared" si="575"/>
        <v/>
      </c>
      <c r="AR572" s="172" t="str">
        <f t="shared" si="575"/>
        <v/>
      </c>
      <c r="AS572" s="172" t="str">
        <f t="shared" si="575"/>
        <v/>
      </c>
      <c r="AT572" s="173">
        <f>IF(AT$6="","",IF(AT$3="Maior",iferror(VLOOKUP($R572,Capa!$A:$AJ,AT$5,0),0),IF(ISERROR(1/VLOOKUP($R572,Capa!$A:$AJ,AT$5,0)),0,1/VLOOKUP($R572,Capa!$A:$AJ,AT$5,0))))</f>
        <v>-0.2479991259</v>
      </c>
      <c r="AU572" s="174">
        <f>IF(AU$6="","",IF(AU$3="Maior",iferror(VLOOKUP($R572,Capa!$A:$AJ,AU$5,0),0),IF(ISERROR(1/VLOOKUP($R572,Capa!$A:$AJ,AU$5,0)),0,1/VLOOKUP($R572,Capa!$A:$AJ,AU$5,0))))</f>
        <v>7.29</v>
      </c>
      <c r="AV572" s="174" t="str">
        <f>IF(AV$6="","",IF(AV$3="Maior",iferror(VLOOKUP($R572,Capa!$A:$AJ,AV$5,0),0),IF(ISERROR(1/VLOOKUP($R572,Capa!$A:$AJ,AV$5,0)),0,1/VLOOKUP($R572,Capa!$A:$AJ,AV$5,0))))</f>
        <v/>
      </c>
      <c r="AW572" s="174" t="str">
        <f>IF(AW$6="","",IF(AW$3="Maior",iferror(VLOOKUP($R572,Capa!$A:$AJ,AW$5,0),0),IF(ISERROR(1/VLOOKUP($R572,Capa!$A:$AJ,AW$5,0)),0,1/VLOOKUP($R572,Capa!$A:$AJ,AW$5,0))))</f>
        <v/>
      </c>
      <c r="AX572" s="174" t="str">
        <f>IF(AX$6="","",IF(AX$3="Maior",iferror(VLOOKUP($R572,Capa!$A:$AJ,AX$5,0),0),IF(ISERROR(1/VLOOKUP($R572,Capa!$A:$AJ,AX$5,0)),0,1/VLOOKUP($R572,Capa!$A:$AJ,AX$5,0))))</f>
        <v/>
      </c>
      <c r="AY572" s="174" t="str">
        <f>IF(AY$6="","",IF(AY$3="Maior",iferror(VLOOKUP($R572,Capa!$A:$AJ,AY$5,0),0),IF(ISERROR(1/VLOOKUP($R572,Capa!$A:$AJ,AY$5,0)),0,1/VLOOKUP($R572,Capa!$A:$AJ,AY$5,0))))</f>
        <v/>
      </c>
      <c r="AZ572" s="174" t="str">
        <f>IF(AZ$6="","",IF(AZ$3="Maior",iferror(VLOOKUP($R572,Capa!$A:$AJ,AZ$5,0),0),IF(ISERROR(1/VLOOKUP($R572,Capa!$A:$AJ,AZ$5,0)),0,1/VLOOKUP($R572,Capa!$A:$AJ,AZ$5,0))))</f>
        <v/>
      </c>
      <c r="BA572" s="174" t="str">
        <f>IF(BA$6="","",IF(BA$3="Maior",iferror(VLOOKUP($R572,Capa!$A:$AJ,BA$5,0),0),IF(ISERROR(1/VLOOKUP($R572,Capa!$A:$AJ,BA$5,0)),0,1/VLOOKUP($R572,Capa!$A:$AJ,BA$5,0))))</f>
        <v/>
      </c>
      <c r="BB572" s="174" t="str">
        <f>IF(BB$6="","",IF(BB$3="Maior",iferror(VLOOKUP($R572,Capa!$A:$AJ,BB$5,0),0),IF(ISERROR(1/VLOOKUP($R572,Capa!$A:$AJ,BB$5,0)),0,1/VLOOKUP($R572,Capa!$A:$AJ,BB$5,0))))</f>
        <v/>
      </c>
      <c r="BC572" s="174" t="str">
        <f>IF(BC$6="","",IF(BC$3="Maior",iferror(VLOOKUP($R572,Capa!$A:$AJ,BC$5,0),0),IF(ISERROR(1/VLOOKUP($R572,Capa!$A:$AJ,BC$5,0)),0,1/VLOOKUP($R572,Capa!$A:$AJ,BC$5,0))))</f>
        <v/>
      </c>
      <c r="BD572" s="174" t="str">
        <f>IF(BD$6="","",IF(BD$3="Maior",iferror(VLOOKUP($R572,Capa!$A:$AJ,BD$5,0),0),IF(ISERROR(1/VLOOKUP($R572,Capa!$A:$AJ,BD$5,0)),0,1/VLOOKUP($R572,Capa!$A:$AJ,BD$5,0))))</f>
        <v/>
      </c>
      <c r="BE572" s="174" t="str">
        <f>IF(BE$6="","",IF(BE$3="Maior",iferror(VLOOKUP($R572,Capa!$A:$AJ,BE$5,0),0),IF(ISERROR(1/VLOOKUP($R572,Capa!$A:$AJ,BE$5,0)),0,1/VLOOKUP($R572,Capa!$A:$AJ,BE$5,0))))</f>
        <v/>
      </c>
      <c r="BF572" s="174" t="str">
        <f>IF(BF$6="","",IF(BF$3="Maior",iferror(VLOOKUP($R572,Capa!$A:$AJ,BF$5,0),0),IF(ISERROR(1/VLOOKUP($R572,Capa!$A:$AJ,BF$5,0)),0,1/VLOOKUP($R572,Capa!$A:$AJ,BF$5,0))))</f>
        <v/>
      </c>
      <c r="BG572" s="174" t="str">
        <f>IF(BG$6="","",IF(BG$3="Maior",iferror(VLOOKUP($R572,Capa!$A:$AJ,BG$5,0),0),IF(ISERROR(1/VLOOKUP($R572,Capa!$A:$AJ,BG$5,0)),0,1/VLOOKUP($R572,Capa!$A:$AJ,BG$5,0))))</f>
        <v/>
      </c>
      <c r="BH572" s="174" t="str">
        <f>IF(BH$6="","",IF(BH$3="Maior",iferror(VLOOKUP($R572,Capa!$A:$AJ,BH$5,0),0),IF(ISERROR(1/VLOOKUP($R572,Capa!$A:$AJ,BH$5,0)),0,1/VLOOKUP($R572,Capa!$A:$AJ,BH$5,0))))</f>
        <v/>
      </c>
      <c r="BI572" s="174" t="str">
        <f>IF(BI$6="","",IF(BI$3="Maior",iferror(VLOOKUP($R572,Capa!$A:$AJ,BI$5,0),0),IF(ISERROR(1/VLOOKUP($R572,Capa!$A:$AJ,BI$5,0)),0,1/VLOOKUP($R572,Capa!$A:$AJ,BI$5,0))))</f>
        <v/>
      </c>
      <c r="BJ572" s="174" t="str">
        <f>IF(BJ$6="","",IF(BJ$3="Maior",iferror(VLOOKUP($R572,Capa!$A:$AJ,BJ$5,0),0),IF(ISERROR(1/VLOOKUP($R572,Capa!$A:$AJ,BJ$5,0)),0,1/VLOOKUP($R572,Capa!$A:$AJ,BJ$5,0))))</f>
        <v/>
      </c>
      <c r="BK572" s="174" t="str">
        <f>IF(BK$6="","",IF(BK$3="Maior",iferror(VLOOKUP($R572,Capa!$A:$AJ,BK$5,0),0),IF(ISERROR(1/VLOOKUP($R572,Capa!$A:$AJ,BK$5,0)),0,1/VLOOKUP($R572,Capa!$A:$AJ,BK$5,0))))</f>
        <v/>
      </c>
      <c r="BL572" s="174" t="str">
        <f>IF(BL$6="","",IF(BL$3="Maior",iferror(VLOOKUP($R572,Capa!$A:$AJ,BL$5,0),0),IF(ISERROR(1/VLOOKUP($R572,Capa!$A:$AJ,BL$5,0)),0,1/VLOOKUP($R572,Capa!$A:$AJ,BL$5,0))))</f>
        <v/>
      </c>
      <c r="BM572" s="174" t="str">
        <f>IF(BM$6="","",IF(BM$3="Maior",iferror(VLOOKUP($R572,Capa!$A:$AJ,BM$5,0),0),IF(ISERROR(1/VLOOKUP($R572,Capa!$A:$AJ,BM$5,0)),0,1/VLOOKUP($R572,Capa!$A:$AJ,BM$5,0))))</f>
        <v/>
      </c>
      <c r="BN572" s="174" t="str">
        <f>IF(BN$6="","",IF(BN$3="Maior",iferror(VLOOKUP($R572,Capa!$A:$AJ,BN$5,0),0),IF(ISERROR(1/VLOOKUP($R572,Capa!$A:$AJ,BN$5,0)),0,1/VLOOKUP($R572,Capa!$A:$AJ,BN$5,0))))</f>
        <v/>
      </c>
      <c r="BO572" s="174" t="str">
        <f>IF(BO$6="","",IF(BO$3="Maior",iferror(VLOOKUP($R572,Capa!$A:$AJ,BO$5,0),0),IF(ISERROR(1/VLOOKUP($R572,Capa!$A:$AJ,BO$5,0)),0,1/VLOOKUP($R572,Capa!$A:$AJ,BO$5,0))))</f>
        <v/>
      </c>
      <c r="BP572" s="174" t="str">
        <f>IF(BP$6="","",IF(BP$3="Maior",iferror(VLOOKUP($R572,Capa!$A:$AJ,BP$5,0),0),IF(ISERROR(1/VLOOKUP($R572,Capa!$A:$AJ,BP$5,0)),0,1/VLOOKUP($R572,Capa!$A:$AJ,BP$5,0))))</f>
        <v/>
      </c>
      <c r="BQ572" s="174" t="str">
        <f>IF(BQ$6="","",IF(BQ$3="Maior",iferror(VLOOKUP($R572,Capa!$A:$AJ,BQ$5,0),0),IF(ISERROR(1/VLOOKUP($R572,Capa!$A:$AJ,BQ$5,0)),0,1/VLOOKUP($R572,Capa!$A:$AJ,BQ$5,0))))</f>
        <v/>
      </c>
      <c r="BR572" s="175"/>
      <c r="BS572" s="147"/>
    </row>
    <row r="573">
      <c r="H573" s="8">
        <v>567.0</v>
      </c>
      <c r="I573" s="165" t="str">
        <f t="shared" si="6"/>
        <v>SNSY5</v>
      </c>
      <c r="J573" s="166" t="str">
        <f>(VLOOKUP($I573,Capa!$A:$B,2,0))</f>
        <v>Sansuy SA Industria d Plstc Em Rcpr Jdcl Preference Shares Class A</v>
      </c>
      <c r="K573" s="167" t="str">
        <f>VLOOKUP(left(I573,4),Setor!A:D,3,0)&amp;" | "&amp;VLOOKUP(left(I573,4),Setor!A:D,4,0)</f>
        <v>Materiais Básicos | Materiais Diversos</v>
      </c>
      <c r="L573" s="168">
        <f>(VLOOKUP($I573,Capa!$A:$F,6,0))</f>
        <v>2.52</v>
      </c>
      <c r="M573" s="168">
        <f t="shared" si="7"/>
        <v>12134.31</v>
      </c>
      <c r="N573" s="177" t="str">
        <f>IFERROR(__xludf.DUMMYFUNCTION("(VLOOKUP($I573,Capa!$A:$H,7,0))"),"")</f>
        <v/>
      </c>
      <c r="O573" s="169">
        <f>(VLOOKUP($I573,Capa!$A:$H,8,0))</f>
        <v>-0.1310344828</v>
      </c>
      <c r="P573" s="169" t="str">
        <f>IFERROR(__xludf.DUMMYFUNCTION("(VLOOKUP($I573,Capa!$A:$J,10,0))"),"")</f>
        <v/>
      </c>
      <c r="Q573" s="169">
        <f>(VLOOKUP($I573,Capa!$A:$K,11,0))</f>
        <v>-0.37</v>
      </c>
      <c r="R573" s="45" t="str">
        <f>'Dados StatusInvest'!A568</f>
        <v>TIET11</v>
      </c>
      <c r="S573" s="170">
        <f t="shared" si="234"/>
        <v>1287.0287</v>
      </c>
      <c r="T573" s="171">
        <f>VLOOKUP(R573,'Dados StatusInvest'!A:Z,26,0)</f>
        <v>0</v>
      </c>
      <c r="U573" s="172">
        <f t="shared" ref="U573:AS573" si="576">IF(AT573="","", RANK(AT573,AT$7:AT$626,0)+RANK(AT573,AT$7:AT$626,0)/10000)</f>
        <v>20.002</v>
      </c>
      <c r="V573" s="172">
        <f t="shared" si="576"/>
        <v>267.0267</v>
      </c>
      <c r="W573" s="172" t="str">
        <f t="shared" si="576"/>
        <v/>
      </c>
      <c r="X573" s="172" t="str">
        <f t="shared" si="576"/>
        <v/>
      </c>
      <c r="Y573" s="172" t="str">
        <f t="shared" si="576"/>
        <v/>
      </c>
      <c r="Z573" s="172" t="str">
        <f t="shared" si="576"/>
        <v/>
      </c>
      <c r="AA573" s="172" t="str">
        <f t="shared" si="576"/>
        <v/>
      </c>
      <c r="AB573" s="172" t="str">
        <f t="shared" si="576"/>
        <v/>
      </c>
      <c r="AC573" s="172" t="str">
        <f t="shared" si="576"/>
        <v/>
      </c>
      <c r="AD573" s="172" t="str">
        <f t="shared" si="576"/>
        <v/>
      </c>
      <c r="AE573" s="172" t="str">
        <f t="shared" si="576"/>
        <v/>
      </c>
      <c r="AF573" s="172" t="str">
        <f t="shared" si="576"/>
        <v/>
      </c>
      <c r="AG573" s="172" t="str">
        <f t="shared" si="576"/>
        <v/>
      </c>
      <c r="AH573" s="172" t="str">
        <f t="shared" si="576"/>
        <v/>
      </c>
      <c r="AI573" s="172" t="str">
        <f t="shared" si="576"/>
        <v/>
      </c>
      <c r="AJ573" s="172" t="str">
        <f t="shared" si="576"/>
        <v/>
      </c>
      <c r="AK573" s="172" t="str">
        <f t="shared" si="576"/>
        <v/>
      </c>
      <c r="AL573" s="172" t="str">
        <f t="shared" si="576"/>
        <v/>
      </c>
      <c r="AM573" s="172" t="str">
        <f t="shared" si="576"/>
        <v/>
      </c>
      <c r="AN573" s="172" t="str">
        <f t="shared" si="576"/>
        <v/>
      </c>
      <c r="AO573" s="172" t="str">
        <f t="shared" si="576"/>
        <v/>
      </c>
      <c r="AP573" s="172" t="str">
        <f t="shared" si="576"/>
        <v/>
      </c>
      <c r="AQ573" s="172" t="str">
        <f t="shared" si="576"/>
        <v/>
      </c>
      <c r="AR573" s="172" t="str">
        <f t="shared" si="576"/>
        <v/>
      </c>
      <c r="AS573" s="172" t="str">
        <f t="shared" si="576"/>
        <v/>
      </c>
      <c r="AT573" s="173">
        <f>IF(AT$6="","",IF(AT$3="Maior",iferror(VLOOKUP($R573,Capa!$A:$AJ,AT$5,0),0),IF(ISERROR(1/VLOOKUP($R573,Capa!$A:$AJ,AT$5,0)),0,1/VLOOKUP($R573,Capa!$A:$AJ,AT$5,0))))</f>
        <v>0.1623376623</v>
      </c>
      <c r="AU573" s="174">
        <f>IF(AU$6="","",IF(AU$3="Maior",iferror(VLOOKUP($R573,Capa!$A:$AJ,AU$5,0),0),IF(ISERROR(1/VLOOKUP($R573,Capa!$A:$AJ,AU$5,0)),0,1/VLOOKUP($R573,Capa!$A:$AJ,AU$5,0))))</f>
        <v>0</v>
      </c>
      <c r="AV573" s="174" t="str">
        <f>IF(AV$6="","",IF(AV$3="Maior",iferror(VLOOKUP($R573,Capa!$A:$AJ,AV$5,0),0),IF(ISERROR(1/VLOOKUP($R573,Capa!$A:$AJ,AV$5,0)),0,1/VLOOKUP($R573,Capa!$A:$AJ,AV$5,0))))</f>
        <v/>
      </c>
      <c r="AW573" s="174" t="str">
        <f>IF(AW$6="","",IF(AW$3="Maior",iferror(VLOOKUP($R573,Capa!$A:$AJ,AW$5,0),0),IF(ISERROR(1/VLOOKUP($R573,Capa!$A:$AJ,AW$5,0)),0,1/VLOOKUP($R573,Capa!$A:$AJ,AW$5,0))))</f>
        <v/>
      </c>
      <c r="AX573" s="174" t="str">
        <f>IF(AX$6="","",IF(AX$3="Maior",iferror(VLOOKUP($R573,Capa!$A:$AJ,AX$5,0),0),IF(ISERROR(1/VLOOKUP($R573,Capa!$A:$AJ,AX$5,0)),0,1/VLOOKUP($R573,Capa!$A:$AJ,AX$5,0))))</f>
        <v/>
      </c>
      <c r="AY573" s="174" t="str">
        <f>IF(AY$6="","",IF(AY$3="Maior",iferror(VLOOKUP($R573,Capa!$A:$AJ,AY$5,0),0),IF(ISERROR(1/VLOOKUP($R573,Capa!$A:$AJ,AY$5,0)),0,1/VLOOKUP($R573,Capa!$A:$AJ,AY$5,0))))</f>
        <v/>
      </c>
      <c r="AZ573" s="174" t="str">
        <f>IF(AZ$6="","",IF(AZ$3="Maior",iferror(VLOOKUP($R573,Capa!$A:$AJ,AZ$5,0),0),IF(ISERROR(1/VLOOKUP($R573,Capa!$A:$AJ,AZ$5,0)),0,1/VLOOKUP($R573,Capa!$A:$AJ,AZ$5,0))))</f>
        <v/>
      </c>
      <c r="BA573" s="174" t="str">
        <f>IF(BA$6="","",IF(BA$3="Maior",iferror(VLOOKUP($R573,Capa!$A:$AJ,BA$5,0),0),IF(ISERROR(1/VLOOKUP($R573,Capa!$A:$AJ,BA$5,0)),0,1/VLOOKUP($R573,Capa!$A:$AJ,BA$5,0))))</f>
        <v/>
      </c>
      <c r="BB573" s="174" t="str">
        <f>IF(BB$6="","",IF(BB$3="Maior",iferror(VLOOKUP($R573,Capa!$A:$AJ,BB$5,0),0),IF(ISERROR(1/VLOOKUP($R573,Capa!$A:$AJ,BB$5,0)),0,1/VLOOKUP($R573,Capa!$A:$AJ,BB$5,0))))</f>
        <v/>
      </c>
      <c r="BC573" s="174" t="str">
        <f>IF(BC$6="","",IF(BC$3="Maior",iferror(VLOOKUP($R573,Capa!$A:$AJ,BC$5,0),0),IF(ISERROR(1/VLOOKUP($R573,Capa!$A:$AJ,BC$5,0)),0,1/VLOOKUP($R573,Capa!$A:$AJ,BC$5,0))))</f>
        <v/>
      </c>
      <c r="BD573" s="174" t="str">
        <f>IF(BD$6="","",IF(BD$3="Maior",iferror(VLOOKUP($R573,Capa!$A:$AJ,BD$5,0),0),IF(ISERROR(1/VLOOKUP($R573,Capa!$A:$AJ,BD$5,0)),0,1/VLOOKUP($R573,Capa!$A:$AJ,BD$5,0))))</f>
        <v/>
      </c>
      <c r="BE573" s="174" t="str">
        <f>IF(BE$6="","",IF(BE$3="Maior",iferror(VLOOKUP($R573,Capa!$A:$AJ,BE$5,0),0),IF(ISERROR(1/VLOOKUP($R573,Capa!$A:$AJ,BE$5,0)),0,1/VLOOKUP($R573,Capa!$A:$AJ,BE$5,0))))</f>
        <v/>
      </c>
      <c r="BF573" s="174" t="str">
        <f>IF(BF$6="","",IF(BF$3="Maior",iferror(VLOOKUP($R573,Capa!$A:$AJ,BF$5,0),0),IF(ISERROR(1/VLOOKUP($R573,Capa!$A:$AJ,BF$5,0)),0,1/VLOOKUP($R573,Capa!$A:$AJ,BF$5,0))))</f>
        <v/>
      </c>
      <c r="BG573" s="174" t="str">
        <f>IF(BG$6="","",IF(BG$3="Maior",iferror(VLOOKUP($R573,Capa!$A:$AJ,BG$5,0),0),IF(ISERROR(1/VLOOKUP($R573,Capa!$A:$AJ,BG$5,0)),0,1/VLOOKUP($R573,Capa!$A:$AJ,BG$5,0))))</f>
        <v/>
      </c>
      <c r="BH573" s="174" t="str">
        <f>IF(BH$6="","",IF(BH$3="Maior",iferror(VLOOKUP($R573,Capa!$A:$AJ,BH$5,0),0),IF(ISERROR(1/VLOOKUP($R573,Capa!$A:$AJ,BH$5,0)),0,1/VLOOKUP($R573,Capa!$A:$AJ,BH$5,0))))</f>
        <v/>
      </c>
      <c r="BI573" s="174" t="str">
        <f>IF(BI$6="","",IF(BI$3="Maior",iferror(VLOOKUP($R573,Capa!$A:$AJ,BI$5,0),0),IF(ISERROR(1/VLOOKUP($R573,Capa!$A:$AJ,BI$5,0)),0,1/VLOOKUP($R573,Capa!$A:$AJ,BI$5,0))))</f>
        <v/>
      </c>
      <c r="BJ573" s="174" t="str">
        <f>IF(BJ$6="","",IF(BJ$3="Maior",iferror(VLOOKUP($R573,Capa!$A:$AJ,BJ$5,0),0),IF(ISERROR(1/VLOOKUP($R573,Capa!$A:$AJ,BJ$5,0)),0,1/VLOOKUP($R573,Capa!$A:$AJ,BJ$5,0))))</f>
        <v/>
      </c>
      <c r="BK573" s="174" t="str">
        <f>IF(BK$6="","",IF(BK$3="Maior",iferror(VLOOKUP($R573,Capa!$A:$AJ,BK$5,0),0),IF(ISERROR(1/VLOOKUP($R573,Capa!$A:$AJ,BK$5,0)),0,1/VLOOKUP($R573,Capa!$A:$AJ,BK$5,0))))</f>
        <v/>
      </c>
      <c r="BL573" s="174" t="str">
        <f>IF(BL$6="","",IF(BL$3="Maior",iferror(VLOOKUP($R573,Capa!$A:$AJ,BL$5,0),0),IF(ISERROR(1/VLOOKUP($R573,Capa!$A:$AJ,BL$5,0)),0,1/VLOOKUP($R573,Capa!$A:$AJ,BL$5,0))))</f>
        <v/>
      </c>
      <c r="BM573" s="174" t="str">
        <f>IF(BM$6="","",IF(BM$3="Maior",iferror(VLOOKUP($R573,Capa!$A:$AJ,BM$5,0),0),IF(ISERROR(1/VLOOKUP($R573,Capa!$A:$AJ,BM$5,0)),0,1/VLOOKUP($R573,Capa!$A:$AJ,BM$5,0))))</f>
        <v/>
      </c>
      <c r="BN573" s="174" t="str">
        <f>IF(BN$6="","",IF(BN$3="Maior",iferror(VLOOKUP($R573,Capa!$A:$AJ,BN$5,0),0),IF(ISERROR(1/VLOOKUP($R573,Capa!$A:$AJ,BN$5,0)),0,1/VLOOKUP($R573,Capa!$A:$AJ,BN$5,0))))</f>
        <v/>
      </c>
      <c r="BO573" s="174" t="str">
        <f>IF(BO$6="","",IF(BO$3="Maior",iferror(VLOOKUP($R573,Capa!$A:$AJ,BO$5,0),0),IF(ISERROR(1/VLOOKUP($R573,Capa!$A:$AJ,BO$5,0)),0,1/VLOOKUP($R573,Capa!$A:$AJ,BO$5,0))))</f>
        <v/>
      </c>
      <c r="BP573" s="174" t="str">
        <f>IF(BP$6="","",IF(BP$3="Maior",iferror(VLOOKUP($R573,Capa!$A:$AJ,BP$5,0),0),IF(ISERROR(1/VLOOKUP($R573,Capa!$A:$AJ,BP$5,0)),0,1/VLOOKUP($R573,Capa!$A:$AJ,BP$5,0))))</f>
        <v/>
      </c>
      <c r="BQ573" s="174" t="str">
        <f>IF(BQ$6="","",IF(BQ$3="Maior",iferror(VLOOKUP($R573,Capa!$A:$AJ,BQ$5,0),0),IF(ISERROR(1/VLOOKUP($R573,Capa!$A:$AJ,BQ$5,0)),0,1/VLOOKUP($R573,Capa!$A:$AJ,BQ$5,0))))</f>
        <v/>
      </c>
      <c r="BR573" s="175"/>
      <c r="BS573" s="147"/>
    </row>
    <row r="574">
      <c r="H574" s="8">
        <v>568.0</v>
      </c>
      <c r="I574" s="165" t="str">
        <f t="shared" si="6"/>
        <v>BRIV4</v>
      </c>
      <c r="J574" s="166" t="str">
        <f>(VLOOKUP($I574,Capa!$A:$B,2,0))</f>
        <v/>
      </c>
      <c r="K574" s="167" t="str">
        <f>VLOOKUP(left(I574,4),Setor!A:D,3,0)&amp;" | "&amp;VLOOKUP(left(I574,4),Setor!A:D,4,0)</f>
        <v>Financeiro | Intermediários Financeiros</v>
      </c>
      <c r="L574" s="168" t="str">
        <f>(VLOOKUP($I574,Capa!$A:$F,6,0))</f>
        <v/>
      </c>
      <c r="M574" s="168">
        <f t="shared" si="7"/>
        <v>0</v>
      </c>
      <c r="N574" s="11" t="str">
        <f>(VLOOKUP($I574,Capa!$A:$H,7,0))</f>
        <v/>
      </c>
      <c r="O574" s="169" t="str">
        <f>(VLOOKUP($I574,Capa!$A:$H,8,0))</f>
        <v/>
      </c>
      <c r="P574" s="11" t="str">
        <f>(VLOOKUP($I574,Capa!$A:$J,10,0))</f>
        <v/>
      </c>
      <c r="Q574" s="169" t="str">
        <f>(VLOOKUP($I574,Capa!$A:$K,11,0))</f>
        <v/>
      </c>
      <c r="R574" s="45" t="str">
        <f>'Dados StatusInvest'!A569</f>
        <v>TIET3</v>
      </c>
      <c r="S574" s="170">
        <f t="shared" si="234"/>
        <v>1289.0289</v>
      </c>
      <c r="T574" s="171">
        <f>VLOOKUP(R574,'Dados StatusInvest'!A:Z,26,0)</f>
        <v>0</v>
      </c>
      <c r="U574" s="172">
        <f t="shared" ref="U574:AS574" si="577">IF(AT574="","", RANK(AT574,AT$7:AT$626,0)+RANK(AT574,AT$7:AT$626,0)/10000)</f>
        <v>22.0022</v>
      </c>
      <c r="V574" s="172">
        <f t="shared" si="577"/>
        <v>267.0267</v>
      </c>
      <c r="W574" s="172" t="str">
        <f t="shared" si="577"/>
        <v/>
      </c>
      <c r="X574" s="172" t="str">
        <f t="shared" si="577"/>
        <v/>
      </c>
      <c r="Y574" s="172" t="str">
        <f t="shared" si="577"/>
        <v/>
      </c>
      <c r="Z574" s="172" t="str">
        <f t="shared" si="577"/>
        <v/>
      </c>
      <c r="AA574" s="172" t="str">
        <f t="shared" si="577"/>
        <v/>
      </c>
      <c r="AB574" s="172" t="str">
        <f t="shared" si="577"/>
        <v/>
      </c>
      <c r="AC574" s="172" t="str">
        <f t="shared" si="577"/>
        <v/>
      </c>
      <c r="AD574" s="172" t="str">
        <f t="shared" si="577"/>
        <v/>
      </c>
      <c r="AE574" s="172" t="str">
        <f t="shared" si="577"/>
        <v/>
      </c>
      <c r="AF574" s="172" t="str">
        <f t="shared" si="577"/>
        <v/>
      </c>
      <c r="AG574" s="172" t="str">
        <f t="shared" si="577"/>
        <v/>
      </c>
      <c r="AH574" s="172" t="str">
        <f t="shared" si="577"/>
        <v/>
      </c>
      <c r="AI574" s="172" t="str">
        <f t="shared" si="577"/>
        <v/>
      </c>
      <c r="AJ574" s="172" t="str">
        <f t="shared" si="577"/>
        <v/>
      </c>
      <c r="AK574" s="172" t="str">
        <f t="shared" si="577"/>
        <v/>
      </c>
      <c r="AL574" s="172" t="str">
        <f t="shared" si="577"/>
        <v/>
      </c>
      <c r="AM574" s="172" t="str">
        <f t="shared" si="577"/>
        <v/>
      </c>
      <c r="AN574" s="172" t="str">
        <f t="shared" si="577"/>
        <v/>
      </c>
      <c r="AO574" s="172" t="str">
        <f t="shared" si="577"/>
        <v/>
      </c>
      <c r="AP574" s="172" t="str">
        <f t="shared" si="577"/>
        <v/>
      </c>
      <c r="AQ574" s="172" t="str">
        <f t="shared" si="577"/>
        <v/>
      </c>
      <c r="AR574" s="172" t="str">
        <f t="shared" si="577"/>
        <v/>
      </c>
      <c r="AS574" s="172" t="str">
        <f t="shared" si="577"/>
        <v/>
      </c>
      <c r="AT574" s="173">
        <f>IF(AT$6="","",IF(AT$3="Maior",iferror(VLOOKUP($R574,Capa!$A:$AJ,AT$5,0),0),IF(ISERROR(1/VLOOKUP($R574,Capa!$A:$AJ,AT$5,0)),0,1/VLOOKUP($R574,Capa!$A:$AJ,AT$5,0))))</f>
        <v>0.1166861144</v>
      </c>
      <c r="AU574" s="174">
        <f>IF(AU$6="","",IF(AU$3="Maior",iferror(VLOOKUP($R574,Capa!$A:$AJ,AU$5,0),0),IF(ISERROR(1/VLOOKUP($R574,Capa!$A:$AJ,AU$5,0)),0,1/VLOOKUP($R574,Capa!$A:$AJ,AU$5,0))))</f>
        <v>0</v>
      </c>
      <c r="AV574" s="174" t="str">
        <f>IF(AV$6="","",IF(AV$3="Maior",iferror(VLOOKUP($R574,Capa!$A:$AJ,AV$5,0),0),IF(ISERROR(1/VLOOKUP($R574,Capa!$A:$AJ,AV$5,0)),0,1/VLOOKUP($R574,Capa!$A:$AJ,AV$5,0))))</f>
        <v/>
      </c>
      <c r="AW574" s="174" t="str">
        <f>IF(AW$6="","",IF(AW$3="Maior",iferror(VLOOKUP($R574,Capa!$A:$AJ,AW$5,0),0),IF(ISERROR(1/VLOOKUP($R574,Capa!$A:$AJ,AW$5,0)),0,1/VLOOKUP($R574,Capa!$A:$AJ,AW$5,0))))</f>
        <v/>
      </c>
      <c r="AX574" s="174" t="str">
        <f>IF(AX$6="","",IF(AX$3="Maior",iferror(VLOOKUP($R574,Capa!$A:$AJ,AX$5,0),0),IF(ISERROR(1/VLOOKUP($R574,Capa!$A:$AJ,AX$5,0)),0,1/VLOOKUP($R574,Capa!$A:$AJ,AX$5,0))))</f>
        <v/>
      </c>
      <c r="AY574" s="174" t="str">
        <f>IF(AY$6="","",IF(AY$3="Maior",iferror(VLOOKUP($R574,Capa!$A:$AJ,AY$5,0),0),IF(ISERROR(1/VLOOKUP($R574,Capa!$A:$AJ,AY$5,0)),0,1/VLOOKUP($R574,Capa!$A:$AJ,AY$5,0))))</f>
        <v/>
      </c>
      <c r="AZ574" s="174" t="str">
        <f>IF(AZ$6="","",IF(AZ$3="Maior",iferror(VLOOKUP($R574,Capa!$A:$AJ,AZ$5,0),0),IF(ISERROR(1/VLOOKUP($R574,Capa!$A:$AJ,AZ$5,0)),0,1/VLOOKUP($R574,Capa!$A:$AJ,AZ$5,0))))</f>
        <v/>
      </c>
      <c r="BA574" s="174" t="str">
        <f>IF(BA$6="","",IF(BA$3="Maior",iferror(VLOOKUP($R574,Capa!$A:$AJ,BA$5,0),0),IF(ISERROR(1/VLOOKUP($R574,Capa!$A:$AJ,BA$5,0)),0,1/VLOOKUP($R574,Capa!$A:$AJ,BA$5,0))))</f>
        <v/>
      </c>
      <c r="BB574" s="174" t="str">
        <f>IF(BB$6="","",IF(BB$3="Maior",iferror(VLOOKUP($R574,Capa!$A:$AJ,BB$5,0),0),IF(ISERROR(1/VLOOKUP($R574,Capa!$A:$AJ,BB$5,0)),0,1/VLOOKUP($R574,Capa!$A:$AJ,BB$5,0))))</f>
        <v/>
      </c>
      <c r="BC574" s="174" t="str">
        <f>IF(BC$6="","",IF(BC$3="Maior",iferror(VLOOKUP($R574,Capa!$A:$AJ,BC$5,0),0),IF(ISERROR(1/VLOOKUP($R574,Capa!$A:$AJ,BC$5,0)),0,1/VLOOKUP($R574,Capa!$A:$AJ,BC$5,0))))</f>
        <v/>
      </c>
      <c r="BD574" s="174" t="str">
        <f>IF(BD$6="","",IF(BD$3="Maior",iferror(VLOOKUP($R574,Capa!$A:$AJ,BD$5,0),0),IF(ISERROR(1/VLOOKUP($R574,Capa!$A:$AJ,BD$5,0)),0,1/VLOOKUP($R574,Capa!$A:$AJ,BD$5,0))))</f>
        <v/>
      </c>
      <c r="BE574" s="174" t="str">
        <f>IF(BE$6="","",IF(BE$3="Maior",iferror(VLOOKUP($R574,Capa!$A:$AJ,BE$5,0),0),IF(ISERROR(1/VLOOKUP($R574,Capa!$A:$AJ,BE$5,0)),0,1/VLOOKUP($R574,Capa!$A:$AJ,BE$5,0))))</f>
        <v/>
      </c>
      <c r="BF574" s="174" t="str">
        <f>IF(BF$6="","",IF(BF$3="Maior",iferror(VLOOKUP($R574,Capa!$A:$AJ,BF$5,0),0),IF(ISERROR(1/VLOOKUP($R574,Capa!$A:$AJ,BF$5,0)),0,1/VLOOKUP($R574,Capa!$A:$AJ,BF$5,0))))</f>
        <v/>
      </c>
      <c r="BG574" s="174" t="str">
        <f>IF(BG$6="","",IF(BG$3="Maior",iferror(VLOOKUP($R574,Capa!$A:$AJ,BG$5,0),0),IF(ISERROR(1/VLOOKUP($R574,Capa!$A:$AJ,BG$5,0)),0,1/VLOOKUP($R574,Capa!$A:$AJ,BG$5,0))))</f>
        <v/>
      </c>
      <c r="BH574" s="174" t="str">
        <f>IF(BH$6="","",IF(BH$3="Maior",iferror(VLOOKUP($R574,Capa!$A:$AJ,BH$5,0),0),IF(ISERROR(1/VLOOKUP($R574,Capa!$A:$AJ,BH$5,0)),0,1/VLOOKUP($R574,Capa!$A:$AJ,BH$5,0))))</f>
        <v/>
      </c>
      <c r="BI574" s="174" t="str">
        <f>IF(BI$6="","",IF(BI$3="Maior",iferror(VLOOKUP($R574,Capa!$A:$AJ,BI$5,0),0),IF(ISERROR(1/VLOOKUP($R574,Capa!$A:$AJ,BI$5,0)),0,1/VLOOKUP($R574,Capa!$A:$AJ,BI$5,0))))</f>
        <v/>
      </c>
      <c r="BJ574" s="174" t="str">
        <f>IF(BJ$6="","",IF(BJ$3="Maior",iferror(VLOOKUP($R574,Capa!$A:$AJ,BJ$5,0),0),IF(ISERROR(1/VLOOKUP($R574,Capa!$A:$AJ,BJ$5,0)),0,1/VLOOKUP($R574,Capa!$A:$AJ,BJ$5,0))))</f>
        <v/>
      </c>
      <c r="BK574" s="174" t="str">
        <f>IF(BK$6="","",IF(BK$3="Maior",iferror(VLOOKUP($R574,Capa!$A:$AJ,BK$5,0),0),IF(ISERROR(1/VLOOKUP($R574,Capa!$A:$AJ,BK$5,0)),0,1/VLOOKUP($R574,Capa!$A:$AJ,BK$5,0))))</f>
        <v/>
      </c>
      <c r="BL574" s="174" t="str">
        <f>IF(BL$6="","",IF(BL$3="Maior",iferror(VLOOKUP($R574,Capa!$A:$AJ,BL$5,0),0),IF(ISERROR(1/VLOOKUP($R574,Capa!$A:$AJ,BL$5,0)),0,1/VLOOKUP($R574,Capa!$A:$AJ,BL$5,0))))</f>
        <v/>
      </c>
      <c r="BM574" s="174" t="str">
        <f>IF(BM$6="","",IF(BM$3="Maior",iferror(VLOOKUP($R574,Capa!$A:$AJ,BM$5,0),0),IF(ISERROR(1/VLOOKUP($R574,Capa!$A:$AJ,BM$5,0)),0,1/VLOOKUP($R574,Capa!$A:$AJ,BM$5,0))))</f>
        <v/>
      </c>
      <c r="BN574" s="174" t="str">
        <f>IF(BN$6="","",IF(BN$3="Maior",iferror(VLOOKUP($R574,Capa!$A:$AJ,BN$5,0),0),IF(ISERROR(1/VLOOKUP($R574,Capa!$A:$AJ,BN$5,0)),0,1/VLOOKUP($R574,Capa!$A:$AJ,BN$5,0))))</f>
        <v/>
      </c>
      <c r="BO574" s="174" t="str">
        <f>IF(BO$6="","",IF(BO$3="Maior",iferror(VLOOKUP($R574,Capa!$A:$AJ,BO$5,0),0),IF(ISERROR(1/VLOOKUP($R574,Capa!$A:$AJ,BO$5,0)),0,1/VLOOKUP($R574,Capa!$A:$AJ,BO$5,0))))</f>
        <v/>
      </c>
      <c r="BP574" s="174" t="str">
        <f>IF(BP$6="","",IF(BP$3="Maior",iferror(VLOOKUP($R574,Capa!$A:$AJ,BP$5,0),0),IF(ISERROR(1/VLOOKUP($R574,Capa!$A:$AJ,BP$5,0)),0,1/VLOOKUP($R574,Capa!$A:$AJ,BP$5,0))))</f>
        <v/>
      </c>
      <c r="BQ574" s="174" t="str">
        <f>IF(BQ$6="","",IF(BQ$3="Maior",iferror(VLOOKUP($R574,Capa!$A:$AJ,BQ$5,0),0),IF(ISERROR(1/VLOOKUP($R574,Capa!$A:$AJ,BQ$5,0)),0,1/VLOOKUP($R574,Capa!$A:$AJ,BQ$5,0))))</f>
        <v/>
      </c>
      <c r="BR574" s="175"/>
      <c r="BS574" s="147"/>
    </row>
    <row r="575">
      <c r="H575" s="8">
        <v>569.0</v>
      </c>
      <c r="I575" s="165" t="str">
        <f t="shared" si="6"/>
        <v>BRIV4</v>
      </c>
      <c r="J575" s="166" t="str">
        <f>(VLOOKUP($I575,Capa!$A:$B,2,0))</f>
        <v/>
      </c>
      <c r="K575" s="167" t="str">
        <f>VLOOKUP(left(I575,4),Setor!A:D,3,0)&amp;" | "&amp;VLOOKUP(left(I575,4),Setor!A:D,4,0)</f>
        <v>Financeiro | Intermediários Financeiros</v>
      </c>
      <c r="L575" s="168" t="str">
        <f>(VLOOKUP($I575,Capa!$A:$F,6,0))</f>
        <v/>
      </c>
      <c r="M575" s="168">
        <f t="shared" si="7"/>
        <v>0</v>
      </c>
      <c r="N575" s="11" t="str">
        <f>(VLOOKUP($I575,Capa!$A:$H,7,0))</f>
        <v/>
      </c>
      <c r="O575" s="169" t="str">
        <f>(VLOOKUP($I575,Capa!$A:$H,8,0))</f>
        <v/>
      </c>
      <c r="P575" s="11" t="str">
        <f>(VLOOKUP($I575,Capa!$A:$J,10,0))</f>
        <v/>
      </c>
      <c r="Q575" s="169" t="str">
        <f>(VLOOKUP($I575,Capa!$A:$K,11,0))</f>
        <v/>
      </c>
      <c r="R575" s="45" t="str">
        <f>'Dados StatusInvest'!A570</f>
        <v>TIET4</v>
      </c>
      <c r="S575" s="170">
        <f t="shared" si="234"/>
        <v>1290.029</v>
      </c>
      <c r="T575" s="171">
        <f>VLOOKUP(R575,'Dados StatusInvest'!A:Z,26,0)</f>
        <v>0</v>
      </c>
      <c r="U575" s="172">
        <f t="shared" ref="U575:AS575" si="578">IF(AT575="","", RANK(AT575,AT$7:AT$626,0)+RANK(AT575,AT$7:AT$626,0)/10000)</f>
        <v>23.0023</v>
      </c>
      <c r="V575" s="172">
        <f t="shared" si="578"/>
        <v>267.0267</v>
      </c>
      <c r="W575" s="172" t="str">
        <f t="shared" si="578"/>
        <v/>
      </c>
      <c r="X575" s="172" t="str">
        <f t="shared" si="578"/>
        <v/>
      </c>
      <c r="Y575" s="172" t="str">
        <f t="shared" si="578"/>
        <v/>
      </c>
      <c r="Z575" s="172" t="str">
        <f t="shared" si="578"/>
        <v/>
      </c>
      <c r="AA575" s="172" t="str">
        <f t="shared" si="578"/>
        <v/>
      </c>
      <c r="AB575" s="172" t="str">
        <f t="shared" si="578"/>
        <v/>
      </c>
      <c r="AC575" s="172" t="str">
        <f t="shared" si="578"/>
        <v/>
      </c>
      <c r="AD575" s="172" t="str">
        <f t="shared" si="578"/>
        <v/>
      </c>
      <c r="AE575" s="172" t="str">
        <f t="shared" si="578"/>
        <v/>
      </c>
      <c r="AF575" s="172" t="str">
        <f t="shared" si="578"/>
        <v/>
      </c>
      <c r="AG575" s="172" t="str">
        <f t="shared" si="578"/>
        <v/>
      </c>
      <c r="AH575" s="172" t="str">
        <f t="shared" si="578"/>
        <v/>
      </c>
      <c r="AI575" s="172" t="str">
        <f t="shared" si="578"/>
        <v/>
      </c>
      <c r="AJ575" s="172" t="str">
        <f t="shared" si="578"/>
        <v/>
      </c>
      <c r="AK575" s="172" t="str">
        <f t="shared" si="578"/>
        <v/>
      </c>
      <c r="AL575" s="172" t="str">
        <f t="shared" si="578"/>
        <v/>
      </c>
      <c r="AM575" s="172" t="str">
        <f t="shared" si="578"/>
        <v/>
      </c>
      <c r="AN575" s="172" t="str">
        <f t="shared" si="578"/>
        <v/>
      </c>
      <c r="AO575" s="172" t="str">
        <f t="shared" si="578"/>
        <v/>
      </c>
      <c r="AP575" s="172" t="str">
        <f t="shared" si="578"/>
        <v/>
      </c>
      <c r="AQ575" s="172" t="str">
        <f t="shared" si="578"/>
        <v/>
      </c>
      <c r="AR575" s="172" t="str">
        <f t="shared" si="578"/>
        <v/>
      </c>
      <c r="AS575" s="172" t="str">
        <f t="shared" si="578"/>
        <v/>
      </c>
      <c r="AT575" s="173">
        <f>IF(AT$6="","",IF(AT$3="Maior",iferror(VLOOKUP($R575,Capa!$A:$AJ,AT$5,0),0),IF(ISERROR(1/VLOOKUP($R575,Capa!$A:$AJ,AT$5,0)),0,1/VLOOKUP($R575,Capa!$A:$AJ,AT$5,0))))</f>
        <v>0.1160092807</v>
      </c>
      <c r="AU575" s="174">
        <f>IF(AU$6="","",IF(AU$3="Maior",iferror(VLOOKUP($R575,Capa!$A:$AJ,AU$5,0),0),IF(ISERROR(1/VLOOKUP($R575,Capa!$A:$AJ,AU$5,0)),0,1/VLOOKUP($R575,Capa!$A:$AJ,AU$5,0))))</f>
        <v>0</v>
      </c>
      <c r="AV575" s="174" t="str">
        <f>IF(AV$6="","",IF(AV$3="Maior",iferror(VLOOKUP($R575,Capa!$A:$AJ,AV$5,0),0),IF(ISERROR(1/VLOOKUP($R575,Capa!$A:$AJ,AV$5,0)),0,1/VLOOKUP($R575,Capa!$A:$AJ,AV$5,0))))</f>
        <v/>
      </c>
      <c r="AW575" s="174" t="str">
        <f>IF(AW$6="","",IF(AW$3="Maior",iferror(VLOOKUP($R575,Capa!$A:$AJ,AW$5,0),0),IF(ISERROR(1/VLOOKUP($R575,Capa!$A:$AJ,AW$5,0)),0,1/VLOOKUP($R575,Capa!$A:$AJ,AW$5,0))))</f>
        <v/>
      </c>
      <c r="AX575" s="174" t="str">
        <f>IF(AX$6="","",IF(AX$3="Maior",iferror(VLOOKUP($R575,Capa!$A:$AJ,AX$5,0),0),IF(ISERROR(1/VLOOKUP($R575,Capa!$A:$AJ,AX$5,0)),0,1/VLOOKUP($R575,Capa!$A:$AJ,AX$5,0))))</f>
        <v/>
      </c>
      <c r="AY575" s="174" t="str">
        <f>IF(AY$6="","",IF(AY$3="Maior",iferror(VLOOKUP($R575,Capa!$A:$AJ,AY$5,0),0),IF(ISERROR(1/VLOOKUP($R575,Capa!$A:$AJ,AY$5,0)),0,1/VLOOKUP($R575,Capa!$A:$AJ,AY$5,0))))</f>
        <v/>
      </c>
      <c r="AZ575" s="174" t="str">
        <f>IF(AZ$6="","",IF(AZ$3="Maior",iferror(VLOOKUP($R575,Capa!$A:$AJ,AZ$5,0),0),IF(ISERROR(1/VLOOKUP($R575,Capa!$A:$AJ,AZ$5,0)),0,1/VLOOKUP($R575,Capa!$A:$AJ,AZ$5,0))))</f>
        <v/>
      </c>
      <c r="BA575" s="174" t="str">
        <f>IF(BA$6="","",IF(BA$3="Maior",iferror(VLOOKUP($R575,Capa!$A:$AJ,BA$5,0),0),IF(ISERROR(1/VLOOKUP($R575,Capa!$A:$AJ,BA$5,0)),0,1/VLOOKUP($R575,Capa!$A:$AJ,BA$5,0))))</f>
        <v/>
      </c>
      <c r="BB575" s="174" t="str">
        <f>IF(BB$6="","",IF(BB$3="Maior",iferror(VLOOKUP($R575,Capa!$A:$AJ,BB$5,0),0),IF(ISERROR(1/VLOOKUP($R575,Capa!$A:$AJ,BB$5,0)),0,1/VLOOKUP($R575,Capa!$A:$AJ,BB$5,0))))</f>
        <v/>
      </c>
      <c r="BC575" s="174" t="str">
        <f>IF(BC$6="","",IF(BC$3="Maior",iferror(VLOOKUP($R575,Capa!$A:$AJ,BC$5,0),0),IF(ISERROR(1/VLOOKUP($R575,Capa!$A:$AJ,BC$5,0)),0,1/VLOOKUP($R575,Capa!$A:$AJ,BC$5,0))))</f>
        <v/>
      </c>
      <c r="BD575" s="174" t="str">
        <f>IF(BD$6="","",IF(BD$3="Maior",iferror(VLOOKUP($R575,Capa!$A:$AJ,BD$5,0),0),IF(ISERROR(1/VLOOKUP($R575,Capa!$A:$AJ,BD$5,0)),0,1/VLOOKUP($R575,Capa!$A:$AJ,BD$5,0))))</f>
        <v/>
      </c>
      <c r="BE575" s="174" t="str">
        <f>IF(BE$6="","",IF(BE$3="Maior",iferror(VLOOKUP($R575,Capa!$A:$AJ,BE$5,0),0),IF(ISERROR(1/VLOOKUP($R575,Capa!$A:$AJ,BE$5,0)),0,1/VLOOKUP($R575,Capa!$A:$AJ,BE$5,0))))</f>
        <v/>
      </c>
      <c r="BF575" s="174" t="str">
        <f>IF(BF$6="","",IF(BF$3="Maior",iferror(VLOOKUP($R575,Capa!$A:$AJ,BF$5,0),0),IF(ISERROR(1/VLOOKUP($R575,Capa!$A:$AJ,BF$5,0)),0,1/VLOOKUP($R575,Capa!$A:$AJ,BF$5,0))))</f>
        <v/>
      </c>
      <c r="BG575" s="174" t="str">
        <f>IF(BG$6="","",IF(BG$3="Maior",iferror(VLOOKUP($R575,Capa!$A:$AJ,BG$5,0),0),IF(ISERROR(1/VLOOKUP($R575,Capa!$A:$AJ,BG$5,0)),0,1/VLOOKUP($R575,Capa!$A:$AJ,BG$5,0))))</f>
        <v/>
      </c>
      <c r="BH575" s="174" t="str">
        <f>IF(BH$6="","",IF(BH$3="Maior",iferror(VLOOKUP($R575,Capa!$A:$AJ,BH$5,0),0),IF(ISERROR(1/VLOOKUP($R575,Capa!$A:$AJ,BH$5,0)),0,1/VLOOKUP($R575,Capa!$A:$AJ,BH$5,0))))</f>
        <v/>
      </c>
      <c r="BI575" s="174" t="str">
        <f>IF(BI$6="","",IF(BI$3="Maior",iferror(VLOOKUP($R575,Capa!$A:$AJ,BI$5,0),0),IF(ISERROR(1/VLOOKUP($R575,Capa!$A:$AJ,BI$5,0)),0,1/VLOOKUP($R575,Capa!$A:$AJ,BI$5,0))))</f>
        <v/>
      </c>
      <c r="BJ575" s="174" t="str">
        <f>IF(BJ$6="","",IF(BJ$3="Maior",iferror(VLOOKUP($R575,Capa!$A:$AJ,BJ$5,0),0),IF(ISERROR(1/VLOOKUP($R575,Capa!$A:$AJ,BJ$5,0)),0,1/VLOOKUP($R575,Capa!$A:$AJ,BJ$5,0))))</f>
        <v/>
      </c>
      <c r="BK575" s="174" t="str">
        <f>IF(BK$6="","",IF(BK$3="Maior",iferror(VLOOKUP($R575,Capa!$A:$AJ,BK$5,0),0),IF(ISERROR(1/VLOOKUP($R575,Capa!$A:$AJ,BK$5,0)),0,1/VLOOKUP($R575,Capa!$A:$AJ,BK$5,0))))</f>
        <v/>
      </c>
      <c r="BL575" s="174" t="str">
        <f>IF(BL$6="","",IF(BL$3="Maior",iferror(VLOOKUP($R575,Capa!$A:$AJ,BL$5,0),0),IF(ISERROR(1/VLOOKUP($R575,Capa!$A:$AJ,BL$5,0)),0,1/VLOOKUP($R575,Capa!$A:$AJ,BL$5,0))))</f>
        <v/>
      </c>
      <c r="BM575" s="174" t="str">
        <f>IF(BM$6="","",IF(BM$3="Maior",iferror(VLOOKUP($R575,Capa!$A:$AJ,BM$5,0),0),IF(ISERROR(1/VLOOKUP($R575,Capa!$A:$AJ,BM$5,0)),0,1/VLOOKUP($R575,Capa!$A:$AJ,BM$5,0))))</f>
        <v/>
      </c>
      <c r="BN575" s="174" t="str">
        <f>IF(BN$6="","",IF(BN$3="Maior",iferror(VLOOKUP($R575,Capa!$A:$AJ,BN$5,0),0),IF(ISERROR(1/VLOOKUP($R575,Capa!$A:$AJ,BN$5,0)),0,1/VLOOKUP($R575,Capa!$A:$AJ,BN$5,0))))</f>
        <v/>
      </c>
      <c r="BO575" s="174" t="str">
        <f>IF(BO$6="","",IF(BO$3="Maior",iferror(VLOOKUP($R575,Capa!$A:$AJ,BO$5,0),0),IF(ISERROR(1/VLOOKUP($R575,Capa!$A:$AJ,BO$5,0)),0,1/VLOOKUP($R575,Capa!$A:$AJ,BO$5,0))))</f>
        <v/>
      </c>
      <c r="BP575" s="174" t="str">
        <f>IF(BP$6="","",IF(BP$3="Maior",iferror(VLOOKUP($R575,Capa!$A:$AJ,BP$5,0),0),IF(ISERROR(1/VLOOKUP($R575,Capa!$A:$AJ,BP$5,0)),0,1/VLOOKUP($R575,Capa!$A:$AJ,BP$5,0))))</f>
        <v/>
      </c>
      <c r="BQ575" s="174" t="str">
        <f>IF(BQ$6="","",IF(BQ$3="Maior",iferror(VLOOKUP($R575,Capa!$A:$AJ,BQ$5,0),0),IF(ISERROR(1/VLOOKUP($R575,Capa!$A:$AJ,BQ$5,0)),0,1/VLOOKUP($R575,Capa!$A:$AJ,BQ$5,0))))</f>
        <v/>
      </c>
      <c r="BR575" s="175"/>
      <c r="BS575" s="147"/>
    </row>
    <row r="576">
      <c r="H576" s="8">
        <v>570.0</v>
      </c>
      <c r="I576" s="165" t="str">
        <f t="shared" si="6"/>
        <v>MGEL4</v>
      </c>
      <c r="J576" s="166" t="str">
        <f>(VLOOKUP($I576,Capa!$A:$B,2,0))</f>
        <v>Mangels Industrial SA Preference Shares</v>
      </c>
      <c r="K576" s="167" t="str">
        <f>VLOOKUP(left(I576,4),Setor!A:D,3,0)&amp;" | "&amp;VLOOKUP(left(I576,4),Setor!A:D,4,0)</f>
        <v>Materiais Básicos | Siderurgia e Metalurgia</v>
      </c>
      <c r="L576" s="168">
        <f>(VLOOKUP($I576,Capa!$A:$F,6,0))</f>
        <v>6.19</v>
      </c>
      <c r="M576" s="168">
        <f t="shared" si="7"/>
        <v>57750.38</v>
      </c>
      <c r="N576" s="11" t="str">
        <f>IFERROR(__xludf.DUMMYFUNCTION("(VLOOKUP($I576,Capa!$A:$H,7,0))"),"")</f>
        <v/>
      </c>
      <c r="O576" s="169">
        <f>(VLOOKUP($I576,Capa!$A:$H,8,0))</f>
        <v>0.02314049587</v>
      </c>
      <c r="P576" s="11" t="str">
        <f>IFERROR(__xludf.DUMMYFUNCTION("(VLOOKUP($I576,Capa!$A:$J,10,0))"),"")</f>
        <v/>
      </c>
      <c r="Q576" s="169">
        <f>(VLOOKUP($I576,Capa!$A:$K,11,0))</f>
        <v>-0.07611940299</v>
      </c>
      <c r="R576" s="45" t="str">
        <f>'Dados StatusInvest'!A571</f>
        <v>TIMS3</v>
      </c>
      <c r="S576" s="170">
        <f t="shared" si="234"/>
        <v>630.063</v>
      </c>
      <c r="T576" s="171">
        <f>VLOOKUP(R576,'Dados StatusInvest'!A:Z,26,0)</f>
        <v>184000000</v>
      </c>
      <c r="U576" s="172">
        <f t="shared" ref="U576:AS576" si="579">IF(AT576="","", RANK(AT576,AT$7:AT$626,0)+RANK(AT576,AT$7:AT$626,0)/10000)</f>
        <v>49.0049</v>
      </c>
      <c r="V576" s="172">
        <f t="shared" si="579"/>
        <v>581.0581</v>
      </c>
      <c r="W576" s="172" t="str">
        <f t="shared" si="579"/>
        <v/>
      </c>
      <c r="X576" s="172" t="str">
        <f t="shared" si="579"/>
        <v/>
      </c>
      <c r="Y576" s="172" t="str">
        <f t="shared" si="579"/>
        <v/>
      </c>
      <c r="Z576" s="172" t="str">
        <f t="shared" si="579"/>
        <v/>
      </c>
      <c r="AA576" s="172" t="str">
        <f t="shared" si="579"/>
        <v/>
      </c>
      <c r="AB576" s="172" t="str">
        <f t="shared" si="579"/>
        <v/>
      </c>
      <c r="AC576" s="172" t="str">
        <f t="shared" si="579"/>
        <v/>
      </c>
      <c r="AD576" s="172" t="str">
        <f t="shared" si="579"/>
        <v/>
      </c>
      <c r="AE576" s="172" t="str">
        <f t="shared" si="579"/>
        <v/>
      </c>
      <c r="AF576" s="172" t="str">
        <f t="shared" si="579"/>
        <v/>
      </c>
      <c r="AG576" s="172" t="str">
        <f t="shared" si="579"/>
        <v/>
      </c>
      <c r="AH576" s="172" t="str">
        <f t="shared" si="579"/>
        <v/>
      </c>
      <c r="AI576" s="172" t="str">
        <f t="shared" si="579"/>
        <v/>
      </c>
      <c r="AJ576" s="172" t="str">
        <f t="shared" si="579"/>
        <v/>
      </c>
      <c r="AK576" s="172" t="str">
        <f t="shared" si="579"/>
        <v/>
      </c>
      <c r="AL576" s="172" t="str">
        <f t="shared" si="579"/>
        <v/>
      </c>
      <c r="AM576" s="172" t="str">
        <f t="shared" si="579"/>
        <v/>
      </c>
      <c r="AN576" s="172" t="str">
        <f t="shared" si="579"/>
        <v/>
      </c>
      <c r="AO576" s="172" t="str">
        <f t="shared" si="579"/>
        <v/>
      </c>
      <c r="AP576" s="172" t="str">
        <f t="shared" si="579"/>
        <v/>
      </c>
      <c r="AQ576" s="172" t="str">
        <f t="shared" si="579"/>
        <v/>
      </c>
      <c r="AR576" s="172" t="str">
        <f t="shared" si="579"/>
        <v/>
      </c>
      <c r="AS576" s="172" t="str">
        <f t="shared" si="579"/>
        <v/>
      </c>
      <c r="AT576" s="173">
        <f>IF(AT$6="","",IF(AT$3="Maior",iferror(VLOOKUP($R576,Capa!$A:$AJ,AT$5,0),0),IF(ISERROR(1/VLOOKUP($R576,Capa!$A:$AJ,AT$5,0)),0,1/VLOOKUP($R576,Capa!$A:$AJ,AT$5,0))))</f>
        <v>0.00001510545012</v>
      </c>
      <c r="AU576" s="174">
        <f>IF(AU$6="","",IF(AU$3="Maior",iferror(VLOOKUP($R576,Capa!$A:$AJ,AU$5,0),0),IF(ISERROR(1/VLOOKUP($R576,Capa!$A:$AJ,AU$5,0)),0,1/VLOOKUP($R576,Capa!$A:$AJ,AU$5,0))))</f>
        <v>-13.5</v>
      </c>
      <c r="AV576" s="174" t="str">
        <f>IF(AV$6="","",IF(AV$3="Maior",iferror(VLOOKUP($R576,Capa!$A:$AJ,AV$5,0),0),IF(ISERROR(1/VLOOKUP($R576,Capa!$A:$AJ,AV$5,0)),0,1/VLOOKUP($R576,Capa!$A:$AJ,AV$5,0))))</f>
        <v/>
      </c>
      <c r="AW576" s="174" t="str">
        <f>IF(AW$6="","",IF(AW$3="Maior",iferror(VLOOKUP($R576,Capa!$A:$AJ,AW$5,0),0),IF(ISERROR(1/VLOOKUP($R576,Capa!$A:$AJ,AW$5,0)),0,1/VLOOKUP($R576,Capa!$A:$AJ,AW$5,0))))</f>
        <v/>
      </c>
      <c r="AX576" s="174" t="str">
        <f>IF(AX$6="","",IF(AX$3="Maior",iferror(VLOOKUP($R576,Capa!$A:$AJ,AX$5,0),0),IF(ISERROR(1/VLOOKUP($R576,Capa!$A:$AJ,AX$5,0)),0,1/VLOOKUP($R576,Capa!$A:$AJ,AX$5,0))))</f>
        <v/>
      </c>
      <c r="AY576" s="174" t="str">
        <f>IF(AY$6="","",IF(AY$3="Maior",iferror(VLOOKUP($R576,Capa!$A:$AJ,AY$5,0),0),IF(ISERROR(1/VLOOKUP($R576,Capa!$A:$AJ,AY$5,0)),0,1/VLOOKUP($R576,Capa!$A:$AJ,AY$5,0))))</f>
        <v/>
      </c>
      <c r="AZ576" s="174" t="str">
        <f>IF(AZ$6="","",IF(AZ$3="Maior",iferror(VLOOKUP($R576,Capa!$A:$AJ,AZ$5,0),0),IF(ISERROR(1/VLOOKUP($R576,Capa!$A:$AJ,AZ$5,0)),0,1/VLOOKUP($R576,Capa!$A:$AJ,AZ$5,0))))</f>
        <v/>
      </c>
      <c r="BA576" s="174" t="str">
        <f>IF(BA$6="","",IF(BA$3="Maior",iferror(VLOOKUP($R576,Capa!$A:$AJ,BA$5,0),0),IF(ISERROR(1/VLOOKUP($R576,Capa!$A:$AJ,BA$5,0)),0,1/VLOOKUP($R576,Capa!$A:$AJ,BA$5,0))))</f>
        <v/>
      </c>
      <c r="BB576" s="174" t="str">
        <f>IF(BB$6="","",IF(BB$3="Maior",iferror(VLOOKUP($R576,Capa!$A:$AJ,BB$5,0),0),IF(ISERROR(1/VLOOKUP($R576,Capa!$A:$AJ,BB$5,0)),0,1/VLOOKUP($R576,Capa!$A:$AJ,BB$5,0))))</f>
        <v/>
      </c>
      <c r="BC576" s="174" t="str">
        <f>IF(BC$6="","",IF(BC$3="Maior",iferror(VLOOKUP($R576,Capa!$A:$AJ,BC$5,0),0),IF(ISERROR(1/VLOOKUP($R576,Capa!$A:$AJ,BC$5,0)),0,1/VLOOKUP($R576,Capa!$A:$AJ,BC$5,0))))</f>
        <v/>
      </c>
      <c r="BD576" s="174" t="str">
        <f>IF(BD$6="","",IF(BD$3="Maior",iferror(VLOOKUP($R576,Capa!$A:$AJ,BD$5,0),0),IF(ISERROR(1/VLOOKUP($R576,Capa!$A:$AJ,BD$5,0)),0,1/VLOOKUP($R576,Capa!$A:$AJ,BD$5,0))))</f>
        <v/>
      </c>
      <c r="BE576" s="174" t="str">
        <f>IF(BE$6="","",IF(BE$3="Maior",iferror(VLOOKUP($R576,Capa!$A:$AJ,BE$5,0),0),IF(ISERROR(1/VLOOKUP($R576,Capa!$A:$AJ,BE$5,0)),0,1/VLOOKUP($R576,Capa!$A:$AJ,BE$5,0))))</f>
        <v/>
      </c>
      <c r="BF576" s="174" t="str">
        <f>IF(BF$6="","",IF(BF$3="Maior",iferror(VLOOKUP($R576,Capa!$A:$AJ,BF$5,0),0),IF(ISERROR(1/VLOOKUP($R576,Capa!$A:$AJ,BF$5,0)),0,1/VLOOKUP($R576,Capa!$A:$AJ,BF$5,0))))</f>
        <v/>
      </c>
      <c r="BG576" s="174" t="str">
        <f>IF(BG$6="","",IF(BG$3="Maior",iferror(VLOOKUP($R576,Capa!$A:$AJ,BG$5,0),0),IF(ISERROR(1/VLOOKUP($R576,Capa!$A:$AJ,BG$5,0)),0,1/VLOOKUP($R576,Capa!$A:$AJ,BG$5,0))))</f>
        <v/>
      </c>
      <c r="BH576" s="174" t="str">
        <f>IF(BH$6="","",IF(BH$3="Maior",iferror(VLOOKUP($R576,Capa!$A:$AJ,BH$5,0),0),IF(ISERROR(1/VLOOKUP($R576,Capa!$A:$AJ,BH$5,0)),0,1/VLOOKUP($R576,Capa!$A:$AJ,BH$5,0))))</f>
        <v/>
      </c>
      <c r="BI576" s="174" t="str">
        <f>IF(BI$6="","",IF(BI$3="Maior",iferror(VLOOKUP($R576,Capa!$A:$AJ,BI$5,0),0),IF(ISERROR(1/VLOOKUP($R576,Capa!$A:$AJ,BI$5,0)),0,1/VLOOKUP($R576,Capa!$A:$AJ,BI$5,0))))</f>
        <v/>
      </c>
      <c r="BJ576" s="174" t="str">
        <f>IF(BJ$6="","",IF(BJ$3="Maior",iferror(VLOOKUP($R576,Capa!$A:$AJ,BJ$5,0),0),IF(ISERROR(1/VLOOKUP($R576,Capa!$A:$AJ,BJ$5,0)),0,1/VLOOKUP($R576,Capa!$A:$AJ,BJ$5,0))))</f>
        <v/>
      </c>
      <c r="BK576" s="174" t="str">
        <f>IF(BK$6="","",IF(BK$3="Maior",iferror(VLOOKUP($R576,Capa!$A:$AJ,BK$5,0),0),IF(ISERROR(1/VLOOKUP($R576,Capa!$A:$AJ,BK$5,0)),0,1/VLOOKUP($R576,Capa!$A:$AJ,BK$5,0))))</f>
        <v/>
      </c>
      <c r="BL576" s="174" t="str">
        <f>IF(BL$6="","",IF(BL$3="Maior",iferror(VLOOKUP($R576,Capa!$A:$AJ,BL$5,0),0),IF(ISERROR(1/VLOOKUP($R576,Capa!$A:$AJ,BL$5,0)),0,1/VLOOKUP($R576,Capa!$A:$AJ,BL$5,0))))</f>
        <v/>
      </c>
      <c r="BM576" s="174" t="str">
        <f>IF(BM$6="","",IF(BM$3="Maior",iferror(VLOOKUP($R576,Capa!$A:$AJ,BM$5,0),0),IF(ISERROR(1/VLOOKUP($R576,Capa!$A:$AJ,BM$5,0)),0,1/VLOOKUP($R576,Capa!$A:$AJ,BM$5,0))))</f>
        <v/>
      </c>
      <c r="BN576" s="174" t="str">
        <f>IF(BN$6="","",IF(BN$3="Maior",iferror(VLOOKUP($R576,Capa!$A:$AJ,BN$5,0),0),IF(ISERROR(1/VLOOKUP($R576,Capa!$A:$AJ,BN$5,0)),0,1/VLOOKUP($R576,Capa!$A:$AJ,BN$5,0))))</f>
        <v/>
      </c>
      <c r="BO576" s="174" t="str">
        <f>IF(BO$6="","",IF(BO$3="Maior",iferror(VLOOKUP($R576,Capa!$A:$AJ,BO$5,0),0),IF(ISERROR(1/VLOOKUP($R576,Capa!$A:$AJ,BO$5,0)),0,1/VLOOKUP($R576,Capa!$A:$AJ,BO$5,0))))</f>
        <v/>
      </c>
      <c r="BP576" s="174" t="str">
        <f>IF(BP$6="","",IF(BP$3="Maior",iferror(VLOOKUP($R576,Capa!$A:$AJ,BP$5,0),0),IF(ISERROR(1/VLOOKUP($R576,Capa!$A:$AJ,BP$5,0)),0,1/VLOOKUP($R576,Capa!$A:$AJ,BP$5,0))))</f>
        <v/>
      </c>
      <c r="BQ576" s="174" t="str">
        <f>IF(BQ$6="","",IF(BQ$3="Maior",iferror(VLOOKUP($R576,Capa!$A:$AJ,BQ$5,0),0),IF(ISERROR(1/VLOOKUP($R576,Capa!$A:$AJ,BQ$5,0)),0,1/VLOOKUP($R576,Capa!$A:$AJ,BQ$5,0))))</f>
        <v/>
      </c>
      <c r="BR576" s="175"/>
      <c r="BS576" s="147"/>
    </row>
    <row r="577">
      <c r="H577" s="8">
        <v>571.0</v>
      </c>
      <c r="I577" s="165" t="str">
        <f t="shared" si="6"/>
        <v>FRTA3</v>
      </c>
      <c r="J577" s="166" t="str">
        <f>(VLOOKUP($I577,Capa!$A:$B,2,0))</f>
        <v/>
      </c>
      <c r="K577" s="167" t="str">
        <f>VLOOKUP(left(I577,4),Setor!A:D,3,0)&amp;" | "&amp;VLOOKUP(left(I577,4),Setor!A:D,4,0)</f>
        <v>Consumo não Cíclico | Agropecuária</v>
      </c>
      <c r="L577" s="168" t="str">
        <f>(VLOOKUP($I577,Capa!$A:$F,6,0))</f>
        <v/>
      </c>
      <c r="M577" s="168">
        <f t="shared" si="7"/>
        <v>0</v>
      </c>
      <c r="N577" s="11" t="str">
        <f>(VLOOKUP($I577,Capa!$A:$H,7,0))</f>
        <v/>
      </c>
      <c r="O577" s="169" t="str">
        <f>(VLOOKUP($I577,Capa!$A:$H,8,0))</f>
        <v/>
      </c>
      <c r="P577" s="11" t="str">
        <f>(VLOOKUP($I577,Capa!$A:$J,10,0))</f>
        <v/>
      </c>
      <c r="Q577" s="169" t="str">
        <f>(VLOOKUP($I577,Capa!$A:$K,11,0))</f>
        <v/>
      </c>
      <c r="R577" s="45" t="str">
        <f>'Dados StatusInvest'!A572</f>
        <v>TKNO3</v>
      </c>
      <c r="S577" s="170">
        <f t="shared" si="234"/>
        <v>1281.0281</v>
      </c>
      <c r="T577" s="171">
        <f>VLOOKUP(R577,'Dados StatusInvest'!A:Z,26,0)</f>
        <v>15611.5</v>
      </c>
      <c r="U577" s="172">
        <f t="shared" ref="U577:AS577" si="580">IF(AT577="","", RANK(AT577,AT$7:AT$626,0)+RANK(AT577,AT$7:AT$626,0)/10000)</f>
        <v>201.0201</v>
      </c>
      <c r="V577" s="172">
        <f t="shared" si="580"/>
        <v>80.008</v>
      </c>
      <c r="W577" s="172" t="str">
        <f t="shared" si="580"/>
        <v/>
      </c>
      <c r="X577" s="172" t="str">
        <f t="shared" si="580"/>
        <v/>
      </c>
      <c r="Y577" s="172" t="str">
        <f t="shared" si="580"/>
        <v/>
      </c>
      <c r="Z577" s="172" t="str">
        <f t="shared" si="580"/>
        <v/>
      </c>
      <c r="AA577" s="172" t="str">
        <f t="shared" si="580"/>
        <v/>
      </c>
      <c r="AB577" s="172" t="str">
        <f t="shared" si="580"/>
        <v/>
      </c>
      <c r="AC577" s="172" t="str">
        <f t="shared" si="580"/>
        <v/>
      </c>
      <c r="AD577" s="172" t="str">
        <f t="shared" si="580"/>
        <v/>
      </c>
      <c r="AE577" s="172" t="str">
        <f t="shared" si="580"/>
        <v/>
      </c>
      <c r="AF577" s="172" t="str">
        <f t="shared" si="580"/>
        <v/>
      </c>
      <c r="AG577" s="172" t="str">
        <f t="shared" si="580"/>
        <v/>
      </c>
      <c r="AH577" s="172" t="str">
        <f t="shared" si="580"/>
        <v/>
      </c>
      <c r="AI577" s="172" t="str">
        <f t="shared" si="580"/>
        <v/>
      </c>
      <c r="AJ577" s="172" t="str">
        <f t="shared" si="580"/>
        <v/>
      </c>
      <c r="AK577" s="172" t="str">
        <f t="shared" si="580"/>
        <v/>
      </c>
      <c r="AL577" s="172" t="str">
        <f t="shared" si="580"/>
        <v/>
      </c>
      <c r="AM577" s="172" t="str">
        <f t="shared" si="580"/>
        <v/>
      </c>
      <c r="AN577" s="172" t="str">
        <f t="shared" si="580"/>
        <v/>
      </c>
      <c r="AO577" s="172" t="str">
        <f t="shared" si="580"/>
        <v/>
      </c>
      <c r="AP577" s="172" t="str">
        <f t="shared" si="580"/>
        <v/>
      </c>
      <c r="AQ577" s="172" t="str">
        <f t="shared" si="580"/>
        <v/>
      </c>
      <c r="AR577" s="172" t="str">
        <f t="shared" si="580"/>
        <v/>
      </c>
      <c r="AS577" s="172" t="str">
        <f t="shared" si="580"/>
        <v/>
      </c>
      <c r="AT577" s="173">
        <f>IF(AT$6="","",IF(AT$3="Maior",iferror(VLOOKUP($R577,Capa!$A:$AJ,AT$5,0),0),IF(ISERROR(1/VLOOKUP($R577,Capa!$A:$AJ,AT$5,0)),0,1/VLOOKUP($R577,Capa!$A:$AJ,AT$5,0))))</f>
        <v>-0.2732240437</v>
      </c>
      <c r="AU577" s="174">
        <f>IF(AU$6="","",IF(AU$3="Maior",iferror(VLOOKUP($R577,Capa!$A:$AJ,AU$5,0),0),IF(ISERROR(1/VLOOKUP($R577,Capa!$A:$AJ,AU$5,0)),0,1/VLOOKUP($R577,Capa!$A:$AJ,AU$5,0))))</f>
        <v>30.54</v>
      </c>
      <c r="AV577" s="174" t="str">
        <f>IF(AV$6="","",IF(AV$3="Maior",iferror(VLOOKUP($R577,Capa!$A:$AJ,AV$5,0),0),IF(ISERROR(1/VLOOKUP($R577,Capa!$A:$AJ,AV$5,0)),0,1/VLOOKUP($R577,Capa!$A:$AJ,AV$5,0))))</f>
        <v/>
      </c>
      <c r="AW577" s="174" t="str">
        <f>IF(AW$6="","",IF(AW$3="Maior",iferror(VLOOKUP($R577,Capa!$A:$AJ,AW$5,0),0),IF(ISERROR(1/VLOOKUP($R577,Capa!$A:$AJ,AW$5,0)),0,1/VLOOKUP($R577,Capa!$A:$AJ,AW$5,0))))</f>
        <v/>
      </c>
      <c r="AX577" s="174" t="str">
        <f>IF(AX$6="","",IF(AX$3="Maior",iferror(VLOOKUP($R577,Capa!$A:$AJ,AX$5,0),0),IF(ISERROR(1/VLOOKUP($R577,Capa!$A:$AJ,AX$5,0)),0,1/VLOOKUP($R577,Capa!$A:$AJ,AX$5,0))))</f>
        <v/>
      </c>
      <c r="AY577" s="174" t="str">
        <f>IF(AY$6="","",IF(AY$3="Maior",iferror(VLOOKUP($R577,Capa!$A:$AJ,AY$5,0),0),IF(ISERROR(1/VLOOKUP($R577,Capa!$A:$AJ,AY$5,0)),0,1/VLOOKUP($R577,Capa!$A:$AJ,AY$5,0))))</f>
        <v/>
      </c>
      <c r="AZ577" s="174" t="str">
        <f>IF(AZ$6="","",IF(AZ$3="Maior",iferror(VLOOKUP($R577,Capa!$A:$AJ,AZ$5,0),0),IF(ISERROR(1/VLOOKUP($R577,Capa!$A:$AJ,AZ$5,0)),0,1/VLOOKUP($R577,Capa!$A:$AJ,AZ$5,0))))</f>
        <v/>
      </c>
      <c r="BA577" s="174" t="str">
        <f>IF(BA$6="","",IF(BA$3="Maior",iferror(VLOOKUP($R577,Capa!$A:$AJ,BA$5,0),0),IF(ISERROR(1/VLOOKUP($R577,Capa!$A:$AJ,BA$5,0)),0,1/VLOOKUP($R577,Capa!$A:$AJ,BA$5,0))))</f>
        <v/>
      </c>
      <c r="BB577" s="174" t="str">
        <f>IF(BB$6="","",IF(BB$3="Maior",iferror(VLOOKUP($R577,Capa!$A:$AJ,BB$5,0),0),IF(ISERROR(1/VLOOKUP($R577,Capa!$A:$AJ,BB$5,0)),0,1/VLOOKUP($R577,Capa!$A:$AJ,BB$5,0))))</f>
        <v/>
      </c>
      <c r="BC577" s="174" t="str">
        <f>IF(BC$6="","",IF(BC$3="Maior",iferror(VLOOKUP($R577,Capa!$A:$AJ,BC$5,0),0),IF(ISERROR(1/VLOOKUP($R577,Capa!$A:$AJ,BC$5,0)),0,1/VLOOKUP($R577,Capa!$A:$AJ,BC$5,0))))</f>
        <v/>
      </c>
      <c r="BD577" s="174" t="str">
        <f>IF(BD$6="","",IF(BD$3="Maior",iferror(VLOOKUP($R577,Capa!$A:$AJ,BD$5,0),0),IF(ISERROR(1/VLOOKUP($R577,Capa!$A:$AJ,BD$5,0)),0,1/VLOOKUP($R577,Capa!$A:$AJ,BD$5,0))))</f>
        <v/>
      </c>
      <c r="BE577" s="174" t="str">
        <f>IF(BE$6="","",IF(BE$3="Maior",iferror(VLOOKUP($R577,Capa!$A:$AJ,BE$5,0),0),IF(ISERROR(1/VLOOKUP($R577,Capa!$A:$AJ,BE$5,0)),0,1/VLOOKUP($R577,Capa!$A:$AJ,BE$5,0))))</f>
        <v/>
      </c>
      <c r="BF577" s="174" t="str">
        <f>IF(BF$6="","",IF(BF$3="Maior",iferror(VLOOKUP($R577,Capa!$A:$AJ,BF$5,0),0),IF(ISERROR(1/VLOOKUP($R577,Capa!$A:$AJ,BF$5,0)),0,1/VLOOKUP($R577,Capa!$A:$AJ,BF$5,0))))</f>
        <v/>
      </c>
      <c r="BG577" s="174" t="str">
        <f>IF(BG$6="","",IF(BG$3="Maior",iferror(VLOOKUP($R577,Capa!$A:$AJ,BG$5,0),0),IF(ISERROR(1/VLOOKUP($R577,Capa!$A:$AJ,BG$5,0)),0,1/VLOOKUP($R577,Capa!$A:$AJ,BG$5,0))))</f>
        <v/>
      </c>
      <c r="BH577" s="174" t="str">
        <f>IF(BH$6="","",IF(BH$3="Maior",iferror(VLOOKUP($R577,Capa!$A:$AJ,BH$5,0),0),IF(ISERROR(1/VLOOKUP($R577,Capa!$A:$AJ,BH$5,0)),0,1/VLOOKUP($R577,Capa!$A:$AJ,BH$5,0))))</f>
        <v/>
      </c>
      <c r="BI577" s="174" t="str">
        <f>IF(BI$6="","",IF(BI$3="Maior",iferror(VLOOKUP($R577,Capa!$A:$AJ,BI$5,0),0),IF(ISERROR(1/VLOOKUP($R577,Capa!$A:$AJ,BI$5,0)),0,1/VLOOKUP($R577,Capa!$A:$AJ,BI$5,0))))</f>
        <v/>
      </c>
      <c r="BJ577" s="174" t="str">
        <f>IF(BJ$6="","",IF(BJ$3="Maior",iferror(VLOOKUP($R577,Capa!$A:$AJ,BJ$5,0),0),IF(ISERROR(1/VLOOKUP($R577,Capa!$A:$AJ,BJ$5,0)),0,1/VLOOKUP($R577,Capa!$A:$AJ,BJ$5,0))))</f>
        <v/>
      </c>
      <c r="BK577" s="174" t="str">
        <f>IF(BK$6="","",IF(BK$3="Maior",iferror(VLOOKUP($R577,Capa!$A:$AJ,BK$5,0),0),IF(ISERROR(1/VLOOKUP($R577,Capa!$A:$AJ,BK$5,0)),0,1/VLOOKUP($R577,Capa!$A:$AJ,BK$5,0))))</f>
        <v/>
      </c>
      <c r="BL577" s="174" t="str">
        <f>IF(BL$6="","",IF(BL$3="Maior",iferror(VLOOKUP($R577,Capa!$A:$AJ,BL$5,0),0),IF(ISERROR(1/VLOOKUP($R577,Capa!$A:$AJ,BL$5,0)),0,1/VLOOKUP($R577,Capa!$A:$AJ,BL$5,0))))</f>
        <v/>
      </c>
      <c r="BM577" s="174" t="str">
        <f>IF(BM$6="","",IF(BM$3="Maior",iferror(VLOOKUP($R577,Capa!$A:$AJ,BM$5,0),0),IF(ISERROR(1/VLOOKUP($R577,Capa!$A:$AJ,BM$5,0)),0,1/VLOOKUP($R577,Capa!$A:$AJ,BM$5,0))))</f>
        <v/>
      </c>
      <c r="BN577" s="174" t="str">
        <f>IF(BN$6="","",IF(BN$3="Maior",iferror(VLOOKUP($R577,Capa!$A:$AJ,BN$5,0),0),IF(ISERROR(1/VLOOKUP($R577,Capa!$A:$AJ,BN$5,0)),0,1/VLOOKUP($R577,Capa!$A:$AJ,BN$5,0))))</f>
        <v/>
      </c>
      <c r="BO577" s="174" t="str">
        <f>IF(BO$6="","",IF(BO$3="Maior",iferror(VLOOKUP($R577,Capa!$A:$AJ,BO$5,0),0),IF(ISERROR(1/VLOOKUP($R577,Capa!$A:$AJ,BO$5,0)),0,1/VLOOKUP($R577,Capa!$A:$AJ,BO$5,0))))</f>
        <v/>
      </c>
      <c r="BP577" s="174" t="str">
        <f>IF(BP$6="","",IF(BP$3="Maior",iferror(VLOOKUP($R577,Capa!$A:$AJ,BP$5,0),0),IF(ISERROR(1/VLOOKUP($R577,Capa!$A:$AJ,BP$5,0)),0,1/VLOOKUP($R577,Capa!$A:$AJ,BP$5,0))))</f>
        <v/>
      </c>
      <c r="BQ577" s="174" t="str">
        <f>IF(BQ$6="","",IF(BQ$3="Maior",iferror(VLOOKUP($R577,Capa!$A:$AJ,BQ$5,0),0),IF(ISERROR(1/VLOOKUP($R577,Capa!$A:$AJ,BQ$5,0)),0,1/VLOOKUP($R577,Capa!$A:$AJ,BQ$5,0))))</f>
        <v/>
      </c>
      <c r="BR577" s="175"/>
      <c r="BS577" s="147"/>
    </row>
    <row r="578">
      <c r="H578" s="8">
        <v>572.0</v>
      </c>
      <c r="I578" s="165" t="str">
        <f t="shared" si="6"/>
        <v>BRSR5</v>
      </c>
      <c r="J578" s="166" t="str">
        <f>(VLOOKUP($I578,Capa!$A:$B,2,0))</f>
        <v>Banco do Estado do Rio Grande do Sul SA Preference Shares Class A</v>
      </c>
      <c r="K578" s="167" t="str">
        <f>VLOOKUP(left(I578,4),Setor!A:D,3,0)&amp;" | "&amp;VLOOKUP(left(I578,4),Setor!A:D,4,0)</f>
        <v>Financeiro | Intermediários Financeiros</v>
      </c>
      <c r="L578" s="168">
        <f>(VLOOKUP($I578,Capa!$A:$F,6,0))</f>
        <v>18.73</v>
      </c>
      <c r="M578" s="168">
        <f t="shared" si="7"/>
        <v>4641.75</v>
      </c>
      <c r="N578" s="11" t="str">
        <f>IFERROR(__xludf.DUMMYFUNCTION("(VLOOKUP($I578,Capa!$A:$H,7,0))"),"")</f>
        <v/>
      </c>
      <c r="O578" s="169">
        <f>(VLOOKUP($I578,Capa!$A:$H,8,0))</f>
        <v>-0.03948717949</v>
      </c>
      <c r="P578" s="11" t="str">
        <f>IFERROR(__xludf.DUMMYFUNCTION("(VLOOKUP($I578,Capa!$A:$J,10,0))"),"")</f>
        <v/>
      </c>
      <c r="Q578" s="169">
        <f>(VLOOKUP($I578,Capa!$A:$K,11,0))</f>
        <v>0.2486666667</v>
      </c>
      <c r="R578" s="45" t="str">
        <f>'Dados StatusInvest'!A573</f>
        <v>TKNO4</v>
      </c>
      <c r="S578" s="170">
        <f t="shared" si="234"/>
        <v>1283.0283</v>
      </c>
      <c r="T578" s="171">
        <f>VLOOKUP(R578,'Dados StatusInvest'!A:Z,26,0)</f>
        <v>25459.9</v>
      </c>
      <c r="U578" s="172">
        <f t="shared" ref="U578:AS578" si="581">IF(AT578="","", RANK(AT578,AT$7:AT$626,0)+RANK(AT578,AT$7:AT$626,0)/10000)</f>
        <v>203.0203</v>
      </c>
      <c r="V578" s="172">
        <f t="shared" si="581"/>
        <v>80.008</v>
      </c>
      <c r="W578" s="172" t="str">
        <f t="shared" si="581"/>
        <v/>
      </c>
      <c r="X578" s="172" t="str">
        <f t="shared" si="581"/>
        <v/>
      </c>
      <c r="Y578" s="172" t="str">
        <f t="shared" si="581"/>
        <v/>
      </c>
      <c r="Z578" s="172" t="str">
        <f t="shared" si="581"/>
        <v/>
      </c>
      <c r="AA578" s="172" t="str">
        <f t="shared" si="581"/>
        <v/>
      </c>
      <c r="AB578" s="172" t="str">
        <f t="shared" si="581"/>
        <v/>
      </c>
      <c r="AC578" s="172" t="str">
        <f t="shared" si="581"/>
        <v/>
      </c>
      <c r="AD578" s="172" t="str">
        <f t="shared" si="581"/>
        <v/>
      </c>
      <c r="AE578" s="172" t="str">
        <f t="shared" si="581"/>
        <v/>
      </c>
      <c r="AF578" s="172" t="str">
        <f t="shared" si="581"/>
        <v/>
      </c>
      <c r="AG578" s="172" t="str">
        <f t="shared" si="581"/>
        <v/>
      </c>
      <c r="AH578" s="172" t="str">
        <f t="shared" si="581"/>
        <v/>
      </c>
      <c r="AI578" s="172" t="str">
        <f t="shared" si="581"/>
        <v/>
      </c>
      <c r="AJ578" s="172" t="str">
        <f t="shared" si="581"/>
        <v/>
      </c>
      <c r="AK578" s="172" t="str">
        <f t="shared" si="581"/>
        <v/>
      </c>
      <c r="AL578" s="172" t="str">
        <f t="shared" si="581"/>
        <v/>
      </c>
      <c r="AM578" s="172" t="str">
        <f t="shared" si="581"/>
        <v/>
      </c>
      <c r="AN578" s="172" t="str">
        <f t="shared" si="581"/>
        <v/>
      </c>
      <c r="AO578" s="172" t="str">
        <f t="shared" si="581"/>
        <v/>
      </c>
      <c r="AP578" s="172" t="str">
        <f t="shared" si="581"/>
        <v/>
      </c>
      <c r="AQ578" s="172" t="str">
        <f t="shared" si="581"/>
        <v/>
      </c>
      <c r="AR578" s="172" t="str">
        <f t="shared" si="581"/>
        <v/>
      </c>
      <c r="AS578" s="172" t="str">
        <f t="shared" si="581"/>
        <v/>
      </c>
      <c r="AT578" s="173">
        <f>IF(AT$6="","",IF(AT$3="Maior",iferror(VLOOKUP($R578,Capa!$A:$AJ,AT$5,0),0),IF(ISERROR(1/VLOOKUP($R578,Capa!$A:$AJ,AT$5,0)),0,1/VLOOKUP($R578,Capa!$A:$AJ,AT$5,0))))</f>
        <v>-0.2747252747</v>
      </c>
      <c r="AU578" s="174">
        <f>IF(AU$6="","",IF(AU$3="Maior",iferror(VLOOKUP($R578,Capa!$A:$AJ,AU$5,0),0),IF(ISERROR(1/VLOOKUP($R578,Capa!$A:$AJ,AU$5,0)),0,1/VLOOKUP($R578,Capa!$A:$AJ,AU$5,0))))</f>
        <v>30.54</v>
      </c>
      <c r="AV578" s="174" t="str">
        <f>IF(AV$6="","",IF(AV$3="Maior",iferror(VLOOKUP($R578,Capa!$A:$AJ,AV$5,0),0),IF(ISERROR(1/VLOOKUP($R578,Capa!$A:$AJ,AV$5,0)),0,1/VLOOKUP($R578,Capa!$A:$AJ,AV$5,0))))</f>
        <v/>
      </c>
      <c r="AW578" s="174" t="str">
        <f>IF(AW$6="","",IF(AW$3="Maior",iferror(VLOOKUP($R578,Capa!$A:$AJ,AW$5,0),0),IF(ISERROR(1/VLOOKUP($R578,Capa!$A:$AJ,AW$5,0)),0,1/VLOOKUP($R578,Capa!$A:$AJ,AW$5,0))))</f>
        <v/>
      </c>
      <c r="AX578" s="174" t="str">
        <f>IF(AX$6="","",IF(AX$3="Maior",iferror(VLOOKUP($R578,Capa!$A:$AJ,AX$5,0),0),IF(ISERROR(1/VLOOKUP($R578,Capa!$A:$AJ,AX$5,0)),0,1/VLOOKUP($R578,Capa!$A:$AJ,AX$5,0))))</f>
        <v/>
      </c>
      <c r="AY578" s="174" t="str">
        <f>IF(AY$6="","",IF(AY$3="Maior",iferror(VLOOKUP($R578,Capa!$A:$AJ,AY$5,0),0),IF(ISERROR(1/VLOOKUP($R578,Capa!$A:$AJ,AY$5,0)),0,1/VLOOKUP($R578,Capa!$A:$AJ,AY$5,0))))</f>
        <v/>
      </c>
      <c r="AZ578" s="174" t="str">
        <f>IF(AZ$6="","",IF(AZ$3="Maior",iferror(VLOOKUP($R578,Capa!$A:$AJ,AZ$5,0),0),IF(ISERROR(1/VLOOKUP($R578,Capa!$A:$AJ,AZ$5,0)),0,1/VLOOKUP($R578,Capa!$A:$AJ,AZ$5,0))))</f>
        <v/>
      </c>
      <c r="BA578" s="174" t="str">
        <f>IF(BA$6="","",IF(BA$3="Maior",iferror(VLOOKUP($R578,Capa!$A:$AJ,BA$5,0),0),IF(ISERROR(1/VLOOKUP($R578,Capa!$A:$AJ,BA$5,0)),0,1/VLOOKUP($R578,Capa!$A:$AJ,BA$5,0))))</f>
        <v/>
      </c>
      <c r="BB578" s="174" t="str">
        <f>IF(BB$6="","",IF(BB$3="Maior",iferror(VLOOKUP($R578,Capa!$A:$AJ,BB$5,0),0),IF(ISERROR(1/VLOOKUP($R578,Capa!$A:$AJ,BB$5,0)),0,1/VLOOKUP($R578,Capa!$A:$AJ,BB$5,0))))</f>
        <v/>
      </c>
      <c r="BC578" s="174" t="str">
        <f>IF(BC$6="","",IF(BC$3="Maior",iferror(VLOOKUP($R578,Capa!$A:$AJ,BC$5,0),0),IF(ISERROR(1/VLOOKUP($R578,Capa!$A:$AJ,BC$5,0)),0,1/VLOOKUP($R578,Capa!$A:$AJ,BC$5,0))))</f>
        <v/>
      </c>
      <c r="BD578" s="174" t="str">
        <f>IF(BD$6="","",IF(BD$3="Maior",iferror(VLOOKUP($R578,Capa!$A:$AJ,BD$5,0),0),IF(ISERROR(1/VLOOKUP($R578,Capa!$A:$AJ,BD$5,0)),0,1/VLOOKUP($R578,Capa!$A:$AJ,BD$5,0))))</f>
        <v/>
      </c>
      <c r="BE578" s="174" t="str">
        <f>IF(BE$6="","",IF(BE$3="Maior",iferror(VLOOKUP($R578,Capa!$A:$AJ,BE$5,0),0),IF(ISERROR(1/VLOOKUP($R578,Capa!$A:$AJ,BE$5,0)),0,1/VLOOKUP($R578,Capa!$A:$AJ,BE$5,0))))</f>
        <v/>
      </c>
      <c r="BF578" s="174" t="str">
        <f>IF(BF$6="","",IF(BF$3="Maior",iferror(VLOOKUP($R578,Capa!$A:$AJ,BF$5,0),0),IF(ISERROR(1/VLOOKUP($R578,Capa!$A:$AJ,BF$5,0)),0,1/VLOOKUP($R578,Capa!$A:$AJ,BF$5,0))))</f>
        <v/>
      </c>
      <c r="BG578" s="174" t="str">
        <f>IF(BG$6="","",IF(BG$3="Maior",iferror(VLOOKUP($R578,Capa!$A:$AJ,BG$5,0),0),IF(ISERROR(1/VLOOKUP($R578,Capa!$A:$AJ,BG$5,0)),0,1/VLOOKUP($R578,Capa!$A:$AJ,BG$5,0))))</f>
        <v/>
      </c>
      <c r="BH578" s="174" t="str">
        <f>IF(BH$6="","",IF(BH$3="Maior",iferror(VLOOKUP($R578,Capa!$A:$AJ,BH$5,0),0),IF(ISERROR(1/VLOOKUP($R578,Capa!$A:$AJ,BH$5,0)),0,1/VLOOKUP($R578,Capa!$A:$AJ,BH$5,0))))</f>
        <v/>
      </c>
      <c r="BI578" s="174" t="str">
        <f>IF(BI$6="","",IF(BI$3="Maior",iferror(VLOOKUP($R578,Capa!$A:$AJ,BI$5,0),0),IF(ISERROR(1/VLOOKUP($R578,Capa!$A:$AJ,BI$5,0)),0,1/VLOOKUP($R578,Capa!$A:$AJ,BI$5,0))))</f>
        <v/>
      </c>
      <c r="BJ578" s="174" t="str">
        <f>IF(BJ$6="","",IF(BJ$3="Maior",iferror(VLOOKUP($R578,Capa!$A:$AJ,BJ$5,0),0),IF(ISERROR(1/VLOOKUP($R578,Capa!$A:$AJ,BJ$5,0)),0,1/VLOOKUP($R578,Capa!$A:$AJ,BJ$5,0))))</f>
        <v/>
      </c>
      <c r="BK578" s="174" t="str">
        <f>IF(BK$6="","",IF(BK$3="Maior",iferror(VLOOKUP($R578,Capa!$A:$AJ,BK$5,0),0),IF(ISERROR(1/VLOOKUP($R578,Capa!$A:$AJ,BK$5,0)),0,1/VLOOKUP($R578,Capa!$A:$AJ,BK$5,0))))</f>
        <v/>
      </c>
      <c r="BL578" s="174" t="str">
        <f>IF(BL$6="","",IF(BL$3="Maior",iferror(VLOOKUP($R578,Capa!$A:$AJ,BL$5,0),0),IF(ISERROR(1/VLOOKUP($R578,Capa!$A:$AJ,BL$5,0)),0,1/VLOOKUP($R578,Capa!$A:$AJ,BL$5,0))))</f>
        <v/>
      </c>
      <c r="BM578" s="174" t="str">
        <f>IF(BM$6="","",IF(BM$3="Maior",iferror(VLOOKUP($R578,Capa!$A:$AJ,BM$5,0),0),IF(ISERROR(1/VLOOKUP($R578,Capa!$A:$AJ,BM$5,0)),0,1/VLOOKUP($R578,Capa!$A:$AJ,BM$5,0))))</f>
        <v/>
      </c>
      <c r="BN578" s="174" t="str">
        <f>IF(BN$6="","",IF(BN$3="Maior",iferror(VLOOKUP($R578,Capa!$A:$AJ,BN$5,0),0),IF(ISERROR(1/VLOOKUP($R578,Capa!$A:$AJ,BN$5,0)),0,1/VLOOKUP($R578,Capa!$A:$AJ,BN$5,0))))</f>
        <v/>
      </c>
      <c r="BO578" s="174" t="str">
        <f>IF(BO$6="","",IF(BO$3="Maior",iferror(VLOOKUP($R578,Capa!$A:$AJ,BO$5,0),0),IF(ISERROR(1/VLOOKUP($R578,Capa!$A:$AJ,BO$5,0)),0,1/VLOOKUP($R578,Capa!$A:$AJ,BO$5,0))))</f>
        <v/>
      </c>
      <c r="BP578" s="174" t="str">
        <f>IF(BP$6="","",IF(BP$3="Maior",iferror(VLOOKUP($R578,Capa!$A:$AJ,BP$5,0),0),IF(ISERROR(1/VLOOKUP($R578,Capa!$A:$AJ,BP$5,0)),0,1/VLOOKUP($R578,Capa!$A:$AJ,BP$5,0))))</f>
        <v/>
      </c>
      <c r="BQ578" s="174" t="str">
        <f>IF(BQ$6="","",IF(BQ$3="Maior",iferror(VLOOKUP($R578,Capa!$A:$AJ,BQ$5,0),0),IF(ISERROR(1/VLOOKUP($R578,Capa!$A:$AJ,BQ$5,0)),0,1/VLOOKUP($R578,Capa!$A:$AJ,BQ$5,0))))</f>
        <v/>
      </c>
      <c r="BR578" s="175"/>
      <c r="BS578" s="147"/>
    </row>
    <row r="579">
      <c r="H579" s="8">
        <v>573.0</v>
      </c>
      <c r="I579" s="165" t="str">
        <f t="shared" si="6"/>
        <v>BRGE11</v>
      </c>
      <c r="J579" s="166" t="str">
        <f>(VLOOKUP($I579,Capa!$A:$B,2,0))</f>
        <v/>
      </c>
      <c r="K579" s="167" t="str">
        <f>VLOOKUP(left(I579,4),Setor!A:D,3,0)&amp;" | "&amp;VLOOKUP(left(I579,4),Setor!A:D,4,0)</f>
        <v>Financeiro | Previdência e Seguros</v>
      </c>
      <c r="L579" s="168" t="str">
        <f>(VLOOKUP($I579,Capa!$A:$F,6,0))</f>
        <v/>
      </c>
      <c r="M579" s="168">
        <f t="shared" si="7"/>
        <v>0</v>
      </c>
      <c r="N579" s="11" t="str">
        <f>(VLOOKUP($I579,Capa!$A:$H,7,0))</f>
        <v/>
      </c>
      <c r="O579" s="169" t="str">
        <f>(VLOOKUP($I579,Capa!$A:$H,8,0))</f>
        <v/>
      </c>
      <c r="P579" s="11" t="str">
        <f>(VLOOKUP($I579,Capa!$A:$J,10,0))</f>
        <v/>
      </c>
      <c r="Q579" s="169" t="str">
        <f>(VLOOKUP($I579,Capa!$A:$K,11,0))</f>
        <v/>
      </c>
      <c r="R579" s="45" t="str">
        <f>'Dados StatusInvest'!A574</f>
        <v>TOKY3</v>
      </c>
      <c r="S579" s="170">
        <f t="shared" si="234"/>
        <v>1393.0393</v>
      </c>
      <c r="T579" s="171">
        <f>VLOOKUP(R579,'Dados StatusInvest'!A:Z,26,0)</f>
        <v>390264.3</v>
      </c>
      <c r="U579" s="172">
        <f t="shared" ref="U579:AS579" si="582">IF(AT579="","", RANK(AT579,AT$7:AT$626,0)+RANK(AT579,AT$7:AT$626,0)/10000)</f>
        <v>126.0126</v>
      </c>
      <c r="V579" s="172">
        <f t="shared" si="582"/>
        <v>267.0267</v>
      </c>
      <c r="W579" s="172" t="str">
        <f t="shared" si="582"/>
        <v/>
      </c>
      <c r="X579" s="172" t="str">
        <f t="shared" si="582"/>
        <v/>
      </c>
      <c r="Y579" s="172" t="str">
        <f t="shared" si="582"/>
        <v/>
      </c>
      <c r="Z579" s="172" t="str">
        <f t="shared" si="582"/>
        <v/>
      </c>
      <c r="AA579" s="172" t="str">
        <f t="shared" si="582"/>
        <v/>
      </c>
      <c r="AB579" s="172" t="str">
        <f t="shared" si="582"/>
        <v/>
      </c>
      <c r="AC579" s="172" t="str">
        <f t="shared" si="582"/>
        <v/>
      </c>
      <c r="AD579" s="172" t="str">
        <f t="shared" si="582"/>
        <v/>
      </c>
      <c r="AE579" s="172" t="str">
        <f t="shared" si="582"/>
        <v/>
      </c>
      <c r="AF579" s="172" t="str">
        <f t="shared" si="582"/>
        <v/>
      </c>
      <c r="AG579" s="172" t="str">
        <f t="shared" si="582"/>
        <v/>
      </c>
      <c r="AH579" s="172" t="str">
        <f t="shared" si="582"/>
        <v/>
      </c>
      <c r="AI579" s="172" t="str">
        <f t="shared" si="582"/>
        <v/>
      </c>
      <c r="AJ579" s="172" t="str">
        <f t="shared" si="582"/>
        <v/>
      </c>
      <c r="AK579" s="172" t="str">
        <f t="shared" si="582"/>
        <v/>
      </c>
      <c r="AL579" s="172" t="str">
        <f t="shared" si="582"/>
        <v/>
      </c>
      <c r="AM579" s="172" t="str">
        <f t="shared" si="582"/>
        <v/>
      </c>
      <c r="AN579" s="172" t="str">
        <f t="shared" si="582"/>
        <v/>
      </c>
      <c r="AO579" s="172" t="str">
        <f t="shared" si="582"/>
        <v/>
      </c>
      <c r="AP579" s="172" t="str">
        <f t="shared" si="582"/>
        <v/>
      </c>
      <c r="AQ579" s="172" t="str">
        <f t="shared" si="582"/>
        <v/>
      </c>
      <c r="AR579" s="172" t="str">
        <f t="shared" si="582"/>
        <v/>
      </c>
      <c r="AS579" s="172" t="str">
        <f t="shared" si="582"/>
        <v/>
      </c>
      <c r="AT579" s="173">
        <f>IF(AT$6="","",IF(AT$3="Maior",iferror(VLOOKUP($R579,Capa!$A:$AJ,AT$5,0),0),IF(ISERROR(1/VLOOKUP($R579,Capa!$A:$AJ,AT$5,0)),0,1/VLOOKUP($R579,Capa!$A:$AJ,AT$5,0))))</f>
        <v>-0.02144051167</v>
      </c>
      <c r="AU579" s="174">
        <f>IF(AU$6="","",IF(AU$3="Maior",iferror(VLOOKUP($R579,Capa!$A:$AJ,AU$5,0),0),IF(ISERROR(1/VLOOKUP($R579,Capa!$A:$AJ,AU$5,0)),0,1/VLOOKUP($R579,Capa!$A:$AJ,AU$5,0))))</f>
        <v>0</v>
      </c>
      <c r="AV579" s="174" t="str">
        <f>IF(AV$6="","",IF(AV$3="Maior",iferror(VLOOKUP($R579,Capa!$A:$AJ,AV$5,0),0),IF(ISERROR(1/VLOOKUP($R579,Capa!$A:$AJ,AV$5,0)),0,1/VLOOKUP($R579,Capa!$A:$AJ,AV$5,0))))</f>
        <v/>
      </c>
      <c r="AW579" s="174" t="str">
        <f>IF(AW$6="","",IF(AW$3="Maior",iferror(VLOOKUP($R579,Capa!$A:$AJ,AW$5,0),0),IF(ISERROR(1/VLOOKUP($R579,Capa!$A:$AJ,AW$5,0)),0,1/VLOOKUP($R579,Capa!$A:$AJ,AW$5,0))))</f>
        <v/>
      </c>
      <c r="AX579" s="174" t="str">
        <f>IF(AX$6="","",IF(AX$3="Maior",iferror(VLOOKUP($R579,Capa!$A:$AJ,AX$5,0),0),IF(ISERROR(1/VLOOKUP($R579,Capa!$A:$AJ,AX$5,0)),0,1/VLOOKUP($R579,Capa!$A:$AJ,AX$5,0))))</f>
        <v/>
      </c>
      <c r="AY579" s="174" t="str">
        <f>IF(AY$6="","",IF(AY$3="Maior",iferror(VLOOKUP($R579,Capa!$A:$AJ,AY$5,0),0),IF(ISERROR(1/VLOOKUP($R579,Capa!$A:$AJ,AY$5,0)),0,1/VLOOKUP($R579,Capa!$A:$AJ,AY$5,0))))</f>
        <v/>
      </c>
      <c r="AZ579" s="174" t="str">
        <f>IF(AZ$6="","",IF(AZ$3="Maior",iferror(VLOOKUP($R579,Capa!$A:$AJ,AZ$5,0),0),IF(ISERROR(1/VLOOKUP($R579,Capa!$A:$AJ,AZ$5,0)),0,1/VLOOKUP($R579,Capa!$A:$AJ,AZ$5,0))))</f>
        <v/>
      </c>
      <c r="BA579" s="174" t="str">
        <f>IF(BA$6="","",IF(BA$3="Maior",iferror(VLOOKUP($R579,Capa!$A:$AJ,BA$5,0),0),IF(ISERROR(1/VLOOKUP($R579,Capa!$A:$AJ,BA$5,0)),0,1/VLOOKUP($R579,Capa!$A:$AJ,BA$5,0))))</f>
        <v/>
      </c>
      <c r="BB579" s="174" t="str">
        <f>IF(BB$6="","",IF(BB$3="Maior",iferror(VLOOKUP($R579,Capa!$A:$AJ,BB$5,0),0),IF(ISERROR(1/VLOOKUP($R579,Capa!$A:$AJ,BB$5,0)),0,1/VLOOKUP($R579,Capa!$A:$AJ,BB$5,0))))</f>
        <v/>
      </c>
      <c r="BC579" s="174" t="str">
        <f>IF(BC$6="","",IF(BC$3="Maior",iferror(VLOOKUP($R579,Capa!$A:$AJ,BC$5,0),0),IF(ISERROR(1/VLOOKUP($R579,Capa!$A:$AJ,BC$5,0)),0,1/VLOOKUP($R579,Capa!$A:$AJ,BC$5,0))))</f>
        <v/>
      </c>
      <c r="BD579" s="174" t="str">
        <f>IF(BD$6="","",IF(BD$3="Maior",iferror(VLOOKUP($R579,Capa!$A:$AJ,BD$5,0),0),IF(ISERROR(1/VLOOKUP($R579,Capa!$A:$AJ,BD$5,0)),0,1/VLOOKUP($R579,Capa!$A:$AJ,BD$5,0))))</f>
        <v/>
      </c>
      <c r="BE579" s="174" t="str">
        <f>IF(BE$6="","",IF(BE$3="Maior",iferror(VLOOKUP($R579,Capa!$A:$AJ,BE$5,0),0),IF(ISERROR(1/VLOOKUP($R579,Capa!$A:$AJ,BE$5,0)),0,1/VLOOKUP($R579,Capa!$A:$AJ,BE$5,0))))</f>
        <v/>
      </c>
      <c r="BF579" s="174" t="str">
        <f>IF(BF$6="","",IF(BF$3="Maior",iferror(VLOOKUP($R579,Capa!$A:$AJ,BF$5,0),0),IF(ISERROR(1/VLOOKUP($R579,Capa!$A:$AJ,BF$5,0)),0,1/VLOOKUP($R579,Capa!$A:$AJ,BF$5,0))))</f>
        <v/>
      </c>
      <c r="BG579" s="174" t="str">
        <f>IF(BG$6="","",IF(BG$3="Maior",iferror(VLOOKUP($R579,Capa!$A:$AJ,BG$5,0),0),IF(ISERROR(1/VLOOKUP($R579,Capa!$A:$AJ,BG$5,0)),0,1/VLOOKUP($R579,Capa!$A:$AJ,BG$5,0))))</f>
        <v/>
      </c>
      <c r="BH579" s="174" t="str">
        <f>IF(BH$6="","",IF(BH$3="Maior",iferror(VLOOKUP($R579,Capa!$A:$AJ,BH$5,0),0),IF(ISERROR(1/VLOOKUP($R579,Capa!$A:$AJ,BH$5,0)),0,1/VLOOKUP($R579,Capa!$A:$AJ,BH$5,0))))</f>
        <v/>
      </c>
      <c r="BI579" s="174" t="str">
        <f>IF(BI$6="","",IF(BI$3="Maior",iferror(VLOOKUP($R579,Capa!$A:$AJ,BI$5,0),0),IF(ISERROR(1/VLOOKUP($R579,Capa!$A:$AJ,BI$5,0)),0,1/VLOOKUP($R579,Capa!$A:$AJ,BI$5,0))))</f>
        <v/>
      </c>
      <c r="BJ579" s="174" t="str">
        <f>IF(BJ$6="","",IF(BJ$3="Maior",iferror(VLOOKUP($R579,Capa!$A:$AJ,BJ$5,0),0),IF(ISERROR(1/VLOOKUP($R579,Capa!$A:$AJ,BJ$5,0)),0,1/VLOOKUP($R579,Capa!$A:$AJ,BJ$5,0))))</f>
        <v/>
      </c>
      <c r="BK579" s="174" t="str">
        <f>IF(BK$6="","",IF(BK$3="Maior",iferror(VLOOKUP($R579,Capa!$A:$AJ,BK$5,0),0),IF(ISERROR(1/VLOOKUP($R579,Capa!$A:$AJ,BK$5,0)),0,1/VLOOKUP($R579,Capa!$A:$AJ,BK$5,0))))</f>
        <v/>
      </c>
      <c r="BL579" s="174" t="str">
        <f>IF(BL$6="","",IF(BL$3="Maior",iferror(VLOOKUP($R579,Capa!$A:$AJ,BL$5,0),0),IF(ISERROR(1/VLOOKUP($R579,Capa!$A:$AJ,BL$5,0)),0,1/VLOOKUP($R579,Capa!$A:$AJ,BL$5,0))))</f>
        <v/>
      </c>
      <c r="BM579" s="174" t="str">
        <f>IF(BM$6="","",IF(BM$3="Maior",iferror(VLOOKUP($R579,Capa!$A:$AJ,BM$5,0),0),IF(ISERROR(1/VLOOKUP($R579,Capa!$A:$AJ,BM$5,0)),0,1/VLOOKUP($R579,Capa!$A:$AJ,BM$5,0))))</f>
        <v/>
      </c>
      <c r="BN579" s="174" t="str">
        <f>IF(BN$6="","",IF(BN$3="Maior",iferror(VLOOKUP($R579,Capa!$A:$AJ,BN$5,0),0),IF(ISERROR(1/VLOOKUP($R579,Capa!$A:$AJ,BN$5,0)),0,1/VLOOKUP($R579,Capa!$A:$AJ,BN$5,0))))</f>
        <v/>
      </c>
      <c r="BO579" s="174" t="str">
        <f>IF(BO$6="","",IF(BO$3="Maior",iferror(VLOOKUP($R579,Capa!$A:$AJ,BO$5,0),0),IF(ISERROR(1/VLOOKUP($R579,Capa!$A:$AJ,BO$5,0)),0,1/VLOOKUP($R579,Capa!$A:$AJ,BO$5,0))))</f>
        <v/>
      </c>
      <c r="BP579" s="174" t="str">
        <f>IF(BP$6="","",IF(BP$3="Maior",iferror(VLOOKUP($R579,Capa!$A:$AJ,BP$5,0),0),IF(ISERROR(1/VLOOKUP($R579,Capa!$A:$AJ,BP$5,0)),0,1/VLOOKUP($R579,Capa!$A:$AJ,BP$5,0))))</f>
        <v/>
      </c>
      <c r="BQ579" s="174" t="str">
        <f>IF(BQ$6="","",IF(BQ$3="Maior",iferror(VLOOKUP($R579,Capa!$A:$AJ,BQ$5,0),0),IF(ISERROR(1/VLOOKUP($R579,Capa!$A:$AJ,BQ$5,0)),0,1/VLOOKUP($R579,Capa!$A:$AJ,BQ$5,0))))</f>
        <v/>
      </c>
      <c r="BR579" s="175"/>
      <c r="BS579" s="147"/>
    </row>
    <row r="580">
      <c r="H580" s="8">
        <v>574.0</v>
      </c>
      <c r="I580" s="165" t="str">
        <f t="shared" si="6"/>
        <v>BRGE11</v>
      </c>
      <c r="J580" s="166" t="str">
        <f>(VLOOKUP($I580,Capa!$A:$B,2,0))</f>
        <v/>
      </c>
      <c r="K580" s="167" t="str">
        <f>VLOOKUP(left(I580,4),Setor!A:D,3,0)&amp;" | "&amp;VLOOKUP(left(I580,4),Setor!A:D,4,0)</f>
        <v>Financeiro | Previdência e Seguros</v>
      </c>
      <c r="L580" s="168" t="str">
        <f>(VLOOKUP($I580,Capa!$A:$F,6,0))</f>
        <v/>
      </c>
      <c r="M580" s="168">
        <f t="shared" si="7"/>
        <v>0</v>
      </c>
      <c r="N580" s="11" t="str">
        <f>(VLOOKUP($I580,Capa!$A:$H,7,0))</f>
        <v/>
      </c>
      <c r="O580" s="169" t="str">
        <f>(VLOOKUP($I580,Capa!$A:$H,8,0))</f>
        <v/>
      </c>
      <c r="P580" s="11" t="str">
        <f>(VLOOKUP($I580,Capa!$A:$J,10,0))</f>
        <v/>
      </c>
      <c r="Q580" s="169" t="str">
        <f>(VLOOKUP($I580,Capa!$A:$K,11,0))</f>
        <v/>
      </c>
      <c r="R580" s="45" t="str">
        <f>'Dados StatusInvest'!A575</f>
        <v>TOTS3</v>
      </c>
      <c r="S580" s="170">
        <f t="shared" si="234"/>
        <v>271.0271</v>
      </c>
      <c r="T580" s="171">
        <f>VLOOKUP(R580,'Dados StatusInvest'!A:Z,26,0)</f>
        <v>265000000</v>
      </c>
      <c r="U580" s="172">
        <f t="shared" ref="U580:AS580" si="583">IF(AT580="","", RANK(AT580,AT$7:AT$626,0)+RANK(AT580,AT$7:AT$626,0)/10000)</f>
        <v>195.0195</v>
      </c>
      <c r="V580" s="172">
        <f t="shared" si="583"/>
        <v>76.0076</v>
      </c>
      <c r="W580" s="172" t="str">
        <f t="shared" si="583"/>
        <v/>
      </c>
      <c r="X580" s="172" t="str">
        <f t="shared" si="583"/>
        <v/>
      </c>
      <c r="Y580" s="172" t="str">
        <f t="shared" si="583"/>
        <v/>
      </c>
      <c r="Z580" s="172" t="str">
        <f t="shared" si="583"/>
        <v/>
      </c>
      <c r="AA580" s="172" t="str">
        <f t="shared" si="583"/>
        <v/>
      </c>
      <c r="AB580" s="172" t="str">
        <f t="shared" si="583"/>
        <v/>
      </c>
      <c r="AC580" s="172" t="str">
        <f t="shared" si="583"/>
        <v/>
      </c>
      <c r="AD580" s="172" t="str">
        <f t="shared" si="583"/>
        <v/>
      </c>
      <c r="AE580" s="172" t="str">
        <f t="shared" si="583"/>
        <v/>
      </c>
      <c r="AF580" s="172" t="str">
        <f t="shared" si="583"/>
        <v/>
      </c>
      <c r="AG580" s="172" t="str">
        <f t="shared" si="583"/>
        <v/>
      </c>
      <c r="AH580" s="172" t="str">
        <f t="shared" si="583"/>
        <v/>
      </c>
      <c r="AI580" s="172" t="str">
        <f t="shared" si="583"/>
        <v/>
      </c>
      <c r="AJ580" s="172" t="str">
        <f t="shared" si="583"/>
        <v/>
      </c>
      <c r="AK580" s="172" t="str">
        <f t="shared" si="583"/>
        <v/>
      </c>
      <c r="AL580" s="172" t="str">
        <f t="shared" si="583"/>
        <v/>
      </c>
      <c r="AM580" s="172" t="str">
        <f t="shared" si="583"/>
        <v/>
      </c>
      <c r="AN580" s="172" t="str">
        <f t="shared" si="583"/>
        <v/>
      </c>
      <c r="AO580" s="172" t="str">
        <f t="shared" si="583"/>
        <v/>
      </c>
      <c r="AP580" s="172" t="str">
        <f t="shared" si="583"/>
        <v/>
      </c>
      <c r="AQ580" s="172" t="str">
        <f t="shared" si="583"/>
        <v/>
      </c>
      <c r="AR580" s="172" t="str">
        <f t="shared" si="583"/>
        <v/>
      </c>
      <c r="AS580" s="172" t="str">
        <f t="shared" si="583"/>
        <v/>
      </c>
      <c r="AT580" s="173">
        <f>IF(AT$6="","",IF(AT$3="Maior",iferror(VLOOKUP($R580,Capa!$A:$AJ,AT$5,0),0),IF(ISERROR(1/VLOOKUP($R580,Capa!$A:$AJ,AT$5,0)),0,1/VLOOKUP($R580,Capa!$A:$AJ,AT$5,0))))</f>
        <v>-0.2595192597</v>
      </c>
      <c r="AU580" s="174">
        <f>IF(AU$6="","",IF(AU$3="Maior",iferror(VLOOKUP($R580,Capa!$A:$AJ,AU$5,0),0),IF(ISERROR(1/VLOOKUP($R580,Capa!$A:$AJ,AU$5,0)),0,1/VLOOKUP($R580,Capa!$A:$AJ,AU$5,0))))</f>
        <v>31.07</v>
      </c>
      <c r="AV580" s="174" t="str">
        <f>IF(AV$6="","",IF(AV$3="Maior",iferror(VLOOKUP($R580,Capa!$A:$AJ,AV$5,0),0),IF(ISERROR(1/VLOOKUP($R580,Capa!$A:$AJ,AV$5,0)),0,1/VLOOKUP($R580,Capa!$A:$AJ,AV$5,0))))</f>
        <v/>
      </c>
      <c r="AW580" s="174" t="str">
        <f>IF(AW$6="","",IF(AW$3="Maior",iferror(VLOOKUP($R580,Capa!$A:$AJ,AW$5,0),0),IF(ISERROR(1/VLOOKUP($R580,Capa!$A:$AJ,AW$5,0)),0,1/VLOOKUP($R580,Capa!$A:$AJ,AW$5,0))))</f>
        <v/>
      </c>
      <c r="AX580" s="174" t="str">
        <f>IF(AX$6="","",IF(AX$3="Maior",iferror(VLOOKUP($R580,Capa!$A:$AJ,AX$5,0),0),IF(ISERROR(1/VLOOKUP($R580,Capa!$A:$AJ,AX$5,0)),0,1/VLOOKUP($R580,Capa!$A:$AJ,AX$5,0))))</f>
        <v/>
      </c>
      <c r="AY580" s="174" t="str">
        <f>IF(AY$6="","",IF(AY$3="Maior",iferror(VLOOKUP($R580,Capa!$A:$AJ,AY$5,0),0),IF(ISERROR(1/VLOOKUP($R580,Capa!$A:$AJ,AY$5,0)),0,1/VLOOKUP($R580,Capa!$A:$AJ,AY$5,0))))</f>
        <v/>
      </c>
      <c r="AZ580" s="174" t="str">
        <f>IF(AZ$6="","",IF(AZ$3="Maior",iferror(VLOOKUP($R580,Capa!$A:$AJ,AZ$5,0),0),IF(ISERROR(1/VLOOKUP($R580,Capa!$A:$AJ,AZ$5,0)),0,1/VLOOKUP($R580,Capa!$A:$AJ,AZ$5,0))))</f>
        <v/>
      </c>
      <c r="BA580" s="174" t="str">
        <f>IF(BA$6="","",IF(BA$3="Maior",iferror(VLOOKUP($R580,Capa!$A:$AJ,BA$5,0),0),IF(ISERROR(1/VLOOKUP($R580,Capa!$A:$AJ,BA$5,0)),0,1/VLOOKUP($R580,Capa!$A:$AJ,BA$5,0))))</f>
        <v/>
      </c>
      <c r="BB580" s="174" t="str">
        <f>IF(BB$6="","",IF(BB$3="Maior",iferror(VLOOKUP($R580,Capa!$A:$AJ,BB$5,0),0),IF(ISERROR(1/VLOOKUP($R580,Capa!$A:$AJ,BB$5,0)),0,1/VLOOKUP($R580,Capa!$A:$AJ,BB$5,0))))</f>
        <v/>
      </c>
      <c r="BC580" s="174" t="str">
        <f>IF(BC$6="","",IF(BC$3="Maior",iferror(VLOOKUP($R580,Capa!$A:$AJ,BC$5,0),0),IF(ISERROR(1/VLOOKUP($R580,Capa!$A:$AJ,BC$5,0)),0,1/VLOOKUP($R580,Capa!$A:$AJ,BC$5,0))))</f>
        <v/>
      </c>
      <c r="BD580" s="174" t="str">
        <f>IF(BD$6="","",IF(BD$3="Maior",iferror(VLOOKUP($R580,Capa!$A:$AJ,BD$5,0),0),IF(ISERROR(1/VLOOKUP($R580,Capa!$A:$AJ,BD$5,0)),0,1/VLOOKUP($R580,Capa!$A:$AJ,BD$5,0))))</f>
        <v/>
      </c>
      <c r="BE580" s="174" t="str">
        <f>IF(BE$6="","",IF(BE$3="Maior",iferror(VLOOKUP($R580,Capa!$A:$AJ,BE$5,0),0),IF(ISERROR(1/VLOOKUP($R580,Capa!$A:$AJ,BE$5,0)),0,1/VLOOKUP($R580,Capa!$A:$AJ,BE$5,0))))</f>
        <v/>
      </c>
      <c r="BF580" s="174" t="str">
        <f>IF(BF$6="","",IF(BF$3="Maior",iferror(VLOOKUP($R580,Capa!$A:$AJ,BF$5,0),0),IF(ISERROR(1/VLOOKUP($R580,Capa!$A:$AJ,BF$5,0)),0,1/VLOOKUP($R580,Capa!$A:$AJ,BF$5,0))))</f>
        <v/>
      </c>
      <c r="BG580" s="174" t="str">
        <f>IF(BG$6="","",IF(BG$3="Maior",iferror(VLOOKUP($R580,Capa!$A:$AJ,BG$5,0),0),IF(ISERROR(1/VLOOKUP($R580,Capa!$A:$AJ,BG$5,0)),0,1/VLOOKUP($R580,Capa!$A:$AJ,BG$5,0))))</f>
        <v/>
      </c>
      <c r="BH580" s="174" t="str">
        <f>IF(BH$6="","",IF(BH$3="Maior",iferror(VLOOKUP($R580,Capa!$A:$AJ,BH$5,0),0),IF(ISERROR(1/VLOOKUP($R580,Capa!$A:$AJ,BH$5,0)),0,1/VLOOKUP($R580,Capa!$A:$AJ,BH$5,0))))</f>
        <v/>
      </c>
      <c r="BI580" s="174" t="str">
        <f>IF(BI$6="","",IF(BI$3="Maior",iferror(VLOOKUP($R580,Capa!$A:$AJ,BI$5,0),0),IF(ISERROR(1/VLOOKUP($R580,Capa!$A:$AJ,BI$5,0)),0,1/VLOOKUP($R580,Capa!$A:$AJ,BI$5,0))))</f>
        <v/>
      </c>
      <c r="BJ580" s="174" t="str">
        <f>IF(BJ$6="","",IF(BJ$3="Maior",iferror(VLOOKUP($R580,Capa!$A:$AJ,BJ$5,0),0),IF(ISERROR(1/VLOOKUP($R580,Capa!$A:$AJ,BJ$5,0)),0,1/VLOOKUP($R580,Capa!$A:$AJ,BJ$5,0))))</f>
        <v/>
      </c>
      <c r="BK580" s="174" t="str">
        <f>IF(BK$6="","",IF(BK$3="Maior",iferror(VLOOKUP($R580,Capa!$A:$AJ,BK$5,0),0),IF(ISERROR(1/VLOOKUP($R580,Capa!$A:$AJ,BK$5,0)),0,1/VLOOKUP($R580,Capa!$A:$AJ,BK$5,0))))</f>
        <v/>
      </c>
      <c r="BL580" s="174" t="str">
        <f>IF(BL$6="","",IF(BL$3="Maior",iferror(VLOOKUP($R580,Capa!$A:$AJ,BL$5,0),0),IF(ISERROR(1/VLOOKUP($R580,Capa!$A:$AJ,BL$5,0)),0,1/VLOOKUP($R580,Capa!$A:$AJ,BL$5,0))))</f>
        <v/>
      </c>
      <c r="BM580" s="174" t="str">
        <f>IF(BM$6="","",IF(BM$3="Maior",iferror(VLOOKUP($R580,Capa!$A:$AJ,BM$5,0),0),IF(ISERROR(1/VLOOKUP($R580,Capa!$A:$AJ,BM$5,0)),0,1/VLOOKUP($R580,Capa!$A:$AJ,BM$5,0))))</f>
        <v/>
      </c>
      <c r="BN580" s="174" t="str">
        <f>IF(BN$6="","",IF(BN$3="Maior",iferror(VLOOKUP($R580,Capa!$A:$AJ,BN$5,0),0),IF(ISERROR(1/VLOOKUP($R580,Capa!$A:$AJ,BN$5,0)),0,1/VLOOKUP($R580,Capa!$A:$AJ,BN$5,0))))</f>
        <v/>
      </c>
      <c r="BO580" s="174" t="str">
        <f>IF(BO$6="","",IF(BO$3="Maior",iferror(VLOOKUP($R580,Capa!$A:$AJ,BO$5,0),0),IF(ISERROR(1/VLOOKUP($R580,Capa!$A:$AJ,BO$5,0)),0,1/VLOOKUP($R580,Capa!$A:$AJ,BO$5,0))))</f>
        <v/>
      </c>
      <c r="BP580" s="174" t="str">
        <f>IF(BP$6="","",IF(BP$3="Maior",iferror(VLOOKUP($R580,Capa!$A:$AJ,BP$5,0),0),IF(ISERROR(1/VLOOKUP($R580,Capa!$A:$AJ,BP$5,0)),0,1/VLOOKUP($R580,Capa!$A:$AJ,BP$5,0))))</f>
        <v/>
      </c>
      <c r="BQ580" s="174" t="str">
        <f>IF(BQ$6="","",IF(BQ$3="Maior",iferror(VLOOKUP($R580,Capa!$A:$AJ,BQ$5,0),0),IF(ISERROR(1/VLOOKUP($R580,Capa!$A:$AJ,BQ$5,0)),0,1/VLOOKUP($R580,Capa!$A:$AJ,BQ$5,0))))</f>
        <v/>
      </c>
      <c r="BR580" s="175"/>
      <c r="BS580" s="147"/>
    </row>
    <row r="581">
      <c r="H581" s="8">
        <v>575.0</v>
      </c>
      <c r="I581" s="165" t="str">
        <f t="shared" si="6"/>
        <v>BRGE11</v>
      </c>
      <c r="J581" s="166" t="str">
        <f>(VLOOKUP($I581,Capa!$A:$B,2,0))</f>
        <v/>
      </c>
      <c r="K581" s="167" t="str">
        <f>VLOOKUP(left(I581,4),Setor!A:D,3,0)&amp;" | "&amp;VLOOKUP(left(I581,4),Setor!A:D,4,0)</f>
        <v>Financeiro | Previdência e Seguros</v>
      </c>
      <c r="L581" s="168" t="str">
        <f>(VLOOKUP($I581,Capa!$A:$F,6,0))</f>
        <v/>
      </c>
      <c r="M581" s="168">
        <f t="shared" si="7"/>
        <v>0</v>
      </c>
      <c r="N581" s="11" t="str">
        <f>(VLOOKUP($I581,Capa!$A:$H,7,0))</f>
        <v/>
      </c>
      <c r="O581" s="169" t="str">
        <f>(VLOOKUP($I581,Capa!$A:$H,8,0))</f>
        <v/>
      </c>
      <c r="P581" s="11" t="str">
        <f>(VLOOKUP($I581,Capa!$A:$J,10,0))</f>
        <v/>
      </c>
      <c r="Q581" s="169" t="str">
        <f>(VLOOKUP($I581,Capa!$A:$K,11,0))</f>
        <v/>
      </c>
      <c r="R581" s="45" t="str">
        <f>'Dados StatusInvest'!A576</f>
        <v>TOYB3</v>
      </c>
      <c r="S581" s="170">
        <f t="shared" si="234"/>
        <v>1761.0761</v>
      </c>
      <c r="T581" s="171">
        <f>VLOOKUP(R581,'Dados StatusInvest'!A:Z,26,0)</f>
        <v>0</v>
      </c>
      <c r="U581" s="172">
        <f t="shared" ref="U581:AS581" si="584">IF(AT581="","", RANK(AT581,AT$7:AT$626,0)+RANK(AT581,AT$7:AT$626,0)/10000)</f>
        <v>494.0494</v>
      </c>
      <c r="V581" s="172">
        <f t="shared" si="584"/>
        <v>267.0267</v>
      </c>
      <c r="W581" s="172" t="str">
        <f t="shared" si="584"/>
        <v/>
      </c>
      <c r="X581" s="172" t="str">
        <f t="shared" si="584"/>
        <v/>
      </c>
      <c r="Y581" s="172" t="str">
        <f t="shared" si="584"/>
        <v/>
      </c>
      <c r="Z581" s="172" t="str">
        <f t="shared" si="584"/>
        <v/>
      </c>
      <c r="AA581" s="172" t="str">
        <f t="shared" si="584"/>
        <v/>
      </c>
      <c r="AB581" s="172" t="str">
        <f t="shared" si="584"/>
        <v/>
      </c>
      <c r="AC581" s="172" t="str">
        <f t="shared" si="584"/>
        <v/>
      </c>
      <c r="AD581" s="172" t="str">
        <f t="shared" si="584"/>
        <v/>
      </c>
      <c r="AE581" s="172" t="str">
        <f t="shared" si="584"/>
        <v/>
      </c>
      <c r="AF581" s="172" t="str">
        <f t="shared" si="584"/>
        <v/>
      </c>
      <c r="AG581" s="172" t="str">
        <f t="shared" si="584"/>
        <v/>
      </c>
      <c r="AH581" s="172" t="str">
        <f t="shared" si="584"/>
        <v/>
      </c>
      <c r="AI581" s="172" t="str">
        <f t="shared" si="584"/>
        <v/>
      </c>
      <c r="AJ581" s="172" t="str">
        <f t="shared" si="584"/>
        <v/>
      </c>
      <c r="AK581" s="172" t="str">
        <f t="shared" si="584"/>
        <v/>
      </c>
      <c r="AL581" s="172" t="str">
        <f t="shared" si="584"/>
        <v/>
      </c>
      <c r="AM581" s="172" t="str">
        <f t="shared" si="584"/>
        <v/>
      </c>
      <c r="AN581" s="172" t="str">
        <f t="shared" si="584"/>
        <v/>
      </c>
      <c r="AO581" s="172" t="str">
        <f t="shared" si="584"/>
        <v/>
      </c>
      <c r="AP581" s="172" t="str">
        <f t="shared" si="584"/>
        <v/>
      </c>
      <c r="AQ581" s="172" t="str">
        <f t="shared" si="584"/>
        <v/>
      </c>
      <c r="AR581" s="172" t="str">
        <f t="shared" si="584"/>
        <v/>
      </c>
      <c r="AS581" s="172" t="str">
        <f t="shared" si="584"/>
        <v/>
      </c>
      <c r="AT581" s="173">
        <f>IF(AT$6="","",IF(AT$3="Maior",iferror(VLOOKUP($R581,Capa!$A:$AJ,AT$5,0),0),IF(ISERROR(1/VLOOKUP($R581,Capa!$A:$AJ,AT$5,0)),0,1/VLOOKUP($R581,Capa!$A:$AJ,AT$5,0))))</f>
        <v>-2.941176471</v>
      </c>
      <c r="AU581" s="174">
        <f>IF(AU$6="","",IF(AU$3="Maior",iferror(VLOOKUP($R581,Capa!$A:$AJ,AU$5,0),0),IF(ISERROR(1/VLOOKUP($R581,Capa!$A:$AJ,AU$5,0)),0,1/VLOOKUP($R581,Capa!$A:$AJ,AU$5,0))))</f>
        <v>0</v>
      </c>
      <c r="AV581" s="174" t="str">
        <f>IF(AV$6="","",IF(AV$3="Maior",iferror(VLOOKUP($R581,Capa!$A:$AJ,AV$5,0),0),IF(ISERROR(1/VLOOKUP($R581,Capa!$A:$AJ,AV$5,0)),0,1/VLOOKUP($R581,Capa!$A:$AJ,AV$5,0))))</f>
        <v/>
      </c>
      <c r="AW581" s="174" t="str">
        <f>IF(AW$6="","",IF(AW$3="Maior",iferror(VLOOKUP($R581,Capa!$A:$AJ,AW$5,0),0),IF(ISERROR(1/VLOOKUP($R581,Capa!$A:$AJ,AW$5,0)),0,1/VLOOKUP($R581,Capa!$A:$AJ,AW$5,0))))</f>
        <v/>
      </c>
      <c r="AX581" s="174" t="str">
        <f>IF(AX$6="","",IF(AX$3="Maior",iferror(VLOOKUP($R581,Capa!$A:$AJ,AX$5,0),0),IF(ISERROR(1/VLOOKUP($R581,Capa!$A:$AJ,AX$5,0)),0,1/VLOOKUP($R581,Capa!$A:$AJ,AX$5,0))))</f>
        <v/>
      </c>
      <c r="AY581" s="174" t="str">
        <f>IF(AY$6="","",IF(AY$3="Maior",iferror(VLOOKUP($R581,Capa!$A:$AJ,AY$5,0),0),IF(ISERROR(1/VLOOKUP($R581,Capa!$A:$AJ,AY$5,0)),0,1/VLOOKUP($R581,Capa!$A:$AJ,AY$5,0))))</f>
        <v/>
      </c>
      <c r="AZ581" s="174" t="str">
        <f>IF(AZ$6="","",IF(AZ$3="Maior",iferror(VLOOKUP($R581,Capa!$A:$AJ,AZ$5,0),0),IF(ISERROR(1/VLOOKUP($R581,Capa!$A:$AJ,AZ$5,0)),0,1/VLOOKUP($R581,Capa!$A:$AJ,AZ$5,0))))</f>
        <v/>
      </c>
      <c r="BA581" s="174" t="str">
        <f>IF(BA$6="","",IF(BA$3="Maior",iferror(VLOOKUP($R581,Capa!$A:$AJ,BA$5,0),0),IF(ISERROR(1/VLOOKUP($R581,Capa!$A:$AJ,BA$5,0)),0,1/VLOOKUP($R581,Capa!$A:$AJ,BA$5,0))))</f>
        <v/>
      </c>
      <c r="BB581" s="174" t="str">
        <f>IF(BB$6="","",IF(BB$3="Maior",iferror(VLOOKUP($R581,Capa!$A:$AJ,BB$5,0),0),IF(ISERROR(1/VLOOKUP($R581,Capa!$A:$AJ,BB$5,0)),0,1/VLOOKUP($R581,Capa!$A:$AJ,BB$5,0))))</f>
        <v/>
      </c>
      <c r="BC581" s="174" t="str">
        <f>IF(BC$6="","",IF(BC$3="Maior",iferror(VLOOKUP($R581,Capa!$A:$AJ,BC$5,0),0),IF(ISERROR(1/VLOOKUP($R581,Capa!$A:$AJ,BC$5,0)),0,1/VLOOKUP($R581,Capa!$A:$AJ,BC$5,0))))</f>
        <v/>
      </c>
      <c r="BD581" s="174" t="str">
        <f>IF(BD$6="","",IF(BD$3="Maior",iferror(VLOOKUP($R581,Capa!$A:$AJ,BD$5,0),0),IF(ISERROR(1/VLOOKUP($R581,Capa!$A:$AJ,BD$5,0)),0,1/VLOOKUP($R581,Capa!$A:$AJ,BD$5,0))))</f>
        <v/>
      </c>
      <c r="BE581" s="174" t="str">
        <f>IF(BE$6="","",IF(BE$3="Maior",iferror(VLOOKUP($R581,Capa!$A:$AJ,BE$5,0),0),IF(ISERROR(1/VLOOKUP($R581,Capa!$A:$AJ,BE$5,0)),0,1/VLOOKUP($R581,Capa!$A:$AJ,BE$5,0))))</f>
        <v/>
      </c>
      <c r="BF581" s="174" t="str">
        <f>IF(BF$6="","",IF(BF$3="Maior",iferror(VLOOKUP($R581,Capa!$A:$AJ,BF$5,0),0),IF(ISERROR(1/VLOOKUP($R581,Capa!$A:$AJ,BF$5,0)),0,1/VLOOKUP($R581,Capa!$A:$AJ,BF$5,0))))</f>
        <v/>
      </c>
      <c r="BG581" s="174" t="str">
        <f>IF(BG$6="","",IF(BG$3="Maior",iferror(VLOOKUP($R581,Capa!$A:$AJ,BG$5,0),0),IF(ISERROR(1/VLOOKUP($R581,Capa!$A:$AJ,BG$5,0)),0,1/VLOOKUP($R581,Capa!$A:$AJ,BG$5,0))))</f>
        <v/>
      </c>
      <c r="BH581" s="174" t="str">
        <f>IF(BH$6="","",IF(BH$3="Maior",iferror(VLOOKUP($R581,Capa!$A:$AJ,BH$5,0),0),IF(ISERROR(1/VLOOKUP($R581,Capa!$A:$AJ,BH$5,0)),0,1/VLOOKUP($R581,Capa!$A:$AJ,BH$5,0))))</f>
        <v/>
      </c>
      <c r="BI581" s="174" t="str">
        <f>IF(BI$6="","",IF(BI$3="Maior",iferror(VLOOKUP($R581,Capa!$A:$AJ,BI$5,0),0),IF(ISERROR(1/VLOOKUP($R581,Capa!$A:$AJ,BI$5,0)),0,1/VLOOKUP($R581,Capa!$A:$AJ,BI$5,0))))</f>
        <v/>
      </c>
      <c r="BJ581" s="174" t="str">
        <f>IF(BJ$6="","",IF(BJ$3="Maior",iferror(VLOOKUP($R581,Capa!$A:$AJ,BJ$5,0),0),IF(ISERROR(1/VLOOKUP($R581,Capa!$A:$AJ,BJ$5,0)),0,1/VLOOKUP($R581,Capa!$A:$AJ,BJ$5,0))))</f>
        <v/>
      </c>
      <c r="BK581" s="174" t="str">
        <f>IF(BK$6="","",IF(BK$3="Maior",iferror(VLOOKUP($R581,Capa!$A:$AJ,BK$5,0),0),IF(ISERROR(1/VLOOKUP($R581,Capa!$A:$AJ,BK$5,0)),0,1/VLOOKUP($R581,Capa!$A:$AJ,BK$5,0))))</f>
        <v/>
      </c>
      <c r="BL581" s="174" t="str">
        <f>IF(BL$6="","",IF(BL$3="Maior",iferror(VLOOKUP($R581,Capa!$A:$AJ,BL$5,0),0),IF(ISERROR(1/VLOOKUP($R581,Capa!$A:$AJ,BL$5,0)),0,1/VLOOKUP($R581,Capa!$A:$AJ,BL$5,0))))</f>
        <v/>
      </c>
      <c r="BM581" s="174" t="str">
        <f>IF(BM$6="","",IF(BM$3="Maior",iferror(VLOOKUP($R581,Capa!$A:$AJ,BM$5,0),0),IF(ISERROR(1/VLOOKUP($R581,Capa!$A:$AJ,BM$5,0)),0,1/VLOOKUP($R581,Capa!$A:$AJ,BM$5,0))))</f>
        <v/>
      </c>
      <c r="BN581" s="174" t="str">
        <f>IF(BN$6="","",IF(BN$3="Maior",iferror(VLOOKUP($R581,Capa!$A:$AJ,BN$5,0),0),IF(ISERROR(1/VLOOKUP($R581,Capa!$A:$AJ,BN$5,0)),0,1/VLOOKUP($R581,Capa!$A:$AJ,BN$5,0))))</f>
        <v/>
      </c>
      <c r="BO581" s="174" t="str">
        <f>IF(BO$6="","",IF(BO$3="Maior",iferror(VLOOKUP($R581,Capa!$A:$AJ,BO$5,0),0),IF(ISERROR(1/VLOOKUP($R581,Capa!$A:$AJ,BO$5,0)),0,1/VLOOKUP($R581,Capa!$A:$AJ,BO$5,0))))</f>
        <v/>
      </c>
      <c r="BP581" s="174" t="str">
        <f>IF(BP$6="","",IF(BP$3="Maior",iferror(VLOOKUP($R581,Capa!$A:$AJ,BP$5,0),0),IF(ISERROR(1/VLOOKUP($R581,Capa!$A:$AJ,BP$5,0)),0,1/VLOOKUP($R581,Capa!$A:$AJ,BP$5,0))))</f>
        <v/>
      </c>
      <c r="BQ581" s="174" t="str">
        <f>IF(BQ$6="","",IF(BQ$3="Maior",iferror(VLOOKUP($R581,Capa!$A:$AJ,BQ$5,0),0),IF(ISERROR(1/VLOOKUP($R581,Capa!$A:$AJ,BQ$5,0)),0,1/VLOOKUP($R581,Capa!$A:$AJ,BQ$5,0))))</f>
        <v/>
      </c>
      <c r="BR581" s="175"/>
      <c r="BS581" s="147"/>
    </row>
    <row r="582">
      <c r="H582" s="8">
        <v>576.0</v>
      </c>
      <c r="I582" s="165" t="str">
        <f t="shared" si="6"/>
        <v>BRGE11</v>
      </c>
      <c r="J582" s="166" t="str">
        <f>(VLOOKUP($I582,Capa!$A:$B,2,0))</f>
        <v/>
      </c>
      <c r="K582" s="167" t="str">
        <f>VLOOKUP(left(I582,4),Setor!A:D,3,0)&amp;" | "&amp;VLOOKUP(left(I582,4),Setor!A:D,4,0)</f>
        <v>Financeiro | Previdência e Seguros</v>
      </c>
      <c r="L582" s="168" t="str">
        <f>(VLOOKUP($I582,Capa!$A:$F,6,0))</f>
        <v/>
      </c>
      <c r="M582" s="168">
        <f t="shared" si="7"/>
        <v>0</v>
      </c>
      <c r="N582" s="11" t="str">
        <f>(VLOOKUP($I582,Capa!$A:$H,7,0))</f>
        <v/>
      </c>
      <c r="O582" s="169" t="str">
        <f>(VLOOKUP($I582,Capa!$A:$H,8,0))</f>
        <v/>
      </c>
      <c r="P582" s="11" t="str">
        <f>(VLOOKUP($I582,Capa!$A:$J,10,0))</f>
        <v/>
      </c>
      <c r="Q582" s="169" t="str">
        <f>(VLOOKUP($I582,Capa!$A:$K,11,0))</f>
        <v/>
      </c>
      <c r="R582" s="45" t="str">
        <f>'Dados StatusInvest'!A577</f>
        <v>TOYB4</v>
      </c>
      <c r="S582" s="170">
        <f t="shared" si="234"/>
        <v>1749.0749</v>
      </c>
      <c r="T582" s="171">
        <f>VLOOKUP(R582,'Dados StatusInvest'!A:Z,26,0)</f>
        <v>0</v>
      </c>
      <c r="U582" s="172">
        <f t="shared" ref="U582:AS582" si="585">IF(AT582="","", RANK(AT582,AT$7:AT$626,0)+RANK(AT582,AT$7:AT$626,0)/10000)</f>
        <v>482.0482</v>
      </c>
      <c r="V582" s="172">
        <f t="shared" si="585"/>
        <v>267.0267</v>
      </c>
      <c r="W582" s="172" t="str">
        <f t="shared" si="585"/>
        <v/>
      </c>
      <c r="X582" s="172" t="str">
        <f t="shared" si="585"/>
        <v/>
      </c>
      <c r="Y582" s="172" t="str">
        <f t="shared" si="585"/>
        <v/>
      </c>
      <c r="Z582" s="172" t="str">
        <f t="shared" si="585"/>
        <v/>
      </c>
      <c r="AA582" s="172" t="str">
        <f t="shared" si="585"/>
        <v/>
      </c>
      <c r="AB582" s="172" t="str">
        <f t="shared" si="585"/>
        <v/>
      </c>
      <c r="AC582" s="172" t="str">
        <f t="shared" si="585"/>
        <v/>
      </c>
      <c r="AD582" s="172" t="str">
        <f t="shared" si="585"/>
        <v/>
      </c>
      <c r="AE582" s="172" t="str">
        <f t="shared" si="585"/>
        <v/>
      </c>
      <c r="AF582" s="172" t="str">
        <f t="shared" si="585"/>
        <v/>
      </c>
      <c r="AG582" s="172" t="str">
        <f t="shared" si="585"/>
        <v/>
      </c>
      <c r="AH582" s="172" t="str">
        <f t="shared" si="585"/>
        <v/>
      </c>
      <c r="AI582" s="172" t="str">
        <f t="shared" si="585"/>
        <v/>
      </c>
      <c r="AJ582" s="172" t="str">
        <f t="shared" si="585"/>
        <v/>
      </c>
      <c r="AK582" s="172" t="str">
        <f t="shared" si="585"/>
        <v/>
      </c>
      <c r="AL582" s="172" t="str">
        <f t="shared" si="585"/>
        <v/>
      </c>
      <c r="AM582" s="172" t="str">
        <f t="shared" si="585"/>
        <v/>
      </c>
      <c r="AN582" s="172" t="str">
        <f t="shared" si="585"/>
        <v/>
      </c>
      <c r="AO582" s="172" t="str">
        <f t="shared" si="585"/>
        <v/>
      </c>
      <c r="AP582" s="172" t="str">
        <f t="shared" si="585"/>
        <v/>
      </c>
      <c r="AQ582" s="172" t="str">
        <f t="shared" si="585"/>
        <v/>
      </c>
      <c r="AR582" s="172" t="str">
        <f t="shared" si="585"/>
        <v/>
      </c>
      <c r="AS582" s="172" t="str">
        <f t="shared" si="585"/>
        <v/>
      </c>
      <c r="AT582" s="173">
        <f>IF(AT$6="","",IF(AT$3="Maior",iferror(VLOOKUP($R582,Capa!$A:$AJ,AT$5,0),0),IF(ISERROR(1/VLOOKUP($R582,Capa!$A:$AJ,AT$5,0)),0,1/VLOOKUP($R582,Capa!$A:$AJ,AT$5,0))))</f>
        <v>-2.702702703</v>
      </c>
      <c r="AU582" s="174">
        <f>IF(AU$6="","",IF(AU$3="Maior",iferror(VLOOKUP($R582,Capa!$A:$AJ,AU$5,0),0),IF(ISERROR(1/VLOOKUP($R582,Capa!$A:$AJ,AU$5,0)),0,1/VLOOKUP($R582,Capa!$A:$AJ,AU$5,0))))</f>
        <v>0</v>
      </c>
      <c r="AV582" s="174" t="str">
        <f>IF(AV$6="","",IF(AV$3="Maior",iferror(VLOOKUP($R582,Capa!$A:$AJ,AV$5,0),0),IF(ISERROR(1/VLOOKUP($R582,Capa!$A:$AJ,AV$5,0)),0,1/VLOOKUP($R582,Capa!$A:$AJ,AV$5,0))))</f>
        <v/>
      </c>
      <c r="AW582" s="174" t="str">
        <f>IF(AW$6="","",IF(AW$3="Maior",iferror(VLOOKUP($R582,Capa!$A:$AJ,AW$5,0),0),IF(ISERROR(1/VLOOKUP($R582,Capa!$A:$AJ,AW$5,0)),0,1/VLOOKUP($R582,Capa!$A:$AJ,AW$5,0))))</f>
        <v/>
      </c>
      <c r="AX582" s="174" t="str">
        <f>IF(AX$6="","",IF(AX$3="Maior",iferror(VLOOKUP($R582,Capa!$A:$AJ,AX$5,0),0),IF(ISERROR(1/VLOOKUP($R582,Capa!$A:$AJ,AX$5,0)),0,1/VLOOKUP($R582,Capa!$A:$AJ,AX$5,0))))</f>
        <v/>
      </c>
      <c r="AY582" s="174" t="str">
        <f>IF(AY$6="","",IF(AY$3="Maior",iferror(VLOOKUP($R582,Capa!$A:$AJ,AY$5,0),0),IF(ISERROR(1/VLOOKUP($R582,Capa!$A:$AJ,AY$5,0)),0,1/VLOOKUP($R582,Capa!$A:$AJ,AY$5,0))))</f>
        <v/>
      </c>
      <c r="AZ582" s="174" t="str">
        <f>IF(AZ$6="","",IF(AZ$3="Maior",iferror(VLOOKUP($R582,Capa!$A:$AJ,AZ$5,0),0),IF(ISERROR(1/VLOOKUP($R582,Capa!$A:$AJ,AZ$5,0)),0,1/VLOOKUP($R582,Capa!$A:$AJ,AZ$5,0))))</f>
        <v/>
      </c>
      <c r="BA582" s="174" t="str">
        <f>IF(BA$6="","",IF(BA$3="Maior",iferror(VLOOKUP($R582,Capa!$A:$AJ,BA$5,0),0),IF(ISERROR(1/VLOOKUP($R582,Capa!$A:$AJ,BA$5,0)),0,1/VLOOKUP($R582,Capa!$A:$AJ,BA$5,0))))</f>
        <v/>
      </c>
      <c r="BB582" s="174" t="str">
        <f>IF(BB$6="","",IF(BB$3="Maior",iferror(VLOOKUP($R582,Capa!$A:$AJ,BB$5,0),0),IF(ISERROR(1/VLOOKUP($R582,Capa!$A:$AJ,BB$5,0)),0,1/VLOOKUP($R582,Capa!$A:$AJ,BB$5,0))))</f>
        <v/>
      </c>
      <c r="BC582" s="174" t="str">
        <f>IF(BC$6="","",IF(BC$3="Maior",iferror(VLOOKUP($R582,Capa!$A:$AJ,BC$5,0),0),IF(ISERROR(1/VLOOKUP($R582,Capa!$A:$AJ,BC$5,0)),0,1/VLOOKUP($R582,Capa!$A:$AJ,BC$5,0))))</f>
        <v/>
      </c>
      <c r="BD582" s="174" t="str">
        <f>IF(BD$6="","",IF(BD$3="Maior",iferror(VLOOKUP($R582,Capa!$A:$AJ,BD$5,0),0),IF(ISERROR(1/VLOOKUP($R582,Capa!$A:$AJ,BD$5,0)),0,1/VLOOKUP($R582,Capa!$A:$AJ,BD$5,0))))</f>
        <v/>
      </c>
      <c r="BE582" s="174" t="str">
        <f>IF(BE$6="","",IF(BE$3="Maior",iferror(VLOOKUP($R582,Capa!$A:$AJ,BE$5,0),0),IF(ISERROR(1/VLOOKUP($R582,Capa!$A:$AJ,BE$5,0)),0,1/VLOOKUP($R582,Capa!$A:$AJ,BE$5,0))))</f>
        <v/>
      </c>
      <c r="BF582" s="174" t="str">
        <f>IF(BF$6="","",IF(BF$3="Maior",iferror(VLOOKUP($R582,Capa!$A:$AJ,BF$5,0),0),IF(ISERROR(1/VLOOKUP($R582,Capa!$A:$AJ,BF$5,0)),0,1/VLOOKUP($R582,Capa!$A:$AJ,BF$5,0))))</f>
        <v/>
      </c>
      <c r="BG582" s="174" t="str">
        <f>IF(BG$6="","",IF(BG$3="Maior",iferror(VLOOKUP($R582,Capa!$A:$AJ,BG$5,0),0),IF(ISERROR(1/VLOOKUP($R582,Capa!$A:$AJ,BG$5,0)),0,1/VLOOKUP($R582,Capa!$A:$AJ,BG$5,0))))</f>
        <v/>
      </c>
      <c r="BH582" s="174" t="str">
        <f>IF(BH$6="","",IF(BH$3="Maior",iferror(VLOOKUP($R582,Capa!$A:$AJ,BH$5,0),0),IF(ISERROR(1/VLOOKUP($R582,Capa!$A:$AJ,BH$5,0)),0,1/VLOOKUP($R582,Capa!$A:$AJ,BH$5,0))))</f>
        <v/>
      </c>
      <c r="BI582" s="174" t="str">
        <f>IF(BI$6="","",IF(BI$3="Maior",iferror(VLOOKUP($R582,Capa!$A:$AJ,BI$5,0),0),IF(ISERROR(1/VLOOKUP($R582,Capa!$A:$AJ,BI$5,0)),0,1/VLOOKUP($R582,Capa!$A:$AJ,BI$5,0))))</f>
        <v/>
      </c>
      <c r="BJ582" s="174" t="str">
        <f>IF(BJ$6="","",IF(BJ$3="Maior",iferror(VLOOKUP($R582,Capa!$A:$AJ,BJ$5,0),0),IF(ISERROR(1/VLOOKUP($R582,Capa!$A:$AJ,BJ$5,0)),0,1/VLOOKUP($R582,Capa!$A:$AJ,BJ$5,0))))</f>
        <v/>
      </c>
      <c r="BK582" s="174" t="str">
        <f>IF(BK$6="","",IF(BK$3="Maior",iferror(VLOOKUP($R582,Capa!$A:$AJ,BK$5,0),0),IF(ISERROR(1/VLOOKUP($R582,Capa!$A:$AJ,BK$5,0)),0,1/VLOOKUP($R582,Capa!$A:$AJ,BK$5,0))))</f>
        <v/>
      </c>
      <c r="BL582" s="174" t="str">
        <f>IF(BL$6="","",IF(BL$3="Maior",iferror(VLOOKUP($R582,Capa!$A:$AJ,BL$5,0),0),IF(ISERROR(1/VLOOKUP($R582,Capa!$A:$AJ,BL$5,0)),0,1/VLOOKUP($R582,Capa!$A:$AJ,BL$5,0))))</f>
        <v/>
      </c>
      <c r="BM582" s="174" t="str">
        <f>IF(BM$6="","",IF(BM$3="Maior",iferror(VLOOKUP($R582,Capa!$A:$AJ,BM$5,0),0),IF(ISERROR(1/VLOOKUP($R582,Capa!$A:$AJ,BM$5,0)),0,1/VLOOKUP($R582,Capa!$A:$AJ,BM$5,0))))</f>
        <v/>
      </c>
      <c r="BN582" s="174" t="str">
        <f>IF(BN$6="","",IF(BN$3="Maior",iferror(VLOOKUP($R582,Capa!$A:$AJ,BN$5,0),0),IF(ISERROR(1/VLOOKUP($R582,Capa!$A:$AJ,BN$5,0)),0,1/VLOOKUP($R582,Capa!$A:$AJ,BN$5,0))))</f>
        <v/>
      </c>
      <c r="BO582" s="174" t="str">
        <f>IF(BO$6="","",IF(BO$3="Maior",iferror(VLOOKUP($R582,Capa!$A:$AJ,BO$5,0),0),IF(ISERROR(1/VLOOKUP($R582,Capa!$A:$AJ,BO$5,0)),0,1/VLOOKUP($R582,Capa!$A:$AJ,BO$5,0))))</f>
        <v/>
      </c>
      <c r="BP582" s="174" t="str">
        <f>IF(BP$6="","",IF(BP$3="Maior",iferror(VLOOKUP($R582,Capa!$A:$AJ,BP$5,0),0),IF(ISERROR(1/VLOOKUP($R582,Capa!$A:$AJ,BP$5,0)),0,1/VLOOKUP($R582,Capa!$A:$AJ,BP$5,0))))</f>
        <v/>
      </c>
      <c r="BQ582" s="174" t="str">
        <f>IF(BQ$6="","",IF(BQ$3="Maior",iferror(VLOOKUP($R582,Capa!$A:$AJ,BQ$5,0),0),IF(ISERROR(1/VLOOKUP($R582,Capa!$A:$AJ,BQ$5,0)),0,1/VLOOKUP($R582,Capa!$A:$AJ,BQ$5,0))))</f>
        <v/>
      </c>
      <c r="BR582" s="175"/>
      <c r="BS582" s="147"/>
    </row>
    <row r="583">
      <c r="H583" s="8">
        <v>577.0</v>
      </c>
      <c r="I583" s="165" t="str">
        <f t="shared" si="6"/>
        <v>BDLL3</v>
      </c>
      <c r="J583" s="166" t="str">
        <f>(VLOOKUP($I583,Capa!$A:$B,2,0))</f>
        <v>Bardella SA Indstrs Mcncs em Rprc Jdcl</v>
      </c>
      <c r="K583" s="167" t="str">
        <f>VLOOKUP(left(I583,4),Setor!A:D,3,0)&amp;" | "&amp;VLOOKUP(left(I583,4),Setor!A:D,4,0)</f>
        <v>Bens Industriais | Máquinas e Equipamentos</v>
      </c>
      <c r="L583" s="168">
        <f>(VLOOKUP($I583,Capa!$A:$F,6,0))</f>
        <v>7.05</v>
      </c>
      <c r="M583" s="168">
        <f t="shared" si="7"/>
        <v>448.13</v>
      </c>
      <c r="N583" s="11" t="str">
        <f>IFERROR(__xludf.DUMMYFUNCTION("(VLOOKUP($I583,Capa!$A:$H,7,0))"),"")</f>
        <v/>
      </c>
      <c r="O583" s="169" t="str">
        <f>(VLOOKUP($I583,Capa!$A:$H,8,0))</f>
        <v/>
      </c>
      <c r="P583" s="11" t="str">
        <f>IFERROR(__xludf.DUMMYFUNCTION("(VLOOKUP($I583,Capa!$A:$J,10,0))"),"")</f>
        <v/>
      </c>
      <c r="Q583" s="169">
        <f>(VLOOKUP($I583,Capa!$A:$K,11,0))</f>
        <v>-0.3590909091</v>
      </c>
      <c r="R583" s="45" t="str">
        <f>'Dados StatusInvest'!A578</f>
        <v>TPIS3</v>
      </c>
      <c r="S583" s="170">
        <f t="shared" si="234"/>
        <v>1841.0841</v>
      </c>
      <c r="T583" s="171">
        <f>VLOOKUP(R583,'Dados StatusInvest'!A:Z,26,0)</f>
        <v>211817.7</v>
      </c>
      <c r="U583" s="172">
        <f t="shared" ref="U583:AS583" si="586">IF(AT583="","", RANK(AT583,AT$7:AT$626,0)+RANK(AT583,AT$7:AT$626,0)/10000)</f>
        <v>574.0574</v>
      </c>
      <c r="V583" s="172">
        <f t="shared" si="586"/>
        <v>267.0267</v>
      </c>
      <c r="W583" s="172" t="str">
        <f t="shared" si="586"/>
        <v/>
      </c>
      <c r="X583" s="172" t="str">
        <f t="shared" si="586"/>
        <v/>
      </c>
      <c r="Y583" s="172" t="str">
        <f t="shared" si="586"/>
        <v/>
      </c>
      <c r="Z583" s="172" t="str">
        <f t="shared" si="586"/>
        <v/>
      </c>
      <c r="AA583" s="172" t="str">
        <f t="shared" si="586"/>
        <v/>
      </c>
      <c r="AB583" s="172" t="str">
        <f t="shared" si="586"/>
        <v/>
      </c>
      <c r="AC583" s="172" t="str">
        <f t="shared" si="586"/>
        <v/>
      </c>
      <c r="AD583" s="172" t="str">
        <f t="shared" si="586"/>
        <v/>
      </c>
      <c r="AE583" s="172" t="str">
        <f t="shared" si="586"/>
        <v/>
      </c>
      <c r="AF583" s="172" t="str">
        <f t="shared" si="586"/>
        <v/>
      </c>
      <c r="AG583" s="172" t="str">
        <f t="shared" si="586"/>
        <v/>
      </c>
      <c r="AH583" s="172" t="str">
        <f t="shared" si="586"/>
        <v/>
      </c>
      <c r="AI583" s="172" t="str">
        <f t="shared" si="586"/>
        <v/>
      </c>
      <c r="AJ583" s="172" t="str">
        <f t="shared" si="586"/>
        <v/>
      </c>
      <c r="AK583" s="172" t="str">
        <f t="shared" si="586"/>
        <v/>
      </c>
      <c r="AL583" s="172" t="str">
        <f t="shared" si="586"/>
        <v/>
      </c>
      <c r="AM583" s="172" t="str">
        <f t="shared" si="586"/>
        <v/>
      </c>
      <c r="AN583" s="172" t="str">
        <f t="shared" si="586"/>
        <v/>
      </c>
      <c r="AO583" s="172" t="str">
        <f t="shared" si="586"/>
        <v/>
      </c>
      <c r="AP583" s="172" t="str">
        <f t="shared" si="586"/>
        <v/>
      </c>
      <c r="AQ583" s="172" t="str">
        <f t="shared" si="586"/>
        <v/>
      </c>
      <c r="AR583" s="172" t="str">
        <f t="shared" si="586"/>
        <v/>
      </c>
      <c r="AS583" s="172" t="str">
        <f t="shared" si="586"/>
        <v/>
      </c>
      <c r="AT583" s="173">
        <f>IF(AT$6="","",IF(AT$3="Maior",iferror(VLOOKUP($R583,Capa!$A:$AJ,AT$5,0),0),IF(ISERROR(1/VLOOKUP($R583,Capa!$A:$AJ,AT$5,0)),0,1/VLOOKUP($R583,Capa!$A:$AJ,AT$5,0))))</f>
        <v>-8.458161157</v>
      </c>
      <c r="AU583" s="174">
        <f>IF(AU$6="","",IF(AU$3="Maior",iferror(VLOOKUP($R583,Capa!$A:$AJ,AU$5,0),0),IF(ISERROR(1/VLOOKUP($R583,Capa!$A:$AJ,AU$5,0)),0,1/VLOOKUP($R583,Capa!$A:$AJ,AU$5,0))))</f>
        <v>0</v>
      </c>
      <c r="AV583" s="174" t="str">
        <f>IF(AV$6="","",IF(AV$3="Maior",iferror(VLOOKUP($R583,Capa!$A:$AJ,AV$5,0),0),IF(ISERROR(1/VLOOKUP($R583,Capa!$A:$AJ,AV$5,0)),0,1/VLOOKUP($R583,Capa!$A:$AJ,AV$5,0))))</f>
        <v/>
      </c>
      <c r="AW583" s="174" t="str">
        <f>IF(AW$6="","",IF(AW$3="Maior",iferror(VLOOKUP($R583,Capa!$A:$AJ,AW$5,0),0),IF(ISERROR(1/VLOOKUP($R583,Capa!$A:$AJ,AW$5,0)),0,1/VLOOKUP($R583,Capa!$A:$AJ,AW$5,0))))</f>
        <v/>
      </c>
      <c r="AX583" s="174" t="str">
        <f>IF(AX$6="","",IF(AX$3="Maior",iferror(VLOOKUP($R583,Capa!$A:$AJ,AX$5,0),0),IF(ISERROR(1/VLOOKUP($R583,Capa!$A:$AJ,AX$5,0)),0,1/VLOOKUP($R583,Capa!$A:$AJ,AX$5,0))))</f>
        <v/>
      </c>
      <c r="AY583" s="174" t="str">
        <f>IF(AY$6="","",IF(AY$3="Maior",iferror(VLOOKUP($R583,Capa!$A:$AJ,AY$5,0),0),IF(ISERROR(1/VLOOKUP($R583,Capa!$A:$AJ,AY$5,0)),0,1/VLOOKUP($R583,Capa!$A:$AJ,AY$5,0))))</f>
        <v/>
      </c>
      <c r="AZ583" s="174" t="str">
        <f>IF(AZ$6="","",IF(AZ$3="Maior",iferror(VLOOKUP($R583,Capa!$A:$AJ,AZ$5,0),0),IF(ISERROR(1/VLOOKUP($R583,Capa!$A:$AJ,AZ$5,0)),0,1/VLOOKUP($R583,Capa!$A:$AJ,AZ$5,0))))</f>
        <v/>
      </c>
      <c r="BA583" s="174" t="str">
        <f>IF(BA$6="","",IF(BA$3="Maior",iferror(VLOOKUP($R583,Capa!$A:$AJ,BA$5,0),0),IF(ISERROR(1/VLOOKUP($R583,Capa!$A:$AJ,BA$5,0)),0,1/VLOOKUP($R583,Capa!$A:$AJ,BA$5,0))))</f>
        <v/>
      </c>
      <c r="BB583" s="174" t="str">
        <f>IF(BB$6="","",IF(BB$3="Maior",iferror(VLOOKUP($R583,Capa!$A:$AJ,BB$5,0),0),IF(ISERROR(1/VLOOKUP($R583,Capa!$A:$AJ,BB$5,0)),0,1/VLOOKUP($R583,Capa!$A:$AJ,BB$5,0))))</f>
        <v/>
      </c>
      <c r="BC583" s="174" t="str">
        <f>IF(BC$6="","",IF(BC$3="Maior",iferror(VLOOKUP($R583,Capa!$A:$AJ,BC$5,0),0),IF(ISERROR(1/VLOOKUP($R583,Capa!$A:$AJ,BC$5,0)),0,1/VLOOKUP($R583,Capa!$A:$AJ,BC$5,0))))</f>
        <v/>
      </c>
      <c r="BD583" s="174" t="str">
        <f>IF(BD$6="","",IF(BD$3="Maior",iferror(VLOOKUP($R583,Capa!$A:$AJ,BD$5,0),0),IF(ISERROR(1/VLOOKUP($R583,Capa!$A:$AJ,BD$5,0)),0,1/VLOOKUP($R583,Capa!$A:$AJ,BD$5,0))))</f>
        <v/>
      </c>
      <c r="BE583" s="174" t="str">
        <f>IF(BE$6="","",IF(BE$3="Maior",iferror(VLOOKUP($R583,Capa!$A:$AJ,BE$5,0),0),IF(ISERROR(1/VLOOKUP($R583,Capa!$A:$AJ,BE$5,0)),0,1/VLOOKUP($R583,Capa!$A:$AJ,BE$5,0))))</f>
        <v/>
      </c>
      <c r="BF583" s="174" t="str">
        <f>IF(BF$6="","",IF(BF$3="Maior",iferror(VLOOKUP($R583,Capa!$A:$AJ,BF$5,0),0),IF(ISERROR(1/VLOOKUP($R583,Capa!$A:$AJ,BF$5,0)),0,1/VLOOKUP($R583,Capa!$A:$AJ,BF$5,0))))</f>
        <v/>
      </c>
      <c r="BG583" s="174" t="str">
        <f>IF(BG$6="","",IF(BG$3="Maior",iferror(VLOOKUP($R583,Capa!$A:$AJ,BG$5,0),0),IF(ISERROR(1/VLOOKUP($R583,Capa!$A:$AJ,BG$5,0)),0,1/VLOOKUP($R583,Capa!$A:$AJ,BG$5,0))))</f>
        <v/>
      </c>
      <c r="BH583" s="174" t="str">
        <f>IF(BH$6="","",IF(BH$3="Maior",iferror(VLOOKUP($R583,Capa!$A:$AJ,BH$5,0),0),IF(ISERROR(1/VLOOKUP($R583,Capa!$A:$AJ,BH$5,0)),0,1/VLOOKUP($R583,Capa!$A:$AJ,BH$5,0))))</f>
        <v/>
      </c>
      <c r="BI583" s="174" t="str">
        <f>IF(BI$6="","",IF(BI$3="Maior",iferror(VLOOKUP($R583,Capa!$A:$AJ,BI$5,0),0),IF(ISERROR(1/VLOOKUP($R583,Capa!$A:$AJ,BI$5,0)),0,1/VLOOKUP($R583,Capa!$A:$AJ,BI$5,0))))</f>
        <v/>
      </c>
      <c r="BJ583" s="174" t="str">
        <f>IF(BJ$6="","",IF(BJ$3="Maior",iferror(VLOOKUP($R583,Capa!$A:$AJ,BJ$5,0),0),IF(ISERROR(1/VLOOKUP($R583,Capa!$A:$AJ,BJ$5,0)),0,1/VLOOKUP($R583,Capa!$A:$AJ,BJ$5,0))))</f>
        <v/>
      </c>
      <c r="BK583" s="174" t="str">
        <f>IF(BK$6="","",IF(BK$3="Maior",iferror(VLOOKUP($R583,Capa!$A:$AJ,BK$5,0),0),IF(ISERROR(1/VLOOKUP($R583,Capa!$A:$AJ,BK$5,0)),0,1/VLOOKUP($R583,Capa!$A:$AJ,BK$5,0))))</f>
        <v/>
      </c>
      <c r="BL583" s="174" t="str">
        <f>IF(BL$6="","",IF(BL$3="Maior",iferror(VLOOKUP($R583,Capa!$A:$AJ,BL$5,0),0),IF(ISERROR(1/VLOOKUP($R583,Capa!$A:$AJ,BL$5,0)),0,1/VLOOKUP($R583,Capa!$A:$AJ,BL$5,0))))</f>
        <v/>
      </c>
      <c r="BM583" s="174" t="str">
        <f>IF(BM$6="","",IF(BM$3="Maior",iferror(VLOOKUP($R583,Capa!$A:$AJ,BM$5,0),0),IF(ISERROR(1/VLOOKUP($R583,Capa!$A:$AJ,BM$5,0)),0,1/VLOOKUP($R583,Capa!$A:$AJ,BM$5,0))))</f>
        <v/>
      </c>
      <c r="BN583" s="174" t="str">
        <f>IF(BN$6="","",IF(BN$3="Maior",iferror(VLOOKUP($R583,Capa!$A:$AJ,BN$5,0),0),IF(ISERROR(1/VLOOKUP($R583,Capa!$A:$AJ,BN$5,0)),0,1/VLOOKUP($R583,Capa!$A:$AJ,BN$5,0))))</f>
        <v/>
      </c>
      <c r="BO583" s="174" t="str">
        <f>IF(BO$6="","",IF(BO$3="Maior",iferror(VLOOKUP($R583,Capa!$A:$AJ,BO$5,0),0),IF(ISERROR(1/VLOOKUP($R583,Capa!$A:$AJ,BO$5,0)),0,1/VLOOKUP($R583,Capa!$A:$AJ,BO$5,0))))</f>
        <v/>
      </c>
      <c r="BP583" s="174" t="str">
        <f>IF(BP$6="","",IF(BP$3="Maior",iferror(VLOOKUP($R583,Capa!$A:$AJ,BP$5,0),0),IF(ISERROR(1/VLOOKUP($R583,Capa!$A:$AJ,BP$5,0)),0,1/VLOOKUP($R583,Capa!$A:$AJ,BP$5,0))))</f>
        <v/>
      </c>
      <c r="BQ583" s="174" t="str">
        <f>IF(BQ$6="","",IF(BQ$3="Maior",iferror(VLOOKUP($R583,Capa!$A:$AJ,BQ$5,0),0),IF(ISERROR(1/VLOOKUP($R583,Capa!$A:$AJ,BQ$5,0)),0,1/VLOOKUP($R583,Capa!$A:$AJ,BQ$5,0))))</f>
        <v/>
      </c>
      <c r="BR583" s="175"/>
      <c r="BS583" s="147"/>
    </row>
    <row r="584">
      <c r="H584" s="8">
        <v>578.0</v>
      </c>
      <c r="I584" s="165" t="str">
        <f t="shared" si="6"/>
        <v>BDLL3</v>
      </c>
      <c r="J584" s="166" t="str">
        <f>(VLOOKUP($I584,Capa!$A:$B,2,0))</f>
        <v>Bardella SA Indstrs Mcncs em Rprc Jdcl</v>
      </c>
      <c r="K584" s="167" t="str">
        <f>VLOOKUP(left(I584,4),Setor!A:D,3,0)&amp;" | "&amp;VLOOKUP(left(I584,4),Setor!A:D,4,0)</f>
        <v>Bens Industriais | Máquinas e Equipamentos</v>
      </c>
      <c r="L584" s="168">
        <f>(VLOOKUP($I584,Capa!$A:$F,6,0))</f>
        <v>7.05</v>
      </c>
      <c r="M584" s="168">
        <f t="shared" si="7"/>
        <v>448.13</v>
      </c>
      <c r="N584" s="11" t="str">
        <f>IFERROR(__xludf.DUMMYFUNCTION("(VLOOKUP($I584,Capa!$A:$H,7,0))"),"")</f>
        <v/>
      </c>
      <c r="O584" s="169" t="str">
        <f>(VLOOKUP($I584,Capa!$A:$H,8,0))</f>
        <v/>
      </c>
      <c r="P584" s="11" t="str">
        <f>IFERROR(__xludf.DUMMYFUNCTION("(VLOOKUP($I584,Capa!$A:$J,10,0))"),"")</f>
        <v/>
      </c>
      <c r="Q584" s="169">
        <f>(VLOOKUP($I584,Capa!$A:$K,11,0))</f>
        <v>-0.3590909091</v>
      </c>
      <c r="R584" s="45" t="str">
        <f>'Dados StatusInvest'!A579</f>
        <v>TRAD3</v>
      </c>
      <c r="S584" s="170">
        <f t="shared" si="234"/>
        <v>1610.061</v>
      </c>
      <c r="T584" s="171">
        <f>VLOOKUP(R584,'Dados StatusInvest'!A:Z,26,0)</f>
        <v>78874.62</v>
      </c>
      <c r="U584" s="172">
        <f t="shared" ref="U584:AS584" si="587">IF(AT584="","", RANK(AT584,AT$7:AT$626,0)+RANK(AT584,AT$7:AT$626,0)/10000)</f>
        <v>343.0343</v>
      </c>
      <c r="V584" s="172">
        <f t="shared" si="587"/>
        <v>267.0267</v>
      </c>
      <c r="W584" s="172" t="str">
        <f t="shared" si="587"/>
        <v/>
      </c>
      <c r="X584" s="172" t="str">
        <f t="shared" si="587"/>
        <v/>
      </c>
      <c r="Y584" s="172" t="str">
        <f t="shared" si="587"/>
        <v/>
      </c>
      <c r="Z584" s="172" t="str">
        <f t="shared" si="587"/>
        <v/>
      </c>
      <c r="AA584" s="172" t="str">
        <f t="shared" si="587"/>
        <v/>
      </c>
      <c r="AB584" s="172" t="str">
        <f t="shared" si="587"/>
        <v/>
      </c>
      <c r="AC584" s="172" t="str">
        <f t="shared" si="587"/>
        <v/>
      </c>
      <c r="AD584" s="172" t="str">
        <f t="shared" si="587"/>
        <v/>
      </c>
      <c r="AE584" s="172" t="str">
        <f t="shared" si="587"/>
        <v/>
      </c>
      <c r="AF584" s="172" t="str">
        <f t="shared" si="587"/>
        <v/>
      </c>
      <c r="AG584" s="172" t="str">
        <f t="shared" si="587"/>
        <v/>
      </c>
      <c r="AH584" s="172" t="str">
        <f t="shared" si="587"/>
        <v/>
      </c>
      <c r="AI584" s="172" t="str">
        <f t="shared" si="587"/>
        <v/>
      </c>
      <c r="AJ584" s="172" t="str">
        <f t="shared" si="587"/>
        <v/>
      </c>
      <c r="AK584" s="172" t="str">
        <f t="shared" si="587"/>
        <v/>
      </c>
      <c r="AL584" s="172" t="str">
        <f t="shared" si="587"/>
        <v/>
      </c>
      <c r="AM584" s="172" t="str">
        <f t="shared" si="587"/>
        <v/>
      </c>
      <c r="AN584" s="172" t="str">
        <f t="shared" si="587"/>
        <v/>
      </c>
      <c r="AO584" s="172" t="str">
        <f t="shared" si="587"/>
        <v/>
      </c>
      <c r="AP584" s="172" t="str">
        <f t="shared" si="587"/>
        <v/>
      </c>
      <c r="AQ584" s="172" t="str">
        <f t="shared" si="587"/>
        <v/>
      </c>
      <c r="AR584" s="172" t="str">
        <f t="shared" si="587"/>
        <v/>
      </c>
      <c r="AS584" s="172" t="str">
        <f t="shared" si="587"/>
        <v/>
      </c>
      <c r="AT584" s="173">
        <f>IF(AT$6="","",IF(AT$3="Maior",iferror(VLOOKUP($R584,Capa!$A:$AJ,AT$5,0),0),IF(ISERROR(1/VLOOKUP($R584,Capa!$A:$AJ,AT$5,0)),0,1/VLOOKUP($R584,Capa!$A:$AJ,AT$5,0))))</f>
        <v>-0.9640666082</v>
      </c>
      <c r="AU584" s="174">
        <f>IF(AU$6="","",IF(AU$3="Maior",iferror(VLOOKUP($R584,Capa!$A:$AJ,AU$5,0),0),IF(ISERROR(1/VLOOKUP($R584,Capa!$A:$AJ,AU$5,0)),0,1/VLOOKUP($R584,Capa!$A:$AJ,AU$5,0))))</f>
        <v>0</v>
      </c>
      <c r="AV584" s="174" t="str">
        <f>IF(AV$6="","",IF(AV$3="Maior",iferror(VLOOKUP($R584,Capa!$A:$AJ,AV$5,0),0),IF(ISERROR(1/VLOOKUP($R584,Capa!$A:$AJ,AV$5,0)),0,1/VLOOKUP($R584,Capa!$A:$AJ,AV$5,0))))</f>
        <v/>
      </c>
      <c r="AW584" s="174" t="str">
        <f>IF(AW$6="","",IF(AW$3="Maior",iferror(VLOOKUP($R584,Capa!$A:$AJ,AW$5,0),0),IF(ISERROR(1/VLOOKUP($R584,Capa!$A:$AJ,AW$5,0)),0,1/VLOOKUP($R584,Capa!$A:$AJ,AW$5,0))))</f>
        <v/>
      </c>
      <c r="AX584" s="174" t="str">
        <f>IF(AX$6="","",IF(AX$3="Maior",iferror(VLOOKUP($R584,Capa!$A:$AJ,AX$5,0),0),IF(ISERROR(1/VLOOKUP($R584,Capa!$A:$AJ,AX$5,0)),0,1/VLOOKUP($R584,Capa!$A:$AJ,AX$5,0))))</f>
        <v/>
      </c>
      <c r="AY584" s="174" t="str">
        <f>IF(AY$6="","",IF(AY$3="Maior",iferror(VLOOKUP($R584,Capa!$A:$AJ,AY$5,0),0),IF(ISERROR(1/VLOOKUP($R584,Capa!$A:$AJ,AY$5,0)),0,1/VLOOKUP($R584,Capa!$A:$AJ,AY$5,0))))</f>
        <v/>
      </c>
      <c r="AZ584" s="174" t="str">
        <f>IF(AZ$6="","",IF(AZ$3="Maior",iferror(VLOOKUP($R584,Capa!$A:$AJ,AZ$5,0),0),IF(ISERROR(1/VLOOKUP($R584,Capa!$A:$AJ,AZ$5,0)),0,1/VLOOKUP($R584,Capa!$A:$AJ,AZ$5,0))))</f>
        <v/>
      </c>
      <c r="BA584" s="174" t="str">
        <f>IF(BA$6="","",IF(BA$3="Maior",iferror(VLOOKUP($R584,Capa!$A:$AJ,BA$5,0),0),IF(ISERROR(1/VLOOKUP($R584,Capa!$A:$AJ,BA$5,0)),0,1/VLOOKUP($R584,Capa!$A:$AJ,BA$5,0))))</f>
        <v/>
      </c>
      <c r="BB584" s="174" t="str">
        <f>IF(BB$6="","",IF(BB$3="Maior",iferror(VLOOKUP($R584,Capa!$A:$AJ,BB$5,0),0),IF(ISERROR(1/VLOOKUP($R584,Capa!$A:$AJ,BB$5,0)),0,1/VLOOKUP($R584,Capa!$A:$AJ,BB$5,0))))</f>
        <v/>
      </c>
      <c r="BC584" s="174" t="str">
        <f>IF(BC$6="","",IF(BC$3="Maior",iferror(VLOOKUP($R584,Capa!$A:$AJ,BC$5,0),0),IF(ISERROR(1/VLOOKUP($R584,Capa!$A:$AJ,BC$5,0)),0,1/VLOOKUP($R584,Capa!$A:$AJ,BC$5,0))))</f>
        <v/>
      </c>
      <c r="BD584" s="174" t="str">
        <f>IF(BD$6="","",IF(BD$3="Maior",iferror(VLOOKUP($R584,Capa!$A:$AJ,BD$5,0),0),IF(ISERROR(1/VLOOKUP($R584,Capa!$A:$AJ,BD$5,0)),0,1/VLOOKUP($R584,Capa!$A:$AJ,BD$5,0))))</f>
        <v/>
      </c>
      <c r="BE584" s="174" t="str">
        <f>IF(BE$6="","",IF(BE$3="Maior",iferror(VLOOKUP($R584,Capa!$A:$AJ,BE$5,0),0),IF(ISERROR(1/VLOOKUP($R584,Capa!$A:$AJ,BE$5,0)),0,1/VLOOKUP($R584,Capa!$A:$AJ,BE$5,0))))</f>
        <v/>
      </c>
      <c r="BF584" s="174" t="str">
        <f>IF(BF$6="","",IF(BF$3="Maior",iferror(VLOOKUP($R584,Capa!$A:$AJ,BF$5,0),0),IF(ISERROR(1/VLOOKUP($R584,Capa!$A:$AJ,BF$5,0)),0,1/VLOOKUP($R584,Capa!$A:$AJ,BF$5,0))))</f>
        <v/>
      </c>
      <c r="BG584" s="174" t="str">
        <f>IF(BG$6="","",IF(BG$3="Maior",iferror(VLOOKUP($R584,Capa!$A:$AJ,BG$5,0),0),IF(ISERROR(1/VLOOKUP($R584,Capa!$A:$AJ,BG$5,0)),0,1/VLOOKUP($R584,Capa!$A:$AJ,BG$5,0))))</f>
        <v/>
      </c>
      <c r="BH584" s="174" t="str">
        <f>IF(BH$6="","",IF(BH$3="Maior",iferror(VLOOKUP($R584,Capa!$A:$AJ,BH$5,0),0),IF(ISERROR(1/VLOOKUP($R584,Capa!$A:$AJ,BH$5,0)),0,1/VLOOKUP($R584,Capa!$A:$AJ,BH$5,0))))</f>
        <v/>
      </c>
      <c r="BI584" s="174" t="str">
        <f>IF(BI$6="","",IF(BI$3="Maior",iferror(VLOOKUP($R584,Capa!$A:$AJ,BI$5,0),0),IF(ISERROR(1/VLOOKUP($R584,Capa!$A:$AJ,BI$5,0)),0,1/VLOOKUP($R584,Capa!$A:$AJ,BI$5,0))))</f>
        <v/>
      </c>
      <c r="BJ584" s="174" t="str">
        <f>IF(BJ$6="","",IF(BJ$3="Maior",iferror(VLOOKUP($R584,Capa!$A:$AJ,BJ$5,0),0),IF(ISERROR(1/VLOOKUP($R584,Capa!$A:$AJ,BJ$5,0)),0,1/VLOOKUP($R584,Capa!$A:$AJ,BJ$5,0))))</f>
        <v/>
      </c>
      <c r="BK584" s="174" t="str">
        <f>IF(BK$6="","",IF(BK$3="Maior",iferror(VLOOKUP($R584,Capa!$A:$AJ,BK$5,0),0),IF(ISERROR(1/VLOOKUP($R584,Capa!$A:$AJ,BK$5,0)),0,1/VLOOKUP($R584,Capa!$A:$AJ,BK$5,0))))</f>
        <v/>
      </c>
      <c r="BL584" s="174" t="str">
        <f>IF(BL$6="","",IF(BL$3="Maior",iferror(VLOOKUP($R584,Capa!$A:$AJ,BL$5,0),0),IF(ISERROR(1/VLOOKUP($R584,Capa!$A:$AJ,BL$5,0)),0,1/VLOOKUP($R584,Capa!$A:$AJ,BL$5,0))))</f>
        <v/>
      </c>
      <c r="BM584" s="174" t="str">
        <f>IF(BM$6="","",IF(BM$3="Maior",iferror(VLOOKUP($R584,Capa!$A:$AJ,BM$5,0),0),IF(ISERROR(1/VLOOKUP($R584,Capa!$A:$AJ,BM$5,0)),0,1/VLOOKUP($R584,Capa!$A:$AJ,BM$5,0))))</f>
        <v/>
      </c>
      <c r="BN584" s="174" t="str">
        <f>IF(BN$6="","",IF(BN$3="Maior",iferror(VLOOKUP($R584,Capa!$A:$AJ,BN$5,0),0),IF(ISERROR(1/VLOOKUP($R584,Capa!$A:$AJ,BN$5,0)),0,1/VLOOKUP($R584,Capa!$A:$AJ,BN$5,0))))</f>
        <v/>
      </c>
      <c r="BO584" s="174" t="str">
        <f>IF(BO$6="","",IF(BO$3="Maior",iferror(VLOOKUP($R584,Capa!$A:$AJ,BO$5,0),0),IF(ISERROR(1/VLOOKUP($R584,Capa!$A:$AJ,BO$5,0)),0,1/VLOOKUP($R584,Capa!$A:$AJ,BO$5,0))))</f>
        <v/>
      </c>
      <c r="BP584" s="174" t="str">
        <f>IF(BP$6="","",IF(BP$3="Maior",iferror(VLOOKUP($R584,Capa!$A:$AJ,BP$5,0),0),IF(ISERROR(1/VLOOKUP($R584,Capa!$A:$AJ,BP$5,0)),0,1/VLOOKUP($R584,Capa!$A:$AJ,BP$5,0))))</f>
        <v/>
      </c>
      <c r="BQ584" s="174" t="str">
        <f>IF(BQ$6="","",IF(BQ$3="Maior",iferror(VLOOKUP($R584,Capa!$A:$AJ,BQ$5,0),0),IF(ISERROR(1/VLOOKUP($R584,Capa!$A:$AJ,BQ$5,0)),0,1/VLOOKUP($R584,Capa!$A:$AJ,BQ$5,0))))</f>
        <v/>
      </c>
      <c r="BR584" s="175"/>
      <c r="BS584" s="147"/>
    </row>
    <row r="585">
      <c r="H585" s="8">
        <v>579.0</v>
      </c>
      <c r="I585" s="165" t="str">
        <f t="shared" si="6"/>
        <v>BRGE6</v>
      </c>
      <c r="J585" s="166" t="str">
        <f>(VLOOKUP($I585,Capa!$A:$B,2,0))</f>
        <v/>
      </c>
      <c r="K585" s="167" t="str">
        <f>VLOOKUP(left(I585,4),Setor!A:D,3,0)&amp;" | "&amp;VLOOKUP(left(I585,4),Setor!A:D,4,0)</f>
        <v>Financeiro | Previdência e Seguros</v>
      </c>
      <c r="L585" s="168" t="str">
        <f>(VLOOKUP($I585,Capa!$A:$F,6,0))</f>
        <v/>
      </c>
      <c r="M585" s="168">
        <f t="shared" si="7"/>
        <v>0</v>
      </c>
      <c r="N585" s="11" t="str">
        <f>(VLOOKUP($I585,Capa!$A:$H,7,0))</f>
        <v/>
      </c>
      <c r="O585" s="169" t="str">
        <f>(VLOOKUP($I585,Capa!$A:$H,8,0))</f>
        <v/>
      </c>
      <c r="P585" s="11" t="str">
        <f>(VLOOKUP($I585,Capa!$A:$J,10,0))</f>
        <v/>
      </c>
      <c r="Q585" s="169" t="str">
        <f>(VLOOKUP($I585,Capa!$A:$K,11,0))</f>
        <v/>
      </c>
      <c r="R585" s="45" t="str">
        <f>'Dados StatusInvest'!A580</f>
        <v>TRIS3</v>
      </c>
      <c r="S585" s="170">
        <f t="shared" si="234"/>
        <v>420.042</v>
      </c>
      <c r="T585" s="171">
        <f>VLOOKUP(R585,'Dados StatusInvest'!A:Z,26,0)</f>
        <v>2808423</v>
      </c>
      <c r="U585" s="172">
        <f t="shared" ref="U585:AS585" si="588">IF(AT585="","", RANK(AT585,AT$7:AT$626,0)+RANK(AT585,AT$7:AT$626,0)/10000)</f>
        <v>202.0202</v>
      </c>
      <c r="V585" s="172">
        <f t="shared" si="588"/>
        <v>218.0218</v>
      </c>
      <c r="W585" s="172" t="str">
        <f t="shared" si="588"/>
        <v/>
      </c>
      <c r="X585" s="172" t="str">
        <f t="shared" si="588"/>
        <v/>
      </c>
      <c r="Y585" s="172" t="str">
        <f t="shared" si="588"/>
        <v/>
      </c>
      <c r="Z585" s="172" t="str">
        <f t="shared" si="588"/>
        <v/>
      </c>
      <c r="AA585" s="172" t="str">
        <f t="shared" si="588"/>
        <v/>
      </c>
      <c r="AB585" s="172" t="str">
        <f t="shared" si="588"/>
        <v/>
      </c>
      <c r="AC585" s="172" t="str">
        <f t="shared" si="588"/>
        <v/>
      </c>
      <c r="AD585" s="172" t="str">
        <f t="shared" si="588"/>
        <v/>
      </c>
      <c r="AE585" s="172" t="str">
        <f t="shared" si="588"/>
        <v/>
      </c>
      <c r="AF585" s="172" t="str">
        <f t="shared" si="588"/>
        <v/>
      </c>
      <c r="AG585" s="172" t="str">
        <f t="shared" si="588"/>
        <v/>
      </c>
      <c r="AH585" s="172" t="str">
        <f t="shared" si="588"/>
        <v/>
      </c>
      <c r="AI585" s="172" t="str">
        <f t="shared" si="588"/>
        <v/>
      </c>
      <c r="AJ585" s="172" t="str">
        <f t="shared" si="588"/>
        <v/>
      </c>
      <c r="AK585" s="172" t="str">
        <f t="shared" si="588"/>
        <v/>
      </c>
      <c r="AL585" s="172" t="str">
        <f t="shared" si="588"/>
        <v/>
      </c>
      <c r="AM585" s="172" t="str">
        <f t="shared" si="588"/>
        <v/>
      </c>
      <c r="AN585" s="172" t="str">
        <f t="shared" si="588"/>
        <v/>
      </c>
      <c r="AO585" s="172" t="str">
        <f t="shared" si="588"/>
        <v/>
      </c>
      <c r="AP585" s="172" t="str">
        <f t="shared" si="588"/>
        <v/>
      </c>
      <c r="AQ585" s="172" t="str">
        <f t="shared" si="588"/>
        <v/>
      </c>
      <c r="AR585" s="172" t="str">
        <f t="shared" si="588"/>
        <v/>
      </c>
      <c r="AS585" s="172" t="str">
        <f t="shared" si="588"/>
        <v/>
      </c>
      <c r="AT585" s="173">
        <f>IF(AT$6="","",IF(AT$3="Maior",iferror(VLOOKUP($R585,Capa!$A:$AJ,AT$5,0),0),IF(ISERROR(1/VLOOKUP($R585,Capa!$A:$AJ,AT$5,0)),0,1/VLOOKUP($R585,Capa!$A:$AJ,AT$5,0))))</f>
        <v>-0.2739911122</v>
      </c>
      <c r="AU585" s="174">
        <f>IF(AU$6="","",IF(AU$3="Maior",iferror(VLOOKUP($R585,Capa!$A:$AJ,AU$5,0),0),IF(ISERROR(1/VLOOKUP($R585,Capa!$A:$AJ,AU$5,0)),0,1/VLOOKUP($R585,Capa!$A:$AJ,AU$5,0))))</f>
        <v>8.77</v>
      </c>
      <c r="AV585" s="174" t="str">
        <f>IF(AV$6="","",IF(AV$3="Maior",iferror(VLOOKUP($R585,Capa!$A:$AJ,AV$5,0),0),IF(ISERROR(1/VLOOKUP($R585,Capa!$A:$AJ,AV$5,0)),0,1/VLOOKUP($R585,Capa!$A:$AJ,AV$5,0))))</f>
        <v/>
      </c>
      <c r="AW585" s="174" t="str">
        <f>IF(AW$6="","",IF(AW$3="Maior",iferror(VLOOKUP($R585,Capa!$A:$AJ,AW$5,0),0),IF(ISERROR(1/VLOOKUP($R585,Capa!$A:$AJ,AW$5,0)),0,1/VLOOKUP($R585,Capa!$A:$AJ,AW$5,0))))</f>
        <v/>
      </c>
      <c r="AX585" s="174" t="str">
        <f>IF(AX$6="","",IF(AX$3="Maior",iferror(VLOOKUP($R585,Capa!$A:$AJ,AX$5,0),0),IF(ISERROR(1/VLOOKUP($R585,Capa!$A:$AJ,AX$5,0)),0,1/VLOOKUP($R585,Capa!$A:$AJ,AX$5,0))))</f>
        <v/>
      </c>
      <c r="AY585" s="174" t="str">
        <f>IF(AY$6="","",IF(AY$3="Maior",iferror(VLOOKUP($R585,Capa!$A:$AJ,AY$5,0),0),IF(ISERROR(1/VLOOKUP($R585,Capa!$A:$AJ,AY$5,0)),0,1/VLOOKUP($R585,Capa!$A:$AJ,AY$5,0))))</f>
        <v/>
      </c>
      <c r="AZ585" s="174" t="str">
        <f>IF(AZ$6="","",IF(AZ$3="Maior",iferror(VLOOKUP($R585,Capa!$A:$AJ,AZ$5,0),0),IF(ISERROR(1/VLOOKUP($R585,Capa!$A:$AJ,AZ$5,0)),0,1/VLOOKUP($R585,Capa!$A:$AJ,AZ$5,0))))</f>
        <v/>
      </c>
      <c r="BA585" s="174" t="str">
        <f>IF(BA$6="","",IF(BA$3="Maior",iferror(VLOOKUP($R585,Capa!$A:$AJ,BA$5,0),0),IF(ISERROR(1/VLOOKUP($R585,Capa!$A:$AJ,BA$5,0)),0,1/VLOOKUP($R585,Capa!$A:$AJ,BA$5,0))))</f>
        <v/>
      </c>
      <c r="BB585" s="174" t="str">
        <f>IF(BB$6="","",IF(BB$3="Maior",iferror(VLOOKUP($R585,Capa!$A:$AJ,BB$5,0),0),IF(ISERROR(1/VLOOKUP($R585,Capa!$A:$AJ,BB$5,0)),0,1/VLOOKUP($R585,Capa!$A:$AJ,BB$5,0))))</f>
        <v/>
      </c>
      <c r="BC585" s="174" t="str">
        <f>IF(BC$6="","",IF(BC$3="Maior",iferror(VLOOKUP($R585,Capa!$A:$AJ,BC$5,0),0),IF(ISERROR(1/VLOOKUP($R585,Capa!$A:$AJ,BC$5,0)),0,1/VLOOKUP($R585,Capa!$A:$AJ,BC$5,0))))</f>
        <v/>
      </c>
      <c r="BD585" s="174" t="str">
        <f>IF(BD$6="","",IF(BD$3="Maior",iferror(VLOOKUP($R585,Capa!$A:$AJ,BD$5,0),0),IF(ISERROR(1/VLOOKUP($R585,Capa!$A:$AJ,BD$5,0)),0,1/VLOOKUP($R585,Capa!$A:$AJ,BD$5,0))))</f>
        <v/>
      </c>
      <c r="BE585" s="174" t="str">
        <f>IF(BE$6="","",IF(BE$3="Maior",iferror(VLOOKUP($R585,Capa!$A:$AJ,BE$5,0),0),IF(ISERROR(1/VLOOKUP($R585,Capa!$A:$AJ,BE$5,0)),0,1/VLOOKUP($R585,Capa!$A:$AJ,BE$5,0))))</f>
        <v/>
      </c>
      <c r="BF585" s="174" t="str">
        <f>IF(BF$6="","",IF(BF$3="Maior",iferror(VLOOKUP($R585,Capa!$A:$AJ,BF$5,0),0),IF(ISERROR(1/VLOOKUP($R585,Capa!$A:$AJ,BF$5,0)),0,1/VLOOKUP($R585,Capa!$A:$AJ,BF$5,0))))</f>
        <v/>
      </c>
      <c r="BG585" s="174" t="str">
        <f>IF(BG$6="","",IF(BG$3="Maior",iferror(VLOOKUP($R585,Capa!$A:$AJ,BG$5,0),0),IF(ISERROR(1/VLOOKUP($R585,Capa!$A:$AJ,BG$5,0)),0,1/VLOOKUP($R585,Capa!$A:$AJ,BG$5,0))))</f>
        <v/>
      </c>
      <c r="BH585" s="174" t="str">
        <f>IF(BH$6="","",IF(BH$3="Maior",iferror(VLOOKUP($R585,Capa!$A:$AJ,BH$5,0),0),IF(ISERROR(1/VLOOKUP($R585,Capa!$A:$AJ,BH$5,0)),0,1/VLOOKUP($R585,Capa!$A:$AJ,BH$5,0))))</f>
        <v/>
      </c>
      <c r="BI585" s="174" t="str">
        <f>IF(BI$6="","",IF(BI$3="Maior",iferror(VLOOKUP($R585,Capa!$A:$AJ,BI$5,0),0),IF(ISERROR(1/VLOOKUP($R585,Capa!$A:$AJ,BI$5,0)),0,1/VLOOKUP($R585,Capa!$A:$AJ,BI$5,0))))</f>
        <v/>
      </c>
      <c r="BJ585" s="174" t="str">
        <f>IF(BJ$6="","",IF(BJ$3="Maior",iferror(VLOOKUP($R585,Capa!$A:$AJ,BJ$5,0),0),IF(ISERROR(1/VLOOKUP($R585,Capa!$A:$AJ,BJ$5,0)),0,1/VLOOKUP($R585,Capa!$A:$AJ,BJ$5,0))))</f>
        <v/>
      </c>
      <c r="BK585" s="174" t="str">
        <f>IF(BK$6="","",IF(BK$3="Maior",iferror(VLOOKUP($R585,Capa!$A:$AJ,BK$5,0),0),IF(ISERROR(1/VLOOKUP($R585,Capa!$A:$AJ,BK$5,0)),0,1/VLOOKUP($R585,Capa!$A:$AJ,BK$5,0))))</f>
        <v/>
      </c>
      <c r="BL585" s="174" t="str">
        <f>IF(BL$6="","",IF(BL$3="Maior",iferror(VLOOKUP($R585,Capa!$A:$AJ,BL$5,0),0),IF(ISERROR(1/VLOOKUP($R585,Capa!$A:$AJ,BL$5,0)),0,1/VLOOKUP($R585,Capa!$A:$AJ,BL$5,0))))</f>
        <v/>
      </c>
      <c r="BM585" s="174" t="str">
        <f>IF(BM$6="","",IF(BM$3="Maior",iferror(VLOOKUP($R585,Capa!$A:$AJ,BM$5,0),0),IF(ISERROR(1/VLOOKUP($R585,Capa!$A:$AJ,BM$5,0)),0,1/VLOOKUP($R585,Capa!$A:$AJ,BM$5,0))))</f>
        <v/>
      </c>
      <c r="BN585" s="174" t="str">
        <f>IF(BN$6="","",IF(BN$3="Maior",iferror(VLOOKUP($R585,Capa!$A:$AJ,BN$5,0),0),IF(ISERROR(1/VLOOKUP($R585,Capa!$A:$AJ,BN$5,0)),0,1/VLOOKUP($R585,Capa!$A:$AJ,BN$5,0))))</f>
        <v/>
      </c>
      <c r="BO585" s="174" t="str">
        <f>IF(BO$6="","",IF(BO$3="Maior",iferror(VLOOKUP($R585,Capa!$A:$AJ,BO$5,0),0),IF(ISERROR(1/VLOOKUP($R585,Capa!$A:$AJ,BO$5,0)),0,1/VLOOKUP($R585,Capa!$A:$AJ,BO$5,0))))</f>
        <v/>
      </c>
      <c r="BP585" s="174" t="str">
        <f>IF(BP$6="","",IF(BP$3="Maior",iferror(VLOOKUP($R585,Capa!$A:$AJ,BP$5,0),0),IF(ISERROR(1/VLOOKUP($R585,Capa!$A:$AJ,BP$5,0)),0,1/VLOOKUP($R585,Capa!$A:$AJ,BP$5,0))))</f>
        <v/>
      </c>
      <c r="BQ585" s="174" t="str">
        <f>IF(BQ$6="","",IF(BQ$3="Maior",iferror(VLOOKUP($R585,Capa!$A:$AJ,BQ$5,0),0),IF(ISERROR(1/VLOOKUP($R585,Capa!$A:$AJ,BQ$5,0)),0,1/VLOOKUP($R585,Capa!$A:$AJ,BQ$5,0))))</f>
        <v/>
      </c>
      <c r="BR585" s="175"/>
      <c r="BS585" s="147"/>
    </row>
    <row r="586">
      <c r="H586" s="8">
        <v>580.0</v>
      </c>
      <c r="I586" s="165" t="str">
        <f t="shared" si="6"/>
        <v>BRGE6</v>
      </c>
      <c r="J586" s="166" t="str">
        <f>(VLOOKUP($I586,Capa!$A:$B,2,0))</f>
        <v/>
      </c>
      <c r="K586" s="167" t="str">
        <f>VLOOKUP(left(I586,4),Setor!A:D,3,0)&amp;" | "&amp;VLOOKUP(left(I586,4),Setor!A:D,4,0)</f>
        <v>Financeiro | Previdência e Seguros</v>
      </c>
      <c r="L586" s="168" t="str">
        <f>(VLOOKUP($I586,Capa!$A:$F,6,0))</f>
        <v/>
      </c>
      <c r="M586" s="168">
        <f t="shared" si="7"/>
        <v>0</v>
      </c>
      <c r="N586" s="11" t="str">
        <f>(VLOOKUP($I586,Capa!$A:$H,7,0))</f>
        <v/>
      </c>
      <c r="O586" s="169" t="str">
        <f>(VLOOKUP($I586,Capa!$A:$H,8,0))</f>
        <v/>
      </c>
      <c r="P586" s="11" t="str">
        <f>(VLOOKUP($I586,Capa!$A:$J,10,0))</f>
        <v/>
      </c>
      <c r="Q586" s="169" t="str">
        <f>(VLOOKUP($I586,Capa!$A:$K,11,0))</f>
        <v/>
      </c>
      <c r="R586" s="45" t="str">
        <f>'Dados StatusInvest'!A581</f>
        <v>TTEN3</v>
      </c>
      <c r="S586" s="170">
        <f t="shared" si="234"/>
        <v>285.0285</v>
      </c>
      <c r="T586" s="171">
        <f>VLOOKUP(R586,'Dados StatusInvest'!A:Z,26,0)</f>
        <v>24248114</v>
      </c>
      <c r="U586" s="172">
        <f t="shared" ref="U586:AS586" si="589">IF(AT586="","", RANK(AT586,AT$7:AT$626,0)+RANK(AT586,AT$7:AT$626,0)/10000)</f>
        <v>256.0256</v>
      </c>
      <c r="V586" s="172">
        <f t="shared" si="589"/>
        <v>29.0029</v>
      </c>
      <c r="W586" s="172" t="str">
        <f t="shared" si="589"/>
        <v/>
      </c>
      <c r="X586" s="172" t="str">
        <f t="shared" si="589"/>
        <v/>
      </c>
      <c r="Y586" s="172" t="str">
        <f t="shared" si="589"/>
        <v/>
      </c>
      <c r="Z586" s="172" t="str">
        <f t="shared" si="589"/>
        <v/>
      </c>
      <c r="AA586" s="172" t="str">
        <f t="shared" si="589"/>
        <v/>
      </c>
      <c r="AB586" s="172" t="str">
        <f t="shared" si="589"/>
        <v/>
      </c>
      <c r="AC586" s="172" t="str">
        <f t="shared" si="589"/>
        <v/>
      </c>
      <c r="AD586" s="172" t="str">
        <f t="shared" si="589"/>
        <v/>
      </c>
      <c r="AE586" s="172" t="str">
        <f t="shared" si="589"/>
        <v/>
      </c>
      <c r="AF586" s="172" t="str">
        <f t="shared" si="589"/>
        <v/>
      </c>
      <c r="AG586" s="172" t="str">
        <f t="shared" si="589"/>
        <v/>
      </c>
      <c r="AH586" s="172" t="str">
        <f t="shared" si="589"/>
        <v/>
      </c>
      <c r="AI586" s="172" t="str">
        <f t="shared" si="589"/>
        <v/>
      </c>
      <c r="AJ586" s="172" t="str">
        <f t="shared" si="589"/>
        <v/>
      </c>
      <c r="AK586" s="172" t="str">
        <f t="shared" si="589"/>
        <v/>
      </c>
      <c r="AL586" s="172" t="str">
        <f t="shared" si="589"/>
        <v/>
      </c>
      <c r="AM586" s="172" t="str">
        <f t="shared" si="589"/>
        <v/>
      </c>
      <c r="AN586" s="172" t="str">
        <f t="shared" si="589"/>
        <v/>
      </c>
      <c r="AO586" s="172" t="str">
        <f t="shared" si="589"/>
        <v/>
      </c>
      <c r="AP586" s="172" t="str">
        <f t="shared" si="589"/>
        <v/>
      </c>
      <c r="AQ586" s="172" t="str">
        <f t="shared" si="589"/>
        <v/>
      </c>
      <c r="AR586" s="172" t="str">
        <f t="shared" si="589"/>
        <v/>
      </c>
      <c r="AS586" s="172" t="str">
        <f t="shared" si="589"/>
        <v/>
      </c>
      <c r="AT586" s="173">
        <f>IF(AT$6="","",IF(AT$3="Maior",iferror(VLOOKUP($R586,Capa!$A:$AJ,AT$5,0),0),IF(ISERROR(1/VLOOKUP($R586,Capa!$A:$AJ,AT$5,0)),0,1/VLOOKUP($R586,Capa!$A:$AJ,AT$5,0))))</f>
        <v>-0.516163074</v>
      </c>
      <c r="AU586" s="174">
        <f>IF(AU$6="","",IF(AU$3="Maior",iferror(VLOOKUP($R586,Capa!$A:$AJ,AU$5,0),0),IF(ISERROR(1/VLOOKUP($R586,Capa!$A:$AJ,AU$5,0)),0,1/VLOOKUP($R586,Capa!$A:$AJ,AU$5,0))))</f>
        <v>48.2</v>
      </c>
      <c r="AV586" s="174" t="str">
        <f>IF(AV$6="","",IF(AV$3="Maior",iferror(VLOOKUP($R586,Capa!$A:$AJ,AV$5,0),0),IF(ISERROR(1/VLOOKUP($R586,Capa!$A:$AJ,AV$5,0)),0,1/VLOOKUP($R586,Capa!$A:$AJ,AV$5,0))))</f>
        <v/>
      </c>
      <c r="AW586" s="174" t="str">
        <f>IF(AW$6="","",IF(AW$3="Maior",iferror(VLOOKUP($R586,Capa!$A:$AJ,AW$5,0),0),IF(ISERROR(1/VLOOKUP($R586,Capa!$A:$AJ,AW$5,0)),0,1/VLOOKUP($R586,Capa!$A:$AJ,AW$5,0))))</f>
        <v/>
      </c>
      <c r="AX586" s="174" t="str">
        <f>IF(AX$6="","",IF(AX$3="Maior",iferror(VLOOKUP($R586,Capa!$A:$AJ,AX$5,0),0),IF(ISERROR(1/VLOOKUP($R586,Capa!$A:$AJ,AX$5,0)),0,1/VLOOKUP($R586,Capa!$A:$AJ,AX$5,0))))</f>
        <v/>
      </c>
      <c r="AY586" s="174" t="str">
        <f>IF(AY$6="","",IF(AY$3="Maior",iferror(VLOOKUP($R586,Capa!$A:$AJ,AY$5,0),0),IF(ISERROR(1/VLOOKUP($R586,Capa!$A:$AJ,AY$5,0)),0,1/VLOOKUP($R586,Capa!$A:$AJ,AY$5,0))))</f>
        <v/>
      </c>
      <c r="AZ586" s="174" t="str">
        <f>IF(AZ$6="","",IF(AZ$3="Maior",iferror(VLOOKUP($R586,Capa!$A:$AJ,AZ$5,0),0),IF(ISERROR(1/VLOOKUP($R586,Capa!$A:$AJ,AZ$5,0)),0,1/VLOOKUP($R586,Capa!$A:$AJ,AZ$5,0))))</f>
        <v/>
      </c>
      <c r="BA586" s="174" t="str">
        <f>IF(BA$6="","",IF(BA$3="Maior",iferror(VLOOKUP($R586,Capa!$A:$AJ,BA$5,0),0),IF(ISERROR(1/VLOOKUP($R586,Capa!$A:$AJ,BA$5,0)),0,1/VLOOKUP($R586,Capa!$A:$AJ,BA$5,0))))</f>
        <v/>
      </c>
      <c r="BB586" s="174" t="str">
        <f>IF(BB$6="","",IF(BB$3="Maior",iferror(VLOOKUP($R586,Capa!$A:$AJ,BB$5,0),0),IF(ISERROR(1/VLOOKUP($R586,Capa!$A:$AJ,BB$5,0)),0,1/VLOOKUP($R586,Capa!$A:$AJ,BB$5,0))))</f>
        <v/>
      </c>
      <c r="BC586" s="174" t="str">
        <f>IF(BC$6="","",IF(BC$3="Maior",iferror(VLOOKUP($R586,Capa!$A:$AJ,BC$5,0),0),IF(ISERROR(1/VLOOKUP($R586,Capa!$A:$AJ,BC$5,0)),0,1/VLOOKUP($R586,Capa!$A:$AJ,BC$5,0))))</f>
        <v/>
      </c>
      <c r="BD586" s="174" t="str">
        <f>IF(BD$6="","",IF(BD$3="Maior",iferror(VLOOKUP($R586,Capa!$A:$AJ,BD$5,0),0),IF(ISERROR(1/VLOOKUP($R586,Capa!$A:$AJ,BD$5,0)),0,1/VLOOKUP($R586,Capa!$A:$AJ,BD$5,0))))</f>
        <v/>
      </c>
      <c r="BE586" s="174" t="str">
        <f>IF(BE$6="","",IF(BE$3="Maior",iferror(VLOOKUP($R586,Capa!$A:$AJ,BE$5,0),0),IF(ISERROR(1/VLOOKUP($R586,Capa!$A:$AJ,BE$5,0)),0,1/VLOOKUP($R586,Capa!$A:$AJ,BE$5,0))))</f>
        <v/>
      </c>
      <c r="BF586" s="174" t="str">
        <f>IF(BF$6="","",IF(BF$3="Maior",iferror(VLOOKUP($R586,Capa!$A:$AJ,BF$5,0),0),IF(ISERROR(1/VLOOKUP($R586,Capa!$A:$AJ,BF$5,0)),0,1/VLOOKUP($R586,Capa!$A:$AJ,BF$5,0))))</f>
        <v/>
      </c>
      <c r="BG586" s="174" t="str">
        <f>IF(BG$6="","",IF(BG$3="Maior",iferror(VLOOKUP($R586,Capa!$A:$AJ,BG$5,0),0),IF(ISERROR(1/VLOOKUP($R586,Capa!$A:$AJ,BG$5,0)),0,1/VLOOKUP($R586,Capa!$A:$AJ,BG$5,0))))</f>
        <v/>
      </c>
      <c r="BH586" s="174" t="str">
        <f>IF(BH$6="","",IF(BH$3="Maior",iferror(VLOOKUP($R586,Capa!$A:$AJ,BH$5,0),0),IF(ISERROR(1/VLOOKUP($R586,Capa!$A:$AJ,BH$5,0)),0,1/VLOOKUP($R586,Capa!$A:$AJ,BH$5,0))))</f>
        <v/>
      </c>
      <c r="BI586" s="174" t="str">
        <f>IF(BI$6="","",IF(BI$3="Maior",iferror(VLOOKUP($R586,Capa!$A:$AJ,BI$5,0),0),IF(ISERROR(1/VLOOKUP($R586,Capa!$A:$AJ,BI$5,0)),0,1/VLOOKUP($R586,Capa!$A:$AJ,BI$5,0))))</f>
        <v/>
      </c>
      <c r="BJ586" s="174" t="str">
        <f>IF(BJ$6="","",IF(BJ$3="Maior",iferror(VLOOKUP($R586,Capa!$A:$AJ,BJ$5,0),0),IF(ISERROR(1/VLOOKUP($R586,Capa!$A:$AJ,BJ$5,0)),0,1/VLOOKUP($R586,Capa!$A:$AJ,BJ$5,0))))</f>
        <v/>
      </c>
      <c r="BK586" s="174" t="str">
        <f>IF(BK$6="","",IF(BK$3="Maior",iferror(VLOOKUP($R586,Capa!$A:$AJ,BK$5,0),0),IF(ISERROR(1/VLOOKUP($R586,Capa!$A:$AJ,BK$5,0)),0,1/VLOOKUP($R586,Capa!$A:$AJ,BK$5,0))))</f>
        <v/>
      </c>
      <c r="BL586" s="174" t="str">
        <f>IF(BL$6="","",IF(BL$3="Maior",iferror(VLOOKUP($R586,Capa!$A:$AJ,BL$5,0),0),IF(ISERROR(1/VLOOKUP($R586,Capa!$A:$AJ,BL$5,0)),0,1/VLOOKUP($R586,Capa!$A:$AJ,BL$5,0))))</f>
        <v/>
      </c>
      <c r="BM586" s="174" t="str">
        <f>IF(BM$6="","",IF(BM$3="Maior",iferror(VLOOKUP($R586,Capa!$A:$AJ,BM$5,0),0),IF(ISERROR(1/VLOOKUP($R586,Capa!$A:$AJ,BM$5,0)),0,1/VLOOKUP($R586,Capa!$A:$AJ,BM$5,0))))</f>
        <v/>
      </c>
      <c r="BN586" s="174" t="str">
        <f>IF(BN$6="","",IF(BN$3="Maior",iferror(VLOOKUP($R586,Capa!$A:$AJ,BN$5,0),0),IF(ISERROR(1/VLOOKUP($R586,Capa!$A:$AJ,BN$5,0)),0,1/VLOOKUP($R586,Capa!$A:$AJ,BN$5,0))))</f>
        <v/>
      </c>
      <c r="BO586" s="174" t="str">
        <f>IF(BO$6="","",IF(BO$3="Maior",iferror(VLOOKUP($R586,Capa!$A:$AJ,BO$5,0),0),IF(ISERROR(1/VLOOKUP($R586,Capa!$A:$AJ,BO$5,0)),0,1/VLOOKUP($R586,Capa!$A:$AJ,BO$5,0))))</f>
        <v/>
      </c>
      <c r="BP586" s="174" t="str">
        <f>IF(BP$6="","",IF(BP$3="Maior",iferror(VLOOKUP($R586,Capa!$A:$AJ,BP$5,0),0),IF(ISERROR(1/VLOOKUP($R586,Capa!$A:$AJ,BP$5,0)),0,1/VLOOKUP($R586,Capa!$A:$AJ,BP$5,0))))</f>
        <v/>
      </c>
      <c r="BQ586" s="174" t="str">
        <f>IF(BQ$6="","",IF(BQ$3="Maior",iferror(VLOOKUP($R586,Capa!$A:$AJ,BQ$5,0),0),IF(ISERROR(1/VLOOKUP($R586,Capa!$A:$AJ,BQ$5,0)),0,1/VLOOKUP($R586,Capa!$A:$AJ,BQ$5,0))))</f>
        <v/>
      </c>
      <c r="BR586" s="175"/>
      <c r="BS586" s="147"/>
    </row>
    <row r="587">
      <c r="H587" s="8">
        <v>581.0</v>
      </c>
      <c r="I587" s="165" t="str">
        <f t="shared" si="6"/>
        <v>BDLL4</v>
      </c>
      <c r="J587" s="166" t="str">
        <f>(VLOOKUP($I587,Capa!$A:$B,2,0))</f>
        <v>Bardella SA Indstrs Mcncs em Rprc Jdcl Preference Shares</v>
      </c>
      <c r="K587" s="167" t="str">
        <f>VLOOKUP(left(I587,4),Setor!A:D,3,0)&amp;" | "&amp;VLOOKUP(left(I587,4),Setor!A:D,4,0)</f>
        <v>Bens Industriais | Máquinas e Equipamentos</v>
      </c>
      <c r="L587" s="168">
        <f>(VLOOKUP($I587,Capa!$A:$F,6,0))</f>
        <v>6.36</v>
      </c>
      <c r="M587" s="168">
        <f t="shared" si="7"/>
        <v>2010.87</v>
      </c>
      <c r="N587" s="11" t="str">
        <f>IFERROR(__xludf.DUMMYFUNCTION("(VLOOKUP($I587,Capa!$A:$H,7,0))"),"")</f>
        <v/>
      </c>
      <c r="O587" s="169">
        <f>(VLOOKUP($I587,Capa!$A:$H,8,0))</f>
        <v>-0.03636363636</v>
      </c>
      <c r="P587" s="11" t="str">
        <f>IFERROR(__xludf.DUMMYFUNCTION("(VLOOKUP($I587,Capa!$A:$J,10,0))"),"")</f>
        <v/>
      </c>
      <c r="Q587" s="169">
        <f>(VLOOKUP($I587,Capa!$A:$K,11,0))</f>
        <v>-0.3510204082</v>
      </c>
      <c r="R587" s="45" t="str">
        <f>'Dados StatusInvest'!A582</f>
        <v>TUPY3</v>
      </c>
      <c r="S587" s="170">
        <f t="shared" si="234"/>
        <v>731.0731</v>
      </c>
      <c r="T587" s="171">
        <f>VLOOKUP(R587,'Dados StatusInvest'!A:Z,26,0)</f>
        <v>16508021</v>
      </c>
      <c r="U587" s="172">
        <f t="shared" ref="U587:AS587" si="590">IF(AT587="","", RANK(AT587,AT$7:AT$626,0)+RANK(AT587,AT$7:AT$626,0)/10000)</f>
        <v>464.0464</v>
      </c>
      <c r="V587" s="172">
        <f t="shared" si="590"/>
        <v>267.0267</v>
      </c>
      <c r="W587" s="172" t="str">
        <f t="shared" si="590"/>
        <v/>
      </c>
      <c r="X587" s="172" t="str">
        <f t="shared" si="590"/>
        <v/>
      </c>
      <c r="Y587" s="172" t="str">
        <f t="shared" si="590"/>
        <v/>
      </c>
      <c r="Z587" s="172" t="str">
        <f t="shared" si="590"/>
        <v/>
      </c>
      <c r="AA587" s="172" t="str">
        <f t="shared" si="590"/>
        <v/>
      </c>
      <c r="AB587" s="172" t="str">
        <f t="shared" si="590"/>
        <v/>
      </c>
      <c r="AC587" s="172" t="str">
        <f t="shared" si="590"/>
        <v/>
      </c>
      <c r="AD587" s="172" t="str">
        <f t="shared" si="590"/>
        <v/>
      </c>
      <c r="AE587" s="172" t="str">
        <f t="shared" si="590"/>
        <v/>
      </c>
      <c r="AF587" s="172" t="str">
        <f t="shared" si="590"/>
        <v/>
      </c>
      <c r="AG587" s="172" t="str">
        <f t="shared" si="590"/>
        <v/>
      </c>
      <c r="AH587" s="172" t="str">
        <f t="shared" si="590"/>
        <v/>
      </c>
      <c r="AI587" s="172" t="str">
        <f t="shared" si="590"/>
        <v/>
      </c>
      <c r="AJ587" s="172" t="str">
        <f t="shared" si="590"/>
        <v/>
      </c>
      <c r="AK587" s="172" t="str">
        <f t="shared" si="590"/>
        <v/>
      </c>
      <c r="AL587" s="172" t="str">
        <f t="shared" si="590"/>
        <v/>
      </c>
      <c r="AM587" s="172" t="str">
        <f t="shared" si="590"/>
        <v/>
      </c>
      <c r="AN587" s="172" t="str">
        <f t="shared" si="590"/>
        <v/>
      </c>
      <c r="AO587" s="172" t="str">
        <f t="shared" si="590"/>
        <v/>
      </c>
      <c r="AP587" s="172" t="str">
        <f t="shared" si="590"/>
        <v/>
      </c>
      <c r="AQ587" s="172" t="str">
        <f t="shared" si="590"/>
        <v/>
      </c>
      <c r="AR587" s="172" t="str">
        <f t="shared" si="590"/>
        <v/>
      </c>
      <c r="AS587" s="172" t="str">
        <f t="shared" si="590"/>
        <v/>
      </c>
      <c r="AT587" s="173">
        <f>IF(AT$6="","",IF(AT$3="Maior",iferror(VLOOKUP($R587,Capa!$A:$AJ,AT$5,0),0),IF(ISERROR(1/VLOOKUP($R587,Capa!$A:$AJ,AT$5,0)),0,1/VLOOKUP($R587,Capa!$A:$AJ,AT$5,0))))</f>
        <v>-2.313788829</v>
      </c>
      <c r="AU587" s="174">
        <f>IF(AU$6="","",IF(AU$3="Maior",iferror(VLOOKUP($R587,Capa!$A:$AJ,AU$5,0),0),IF(ISERROR(1/VLOOKUP($R587,Capa!$A:$AJ,AU$5,0)),0,1/VLOOKUP($R587,Capa!$A:$AJ,AU$5,0))))</f>
        <v>0</v>
      </c>
      <c r="AV587" s="174" t="str">
        <f>IF(AV$6="","",IF(AV$3="Maior",iferror(VLOOKUP($R587,Capa!$A:$AJ,AV$5,0),0),IF(ISERROR(1/VLOOKUP($R587,Capa!$A:$AJ,AV$5,0)),0,1/VLOOKUP($R587,Capa!$A:$AJ,AV$5,0))))</f>
        <v/>
      </c>
      <c r="AW587" s="174" t="str">
        <f>IF(AW$6="","",IF(AW$3="Maior",iferror(VLOOKUP($R587,Capa!$A:$AJ,AW$5,0),0),IF(ISERROR(1/VLOOKUP($R587,Capa!$A:$AJ,AW$5,0)),0,1/VLOOKUP($R587,Capa!$A:$AJ,AW$5,0))))</f>
        <v/>
      </c>
      <c r="AX587" s="174" t="str">
        <f>IF(AX$6="","",IF(AX$3="Maior",iferror(VLOOKUP($R587,Capa!$A:$AJ,AX$5,0),0),IF(ISERROR(1/VLOOKUP($R587,Capa!$A:$AJ,AX$5,0)),0,1/VLOOKUP($R587,Capa!$A:$AJ,AX$5,0))))</f>
        <v/>
      </c>
      <c r="AY587" s="174" t="str">
        <f>IF(AY$6="","",IF(AY$3="Maior",iferror(VLOOKUP($R587,Capa!$A:$AJ,AY$5,0),0),IF(ISERROR(1/VLOOKUP($R587,Capa!$A:$AJ,AY$5,0)),0,1/VLOOKUP($R587,Capa!$A:$AJ,AY$5,0))))</f>
        <v/>
      </c>
      <c r="AZ587" s="174" t="str">
        <f>IF(AZ$6="","",IF(AZ$3="Maior",iferror(VLOOKUP($R587,Capa!$A:$AJ,AZ$5,0),0),IF(ISERROR(1/VLOOKUP($R587,Capa!$A:$AJ,AZ$5,0)),0,1/VLOOKUP($R587,Capa!$A:$AJ,AZ$5,0))))</f>
        <v/>
      </c>
      <c r="BA587" s="174" t="str">
        <f>IF(BA$6="","",IF(BA$3="Maior",iferror(VLOOKUP($R587,Capa!$A:$AJ,BA$5,0),0),IF(ISERROR(1/VLOOKUP($R587,Capa!$A:$AJ,BA$5,0)),0,1/VLOOKUP($R587,Capa!$A:$AJ,BA$5,0))))</f>
        <v/>
      </c>
      <c r="BB587" s="174" t="str">
        <f>IF(BB$6="","",IF(BB$3="Maior",iferror(VLOOKUP($R587,Capa!$A:$AJ,BB$5,0),0),IF(ISERROR(1/VLOOKUP($R587,Capa!$A:$AJ,BB$5,0)),0,1/VLOOKUP($R587,Capa!$A:$AJ,BB$5,0))))</f>
        <v/>
      </c>
      <c r="BC587" s="174" t="str">
        <f>IF(BC$6="","",IF(BC$3="Maior",iferror(VLOOKUP($R587,Capa!$A:$AJ,BC$5,0),0),IF(ISERROR(1/VLOOKUP($R587,Capa!$A:$AJ,BC$5,0)),0,1/VLOOKUP($R587,Capa!$A:$AJ,BC$5,0))))</f>
        <v/>
      </c>
      <c r="BD587" s="174" t="str">
        <f>IF(BD$6="","",IF(BD$3="Maior",iferror(VLOOKUP($R587,Capa!$A:$AJ,BD$5,0),0),IF(ISERROR(1/VLOOKUP($R587,Capa!$A:$AJ,BD$5,0)),0,1/VLOOKUP($R587,Capa!$A:$AJ,BD$5,0))))</f>
        <v/>
      </c>
      <c r="BE587" s="174" t="str">
        <f>IF(BE$6="","",IF(BE$3="Maior",iferror(VLOOKUP($R587,Capa!$A:$AJ,BE$5,0),0),IF(ISERROR(1/VLOOKUP($R587,Capa!$A:$AJ,BE$5,0)),0,1/VLOOKUP($R587,Capa!$A:$AJ,BE$5,0))))</f>
        <v/>
      </c>
      <c r="BF587" s="174" t="str">
        <f>IF(BF$6="","",IF(BF$3="Maior",iferror(VLOOKUP($R587,Capa!$A:$AJ,BF$5,0),0),IF(ISERROR(1/VLOOKUP($R587,Capa!$A:$AJ,BF$5,0)),0,1/VLOOKUP($R587,Capa!$A:$AJ,BF$5,0))))</f>
        <v/>
      </c>
      <c r="BG587" s="174" t="str">
        <f>IF(BG$6="","",IF(BG$3="Maior",iferror(VLOOKUP($R587,Capa!$A:$AJ,BG$5,0),0),IF(ISERROR(1/VLOOKUP($R587,Capa!$A:$AJ,BG$5,0)),0,1/VLOOKUP($R587,Capa!$A:$AJ,BG$5,0))))</f>
        <v/>
      </c>
      <c r="BH587" s="174" t="str">
        <f>IF(BH$6="","",IF(BH$3="Maior",iferror(VLOOKUP($R587,Capa!$A:$AJ,BH$5,0),0),IF(ISERROR(1/VLOOKUP($R587,Capa!$A:$AJ,BH$5,0)),0,1/VLOOKUP($R587,Capa!$A:$AJ,BH$5,0))))</f>
        <v/>
      </c>
      <c r="BI587" s="174" t="str">
        <f>IF(BI$6="","",IF(BI$3="Maior",iferror(VLOOKUP($R587,Capa!$A:$AJ,BI$5,0),0),IF(ISERROR(1/VLOOKUP($R587,Capa!$A:$AJ,BI$5,0)),0,1/VLOOKUP($R587,Capa!$A:$AJ,BI$5,0))))</f>
        <v/>
      </c>
      <c r="BJ587" s="174" t="str">
        <f>IF(BJ$6="","",IF(BJ$3="Maior",iferror(VLOOKUP($R587,Capa!$A:$AJ,BJ$5,0),0),IF(ISERROR(1/VLOOKUP($R587,Capa!$A:$AJ,BJ$5,0)),0,1/VLOOKUP($R587,Capa!$A:$AJ,BJ$5,0))))</f>
        <v/>
      </c>
      <c r="BK587" s="174" t="str">
        <f>IF(BK$6="","",IF(BK$3="Maior",iferror(VLOOKUP($R587,Capa!$A:$AJ,BK$5,0),0),IF(ISERROR(1/VLOOKUP($R587,Capa!$A:$AJ,BK$5,0)),0,1/VLOOKUP($R587,Capa!$A:$AJ,BK$5,0))))</f>
        <v/>
      </c>
      <c r="BL587" s="174" t="str">
        <f>IF(BL$6="","",IF(BL$3="Maior",iferror(VLOOKUP($R587,Capa!$A:$AJ,BL$5,0),0),IF(ISERROR(1/VLOOKUP($R587,Capa!$A:$AJ,BL$5,0)),0,1/VLOOKUP($R587,Capa!$A:$AJ,BL$5,0))))</f>
        <v/>
      </c>
      <c r="BM587" s="174" t="str">
        <f>IF(BM$6="","",IF(BM$3="Maior",iferror(VLOOKUP($R587,Capa!$A:$AJ,BM$5,0),0),IF(ISERROR(1/VLOOKUP($R587,Capa!$A:$AJ,BM$5,0)),0,1/VLOOKUP($R587,Capa!$A:$AJ,BM$5,0))))</f>
        <v/>
      </c>
      <c r="BN587" s="174" t="str">
        <f>IF(BN$6="","",IF(BN$3="Maior",iferror(VLOOKUP($R587,Capa!$A:$AJ,BN$5,0),0),IF(ISERROR(1/VLOOKUP($R587,Capa!$A:$AJ,BN$5,0)),0,1/VLOOKUP($R587,Capa!$A:$AJ,BN$5,0))))</f>
        <v/>
      </c>
      <c r="BO587" s="174" t="str">
        <f>IF(BO$6="","",IF(BO$3="Maior",iferror(VLOOKUP($R587,Capa!$A:$AJ,BO$5,0),0),IF(ISERROR(1/VLOOKUP($R587,Capa!$A:$AJ,BO$5,0)),0,1/VLOOKUP($R587,Capa!$A:$AJ,BO$5,0))))</f>
        <v/>
      </c>
      <c r="BP587" s="174" t="str">
        <f>IF(BP$6="","",IF(BP$3="Maior",iferror(VLOOKUP($R587,Capa!$A:$AJ,BP$5,0),0),IF(ISERROR(1/VLOOKUP($R587,Capa!$A:$AJ,BP$5,0)),0,1/VLOOKUP($R587,Capa!$A:$AJ,BP$5,0))))</f>
        <v/>
      </c>
      <c r="BQ587" s="174" t="str">
        <f>IF(BQ$6="","",IF(BQ$3="Maior",iferror(VLOOKUP($R587,Capa!$A:$AJ,BQ$5,0),0),IF(ISERROR(1/VLOOKUP($R587,Capa!$A:$AJ,BQ$5,0)),0,1/VLOOKUP($R587,Capa!$A:$AJ,BQ$5,0))))</f>
        <v/>
      </c>
      <c r="BR587" s="175"/>
      <c r="BS587" s="147"/>
    </row>
    <row r="588">
      <c r="H588" s="8">
        <v>582.0</v>
      </c>
      <c r="I588" s="165" t="str">
        <f t="shared" si="6"/>
        <v>APTI3</v>
      </c>
      <c r="J588" s="166" t="str">
        <f>(VLOOKUP($I588,Capa!$A:$B,2,0))</f>
        <v>Siderurgica JL Aliperti SA</v>
      </c>
      <c r="K588" s="167" t="str">
        <f>VLOOKUP(left(I588,4),Setor!A:D,3,0)&amp;" | "&amp;VLOOKUP(left(I588,4),Setor!A:D,4,0)</f>
        <v>Consumo não Cíclico | Agropecuária</v>
      </c>
      <c r="L588" s="168">
        <f>(VLOOKUP($I588,Capa!$A:$F,6,0))</f>
        <v>0</v>
      </c>
      <c r="M588" s="168">
        <f t="shared" si="7"/>
        <v>0</v>
      </c>
      <c r="N588" s="11" t="str">
        <f>(VLOOKUP($I588,Capa!$A:$H,7,0))</f>
        <v/>
      </c>
      <c r="O588" s="169" t="str">
        <f>(VLOOKUP($I588,Capa!$A:$H,8,0))</f>
        <v/>
      </c>
      <c r="P588" s="11" t="str">
        <f>(VLOOKUP($I588,Capa!$A:$J,10,0))</f>
        <v/>
      </c>
      <c r="Q588" s="169" t="str">
        <f>(VLOOKUP($I588,Capa!$A:$K,11,0))</f>
        <v/>
      </c>
      <c r="R588" s="45" t="str">
        <f>'Dados StatusInvest'!A583</f>
        <v>TXRX3</v>
      </c>
      <c r="S588" s="170">
        <f t="shared" si="234"/>
        <v>1740.074</v>
      </c>
      <c r="T588" s="171">
        <f>VLOOKUP(R588,'Dados StatusInvest'!A:Z,26,0)</f>
        <v>1994</v>
      </c>
      <c r="U588" s="172">
        <f t="shared" ref="U588:AS588" si="591">IF(AT588="","", RANK(AT588,AT$7:AT$626,0)+RANK(AT588,AT$7:AT$626,0)/10000)</f>
        <v>473.0473</v>
      </c>
      <c r="V588" s="172">
        <f t="shared" si="591"/>
        <v>267.0267</v>
      </c>
      <c r="W588" s="172" t="str">
        <f t="shared" si="591"/>
        <v/>
      </c>
      <c r="X588" s="172" t="str">
        <f t="shared" si="591"/>
        <v/>
      </c>
      <c r="Y588" s="172" t="str">
        <f t="shared" si="591"/>
        <v/>
      </c>
      <c r="Z588" s="172" t="str">
        <f t="shared" si="591"/>
        <v/>
      </c>
      <c r="AA588" s="172" t="str">
        <f t="shared" si="591"/>
        <v/>
      </c>
      <c r="AB588" s="172" t="str">
        <f t="shared" si="591"/>
        <v/>
      </c>
      <c r="AC588" s="172" t="str">
        <f t="shared" si="591"/>
        <v/>
      </c>
      <c r="AD588" s="172" t="str">
        <f t="shared" si="591"/>
        <v/>
      </c>
      <c r="AE588" s="172" t="str">
        <f t="shared" si="591"/>
        <v/>
      </c>
      <c r="AF588" s="172" t="str">
        <f t="shared" si="591"/>
        <v/>
      </c>
      <c r="AG588" s="172" t="str">
        <f t="shared" si="591"/>
        <v/>
      </c>
      <c r="AH588" s="172" t="str">
        <f t="shared" si="591"/>
        <v/>
      </c>
      <c r="AI588" s="172" t="str">
        <f t="shared" si="591"/>
        <v/>
      </c>
      <c r="AJ588" s="172" t="str">
        <f t="shared" si="591"/>
        <v/>
      </c>
      <c r="AK588" s="172" t="str">
        <f t="shared" si="591"/>
        <v/>
      </c>
      <c r="AL588" s="172" t="str">
        <f t="shared" si="591"/>
        <v/>
      </c>
      <c r="AM588" s="172" t="str">
        <f t="shared" si="591"/>
        <v/>
      </c>
      <c r="AN588" s="172" t="str">
        <f t="shared" si="591"/>
        <v/>
      </c>
      <c r="AO588" s="172" t="str">
        <f t="shared" si="591"/>
        <v/>
      </c>
      <c r="AP588" s="172" t="str">
        <f t="shared" si="591"/>
        <v/>
      </c>
      <c r="AQ588" s="172" t="str">
        <f t="shared" si="591"/>
        <v/>
      </c>
      <c r="AR588" s="172" t="str">
        <f t="shared" si="591"/>
        <v/>
      </c>
      <c r="AS588" s="172" t="str">
        <f t="shared" si="591"/>
        <v/>
      </c>
      <c r="AT588" s="173">
        <f>IF(AT$6="","",IF(AT$3="Maior",iferror(VLOOKUP($R588,Capa!$A:$AJ,AT$5,0),0),IF(ISERROR(1/VLOOKUP($R588,Capa!$A:$AJ,AT$5,0)),0,1/VLOOKUP($R588,Capa!$A:$AJ,AT$5,0))))</f>
        <v>-2.43902439</v>
      </c>
      <c r="AU588" s="174">
        <f>IF(AU$6="","",IF(AU$3="Maior",iferror(VLOOKUP($R588,Capa!$A:$AJ,AU$5,0),0),IF(ISERROR(1/VLOOKUP($R588,Capa!$A:$AJ,AU$5,0)),0,1/VLOOKUP($R588,Capa!$A:$AJ,AU$5,0))))</f>
        <v>0</v>
      </c>
      <c r="AV588" s="174" t="str">
        <f>IF(AV$6="","",IF(AV$3="Maior",iferror(VLOOKUP($R588,Capa!$A:$AJ,AV$5,0),0),IF(ISERROR(1/VLOOKUP($R588,Capa!$A:$AJ,AV$5,0)),0,1/VLOOKUP($R588,Capa!$A:$AJ,AV$5,0))))</f>
        <v/>
      </c>
      <c r="AW588" s="174" t="str">
        <f>IF(AW$6="","",IF(AW$3="Maior",iferror(VLOOKUP($R588,Capa!$A:$AJ,AW$5,0),0),IF(ISERROR(1/VLOOKUP($R588,Capa!$A:$AJ,AW$5,0)),0,1/VLOOKUP($R588,Capa!$A:$AJ,AW$5,0))))</f>
        <v/>
      </c>
      <c r="AX588" s="174" t="str">
        <f>IF(AX$6="","",IF(AX$3="Maior",iferror(VLOOKUP($R588,Capa!$A:$AJ,AX$5,0),0),IF(ISERROR(1/VLOOKUP($R588,Capa!$A:$AJ,AX$5,0)),0,1/VLOOKUP($R588,Capa!$A:$AJ,AX$5,0))))</f>
        <v/>
      </c>
      <c r="AY588" s="174" t="str">
        <f>IF(AY$6="","",IF(AY$3="Maior",iferror(VLOOKUP($R588,Capa!$A:$AJ,AY$5,0),0),IF(ISERROR(1/VLOOKUP($R588,Capa!$A:$AJ,AY$5,0)),0,1/VLOOKUP($R588,Capa!$A:$AJ,AY$5,0))))</f>
        <v/>
      </c>
      <c r="AZ588" s="174" t="str">
        <f>IF(AZ$6="","",IF(AZ$3="Maior",iferror(VLOOKUP($R588,Capa!$A:$AJ,AZ$5,0),0),IF(ISERROR(1/VLOOKUP($R588,Capa!$A:$AJ,AZ$5,0)),0,1/VLOOKUP($R588,Capa!$A:$AJ,AZ$5,0))))</f>
        <v/>
      </c>
      <c r="BA588" s="174" t="str">
        <f>IF(BA$6="","",IF(BA$3="Maior",iferror(VLOOKUP($R588,Capa!$A:$AJ,BA$5,0),0),IF(ISERROR(1/VLOOKUP($R588,Capa!$A:$AJ,BA$5,0)),0,1/VLOOKUP($R588,Capa!$A:$AJ,BA$5,0))))</f>
        <v/>
      </c>
      <c r="BB588" s="174" t="str">
        <f>IF(BB$6="","",IF(BB$3="Maior",iferror(VLOOKUP($R588,Capa!$A:$AJ,BB$5,0),0),IF(ISERROR(1/VLOOKUP($R588,Capa!$A:$AJ,BB$5,0)),0,1/VLOOKUP($R588,Capa!$A:$AJ,BB$5,0))))</f>
        <v/>
      </c>
      <c r="BC588" s="174" t="str">
        <f>IF(BC$6="","",IF(BC$3="Maior",iferror(VLOOKUP($R588,Capa!$A:$AJ,BC$5,0),0),IF(ISERROR(1/VLOOKUP($R588,Capa!$A:$AJ,BC$5,0)),0,1/VLOOKUP($R588,Capa!$A:$AJ,BC$5,0))))</f>
        <v/>
      </c>
      <c r="BD588" s="174" t="str">
        <f>IF(BD$6="","",IF(BD$3="Maior",iferror(VLOOKUP($R588,Capa!$A:$AJ,BD$5,0),0),IF(ISERROR(1/VLOOKUP($R588,Capa!$A:$AJ,BD$5,0)),0,1/VLOOKUP($R588,Capa!$A:$AJ,BD$5,0))))</f>
        <v/>
      </c>
      <c r="BE588" s="174" t="str">
        <f>IF(BE$6="","",IF(BE$3="Maior",iferror(VLOOKUP($R588,Capa!$A:$AJ,BE$5,0),0),IF(ISERROR(1/VLOOKUP($R588,Capa!$A:$AJ,BE$5,0)),0,1/VLOOKUP($R588,Capa!$A:$AJ,BE$5,0))))</f>
        <v/>
      </c>
      <c r="BF588" s="174" t="str">
        <f>IF(BF$6="","",IF(BF$3="Maior",iferror(VLOOKUP($R588,Capa!$A:$AJ,BF$5,0),0),IF(ISERROR(1/VLOOKUP($R588,Capa!$A:$AJ,BF$5,0)),0,1/VLOOKUP($R588,Capa!$A:$AJ,BF$5,0))))</f>
        <v/>
      </c>
      <c r="BG588" s="174" t="str">
        <f>IF(BG$6="","",IF(BG$3="Maior",iferror(VLOOKUP($R588,Capa!$A:$AJ,BG$5,0),0),IF(ISERROR(1/VLOOKUP($R588,Capa!$A:$AJ,BG$5,0)),0,1/VLOOKUP($R588,Capa!$A:$AJ,BG$5,0))))</f>
        <v/>
      </c>
      <c r="BH588" s="174" t="str">
        <f>IF(BH$6="","",IF(BH$3="Maior",iferror(VLOOKUP($R588,Capa!$A:$AJ,BH$5,0),0),IF(ISERROR(1/VLOOKUP($R588,Capa!$A:$AJ,BH$5,0)),0,1/VLOOKUP($R588,Capa!$A:$AJ,BH$5,0))))</f>
        <v/>
      </c>
      <c r="BI588" s="174" t="str">
        <f>IF(BI$6="","",IF(BI$3="Maior",iferror(VLOOKUP($R588,Capa!$A:$AJ,BI$5,0),0),IF(ISERROR(1/VLOOKUP($R588,Capa!$A:$AJ,BI$5,0)),0,1/VLOOKUP($R588,Capa!$A:$AJ,BI$5,0))))</f>
        <v/>
      </c>
      <c r="BJ588" s="174" t="str">
        <f>IF(BJ$6="","",IF(BJ$3="Maior",iferror(VLOOKUP($R588,Capa!$A:$AJ,BJ$5,0),0),IF(ISERROR(1/VLOOKUP($R588,Capa!$A:$AJ,BJ$5,0)),0,1/VLOOKUP($R588,Capa!$A:$AJ,BJ$5,0))))</f>
        <v/>
      </c>
      <c r="BK588" s="174" t="str">
        <f>IF(BK$6="","",IF(BK$3="Maior",iferror(VLOOKUP($R588,Capa!$A:$AJ,BK$5,0),0),IF(ISERROR(1/VLOOKUP($R588,Capa!$A:$AJ,BK$5,0)),0,1/VLOOKUP($R588,Capa!$A:$AJ,BK$5,0))))</f>
        <v/>
      </c>
      <c r="BL588" s="174" t="str">
        <f>IF(BL$6="","",IF(BL$3="Maior",iferror(VLOOKUP($R588,Capa!$A:$AJ,BL$5,0),0),IF(ISERROR(1/VLOOKUP($R588,Capa!$A:$AJ,BL$5,0)),0,1/VLOOKUP($R588,Capa!$A:$AJ,BL$5,0))))</f>
        <v/>
      </c>
      <c r="BM588" s="174" t="str">
        <f>IF(BM$6="","",IF(BM$3="Maior",iferror(VLOOKUP($R588,Capa!$A:$AJ,BM$5,0),0),IF(ISERROR(1/VLOOKUP($R588,Capa!$A:$AJ,BM$5,0)),0,1/VLOOKUP($R588,Capa!$A:$AJ,BM$5,0))))</f>
        <v/>
      </c>
      <c r="BN588" s="174" t="str">
        <f>IF(BN$6="","",IF(BN$3="Maior",iferror(VLOOKUP($R588,Capa!$A:$AJ,BN$5,0),0),IF(ISERROR(1/VLOOKUP($R588,Capa!$A:$AJ,BN$5,0)),0,1/VLOOKUP($R588,Capa!$A:$AJ,BN$5,0))))</f>
        <v/>
      </c>
      <c r="BO588" s="174" t="str">
        <f>IF(BO$6="","",IF(BO$3="Maior",iferror(VLOOKUP($R588,Capa!$A:$AJ,BO$5,0),0),IF(ISERROR(1/VLOOKUP($R588,Capa!$A:$AJ,BO$5,0)),0,1/VLOOKUP($R588,Capa!$A:$AJ,BO$5,0))))</f>
        <v/>
      </c>
      <c r="BP588" s="174" t="str">
        <f>IF(BP$6="","",IF(BP$3="Maior",iferror(VLOOKUP($R588,Capa!$A:$AJ,BP$5,0),0),IF(ISERROR(1/VLOOKUP($R588,Capa!$A:$AJ,BP$5,0)),0,1/VLOOKUP($R588,Capa!$A:$AJ,BP$5,0))))</f>
        <v/>
      </c>
      <c r="BQ588" s="174" t="str">
        <f>IF(BQ$6="","",IF(BQ$3="Maior",iferror(VLOOKUP($R588,Capa!$A:$AJ,BQ$5,0),0),IF(ISERROR(1/VLOOKUP($R588,Capa!$A:$AJ,BQ$5,0)),0,1/VLOOKUP($R588,Capa!$A:$AJ,BQ$5,0))))</f>
        <v/>
      </c>
      <c r="BR588" s="175"/>
      <c r="BS588" s="147"/>
    </row>
    <row r="589">
      <c r="H589" s="8">
        <v>583.0</v>
      </c>
      <c r="I589" s="165" t="str">
        <f t="shared" si="6"/>
        <v>APTI3</v>
      </c>
      <c r="J589" s="166" t="str">
        <f>(VLOOKUP($I589,Capa!$A:$B,2,0))</f>
        <v>Siderurgica JL Aliperti SA</v>
      </c>
      <c r="K589" s="167" t="str">
        <f>VLOOKUP(left(I589,4),Setor!A:D,3,0)&amp;" | "&amp;VLOOKUP(left(I589,4),Setor!A:D,4,0)</f>
        <v>Consumo não Cíclico | Agropecuária</v>
      </c>
      <c r="L589" s="168">
        <f>(VLOOKUP($I589,Capa!$A:$F,6,0))</f>
        <v>0</v>
      </c>
      <c r="M589" s="168">
        <f t="shared" si="7"/>
        <v>0</v>
      </c>
      <c r="N589" s="11" t="str">
        <f>(VLOOKUP($I589,Capa!$A:$H,7,0))</f>
        <v/>
      </c>
      <c r="O589" s="169" t="str">
        <f>(VLOOKUP($I589,Capa!$A:$H,8,0))</f>
        <v/>
      </c>
      <c r="P589" s="11" t="str">
        <f>(VLOOKUP($I589,Capa!$A:$J,10,0))</f>
        <v/>
      </c>
      <c r="Q589" s="169" t="str">
        <f>(VLOOKUP($I589,Capa!$A:$K,11,0))</f>
        <v/>
      </c>
      <c r="R589" s="45" t="str">
        <f>'Dados StatusInvest'!A584</f>
        <v>TXRX4</v>
      </c>
      <c r="S589" s="170">
        <f t="shared" si="234"/>
        <v>1863.0863</v>
      </c>
      <c r="T589" s="171">
        <f>VLOOKUP(R589,'Dados StatusInvest'!A:Z,26,0)</f>
        <v>1041.71</v>
      </c>
      <c r="U589" s="172">
        <f t="shared" ref="U589:AS589" si="592">IF(AT589="","", RANK(AT589,AT$7:AT$626,0)+RANK(AT589,AT$7:AT$626,0)/10000)</f>
        <v>596.0596</v>
      </c>
      <c r="V589" s="172">
        <f t="shared" si="592"/>
        <v>267.0267</v>
      </c>
      <c r="W589" s="172" t="str">
        <f t="shared" si="592"/>
        <v/>
      </c>
      <c r="X589" s="172" t="str">
        <f t="shared" si="592"/>
        <v/>
      </c>
      <c r="Y589" s="172" t="str">
        <f t="shared" si="592"/>
        <v/>
      </c>
      <c r="Z589" s="172" t="str">
        <f t="shared" si="592"/>
        <v/>
      </c>
      <c r="AA589" s="172" t="str">
        <f t="shared" si="592"/>
        <v/>
      </c>
      <c r="AB589" s="172" t="str">
        <f t="shared" si="592"/>
        <v/>
      </c>
      <c r="AC589" s="172" t="str">
        <f t="shared" si="592"/>
        <v/>
      </c>
      <c r="AD589" s="172" t="str">
        <f t="shared" si="592"/>
        <v/>
      </c>
      <c r="AE589" s="172" t="str">
        <f t="shared" si="592"/>
        <v/>
      </c>
      <c r="AF589" s="172" t="str">
        <f t="shared" si="592"/>
        <v/>
      </c>
      <c r="AG589" s="172" t="str">
        <f t="shared" si="592"/>
        <v/>
      </c>
      <c r="AH589" s="172" t="str">
        <f t="shared" si="592"/>
        <v/>
      </c>
      <c r="AI589" s="172" t="str">
        <f t="shared" si="592"/>
        <v/>
      </c>
      <c r="AJ589" s="172" t="str">
        <f t="shared" si="592"/>
        <v/>
      </c>
      <c r="AK589" s="172" t="str">
        <f t="shared" si="592"/>
        <v/>
      </c>
      <c r="AL589" s="172" t="str">
        <f t="shared" si="592"/>
        <v/>
      </c>
      <c r="AM589" s="172" t="str">
        <f t="shared" si="592"/>
        <v/>
      </c>
      <c r="AN589" s="172" t="str">
        <f t="shared" si="592"/>
        <v/>
      </c>
      <c r="AO589" s="172" t="str">
        <f t="shared" si="592"/>
        <v/>
      </c>
      <c r="AP589" s="172" t="str">
        <f t="shared" si="592"/>
        <v/>
      </c>
      <c r="AQ589" s="172" t="str">
        <f t="shared" si="592"/>
        <v/>
      </c>
      <c r="AR589" s="172" t="str">
        <f t="shared" si="592"/>
        <v/>
      </c>
      <c r="AS589" s="172" t="str">
        <f t="shared" si="592"/>
        <v/>
      </c>
      <c r="AT589" s="173">
        <f>IF(AT$6="","",IF(AT$3="Maior",iferror(VLOOKUP($R589,Capa!$A:$AJ,AT$5,0),0),IF(ISERROR(1/VLOOKUP($R589,Capa!$A:$AJ,AT$5,0)),0,1/VLOOKUP($R589,Capa!$A:$AJ,AT$5,0))))</f>
        <v>-16.66666667</v>
      </c>
      <c r="AU589" s="174">
        <f>IF(AU$6="","",IF(AU$3="Maior",iferror(VLOOKUP($R589,Capa!$A:$AJ,AU$5,0),0),IF(ISERROR(1/VLOOKUP($R589,Capa!$A:$AJ,AU$5,0)),0,1/VLOOKUP($R589,Capa!$A:$AJ,AU$5,0))))</f>
        <v>0</v>
      </c>
      <c r="AV589" s="174" t="str">
        <f>IF(AV$6="","",IF(AV$3="Maior",iferror(VLOOKUP($R589,Capa!$A:$AJ,AV$5,0),0),IF(ISERROR(1/VLOOKUP($R589,Capa!$A:$AJ,AV$5,0)),0,1/VLOOKUP($R589,Capa!$A:$AJ,AV$5,0))))</f>
        <v/>
      </c>
      <c r="AW589" s="174" t="str">
        <f>IF(AW$6="","",IF(AW$3="Maior",iferror(VLOOKUP($R589,Capa!$A:$AJ,AW$5,0),0),IF(ISERROR(1/VLOOKUP($R589,Capa!$A:$AJ,AW$5,0)),0,1/VLOOKUP($R589,Capa!$A:$AJ,AW$5,0))))</f>
        <v/>
      </c>
      <c r="AX589" s="174" t="str">
        <f>IF(AX$6="","",IF(AX$3="Maior",iferror(VLOOKUP($R589,Capa!$A:$AJ,AX$5,0),0),IF(ISERROR(1/VLOOKUP($R589,Capa!$A:$AJ,AX$5,0)),0,1/VLOOKUP($R589,Capa!$A:$AJ,AX$5,0))))</f>
        <v/>
      </c>
      <c r="AY589" s="174" t="str">
        <f>IF(AY$6="","",IF(AY$3="Maior",iferror(VLOOKUP($R589,Capa!$A:$AJ,AY$5,0),0),IF(ISERROR(1/VLOOKUP($R589,Capa!$A:$AJ,AY$5,0)),0,1/VLOOKUP($R589,Capa!$A:$AJ,AY$5,0))))</f>
        <v/>
      </c>
      <c r="AZ589" s="174" t="str">
        <f>IF(AZ$6="","",IF(AZ$3="Maior",iferror(VLOOKUP($R589,Capa!$A:$AJ,AZ$5,0),0),IF(ISERROR(1/VLOOKUP($R589,Capa!$A:$AJ,AZ$5,0)),0,1/VLOOKUP($R589,Capa!$A:$AJ,AZ$5,0))))</f>
        <v/>
      </c>
      <c r="BA589" s="174" t="str">
        <f>IF(BA$6="","",IF(BA$3="Maior",iferror(VLOOKUP($R589,Capa!$A:$AJ,BA$5,0),0),IF(ISERROR(1/VLOOKUP($R589,Capa!$A:$AJ,BA$5,0)),0,1/VLOOKUP($R589,Capa!$A:$AJ,BA$5,0))))</f>
        <v/>
      </c>
      <c r="BB589" s="174" t="str">
        <f>IF(BB$6="","",IF(BB$3="Maior",iferror(VLOOKUP($R589,Capa!$A:$AJ,BB$5,0),0),IF(ISERROR(1/VLOOKUP($R589,Capa!$A:$AJ,BB$5,0)),0,1/VLOOKUP($R589,Capa!$A:$AJ,BB$5,0))))</f>
        <v/>
      </c>
      <c r="BC589" s="174" t="str">
        <f>IF(BC$6="","",IF(BC$3="Maior",iferror(VLOOKUP($R589,Capa!$A:$AJ,BC$5,0),0),IF(ISERROR(1/VLOOKUP($R589,Capa!$A:$AJ,BC$5,0)),0,1/VLOOKUP($R589,Capa!$A:$AJ,BC$5,0))))</f>
        <v/>
      </c>
      <c r="BD589" s="174" t="str">
        <f>IF(BD$6="","",IF(BD$3="Maior",iferror(VLOOKUP($R589,Capa!$A:$AJ,BD$5,0),0),IF(ISERROR(1/VLOOKUP($R589,Capa!$A:$AJ,BD$5,0)),0,1/VLOOKUP($R589,Capa!$A:$AJ,BD$5,0))))</f>
        <v/>
      </c>
      <c r="BE589" s="174" t="str">
        <f>IF(BE$6="","",IF(BE$3="Maior",iferror(VLOOKUP($R589,Capa!$A:$AJ,BE$5,0),0),IF(ISERROR(1/VLOOKUP($R589,Capa!$A:$AJ,BE$5,0)),0,1/VLOOKUP($R589,Capa!$A:$AJ,BE$5,0))))</f>
        <v/>
      </c>
      <c r="BF589" s="174" t="str">
        <f>IF(BF$6="","",IF(BF$3="Maior",iferror(VLOOKUP($R589,Capa!$A:$AJ,BF$5,0),0),IF(ISERROR(1/VLOOKUP($R589,Capa!$A:$AJ,BF$5,0)),0,1/VLOOKUP($R589,Capa!$A:$AJ,BF$5,0))))</f>
        <v/>
      </c>
      <c r="BG589" s="174" t="str">
        <f>IF(BG$6="","",IF(BG$3="Maior",iferror(VLOOKUP($R589,Capa!$A:$AJ,BG$5,0),0),IF(ISERROR(1/VLOOKUP($R589,Capa!$A:$AJ,BG$5,0)),0,1/VLOOKUP($R589,Capa!$A:$AJ,BG$5,0))))</f>
        <v/>
      </c>
      <c r="BH589" s="174" t="str">
        <f>IF(BH$6="","",IF(BH$3="Maior",iferror(VLOOKUP($R589,Capa!$A:$AJ,BH$5,0),0),IF(ISERROR(1/VLOOKUP($R589,Capa!$A:$AJ,BH$5,0)),0,1/VLOOKUP($R589,Capa!$A:$AJ,BH$5,0))))</f>
        <v/>
      </c>
      <c r="BI589" s="174" t="str">
        <f>IF(BI$6="","",IF(BI$3="Maior",iferror(VLOOKUP($R589,Capa!$A:$AJ,BI$5,0),0),IF(ISERROR(1/VLOOKUP($R589,Capa!$A:$AJ,BI$5,0)),0,1/VLOOKUP($R589,Capa!$A:$AJ,BI$5,0))))</f>
        <v/>
      </c>
      <c r="BJ589" s="174" t="str">
        <f>IF(BJ$6="","",IF(BJ$3="Maior",iferror(VLOOKUP($R589,Capa!$A:$AJ,BJ$5,0),0),IF(ISERROR(1/VLOOKUP($R589,Capa!$A:$AJ,BJ$5,0)),0,1/VLOOKUP($R589,Capa!$A:$AJ,BJ$5,0))))</f>
        <v/>
      </c>
      <c r="BK589" s="174" t="str">
        <f>IF(BK$6="","",IF(BK$3="Maior",iferror(VLOOKUP($R589,Capa!$A:$AJ,BK$5,0),0),IF(ISERROR(1/VLOOKUP($R589,Capa!$A:$AJ,BK$5,0)),0,1/VLOOKUP($R589,Capa!$A:$AJ,BK$5,0))))</f>
        <v/>
      </c>
      <c r="BL589" s="174" t="str">
        <f>IF(BL$6="","",IF(BL$3="Maior",iferror(VLOOKUP($R589,Capa!$A:$AJ,BL$5,0),0),IF(ISERROR(1/VLOOKUP($R589,Capa!$A:$AJ,BL$5,0)),0,1/VLOOKUP($R589,Capa!$A:$AJ,BL$5,0))))</f>
        <v/>
      </c>
      <c r="BM589" s="174" t="str">
        <f>IF(BM$6="","",IF(BM$3="Maior",iferror(VLOOKUP($R589,Capa!$A:$AJ,BM$5,0),0),IF(ISERROR(1/VLOOKUP($R589,Capa!$A:$AJ,BM$5,0)),0,1/VLOOKUP($R589,Capa!$A:$AJ,BM$5,0))))</f>
        <v/>
      </c>
      <c r="BN589" s="174" t="str">
        <f>IF(BN$6="","",IF(BN$3="Maior",iferror(VLOOKUP($R589,Capa!$A:$AJ,BN$5,0),0),IF(ISERROR(1/VLOOKUP($R589,Capa!$A:$AJ,BN$5,0)),0,1/VLOOKUP($R589,Capa!$A:$AJ,BN$5,0))))</f>
        <v/>
      </c>
      <c r="BO589" s="174" t="str">
        <f>IF(BO$6="","",IF(BO$3="Maior",iferror(VLOOKUP($R589,Capa!$A:$AJ,BO$5,0),0),IF(ISERROR(1/VLOOKUP($R589,Capa!$A:$AJ,BO$5,0)),0,1/VLOOKUP($R589,Capa!$A:$AJ,BO$5,0))))</f>
        <v/>
      </c>
      <c r="BP589" s="174" t="str">
        <f>IF(BP$6="","",IF(BP$3="Maior",iferror(VLOOKUP($R589,Capa!$A:$AJ,BP$5,0),0),IF(ISERROR(1/VLOOKUP($R589,Capa!$A:$AJ,BP$5,0)),0,1/VLOOKUP($R589,Capa!$A:$AJ,BP$5,0))))</f>
        <v/>
      </c>
      <c r="BQ589" s="174" t="str">
        <f>IF(BQ$6="","",IF(BQ$3="Maior",iferror(VLOOKUP($R589,Capa!$A:$AJ,BQ$5,0),0),IF(ISERROR(1/VLOOKUP($R589,Capa!$A:$AJ,BQ$5,0)),0,1/VLOOKUP($R589,Capa!$A:$AJ,BQ$5,0))))</f>
        <v/>
      </c>
      <c r="BR589" s="175"/>
      <c r="BS589" s="147"/>
    </row>
    <row r="590">
      <c r="H590" s="8">
        <v>584.0</v>
      </c>
      <c r="I590" s="165" t="str">
        <f t="shared" si="6"/>
        <v>APTI3</v>
      </c>
      <c r="J590" s="166" t="str">
        <f>(VLOOKUP($I590,Capa!$A:$B,2,0))</f>
        <v>Siderurgica JL Aliperti SA</v>
      </c>
      <c r="K590" s="167" t="str">
        <f>VLOOKUP(left(I590,4),Setor!A:D,3,0)&amp;" | "&amp;VLOOKUP(left(I590,4),Setor!A:D,4,0)</f>
        <v>Consumo não Cíclico | Agropecuária</v>
      </c>
      <c r="L590" s="168">
        <f>(VLOOKUP($I590,Capa!$A:$F,6,0))</f>
        <v>0</v>
      </c>
      <c r="M590" s="168">
        <f t="shared" si="7"/>
        <v>0</v>
      </c>
      <c r="N590" s="11" t="str">
        <f>(VLOOKUP($I590,Capa!$A:$H,7,0))</f>
        <v/>
      </c>
      <c r="O590" s="169" t="str">
        <f>(VLOOKUP($I590,Capa!$A:$H,8,0))</f>
        <v/>
      </c>
      <c r="P590" s="11" t="str">
        <f>(VLOOKUP($I590,Capa!$A:$J,10,0))</f>
        <v/>
      </c>
      <c r="Q590" s="169" t="str">
        <f>(VLOOKUP($I590,Capa!$A:$K,11,0))</f>
        <v/>
      </c>
      <c r="R590" s="45" t="str">
        <f>'Dados StatusInvest'!A585</f>
        <v>UCAS3</v>
      </c>
      <c r="S590" s="170">
        <f t="shared" si="234"/>
        <v>1805.0805</v>
      </c>
      <c r="T590" s="171">
        <f>VLOOKUP(R590,'Dados StatusInvest'!A:Z,26,0)</f>
        <v>88711.1</v>
      </c>
      <c r="U590" s="172">
        <f t="shared" ref="U590:AS590" si="593">IF(AT590="","", RANK(AT590,AT$7:AT$626,0)+RANK(AT590,AT$7:AT$626,0)/10000)</f>
        <v>538.0538</v>
      </c>
      <c r="V590" s="172">
        <f t="shared" si="593"/>
        <v>267.0267</v>
      </c>
      <c r="W590" s="172" t="str">
        <f t="shared" si="593"/>
        <v/>
      </c>
      <c r="X590" s="172" t="str">
        <f t="shared" si="593"/>
        <v/>
      </c>
      <c r="Y590" s="172" t="str">
        <f t="shared" si="593"/>
        <v/>
      </c>
      <c r="Z590" s="172" t="str">
        <f t="shared" si="593"/>
        <v/>
      </c>
      <c r="AA590" s="172" t="str">
        <f t="shared" si="593"/>
        <v/>
      </c>
      <c r="AB590" s="172" t="str">
        <f t="shared" si="593"/>
        <v/>
      </c>
      <c r="AC590" s="172" t="str">
        <f t="shared" si="593"/>
        <v/>
      </c>
      <c r="AD590" s="172" t="str">
        <f t="shared" si="593"/>
        <v/>
      </c>
      <c r="AE590" s="172" t="str">
        <f t="shared" si="593"/>
        <v/>
      </c>
      <c r="AF590" s="172" t="str">
        <f t="shared" si="593"/>
        <v/>
      </c>
      <c r="AG590" s="172" t="str">
        <f t="shared" si="593"/>
        <v/>
      </c>
      <c r="AH590" s="172" t="str">
        <f t="shared" si="593"/>
        <v/>
      </c>
      <c r="AI590" s="172" t="str">
        <f t="shared" si="593"/>
        <v/>
      </c>
      <c r="AJ590" s="172" t="str">
        <f t="shared" si="593"/>
        <v/>
      </c>
      <c r="AK590" s="172" t="str">
        <f t="shared" si="593"/>
        <v/>
      </c>
      <c r="AL590" s="172" t="str">
        <f t="shared" si="593"/>
        <v/>
      </c>
      <c r="AM590" s="172" t="str">
        <f t="shared" si="593"/>
        <v/>
      </c>
      <c r="AN590" s="172" t="str">
        <f t="shared" si="593"/>
        <v/>
      </c>
      <c r="AO590" s="172" t="str">
        <f t="shared" si="593"/>
        <v/>
      </c>
      <c r="AP590" s="172" t="str">
        <f t="shared" si="593"/>
        <v/>
      </c>
      <c r="AQ590" s="172" t="str">
        <f t="shared" si="593"/>
        <v/>
      </c>
      <c r="AR590" s="172" t="str">
        <f t="shared" si="593"/>
        <v/>
      </c>
      <c r="AS590" s="172" t="str">
        <f t="shared" si="593"/>
        <v/>
      </c>
      <c r="AT590" s="173">
        <f>IF(AT$6="","",IF(AT$3="Maior",iferror(VLOOKUP($R590,Capa!$A:$AJ,AT$5,0),0),IF(ISERROR(1/VLOOKUP($R590,Capa!$A:$AJ,AT$5,0)),0,1/VLOOKUP($R590,Capa!$A:$AJ,AT$5,0))))</f>
        <v>-4.56445993</v>
      </c>
      <c r="AU590" s="174">
        <f>IF(AU$6="","",IF(AU$3="Maior",iferror(VLOOKUP($R590,Capa!$A:$AJ,AU$5,0),0),IF(ISERROR(1/VLOOKUP($R590,Capa!$A:$AJ,AU$5,0)),0,1/VLOOKUP($R590,Capa!$A:$AJ,AU$5,0))))</f>
        <v>0</v>
      </c>
      <c r="AV590" s="174" t="str">
        <f>IF(AV$6="","",IF(AV$3="Maior",iferror(VLOOKUP($R590,Capa!$A:$AJ,AV$5,0),0),IF(ISERROR(1/VLOOKUP($R590,Capa!$A:$AJ,AV$5,0)),0,1/VLOOKUP($R590,Capa!$A:$AJ,AV$5,0))))</f>
        <v/>
      </c>
      <c r="AW590" s="174" t="str">
        <f>IF(AW$6="","",IF(AW$3="Maior",iferror(VLOOKUP($R590,Capa!$A:$AJ,AW$5,0),0),IF(ISERROR(1/VLOOKUP($R590,Capa!$A:$AJ,AW$5,0)),0,1/VLOOKUP($R590,Capa!$A:$AJ,AW$5,0))))</f>
        <v/>
      </c>
      <c r="AX590" s="174" t="str">
        <f>IF(AX$6="","",IF(AX$3="Maior",iferror(VLOOKUP($R590,Capa!$A:$AJ,AX$5,0),0),IF(ISERROR(1/VLOOKUP($R590,Capa!$A:$AJ,AX$5,0)),0,1/VLOOKUP($R590,Capa!$A:$AJ,AX$5,0))))</f>
        <v/>
      </c>
      <c r="AY590" s="174" t="str">
        <f>IF(AY$6="","",IF(AY$3="Maior",iferror(VLOOKUP($R590,Capa!$A:$AJ,AY$5,0),0),IF(ISERROR(1/VLOOKUP($R590,Capa!$A:$AJ,AY$5,0)),0,1/VLOOKUP($R590,Capa!$A:$AJ,AY$5,0))))</f>
        <v/>
      </c>
      <c r="AZ590" s="174" t="str">
        <f>IF(AZ$6="","",IF(AZ$3="Maior",iferror(VLOOKUP($R590,Capa!$A:$AJ,AZ$5,0),0),IF(ISERROR(1/VLOOKUP($R590,Capa!$A:$AJ,AZ$5,0)),0,1/VLOOKUP($R590,Capa!$A:$AJ,AZ$5,0))))</f>
        <v/>
      </c>
      <c r="BA590" s="174" t="str">
        <f>IF(BA$6="","",IF(BA$3="Maior",iferror(VLOOKUP($R590,Capa!$A:$AJ,BA$5,0),0),IF(ISERROR(1/VLOOKUP($R590,Capa!$A:$AJ,BA$5,0)),0,1/VLOOKUP($R590,Capa!$A:$AJ,BA$5,0))))</f>
        <v/>
      </c>
      <c r="BB590" s="174" t="str">
        <f>IF(BB$6="","",IF(BB$3="Maior",iferror(VLOOKUP($R590,Capa!$A:$AJ,BB$5,0),0),IF(ISERROR(1/VLOOKUP($R590,Capa!$A:$AJ,BB$5,0)),0,1/VLOOKUP($R590,Capa!$A:$AJ,BB$5,0))))</f>
        <v/>
      </c>
      <c r="BC590" s="174" t="str">
        <f>IF(BC$6="","",IF(BC$3="Maior",iferror(VLOOKUP($R590,Capa!$A:$AJ,BC$5,0),0),IF(ISERROR(1/VLOOKUP($R590,Capa!$A:$AJ,BC$5,0)),0,1/VLOOKUP($R590,Capa!$A:$AJ,BC$5,0))))</f>
        <v/>
      </c>
      <c r="BD590" s="174" t="str">
        <f>IF(BD$6="","",IF(BD$3="Maior",iferror(VLOOKUP($R590,Capa!$A:$AJ,BD$5,0),0),IF(ISERROR(1/VLOOKUP($R590,Capa!$A:$AJ,BD$5,0)),0,1/VLOOKUP($R590,Capa!$A:$AJ,BD$5,0))))</f>
        <v/>
      </c>
      <c r="BE590" s="174" t="str">
        <f>IF(BE$6="","",IF(BE$3="Maior",iferror(VLOOKUP($R590,Capa!$A:$AJ,BE$5,0),0),IF(ISERROR(1/VLOOKUP($R590,Capa!$A:$AJ,BE$5,0)),0,1/VLOOKUP($R590,Capa!$A:$AJ,BE$5,0))))</f>
        <v/>
      </c>
      <c r="BF590" s="174" t="str">
        <f>IF(BF$6="","",IF(BF$3="Maior",iferror(VLOOKUP($R590,Capa!$A:$AJ,BF$5,0),0),IF(ISERROR(1/VLOOKUP($R590,Capa!$A:$AJ,BF$5,0)),0,1/VLOOKUP($R590,Capa!$A:$AJ,BF$5,0))))</f>
        <v/>
      </c>
      <c r="BG590" s="174" t="str">
        <f>IF(BG$6="","",IF(BG$3="Maior",iferror(VLOOKUP($R590,Capa!$A:$AJ,BG$5,0),0),IF(ISERROR(1/VLOOKUP($R590,Capa!$A:$AJ,BG$5,0)),0,1/VLOOKUP($R590,Capa!$A:$AJ,BG$5,0))))</f>
        <v/>
      </c>
      <c r="BH590" s="174" t="str">
        <f>IF(BH$6="","",IF(BH$3="Maior",iferror(VLOOKUP($R590,Capa!$A:$AJ,BH$5,0),0),IF(ISERROR(1/VLOOKUP($R590,Capa!$A:$AJ,BH$5,0)),0,1/VLOOKUP($R590,Capa!$A:$AJ,BH$5,0))))</f>
        <v/>
      </c>
      <c r="BI590" s="174" t="str">
        <f>IF(BI$6="","",IF(BI$3="Maior",iferror(VLOOKUP($R590,Capa!$A:$AJ,BI$5,0),0),IF(ISERROR(1/VLOOKUP($R590,Capa!$A:$AJ,BI$5,0)),0,1/VLOOKUP($R590,Capa!$A:$AJ,BI$5,0))))</f>
        <v/>
      </c>
      <c r="BJ590" s="174" t="str">
        <f>IF(BJ$6="","",IF(BJ$3="Maior",iferror(VLOOKUP($R590,Capa!$A:$AJ,BJ$5,0),0),IF(ISERROR(1/VLOOKUP($R590,Capa!$A:$AJ,BJ$5,0)),0,1/VLOOKUP($R590,Capa!$A:$AJ,BJ$5,0))))</f>
        <v/>
      </c>
      <c r="BK590" s="174" t="str">
        <f>IF(BK$6="","",IF(BK$3="Maior",iferror(VLOOKUP($R590,Capa!$A:$AJ,BK$5,0),0),IF(ISERROR(1/VLOOKUP($R590,Capa!$A:$AJ,BK$5,0)),0,1/VLOOKUP($R590,Capa!$A:$AJ,BK$5,0))))</f>
        <v/>
      </c>
      <c r="BL590" s="174" t="str">
        <f>IF(BL$6="","",IF(BL$3="Maior",iferror(VLOOKUP($R590,Capa!$A:$AJ,BL$5,0),0),IF(ISERROR(1/VLOOKUP($R590,Capa!$A:$AJ,BL$5,0)),0,1/VLOOKUP($R590,Capa!$A:$AJ,BL$5,0))))</f>
        <v/>
      </c>
      <c r="BM590" s="174" t="str">
        <f>IF(BM$6="","",IF(BM$3="Maior",iferror(VLOOKUP($R590,Capa!$A:$AJ,BM$5,0),0),IF(ISERROR(1/VLOOKUP($R590,Capa!$A:$AJ,BM$5,0)),0,1/VLOOKUP($R590,Capa!$A:$AJ,BM$5,0))))</f>
        <v/>
      </c>
      <c r="BN590" s="174" t="str">
        <f>IF(BN$6="","",IF(BN$3="Maior",iferror(VLOOKUP($R590,Capa!$A:$AJ,BN$5,0),0),IF(ISERROR(1/VLOOKUP($R590,Capa!$A:$AJ,BN$5,0)),0,1/VLOOKUP($R590,Capa!$A:$AJ,BN$5,0))))</f>
        <v/>
      </c>
      <c r="BO590" s="174" t="str">
        <f>IF(BO$6="","",IF(BO$3="Maior",iferror(VLOOKUP($R590,Capa!$A:$AJ,BO$5,0),0),IF(ISERROR(1/VLOOKUP($R590,Capa!$A:$AJ,BO$5,0)),0,1/VLOOKUP($R590,Capa!$A:$AJ,BO$5,0))))</f>
        <v/>
      </c>
      <c r="BP590" s="174" t="str">
        <f>IF(BP$6="","",IF(BP$3="Maior",iferror(VLOOKUP($R590,Capa!$A:$AJ,BP$5,0),0),IF(ISERROR(1/VLOOKUP($R590,Capa!$A:$AJ,BP$5,0)),0,1/VLOOKUP($R590,Capa!$A:$AJ,BP$5,0))))</f>
        <v/>
      </c>
      <c r="BQ590" s="174" t="str">
        <f>IF(BQ$6="","",IF(BQ$3="Maior",iferror(VLOOKUP($R590,Capa!$A:$AJ,BQ$5,0),0),IF(ISERROR(1/VLOOKUP($R590,Capa!$A:$AJ,BQ$5,0)),0,1/VLOOKUP($R590,Capa!$A:$AJ,BQ$5,0))))</f>
        <v/>
      </c>
      <c r="BR590" s="175"/>
      <c r="BS590" s="147"/>
    </row>
    <row r="591">
      <c r="H591" s="8">
        <v>585.0</v>
      </c>
      <c r="I591" s="165" t="str">
        <f t="shared" si="6"/>
        <v>APTI3</v>
      </c>
      <c r="J591" s="166" t="str">
        <f>(VLOOKUP($I591,Capa!$A:$B,2,0))</f>
        <v>Siderurgica JL Aliperti SA</v>
      </c>
      <c r="K591" s="167" t="str">
        <f>VLOOKUP(left(I591,4),Setor!A:D,3,0)&amp;" | "&amp;VLOOKUP(left(I591,4),Setor!A:D,4,0)</f>
        <v>Consumo não Cíclico | Agropecuária</v>
      </c>
      <c r="L591" s="168">
        <f>(VLOOKUP($I591,Capa!$A:$F,6,0))</f>
        <v>0</v>
      </c>
      <c r="M591" s="168">
        <f t="shared" si="7"/>
        <v>0</v>
      </c>
      <c r="N591" s="11" t="str">
        <f>(VLOOKUP($I591,Capa!$A:$H,7,0))</f>
        <v/>
      </c>
      <c r="O591" s="169" t="str">
        <f>(VLOOKUP($I591,Capa!$A:$H,8,0))</f>
        <v/>
      </c>
      <c r="P591" s="11" t="str">
        <f>(VLOOKUP($I591,Capa!$A:$J,10,0))</f>
        <v/>
      </c>
      <c r="Q591" s="169" t="str">
        <f>(VLOOKUP($I591,Capa!$A:$K,11,0))</f>
        <v/>
      </c>
      <c r="R591" s="45" t="str">
        <f>'Dados StatusInvest'!A586</f>
        <v>UGPA3</v>
      </c>
      <c r="S591" s="170">
        <f t="shared" si="234"/>
        <v>362.0362</v>
      </c>
      <c r="T591" s="171">
        <f>VLOOKUP(R591,'Dados StatusInvest'!A:Z,26,0)</f>
        <v>159000000</v>
      </c>
      <c r="U591" s="172">
        <f t="shared" ref="U591:AS591" si="594">IF(AT591="","", RANK(AT591,AT$7:AT$626,0)+RANK(AT591,AT$7:AT$626,0)/10000)</f>
        <v>338.0338</v>
      </c>
      <c r="V591" s="172">
        <f t="shared" si="594"/>
        <v>24.0024</v>
      </c>
      <c r="W591" s="172" t="str">
        <f t="shared" si="594"/>
        <v/>
      </c>
      <c r="X591" s="172" t="str">
        <f t="shared" si="594"/>
        <v/>
      </c>
      <c r="Y591" s="172" t="str">
        <f t="shared" si="594"/>
        <v/>
      </c>
      <c r="Z591" s="172" t="str">
        <f t="shared" si="594"/>
        <v/>
      </c>
      <c r="AA591" s="172" t="str">
        <f t="shared" si="594"/>
        <v/>
      </c>
      <c r="AB591" s="172" t="str">
        <f t="shared" si="594"/>
        <v/>
      </c>
      <c r="AC591" s="172" t="str">
        <f t="shared" si="594"/>
        <v/>
      </c>
      <c r="AD591" s="172" t="str">
        <f t="shared" si="594"/>
        <v/>
      </c>
      <c r="AE591" s="172" t="str">
        <f t="shared" si="594"/>
        <v/>
      </c>
      <c r="AF591" s="172" t="str">
        <f t="shared" si="594"/>
        <v/>
      </c>
      <c r="AG591" s="172" t="str">
        <f t="shared" si="594"/>
        <v/>
      </c>
      <c r="AH591" s="172" t="str">
        <f t="shared" si="594"/>
        <v/>
      </c>
      <c r="AI591" s="172" t="str">
        <f t="shared" si="594"/>
        <v/>
      </c>
      <c r="AJ591" s="172" t="str">
        <f t="shared" si="594"/>
        <v/>
      </c>
      <c r="AK591" s="172" t="str">
        <f t="shared" si="594"/>
        <v/>
      </c>
      <c r="AL591" s="172" t="str">
        <f t="shared" si="594"/>
        <v/>
      </c>
      <c r="AM591" s="172" t="str">
        <f t="shared" si="594"/>
        <v/>
      </c>
      <c r="AN591" s="172" t="str">
        <f t="shared" si="594"/>
        <v/>
      </c>
      <c r="AO591" s="172" t="str">
        <f t="shared" si="594"/>
        <v/>
      </c>
      <c r="AP591" s="172" t="str">
        <f t="shared" si="594"/>
        <v/>
      </c>
      <c r="AQ591" s="172" t="str">
        <f t="shared" si="594"/>
        <v/>
      </c>
      <c r="AR591" s="172" t="str">
        <f t="shared" si="594"/>
        <v/>
      </c>
      <c r="AS591" s="172" t="str">
        <f t="shared" si="594"/>
        <v/>
      </c>
      <c r="AT591" s="173">
        <f>IF(AT$6="","",IF(AT$3="Maior",iferror(VLOOKUP($R591,Capa!$A:$AJ,AT$5,0),0),IF(ISERROR(1/VLOOKUP($R591,Capa!$A:$AJ,AT$5,0)),0,1/VLOOKUP($R591,Capa!$A:$AJ,AT$5,0))))</f>
        <v>-0.9244785101</v>
      </c>
      <c r="AU591" s="174">
        <f>IF(AU$6="","",IF(AU$3="Maior",iferror(VLOOKUP($R591,Capa!$A:$AJ,AU$5,0),0),IF(ISERROR(1/VLOOKUP($R591,Capa!$A:$AJ,AU$5,0)),0,1/VLOOKUP($R591,Capa!$A:$AJ,AU$5,0))))</f>
        <v>51.41</v>
      </c>
      <c r="AV591" s="174" t="str">
        <f>IF(AV$6="","",IF(AV$3="Maior",iferror(VLOOKUP($R591,Capa!$A:$AJ,AV$5,0),0),IF(ISERROR(1/VLOOKUP($R591,Capa!$A:$AJ,AV$5,0)),0,1/VLOOKUP($R591,Capa!$A:$AJ,AV$5,0))))</f>
        <v/>
      </c>
      <c r="AW591" s="174" t="str">
        <f>IF(AW$6="","",IF(AW$3="Maior",iferror(VLOOKUP($R591,Capa!$A:$AJ,AW$5,0),0),IF(ISERROR(1/VLOOKUP($R591,Capa!$A:$AJ,AW$5,0)),0,1/VLOOKUP($R591,Capa!$A:$AJ,AW$5,0))))</f>
        <v/>
      </c>
      <c r="AX591" s="174" t="str">
        <f>IF(AX$6="","",IF(AX$3="Maior",iferror(VLOOKUP($R591,Capa!$A:$AJ,AX$5,0),0),IF(ISERROR(1/VLOOKUP($R591,Capa!$A:$AJ,AX$5,0)),0,1/VLOOKUP($R591,Capa!$A:$AJ,AX$5,0))))</f>
        <v/>
      </c>
      <c r="AY591" s="174" t="str">
        <f>IF(AY$6="","",IF(AY$3="Maior",iferror(VLOOKUP($R591,Capa!$A:$AJ,AY$5,0),0),IF(ISERROR(1/VLOOKUP($R591,Capa!$A:$AJ,AY$5,0)),0,1/VLOOKUP($R591,Capa!$A:$AJ,AY$5,0))))</f>
        <v/>
      </c>
      <c r="AZ591" s="174" t="str">
        <f>IF(AZ$6="","",IF(AZ$3="Maior",iferror(VLOOKUP($R591,Capa!$A:$AJ,AZ$5,0),0),IF(ISERROR(1/VLOOKUP($R591,Capa!$A:$AJ,AZ$5,0)),0,1/VLOOKUP($R591,Capa!$A:$AJ,AZ$5,0))))</f>
        <v/>
      </c>
      <c r="BA591" s="174" t="str">
        <f>IF(BA$6="","",IF(BA$3="Maior",iferror(VLOOKUP($R591,Capa!$A:$AJ,BA$5,0),0),IF(ISERROR(1/VLOOKUP($R591,Capa!$A:$AJ,BA$5,0)),0,1/VLOOKUP($R591,Capa!$A:$AJ,BA$5,0))))</f>
        <v/>
      </c>
      <c r="BB591" s="174" t="str">
        <f>IF(BB$6="","",IF(BB$3="Maior",iferror(VLOOKUP($R591,Capa!$A:$AJ,BB$5,0),0),IF(ISERROR(1/VLOOKUP($R591,Capa!$A:$AJ,BB$5,0)),0,1/VLOOKUP($R591,Capa!$A:$AJ,BB$5,0))))</f>
        <v/>
      </c>
      <c r="BC591" s="174" t="str">
        <f>IF(BC$6="","",IF(BC$3="Maior",iferror(VLOOKUP($R591,Capa!$A:$AJ,BC$5,0),0),IF(ISERROR(1/VLOOKUP($R591,Capa!$A:$AJ,BC$5,0)),0,1/VLOOKUP($R591,Capa!$A:$AJ,BC$5,0))))</f>
        <v/>
      </c>
      <c r="BD591" s="174" t="str">
        <f>IF(BD$6="","",IF(BD$3="Maior",iferror(VLOOKUP($R591,Capa!$A:$AJ,BD$5,0),0),IF(ISERROR(1/VLOOKUP($R591,Capa!$A:$AJ,BD$5,0)),0,1/VLOOKUP($R591,Capa!$A:$AJ,BD$5,0))))</f>
        <v/>
      </c>
      <c r="BE591" s="174" t="str">
        <f>IF(BE$6="","",IF(BE$3="Maior",iferror(VLOOKUP($R591,Capa!$A:$AJ,BE$5,0),0),IF(ISERROR(1/VLOOKUP($R591,Capa!$A:$AJ,BE$5,0)),0,1/VLOOKUP($R591,Capa!$A:$AJ,BE$5,0))))</f>
        <v/>
      </c>
      <c r="BF591" s="174" t="str">
        <f>IF(BF$6="","",IF(BF$3="Maior",iferror(VLOOKUP($R591,Capa!$A:$AJ,BF$5,0),0),IF(ISERROR(1/VLOOKUP($R591,Capa!$A:$AJ,BF$5,0)),0,1/VLOOKUP($R591,Capa!$A:$AJ,BF$5,0))))</f>
        <v/>
      </c>
      <c r="BG591" s="174" t="str">
        <f>IF(BG$6="","",IF(BG$3="Maior",iferror(VLOOKUP($R591,Capa!$A:$AJ,BG$5,0),0),IF(ISERROR(1/VLOOKUP($R591,Capa!$A:$AJ,BG$5,0)),0,1/VLOOKUP($R591,Capa!$A:$AJ,BG$5,0))))</f>
        <v/>
      </c>
      <c r="BH591" s="174" t="str">
        <f>IF(BH$6="","",IF(BH$3="Maior",iferror(VLOOKUP($R591,Capa!$A:$AJ,BH$5,0),0),IF(ISERROR(1/VLOOKUP($R591,Capa!$A:$AJ,BH$5,0)),0,1/VLOOKUP($R591,Capa!$A:$AJ,BH$5,0))))</f>
        <v/>
      </c>
      <c r="BI591" s="174" t="str">
        <f>IF(BI$6="","",IF(BI$3="Maior",iferror(VLOOKUP($R591,Capa!$A:$AJ,BI$5,0),0),IF(ISERROR(1/VLOOKUP($R591,Capa!$A:$AJ,BI$5,0)),0,1/VLOOKUP($R591,Capa!$A:$AJ,BI$5,0))))</f>
        <v/>
      </c>
      <c r="BJ591" s="174" t="str">
        <f>IF(BJ$6="","",IF(BJ$3="Maior",iferror(VLOOKUP($R591,Capa!$A:$AJ,BJ$5,0),0),IF(ISERROR(1/VLOOKUP($R591,Capa!$A:$AJ,BJ$5,0)),0,1/VLOOKUP($R591,Capa!$A:$AJ,BJ$5,0))))</f>
        <v/>
      </c>
      <c r="BK591" s="174" t="str">
        <f>IF(BK$6="","",IF(BK$3="Maior",iferror(VLOOKUP($R591,Capa!$A:$AJ,BK$5,0),0),IF(ISERROR(1/VLOOKUP($R591,Capa!$A:$AJ,BK$5,0)),0,1/VLOOKUP($R591,Capa!$A:$AJ,BK$5,0))))</f>
        <v/>
      </c>
      <c r="BL591" s="174" t="str">
        <f>IF(BL$6="","",IF(BL$3="Maior",iferror(VLOOKUP($R591,Capa!$A:$AJ,BL$5,0),0),IF(ISERROR(1/VLOOKUP($R591,Capa!$A:$AJ,BL$5,0)),0,1/VLOOKUP($R591,Capa!$A:$AJ,BL$5,0))))</f>
        <v/>
      </c>
      <c r="BM591" s="174" t="str">
        <f>IF(BM$6="","",IF(BM$3="Maior",iferror(VLOOKUP($R591,Capa!$A:$AJ,BM$5,0),0),IF(ISERROR(1/VLOOKUP($R591,Capa!$A:$AJ,BM$5,0)),0,1/VLOOKUP($R591,Capa!$A:$AJ,BM$5,0))))</f>
        <v/>
      </c>
      <c r="BN591" s="174" t="str">
        <f>IF(BN$6="","",IF(BN$3="Maior",iferror(VLOOKUP($R591,Capa!$A:$AJ,BN$5,0),0),IF(ISERROR(1/VLOOKUP($R591,Capa!$A:$AJ,BN$5,0)),0,1/VLOOKUP($R591,Capa!$A:$AJ,BN$5,0))))</f>
        <v/>
      </c>
      <c r="BO591" s="174" t="str">
        <f>IF(BO$6="","",IF(BO$3="Maior",iferror(VLOOKUP($R591,Capa!$A:$AJ,BO$5,0),0),IF(ISERROR(1/VLOOKUP($R591,Capa!$A:$AJ,BO$5,0)),0,1/VLOOKUP($R591,Capa!$A:$AJ,BO$5,0))))</f>
        <v/>
      </c>
      <c r="BP591" s="174" t="str">
        <f>IF(BP$6="","",IF(BP$3="Maior",iferror(VLOOKUP($R591,Capa!$A:$AJ,BP$5,0),0),IF(ISERROR(1/VLOOKUP($R591,Capa!$A:$AJ,BP$5,0)),0,1/VLOOKUP($R591,Capa!$A:$AJ,BP$5,0))))</f>
        <v/>
      </c>
      <c r="BQ591" s="174" t="str">
        <f>IF(BQ$6="","",IF(BQ$3="Maior",iferror(VLOOKUP($R591,Capa!$A:$AJ,BQ$5,0),0),IF(ISERROR(1/VLOOKUP($R591,Capa!$A:$AJ,BQ$5,0)),0,1/VLOOKUP($R591,Capa!$A:$AJ,BQ$5,0))))</f>
        <v/>
      </c>
      <c r="BR591" s="175"/>
      <c r="BS591" s="147"/>
    </row>
    <row r="592">
      <c r="H592" s="8">
        <v>586.0</v>
      </c>
      <c r="I592" s="165" t="str">
        <f t="shared" si="6"/>
        <v>APTI3</v>
      </c>
      <c r="J592" s="166" t="str">
        <f>(VLOOKUP($I592,Capa!$A:$B,2,0))</f>
        <v>Siderurgica JL Aliperti SA</v>
      </c>
      <c r="K592" s="167" t="str">
        <f>VLOOKUP(left(I592,4),Setor!A:D,3,0)&amp;" | "&amp;VLOOKUP(left(I592,4),Setor!A:D,4,0)</f>
        <v>Consumo não Cíclico | Agropecuária</v>
      </c>
      <c r="L592" s="168">
        <f>(VLOOKUP($I592,Capa!$A:$F,6,0))</f>
        <v>0</v>
      </c>
      <c r="M592" s="168">
        <f t="shared" si="7"/>
        <v>0</v>
      </c>
      <c r="N592" s="11" t="str">
        <f>(VLOOKUP($I592,Capa!$A:$H,7,0))</f>
        <v/>
      </c>
      <c r="O592" s="169" t="str">
        <f>(VLOOKUP($I592,Capa!$A:$H,8,0))</f>
        <v/>
      </c>
      <c r="P592" s="11" t="str">
        <f>(VLOOKUP($I592,Capa!$A:$J,10,0))</f>
        <v/>
      </c>
      <c r="Q592" s="169" t="str">
        <f>(VLOOKUP($I592,Capa!$A:$K,11,0))</f>
        <v/>
      </c>
      <c r="R592" s="45" t="str">
        <f>'Dados StatusInvest'!A587</f>
        <v>UNIP3</v>
      </c>
      <c r="S592" s="170">
        <f t="shared" si="234"/>
        <v>346.0346</v>
      </c>
      <c r="T592" s="171">
        <f>VLOOKUP(R592,'Dados StatusInvest'!A:Z,26,0)</f>
        <v>749838.8</v>
      </c>
      <c r="U592" s="172">
        <f t="shared" ref="U592:AS592" si="595">IF(AT592="","", RANK(AT592,AT$7:AT$626,0)+RANK(AT592,AT$7:AT$626,0)/10000)</f>
        <v>295.0295</v>
      </c>
      <c r="V592" s="172">
        <f t="shared" si="595"/>
        <v>51.0051</v>
      </c>
      <c r="W592" s="172" t="str">
        <f t="shared" si="595"/>
        <v/>
      </c>
      <c r="X592" s="172" t="str">
        <f t="shared" si="595"/>
        <v/>
      </c>
      <c r="Y592" s="172" t="str">
        <f t="shared" si="595"/>
        <v/>
      </c>
      <c r="Z592" s="172" t="str">
        <f t="shared" si="595"/>
        <v/>
      </c>
      <c r="AA592" s="172" t="str">
        <f t="shared" si="595"/>
        <v/>
      </c>
      <c r="AB592" s="172" t="str">
        <f t="shared" si="595"/>
        <v/>
      </c>
      <c r="AC592" s="172" t="str">
        <f t="shared" si="595"/>
        <v/>
      </c>
      <c r="AD592" s="172" t="str">
        <f t="shared" si="595"/>
        <v/>
      </c>
      <c r="AE592" s="172" t="str">
        <f t="shared" si="595"/>
        <v/>
      </c>
      <c r="AF592" s="172" t="str">
        <f t="shared" si="595"/>
        <v/>
      </c>
      <c r="AG592" s="172" t="str">
        <f t="shared" si="595"/>
        <v/>
      </c>
      <c r="AH592" s="172" t="str">
        <f t="shared" si="595"/>
        <v/>
      </c>
      <c r="AI592" s="172" t="str">
        <f t="shared" si="595"/>
        <v/>
      </c>
      <c r="AJ592" s="172" t="str">
        <f t="shared" si="595"/>
        <v/>
      </c>
      <c r="AK592" s="172" t="str">
        <f t="shared" si="595"/>
        <v/>
      </c>
      <c r="AL592" s="172" t="str">
        <f t="shared" si="595"/>
        <v/>
      </c>
      <c r="AM592" s="172" t="str">
        <f t="shared" si="595"/>
        <v/>
      </c>
      <c r="AN592" s="172" t="str">
        <f t="shared" si="595"/>
        <v/>
      </c>
      <c r="AO592" s="172" t="str">
        <f t="shared" si="595"/>
        <v/>
      </c>
      <c r="AP592" s="172" t="str">
        <f t="shared" si="595"/>
        <v/>
      </c>
      <c r="AQ592" s="172" t="str">
        <f t="shared" si="595"/>
        <v/>
      </c>
      <c r="AR592" s="172" t="str">
        <f t="shared" si="595"/>
        <v/>
      </c>
      <c r="AS592" s="172" t="str">
        <f t="shared" si="595"/>
        <v/>
      </c>
      <c r="AT592" s="173">
        <f>IF(AT$6="","",IF(AT$3="Maior",iferror(VLOOKUP($R592,Capa!$A:$AJ,AT$5,0),0),IF(ISERROR(1/VLOOKUP($R592,Capa!$A:$AJ,AT$5,0)),0,1/VLOOKUP($R592,Capa!$A:$AJ,AT$5,0))))</f>
        <v>-0.6329113924</v>
      </c>
      <c r="AU592" s="174">
        <f>IF(AU$6="","",IF(AU$3="Maior",iferror(VLOOKUP($R592,Capa!$A:$AJ,AU$5,0),0),IF(ISERROR(1/VLOOKUP($R592,Capa!$A:$AJ,AU$5,0)),0,1/VLOOKUP($R592,Capa!$A:$AJ,AU$5,0))))</f>
        <v>35.28</v>
      </c>
      <c r="AV592" s="174" t="str">
        <f>IF(AV$6="","",IF(AV$3="Maior",iferror(VLOOKUP($R592,Capa!$A:$AJ,AV$5,0),0),IF(ISERROR(1/VLOOKUP($R592,Capa!$A:$AJ,AV$5,0)),0,1/VLOOKUP($R592,Capa!$A:$AJ,AV$5,0))))</f>
        <v/>
      </c>
      <c r="AW592" s="174" t="str">
        <f>IF(AW$6="","",IF(AW$3="Maior",iferror(VLOOKUP($R592,Capa!$A:$AJ,AW$5,0),0),IF(ISERROR(1/VLOOKUP($R592,Capa!$A:$AJ,AW$5,0)),0,1/VLOOKUP($R592,Capa!$A:$AJ,AW$5,0))))</f>
        <v/>
      </c>
      <c r="AX592" s="174" t="str">
        <f>IF(AX$6="","",IF(AX$3="Maior",iferror(VLOOKUP($R592,Capa!$A:$AJ,AX$5,0),0),IF(ISERROR(1/VLOOKUP($R592,Capa!$A:$AJ,AX$5,0)),0,1/VLOOKUP($R592,Capa!$A:$AJ,AX$5,0))))</f>
        <v/>
      </c>
      <c r="AY592" s="174" t="str">
        <f>IF(AY$6="","",IF(AY$3="Maior",iferror(VLOOKUP($R592,Capa!$A:$AJ,AY$5,0),0),IF(ISERROR(1/VLOOKUP($R592,Capa!$A:$AJ,AY$5,0)),0,1/VLOOKUP($R592,Capa!$A:$AJ,AY$5,0))))</f>
        <v/>
      </c>
      <c r="AZ592" s="174" t="str">
        <f>IF(AZ$6="","",IF(AZ$3="Maior",iferror(VLOOKUP($R592,Capa!$A:$AJ,AZ$5,0),0),IF(ISERROR(1/VLOOKUP($R592,Capa!$A:$AJ,AZ$5,0)),0,1/VLOOKUP($R592,Capa!$A:$AJ,AZ$5,0))))</f>
        <v/>
      </c>
      <c r="BA592" s="174" t="str">
        <f>IF(BA$6="","",IF(BA$3="Maior",iferror(VLOOKUP($R592,Capa!$A:$AJ,BA$5,0),0),IF(ISERROR(1/VLOOKUP($R592,Capa!$A:$AJ,BA$5,0)),0,1/VLOOKUP($R592,Capa!$A:$AJ,BA$5,0))))</f>
        <v/>
      </c>
      <c r="BB592" s="174" t="str">
        <f>IF(BB$6="","",IF(BB$3="Maior",iferror(VLOOKUP($R592,Capa!$A:$AJ,BB$5,0),0),IF(ISERROR(1/VLOOKUP($R592,Capa!$A:$AJ,BB$5,0)),0,1/VLOOKUP($R592,Capa!$A:$AJ,BB$5,0))))</f>
        <v/>
      </c>
      <c r="BC592" s="174" t="str">
        <f>IF(BC$6="","",IF(BC$3="Maior",iferror(VLOOKUP($R592,Capa!$A:$AJ,BC$5,0),0),IF(ISERROR(1/VLOOKUP($R592,Capa!$A:$AJ,BC$5,0)),0,1/VLOOKUP($R592,Capa!$A:$AJ,BC$5,0))))</f>
        <v/>
      </c>
      <c r="BD592" s="174" t="str">
        <f>IF(BD$6="","",IF(BD$3="Maior",iferror(VLOOKUP($R592,Capa!$A:$AJ,BD$5,0),0),IF(ISERROR(1/VLOOKUP($R592,Capa!$A:$AJ,BD$5,0)),0,1/VLOOKUP($R592,Capa!$A:$AJ,BD$5,0))))</f>
        <v/>
      </c>
      <c r="BE592" s="174" t="str">
        <f>IF(BE$6="","",IF(BE$3="Maior",iferror(VLOOKUP($R592,Capa!$A:$AJ,BE$5,0),0),IF(ISERROR(1/VLOOKUP($R592,Capa!$A:$AJ,BE$5,0)),0,1/VLOOKUP($R592,Capa!$A:$AJ,BE$5,0))))</f>
        <v/>
      </c>
      <c r="BF592" s="174" t="str">
        <f>IF(BF$6="","",IF(BF$3="Maior",iferror(VLOOKUP($R592,Capa!$A:$AJ,BF$5,0),0),IF(ISERROR(1/VLOOKUP($R592,Capa!$A:$AJ,BF$5,0)),0,1/VLOOKUP($R592,Capa!$A:$AJ,BF$5,0))))</f>
        <v/>
      </c>
      <c r="BG592" s="174" t="str">
        <f>IF(BG$6="","",IF(BG$3="Maior",iferror(VLOOKUP($R592,Capa!$A:$AJ,BG$5,0),0),IF(ISERROR(1/VLOOKUP($R592,Capa!$A:$AJ,BG$5,0)),0,1/VLOOKUP($R592,Capa!$A:$AJ,BG$5,0))))</f>
        <v/>
      </c>
      <c r="BH592" s="174" t="str">
        <f>IF(BH$6="","",IF(BH$3="Maior",iferror(VLOOKUP($R592,Capa!$A:$AJ,BH$5,0),0),IF(ISERROR(1/VLOOKUP($R592,Capa!$A:$AJ,BH$5,0)),0,1/VLOOKUP($R592,Capa!$A:$AJ,BH$5,0))))</f>
        <v/>
      </c>
      <c r="BI592" s="174" t="str">
        <f>IF(BI$6="","",IF(BI$3="Maior",iferror(VLOOKUP($R592,Capa!$A:$AJ,BI$5,0),0),IF(ISERROR(1/VLOOKUP($R592,Capa!$A:$AJ,BI$5,0)),0,1/VLOOKUP($R592,Capa!$A:$AJ,BI$5,0))))</f>
        <v/>
      </c>
      <c r="BJ592" s="174" t="str">
        <f>IF(BJ$6="","",IF(BJ$3="Maior",iferror(VLOOKUP($R592,Capa!$A:$AJ,BJ$5,0),0),IF(ISERROR(1/VLOOKUP($R592,Capa!$A:$AJ,BJ$5,0)),0,1/VLOOKUP($R592,Capa!$A:$AJ,BJ$5,0))))</f>
        <v/>
      </c>
      <c r="BK592" s="174" t="str">
        <f>IF(BK$6="","",IF(BK$3="Maior",iferror(VLOOKUP($R592,Capa!$A:$AJ,BK$5,0),0),IF(ISERROR(1/VLOOKUP($R592,Capa!$A:$AJ,BK$5,0)),0,1/VLOOKUP($R592,Capa!$A:$AJ,BK$5,0))))</f>
        <v/>
      </c>
      <c r="BL592" s="174" t="str">
        <f>IF(BL$6="","",IF(BL$3="Maior",iferror(VLOOKUP($R592,Capa!$A:$AJ,BL$5,0),0),IF(ISERROR(1/VLOOKUP($R592,Capa!$A:$AJ,BL$5,0)),0,1/VLOOKUP($R592,Capa!$A:$AJ,BL$5,0))))</f>
        <v/>
      </c>
      <c r="BM592" s="174" t="str">
        <f>IF(BM$6="","",IF(BM$3="Maior",iferror(VLOOKUP($R592,Capa!$A:$AJ,BM$5,0),0),IF(ISERROR(1/VLOOKUP($R592,Capa!$A:$AJ,BM$5,0)),0,1/VLOOKUP($R592,Capa!$A:$AJ,BM$5,0))))</f>
        <v/>
      </c>
      <c r="BN592" s="174" t="str">
        <f>IF(BN$6="","",IF(BN$3="Maior",iferror(VLOOKUP($R592,Capa!$A:$AJ,BN$5,0),0),IF(ISERROR(1/VLOOKUP($R592,Capa!$A:$AJ,BN$5,0)),0,1/VLOOKUP($R592,Capa!$A:$AJ,BN$5,0))))</f>
        <v/>
      </c>
      <c r="BO592" s="174" t="str">
        <f>IF(BO$6="","",IF(BO$3="Maior",iferror(VLOOKUP($R592,Capa!$A:$AJ,BO$5,0),0),IF(ISERROR(1/VLOOKUP($R592,Capa!$A:$AJ,BO$5,0)),0,1/VLOOKUP($R592,Capa!$A:$AJ,BO$5,0))))</f>
        <v/>
      </c>
      <c r="BP592" s="174" t="str">
        <f>IF(BP$6="","",IF(BP$3="Maior",iferror(VLOOKUP($R592,Capa!$A:$AJ,BP$5,0),0),IF(ISERROR(1/VLOOKUP($R592,Capa!$A:$AJ,BP$5,0)),0,1/VLOOKUP($R592,Capa!$A:$AJ,BP$5,0))))</f>
        <v/>
      </c>
      <c r="BQ592" s="174" t="str">
        <f>IF(BQ$6="","",IF(BQ$3="Maior",iferror(VLOOKUP($R592,Capa!$A:$AJ,BQ$5,0),0),IF(ISERROR(1/VLOOKUP($R592,Capa!$A:$AJ,BQ$5,0)),0,1/VLOOKUP($R592,Capa!$A:$AJ,BQ$5,0))))</f>
        <v/>
      </c>
      <c r="BR592" s="175"/>
      <c r="BS592" s="147"/>
    </row>
    <row r="593">
      <c r="H593" s="8">
        <v>587.0</v>
      </c>
      <c r="I593" s="165" t="str">
        <f t="shared" si="6"/>
        <v>SULA3</v>
      </c>
      <c r="J593" s="166" t="str">
        <f>(VLOOKUP($I593,Capa!$A:$B,2,0))</f>
        <v/>
      </c>
      <c r="K593" s="167" t="str">
        <f>VLOOKUP(left(I593,4),Setor!A:D,3,0)&amp;" | "&amp;VLOOKUP(left(I593,4),Setor!A:D,4,0)</f>
        <v>Financeiro | Previdência e Seguros</v>
      </c>
      <c r="L593" s="168" t="str">
        <f>(VLOOKUP($I593,Capa!$A:$F,6,0))</f>
        <v/>
      </c>
      <c r="M593" s="168">
        <f t="shared" si="7"/>
        <v>0</v>
      </c>
      <c r="N593" s="177" t="str">
        <f>(VLOOKUP($I593,Capa!$A:$H,7,0))</f>
        <v/>
      </c>
      <c r="O593" s="169" t="str">
        <f>(VLOOKUP($I593,Capa!$A:$H,8,0))</f>
        <v/>
      </c>
      <c r="P593" s="169" t="str">
        <f>(VLOOKUP($I593,Capa!$A:$J,10,0))</f>
        <v/>
      </c>
      <c r="Q593" s="169" t="str">
        <f>(VLOOKUP($I593,Capa!$A:$K,11,0))</f>
        <v/>
      </c>
      <c r="R593" s="45" t="str">
        <f>'Dados StatusInvest'!A588</f>
        <v>UNIP5</v>
      </c>
      <c r="S593" s="170">
        <f t="shared" si="234"/>
        <v>1327.0327</v>
      </c>
      <c r="T593" s="171">
        <f>VLOOKUP(R593,'Dados StatusInvest'!A:Z,26,0)</f>
        <v>18847.13</v>
      </c>
      <c r="U593" s="172">
        <f t="shared" ref="U593:AS593" si="596">IF(AT593="","", RANK(AT593,AT$7:AT$626,0)+RANK(AT593,AT$7:AT$626,0)/10000)</f>
        <v>276.0276</v>
      </c>
      <c r="V593" s="172">
        <f t="shared" si="596"/>
        <v>51.0051</v>
      </c>
      <c r="W593" s="172" t="str">
        <f t="shared" si="596"/>
        <v/>
      </c>
      <c r="X593" s="172" t="str">
        <f t="shared" si="596"/>
        <v/>
      </c>
      <c r="Y593" s="172" t="str">
        <f t="shared" si="596"/>
        <v/>
      </c>
      <c r="Z593" s="172" t="str">
        <f t="shared" si="596"/>
        <v/>
      </c>
      <c r="AA593" s="172" t="str">
        <f t="shared" si="596"/>
        <v/>
      </c>
      <c r="AB593" s="172" t="str">
        <f t="shared" si="596"/>
        <v/>
      </c>
      <c r="AC593" s="172" t="str">
        <f t="shared" si="596"/>
        <v/>
      </c>
      <c r="AD593" s="172" t="str">
        <f t="shared" si="596"/>
        <v/>
      </c>
      <c r="AE593" s="172" t="str">
        <f t="shared" si="596"/>
        <v/>
      </c>
      <c r="AF593" s="172" t="str">
        <f t="shared" si="596"/>
        <v/>
      </c>
      <c r="AG593" s="172" t="str">
        <f t="shared" si="596"/>
        <v/>
      </c>
      <c r="AH593" s="172" t="str">
        <f t="shared" si="596"/>
        <v/>
      </c>
      <c r="AI593" s="172" t="str">
        <f t="shared" si="596"/>
        <v/>
      </c>
      <c r="AJ593" s="172" t="str">
        <f t="shared" si="596"/>
        <v/>
      </c>
      <c r="AK593" s="172" t="str">
        <f t="shared" si="596"/>
        <v/>
      </c>
      <c r="AL593" s="172" t="str">
        <f t="shared" si="596"/>
        <v/>
      </c>
      <c r="AM593" s="172" t="str">
        <f t="shared" si="596"/>
        <v/>
      </c>
      <c r="AN593" s="172" t="str">
        <f t="shared" si="596"/>
        <v/>
      </c>
      <c r="AO593" s="172" t="str">
        <f t="shared" si="596"/>
        <v/>
      </c>
      <c r="AP593" s="172" t="str">
        <f t="shared" si="596"/>
        <v/>
      </c>
      <c r="AQ593" s="172" t="str">
        <f t="shared" si="596"/>
        <v/>
      </c>
      <c r="AR593" s="172" t="str">
        <f t="shared" si="596"/>
        <v/>
      </c>
      <c r="AS593" s="172" t="str">
        <f t="shared" si="596"/>
        <v/>
      </c>
      <c r="AT593" s="173">
        <f>IF(AT$6="","",IF(AT$3="Maior",iferror(VLOOKUP($R593,Capa!$A:$AJ,AT$5,0),0),IF(ISERROR(1/VLOOKUP($R593,Capa!$A:$AJ,AT$5,0)),0,1/VLOOKUP($R593,Capa!$A:$AJ,AT$5,0))))</f>
        <v>-0.5847953216</v>
      </c>
      <c r="AU593" s="174">
        <f>IF(AU$6="","",IF(AU$3="Maior",iferror(VLOOKUP($R593,Capa!$A:$AJ,AU$5,0),0),IF(ISERROR(1/VLOOKUP($R593,Capa!$A:$AJ,AU$5,0)),0,1/VLOOKUP($R593,Capa!$A:$AJ,AU$5,0))))</f>
        <v>35.28</v>
      </c>
      <c r="AV593" s="174" t="str">
        <f>IF(AV$6="","",IF(AV$3="Maior",iferror(VLOOKUP($R593,Capa!$A:$AJ,AV$5,0),0),IF(ISERROR(1/VLOOKUP($R593,Capa!$A:$AJ,AV$5,0)),0,1/VLOOKUP($R593,Capa!$A:$AJ,AV$5,0))))</f>
        <v/>
      </c>
      <c r="AW593" s="174" t="str">
        <f>IF(AW$6="","",IF(AW$3="Maior",iferror(VLOOKUP($R593,Capa!$A:$AJ,AW$5,0),0),IF(ISERROR(1/VLOOKUP($R593,Capa!$A:$AJ,AW$5,0)),0,1/VLOOKUP($R593,Capa!$A:$AJ,AW$5,0))))</f>
        <v/>
      </c>
      <c r="AX593" s="174" t="str">
        <f>IF(AX$6="","",IF(AX$3="Maior",iferror(VLOOKUP($R593,Capa!$A:$AJ,AX$5,0),0),IF(ISERROR(1/VLOOKUP($R593,Capa!$A:$AJ,AX$5,0)),0,1/VLOOKUP($R593,Capa!$A:$AJ,AX$5,0))))</f>
        <v/>
      </c>
      <c r="AY593" s="174" t="str">
        <f>IF(AY$6="","",IF(AY$3="Maior",iferror(VLOOKUP($R593,Capa!$A:$AJ,AY$5,0),0),IF(ISERROR(1/VLOOKUP($R593,Capa!$A:$AJ,AY$5,0)),0,1/VLOOKUP($R593,Capa!$A:$AJ,AY$5,0))))</f>
        <v/>
      </c>
      <c r="AZ593" s="174" t="str">
        <f>IF(AZ$6="","",IF(AZ$3="Maior",iferror(VLOOKUP($R593,Capa!$A:$AJ,AZ$5,0),0),IF(ISERROR(1/VLOOKUP($R593,Capa!$A:$AJ,AZ$5,0)),0,1/VLOOKUP($R593,Capa!$A:$AJ,AZ$5,0))))</f>
        <v/>
      </c>
      <c r="BA593" s="174" t="str">
        <f>IF(BA$6="","",IF(BA$3="Maior",iferror(VLOOKUP($R593,Capa!$A:$AJ,BA$5,0),0),IF(ISERROR(1/VLOOKUP($R593,Capa!$A:$AJ,BA$5,0)),0,1/VLOOKUP($R593,Capa!$A:$AJ,BA$5,0))))</f>
        <v/>
      </c>
      <c r="BB593" s="174" t="str">
        <f>IF(BB$6="","",IF(BB$3="Maior",iferror(VLOOKUP($R593,Capa!$A:$AJ,BB$5,0),0),IF(ISERROR(1/VLOOKUP($R593,Capa!$A:$AJ,BB$5,0)),0,1/VLOOKUP($R593,Capa!$A:$AJ,BB$5,0))))</f>
        <v/>
      </c>
      <c r="BC593" s="174" t="str">
        <f>IF(BC$6="","",IF(BC$3="Maior",iferror(VLOOKUP($R593,Capa!$A:$AJ,BC$5,0),0),IF(ISERROR(1/VLOOKUP($R593,Capa!$A:$AJ,BC$5,0)),0,1/VLOOKUP($R593,Capa!$A:$AJ,BC$5,0))))</f>
        <v/>
      </c>
      <c r="BD593" s="174" t="str">
        <f>IF(BD$6="","",IF(BD$3="Maior",iferror(VLOOKUP($R593,Capa!$A:$AJ,BD$5,0),0),IF(ISERROR(1/VLOOKUP($R593,Capa!$A:$AJ,BD$5,0)),0,1/VLOOKUP($R593,Capa!$A:$AJ,BD$5,0))))</f>
        <v/>
      </c>
      <c r="BE593" s="174" t="str">
        <f>IF(BE$6="","",IF(BE$3="Maior",iferror(VLOOKUP($R593,Capa!$A:$AJ,BE$5,0),0),IF(ISERROR(1/VLOOKUP($R593,Capa!$A:$AJ,BE$5,0)),0,1/VLOOKUP($R593,Capa!$A:$AJ,BE$5,0))))</f>
        <v/>
      </c>
      <c r="BF593" s="174" t="str">
        <f>IF(BF$6="","",IF(BF$3="Maior",iferror(VLOOKUP($R593,Capa!$A:$AJ,BF$5,0),0),IF(ISERROR(1/VLOOKUP($R593,Capa!$A:$AJ,BF$5,0)),0,1/VLOOKUP($R593,Capa!$A:$AJ,BF$5,0))))</f>
        <v/>
      </c>
      <c r="BG593" s="174" t="str">
        <f>IF(BG$6="","",IF(BG$3="Maior",iferror(VLOOKUP($R593,Capa!$A:$AJ,BG$5,0),0),IF(ISERROR(1/VLOOKUP($R593,Capa!$A:$AJ,BG$5,0)),0,1/VLOOKUP($R593,Capa!$A:$AJ,BG$5,0))))</f>
        <v/>
      </c>
      <c r="BH593" s="174" t="str">
        <f>IF(BH$6="","",IF(BH$3="Maior",iferror(VLOOKUP($R593,Capa!$A:$AJ,BH$5,0),0),IF(ISERROR(1/VLOOKUP($R593,Capa!$A:$AJ,BH$5,0)),0,1/VLOOKUP($R593,Capa!$A:$AJ,BH$5,0))))</f>
        <v/>
      </c>
      <c r="BI593" s="174" t="str">
        <f>IF(BI$6="","",IF(BI$3="Maior",iferror(VLOOKUP($R593,Capa!$A:$AJ,BI$5,0),0),IF(ISERROR(1/VLOOKUP($R593,Capa!$A:$AJ,BI$5,0)),0,1/VLOOKUP($R593,Capa!$A:$AJ,BI$5,0))))</f>
        <v/>
      </c>
      <c r="BJ593" s="174" t="str">
        <f>IF(BJ$6="","",IF(BJ$3="Maior",iferror(VLOOKUP($R593,Capa!$A:$AJ,BJ$5,0),0),IF(ISERROR(1/VLOOKUP($R593,Capa!$A:$AJ,BJ$5,0)),0,1/VLOOKUP($R593,Capa!$A:$AJ,BJ$5,0))))</f>
        <v/>
      </c>
      <c r="BK593" s="174" t="str">
        <f>IF(BK$6="","",IF(BK$3="Maior",iferror(VLOOKUP($R593,Capa!$A:$AJ,BK$5,0),0),IF(ISERROR(1/VLOOKUP($R593,Capa!$A:$AJ,BK$5,0)),0,1/VLOOKUP($R593,Capa!$A:$AJ,BK$5,0))))</f>
        <v/>
      </c>
      <c r="BL593" s="174" t="str">
        <f>IF(BL$6="","",IF(BL$3="Maior",iferror(VLOOKUP($R593,Capa!$A:$AJ,BL$5,0),0),IF(ISERROR(1/VLOOKUP($R593,Capa!$A:$AJ,BL$5,0)),0,1/VLOOKUP($R593,Capa!$A:$AJ,BL$5,0))))</f>
        <v/>
      </c>
      <c r="BM593" s="174" t="str">
        <f>IF(BM$6="","",IF(BM$3="Maior",iferror(VLOOKUP($R593,Capa!$A:$AJ,BM$5,0),0),IF(ISERROR(1/VLOOKUP($R593,Capa!$A:$AJ,BM$5,0)),0,1/VLOOKUP($R593,Capa!$A:$AJ,BM$5,0))))</f>
        <v/>
      </c>
      <c r="BN593" s="174" t="str">
        <f>IF(BN$6="","",IF(BN$3="Maior",iferror(VLOOKUP($R593,Capa!$A:$AJ,BN$5,0),0),IF(ISERROR(1/VLOOKUP($R593,Capa!$A:$AJ,BN$5,0)),0,1/VLOOKUP($R593,Capa!$A:$AJ,BN$5,0))))</f>
        <v/>
      </c>
      <c r="BO593" s="174" t="str">
        <f>IF(BO$6="","",IF(BO$3="Maior",iferror(VLOOKUP($R593,Capa!$A:$AJ,BO$5,0),0),IF(ISERROR(1/VLOOKUP($R593,Capa!$A:$AJ,BO$5,0)),0,1/VLOOKUP($R593,Capa!$A:$AJ,BO$5,0))))</f>
        <v/>
      </c>
      <c r="BP593" s="174" t="str">
        <f>IF(BP$6="","",IF(BP$3="Maior",iferror(VLOOKUP($R593,Capa!$A:$AJ,BP$5,0),0),IF(ISERROR(1/VLOOKUP($R593,Capa!$A:$AJ,BP$5,0)),0,1/VLOOKUP($R593,Capa!$A:$AJ,BP$5,0))))</f>
        <v/>
      </c>
      <c r="BQ593" s="174" t="str">
        <f>IF(BQ$6="","",IF(BQ$3="Maior",iferror(VLOOKUP($R593,Capa!$A:$AJ,BQ$5,0),0),IF(ISERROR(1/VLOOKUP($R593,Capa!$A:$AJ,BQ$5,0)),0,1/VLOOKUP($R593,Capa!$A:$AJ,BQ$5,0))))</f>
        <v/>
      </c>
      <c r="BR593" s="175"/>
      <c r="BS593" s="147"/>
    </row>
    <row r="594">
      <c r="H594" s="8">
        <v>588.0</v>
      </c>
      <c r="I594" s="165" t="str">
        <f t="shared" si="6"/>
        <v>EPAR3</v>
      </c>
      <c r="J594" s="166" t="str">
        <f>(VLOOKUP($I594,Capa!$A:$B,2,0))</f>
        <v>Embpar Participacoes SA</v>
      </c>
      <c r="K594" s="167" t="str">
        <f>VLOOKUP(left(I594,4),Setor!A:D,3,0)&amp;" | "&amp;VLOOKUP(left(I594,4),Setor!A:D,4,0)</f>
        <v>#N/A</v>
      </c>
      <c r="L594" s="168">
        <f>(VLOOKUP($I594,Capa!$A:$F,6,0))</f>
        <v>3.56</v>
      </c>
      <c r="M594" s="168">
        <f t="shared" si="7"/>
        <v>58412.43</v>
      </c>
      <c r="N594" s="11" t="str">
        <f>IFERROR(__xludf.DUMMYFUNCTION("(VLOOKUP($I594,Capa!$A:$H,7,0))"),"")</f>
        <v/>
      </c>
      <c r="O594" s="169">
        <f>(VLOOKUP($I594,Capa!$A:$H,8,0))</f>
        <v>-0.09644670051</v>
      </c>
      <c r="P594" s="11" t="str">
        <f>IFERROR(__xludf.DUMMYFUNCTION("(VLOOKUP($I594,Capa!$A:$J,10,0))"),"")</f>
        <v/>
      </c>
      <c r="Q594" s="169">
        <f>(VLOOKUP($I594,Capa!$A:$K,11,0))</f>
        <v>-0.2837022133</v>
      </c>
      <c r="R594" s="45" t="str">
        <f>'Dados StatusInvest'!A589</f>
        <v>UNIP6</v>
      </c>
      <c r="S594" s="170">
        <f t="shared" si="234"/>
        <v>323.0323</v>
      </c>
      <c r="T594" s="171">
        <f>VLOOKUP(R594,'Dados StatusInvest'!A:Z,26,0)</f>
        <v>16216568</v>
      </c>
      <c r="U594" s="172">
        <f t="shared" ref="U594:AS594" si="597">IF(AT594="","", RANK(AT594,AT$7:AT$626,0)+RANK(AT594,AT$7:AT$626,0)/10000)</f>
        <v>272.0272</v>
      </c>
      <c r="V594" s="172">
        <f t="shared" si="597"/>
        <v>51.0051</v>
      </c>
      <c r="W594" s="172" t="str">
        <f t="shared" si="597"/>
        <v/>
      </c>
      <c r="X594" s="172" t="str">
        <f t="shared" si="597"/>
        <v/>
      </c>
      <c r="Y594" s="172" t="str">
        <f t="shared" si="597"/>
        <v/>
      </c>
      <c r="Z594" s="172" t="str">
        <f t="shared" si="597"/>
        <v/>
      </c>
      <c r="AA594" s="172" t="str">
        <f t="shared" si="597"/>
        <v/>
      </c>
      <c r="AB594" s="172" t="str">
        <f t="shared" si="597"/>
        <v/>
      </c>
      <c r="AC594" s="172" t="str">
        <f t="shared" si="597"/>
        <v/>
      </c>
      <c r="AD594" s="172" t="str">
        <f t="shared" si="597"/>
        <v/>
      </c>
      <c r="AE594" s="172" t="str">
        <f t="shared" si="597"/>
        <v/>
      </c>
      <c r="AF594" s="172" t="str">
        <f t="shared" si="597"/>
        <v/>
      </c>
      <c r="AG594" s="172" t="str">
        <f t="shared" si="597"/>
        <v/>
      </c>
      <c r="AH594" s="172" t="str">
        <f t="shared" si="597"/>
        <v/>
      </c>
      <c r="AI594" s="172" t="str">
        <f t="shared" si="597"/>
        <v/>
      </c>
      <c r="AJ594" s="172" t="str">
        <f t="shared" si="597"/>
        <v/>
      </c>
      <c r="AK594" s="172" t="str">
        <f t="shared" si="597"/>
        <v/>
      </c>
      <c r="AL594" s="172" t="str">
        <f t="shared" si="597"/>
        <v/>
      </c>
      <c r="AM594" s="172" t="str">
        <f t="shared" si="597"/>
        <v/>
      </c>
      <c r="AN594" s="172" t="str">
        <f t="shared" si="597"/>
        <v/>
      </c>
      <c r="AO594" s="172" t="str">
        <f t="shared" si="597"/>
        <v/>
      </c>
      <c r="AP594" s="172" t="str">
        <f t="shared" si="597"/>
        <v/>
      </c>
      <c r="AQ594" s="172" t="str">
        <f t="shared" si="597"/>
        <v/>
      </c>
      <c r="AR594" s="172" t="str">
        <f t="shared" si="597"/>
        <v/>
      </c>
      <c r="AS594" s="172" t="str">
        <f t="shared" si="597"/>
        <v/>
      </c>
      <c r="AT594" s="173">
        <f>IF(AT$6="","",IF(AT$3="Maior",iferror(VLOOKUP($R594,Capa!$A:$AJ,AT$5,0),0),IF(ISERROR(1/VLOOKUP($R594,Capa!$A:$AJ,AT$5,0)),0,1/VLOOKUP($R594,Capa!$A:$AJ,AT$5,0))))</f>
        <v>-0.5712679435</v>
      </c>
      <c r="AU594" s="174">
        <f>IF(AU$6="","",IF(AU$3="Maior",iferror(VLOOKUP($R594,Capa!$A:$AJ,AU$5,0),0),IF(ISERROR(1/VLOOKUP($R594,Capa!$A:$AJ,AU$5,0)),0,1/VLOOKUP($R594,Capa!$A:$AJ,AU$5,0))))</f>
        <v>35.28</v>
      </c>
      <c r="AV594" s="174" t="str">
        <f>IF(AV$6="","",IF(AV$3="Maior",iferror(VLOOKUP($R594,Capa!$A:$AJ,AV$5,0),0),IF(ISERROR(1/VLOOKUP($R594,Capa!$A:$AJ,AV$5,0)),0,1/VLOOKUP($R594,Capa!$A:$AJ,AV$5,0))))</f>
        <v/>
      </c>
      <c r="AW594" s="174" t="str">
        <f>IF(AW$6="","",IF(AW$3="Maior",iferror(VLOOKUP($R594,Capa!$A:$AJ,AW$5,0),0),IF(ISERROR(1/VLOOKUP($R594,Capa!$A:$AJ,AW$5,0)),0,1/VLOOKUP($R594,Capa!$A:$AJ,AW$5,0))))</f>
        <v/>
      </c>
      <c r="AX594" s="174" t="str">
        <f>IF(AX$6="","",IF(AX$3="Maior",iferror(VLOOKUP($R594,Capa!$A:$AJ,AX$5,0),0),IF(ISERROR(1/VLOOKUP($R594,Capa!$A:$AJ,AX$5,0)),0,1/VLOOKUP($R594,Capa!$A:$AJ,AX$5,0))))</f>
        <v/>
      </c>
      <c r="AY594" s="174" t="str">
        <f>IF(AY$6="","",IF(AY$3="Maior",iferror(VLOOKUP($R594,Capa!$A:$AJ,AY$5,0),0),IF(ISERROR(1/VLOOKUP($R594,Capa!$A:$AJ,AY$5,0)),0,1/VLOOKUP($R594,Capa!$A:$AJ,AY$5,0))))</f>
        <v/>
      </c>
      <c r="AZ594" s="174" t="str">
        <f>IF(AZ$6="","",IF(AZ$3="Maior",iferror(VLOOKUP($R594,Capa!$A:$AJ,AZ$5,0),0),IF(ISERROR(1/VLOOKUP($R594,Capa!$A:$AJ,AZ$5,0)),0,1/VLOOKUP($R594,Capa!$A:$AJ,AZ$5,0))))</f>
        <v/>
      </c>
      <c r="BA594" s="174" t="str">
        <f>IF(BA$6="","",IF(BA$3="Maior",iferror(VLOOKUP($R594,Capa!$A:$AJ,BA$5,0),0),IF(ISERROR(1/VLOOKUP($R594,Capa!$A:$AJ,BA$5,0)),0,1/VLOOKUP($R594,Capa!$A:$AJ,BA$5,0))))</f>
        <v/>
      </c>
      <c r="BB594" s="174" t="str">
        <f>IF(BB$6="","",IF(BB$3="Maior",iferror(VLOOKUP($R594,Capa!$A:$AJ,BB$5,0),0),IF(ISERROR(1/VLOOKUP($R594,Capa!$A:$AJ,BB$5,0)),0,1/VLOOKUP($R594,Capa!$A:$AJ,BB$5,0))))</f>
        <v/>
      </c>
      <c r="BC594" s="174" t="str">
        <f>IF(BC$6="","",IF(BC$3="Maior",iferror(VLOOKUP($R594,Capa!$A:$AJ,BC$5,0),0),IF(ISERROR(1/VLOOKUP($R594,Capa!$A:$AJ,BC$5,0)),0,1/VLOOKUP($R594,Capa!$A:$AJ,BC$5,0))))</f>
        <v/>
      </c>
      <c r="BD594" s="174" t="str">
        <f>IF(BD$6="","",IF(BD$3="Maior",iferror(VLOOKUP($R594,Capa!$A:$AJ,BD$5,0),0),IF(ISERROR(1/VLOOKUP($R594,Capa!$A:$AJ,BD$5,0)),0,1/VLOOKUP($R594,Capa!$A:$AJ,BD$5,0))))</f>
        <v/>
      </c>
      <c r="BE594" s="174" t="str">
        <f>IF(BE$6="","",IF(BE$3="Maior",iferror(VLOOKUP($R594,Capa!$A:$AJ,BE$5,0),0),IF(ISERROR(1/VLOOKUP($R594,Capa!$A:$AJ,BE$5,0)),0,1/VLOOKUP($R594,Capa!$A:$AJ,BE$5,0))))</f>
        <v/>
      </c>
      <c r="BF594" s="174" t="str">
        <f>IF(BF$6="","",IF(BF$3="Maior",iferror(VLOOKUP($R594,Capa!$A:$AJ,BF$5,0),0),IF(ISERROR(1/VLOOKUP($R594,Capa!$A:$AJ,BF$5,0)),0,1/VLOOKUP($R594,Capa!$A:$AJ,BF$5,0))))</f>
        <v/>
      </c>
      <c r="BG594" s="174" t="str">
        <f>IF(BG$6="","",IF(BG$3="Maior",iferror(VLOOKUP($R594,Capa!$A:$AJ,BG$5,0),0),IF(ISERROR(1/VLOOKUP($R594,Capa!$A:$AJ,BG$5,0)),0,1/VLOOKUP($R594,Capa!$A:$AJ,BG$5,0))))</f>
        <v/>
      </c>
      <c r="BH594" s="174" t="str">
        <f>IF(BH$6="","",IF(BH$3="Maior",iferror(VLOOKUP($R594,Capa!$A:$AJ,BH$5,0),0),IF(ISERROR(1/VLOOKUP($R594,Capa!$A:$AJ,BH$5,0)),0,1/VLOOKUP($R594,Capa!$A:$AJ,BH$5,0))))</f>
        <v/>
      </c>
      <c r="BI594" s="174" t="str">
        <f>IF(BI$6="","",IF(BI$3="Maior",iferror(VLOOKUP($R594,Capa!$A:$AJ,BI$5,0),0),IF(ISERROR(1/VLOOKUP($R594,Capa!$A:$AJ,BI$5,0)),0,1/VLOOKUP($R594,Capa!$A:$AJ,BI$5,0))))</f>
        <v/>
      </c>
      <c r="BJ594" s="174" t="str">
        <f>IF(BJ$6="","",IF(BJ$3="Maior",iferror(VLOOKUP($R594,Capa!$A:$AJ,BJ$5,0),0),IF(ISERROR(1/VLOOKUP($R594,Capa!$A:$AJ,BJ$5,0)),0,1/VLOOKUP($R594,Capa!$A:$AJ,BJ$5,0))))</f>
        <v/>
      </c>
      <c r="BK594" s="174" t="str">
        <f>IF(BK$6="","",IF(BK$3="Maior",iferror(VLOOKUP($R594,Capa!$A:$AJ,BK$5,0),0),IF(ISERROR(1/VLOOKUP($R594,Capa!$A:$AJ,BK$5,0)),0,1/VLOOKUP($R594,Capa!$A:$AJ,BK$5,0))))</f>
        <v/>
      </c>
      <c r="BL594" s="174" t="str">
        <f>IF(BL$6="","",IF(BL$3="Maior",iferror(VLOOKUP($R594,Capa!$A:$AJ,BL$5,0),0),IF(ISERROR(1/VLOOKUP($R594,Capa!$A:$AJ,BL$5,0)),0,1/VLOOKUP($R594,Capa!$A:$AJ,BL$5,0))))</f>
        <v/>
      </c>
      <c r="BM594" s="174" t="str">
        <f>IF(BM$6="","",IF(BM$3="Maior",iferror(VLOOKUP($R594,Capa!$A:$AJ,BM$5,0),0),IF(ISERROR(1/VLOOKUP($R594,Capa!$A:$AJ,BM$5,0)),0,1/VLOOKUP($R594,Capa!$A:$AJ,BM$5,0))))</f>
        <v/>
      </c>
      <c r="BN594" s="174" t="str">
        <f>IF(BN$6="","",IF(BN$3="Maior",iferror(VLOOKUP($R594,Capa!$A:$AJ,BN$5,0),0),IF(ISERROR(1/VLOOKUP($R594,Capa!$A:$AJ,BN$5,0)),0,1/VLOOKUP($R594,Capa!$A:$AJ,BN$5,0))))</f>
        <v/>
      </c>
      <c r="BO594" s="174" t="str">
        <f>IF(BO$6="","",IF(BO$3="Maior",iferror(VLOOKUP($R594,Capa!$A:$AJ,BO$5,0),0),IF(ISERROR(1/VLOOKUP($R594,Capa!$A:$AJ,BO$5,0)),0,1/VLOOKUP($R594,Capa!$A:$AJ,BO$5,0))))</f>
        <v/>
      </c>
      <c r="BP594" s="174" t="str">
        <f>IF(BP$6="","",IF(BP$3="Maior",iferror(VLOOKUP($R594,Capa!$A:$AJ,BP$5,0),0),IF(ISERROR(1/VLOOKUP($R594,Capa!$A:$AJ,BP$5,0)),0,1/VLOOKUP($R594,Capa!$A:$AJ,BP$5,0))))</f>
        <v/>
      </c>
      <c r="BQ594" s="174" t="str">
        <f>IF(BQ$6="","",IF(BQ$3="Maior",iferror(VLOOKUP($R594,Capa!$A:$AJ,BQ$5,0),0),IF(ISERROR(1/VLOOKUP($R594,Capa!$A:$AJ,BQ$5,0)),0,1/VLOOKUP($R594,Capa!$A:$AJ,BQ$5,0))))</f>
        <v/>
      </c>
      <c r="BR594" s="175"/>
      <c r="BS594" s="147"/>
    </row>
    <row r="595">
      <c r="H595" s="8">
        <v>589.0</v>
      </c>
      <c r="I595" s="165" t="str">
        <f t="shared" si="6"/>
        <v>CTAX3</v>
      </c>
      <c r="J595" s="166" t="str">
        <f>(VLOOKUP($I595,Capa!$A:$B,2,0))</f>
        <v>Contax Participacoes SA em Recpraca Jdcl</v>
      </c>
      <c r="K595" s="167" t="str">
        <f>VLOOKUP(left(I595,4),Setor!A:D,3,0)&amp;" | "&amp;VLOOKUP(left(I595,4),Setor!A:D,4,0)</f>
        <v>#N/A</v>
      </c>
      <c r="L595" s="168">
        <f>(VLOOKUP($I595,Capa!$A:$F,6,0))</f>
        <v>0.83</v>
      </c>
      <c r="M595" s="168">
        <f t="shared" si="7"/>
        <v>3160.71</v>
      </c>
      <c r="N595" s="11" t="str">
        <f>IFERROR(__xludf.DUMMYFUNCTION("(VLOOKUP($I595,Capa!$A:$H,7,0))"),"")</f>
        <v/>
      </c>
      <c r="O595" s="169">
        <f>(VLOOKUP($I595,Capa!$A:$H,8,0))</f>
        <v>-0.1170212766</v>
      </c>
      <c r="P595" s="11" t="str">
        <f>IFERROR(__xludf.DUMMYFUNCTION("(VLOOKUP($I595,Capa!$A:$J,10,0))"),"")</f>
        <v/>
      </c>
      <c r="Q595" s="169">
        <f>(VLOOKUP($I595,Capa!$A:$K,11,0))</f>
        <v>-0.2589285714</v>
      </c>
      <c r="R595" s="45" t="str">
        <f>'Dados StatusInvest'!A590</f>
        <v>USIM3</v>
      </c>
      <c r="S595" s="170">
        <f t="shared" si="234"/>
        <v>733.0733</v>
      </c>
      <c r="T595" s="171">
        <f>VLOOKUP(R595,'Dados StatusInvest'!A:Z,26,0)</f>
        <v>3423355</v>
      </c>
      <c r="U595" s="172">
        <f t="shared" ref="U595:AS595" si="598">IF(AT595="","", RANK(AT595,AT$7:AT$626,0)+RANK(AT595,AT$7:AT$626,0)/10000)</f>
        <v>466.0466</v>
      </c>
      <c r="V595" s="172">
        <f t="shared" si="598"/>
        <v>267.0267</v>
      </c>
      <c r="W595" s="172" t="str">
        <f t="shared" si="598"/>
        <v/>
      </c>
      <c r="X595" s="172" t="str">
        <f t="shared" si="598"/>
        <v/>
      </c>
      <c r="Y595" s="172" t="str">
        <f t="shared" si="598"/>
        <v/>
      </c>
      <c r="Z595" s="172" t="str">
        <f t="shared" si="598"/>
        <v/>
      </c>
      <c r="AA595" s="172" t="str">
        <f t="shared" si="598"/>
        <v/>
      </c>
      <c r="AB595" s="172" t="str">
        <f t="shared" si="598"/>
        <v/>
      </c>
      <c r="AC595" s="172" t="str">
        <f t="shared" si="598"/>
        <v/>
      </c>
      <c r="AD595" s="172" t="str">
        <f t="shared" si="598"/>
        <v/>
      </c>
      <c r="AE595" s="172" t="str">
        <f t="shared" si="598"/>
        <v/>
      </c>
      <c r="AF595" s="172" t="str">
        <f t="shared" si="598"/>
        <v/>
      </c>
      <c r="AG595" s="172" t="str">
        <f t="shared" si="598"/>
        <v/>
      </c>
      <c r="AH595" s="172" t="str">
        <f t="shared" si="598"/>
        <v/>
      </c>
      <c r="AI595" s="172" t="str">
        <f t="shared" si="598"/>
        <v/>
      </c>
      <c r="AJ595" s="172" t="str">
        <f t="shared" si="598"/>
        <v/>
      </c>
      <c r="AK595" s="172" t="str">
        <f t="shared" si="598"/>
        <v/>
      </c>
      <c r="AL595" s="172" t="str">
        <f t="shared" si="598"/>
        <v/>
      </c>
      <c r="AM595" s="172" t="str">
        <f t="shared" si="598"/>
        <v/>
      </c>
      <c r="AN595" s="172" t="str">
        <f t="shared" si="598"/>
        <v/>
      </c>
      <c r="AO595" s="172" t="str">
        <f t="shared" si="598"/>
        <v/>
      </c>
      <c r="AP595" s="172" t="str">
        <f t="shared" si="598"/>
        <v/>
      </c>
      <c r="AQ595" s="172" t="str">
        <f t="shared" si="598"/>
        <v/>
      </c>
      <c r="AR595" s="172" t="str">
        <f t="shared" si="598"/>
        <v/>
      </c>
      <c r="AS595" s="172" t="str">
        <f t="shared" si="598"/>
        <v/>
      </c>
      <c r="AT595" s="173">
        <f>IF(AT$6="","",IF(AT$3="Maior",iferror(VLOOKUP($R595,Capa!$A:$AJ,AT$5,0),0),IF(ISERROR(1/VLOOKUP($R595,Capa!$A:$AJ,AT$5,0)),0,1/VLOOKUP($R595,Capa!$A:$AJ,AT$5,0))))</f>
        <v>-2.320279463</v>
      </c>
      <c r="AU595" s="174">
        <f>IF(AU$6="","",IF(AU$3="Maior",iferror(VLOOKUP($R595,Capa!$A:$AJ,AU$5,0),0),IF(ISERROR(1/VLOOKUP($R595,Capa!$A:$AJ,AU$5,0)),0,1/VLOOKUP($R595,Capa!$A:$AJ,AU$5,0))))</f>
        <v>0</v>
      </c>
      <c r="AV595" s="174" t="str">
        <f>IF(AV$6="","",IF(AV$3="Maior",iferror(VLOOKUP($R595,Capa!$A:$AJ,AV$5,0),0),IF(ISERROR(1/VLOOKUP($R595,Capa!$A:$AJ,AV$5,0)),0,1/VLOOKUP($R595,Capa!$A:$AJ,AV$5,0))))</f>
        <v/>
      </c>
      <c r="AW595" s="174" t="str">
        <f>IF(AW$6="","",IF(AW$3="Maior",iferror(VLOOKUP($R595,Capa!$A:$AJ,AW$5,0),0),IF(ISERROR(1/VLOOKUP($R595,Capa!$A:$AJ,AW$5,0)),0,1/VLOOKUP($R595,Capa!$A:$AJ,AW$5,0))))</f>
        <v/>
      </c>
      <c r="AX595" s="174" t="str">
        <f>IF(AX$6="","",IF(AX$3="Maior",iferror(VLOOKUP($R595,Capa!$A:$AJ,AX$5,0),0),IF(ISERROR(1/VLOOKUP($R595,Capa!$A:$AJ,AX$5,0)),0,1/VLOOKUP($R595,Capa!$A:$AJ,AX$5,0))))</f>
        <v/>
      </c>
      <c r="AY595" s="174" t="str">
        <f>IF(AY$6="","",IF(AY$3="Maior",iferror(VLOOKUP($R595,Capa!$A:$AJ,AY$5,0),0),IF(ISERROR(1/VLOOKUP($R595,Capa!$A:$AJ,AY$5,0)),0,1/VLOOKUP($R595,Capa!$A:$AJ,AY$5,0))))</f>
        <v/>
      </c>
      <c r="AZ595" s="174" t="str">
        <f>IF(AZ$6="","",IF(AZ$3="Maior",iferror(VLOOKUP($R595,Capa!$A:$AJ,AZ$5,0),0),IF(ISERROR(1/VLOOKUP($R595,Capa!$A:$AJ,AZ$5,0)),0,1/VLOOKUP($R595,Capa!$A:$AJ,AZ$5,0))))</f>
        <v/>
      </c>
      <c r="BA595" s="174" t="str">
        <f>IF(BA$6="","",IF(BA$3="Maior",iferror(VLOOKUP($R595,Capa!$A:$AJ,BA$5,0),0),IF(ISERROR(1/VLOOKUP($R595,Capa!$A:$AJ,BA$5,0)),0,1/VLOOKUP($R595,Capa!$A:$AJ,BA$5,0))))</f>
        <v/>
      </c>
      <c r="BB595" s="174" t="str">
        <f>IF(BB$6="","",IF(BB$3="Maior",iferror(VLOOKUP($R595,Capa!$A:$AJ,BB$5,0),0),IF(ISERROR(1/VLOOKUP($R595,Capa!$A:$AJ,BB$5,0)),0,1/VLOOKUP($R595,Capa!$A:$AJ,BB$5,0))))</f>
        <v/>
      </c>
      <c r="BC595" s="174" t="str">
        <f>IF(BC$6="","",IF(BC$3="Maior",iferror(VLOOKUP($R595,Capa!$A:$AJ,BC$5,0),0),IF(ISERROR(1/VLOOKUP($R595,Capa!$A:$AJ,BC$5,0)),0,1/VLOOKUP($R595,Capa!$A:$AJ,BC$5,0))))</f>
        <v/>
      </c>
      <c r="BD595" s="174" t="str">
        <f>IF(BD$6="","",IF(BD$3="Maior",iferror(VLOOKUP($R595,Capa!$A:$AJ,BD$5,0),0),IF(ISERROR(1/VLOOKUP($R595,Capa!$A:$AJ,BD$5,0)),0,1/VLOOKUP($R595,Capa!$A:$AJ,BD$5,0))))</f>
        <v/>
      </c>
      <c r="BE595" s="174" t="str">
        <f>IF(BE$6="","",IF(BE$3="Maior",iferror(VLOOKUP($R595,Capa!$A:$AJ,BE$5,0),0),IF(ISERROR(1/VLOOKUP($R595,Capa!$A:$AJ,BE$5,0)),0,1/VLOOKUP($R595,Capa!$A:$AJ,BE$5,0))))</f>
        <v/>
      </c>
      <c r="BF595" s="174" t="str">
        <f>IF(BF$6="","",IF(BF$3="Maior",iferror(VLOOKUP($R595,Capa!$A:$AJ,BF$5,0),0),IF(ISERROR(1/VLOOKUP($R595,Capa!$A:$AJ,BF$5,0)),0,1/VLOOKUP($R595,Capa!$A:$AJ,BF$5,0))))</f>
        <v/>
      </c>
      <c r="BG595" s="174" t="str">
        <f>IF(BG$6="","",IF(BG$3="Maior",iferror(VLOOKUP($R595,Capa!$A:$AJ,BG$5,0),0),IF(ISERROR(1/VLOOKUP($R595,Capa!$A:$AJ,BG$5,0)),0,1/VLOOKUP($R595,Capa!$A:$AJ,BG$5,0))))</f>
        <v/>
      </c>
      <c r="BH595" s="174" t="str">
        <f>IF(BH$6="","",IF(BH$3="Maior",iferror(VLOOKUP($R595,Capa!$A:$AJ,BH$5,0),0),IF(ISERROR(1/VLOOKUP($R595,Capa!$A:$AJ,BH$5,0)),0,1/VLOOKUP($R595,Capa!$A:$AJ,BH$5,0))))</f>
        <v/>
      </c>
      <c r="BI595" s="174" t="str">
        <f>IF(BI$6="","",IF(BI$3="Maior",iferror(VLOOKUP($R595,Capa!$A:$AJ,BI$5,0),0),IF(ISERROR(1/VLOOKUP($R595,Capa!$A:$AJ,BI$5,0)),0,1/VLOOKUP($R595,Capa!$A:$AJ,BI$5,0))))</f>
        <v/>
      </c>
      <c r="BJ595" s="174" t="str">
        <f>IF(BJ$6="","",IF(BJ$3="Maior",iferror(VLOOKUP($R595,Capa!$A:$AJ,BJ$5,0),0),IF(ISERROR(1/VLOOKUP($R595,Capa!$A:$AJ,BJ$5,0)),0,1/VLOOKUP($R595,Capa!$A:$AJ,BJ$5,0))))</f>
        <v/>
      </c>
      <c r="BK595" s="174" t="str">
        <f>IF(BK$6="","",IF(BK$3="Maior",iferror(VLOOKUP($R595,Capa!$A:$AJ,BK$5,0),0),IF(ISERROR(1/VLOOKUP($R595,Capa!$A:$AJ,BK$5,0)),0,1/VLOOKUP($R595,Capa!$A:$AJ,BK$5,0))))</f>
        <v/>
      </c>
      <c r="BL595" s="174" t="str">
        <f>IF(BL$6="","",IF(BL$3="Maior",iferror(VLOOKUP($R595,Capa!$A:$AJ,BL$5,0),0),IF(ISERROR(1/VLOOKUP($R595,Capa!$A:$AJ,BL$5,0)),0,1/VLOOKUP($R595,Capa!$A:$AJ,BL$5,0))))</f>
        <v/>
      </c>
      <c r="BM595" s="174" t="str">
        <f>IF(BM$6="","",IF(BM$3="Maior",iferror(VLOOKUP($R595,Capa!$A:$AJ,BM$5,0),0),IF(ISERROR(1/VLOOKUP($R595,Capa!$A:$AJ,BM$5,0)),0,1/VLOOKUP($R595,Capa!$A:$AJ,BM$5,0))))</f>
        <v/>
      </c>
      <c r="BN595" s="174" t="str">
        <f>IF(BN$6="","",IF(BN$3="Maior",iferror(VLOOKUP($R595,Capa!$A:$AJ,BN$5,0),0),IF(ISERROR(1/VLOOKUP($R595,Capa!$A:$AJ,BN$5,0)),0,1/VLOOKUP($R595,Capa!$A:$AJ,BN$5,0))))</f>
        <v/>
      </c>
      <c r="BO595" s="174" t="str">
        <f>IF(BO$6="","",IF(BO$3="Maior",iferror(VLOOKUP($R595,Capa!$A:$AJ,BO$5,0),0),IF(ISERROR(1/VLOOKUP($R595,Capa!$A:$AJ,BO$5,0)),0,1/VLOOKUP($R595,Capa!$A:$AJ,BO$5,0))))</f>
        <v/>
      </c>
      <c r="BP595" s="174" t="str">
        <f>IF(BP$6="","",IF(BP$3="Maior",iferror(VLOOKUP($R595,Capa!$A:$AJ,BP$5,0),0),IF(ISERROR(1/VLOOKUP($R595,Capa!$A:$AJ,BP$5,0)),0,1/VLOOKUP($R595,Capa!$A:$AJ,BP$5,0))))</f>
        <v/>
      </c>
      <c r="BQ595" s="174" t="str">
        <f>IF(BQ$6="","",IF(BQ$3="Maior",iferror(VLOOKUP($R595,Capa!$A:$AJ,BQ$5,0),0),IF(ISERROR(1/VLOOKUP($R595,Capa!$A:$AJ,BQ$5,0)),0,1/VLOOKUP($R595,Capa!$A:$AJ,BQ$5,0))))</f>
        <v/>
      </c>
      <c r="BR595" s="175"/>
      <c r="BS595" s="147"/>
    </row>
    <row r="596">
      <c r="H596" s="8">
        <v>590.0</v>
      </c>
      <c r="I596" s="165" t="str">
        <f t="shared" si="6"/>
        <v>CTSA4</v>
      </c>
      <c r="J596" s="166" t="str">
        <f>(VLOOKUP($I596,Capa!$A:$B,2,0))</f>
        <v>Companhia Tecidos Santanense Preference Shares</v>
      </c>
      <c r="K596" s="167" t="str">
        <f>VLOOKUP(left(I596,4),Setor!A:D,3,0)&amp;" | "&amp;VLOOKUP(left(I596,4),Setor!A:D,4,0)</f>
        <v>Consumo Cíclico | Tecidos, Vestuário e Calçados</v>
      </c>
      <c r="L596" s="168">
        <f>(VLOOKUP($I596,Capa!$A:$F,6,0))</f>
        <v>1.72</v>
      </c>
      <c r="M596" s="168">
        <f t="shared" si="7"/>
        <v>985.47</v>
      </c>
      <c r="N596" s="11" t="str">
        <f>IFERROR(__xludf.DUMMYFUNCTION("(VLOOKUP($I596,Capa!$A:$H,7,0))"),"")</f>
        <v/>
      </c>
      <c r="O596" s="169">
        <f>(VLOOKUP($I596,Capa!$A:$H,8,0))</f>
        <v>-0.1886792453</v>
      </c>
      <c r="P596" s="11" t="str">
        <f>IFERROR(__xludf.DUMMYFUNCTION("(VLOOKUP($I596,Capa!$A:$J,10,0))"),"")</f>
        <v/>
      </c>
      <c r="Q596" s="169">
        <f>(VLOOKUP($I596,Capa!$A:$K,11,0))</f>
        <v>-0.5168539326</v>
      </c>
      <c r="R596" s="45" t="str">
        <f>'Dados StatusInvest'!A591</f>
        <v>USIM5</v>
      </c>
      <c r="S596" s="170">
        <f t="shared" si="234"/>
        <v>739.0739</v>
      </c>
      <c r="T596" s="171">
        <f>VLOOKUP(R596,'Dados StatusInvest'!A:Z,26,0)</f>
        <v>107000000</v>
      </c>
      <c r="U596" s="172">
        <f t="shared" ref="U596:AS596" si="599">IF(AT596="","", RANK(AT596,AT$7:AT$626,0)+RANK(AT596,AT$7:AT$626,0)/10000)</f>
        <v>472.0472</v>
      </c>
      <c r="V596" s="172">
        <f t="shared" si="599"/>
        <v>267.0267</v>
      </c>
      <c r="W596" s="172" t="str">
        <f t="shared" si="599"/>
        <v/>
      </c>
      <c r="X596" s="172" t="str">
        <f t="shared" si="599"/>
        <v/>
      </c>
      <c r="Y596" s="172" t="str">
        <f t="shared" si="599"/>
        <v/>
      </c>
      <c r="Z596" s="172" t="str">
        <f t="shared" si="599"/>
        <v/>
      </c>
      <c r="AA596" s="172" t="str">
        <f t="shared" si="599"/>
        <v/>
      </c>
      <c r="AB596" s="172" t="str">
        <f t="shared" si="599"/>
        <v/>
      </c>
      <c r="AC596" s="172" t="str">
        <f t="shared" si="599"/>
        <v/>
      </c>
      <c r="AD596" s="172" t="str">
        <f t="shared" si="599"/>
        <v/>
      </c>
      <c r="AE596" s="172" t="str">
        <f t="shared" si="599"/>
        <v/>
      </c>
      <c r="AF596" s="172" t="str">
        <f t="shared" si="599"/>
        <v/>
      </c>
      <c r="AG596" s="172" t="str">
        <f t="shared" si="599"/>
        <v/>
      </c>
      <c r="AH596" s="172" t="str">
        <f t="shared" si="599"/>
        <v/>
      </c>
      <c r="AI596" s="172" t="str">
        <f t="shared" si="599"/>
        <v/>
      </c>
      <c r="AJ596" s="172" t="str">
        <f t="shared" si="599"/>
        <v/>
      </c>
      <c r="AK596" s="172" t="str">
        <f t="shared" si="599"/>
        <v/>
      </c>
      <c r="AL596" s="172" t="str">
        <f t="shared" si="599"/>
        <v/>
      </c>
      <c r="AM596" s="172" t="str">
        <f t="shared" si="599"/>
        <v/>
      </c>
      <c r="AN596" s="172" t="str">
        <f t="shared" si="599"/>
        <v/>
      </c>
      <c r="AO596" s="172" t="str">
        <f t="shared" si="599"/>
        <v/>
      </c>
      <c r="AP596" s="172" t="str">
        <f t="shared" si="599"/>
        <v/>
      </c>
      <c r="AQ596" s="172" t="str">
        <f t="shared" si="599"/>
        <v/>
      </c>
      <c r="AR596" s="172" t="str">
        <f t="shared" si="599"/>
        <v/>
      </c>
      <c r="AS596" s="172" t="str">
        <f t="shared" si="599"/>
        <v/>
      </c>
      <c r="AT596" s="173">
        <f>IF(AT$6="","",IF(AT$3="Maior",iferror(VLOOKUP($R596,Capa!$A:$AJ,AT$5,0),0),IF(ISERROR(1/VLOOKUP($R596,Capa!$A:$AJ,AT$5,0)),0,1/VLOOKUP($R596,Capa!$A:$AJ,AT$5,0))))</f>
        <v>-2.403400309</v>
      </c>
      <c r="AU596" s="174">
        <f>IF(AU$6="","",IF(AU$3="Maior",iferror(VLOOKUP($R596,Capa!$A:$AJ,AU$5,0),0),IF(ISERROR(1/VLOOKUP($R596,Capa!$A:$AJ,AU$5,0)),0,1/VLOOKUP($R596,Capa!$A:$AJ,AU$5,0))))</f>
        <v>0</v>
      </c>
      <c r="AV596" s="174" t="str">
        <f>IF(AV$6="","",IF(AV$3="Maior",iferror(VLOOKUP($R596,Capa!$A:$AJ,AV$5,0),0),IF(ISERROR(1/VLOOKUP($R596,Capa!$A:$AJ,AV$5,0)),0,1/VLOOKUP($R596,Capa!$A:$AJ,AV$5,0))))</f>
        <v/>
      </c>
      <c r="AW596" s="174" t="str">
        <f>IF(AW$6="","",IF(AW$3="Maior",iferror(VLOOKUP($R596,Capa!$A:$AJ,AW$5,0),0),IF(ISERROR(1/VLOOKUP($R596,Capa!$A:$AJ,AW$5,0)),0,1/VLOOKUP($R596,Capa!$A:$AJ,AW$5,0))))</f>
        <v/>
      </c>
      <c r="AX596" s="174" t="str">
        <f>IF(AX$6="","",IF(AX$3="Maior",iferror(VLOOKUP($R596,Capa!$A:$AJ,AX$5,0),0),IF(ISERROR(1/VLOOKUP($R596,Capa!$A:$AJ,AX$5,0)),0,1/VLOOKUP($R596,Capa!$A:$AJ,AX$5,0))))</f>
        <v/>
      </c>
      <c r="AY596" s="174" t="str">
        <f>IF(AY$6="","",IF(AY$3="Maior",iferror(VLOOKUP($R596,Capa!$A:$AJ,AY$5,0),0),IF(ISERROR(1/VLOOKUP($R596,Capa!$A:$AJ,AY$5,0)),0,1/VLOOKUP($R596,Capa!$A:$AJ,AY$5,0))))</f>
        <v/>
      </c>
      <c r="AZ596" s="174" t="str">
        <f>IF(AZ$6="","",IF(AZ$3="Maior",iferror(VLOOKUP($R596,Capa!$A:$AJ,AZ$5,0),0),IF(ISERROR(1/VLOOKUP($R596,Capa!$A:$AJ,AZ$5,0)),0,1/VLOOKUP($R596,Capa!$A:$AJ,AZ$5,0))))</f>
        <v/>
      </c>
      <c r="BA596" s="174" t="str">
        <f>IF(BA$6="","",IF(BA$3="Maior",iferror(VLOOKUP($R596,Capa!$A:$AJ,BA$5,0),0),IF(ISERROR(1/VLOOKUP($R596,Capa!$A:$AJ,BA$5,0)),0,1/VLOOKUP($R596,Capa!$A:$AJ,BA$5,0))))</f>
        <v/>
      </c>
      <c r="BB596" s="174" t="str">
        <f>IF(BB$6="","",IF(BB$3="Maior",iferror(VLOOKUP($R596,Capa!$A:$AJ,BB$5,0),0),IF(ISERROR(1/VLOOKUP($R596,Capa!$A:$AJ,BB$5,0)),0,1/VLOOKUP($R596,Capa!$A:$AJ,BB$5,0))))</f>
        <v/>
      </c>
      <c r="BC596" s="174" t="str">
        <f>IF(BC$6="","",IF(BC$3="Maior",iferror(VLOOKUP($R596,Capa!$A:$AJ,BC$5,0),0),IF(ISERROR(1/VLOOKUP($R596,Capa!$A:$AJ,BC$5,0)),0,1/VLOOKUP($R596,Capa!$A:$AJ,BC$5,0))))</f>
        <v/>
      </c>
      <c r="BD596" s="174" t="str">
        <f>IF(BD$6="","",IF(BD$3="Maior",iferror(VLOOKUP($R596,Capa!$A:$AJ,BD$5,0),0),IF(ISERROR(1/VLOOKUP($R596,Capa!$A:$AJ,BD$5,0)),0,1/VLOOKUP($R596,Capa!$A:$AJ,BD$5,0))))</f>
        <v/>
      </c>
      <c r="BE596" s="174" t="str">
        <f>IF(BE$6="","",IF(BE$3="Maior",iferror(VLOOKUP($R596,Capa!$A:$AJ,BE$5,0),0),IF(ISERROR(1/VLOOKUP($R596,Capa!$A:$AJ,BE$5,0)),0,1/VLOOKUP($R596,Capa!$A:$AJ,BE$5,0))))</f>
        <v/>
      </c>
      <c r="BF596" s="174" t="str">
        <f>IF(BF$6="","",IF(BF$3="Maior",iferror(VLOOKUP($R596,Capa!$A:$AJ,BF$5,0),0),IF(ISERROR(1/VLOOKUP($R596,Capa!$A:$AJ,BF$5,0)),0,1/VLOOKUP($R596,Capa!$A:$AJ,BF$5,0))))</f>
        <v/>
      </c>
      <c r="BG596" s="174" t="str">
        <f>IF(BG$6="","",IF(BG$3="Maior",iferror(VLOOKUP($R596,Capa!$A:$AJ,BG$5,0),0),IF(ISERROR(1/VLOOKUP($R596,Capa!$A:$AJ,BG$5,0)),0,1/VLOOKUP($R596,Capa!$A:$AJ,BG$5,0))))</f>
        <v/>
      </c>
      <c r="BH596" s="174" t="str">
        <f>IF(BH$6="","",IF(BH$3="Maior",iferror(VLOOKUP($R596,Capa!$A:$AJ,BH$5,0),0),IF(ISERROR(1/VLOOKUP($R596,Capa!$A:$AJ,BH$5,0)),0,1/VLOOKUP($R596,Capa!$A:$AJ,BH$5,0))))</f>
        <v/>
      </c>
      <c r="BI596" s="174" t="str">
        <f>IF(BI$6="","",IF(BI$3="Maior",iferror(VLOOKUP($R596,Capa!$A:$AJ,BI$5,0),0),IF(ISERROR(1/VLOOKUP($R596,Capa!$A:$AJ,BI$5,0)),0,1/VLOOKUP($R596,Capa!$A:$AJ,BI$5,0))))</f>
        <v/>
      </c>
      <c r="BJ596" s="174" t="str">
        <f>IF(BJ$6="","",IF(BJ$3="Maior",iferror(VLOOKUP($R596,Capa!$A:$AJ,BJ$5,0),0),IF(ISERROR(1/VLOOKUP($R596,Capa!$A:$AJ,BJ$5,0)),0,1/VLOOKUP($R596,Capa!$A:$AJ,BJ$5,0))))</f>
        <v/>
      </c>
      <c r="BK596" s="174" t="str">
        <f>IF(BK$6="","",IF(BK$3="Maior",iferror(VLOOKUP($R596,Capa!$A:$AJ,BK$5,0),0),IF(ISERROR(1/VLOOKUP($R596,Capa!$A:$AJ,BK$5,0)),0,1/VLOOKUP($R596,Capa!$A:$AJ,BK$5,0))))</f>
        <v/>
      </c>
      <c r="BL596" s="174" t="str">
        <f>IF(BL$6="","",IF(BL$3="Maior",iferror(VLOOKUP($R596,Capa!$A:$AJ,BL$5,0),0),IF(ISERROR(1/VLOOKUP($R596,Capa!$A:$AJ,BL$5,0)),0,1/VLOOKUP($R596,Capa!$A:$AJ,BL$5,0))))</f>
        <v/>
      </c>
      <c r="BM596" s="174" t="str">
        <f>IF(BM$6="","",IF(BM$3="Maior",iferror(VLOOKUP($R596,Capa!$A:$AJ,BM$5,0),0),IF(ISERROR(1/VLOOKUP($R596,Capa!$A:$AJ,BM$5,0)),0,1/VLOOKUP($R596,Capa!$A:$AJ,BM$5,0))))</f>
        <v/>
      </c>
      <c r="BN596" s="174" t="str">
        <f>IF(BN$6="","",IF(BN$3="Maior",iferror(VLOOKUP($R596,Capa!$A:$AJ,BN$5,0),0),IF(ISERROR(1/VLOOKUP($R596,Capa!$A:$AJ,BN$5,0)),0,1/VLOOKUP($R596,Capa!$A:$AJ,BN$5,0))))</f>
        <v/>
      </c>
      <c r="BO596" s="174" t="str">
        <f>IF(BO$6="","",IF(BO$3="Maior",iferror(VLOOKUP($R596,Capa!$A:$AJ,BO$5,0),0),IF(ISERROR(1/VLOOKUP($R596,Capa!$A:$AJ,BO$5,0)),0,1/VLOOKUP($R596,Capa!$A:$AJ,BO$5,0))))</f>
        <v/>
      </c>
      <c r="BP596" s="174" t="str">
        <f>IF(BP$6="","",IF(BP$3="Maior",iferror(VLOOKUP($R596,Capa!$A:$AJ,BP$5,0),0),IF(ISERROR(1/VLOOKUP($R596,Capa!$A:$AJ,BP$5,0)),0,1/VLOOKUP($R596,Capa!$A:$AJ,BP$5,0))))</f>
        <v/>
      </c>
      <c r="BQ596" s="174" t="str">
        <f>IF(BQ$6="","",IF(BQ$3="Maior",iferror(VLOOKUP($R596,Capa!$A:$AJ,BQ$5,0),0),IF(ISERROR(1/VLOOKUP($R596,Capa!$A:$AJ,BQ$5,0)),0,1/VLOOKUP($R596,Capa!$A:$AJ,BQ$5,0))))</f>
        <v/>
      </c>
      <c r="BR596" s="175"/>
      <c r="BS596" s="147"/>
    </row>
    <row r="597">
      <c r="H597" s="8">
        <v>591.0</v>
      </c>
      <c r="I597" s="165" t="str">
        <f t="shared" si="6"/>
        <v>CTSA4</v>
      </c>
      <c r="J597" s="166" t="str">
        <f>(VLOOKUP($I597,Capa!$A:$B,2,0))</f>
        <v>Companhia Tecidos Santanense Preference Shares</v>
      </c>
      <c r="K597" s="167" t="str">
        <f>VLOOKUP(left(I597,4),Setor!A:D,3,0)&amp;" | "&amp;VLOOKUP(left(I597,4),Setor!A:D,4,0)</f>
        <v>Consumo Cíclico | Tecidos, Vestuário e Calçados</v>
      </c>
      <c r="L597" s="168">
        <f>(VLOOKUP($I597,Capa!$A:$F,6,0))</f>
        <v>1.72</v>
      </c>
      <c r="M597" s="168">
        <f t="shared" si="7"/>
        <v>985.47</v>
      </c>
      <c r="N597" s="11" t="str">
        <f>IFERROR(__xludf.DUMMYFUNCTION("(VLOOKUP($I597,Capa!$A:$H,7,0))"),"")</f>
        <v/>
      </c>
      <c r="O597" s="169">
        <f>(VLOOKUP($I597,Capa!$A:$H,8,0))</f>
        <v>-0.1886792453</v>
      </c>
      <c r="P597" s="11" t="str">
        <f>IFERROR(__xludf.DUMMYFUNCTION("(VLOOKUP($I597,Capa!$A:$J,10,0))"),"")</f>
        <v/>
      </c>
      <c r="Q597" s="169">
        <f>(VLOOKUP($I597,Capa!$A:$K,11,0))</f>
        <v>-0.5168539326</v>
      </c>
      <c r="R597" s="45" t="str">
        <f>'Dados StatusInvest'!A592</f>
        <v>USIM6</v>
      </c>
      <c r="S597" s="170">
        <f t="shared" si="234"/>
        <v>1713.0713</v>
      </c>
      <c r="T597" s="171">
        <f>VLOOKUP(R597,'Dados StatusInvest'!A:Z,26,0)</f>
        <v>800</v>
      </c>
      <c r="U597" s="172">
        <f t="shared" ref="U597:AS597" si="600">IF(AT597="","", RANK(AT597,AT$7:AT$626,0)+RANK(AT597,AT$7:AT$626,0)/10000)</f>
        <v>446.0446</v>
      </c>
      <c r="V597" s="172">
        <f t="shared" si="600"/>
        <v>267.0267</v>
      </c>
      <c r="W597" s="172" t="str">
        <f t="shared" si="600"/>
        <v/>
      </c>
      <c r="X597" s="172" t="str">
        <f t="shared" si="600"/>
        <v/>
      </c>
      <c r="Y597" s="172" t="str">
        <f t="shared" si="600"/>
        <v/>
      </c>
      <c r="Z597" s="172" t="str">
        <f t="shared" si="600"/>
        <v/>
      </c>
      <c r="AA597" s="172" t="str">
        <f t="shared" si="600"/>
        <v/>
      </c>
      <c r="AB597" s="172" t="str">
        <f t="shared" si="600"/>
        <v/>
      </c>
      <c r="AC597" s="172" t="str">
        <f t="shared" si="600"/>
        <v/>
      </c>
      <c r="AD597" s="172" t="str">
        <f t="shared" si="600"/>
        <v/>
      </c>
      <c r="AE597" s="172" t="str">
        <f t="shared" si="600"/>
        <v/>
      </c>
      <c r="AF597" s="172" t="str">
        <f t="shared" si="600"/>
        <v/>
      </c>
      <c r="AG597" s="172" t="str">
        <f t="shared" si="600"/>
        <v/>
      </c>
      <c r="AH597" s="172" t="str">
        <f t="shared" si="600"/>
        <v/>
      </c>
      <c r="AI597" s="172" t="str">
        <f t="shared" si="600"/>
        <v/>
      </c>
      <c r="AJ597" s="172" t="str">
        <f t="shared" si="600"/>
        <v/>
      </c>
      <c r="AK597" s="172" t="str">
        <f t="shared" si="600"/>
        <v/>
      </c>
      <c r="AL597" s="172" t="str">
        <f t="shared" si="600"/>
        <v/>
      </c>
      <c r="AM597" s="172" t="str">
        <f t="shared" si="600"/>
        <v/>
      </c>
      <c r="AN597" s="172" t="str">
        <f t="shared" si="600"/>
        <v/>
      </c>
      <c r="AO597" s="172" t="str">
        <f t="shared" si="600"/>
        <v/>
      </c>
      <c r="AP597" s="172" t="str">
        <f t="shared" si="600"/>
        <v/>
      </c>
      <c r="AQ597" s="172" t="str">
        <f t="shared" si="600"/>
        <v/>
      </c>
      <c r="AR597" s="172" t="str">
        <f t="shared" si="600"/>
        <v/>
      </c>
      <c r="AS597" s="172" t="str">
        <f t="shared" si="600"/>
        <v/>
      </c>
      <c r="AT597" s="173">
        <f>IF(AT$6="","",IF(AT$3="Maior",iferror(VLOOKUP($R597,Capa!$A:$AJ,AT$5,0),0),IF(ISERROR(1/VLOOKUP($R597,Capa!$A:$AJ,AT$5,0)),0,1/VLOOKUP($R597,Capa!$A:$AJ,AT$5,0))))</f>
        <v>-1.886792453</v>
      </c>
      <c r="AU597" s="174">
        <f>IF(AU$6="","",IF(AU$3="Maior",iferror(VLOOKUP($R597,Capa!$A:$AJ,AU$5,0),0),IF(ISERROR(1/VLOOKUP($R597,Capa!$A:$AJ,AU$5,0)),0,1/VLOOKUP($R597,Capa!$A:$AJ,AU$5,0))))</f>
        <v>0</v>
      </c>
      <c r="AV597" s="174" t="str">
        <f>IF(AV$6="","",IF(AV$3="Maior",iferror(VLOOKUP($R597,Capa!$A:$AJ,AV$5,0),0),IF(ISERROR(1/VLOOKUP($R597,Capa!$A:$AJ,AV$5,0)),0,1/VLOOKUP($R597,Capa!$A:$AJ,AV$5,0))))</f>
        <v/>
      </c>
      <c r="AW597" s="174" t="str">
        <f>IF(AW$6="","",IF(AW$3="Maior",iferror(VLOOKUP($R597,Capa!$A:$AJ,AW$5,0),0),IF(ISERROR(1/VLOOKUP($R597,Capa!$A:$AJ,AW$5,0)),0,1/VLOOKUP($R597,Capa!$A:$AJ,AW$5,0))))</f>
        <v/>
      </c>
      <c r="AX597" s="174" t="str">
        <f>IF(AX$6="","",IF(AX$3="Maior",iferror(VLOOKUP($R597,Capa!$A:$AJ,AX$5,0),0),IF(ISERROR(1/VLOOKUP($R597,Capa!$A:$AJ,AX$5,0)),0,1/VLOOKUP($R597,Capa!$A:$AJ,AX$5,0))))</f>
        <v/>
      </c>
      <c r="AY597" s="174" t="str">
        <f>IF(AY$6="","",IF(AY$3="Maior",iferror(VLOOKUP($R597,Capa!$A:$AJ,AY$5,0),0),IF(ISERROR(1/VLOOKUP($R597,Capa!$A:$AJ,AY$5,0)),0,1/VLOOKUP($R597,Capa!$A:$AJ,AY$5,0))))</f>
        <v/>
      </c>
      <c r="AZ597" s="174" t="str">
        <f>IF(AZ$6="","",IF(AZ$3="Maior",iferror(VLOOKUP($R597,Capa!$A:$AJ,AZ$5,0),0),IF(ISERROR(1/VLOOKUP($R597,Capa!$A:$AJ,AZ$5,0)),0,1/VLOOKUP($R597,Capa!$A:$AJ,AZ$5,0))))</f>
        <v/>
      </c>
      <c r="BA597" s="174" t="str">
        <f>IF(BA$6="","",IF(BA$3="Maior",iferror(VLOOKUP($R597,Capa!$A:$AJ,BA$5,0),0),IF(ISERROR(1/VLOOKUP($R597,Capa!$A:$AJ,BA$5,0)),0,1/VLOOKUP($R597,Capa!$A:$AJ,BA$5,0))))</f>
        <v/>
      </c>
      <c r="BB597" s="174" t="str">
        <f>IF(BB$6="","",IF(BB$3="Maior",iferror(VLOOKUP($R597,Capa!$A:$AJ,BB$5,0),0),IF(ISERROR(1/VLOOKUP($R597,Capa!$A:$AJ,BB$5,0)),0,1/VLOOKUP($R597,Capa!$A:$AJ,BB$5,0))))</f>
        <v/>
      </c>
      <c r="BC597" s="174" t="str">
        <f>IF(BC$6="","",IF(BC$3="Maior",iferror(VLOOKUP($R597,Capa!$A:$AJ,BC$5,0),0),IF(ISERROR(1/VLOOKUP($R597,Capa!$A:$AJ,BC$5,0)),0,1/VLOOKUP($R597,Capa!$A:$AJ,BC$5,0))))</f>
        <v/>
      </c>
      <c r="BD597" s="174" t="str">
        <f>IF(BD$6="","",IF(BD$3="Maior",iferror(VLOOKUP($R597,Capa!$A:$AJ,BD$5,0),0),IF(ISERROR(1/VLOOKUP($R597,Capa!$A:$AJ,BD$5,0)),0,1/VLOOKUP($R597,Capa!$A:$AJ,BD$5,0))))</f>
        <v/>
      </c>
      <c r="BE597" s="174" t="str">
        <f>IF(BE$6="","",IF(BE$3="Maior",iferror(VLOOKUP($R597,Capa!$A:$AJ,BE$5,0),0),IF(ISERROR(1/VLOOKUP($R597,Capa!$A:$AJ,BE$5,0)),0,1/VLOOKUP($R597,Capa!$A:$AJ,BE$5,0))))</f>
        <v/>
      </c>
      <c r="BF597" s="174" t="str">
        <f>IF(BF$6="","",IF(BF$3="Maior",iferror(VLOOKUP($R597,Capa!$A:$AJ,BF$5,0),0),IF(ISERROR(1/VLOOKUP($R597,Capa!$A:$AJ,BF$5,0)),0,1/VLOOKUP($R597,Capa!$A:$AJ,BF$5,0))))</f>
        <v/>
      </c>
      <c r="BG597" s="174" t="str">
        <f>IF(BG$6="","",IF(BG$3="Maior",iferror(VLOOKUP($R597,Capa!$A:$AJ,BG$5,0),0),IF(ISERROR(1/VLOOKUP($R597,Capa!$A:$AJ,BG$5,0)),0,1/VLOOKUP($R597,Capa!$A:$AJ,BG$5,0))))</f>
        <v/>
      </c>
      <c r="BH597" s="174" t="str">
        <f>IF(BH$6="","",IF(BH$3="Maior",iferror(VLOOKUP($R597,Capa!$A:$AJ,BH$5,0),0),IF(ISERROR(1/VLOOKUP($R597,Capa!$A:$AJ,BH$5,0)),0,1/VLOOKUP($R597,Capa!$A:$AJ,BH$5,0))))</f>
        <v/>
      </c>
      <c r="BI597" s="174" t="str">
        <f>IF(BI$6="","",IF(BI$3="Maior",iferror(VLOOKUP($R597,Capa!$A:$AJ,BI$5,0),0),IF(ISERROR(1/VLOOKUP($R597,Capa!$A:$AJ,BI$5,0)),0,1/VLOOKUP($R597,Capa!$A:$AJ,BI$5,0))))</f>
        <v/>
      </c>
      <c r="BJ597" s="174" t="str">
        <f>IF(BJ$6="","",IF(BJ$3="Maior",iferror(VLOOKUP($R597,Capa!$A:$AJ,BJ$5,0),0),IF(ISERROR(1/VLOOKUP($R597,Capa!$A:$AJ,BJ$5,0)),0,1/VLOOKUP($R597,Capa!$A:$AJ,BJ$5,0))))</f>
        <v/>
      </c>
      <c r="BK597" s="174" t="str">
        <f>IF(BK$6="","",IF(BK$3="Maior",iferror(VLOOKUP($R597,Capa!$A:$AJ,BK$5,0),0),IF(ISERROR(1/VLOOKUP($R597,Capa!$A:$AJ,BK$5,0)),0,1/VLOOKUP($R597,Capa!$A:$AJ,BK$5,0))))</f>
        <v/>
      </c>
      <c r="BL597" s="174" t="str">
        <f>IF(BL$6="","",IF(BL$3="Maior",iferror(VLOOKUP($R597,Capa!$A:$AJ,BL$5,0),0),IF(ISERROR(1/VLOOKUP($R597,Capa!$A:$AJ,BL$5,0)),0,1/VLOOKUP($R597,Capa!$A:$AJ,BL$5,0))))</f>
        <v/>
      </c>
      <c r="BM597" s="174" t="str">
        <f>IF(BM$6="","",IF(BM$3="Maior",iferror(VLOOKUP($R597,Capa!$A:$AJ,BM$5,0),0),IF(ISERROR(1/VLOOKUP($R597,Capa!$A:$AJ,BM$5,0)),0,1/VLOOKUP($R597,Capa!$A:$AJ,BM$5,0))))</f>
        <v/>
      </c>
      <c r="BN597" s="174" t="str">
        <f>IF(BN$6="","",IF(BN$3="Maior",iferror(VLOOKUP($R597,Capa!$A:$AJ,BN$5,0),0),IF(ISERROR(1/VLOOKUP($R597,Capa!$A:$AJ,BN$5,0)),0,1/VLOOKUP($R597,Capa!$A:$AJ,BN$5,0))))</f>
        <v/>
      </c>
      <c r="BO597" s="174" t="str">
        <f>IF(BO$6="","",IF(BO$3="Maior",iferror(VLOOKUP($R597,Capa!$A:$AJ,BO$5,0),0),IF(ISERROR(1/VLOOKUP($R597,Capa!$A:$AJ,BO$5,0)),0,1/VLOOKUP($R597,Capa!$A:$AJ,BO$5,0))))</f>
        <v/>
      </c>
      <c r="BP597" s="174" t="str">
        <f>IF(BP$6="","",IF(BP$3="Maior",iferror(VLOOKUP($R597,Capa!$A:$AJ,BP$5,0),0),IF(ISERROR(1/VLOOKUP($R597,Capa!$A:$AJ,BP$5,0)),0,1/VLOOKUP($R597,Capa!$A:$AJ,BP$5,0))))</f>
        <v/>
      </c>
      <c r="BQ597" s="174" t="str">
        <f>IF(BQ$6="","",IF(BQ$3="Maior",iferror(VLOOKUP($R597,Capa!$A:$AJ,BQ$5,0),0),IF(ISERROR(1/VLOOKUP($R597,Capa!$A:$AJ,BQ$5,0)),0,1/VLOOKUP($R597,Capa!$A:$AJ,BQ$5,0))))</f>
        <v/>
      </c>
      <c r="BR597" s="175"/>
      <c r="BS597" s="147"/>
    </row>
    <row r="598">
      <c r="H598" s="8">
        <v>592.0</v>
      </c>
      <c r="I598" s="165" t="str">
        <f t="shared" si="6"/>
        <v>FBMC4</v>
      </c>
      <c r="J598" s="166" t="str">
        <f>(VLOOKUP($I598,Capa!$A:$B,2,0))</f>
        <v/>
      </c>
      <c r="K598" s="167" t="str">
        <f>VLOOKUP(left(I598,4),Setor!A:D,3,0)&amp;" | "&amp;VLOOKUP(left(I598,4),Setor!A:D,4,0)</f>
        <v>#N/A</v>
      </c>
      <c r="L598" s="168" t="str">
        <f>(VLOOKUP($I598,Capa!$A:$F,6,0))</f>
        <v/>
      </c>
      <c r="M598" s="168">
        <f t="shared" si="7"/>
        <v>0</v>
      </c>
      <c r="N598" s="11" t="str">
        <f>(VLOOKUP($I598,Capa!$A:$H,7,0))</f>
        <v/>
      </c>
      <c r="O598" s="169" t="str">
        <f>(VLOOKUP($I598,Capa!$A:$H,8,0))</f>
        <v/>
      </c>
      <c r="P598" s="11" t="str">
        <f>(VLOOKUP($I598,Capa!$A:$J,10,0))</f>
        <v/>
      </c>
      <c r="Q598" s="169" t="str">
        <f>(VLOOKUP($I598,Capa!$A:$K,11,0))</f>
        <v/>
      </c>
      <c r="R598" s="45" t="str">
        <f>'Dados StatusInvest'!A593</f>
        <v>VALE3</v>
      </c>
      <c r="S598" s="170">
        <f t="shared" si="234"/>
        <v>313.0313</v>
      </c>
      <c r="T598" s="171">
        <f>VLOOKUP(R598,'Dados StatusInvest'!A:Z,26,0)</f>
        <v>3100000000</v>
      </c>
      <c r="U598" s="172">
        <f t="shared" ref="U598:AS598" si="601">IF(AT598="","", RANK(AT598,AT$7:AT$626,0)+RANK(AT598,AT$7:AT$626,0)/10000)</f>
        <v>46.0046</v>
      </c>
      <c r="V598" s="172">
        <f t="shared" si="601"/>
        <v>267.0267</v>
      </c>
      <c r="W598" s="172" t="str">
        <f t="shared" si="601"/>
        <v/>
      </c>
      <c r="X598" s="172" t="str">
        <f t="shared" si="601"/>
        <v/>
      </c>
      <c r="Y598" s="172" t="str">
        <f t="shared" si="601"/>
        <v/>
      </c>
      <c r="Z598" s="172" t="str">
        <f t="shared" si="601"/>
        <v/>
      </c>
      <c r="AA598" s="172" t="str">
        <f t="shared" si="601"/>
        <v/>
      </c>
      <c r="AB598" s="172" t="str">
        <f t="shared" si="601"/>
        <v/>
      </c>
      <c r="AC598" s="172" t="str">
        <f t="shared" si="601"/>
        <v/>
      </c>
      <c r="AD598" s="172" t="str">
        <f t="shared" si="601"/>
        <v/>
      </c>
      <c r="AE598" s="172" t="str">
        <f t="shared" si="601"/>
        <v/>
      </c>
      <c r="AF598" s="172" t="str">
        <f t="shared" si="601"/>
        <v/>
      </c>
      <c r="AG598" s="172" t="str">
        <f t="shared" si="601"/>
        <v/>
      </c>
      <c r="AH598" s="172" t="str">
        <f t="shared" si="601"/>
        <v/>
      </c>
      <c r="AI598" s="172" t="str">
        <f t="shared" si="601"/>
        <v/>
      </c>
      <c r="AJ598" s="172" t="str">
        <f t="shared" si="601"/>
        <v/>
      </c>
      <c r="AK598" s="172" t="str">
        <f t="shared" si="601"/>
        <v/>
      </c>
      <c r="AL598" s="172" t="str">
        <f t="shared" si="601"/>
        <v/>
      </c>
      <c r="AM598" s="172" t="str">
        <f t="shared" si="601"/>
        <v/>
      </c>
      <c r="AN598" s="172" t="str">
        <f t="shared" si="601"/>
        <v/>
      </c>
      <c r="AO598" s="172" t="str">
        <f t="shared" si="601"/>
        <v/>
      </c>
      <c r="AP598" s="172" t="str">
        <f t="shared" si="601"/>
        <v/>
      </c>
      <c r="AQ598" s="172" t="str">
        <f t="shared" si="601"/>
        <v/>
      </c>
      <c r="AR598" s="172" t="str">
        <f t="shared" si="601"/>
        <v/>
      </c>
      <c r="AS598" s="172" t="str">
        <f t="shared" si="601"/>
        <v/>
      </c>
      <c r="AT598" s="173">
        <f>IF(AT$6="","",IF(AT$3="Maior",iferror(VLOOKUP($R598,Capa!$A:$AJ,AT$5,0),0),IF(ISERROR(1/VLOOKUP($R598,Capa!$A:$AJ,AT$5,0)),0,1/VLOOKUP($R598,Capa!$A:$AJ,AT$5,0))))</f>
        <v>0.0001603487983</v>
      </c>
      <c r="AU598" s="174">
        <f>IF(AU$6="","",IF(AU$3="Maior",iferror(VLOOKUP($R598,Capa!$A:$AJ,AU$5,0),0),IF(ISERROR(1/VLOOKUP($R598,Capa!$A:$AJ,AU$5,0)),0,1/VLOOKUP($R598,Capa!$A:$AJ,AU$5,0))))</f>
        <v>0</v>
      </c>
      <c r="AV598" s="174" t="str">
        <f>IF(AV$6="","",IF(AV$3="Maior",iferror(VLOOKUP($R598,Capa!$A:$AJ,AV$5,0),0),IF(ISERROR(1/VLOOKUP($R598,Capa!$A:$AJ,AV$5,0)),0,1/VLOOKUP($R598,Capa!$A:$AJ,AV$5,0))))</f>
        <v/>
      </c>
      <c r="AW598" s="174" t="str">
        <f>IF(AW$6="","",IF(AW$3="Maior",iferror(VLOOKUP($R598,Capa!$A:$AJ,AW$5,0),0),IF(ISERROR(1/VLOOKUP($R598,Capa!$A:$AJ,AW$5,0)),0,1/VLOOKUP($R598,Capa!$A:$AJ,AW$5,0))))</f>
        <v/>
      </c>
      <c r="AX598" s="174" t="str">
        <f>IF(AX$6="","",IF(AX$3="Maior",iferror(VLOOKUP($R598,Capa!$A:$AJ,AX$5,0),0),IF(ISERROR(1/VLOOKUP($R598,Capa!$A:$AJ,AX$5,0)),0,1/VLOOKUP($R598,Capa!$A:$AJ,AX$5,0))))</f>
        <v/>
      </c>
      <c r="AY598" s="174" t="str">
        <f>IF(AY$6="","",IF(AY$3="Maior",iferror(VLOOKUP($R598,Capa!$A:$AJ,AY$5,0),0),IF(ISERROR(1/VLOOKUP($R598,Capa!$A:$AJ,AY$5,0)),0,1/VLOOKUP($R598,Capa!$A:$AJ,AY$5,0))))</f>
        <v/>
      </c>
      <c r="AZ598" s="174" t="str">
        <f>IF(AZ$6="","",IF(AZ$3="Maior",iferror(VLOOKUP($R598,Capa!$A:$AJ,AZ$5,0),0),IF(ISERROR(1/VLOOKUP($R598,Capa!$A:$AJ,AZ$5,0)),0,1/VLOOKUP($R598,Capa!$A:$AJ,AZ$5,0))))</f>
        <v/>
      </c>
      <c r="BA598" s="174" t="str">
        <f>IF(BA$6="","",IF(BA$3="Maior",iferror(VLOOKUP($R598,Capa!$A:$AJ,BA$5,0),0),IF(ISERROR(1/VLOOKUP($R598,Capa!$A:$AJ,BA$5,0)),0,1/VLOOKUP($R598,Capa!$A:$AJ,BA$5,0))))</f>
        <v/>
      </c>
      <c r="BB598" s="174" t="str">
        <f>IF(BB$6="","",IF(BB$3="Maior",iferror(VLOOKUP($R598,Capa!$A:$AJ,BB$5,0),0),IF(ISERROR(1/VLOOKUP($R598,Capa!$A:$AJ,BB$5,0)),0,1/VLOOKUP($R598,Capa!$A:$AJ,BB$5,0))))</f>
        <v/>
      </c>
      <c r="BC598" s="174" t="str">
        <f>IF(BC$6="","",IF(BC$3="Maior",iferror(VLOOKUP($R598,Capa!$A:$AJ,BC$5,0),0),IF(ISERROR(1/VLOOKUP($R598,Capa!$A:$AJ,BC$5,0)),0,1/VLOOKUP($R598,Capa!$A:$AJ,BC$5,0))))</f>
        <v/>
      </c>
      <c r="BD598" s="174" t="str">
        <f>IF(BD$6="","",IF(BD$3="Maior",iferror(VLOOKUP($R598,Capa!$A:$AJ,BD$5,0),0),IF(ISERROR(1/VLOOKUP($R598,Capa!$A:$AJ,BD$5,0)),0,1/VLOOKUP($R598,Capa!$A:$AJ,BD$5,0))))</f>
        <v/>
      </c>
      <c r="BE598" s="174" t="str">
        <f>IF(BE$6="","",IF(BE$3="Maior",iferror(VLOOKUP($R598,Capa!$A:$AJ,BE$5,0),0),IF(ISERROR(1/VLOOKUP($R598,Capa!$A:$AJ,BE$5,0)),0,1/VLOOKUP($R598,Capa!$A:$AJ,BE$5,0))))</f>
        <v/>
      </c>
      <c r="BF598" s="174" t="str">
        <f>IF(BF$6="","",IF(BF$3="Maior",iferror(VLOOKUP($R598,Capa!$A:$AJ,BF$5,0),0),IF(ISERROR(1/VLOOKUP($R598,Capa!$A:$AJ,BF$5,0)),0,1/VLOOKUP($R598,Capa!$A:$AJ,BF$5,0))))</f>
        <v/>
      </c>
      <c r="BG598" s="174" t="str">
        <f>IF(BG$6="","",IF(BG$3="Maior",iferror(VLOOKUP($R598,Capa!$A:$AJ,BG$5,0),0),IF(ISERROR(1/VLOOKUP($R598,Capa!$A:$AJ,BG$5,0)),0,1/VLOOKUP($R598,Capa!$A:$AJ,BG$5,0))))</f>
        <v/>
      </c>
      <c r="BH598" s="174" t="str">
        <f>IF(BH$6="","",IF(BH$3="Maior",iferror(VLOOKUP($R598,Capa!$A:$AJ,BH$5,0),0),IF(ISERROR(1/VLOOKUP($R598,Capa!$A:$AJ,BH$5,0)),0,1/VLOOKUP($R598,Capa!$A:$AJ,BH$5,0))))</f>
        <v/>
      </c>
      <c r="BI598" s="174" t="str">
        <f>IF(BI$6="","",IF(BI$3="Maior",iferror(VLOOKUP($R598,Capa!$A:$AJ,BI$5,0),0),IF(ISERROR(1/VLOOKUP($R598,Capa!$A:$AJ,BI$5,0)),0,1/VLOOKUP($R598,Capa!$A:$AJ,BI$5,0))))</f>
        <v/>
      </c>
      <c r="BJ598" s="174" t="str">
        <f>IF(BJ$6="","",IF(BJ$3="Maior",iferror(VLOOKUP($R598,Capa!$A:$AJ,BJ$5,0),0),IF(ISERROR(1/VLOOKUP($R598,Capa!$A:$AJ,BJ$5,0)),0,1/VLOOKUP($R598,Capa!$A:$AJ,BJ$5,0))))</f>
        <v/>
      </c>
      <c r="BK598" s="174" t="str">
        <f>IF(BK$6="","",IF(BK$3="Maior",iferror(VLOOKUP($R598,Capa!$A:$AJ,BK$5,0),0),IF(ISERROR(1/VLOOKUP($R598,Capa!$A:$AJ,BK$5,0)),0,1/VLOOKUP($R598,Capa!$A:$AJ,BK$5,0))))</f>
        <v/>
      </c>
      <c r="BL598" s="174" t="str">
        <f>IF(BL$6="","",IF(BL$3="Maior",iferror(VLOOKUP($R598,Capa!$A:$AJ,BL$5,0),0),IF(ISERROR(1/VLOOKUP($R598,Capa!$A:$AJ,BL$5,0)),0,1/VLOOKUP($R598,Capa!$A:$AJ,BL$5,0))))</f>
        <v/>
      </c>
      <c r="BM598" s="174" t="str">
        <f>IF(BM$6="","",IF(BM$3="Maior",iferror(VLOOKUP($R598,Capa!$A:$AJ,BM$5,0),0),IF(ISERROR(1/VLOOKUP($R598,Capa!$A:$AJ,BM$5,0)),0,1/VLOOKUP($R598,Capa!$A:$AJ,BM$5,0))))</f>
        <v/>
      </c>
      <c r="BN598" s="174" t="str">
        <f>IF(BN$6="","",IF(BN$3="Maior",iferror(VLOOKUP($R598,Capa!$A:$AJ,BN$5,0),0),IF(ISERROR(1/VLOOKUP($R598,Capa!$A:$AJ,BN$5,0)),0,1/VLOOKUP($R598,Capa!$A:$AJ,BN$5,0))))</f>
        <v/>
      </c>
      <c r="BO598" s="174" t="str">
        <f>IF(BO$6="","",IF(BO$3="Maior",iferror(VLOOKUP($R598,Capa!$A:$AJ,BO$5,0),0),IF(ISERROR(1/VLOOKUP($R598,Capa!$A:$AJ,BO$5,0)),0,1/VLOOKUP($R598,Capa!$A:$AJ,BO$5,0))))</f>
        <v/>
      </c>
      <c r="BP598" s="174" t="str">
        <f>IF(BP$6="","",IF(BP$3="Maior",iferror(VLOOKUP($R598,Capa!$A:$AJ,BP$5,0),0),IF(ISERROR(1/VLOOKUP($R598,Capa!$A:$AJ,BP$5,0)),0,1/VLOOKUP($R598,Capa!$A:$AJ,BP$5,0))))</f>
        <v/>
      </c>
      <c r="BQ598" s="174" t="str">
        <f>IF(BQ$6="","",IF(BQ$3="Maior",iferror(VLOOKUP($R598,Capa!$A:$AJ,BQ$5,0),0),IF(ISERROR(1/VLOOKUP($R598,Capa!$A:$AJ,BQ$5,0)),0,1/VLOOKUP($R598,Capa!$A:$AJ,BQ$5,0))))</f>
        <v/>
      </c>
      <c r="BR598" s="175"/>
      <c r="BS598" s="147"/>
    </row>
    <row r="599">
      <c r="H599" s="8">
        <v>593.0</v>
      </c>
      <c r="I599" s="165" t="str">
        <f t="shared" si="6"/>
        <v>FBMC4</v>
      </c>
      <c r="J599" s="166" t="str">
        <f>(VLOOKUP($I599,Capa!$A:$B,2,0))</f>
        <v/>
      </c>
      <c r="K599" s="167" t="str">
        <f>VLOOKUP(left(I599,4),Setor!A:D,3,0)&amp;" | "&amp;VLOOKUP(left(I599,4),Setor!A:D,4,0)</f>
        <v>#N/A</v>
      </c>
      <c r="L599" s="168" t="str">
        <f>(VLOOKUP($I599,Capa!$A:$F,6,0))</f>
        <v/>
      </c>
      <c r="M599" s="168">
        <f t="shared" si="7"/>
        <v>0</v>
      </c>
      <c r="N599" s="11" t="str">
        <f>(VLOOKUP($I599,Capa!$A:$H,7,0))</f>
        <v/>
      </c>
      <c r="O599" s="169" t="str">
        <f>(VLOOKUP($I599,Capa!$A:$H,8,0))</f>
        <v/>
      </c>
      <c r="P599" s="11" t="str">
        <f>(VLOOKUP($I599,Capa!$A:$J,10,0))</f>
        <v/>
      </c>
      <c r="Q599" s="169" t="str">
        <f>(VLOOKUP($I599,Capa!$A:$K,11,0))</f>
        <v/>
      </c>
      <c r="R599" s="45" t="str">
        <f>'Dados StatusInvest'!A594</f>
        <v>VAMO3</v>
      </c>
      <c r="S599" s="170">
        <f t="shared" si="234"/>
        <v>1045.1045</v>
      </c>
      <c r="T599" s="171">
        <f>VLOOKUP(R599,'Dados StatusInvest'!A:Z,26,0)</f>
        <v>81858244</v>
      </c>
      <c r="U599" s="172">
        <f t="shared" ref="U599:AS599" si="602">IF(AT599="","", RANK(AT599,AT$7:AT$626,0)+RANK(AT599,AT$7:AT$626,0)/10000)</f>
        <v>505.0505</v>
      </c>
      <c r="V599" s="172">
        <f t="shared" si="602"/>
        <v>540.054</v>
      </c>
      <c r="W599" s="172" t="str">
        <f t="shared" si="602"/>
        <v/>
      </c>
      <c r="X599" s="172" t="str">
        <f t="shared" si="602"/>
        <v/>
      </c>
      <c r="Y599" s="172" t="str">
        <f t="shared" si="602"/>
        <v/>
      </c>
      <c r="Z599" s="172" t="str">
        <f t="shared" si="602"/>
        <v/>
      </c>
      <c r="AA599" s="172" t="str">
        <f t="shared" si="602"/>
        <v/>
      </c>
      <c r="AB599" s="172" t="str">
        <f t="shared" si="602"/>
        <v/>
      </c>
      <c r="AC599" s="172" t="str">
        <f t="shared" si="602"/>
        <v/>
      </c>
      <c r="AD599" s="172" t="str">
        <f t="shared" si="602"/>
        <v/>
      </c>
      <c r="AE599" s="172" t="str">
        <f t="shared" si="602"/>
        <v/>
      </c>
      <c r="AF599" s="172" t="str">
        <f t="shared" si="602"/>
        <v/>
      </c>
      <c r="AG599" s="172" t="str">
        <f t="shared" si="602"/>
        <v/>
      </c>
      <c r="AH599" s="172" t="str">
        <f t="shared" si="602"/>
        <v/>
      </c>
      <c r="AI599" s="172" t="str">
        <f t="shared" si="602"/>
        <v/>
      </c>
      <c r="AJ599" s="172" t="str">
        <f t="shared" si="602"/>
        <v/>
      </c>
      <c r="AK599" s="172" t="str">
        <f t="shared" si="602"/>
        <v/>
      </c>
      <c r="AL599" s="172" t="str">
        <f t="shared" si="602"/>
        <v/>
      </c>
      <c r="AM599" s="172" t="str">
        <f t="shared" si="602"/>
        <v/>
      </c>
      <c r="AN599" s="172" t="str">
        <f t="shared" si="602"/>
        <v/>
      </c>
      <c r="AO599" s="172" t="str">
        <f t="shared" si="602"/>
        <v/>
      </c>
      <c r="AP599" s="172" t="str">
        <f t="shared" si="602"/>
        <v/>
      </c>
      <c r="AQ599" s="172" t="str">
        <f t="shared" si="602"/>
        <v/>
      </c>
      <c r="AR599" s="172" t="str">
        <f t="shared" si="602"/>
        <v/>
      </c>
      <c r="AS599" s="172" t="str">
        <f t="shared" si="602"/>
        <v/>
      </c>
      <c r="AT599" s="173">
        <f>IF(AT$6="","",IF(AT$3="Maior",iferror(VLOOKUP($R599,Capa!$A:$AJ,AT$5,0),0),IF(ISERROR(1/VLOOKUP($R599,Capa!$A:$AJ,AT$5,0)),0,1/VLOOKUP($R599,Capa!$A:$AJ,AT$5,0))))</f>
        <v>-3.333333333</v>
      </c>
      <c r="AU599" s="174">
        <f>IF(AU$6="","",IF(AU$3="Maior",iferror(VLOOKUP($R599,Capa!$A:$AJ,AU$5,0),0),IF(ISERROR(1/VLOOKUP($R599,Capa!$A:$AJ,AU$5,0)),0,1/VLOOKUP($R599,Capa!$A:$AJ,AU$5,0))))</f>
        <v>-1.26</v>
      </c>
      <c r="AV599" s="174" t="str">
        <f>IF(AV$6="","",IF(AV$3="Maior",iferror(VLOOKUP($R599,Capa!$A:$AJ,AV$5,0),0),IF(ISERROR(1/VLOOKUP($R599,Capa!$A:$AJ,AV$5,0)),0,1/VLOOKUP($R599,Capa!$A:$AJ,AV$5,0))))</f>
        <v/>
      </c>
      <c r="AW599" s="174" t="str">
        <f>IF(AW$6="","",IF(AW$3="Maior",iferror(VLOOKUP($R599,Capa!$A:$AJ,AW$5,0),0),IF(ISERROR(1/VLOOKUP($R599,Capa!$A:$AJ,AW$5,0)),0,1/VLOOKUP($R599,Capa!$A:$AJ,AW$5,0))))</f>
        <v/>
      </c>
      <c r="AX599" s="174" t="str">
        <f>IF(AX$6="","",IF(AX$3="Maior",iferror(VLOOKUP($R599,Capa!$A:$AJ,AX$5,0),0),IF(ISERROR(1/VLOOKUP($R599,Capa!$A:$AJ,AX$5,0)),0,1/VLOOKUP($R599,Capa!$A:$AJ,AX$5,0))))</f>
        <v/>
      </c>
      <c r="AY599" s="174" t="str">
        <f>IF(AY$6="","",IF(AY$3="Maior",iferror(VLOOKUP($R599,Capa!$A:$AJ,AY$5,0),0),IF(ISERROR(1/VLOOKUP($R599,Capa!$A:$AJ,AY$5,0)),0,1/VLOOKUP($R599,Capa!$A:$AJ,AY$5,0))))</f>
        <v/>
      </c>
      <c r="AZ599" s="174" t="str">
        <f>IF(AZ$6="","",IF(AZ$3="Maior",iferror(VLOOKUP($R599,Capa!$A:$AJ,AZ$5,0),0),IF(ISERROR(1/VLOOKUP($R599,Capa!$A:$AJ,AZ$5,0)),0,1/VLOOKUP($R599,Capa!$A:$AJ,AZ$5,0))))</f>
        <v/>
      </c>
      <c r="BA599" s="174" t="str">
        <f>IF(BA$6="","",IF(BA$3="Maior",iferror(VLOOKUP($R599,Capa!$A:$AJ,BA$5,0),0),IF(ISERROR(1/VLOOKUP($R599,Capa!$A:$AJ,BA$5,0)),0,1/VLOOKUP($R599,Capa!$A:$AJ,BA$5,0))))</f>
        <v/>
      </c>
      <c r="BB599" s="174" t="str">
        <f>IF(BB$6="","",IF(BB$3="Maior",iferror(VLOOKUP($R599,Capa!$A:$AJ,BB$5,0),0),IF(ISERROR(1/VLOOKUP($R599,Capa!$A:$AJ,BB$5,0)),0,1/VLOOKUP($R599,Capa!$A:$AJ,BB$5,0))))</f>
        <v/>
      </c>
      <c r="BC599" s="174" t="str">
        <f>IF(BC$6="","",IF(BC$3="Maior",iferror(VLOOKUP($R599,Capa!$A:$AJ,BC$5,0),0),IF(ISERROR(1/VLOOKUP($R599,Capa!$A:$AJ,BC$5,0)),0,1/VLOOKUP($R599,Capa!$A:$AJ,BC$5,0))))</f>
        <v/>
      </c>
      <c r="BD599" s="174" t="str">
        <f>IF(BD$6="","",IF(BD$3="Maior",iferror(VLOOKUP($R599,Capa!$A:$AJ,BD$5,0),0),IF(ISERROR(1/VLOOKUP($R599,Capa!$A:$AJ,BD$5,0)),0,1/VLOOKUP($R599,Capa!$A:$AJ,BD$5,0))))</f>
        <v/>
      </c>
      <c r="BE599" s="174" t="str">
        <f>IF(BE$6="","",IF(BE$3="Maior",iferror(VLOOKUP($R599,Capa!$A:$AJ,BE$5,0),0),IF(ISERROR(1/VLOOKUP($R599,Capa!$A:$AJ,BE$5,0)),0,1/VLOOKUP($R599,Capa!$A:$AJ,BE$5,0))))</f>
        <v/>
      </c>
      <c r="BF599" s="174" t="str">
        <f>IF(BF$6="","",IF(BF$3="Maior",iferror(VLOOKUP($R599,Capa!$A:$AJ,BF$5,0),0),IF(ISERROR(1/VLOOKUP($R599,Capa!$A:$AJ,BF$5,0)),0,1/VLOOKUP($R599,Capa!$A:$AJ,BF$5,0))))</f>
        <v/>
      </c>
      <c r="BG599" s="174" t="str">
        <f>IF(BG$6="","",IF(BG$3="Maior",iferror(VLOOKUP($R599,Capa!$A:$AJ,BG$5,0),0),IF(ISERROR(1/VLOOKUP($R599,Capa!$A:$AJ,BG$5,0)),0,1/VLOOKUP($R599,Capa!$A:$AJ,BG$5,0))))</f>
        <v/>
      </c>
      <c r="BH599" s="174" t="str">
        <f>IF(BH$6="","",IF(BH$3="Maior",iferror(VLOOKUP($R599,Capa!$A:$AJ,BH$5,0),0),IF(ISERROR(1/VLOOKUP($R599,Capa!$A:$AJ,BH$5,0)),0,1/VLOOKUP($R599,Capa!$A:$AJ,BH$5,0))))</f>
        <v/>
      </c>
      <c r="BI599" s="174" t="str">
        <f>IF(BI$6="","",IF(BI$3="Maior",iferror(VLOOKUP($R599,Capa!$A:$AJ,BI$5,0),0),IF(ISERROR(1/VLOOKUP($R599,Capa!$A:$AJ,BI$5,0)),0,1/VLOOKUP($R599,Capa!$A:$AJ,BI$5,0))))</f>
        <v/>
      </c>
      <c r="BJ599" s="174" t="str">
        <f>IF(BJ$6="","",IF(BJ$3="Maior",iferror(VLOOKUP($R599,Capa!$A:$AJ,BJ$5,0),0),IF(ISERROR(1/VLOOKUP($R599,Capa!$A:$AJ,BJ$5,0)),0,1/VLOOKUP($R599,Capa!$A:$AJ,BJ$5,0))))</f>
        <v/>
      </c>
      <c r="BK599" s="174" t="str">
        <f>IF(BK$6="","",IF(BK$3="Maior",iferror(VLOOKUP($R599,Capa!$A:$AJ,BK$5,0),0),IF(ISERROR(1/VLOOKUP($R599,Capa!$A:$AJ,BK$5,0)),0,1/VLOOKUP($R599,Capa!$A:$AJ,BK$5,0))))</f>
        <v/>
      </c>
      <c r="BL599" s="174" t="str">
        <f>IF(BL$6="","",IF(BL$3="Maior",iferror(VLOOKUP($R599,Capa!$A:$AJ,BL$5,0),0),IF(ISERROR(1/VLOOKUP($R599,Capa!$A:$AJ,BL$5,0)),0,1/VLOOKUP($R599,Capa!$A:$AJ,BL$5,0))))</f>
        <v/>
      </c>
      <c r="BM599" s="174" t="str">
        <f>IF(BM$6="","",IF(BM$3="Maior",iferror(VLOOKUP($R599,Capa!$A:$AJ,BM$5,0),0),IF(ISERROR(1/VLOOKUP($R599,Capa!$A:$AJ,BM$5,0)),0,1/VLOOKUP($R599,Capa!$A:$AJ,BM$5,0))))</f>
        <v/>
      </c>
      <c r="BN599" s="174" t="str">
        <f>IF(BN$6="","",IF(BN$3="Maior",iferror(VLOOKUP($R599,Capa!$A:$AJ,BN$5,0),0),IF(ISERROR(1/VLOOKUP($R599,Capa!$A:$AJ,BN$5,0)),0,1/VLOOKUP($R599,Capa!$A:$AJ,BN$5,0))))</f>
        <v/>
      </c>
      <c r="BO599" s="174" t="str">
        <f>IF(BO$6="","",IF(BO$3="Maior",iferror(VLOOKUP($R599,Capa!$A:$AJ,BO$5,0),0),IF(ISERROR(1/VLOOKUP($R599,Capa!$A:$AJ,BO$5,0)),0,1/VLOOKUP($R599,Capa!$A:$AJ,BO$5,0))))</f>
        <v/>
      </c>
      <c r="BP599" s="174" t="str">
        <f>IF(BP$6="","",IF(BP$3="Maior",iferror(VLOOKUP($R599,Capa!$A:$AJ,BP$5,0),0),IF(ISERROR(1/VLOOKUP($R599,Capa!$A:$AJ,BP$5,0)),0,1/VLOOKUP($R599,Capa!$A:$AJ,BP$5,0))))</f>
        <v/>
      </c>
      <c r="BQ599" s="174" t="str">
        <f>IF(BQ$6="","",IF(BQ$3="Maior",iferror(VLOOKUP($R599,Capa!$A:$AJ,BQ$5,0),0),IF(ISERROR(1/VLOOKUP($R599,Capa!$A:$AJ,BQ$5,0)),0,1/VLOOKUP($R599,Capa!$A:$AJ,BQ$5,0))))</f>
        <v/>
      </c>
      <c r="BR599" s="175"/>
      <c r="BS599" s="147"/>
    </row>
    <row r="600">
      <c r="H600" s="8">
        <v>594.0</v>
      </c>
      <c r="I600" s="165" t="str">
        <f t="shared" si="6"/>
        <v>CTNM4</v>
      </c>
      <c r="J600" s="166" t="str">
        <f>(VLOOKUP($I600,Capa!$A:$B,2,0))</f>
        <v>COTEMINAS ON</v>
      </c>
      <c r="K600" s="167" t="str">
        <f>VLOOKUP(left(I600,4),Setor!A:D,3,0)&amp;" | "&amp;VLOOKUP(left(I600,4),Setor!A:D,4,0)</f>
        <v>Consumo Cíclico | Tecidos, Vestuário e Calçados</v>
      </c>
      <c r="L600" s="168">
        <f>(VLOOKUP($I600,Capa!$A:$F,6,0))</f>
        <v>0.86</v>
      </c>
      <c r="M600" s="168">
        <f t="shared" si="7"/>
        <v>0</v>
      </c>
      <c r="N600" s="11" t="str">
        <f>(VLOOKUP($I600,Capa!$A:$H,7,0))</f>
        <v/>
      </c>
      <c r="O600" s="169" t="str">
        <f>(VLOOKUP($I600,Capa!$A:$H,8,0))</f>
        <v/>
      </c>
      <c r="P600" s="11" t="str">
        <f>(VLOOKUP($I600,Capa!$A:$J,10,0))</f>
        <v/>
      </c>
      <c r="Q600" s="169" t="str">
        <f>(VLOOKUP($I600,Capa!$A:$K,11,0))</f>
        <v/>
      </c>
      <c r="R600" s="45" t="str">
        <f>'Dados StatusInvest'!A595</f>
        <v>VBBR3</v>
      </c>
      <c r="S600" s="170">
        <f t="shared" si="234"/>
        <v>886.0886</v>
      </c>
      <c r="T600" s="171">
        <f>VLOOKUP(R600,'Dados StatusInvest'!A:Z,26,0)</f>
        <v>256000000</v>
      </c>
      <c r="U600" s="172">
        <f t="shared" ref="U600:AS600" si="603">IF(AT600="","", RANK(AT600,AT$7:AT$626,0)+RANK(AT600,AT$7:AT$626,0)/10000)</f>
        <v>341.0341</v>
      </c>
      <c r="V600" s="172">
        <f t="shared" si="603"/>
        <v>545.0545</v>
      </c>
      <c r="W600" s="172" t="str">
        <f t="shared" si="603"/>
        <v/>
      </c>
      <c r="X600" s="172" t="str">
        <f t="shared" si="603"/>
        <v/>
      </c>
      <c r="Y600" s="172" t="str">
        <f t="shared" si="603"/>
        <v/>
      </c>
      <c r="Z600" s="172" t="str">
        <f t="shared" si="603"/>
        <v/>
      </c>
      <c r="AA600" s="172" t="str">
        <f t="shared" si="603"/>
        <v/>
      </c>
      <c r="AB600" s="172" t="str">
        <f t="shared" si="603"/>
        <v/>
      </c>
      <c r="AC600" s="172" t="str">
        <f t="shared" si="603"/>
        <v/>
      </c>
      <c r="AD600" s="172" t="str">
        <f t="shared" si="603"/>
        <v/>
      </c>
      <c r="AE600" s="172" t="str">
        <f t="shared" si="603"/>
        <v/>
      </c>
      <c r="AF600" s="172" t="str">
        <f t="shared" si="603"/>
        <v/>
      </c>
      <c r="AG600" s="172" t="str">
        <f t="shared" si="603"/>
        <v/>
      </c>
      <c r="AH600" s="172" t="str">
        <f t="shared" si="603"/>
        <v/>
      </c>
      <c r="AI600" s="172" t="str">
        <f t="shared" si="603"/>
        <v/>
      </c>
      <c r="AJ600" s="172" t="str">
        <f t="shared" si="603"/>
        <v/>
      </c>
      <c r="AK600" s="172" t="str">
        <f t="shared" si="603"/>
        <v/>
      </c>
      <c r="AL600" s="172" t="str">
        <f t="shared" si="603"/>
        <v/>
      </c>
      <c r="AM600" s="172" t="str">
        <f t="shared" si="603"/>
        <v/>
      </c>
      <c r="AN600" s="172" t="str">
        <f t="shared" si="603"/>
        <v/>
      </c>
      <c r="AO600" s="172" t="str">
        <f t="shared" si="603"/>
        <v/>
      </c>
      <c r="AP600" s="172" t="str">
        <f t="shared" si="603"/>
        <v/>
      </c>
      <c r="AQ600" s="172" t="str">
        <f t="shared" si="603"/>
        <v/>
      </c>
      <c r="AR600" s="172" t="str">
        <f t="shared" si="603"/>
        <v/>
      </c>
      <c r="AS600" s="172" t="str">
        <f t="shared" si="603"/>
        <v/>
      </c>
      <c r="AT600" s="173">
        <f>IF(AT$6="","",IF(AT$3="Maior",iferror(VLOOKUP($R600,Capa!$A:$AJ,AT$5,0),0),IF(ISERROR(1/VLOOKUP($R600,Capa!$A:$AJ,AT$5,0)),0,1/VLOOKUP($R600,Capa!$A:$AJ,AT$5,0))))</f>
        <v>-0.9542030878</v>
      </c>
      <c r="AU600" s="174">
        <f>IF(AU$6="","",IF(AU$3="Maior",iferror(VLOOKUP($R600,Capa!$A:$AJ,AU$5,0),0),IF(ISERROR(1/VLOOKUP($R600,Capa!$A:$AJ,AU$5,0)),0,1/VLOOKUP($R600,Capa!$A:$AJ,AU$5,0))))</f>
        <v>-3.63</v>
      </c>
      <c r="AV600" s="174" t="str">
        <f>IF(AV$6="","",IF(AV$3="Maior",iferror(VLOOKUP($R600,Capa!$A:$AJ,AV$5,0),0),IF(ISERROR(1/VLOOKUP($R600,Capa!$A:$AJ,AV$5,0)),0,1/VLOOKUP($R600,Capa!$A:$AJ,AV$5,0))))</f>
        <v/>
      </c>
      <c r="AW600" s="174" t="str">
        <f>IF(AW$6="","",IF(AW$3="Maior",iferror(VLOOKUP($R600,Capa!$A:$AJ,AW$5,0),0),IF(ISERROR(1/VLOOKUP($R600,Capa!$A:$AJ,AW$5,0)),0,1/VLOOKUP($R600,Capa!$A:$AJ,AW$5,0))))</f>
        <v/>
      </c>
      <c r="AX600" s="174" t="str">
        <f>IF(AX$6="","",IF(AX$3="Maior",iferror(VLOOKUP($R600,Capa!$A:$AJ,AX$5,0),0),IF(ISERROR(1/VLOOKUP($R600,Capa!$A:$AJ,AX$5,0)),0,1/VLOOKUP($R600,Capa!$A:$AJ,AX$5,0))))</f>
        <v/>
      </c>
      <c r="AY600" s="174" t="str">
        <f>IF(AY$6="","",IF(AY$3="Maior",iferror(VLOOKUP($R600,Capa!$A:$AJ,AY$5,0),0),IF(ISERROR(1/VLOOKUP($R600,Capa!$A:$AJ,AY$5,0)),0,1/VLOOKUP($R600,Capa!$A:$AJ,AY$5,0))))</f>
        <v/>
      </c>
      <c r="AZ600" s="174" t="str">
        <f>IF(AZ$6="","",IF(AZ$3="Maior",iferror(VLOOKUP($R600,Capa!$A:$AJ,AZ$5,0),0),IF(ISERROR(1/VLOOKUP($R600,Capa!$A:$AJ,AZ$5,0)),0,1/VLOOKUP($R600,Capa!$A:$AJ,AZ$5,0))))</f>
        <v/>
      </c>
      <c r="BA600" s="174" t="str">
        <f>IF(BA$6="","",IF(BA$3="Maior",iferror(VLOOKUP($R600,Capa!$A:$AJ,BA$5,0),0),IF(ISERROR(1/VLOOKUP($R600,Capa!$A:$AJ,BA$5,0)),0,1/VLOOKUP($R600,Capa!$A:$AJ,BA$5,0))))</f>
        <v/>
      </c>
      <c r="BB600" s="174" t="str">
        <f>IF(BB$6="","",IF(BB$3="Maior",iferror(VLOOKUP($R600,Capa!$A:$AJ,BB$5,0),0),IF(ISERROR(1/VLOOKUP($R600,Capa!$A:$AJ,BB$5,0)),0,1/VLOOKUP($R600,Capa!$A:$AJ,BB$5,0))))</f>
        <v/>
      </c>
      <c r="BC600" s="174" t="str">
        <f>IF(BC$6="","",IF(BC$3="Maior",iferror(VLOOKUP($R600,Capa!$A:$AJ,BC$5,0),0),IF(ISERROR(1/VLOOKUP($R600,Capa!$A:$AJ,BC$5,0)),0,1/VLOOKUP($R600,Capa!$A:$AJ,BC$5,0))))</f>
        <v/>
      </c>
      <c r="BD600" s="174" t="str">
        <f>IF(BD$6="","",IF(BD$3="Maior",iferror(VLOOKUP($R600,Capa!$A:$AJ,BD$5,0),0),IF(ISERROR(1/VLOOKUP($R600,Capa!$A:$AJ,BD$5,0)),0,1/VLOOKUP($R600,Capa!$A:$AJ,BD$5,0))))</f>
        <v/>
      </c>
      <c r="BE600" s="174" t="str">
        <f>IF(BE$6="","",IF(BE$3="Maior",iferror(VLOOKUP($R600,Capa!$A:$AJ,BE$5,0),0),IF(ISERROR(1/VLOOKUP($R600,Capa!$A:$AJ,BE$5,0)),0,1/VLOOKUP($R600,Capa!$A:$AJ,BE$5,0))))</f>
        <v/>
      </c>
      <c r="BF600" s="174" t="str">
        <f>IF(BF$6="","",IF(BF$3="Maior",iferror(VLOOKUP($R600,Capa!$A:$AJ,BF$5,0),0),IF(ISERROR(1/VLOOKUP($R600,Capa!$A:$AJ,BF$5,0)),0,1/VLOOKUP($R600,Capa!$A:$AJ,BF$5,0))))</f>
        <v/>
      </c>
      <c r="BG600" s="174" t="str">
        <f>IF(BG$6="","",IF(BG$3="Maior",iferror(VLOOKUP($R600,Capa!$A:$AJ,BG$5,0),0),IF(ISERROR(1/VLOOKUP($R600,Capa!$A:$AJ,BG$5,0)),0,1/VLOOKUP($R600,Capa!$A:$AJ,BG$5,0))))</f>
        <v/>
      </c>
      <c r="BH600" s="174" t="str">
        <f>IF(BH$6="","",IF(BH$3="Maior",iferror(VLOOKUP($R600,Capa!$A:$AJ,BH$5,0),0),IF(ISERROR(1/VLOOKUP($R600,Capa!$A:$AJ,BH$5,0)),0,1/VLOOKUP($R600,Capa!$A:$AJ,BH$5,0))))</f>
        <v/>
      </c>
      <c r="BI600" s="174" t="str">
        <f>IF(BI$6="","",IF(BI$3="Maior",iferror(VLOOKUP($R600,Capa!$A:$AJ,BI$5,0),0),IF(ISERROR(1/VLOOKUP($R600,Capa!$A:$AJ,BI$5,0)),0,1/VLOOKUP($R600,Capa!$A:$AJ,BI$5,0))))</f>
        <v/>
      </c>
      <c r="BJ600" s="174" t="str">
        <f>IF(BJ$6="","",IF(BJ$3="Maior",iferror(VLOOKUP($R600,Capa!$A:$AJ,BJ$5,0),0),IF(ISERROR(1/VLOOKUP($R600,Capa!$A:$AJ,BJ$5,0)),0,1/VLOOKUP($R600,Capa!$A:$AJ,BJ$5,0))))</f>
        <v/>
      </c>
      <c r="BK600" s="174" t="str">
        <f>IF(BK$6="","",IF(BK$3="Maior",iferror(VLOOKUP($R600,Capa!$A:$AJ,BK$5,0),0),IF(ISERROR(1/VLOOKUP($R600,Capa!$A:$AJ,BK$5,0)),0,1/VLOOKUP($R600,Capa!$A:$AJ,BK$5,0))))</f>
        <v/>
      </c>
      <c r="BL600" s="174" t="str">
        <f>IF(BL$6="","",IF(BL$3="Maior",iferror(VLOOKUP($R600,Capa!$A:$AJ,BL$5,0),0),IF(ISERROR(1/VLOOKUP($R600,Capa!$A:$AJ,BL$5,0)),0,1/VLOOKUP($R600,Capa!$A:$AJ,BL$5,0))))</f>
        <v/>
      </c>
      <c r="BM600" s="174" t="str">
        <f>IF(BM$6="","",IF(BM$3="Maior",iferror(VLOOKUP($R600,Capa!$A:$AJ,BM$5,0),0),IF(ISERROR(1/VLOOKUP($R600,Capa!$A:$AJ,BM$5,0)),0,1/VLOOKUP($R600,Capa!$A:$AJ,BM$5,0))))</f>
        <v/>
      </c>
      <c r="BN600" s="174" t="str">
        <f>IF(BN$6="","",IF(BN$3="Maior",iferror(VLOOKUP($R600,Capa!$A:$AJ,BN$5,0),0),IF(ISERROR(1/VLOOKUP($R600,Capa!$A:$AJ,BN$5,0)),0,1/VLOOKUP($R600,Capa!$A:$AJ,BN$5,0))))</f>
        <v/>
      </c>
      <c r="BO600" s="174" t="str">
        <f>IF(BO$6="","",IF(BO$3="Maior",iferror(VLOOKUP($R600,Capa!$A:$AJ,BO$5,0),0),IF(ISERROR(1/VLOOKUP($R600,Capa!$A:$AJ,BO$5,0)),0,1/VLOOKUP($R600,Capa!$A:$AJ,BO$5,0))))</f>
        <v/>
      </c>
      <c r="BP600" s="174" t="str">
        <f>IF(BP$6="","",IF(BP$3="Maior",iferror(VLOOKUP($R600,Capa!$A:$AJ,BP$5,0),0),IF(ISERROR(1/VLOOKUP($R600,Capa!$A:$AJ,BP$5,0)),0,1/VLOOKUP($R600,Capa!$A:$AJ,BP$5,0))))</f>
        <v/>
      </c>
      <c r="BQ600" s="174" t="str">
        <f>IF(BQ$6="","",IF(BQ$3="Maior",iferror(VLOOKUP($R600,Capa!$A:$AJ,BQ$5,0),0),IF(ISERROR(1/VLOOKUP($R600,Capa!$A:$AJ,BQ$5,0)),0,1/VLOOKUP($R600,Capa!$A:$AJ,BQ$5,0))))</f>
        <v/>
      </c>
      <c r="BR600" s="175"/>
      <c r="BS600" s="147"/>
    </row>
    <row r="601">
      <c r="H601" s="8">
        <v>595.0</v>
      </c>
      <c r="I601" s="165" t="str">
        <f t="shared" si="6"/>
        <v>CTNM4</v>
      </c>
      <c r="J601" s="166" t="str">
        <f>(VLOOKUP($I601,Capa!$A:$B,2,0))</f>
        <v>COTEMINAS ON</v>
      </c>
      <c r="K601" s="167" t="str">
        <f>VLOOKUP(left(I601,4),Setor!A:D,3,0)&amp;" | "&amp;VLOOKUP(left(I601,4),Setor!A:D,4,0)</f>
        <v>Consumo Cíclico | Tecidos, Vestuário e Calçados</v>
      </c>
      <c r="L601" s="168">
        <f>(VLOOKUP($I601,Capa!$A:$F,6,0))</f>
        <v>0.86</v>
      </c>
      <c r="M601" s="168">
        <f t="shared" si="7"/>
        <v>0</v>
      </c>
      <c r="N601" s="11" t="str">
        <f>(VLOOKUP($I601,Capa!$A:$H,7,0))</f>
        <v/>
      </c>
      <c r="O601" s="169" t="str">
        <f>(VLOOKUP($I601,Capa!$A:$H,8,0))</f>
        <v/>
      </c>
      <c r="P601" s="11" t="str">
        <f>(VLOOKUP($I601,Capa!$A:$J,10,0))</f>
        <v/>
      </c>
      <c r="Q601" s="169" t="str">
        <f>(VLOOKUP($I601,Capa!$A:$K,11,0))</f>
        <v/>
      </c>
      <c r="R601" s="45" t="str">
        <f>'Dados StatusInvest'!A596</f>
        <v>VITT3</v>
      </c>
      <c r="S601" s="170">
        <f t="shared" si="234"/>
        <v>542.0542</v>
      </c>
      <c r="T601" s="171">
        <f>VLOOKUP(R601,'Dados StatusInvest'!A:Z,26,0)</f>
        <v>1148546</v>
      </c>
      <c r="U601" s="172">
        <f t="shared" ref="U601:AS601" si="604">IF(AT601="","", RANK(AT601,AT$7:AT$626,0)+RANK(AT601,AT$7:AT$626,0)/10000)</f>
        <v>287.0287</v>
      </c>
      <c r="V601" s="172">
        <f t="shared" si="604"/>
        <v>255.0255</v>
      </c>
      <c r="W601" s="172" t="str">
        <f t="shared" si="604"/>
        <v/>
      </c>
      <c r="X601" s="172" t="str">
        <f t="shared" si="604"/>
        <v/>
      </c>
      <c r="Y601" s="172" t="str">
        <f t="shared" si="604"/>
        <v/>
      </c>
      <c r="Z601" s="172" t="str">
        <f t="shared" si="604"/>
        <v/>
      </c>
      <c r="AA601" s="172" t="str">
        <f t="shared" si="604"/>
        <v/>
      </c>
      <c r="AB601" s="172" t="str">
        <f t="shared" si="604"/>
        <v/>
      </c>
      <c r="AC601" s="172" t="str">
        <f t="shared" si="604"/>
        <v/>
      </c>
      <c r="AD601" s="172" t="str">
        <f t="shared" si="604"/>
        <v/>
      </c>
      <c r="AE601" s="172" t="str">
        <f t="shared" si="604"/>
        <v/>
      </c>
      <c r="AF601" s="172" t="str">
        <f t="shared" si="604"/>
        <v/>
      </c>
      <c r="AG601" s="172" t="str">
        <f t="shared" si="604"/>
        <v/>
      </c>
      <c r="AH601" s="172" t="str">
        <f t="shared" si="604"/>
        <v/>
      </c>
      <c r="AI601" s="172" t="str">
        <f t="shared" si="604"/>
        <v/>
      </c>
      <c r="AJ601" s="172" t="str">
        <f t="shared" si="604"/>
        <v/>
      </c>
      <c r="AK601" s="172" t="str">
        <f t="shared" si="604"/>
        <v/>
      </c>
      <c r="AL601" s="172" t="str">
        <f t="shared" si="604"/>
        <v/>
      </c>
      <c r="AM601" s="172" t="str">
        <f t="shared" si="604"/>
        <v/>
      </c>
      <c r="AN601" s="172" t="str">
        <f t="shared" si="604"/>
        <v/>
      </c>
      <c r="AO601" s="172" t="str">
        <f t="shared" si="604"/>
        <v/>
      </c>
      <c r="AP601" s="172" t="str">
        <f t="shared" si="604"/>
        <v/>
      </c>
      <c r="AQ601" s="172" t="str">
        <f t="shared" si="604"/>
        <v/>
      </c>
      <c r="AR601" s="172" t="str">
        <f t="shared" si="604"/>
        <v/>
      </c>
      <c r="AS601" s="172" t="str">
        <f t="shared" si="604"/>
        <v/>
      </c>
      <c r="AT601" s="173">
        <f>IF(AT$6="","",IF(AT$3="Maior",iferror(VLOOKUP($R601,Capa!$A:$AJ,AT$5,0),0),IF(ISERROR(1/VLOOKUP($R601,Capa!$A:$AJ,AT$5,0)),0,1/VLOOKUP($R601,Capa!$A:$AJ,AT$5,0))))</f>
        <v>-0.6179118527</v>
      </c>
      <c r="AU601" s="174">
        <f>IF(AU$6="","",IF(AU$3="Maior",iferror(VLOOKUP($R601,Capa!$A:$AJ,AU$5,0),0),IF(ISERROR(1/VLOOKUP($R601,Capa!$A:$AJ,AU$5,0)),0,1/VLOOKUP($R601,Capa!$A:$AJ,AU$5,0))))</f>
        <v>2.22</v>
      </c>
      <c r="AV601" s="174" t="str">
        <f>IF(AV$6="","",IF(AV$3="Maior",iferror(VLOOKUP($R601,Capa!$A:$AJ,AV$5,0),0),IF(ISERROR(1/VLOOKUP($R601,Capa!$A:$AJ,AV$5,0)),0,1/VLOOKUP($R601,Capa!$A:$AJ,AV$5,0))))</f>
        <v/>
      </c>
      <c r="AW601" s="174" t="str">
        <f>IF(AW$6="","",IF(AW$3="Maior",iferror(VLOOKUP($R601,Capa!$A:$AJ,AW$5,0),0),IF(ISERROR(1/VLOOKUP($R601,Capa!$A:$AJ,AW$5,0)),0,1/VLOOKUP($R601,Capa!$A:$AJ,AW$5,0))))</f>
        <v/>
      </c>
      <c r="AX601" s="174" t="str">
        <f>IF(AX$6="","",IF(AX$3="Maior",iferror(VLOOKUP($R601,Capa!$A:$AJ,AX$5,0),0),IF(ISERROR(1/VLOOKUP($R601,Capa!$A:$AJ,AX$5,0)),0,1/VLOOKUP($R601,Capa!$A:$AJ,AX$5,0))))</f>
        <v/>
      </c>
      <c r="AY601" s="174" t="str">
        <f>IF(AY$6="","",IF(AY$3="Maior",iferror(VLOOKUP($R601,Capa!$A:$AJ,AY$5,0),0),IF(ISERROR(1/VLOOKUP($R601,Capa!$A:$AJ,AY$5,0)),0,1/VLOOKUP($R601,Capa!$A:$AJ,AY$5,0))))</f>
        <v/>
      </c>
      <c r="AZ601" s="174" t="str">
        <f>IF(AZ$6="","",IF(AZ$3="Maior",iferror(VLOOKUP($R601,Capa!$A:$AJ,AZ$5,0),0),IF(ISERROR(1/VLOOKUP($R601,Capa!$A:$AJ,AZ$5,0)),0,1/VLOOKUP($R601,Capa!$A:$AJ,AZ$5,0))))</f>
        <v/>
      </c>
      <c r="BA601" s="174" t="str">
        <f>IF(BA$6="","",IF(BA$3="Maior",iferror(VLOOKUP($R601,Capa!$A:$AJ,BA$5,0),0),IF(ISERROR(1/VLOOKUP($R601,Capa!$A:$AJ,BA$5,0)),0,1/VLOOKUP($R601,Capa!$A:$AJ,BA$5,0))))</f>
        <v/>
      </c>
      <c r="BB601" s="174" t="str">
        <f>IF(BB$6="","",IF(BB$3="Maior",iferror(VLOOKUP($R601,Capa!$A:$AJ,BB$5,0),0),IF(ISERROR(1/VLOOKUP($R601,Capa!$A:$AJ,BB$5,0)),0,1/VLOOKUP($R601,Capa!$A:$AJ,BB$5,0))))</f>
        <v/>
      </c>
      <c r="BC601" s="174" t="str">
        <f>IF(BC$6="","",IF(BC$3="Maior",iferror(VLOOKUP($R601,Capa!$A:$AJ,BC$5,0),0),IF(ISERROR(1/VLOOKUP($R601,Capa!$A:$AJ,BC$5,0)),0,1/VLOOKUP($R601,Capa!$A:$AJ,BC$5,0))))</f>
        <v/>
      </c>
      <c r="BD601" s="174" t="str">
        <f>IF(BD$6="","",IF(BD$3="Maior",iferror(VLOOKUP($R601,Capa!$A:$AJ,BD$5,0),0),IF(ISERROR(1/VLOOKUP($R601,Capa!$A:$AJ,BD$5,0)),0,1/VLOOKUP($R601,Capa!$A:$AJ,BD$5,0))))</f>
        <v/>
      </c>
      <c r="BE601" s="174" t="str">
        <f>IF(BE$6="","",IF(BE$3="Maior",iferror(VLOOKUP($R601,Capa!$A:$AJ,BE$5,0),0),IF(ISERROR(1/VLOOKUP($R601,Capa!$A:$AJ,BE$5,0)),0,1/VLOOKUP($R601,Capa!$A:$AJ,BE$5,0))))</f>
        <v/>
      </c>
      <c r="BF601" s="174" t="str">
        <f>IF(BF$6="","",IF(BF$3="Maior",iferror(VLOOKUP($R601,Capa!$A:$AJ,BF$5,0),0),IF(ISERROR(1/VLOOKUP($R601,Capa!$A:$AJ,BF$5,0)),0,1/VLOOKUP($R601,Capa!$A:$AJ,BF$5,0))))</f>
        <v/>
      </c>
      <c r="BG601" s="174" t="str">
        <f>IF(BG$6="","",IF(BG$3="Maior",iferror(VLOOKUP($R601,Capa!$A:$AJ,BG$5,0),0),IF(ISERROR(1/VLOOKUP($R601,Capa!$A:$AJ,BG$5,0)),0,1/VLOOKUP($R601,Capa!$A:$AJ,BG$5,0))))</f>
        <v/>
      </c>
      <c r="BH601" s="174" t="str">
        <f>IF(BH$6="","",IF(BH$3="Maior",iferror(VLOOKUP($R601,Capa!$A:$AJ,BH$5,0),0),IF(ISERROR(1/VLOOKUP($R601,Capa!$A:$AJ,BH$5,0)),0,1/VLOOKUP($R601,Capa!$A:$AJ,BH$5,0))))</f>
        <v/>
      </c>
      <c r="BI601" s="174" t="str">
        <f>IF(BI$6="","",IF(BI$3="Maior",iferror(VLOOKUP($R601,Capa!$A:$AJ,BI$5,0),0),IF(ISERROR(1/VLOOKUP($R601,Capa!$A:$AJ,BI$5,0)),0,1/VLOOKUP($R601,Capa!$A:$AJ,BI$5,0))))</f>
        <v/>
      </c>
      <c r="BJ601" s="174" t="str">
        <f>IF(BJ$6="","",IF(BJ$3="Maior",iferror(VLOOKUP($R601,Capa!$A:$AJ,BJ$5,0),0),IF(ISERROR(1/VLOOKUP($R601,Capa!$A:$AJ,BJ$5,0)),0,1/VLOOKUP($R601,Capa!$A:$AJ,BJ$5,0))))</f>
        <v/>
      </c>
      <c r="BK601" s="174" t="str">
        <f>IF(BK$6="","",IF(BK$3="Maior",iferror(VLOOKUP($R601,Capa!$A:$AJ,BK$5,0),0),IF(ISERROR(1/VLOOKUP($R601,Capa!$A:$AJ,BK$5,0)),0,1/VLOOKUP($R601,Capa!$A:$AJ,BK$5,0))))</f>
        <v/>
      </c>
      <c r="BL601" s="174" t="str">
        <f>IF(BL$6="","",IF(BL$3="Maior",iferror(VLOOKUP($R601,Capa!$A:$AJ,BL$5,0),0),IF(ISERROR(1/VLOOKUP($R601,Capa!$A:$AJ,BL$5,0)),0,1/VLOOKUP($R601,Capa!$A:$AJ,BL$5,0))))</f>
        <v/>
      </c>
      <c r="BM601" s="174" t="str">
        <f>IF(BM$6="","",IF(BM$3="Maior",iferror(VLOOKUP($R601,Capa!$A:$AJ,BM$5,0),0),IF(ISERROR(1/VLOOKUP($R601,Capa!$A:$AJ,BM$5,0)),0,1/VLOOKUP($R601,Capa!$A:$AJ,BM$5,0))))</f>
        <v/>
      </c>
      <c r="BN601" s="174" t="str">
        <f>IF(BN$6="","",IF(BN$3="Maior",iferror(VLOOKUP($R601,Capa!$A:$AJ,BN$5,0),0),IF(ISERROR(1/VLOOKUP($R601,Capa!$A:$AJ,BN$5,0)),0,1/VLOOKUP($R601,Capa!$A:$AJ,BN$5,0))))</f>
        <v/>
      </c>
      <c r="BO601" s="174" t="str">
        <f>IF(BO$6="","",IF(BO$3="Maior",iferror(VLOOKUP($R601,Capa!$A:$AJ,BO$5,0),0),IF(ISERROR(1/VLOOKUP($R601,Capa!$A:$AJ,BO$5,0)),0,1/VLOOKUP($R601,Capa!$A:$AJ,BO$5,0))))</f>
        <v/>
      </c>
      <c r="BP601" s="174" t="str">
        <f>IF(BP$6="","",IF(BP$3="Maior",iferror(VLOOKUP($R601,Capa!$A:$AJ,BP$5,0),0),IF(ISERROR(1/VLOOKUP($R601,Capa!$A:$AJ,BP$5,0)),0,1/VLOOKUP($R601,Capa!$A:$AJ,BP$5,0))))</f>
        <v/>
      </c>
      <c r="BQ601" s="174" t="str">
        <f>IF(BQ$6="","",IF(BQ$3="Maior",iferror(VLOOKUP($R601,Capa!$A:$AJ,BQ$5,0),0),IF(ISERROR(1/VLOOKUP($R601,Capa!$A:$AJ,BQ$5,0)),0,1/VLOOKUP($R601,Capa!$A:$AJ,BQ$5,0))))</f>
        <v/>
      </c>
      <c r="BR601" s="175"/>
      <c r="BS601" s="147"/>
    </row>
    <row r="602">
      <c r="H602" s="8">
        <v>596.0</v>
      </c>
      <c r="I602" s="165" t="str">
        <f t="shared" si="6"/>
        <v>CTNM4</v>
      </c>
      <c r="J602" s="166" t="str">
        <f>(VLOOKUP($I602,Capa!$A:$B,2,0))</f>
        <v>COTEMINAS ON</v>
      </c>
      <c r="K602" s="167" t="str">
        <f>VLOOKUP(left(I602,4),Setor!A:D,3,0)&amp;" | "&amp;VLOOKUP(left(I602,4),Setor!A:D,4,0)</f>
        <v>Consumo Cíclico | Tecidos, Vestuário e Calçados</v>
      </c>
      <c r="L602" s="168">
        <f>(VLOOKUP($I602,Capa!$A:$F,6,0))</f>
        <v>0.86</v>
      </c>
      <c r="M602" s="168">
        <f t="shared" si="7"/>
        <v>0</v>
      </c>
      <c r="N602" s="11" t="str">
        <f>(VLOOKUP($I602,Capa!$A:$H,7,0))</f>
        <v/>
      </c>
      <c r="O602" s="169" t="str">
        <f>(VLOOKUP($I602,Capa!$A:$H,8,0))</f>
        <v/>
      </c>
      <c r="P602" s="11" t="str">
        <f>(VLOOKUP($I602,Capa!$A:$J,10,0))</f>
        <v/>
      </c>
      <c r="Q602" s="169" t="str">
        <f>(VLOOKUP($I602,Capa!$A:$K,11,0))</f>
        <v/>
      </c>
      <c r="R602" s="45" t="str">
        <f>'Dados StatusInvest'!A597</f>
        <v>VIVA3</v>
      </c>
      <c r="S602" s="170">
        <f t="shared" si="234"/>
        <v>300.03</v>
      </c>
      <c r="T602" s="171">
        <f>VLOOKUP(R602,'Dados StatusInvest'!A:Z,26,0)</f>
        <v>138000000</v>
      </c>
      <c r="U602" s="172">
        <f t="shared" ref="U602:AS602" si="605">IF(AT602="","", RANK(AT602,AT$7:AT$626,0)+RANK(AT602,AT$7:AT$626,0)/10000)</f>
        <v>181.0181</v>
      </c>
      <c r="V602" s="172">
        <f t="shared" si="605"/>
        <v>119.0119</v>
      </c>
      <c r="W602" s="172" t="str">
        <f t="shared" si="605"/>
        <v/>
      </c>
      <c r="X602" s="172" t="str">
        <f t="shared" si="605"/>
        <v/>
      </c>
      <c r="Y602" s="172" t="str">
        <f t="shared" si="605"/>
        <v/>
      </c>
      <c r="Z602" s="172" t="str">
        <f t="shared" si="605"/>
        <v/>
      </c>
      <c r="AA602" s="172" t="str">
        <f t="shared" si="605"/>
        <v/>
      </c>
      <c r="AB602" s="172" t="str">
        <f t="shared" si="605"/>
        <v/>
      </c>
      <c r="AC602" s="172" t="str">
        <f t="shared" si="605"/>
        <v/>
      </c>
      <c r="AD602" s="172" t="str">
        <f t="shared" si="605"/>
        <v/>
      </c>
      <c r="AE602" s="172" t="str">
        <f t="shared" si="605"/>
        <v/>
      </c>
      <c r="AF602" s="172" t="str">
        <f t="shared" si="605"/>
        <v/>
      </c>
      <c r="AG602" s="172" t="str">
        <f t="shared" si="605"/>
        <v/>
      </c>
      <c r="AH602" s="172" t="str">
        <f t="shared" si="605"/>
        <v/>
      </c>
      <c r="AI602" s="172" t="str">
        <f t="shared" si="605"/>
        <v/>
      </c>
      <c r="AJ602" s="172" t="str">
        <f t="shared" si="605"/>
        <v/>
      </c>
      <c r="AK602" s="172" t="str">
        <f t="shared" si="605"/>
        <v/>
      </c>
      <c r="AL602" s="172" t="str">
        <f t="shared" si="605"/>
        <v/>
      </c>
      <c r="AM602" s="172" t="str">
        <f t="shared" si="605"/>
        <v/>
      </c>
      <c r="AN602" s="172" t="str">
        <f t="shared" si="605"/>
        <v/>
      </c>
      <c r="AO602" s="172" t="str">
        <f t="shared" si="605"/>
        <v/>
      </c>
      <c r="AP602" s="172" t="str">
        <f t="shared" si="605"/>
        <v/>
      </c>
      <c r="AQ602" s="172" t="str">
        <f t="shared" si="605"/>
        <v/>
      </c>
      <c r="AR602" s="172" t="str">
        <f t="shared" si="605"/>
        <v/>
      </c>
      <c r="AS602" s="172" t="str">
        <f t="shared" si="605"/>
        <v/>
      </c>
      <c r="AT602" s="173">
        <f>IF(AT$6="","",IF(AT$3="Maior",iferror(VLOOKUP($R602,Capa!$A:$AJ,AT$5,0),0),IF(ISERROR(1/VLOOKUP($R602,Capa!$A:$AJ,AT$5,0)),0,1/VLOOKUP($R602,Capa!$A:$AJ,AT$5,0))))</f>
        <v>-0.2226241232</v>
      </c>
      <c r="AU602" s="174">
        <f>IF(AU$6="","",IF(AU$3="Maior",iferror(VLOOKUP($R602,Capa!$A:$AJ,AU$5,0),0),IF(ISERROR(1/VLOOKUP($R602,Capa!$A:$AJ,AU$5,0)),0,1/VLOOKUP($R602,Capa!$A:$AJ,AU$5,0))))</f>
        <v>23.51</v>
      </c>
      <c r="AV602" s="174" t="str">
        <f>IF(AV$6="","",IF(AV$3="Maior",iferror(VLOOKUP($R602,Capa!$A:$AJ,AV$5,0),0),IF(ISERROR(1/VLOOKUP($R602,Capa!$A:$AJ,AV$5,0)),0,1/VLOOKUP($R602,Capa!$A:$AJ,AV$5,0))))</f>
        <v/>
      </c>
      <c r="AW602" s="174" t="str">
        <f>IF(AW$6="","",IF(AW$3="Maior",iferror(VLOOKUP($R602,Capa!$A:$AJ,AW$5,0),0),IF(ISERROR(1/VLOOKUP($R602,Capa!$A:$AJ,AW$5,0)),0,1/VLOOKUP($R602,Capa!$A:$AJ,AW$5,0))))</f>
        <v/>
      </c>
      <c r="AX602" s="174" t="str">
        <f>IF(AX$6="","",IF(AX$3="Maior",iferror(VLOOKUP($R602,Capa!$A:$AJ,AX$5,0),0),IF(ISERROR(1/VLOOKUP($R602,Capa!$A:$AJ,AX$5,0)),0,1/VLOOKUP($R602,Capa!$A:$AJ,AX$5,0))))</f>
        <v/>
      </c>
      <c r="AY602" s="174" t="str">
        <f>IF(AY$6="","",IF(AY$3="Maior",iferror(VLOOKUP($R602,Capa!$A:$AJ,AY$5,0),0),IF(ISERROR(1/VLOOKUP($R602,Capa!$A:$AJ,AY$5,0)),0,1/VLOOKUP($R602,Capa!$A:$AJ,AY$5,0))))</f>
        <v/>
      </c>
      <c r="AZ602" s="174" t="str">
        <f>IF(AZ$6="","",IF(AZ$3="Maior",iferror(VLOOKUP($R602,Capa!$A:$AJ,AZ$5,0),0),IF(ISERROR(1/VLOOKUP($R602,Capa!$A:$AJ,AZ$5,0)),0,1/VLOOKUP($R602,Capa!$A:$AJ,AZ$5,0))))</f>
        <v/>
      </c>
      <c r="BA602" s="174" t="str">
        <f>IF(BA$6="","",IF(BA$3="Maior",iferror(VLOOKUP($R602,Capa!$A:$AJ,BA$5,0),0),IF(ISERROR(1/VLOOKUP($R602,Capa!$A:$AJ,BA$5,0)),0,1/VLOOKUP($R602,Capa!$A:$AJ,BA$5,0))))</f>
        <v/>
      </c>
      <c r="BB602" s="174" t="str">
        <f>IF(BB$6="","",IF(BB$3="Maior",iferror(VLOOKUP($R602,Capa!$A:$AJ,BB$5,0),0),IF(ISERROR(1/VLOOKUP($R602,Capa!$A:$AJ,BB$5,0)),0,1/VLOOKUP($R602,Capa!$A:$AJ,BB$5,0))))</f>
        <v/>
      </c>
      <c r="BC602" s="174" t="str">
        <f>IF(BC$6="","",IF(BC$3="Maior",iferror(VLOOKUP($R602,Capa!$A:$AJ,BC$5,0),0),IF(ISERROR(1/VLOOKUP($R602,Capa!$A:$AJ,BC$5,0)),0,1/VLOOKUP($R602,Capa!$A:$AJ,BC$5,0))))</f>
        <v/>
      </c>
      <c r="BD602" s="174" t="str">
        <f>IF(BD$6="","",IF(BD$3="Maior",iferror(VLOOKUP($R602,Capa!$A:$AJ,BD$5,0),0),IF(ISERROR(1/VLOOKUP($R602,Capa!$A:$AJ,BD$5,0)),0,1/VLOOKUP($R602,Capa!$A:$AJ,BD$5,0))))</f>
        <v/>
      </c>
      <c r="BE602" s="174" t="str">
        <f>IF(BE$6="","",IF(BE$3="Maior",iferror(VLOOKUP($R602,Capa!$A:$AJ,BE$5,0),0),IF(ISERROR(1/VLOOKUP($R602,Capa!$A:$AJ,BE$5,0)),0,1/VLOOKUP($R602,Capa!$A:$AJ,BE$5,0))))</f>
        <v/>
      </c>
      <c r="BF602" s="174" t="str">
        <f>IF(BF$6="","",IF(BF$3="Maior",iferror(VLOOKUP($R602,Capa!$A:$AJ,BF$5,0),0),IF(ISERROR(1/VLOOKUP($R602,Capa!$A:$AJ,BF$5,0)),0,1/VLOOKUP($R602,Capa!$A:$AJ,BF$5,0))))</f>
        <v/>
      </c>
      <c r="BG602" s="174" t="str">
        <f>IF(BG$6="","",IF(BG$3="Maior",iferror(VLOOKUP($R602,Capa!$A:$AJ,BG$5,0),0),IF(ISERROR(1/VLOOKUP($R602,Capa!$A:$AJ,BG$5,0)),0,1/VLOOKUP($R602,Capa!$A:$AJ,BG$5,0))))</f>
        <v/>
      </c>
      <c r="BH602" s="174" t="str">
        <f>IF(BH$6="","",IF(BH$3="Maior",iferror(VLOOKUP($R602,Capa!$A:$AJ,BH$5,0),0),IF(ISERROR(1/VLOOKUP($R602,Capa!$A:$AJ,BH$5,0)),0,1/VLOOKUP($R602,Capa!$A:$AJ,BH$5,0))))</f>
        <v/>
      </c>
      <c r="BI602" s="174" t="str">
        <f>IF(BI$6="","",IF(BI$3="Maior",iferror(VLOOKUP($R602,Capa!$A:$AJ,BI$5,0),0),IF(ISERROR(1/VLOOKUP($R602,Capa!$A:$AJ,BI$5,0)),0,1/VLOOKUP($R602,Capa!$A:$AJ,BI$5,0))))</f>
        <v/>
      </c>
      <c r="BJ602" s="174" t="str">
        <f>IF(BJ$6="","",IF(BJ$3="Maior",iferror(VLOOKUP($R602,Capa!$A:$AJ,BJ$5,0),0),IF(ISERROR(1/VLOOKUP($R602,Capa!$A:$AJ,BJ$5,0)),0,1/VLOOKUP($R602,Capa!$A:$AJ,BJ$5,0))))</f>
        <v/>
      </c>
      <c r="BK602" s="174" t="str">
        <f>IF(BK$6="","",IF(BK$3="Maior",iferror(VLOOKUP($R602,Capa!$A:$AJ,BK$5,0),0),IF(ISERROR(1/VLOOKUP($R602,Capa!$A:$AJ,BK$5,0)),0,1/VLOOKUP($R602,Capa!$A:$AJ,BK$5,0))))</f>
        <v/>
      </c>
      <c r="BL602" s="174" t="str">
        <f>IF(BL$6="","",IF(BL$3="Maior",iferror(VLOOKUP($R602,Capa!$A:$AJ,BL$5,0),0),IF(ISERROR(1/VLOOKUP($R602,Capa!$A:$AJ,BL$5,0)),0,1/VLOOKUP($R602,Capa!$A:$AJ,BL$5,0))))</f>
        <v/>
      </c>
      <c r="BM602" s="174" t="str">
        <f>IF(BM$6="","",IF(BM$3="Maior",iferror(VLOOKUP($R602,Capa!$A:$AJ,BM$5,0),0),IF(ISERROR(1/VLOOKUP($R602,Capa!$A:$AJ,BM$5,0)),0,1/VLOOKUP($R602,Capa!$A:$AJ,BM$5,0))))</f>
        <v/>
      </c>
      <c r="BN602" s="174" t="str">
        <f>IF(BN$6="","",IF(BN$3="Maior",iferror(VLOOKUP($R602,Capa!$A:$AJ,BN$5,0),0),IF(ISERROR(1/VLOOKUP($R602,Capa!$A:$AJ,BN$5,0)),0,1/VLOOKUP($R602,Capa!$A:$AJ,BN$5,0))))</f>
        <v/>
      </c>
      <c r="BO602" s="174" t="str">
        <f>IF(BO$6="","",IF(BO$3="Maior",iferror(VLOOKUP($R602,Capa!$A:$AJ,BO$5,0),0),IF(ISERROR(1/VLOOKUP($R602,Capa!$A:$AJ,BO$5,0)),0,1/VLOOKUP($R602,Capa!$A:$AJ,BO$5,0))))</f>
        <v/>
      </c>
      <c r="BP602" s="174" t="str">
        <f>IF(BP$6="","",IF(BP$3="Maior",iferror(VLOOKUP($R602,Capa!$A:$AJ,BP$5,0),0),IF(ISERROR(1/VLOOKUP($R602,Capa!$A:$AJ,BP$5,0)),0,1/VLOOKUP($R602,Capa!$A:$AJ,BP$5,0))))</f>
        <v/>
      </c>
      <c r="BQ602" s="174" t="str">
        <f>IF(BQ$6="","",IF(BQ$3="Maior",iferror(VLOOKUP($R602,Capa!$A:$AJ,BQ$5,0),0),IF(ISERROR(1/VLOOKUP($R602,Capa!$A:$AJ,BQ$5,0)),0,1/VLOOKUP($R602,Capa!$A:$AJ,BQ$5,0))))</f>
        <v/>
      </c>
      <c r="BR602" s="175"/>
      <c r="BS602" s="147"/>
    </row>
    <row r="603">
      <c r="H603" s="8">
        <v>597.0</v>
      </c>
      <c r="I603" s="165" t="str">
        <f t="shared" si="6"/>
        <v>CTNM4</v>
      </c>
      <c r="J603" s="166" t="str">
        <f>(VLOOKUP($I603,Capa!$A:$B,2,0))</f>
        <v>COTEMINAS ON</v>
      </c>
      <c r="K603" s="167" t="str">
        <f>VLOOKUP(left(I603,4),Setor!A:D,3,0)&amp;" | "&amp;VLOOKUP(left(I603,4),Setor!A:D,4,0)</f>
        <v>Consumo Cíclico | Tecidos, Vestuário e Calçados</v>
      </c>
      <c r="L603" s="168">
        <f>(VLOOKUP($I603,Capa!$A:$F,6,0))</f>
        <v>0.86</v>
      </c>
      <c r="M603" s="168">
        <f t="shared" si="7"/>
        <v>0</v>
      </c>
      <c r="N603" s="11" t="str">
        <f>(VLOOKUP($I603,Capa!$A:$H,7,0))</f>
        <v/>
      </c>
      <c r="O603" s="169" t="str">
        <f>(VLOOKUP($I603,Capa!$A:$H,8,0))</f>
        <v/>
      </c>
      <c r="P603" s="11" t="str">
        <f>(VLOOKUP($I603,Capa!$A:$J,10,0))</f>
        <v/>
      </c>
      <c r="Q603" s="169" t="str">
        <f>(VLOOKUP($I603,Capa!$A:$K,11,0))</f>
        <v/>
      </c>
      <c r="R603" s="45" t="str">
        <f>'Dados StatusInvest'!A598</f>
        <v>VIVR3</v>
      </c>
      <c r="S603" s="170">
        <f t="shared" si="234"/>
        <v>1771.0771</v>
      </c>
      <c r="T603" s="171">
        <f>VLOOKUP(R603,'Dados StatusInvest'!A:Z,26,0)</f>
        <v>99431</v>
      </c>
      <c r="U603" s="172">
        <f t="shared" ref="U603:AS603" si="606">IF(AT603="","", RANK(AT603,AT$7:AT$626,0)+RANK(AT603,AT$7:AT$626,0)/10000)</f>
        <v>504.0504</v>
      </c>
      <c r="V603" s="172">
        <f t="shared" si="606"/>
        <v>267.0267</v>
      </c>
      <c r="W603" s="172" t="str">
        <f t="shared" si="606"/>
        <v/>
      </c>
      <c r="X603" s="172" t="str">
        <f t="shared" si="606"/>
        <v/>
      </c>
      <c r="Y603" s="172" t="str">
        <f t="shared" si="606"/>
        <v/>
      </c>
      <c r="Z603" s="172" t="str">
        <f t="shared" si="606"/>
        <v/>
      </c>
      <c r="AA603" s="172" t="str">
        <f t="shared" si="606"/>
        <v/>
      </c>
      <c r="AB603" s="172" t="str">
        <f t="shared" si="606"/>
        <v/>
      </c>
      <c r="AC603" s="172" t="str">
        <f t="shared" si="606"/>
        <v/>
      </c>
      <c r="AD603" s="172" t="str">
        <f t="shared" si="606"/>
        <v/>
      </c>
      <c r="AE603" s="172" t="str">
        <f t="shared" si="606"/>
        <v/>
      </c>
      <c r="AF603" s="172" t="str">
        <f t="shared" si="606"/>
        <v/>
      </c>
      <c r="AG603" s="172" t="str">
        <f t="shared" si="606"/>
        <v/>
      </c>
      <c r="AH603" s="172" t="str">
        <f t="shared" si="606"/>
        <v/>
      </c>
      <c r="AI603" s="172" t="str">
        <f t="shared" si="606"/>
        <v/>
      </c>
      <c r="AJ603" s="172" t="str">
        <f t="shared" si="606"/>
        <v/>
      </c>
      <c r="AK603" s="172" t="str">
        <f t="shared" si="606"/>
        <v/>
      </c>
      <c r="AL603" s="172" t="str">
        <f t="shared" si="606"/>
        <v/>
      </c>
      <c r="AM603" s="172" t="str">
        <f t="shared" si="606"/>
        <v/>
      </c>
      <c r="AN603" s="172" t="str">
        <f t="shared" si="606"/>
        <v/>
      </c>
      <c r="AO603" s="172" t="str">
        <f t="shared" si="606"/>
        <v/>
      </c>
      <c r="AP603" s="172" t="str">
        <f t="shared" si="606"/>
        <v/>
      </c>
      <c r="AQ603" s="172" t="str">
        <f t="shared" si="606"/>
        <v/>
      </c>
      <c r="AR603" s="172" t="str">
        <f t="shared" si="606"/>
        <v/>
      </c>
      <c r="AS603" s="172" t="str">
        <f t="shared" si="606"/>
        <v/>
      </c>
      <c r="AT603" s="173">
        <f>IF(AT$6="","",IF(AT$3="Maior",iferror(VLOOKUP($R603,Capa!$A:$AJ,AT$5,0),0),IF(ISERROR(1/VLOOKUP($R603,Capa!$A:$AJ,AT$5,0)),0,1/VLOOKUP($R603,Capa!$A:$AJ,AT$5,0))))</f>
        <v>-3.230769231</v>
      </c>
      <c r="AU603" s="174">
        <f>IF(AU$6="","",IF(AU$3="Maior",iferror(VLOOKUP($R603,Capa!$A:$AJ,AU$5,0),0),IF(ISERROR(1/VLOOKUP($R603,Capa!$A:$AJ,AU$5,0)),0,1/VLOOKUP($R603,Capa!$A:$AJ,AU$5,0))))</f>
        <v>0</v>
      </c>
      <c r="AV603" s="174" t="str">
        <f>IF(AV$6="","",IF(AV$3="Maior",iferror(VLOOKUP($R603,Capa!$A:$AJ,AV$5,0),0),IF(ISERROR(1/VLOOKUP($R603,Capa!$A:$AJ,AV$5,0)),0,1/VLOOKUP($R603,Capa!$A:$AJ,AV$5,0))))</f>
        <v/>
      </c>
      <c r="AW603" s="174" t="str">
        <f>IF(AW$6="","",IF(AW$3="Maior",iferror(VLOOKUP($R603,Capa!$A:$AJ,AW$5,0),0),IF(ISERROR(1/VLOOKUP($R603,Capa!$A:$AJ,AW$5,0)),0,1/VLOOKUP($R603,Capa!$A:$AJ,AW$5,0))))</f>
        <v/>
      </c>
      <c r="AX603" s="174" t="str">
        <f>IF(AX$6="","",IF(AX$3="Maior",iferror(VLOOKUP($R603,Capa!$A:$AJ,AX$5,0),0),IF(ISERROR(1/VLOOKUP($R603,Capa!$A:$AJ,AX$5,0)),0,1/VLOOKUP($R603,Capa!$A:$AJ,AX$5,0))))</f>
        <v/>
      </c>
      <c r="AY603" s="174" t="str">
        <f>IF(AY$6="","",IF(AY$3="Maior",iferror(VLOOKUP($R603,Capa!$A:$AJ,AY$5,0),0),IF(ISERROR(1/VLOOKUP($R603,Capa!$A:$AJ,AY$5,0)),0,1/VLOOKUP($R603,Capa!$A:$AJ,AY$5,0))))</f>
        <v/>
      </c>
      <c r="AZ603" s="174" t="str">
        <f>IF(AZ$6="","",IF(AZ$3="Maior",iferror(VLOOKUP($R603,Capa!$A:$AJ,AZ$5,0),0),IF(ISERROR(1/VLOOKUP($R603,Capa!$A:$AJ,AZ$5,0)),0,1/VLOOKUP($R603,Capa!$A:$AJ,AZ$5,0))))</f>
        <v/>
      </c>
      <c r="BA603" s="174" t="str">
        <f>IF(BA$6="","",IF(BA$3="Maior",iferror(VLOOKUP($R603,Capa!$A:$AJ,BA$5,0),0),IF(ISERROR(1/VLOOKUP($R603,Capa!$A:$AJ,BA$5,0)),0,1/VLOOKUP($R603,Capa!$A:$AJ,BA$5,0))))</f>
        <v/>
      </c>
      <c r="BB603" s="174" t="str">
        <f>IF(BB$6="","",IF(BB$3="Maior",iferror(VLOOKUP($R603,Capa!$A:$AJ,BB$5,0),0),IF(ISERROR(1/VLOOKUP($R603,Capa!$A:$AJ,BB$5,0)),0,1/VLOOKUP($R603,Capa!$A:$AJ,BB$5,0))))</f>
        <v/>
      </c>
      <c r="BC603" s="174" t="str">
        <f>IF(BC$6="","",IF(BC$3="Maior",iferror(VLOOKUP($R603,Capa!$A:$AJ,BC$5,0),0),IF(ISERROR(1/VLOOKUP($R603,Capa!$A:$AJ,BC$5,0)),0,1/VLOOKUP($R603,Capa!$A:$AJ,BC$5,0))))</f>
        <v/>
      </c>
      <c r="BD603" s="174" t="str">
        <f>IF(BD$6="","",IF(BD$3="Maior",iferror(VLOOKUP($R603,Capa!$A:$AJ,BD$5,0),0),IF(ISERROR(1/VLOOKUP($R603,Capa!$A:$AJ,BD$5,0)),0,1/VLOOKUP($R603,Capa!$A:$AJ,BD$5,0))))</f>
        <v/>
      </c>
      <c r="BE603" s="174" t="str">
        <f>IF(BE$6="","",IF(BE$3="Maior",iferror(VLOOKUP($R603,Capa!$A:$AJ,BE$5,0),0),IF(ISERROR(1/VLOOKUP($R603,Capa!$A:$AJ,BE$5,0)),0,1/VLOOKUP($R603,Capa!$A:$AJ,BE$5,0))))</f>
        <v/>
      </c>
      <c r="BF603" s="174" t="str">
        <f>IF(BF$6="","",IF(BF$3="Maior",iferror(VLOOKUP($R603,Capa!$A:$AJ,BF$5,0),0),IF(ISERROR(1/VLOOKUP($R603,Capa!$A:$AJ,BF$5,0)),0,1/VLOOKUP($R603,Capa!$A:$AJ,BF$5,0))))</f>
        <v/>
      </c>
      <c r="BG603" s="174" t="str">
        <f>IF(BG$6="","",IF(BG$3="Maior",iferror(VLOOKUP($R603,Capa!$A:$AJ,BG$5,0),0),IF(ISERROR(1/VLOOKUP($R603,Capa!$A:$AJ,BG$5,0)),0,1/VLOOKUP($R603,Capa!$A:$AJ,BG$5,0))))</f>
        <v/>
      </c>
      <c r="BH603" s="174" t="str">
        <f>IF(BH$6="","",IF(BH$3="Maior",iferror(VLOOKUP($R603,Capa!$A:$AJ,BH$5,0),0),IF(ISERROR(1/VLOOKUP($R603,Capa!$A:$AJ,BH$5,0)),0,1/VLOOKUP($R603,Capa!$A:$AJ,BH$5,0))))</f>
        <v/>
      </c>
      <c r="BI603" s="174" t="str">
        <f>IF(BI$6="","",IF(BI$3="Maior",iferror(VLOOKUP($R603,Capa!$A:$AJ,BI$5,0),0),IF(ISERROR(1/VLOOKUP($R603,Capa!$A:$AJ,BI$5,0)),0,1/VLOOKUP($R603,Capa!$A:$AJ,BI$5,0))))</f>
        <v/>
      </c>
      <c r="BJ603" s="174" t="str">
        <f>IF(BJ$6="","",IF(BJ$3="Maior",iferror(VLOOKUP($R603,Capa!$A:$AJ,BJ$5,0),0),IF(ISERROR(1/VLOOKUP($R603,Capa!$A:$AJ,BJ$5,0)),0,1/VLOOKUP($R603,Capa!$A:$AJ,BJ$5,0))))</f>
        <v/>
      </c>
      <c r="BK603" s="174" t="str">
        <f>IF(BK$6="","",IF(BK$3="Maior",iferror(VLOOKUP($R603,Capa!$A:$AJ,BK$5,0),0),IF(ISERROR(1/VLOOKUP($R603,Capa!$A:$AJ,BK$5,0)),0,1/VLOOKUP($R603,Capa!$A:$AJ,BK$5,0))))</f>
        <v/>
      </c>
      <c r="BL603" s="174" t="str">
        <f>IF(BL$6="","",IF(BL$3="Maior",iferror(VLOOKUP($R603,Capa!$A:$AJ,BL$5,0),0),IF(ISERROR(1/VLOOKUP($R603,Capa!$A:$AJ,BL$5,0)),0,1/VLOOKUP($R603,Capa!$A:$AJ,BL$5,0))))</f>
        <v/>
      </c>
      <c r="BM603" s="174" t="str">
        <f>IF(BM$6="","",IF(BM$3="Maior",iferror(VLOOKUP($R603,Capa!$A:$AJ,BM$5,0),0),IF(ISERROR(1/VLOOKUP($R603,Capa!$A:$AJ,BM$5,0)),0,1/VLOOKUP($R603,Capa!$A:$AJ,BM$5,0))))</f>
        <v/>
      </c>
      <c r="BN603" s="174" t="str">
        <f>IF(BN$6="","",IF(BN$3="Maior",iferror(VLOOKUP($R603,Capa!$A:$AJ,BN$5,0),0),IF(ISERROR(1/VLOOKUP($R603,Capa!$A:$AJ,BN$5,0)),0,1/VLOOKUP($R603,Capa!$A:$AJ,BN$5,0))))</f>
        <v/>
      </c>
      <c r="BO603" s="174" t="str">
        <f>IF(BO$6="","",IF(BO$3="Maior",iferror(VLOOKUP($R603,Capa!$A:$AJ,BO$5,0),0),IF(ISERROR(1/VLOOKUP($R603,Capa!$A:$AJ,BO$5,0)),0,1/VLOOKUP($R603,Capa!$A:$AJ,BO$5,0))))</f>
        <v/>
      </c>
      <c r="BP603" s="174" t="str">
        <f>IF(BP$6="","",IF(BP$3="Maior",iferror(VLOOKUP($R603,Capa!$A:$AJ,BP$5,0),0),IF(ISERROR(1/VLOOKUP($R603,Capa!$A:$AJ,BP$5,0)),0,1/VLOOKUP($R603,Capa!$A:$AJ,BP$5,0))))</f>
        <v/>
      </c>
      <c r="BQ603" s="174" t="str">
        <f>IF(BQ$6="","",IF(BQ$3="Maior",iferror(VLOOKUP($R603,Capa!$A:$AJ,BQ$5,0),0),IF(ISERROR(1/VLOOKUP($R603,Capa!$A:$AJ,BQ$5,0)),0,1/VLOOKUP($R603,Capa!$A:$AJ,BQ$5,0))))</f>
        <v/>
      </c>
      <c r="BR603" s="175"/>
      <c r="BS603" s="147"/>
    </row>
    <row r="604">
      <c r="H604" s="8">
        <v>598.0</v>
      </c>
      <c r="I604" s="165" t="str">
        <f t="shared" si="6"/>
        <v>GEPA4</v>
      </c>
      <c r="J604" s="166" t="str">
        <f>(VLOOKUP($I604,Capa!$A:$B,2,0))</f>
        <v>Rio Paranapanema Energia SA Preference Shares</v>
      </c>
      <c r="K604" s="167" t="str">
        <f>VLOOKUP(left(I604,4),Setor!A:D,3,0)&amp;" | "&amp;VLOOKUP(left(I604,4),Setor!A:D,4,0)</f>
        <v>Utilidade Pública | Energia Elétrica</v>
      </c>
      <c r="L604" s="168">
        <f>(VLOOKUP($I604,Capa!$A:$F,6,0))</f>
        <v>35.15</v>
      </c>
      <c r="M604" s="168">
        <f t="shared" si="7"/>
        <v>24048.1</v>
      </c>
      <c r="N604" s="11" t="str">
        <f>IFERROR(__xludf.DUMMYFUNCTION("(VLOOKUP($I604,Capa!$A:$H,7,0))"),"")</f>
        <v/>
      </c>
      <c r="O604" s="169">
        <f>(VLOOKUP($I604,Capa!$A:$H,8,0))</f>
        <v>0.01151079137</v>
      </c>
      <c r="P604" s="11" t="str">
        <f>IFERROR(__xludf.DUMMYFUNCTION("(VLOOKUP($I604,Capa!$A:$J,10,0))"),"")</f>
        <v/>
      </c>
      <c r="Q604" s="169">
        <f>(VLOOKUP($I604,Capa!$A:$K,11,0))</f>
        <v>0.181512605</v>
      </c>
      <c r="R604" s="45" t="str">
        <f>'Dados StatusInvest'!A599</f>
        <v>VIVT3</v>
      </c>
      <c r="S604" s="170">
        <f t="shared" si="234"/>
        <v>296.0296</v>
      </c>
      <c r="T604" s="171">
        <f>VLOOKUP(R604,'Dados StatusInvest'!A:Z,26,0)</f>
        <v>222000000</v>
      </c>
      <c r="U604" s="172">
        <f t="shared" ref="U604:AS604" si="607">IF(AT604="","", RANK(AT604,AT$7:AT$626,0)+RANK(AT604,AT$7:AT$626,0)/10000)</f>
        <v>50.005</v>
      </c>
      <c r="V604" s="172">
        <f t="shared" si="607"/>
        <v>246.0246</v>
      </c>
      <c r="W604" s="172" t="str">
        <f t="shared" si="607"/>
        <v/>
      </c>
      <c r="X604" s="172" t="str">
        <f t="shared" si="607"/>
        <v/>
      </c>
      <c r="Y604" s="172" t="str">
        <f t="shared" si="607"/>
        <v/>
      </c>
      <c r="Z604" s="172" t="str">
        <f t="shared" si="607"/>
        <v/>
      </c>
      <c r="AA604" s="172" t="str">
        <f t="shared" si="607"/>
        <v/>
      </c>
      <c r="AB604" s="172" t="str">
        <f t="shared" si="607"/>
        <v/>
      </c>
      <c r="AC604" s="172" t="str">
        <f t="shared" si="607"/>
        <v/>
      </c>
      <c r="AD604" s="172" t="str">
        <f t="shared" si="607"/>
        <v/>
      </c>
      <c r="AE604" s="172" t="str">
        <f t="shared" si="607"/>
        <v/>
      </c>
      <c r="AF604" s="172" t="str">
        <f t="shared" si="607"/>
        <v/>
      </c>
      <c r="AG604" s="172" t="str">
        <f t="shared" si="607"/>
        <v/>
      </c>
      <c r="AH604" s="172" t="str">
        <f t="shared" si="607"/>
        <v/>
      </c>
      <c r="AI604" s="172" t="str">
        <f t="shared" si="607"/>
        <v/>
      </c>
      <c r="AJ604" s="172" t="str">
        <f t="shared" si="607"/>
        <v/>
      </c>
      <c r="AK604" s="172" t="str">
        <f t="shared" si="607"/>
        <v/>
      </c>
      <c r="AL604" s="172" t="str">
        <f t="shared" si="607"/>
        <v/>
      </c>
      <c r="AM604" s="172" t="str">
        <f t="shared" si="607"/>
        <v/>
      </c>
      <c r="AN604" s="172" t="str">
        <f t="shared" si="607"/>
        <v/>
      </c>
      <c r="AO604" s="172" t="str">
        <f t="shared" si="607"/>
        <v/>
      </c>
      <c r="AP604" s="172" t="str">
        <f t="shared" si="607"/>
        <v/>
      </c>
      <c r="AQ604" s="172" t="str">
        <f t="shared" si="607"/>
        <v/>
      </c>
      <c r="AR604" s="172" t="str">
        <f t="shared" si="607"/>
        <v/>
      </c>
      <c r="AS604" s="172" t="str">
        <f t="shared" si="607"/>
        <v/>
      </c>
      <c r="AT604" s="173">
        <f>IF(AT$6="","",IF(AT$3="Maior",iferror(VLOOKUP($R604,Capa!$A:$AJ,AT$5,0),0),IF(ISERROR(1/VLOOKUP($R604,Capa!$A:$AJ,AT$5,0)),0,1/VLOOKUP($R604,Capa!$A:$AJ,AT$5,0))))</f>
        <v>0.00001006040097</v>
      </c>
      <c r="AU604" s="174">
        <f>IF(AU$6="","",IF(AU$3="Maior",iferror(VLOOKUP($R604,Capa!$A:$AJ,AU$5,0),0),IF(ISERROR(1/VLOOKUP($R604,Capa!$A:$AJ,AU$5,0)),0,1/VLOOKUP($R604,Capa!$A:$AJ,AU$5,0))))</f>
        <v>3.9</v>
      </c>
      <c r="AV604" s="174" t="str">
        <f>IF(AV$6="","",IF(AV$3="Maior",iferror(VLOOKUP($R604,Capa!$A:$AJ,AV$5,0),0),IF(ISERROR(1/VLOOKUP($R604,Capa!$A:$AJ,AV$5,0)),0,1/VLOOKUP($R604,Capa!$A:$AJ,AV$5,0))))</f>
        <v/>
      </c>
      <c r="AW604" s="174" t="str">
        <f>IF(AW$6="","",IF(AW$3="Maior",iferror(VLOOKUP($R604,Capa!$A:$AJ,AW$5,0),0),IF(ISERROR(1/VLOOKUP($R604,Capa!$A:$AJ,AW$5,0)),0,1/VLOOKUP($R604,Capa!$A:$AJ,AW$5,0))))</f>
        <v/>
      </c>
      <c r="AX604" s="174" t="str">
        <f>IF(AX$6="","",IF(AX$3="Maior",iferror(VLOOKUP($R604,Capa!$A:$AJ,AX$5,0),0),IF(ISERROR(1/VLOOKUP($R604,Capa!$A:$AJ,AX$5,0)),0,1/VLOOKUP($R604,Capa!$A:$AJ,AX$5,0))))</f>
        <v/>
      </c>
      <c r="AY604" s="174" t="str">
        <f>IF(AY$6="","",IF(AY$3="Maior",iferror(VLOOKUP($R604,Capa!$A:$AJ,AY$5,0),0),IF(ISERROR(1/VLOOKUP($R604,Capa!$A:$AJ,AY$5,0)),0,1/VLOOKUP($R604,Capa!$A:$AJ,AY$5,0))))</f>
        <v/>
      </c>
      <c r="AZ604" s="174" t="str">
        <f>IF(AZ$6="","",IF(AZ$3="Maior",iferror(VLOOKUP($R604,Capa!$A:$AJ,AZ$5,0),0),IF(ISERROR(1/VLOOKUP($R604,Capa!$A:$AJ,AZ$5,0)),0,1/VLOOKUP($R604,Capa!$A:$AJ,AZ$5,0))))</f>
        <v/>
      </c>
      <c r="BA604" s="174" t="str">
        <f>IF(BA$6="","",IF(BA$3="Maior",iferror(VLOOKUP($R604,Capa!$A:$AJ,BA$5,0),0),IF(ISERROR(1/VLOOKUP($R604,Capa!$A:$AJ,BA$5,0)),0,1/VLOOKUP($R604,Capa!$A:$AJ,BA$5,0))))</f>
        <v/>
      </c>
      <c r="BB604" s="174" t="str">
        <f>IF(BB$6="","",IF(BB$3="Maior",iferror(VLOOKUP($R604,Capa!$A:$AJ,BB$5,0),0),IF(ISERROR(1/VLOOKUP($R604,Capa!$A:$AJ,BB$5,0)),0,1/VLOOKUP($R604,Capa!$A:$AJ,BB$5,0))))</f>
        <v/>
      </c>
      <c r="BC604" s="174" t="str">
        <f>IF(BC$6="","",IF(BC$3="Maior",iferror(VLOOKUP($R604,Capa!$A:$AJ,BC$5,0),0),IF(ISERROR(1/VLOOKUP($R604,Capa!$A:$AJ,BC$5,0)),0,1/VLOOKUP($R604,Capa!$A:$AJ,BC$5,0))))</f>
        <v/>
      </c>
      <c r="BD604" s="174" t="str">
        <f>IF(BD$6="","",IF(BD$3="Maior",iferror(VLOOKUP($R604,Capa!$A:$AJ,BD$5,0),0),IF(ISERROR(1/VLOOKUP($R604,Capa!$A:$AJ,BD$5,0)),0,1/VLOOKUP($R604,Capa!$A:$AJ,BD$5,0))))</f>
        <v/>
      </c>
      <c r="BE604" s="174" t="str">
        <f>IF(BE$6="","",IF(BE$3="Maior",iferror(VLOOKUP($R604,Capa!$A:$AJ,BE$5,0),0),IF(ISERROR(1/VLOOKUP($R604,Capa!$A:$AJ,BE$5,0)),0,1/VLOOKUP($R604,Capa!$A:$AJ,BE$5,0))))</f>
        <v/>
      </c>
      <c r="BF604" s="174" t="str">
        <f>IF(BF$6="","",IF(BF$3="Maior",iferror(VLOOKUP($R604,Capa!$A:$AJ,BF$5,0),0),IF(ISERROR(1/VLOOKUP($R604,Capa!$A:$AJ,BF$5,0)),0,1/VLOOKUP($R604,Capa!$A:$AJ,BF$5,0))))</f>
        <v/>
      </c>
      <c r="BG604" s="174" t="str">
        <f>IF(BG$6="","",IF(BG$3="Maior",iferror(VLOOKUP($R604,Capa!$A:$AJ,BG$5,0),0),IF(ISERROR(1/VLOOKUP($R604,Capa!$A:$AJ,BG$5,0)),0,1/VLOOKUP($R604,Capa!$A:$AJ,BG$5,0))))</f>
        <v/>
      </c>
      <c r="BH604" s="174" t="str">
        <f>IF(BH$6="","",IF(BH$3="Maior",iferror(VLOOKUP($R604,Capa!$A:$AJ,BH$5,0),0),IF(ISERROR(1/VLOOKUP($R604,Capa!$A:$AJ,BH$5,0)),0,1/VLOOKUP($R604,Capa!$A:$AJ,BH$5,0))))</f>
        <v/>
      </c>
      <c r="BI604" s="174" t="str">
        <f>IF(BI$6="","",IF(BI$3="Maior",iferror(VLOOKUP($R604,Capa!$A:$AJ,BI$5,0),0),IF(ISERROR(1/VLOOKUP($R604,Capa!$A:$AJ,BI$5,0)),0,1/VLOOKUP($R604,Capa!$A:$AJ,BI$5,0))))</f>
        <v/>
      </c>
      <c r="BJ604" s="174" t="str">
        <f>IF(BJ$6="","",IF(BJ$3="Maior",iferror(VLOOKUP($R604,Capa!$A:$AJ,BJ$5,0),0),IF(ISERROR(1/VLOOKUP($R604,Capa!$A:$AJ,BJ$5,0)),0,1/VLOOKUP($R604,Capa!$A:$AJ,BJ$5,0))))</f>
        <v/>
      </c>
      <c r="BK604" s="174" t="str">
        <f>IF(BK$6="","",IF(BK$3="Maior",iferror(VLOOKUP($R604,Capa!$A:$AJ,BK$5,0),0),IF(ISERROR(1/VLOOKUP($R604,Capa!$A:$AJ,BK$5,0)),0,1/VLOOKUP($R604,Capa!$A:$AJ,BK$5,0))))</f>
        <v/>
      </c>
      <c r="BL604" s="174" t="str">
        <f>IF(BL$6="","",IF(BL$3="Maior",iferror(VLOOKUP($R604,Capa!$A:$AJ,BL$5,0),0),IF(ISERROR(1/VLOOKUP($R604,Capa!$A:$AJ,BL$5,0)),0,1/VLOOKUP($R604,Capa!$A:$AJ,BL$5,0))))</f>
        <v/>
      </c>
      <c r="BM604" s="174" t="str">
        <f>IF(BM$6="","",IF(BM$3="Maior",iferror(VLOOKUP($R604,Capa!$A:$AJ,BM$5,0),0),IF(ISERROR(1/VLOOKUP($R604,Capa!$A:$AJ,BM$5,0)),0,1/VLOOKUP($R604,Capa!$A:$AJ,BM$5,0))))</f>
        <v/>
      </c>
      <c r="BN604" s="174" t="str">
        <f>IF(BN$6="","",IF(BN$3="Maior",iferror(VLOOKUP($R604,Capa!$A:$AJ,BN$5,0),0),IF(ISERROR(1/VLOOKUP($R604,Capa!$A:$AJ,BN$5,0)),0,1/VLOOKUP($R604,Capa!$A:$AJ,BN$5,0))))</f>
        <v/>
      </c>
      <c r="BO604" s="174" t="str">
        <f>IF(BO$6="","",IF(BO$3="Maior",iferror(VLOOKUP($R604,Capa!$A:$AJ,BO$5,0),0),IF(ISERROR(1/VLOOKUP($R604,Capa!$A:$AJ,BO$5,0)),0,1/VLOOKUP($R604,Capa!$A:$AJ,BO$5,0))))</f>
        <v/>
      </c>
      <c r="BP604" s="174" t="str">
        <f>IF(BP$6="","",IF(BP$3="Maior",iferror(VLOOKUP($R604,Capa!$A:$AJ,BP$5,0),0),IF(ISERROR(1/VLOOKUP($R604,Capa!$A:$AJ,BP$5,0)),0,1/VLOOKUP($R604,Capa!$A:$AJ,BP$5,0))))</f>
        <v/>
      </c>
      <c r="BQ604" s="174" t="str">
        <f>IF(BQ$6="","",IF(BQ$3="Maior",iferror(VLOOKUP($R604,Capa!$A:$AJ,BQ$5,0),0),IF(ISERROR(1/VLOOKUP($R604,Capa!$A:$AJ,BQ$5,0)),0,1/VLOOKUP($R604,Capa!$A:$AJ,BQ$5,0))))</f>
        <v/>
      </c>
      <c r="BR604" s="175"/>
      <c r="BS604" s="147"/>
    </row>
    <row r="605">
      <c r="H605" s="8">
        <v>599.0</v>
      </c>
      <c r="I605" s="165" t="str">
        <f t="shared" si="6"/>
        <v>CGRA3</v>
      </c>
      <c r="J605" s="166" t="str">
        <f>(VLOOKUP($I605,Capa!$A:$B,2,0))</f>
        <v>Grazziotin SA</v>
      </c>
      <c r="K605" s="167" t="str">
        <f>VLOOKUP(left(I605,4),Setor!A:D,3,0)&amp;" | "&amp;VLOOKUP(left(I605,4),Setor!A:D,4,0)</f>
        <v>Consumo Cíclico | Comércio</v>
      </c>
      <c r="L605" s="168">
        <f>(VLOOKUP($I605,Capa!$A:$F,6,0))</f>
        <v>27.5</v>
      </c>
      <c r="M605" s="168">
        <f t="shared" si="7"/>
        <v>50002.95</v>
      </c>
      <c r="N605" s="11" t="str">
        <f>IFERROR(__xludf.DUMMYFUNCTION("(VLOOKUP($I605,Capa!$A:$H,7,0))"),"")</f>
        <v/>
      </c>
      <c r="O605" s="169">
        <f>(VLOOKUP($I605,Capa!$A:$H,8,0))</f>
        <v>0.03539156627</v>
      </c>
      <c r="P605" s="11" t="str">
        <f>IFERROR(__xludf.DUMMYFUNCTION("(VLOOKUP($I605,Capa!$A:$J,10,0))"),"")</f>
        <v/>
      </c>
      <c r="Q605" s="169">
        <f>(VLOOKUP($I605,Capa!$A:$K,11,0))</f>
        <v>0.2778810409</v>
      </c>
      <c r="R605" s="45" t="str">
        <f>'Dados StatusInvest'!A600</f>
        <v>VIVT4</v>
      </c>
      <c r="S605" s="170">
        <f t="shared" si="234"/>
        <v>1360.036</v>
      </c>
      <c r="T605" s="171">
        <f>VLOOKUP(R605,'Dados StatusInvest'!A:Z,26,0)</f>
        <v>0</v>
      </c>
      <c r="U605" s="172">
        <f t="shared" ref="U605:AS605" si="608">IF(AT605="","", RANK(AT605,AT$7:AT$626,0)+RANK(AT605,AT$7:AT$626,0)/10000)</f>
        <v>114.0114</v>
      </c>
      <c r="V605" s="172">
        <f t="shared" si="608"/>
        <v>246.0246</v>
      </c>
      <c r="W605" s="172" t="str">
        <f t="shared" si="608"/>
        <v/>
      </c>
      <c r="X605" s="172" t="str">
        <f t="shared" si="608"/>
        <v/>
      </c>
      <c r="Y605" s="172" t="str">
        <f t="shared" si="608"/>
        <v/>
      </c>
      <c r="Z605" s="172" t="str">
        <f t="shared" si="608"/>
        <v/>
      </c>
      <c r="AA605" s="172" t="str">
        <f t="shared" si="608"/>
        <v/>
      </c>
      <c r="AB605" s="172" t="str">
        <f t="shared" si="608"/>
        <v/>
      </c>
      <c r="AC605" s="172" t="str">
        <f t="shared" si="608"/>
        <v/>
      </c>
      <c r="AD605" s="172" t="str">
        <f t="shared" si="608"/>
        <v/>
      </c>
      <c r="AE605" s="172" t="str">
        <f t="shared" si="608"/>
        <v/>
      </c>
      <c r="AF605" s="172" t="str">
        <f t="shared" si="608"/>
        <v/>
      </c>
      <c r="AG605" s="172" t="str">
        <f t="shared" si="608"/>
        <v/>
      </c>
      <c r="AH605" s="172" t="str">
        <f t="shared" si="608"/>
        <v/>
      </c>
      <c r="AI605" s="172" t="str">
        <f t="shared" si="608"/>
        <v/>
      </c>
      <c r="AJ605" s="172" t="str">
        <f t="shared" si="608"/>
        <v/>
      </c>
      <c r="AK605" s="172" t="str">
        <f t="shared" si="608"/>
        <v/>
      </c>
      <c r="AL605" s="172" t="str">
        <f t="shared" si="608"/>
        <v/>
      </c>
      <c r="AM605" s="172" t="str">
        <f t="shared" si="608"/>
        <v/>
      </c>
      <c r="AN605" s="172" t="str">
        <f t="shared" si="608"/>
        <v/>
      </c>
      <c r="AO605" s="172" t="str">
        <f t="shared" si="608"/>
        <v/>
      </c>
      <c r="AP605" s="172" t="str">
        <f t="shared" si="608"/>
        <v/>
      </c>
      <c r="AQ605" s="172" t="str">
        <f t="shared" si="608"/>
        <v/>
      </c>
      <c r="AR605" s="172" t="str">
        <f t="shared" si="608"/>
        <v/>
      </c>
      <c r="AS605" s="172" t="str">
        <f t="shared" si="608"/>
        <v/>
      </c>
      <c r="AT605" s="173">
        <f>IF(AT$6="","",IF(AT$3="Maior",iferror(VLOOKUP($R605,Capa!$A:$AJ,AT$5,0),0),IF(ISERROR(1/VLOOKUP($R605,Capa!$A:$AJ,AT$5,0)),0,1/VLOOKUP($R605,Capa!$A:$AJ,AT$5,0))))</f>
        <v>-0.002515533419</v>
      </c>
      <c r="AU605" s="174">
        <f>IF(AU$6="","",IF(AU$3="Maior",iferror(VLOOKUP($R605,Capa!$A:$AJ,AU$5,0),0),IF(ISERROR(1/VLOOKUP($R605,Capa!$A:$AJ,AU$5,0)),0,1/VLOOKUP($R605,Capa!$A:$AJ,AU$5,0))))</f>
        <v>3.9</v>
      </c>
      <c r="AV605" s="174" t="str">
        <f>IF(AV$6="","",IF(AV$3="Maior",iferror(VLOOKUP($R605,Capa!$A:$AJ,AV$5,0),0),IF(ISERROR(1/VLOOKUP($R605,Capa!$A:$AJ,AV$5,0)),0,1/VLOOKUP($R605,Capa!$A:$AJ,AV$5,0))))</f>
        <v/>
      </c>
      <c r="AW605" s="174" t="str">
        <f>IF(AW$6="","",IF(AW$3="Maior",iferror(VLOOKUP($R605,Capa!$A:$AJ,AW$5,0),0),IF(ISERROR(1/VLOOKUP($R605,Capa!$A:$AJ,AW$5,0)),0,1/VLOOKUP($R605,Capa!$A:$AJ,AW$5,0))))</f>
        <v/>
      </c>
      <c r="AX605" s="174" t="str">
        <f>IF(AX$6="","",IF(AX$3="Maior",iferror(VLOOKUP($R605,Capa!$A:$AJ,AX$5,0),0),IF(ISERROR(1/VLOOKUP($R605,Capa!$A:$AJ,AX$5,0)),0,1/VLOOKUP($R605,Capa!$A:$AJ,AX$5,0))))</f>
        <v/>
      </c>
      <c r="AY605" s="174" t="str">
        <f>IF(AY$6="","",IF(AY$3="Maior",iferror(VLOOKUP($R605,Capa!$A:$AJ,AY$5,0),0),IF(ISERROR(1/VLOOKUP($R605,Capa!$A:$AJ,AY$5,0)),0,1/VLOOKUP($R605,Capa!$A:$AJ,AY$5,0))))</f>
        <v/>
      </c>
      <c r="AZ605" s="174" t="str">
        <f>IF(AZ$6="","",IF(AZ$3="Maior",iferror(VLOOKUP($R605,Capa!$A:$AJ,AZ$5,0),0),IF(ISERROR(1/VLOOKUP($R605,Capa!$A:$AJ,AZ$5,0)),0,1/VLOOKUP($R605,Capa!$A:$AJ,AZ$5,0))))</f>
        <v/>
      </c>
      <c r="BA605" s="174" t="str">
        <f>IF(BA$6="","",IF(BA$3="Maior",iferror(VLOOKUP($R605,Capa!$A:$AJ,BA$5,0),0),IF(ISERROR(1/VLOOKUP($R605,Capa!$A:$AJ,BA$5,0)),0,1/VLOOKUP($R605,Capa!$A:$AJ,BA$5,0))))</f>
        <v/>
      </c>
      <c r="BB605" s="174" t="str">
        <f>IF(BB$6="","",IF(BB$3="Maior",iferror(VLOOKUP($R605,Capa!$A:$AJ,BB$5,0),0),IF(ISERROR(1/VLOOKUP($R605,Capa!$A:$AJ,BB$5,0)),0,1/VLOOKUP($R605,Capa!$A:$AJ,BB$5,0))))</f>
        <v/>
      </c>
      <c r="BC605" s="174" t="str">
        <f>IF(BC$6="","",IF(BC$3="Maior",iferror(VLOOKUP($R605,Capa!$A:$AJ,BC$5,0),0),IF(ISERROR(1/VLOOKUP($R605,Capa!$A:$AJ,BC$5,0)),0,1/VLOOKUP($R605,Capa!$A:$AJ,BC$5,0))))</f>
        <v/>
      </c>
      <c r="BD605" s="174" t="str">
        <f>IF(BD$6="","",IF(BD$3="Maior",iferror(VLOOKUP($R605,Capa!$A:$AJ,BD$5,0),0),IF(ISERROR(1/VLOOKUP($R605,Capa!$A:$AJ,BD$5,0)),0,1/VLOOKUP($R605,Capa!$A:$AJ,BD$5,0))))</f>
        <v/>
      </c>
      <c r="BE605" s="174" t="str">
        <f>IF(BE$6="","",IF(BE$3="Maior",iferror(VLOOKUP($R605,Capa!$A:$AJ,BE$5,0),0),IF(ISERROR(1/VLOOKUP($R605,Capa!$A:$AJ,BE$5,0)),0,1/VLOOKUP($R605,Capa!$A:$AJ,BE$5,0))))</f>
        <v/>
      </c>
      <c r="BF605" s="174" t="str">
        <f>IF(BF$6="","",IF(BF$3="Maior",iferror(VLOOKUP($R605,Capa!$A:$AJ,BF$5,0),0),IF(ISERROR(1/VLOOKUP($R605,Capa!$A:$AJ,BF$5,0)),0,1/VLOOKUP($R605,Capa!$A:$AJ,BF$5,0))))</f>
        <v/>
      </c>
      <c r="BG605" s="174" t="str">
        <f>IF(BG$6="","",IF(BG$3="Maior",iferror(VLOOKUP($R605,Capa!$A:$AJ,BG$5,0),0),IF(ISERROR(1/VLOOKUP($R605,Capa!$A:$AJ,BG$5,0)),0,1/VLOOKUP($R605,Capa!$A:$AJ,BG$5,0))))</f>
        <v/>
      </c>
      <c r="BH605" s="174" t="str">
        <f>IF(BH$6="","",IF(BH$3="Maior",iferror(VLOOKUP($R605,Capa!$A:$AJ,BH$5,0),0),IF(ISERROR(1/VLOOKUP($R605,Capa!$A:$AJ,BH$5,0)),0,1/VLOOKUP($R605,Capa!$A:$AJ,BH$5,0))))</f>
        <v/>
      </c>
      <c r="BI605" s="174" t="str">
        <f>IF(BI$6="","",IF(BI$3="Maior",iferror(VLOOKUP($R605,Capa!$A:$AJ,BI$5,0),0),IF(ISERROR(1/VLOOKUP($R605,Capa!$A:$AJ,BI$5,0)),0,1/VLOOKUP($R605,Capa!$A:$AJ,BI$5,0))))</f>
        <v/>
      </c>
      <c r="BJ605" s="174" t="str">
        <f>IF(BJ$6="","",IF(BJ$3="Maior",iferror(VLOOKUP($R605,Capa!$A:$AJ,BJ$5,0),0),IF(ISERROR(1/VLOOKUP($R605,Capa!$A:$AJ,BJ$5,0)),0,1/VLOOKUP($R605,Capa!$A:$AJ,BJ$5,0))))</f>
        <v/>
      </c>
      <c r="BK605" s="174" t="str">
        <f>IF(BK$6="","",IF(BK$3="Maior",iferror(VLOOKUP($R605,Capa!$A:$AJ,BK$5,0),0),IF(ISERROR(1/VLOOKUP($R605,Capa!$A:$AJ,BK$5,0)),0,1/VLOOKUP($R605,Capa!$A:$AJ,BK$5,0))))</f>
        <v/>
      </c>
      <c r="BL605" s="174" t="str">
        <f>IF(BL$6="","",IF(BL$3="Maior",iferror(VLOOKUP($R605,Capa!$A:$AJ,BL$5,0),0),IF(ISERROR(1/VLOOKUP($R605,Capa!$A:$AJ,BL$5,0)),0,1/VLOOKUP($R605,Capa!$A:$AJ,BL$5,0))))</f>
        <v/>
      </c>
      <c r="BM605" s="174" t="str">
        <f>IF(BM$6="","",IF(BM$3="Maior",iferror(VLOOKUP($R605,Capa!$A:$AJ,BM$5,0),0),IF(ISERROR(1/VLOOKUP($R605,Capa!$A:$AJ,BM$5,0)),0,1/VLOOKUP($R605,Capa!$A:$AJ,BM$5,0))))</f>
        <v/>
      </c>
      <c r="BN605" s="174" t="str">
        <f>IF(BN$6="","",IF(BN$3="Maior",iferror(VLOOKUP($R605,Capa!$A:$AJ,BN$5,0),0),IF(ISERROR(1/VLOOKUP($R605,Capa!$A:$AJ,BN$5,0)),0,1/VLOOKUP($R605,Capa!$A:$AJ,BN$5,0))))</f>
        <v/>
      </c>
      <c r="BO605" s="174" t="str">
        <f>IF(BO$6="","",IF(BO$3="Maior",iferror(VLOOKUP($R605,Capa!$A:$AJ,BO$5,0),0),IF(ISERROR(1/VLOOKUP($R605,Capa!$A:$AJ,BO$5,0)),0,1/VLOOKUP($R605,Capa!$A:$AJ,BO$5,0))))</f>
        <v/>
      </c>
      <c r="BP605" s="174" t="str">
        <f>IF(BP$6="","",IF(BP$3="Maior",iferror(VLOOKUP($R605,Capa!$A:$AJ,BP$5,0),0),IF(ISERROR(1/VLOOKUP($R605,Capa!$A:$AJ,BP$5,0)),0,1/VLOOKUP($R605,Capa!$A:$AJ,BP$5,0))))</f>
        <v/>
      </c>
      <c r="BQ605" s="174" t="str">
        <f>IF(BQ$6="","",IF(BQ$3="Maior",iferror(VLOOKUP($R605,Capa!$A:$AJ,BQ$5,0),0),IF(ISERROR(1/VLOOKUP($R605,Capa!$A:$AJ,BQ$5,0)),0,1/VLOOKUP($R605,Capa!$A:$AJ,BQ$5,0))))</f>
        <v/>
      </c>
      <c r="BR605" s="175"/>
      <c r="BS605" s="147"/>
    </row>
    <row r="606">
      <c r="H606" s="8">
        <v>600.0</v>
      </c>
      <c r="I606" s="165" t="str">
        <f t="shared" si="6"/>
        <v>GEPA3</v>
      </c>
      <c r="J606" s="166" t="str">
        <f>(VLOOKUP($I606,Capa!$A:$B,2,0))</f>
        <v>Rio Paranapanema Energia SA</v>
      </c>
      <c r="K606" s="167" t="str">
        <f>VLOOKUP(left(I606,4),Setor!A:D,3,0)&amp;" | "&amp;VLOOKUP(left(I606,4),Setor!A:D,4,0)</f>
        <v>Utilidade Pública | Energia Elétrica</v>
      </c>
      <c r="L606" s="168">
        <f>(VLOOKUP($I606,Capa!$A:$F,6,0))</f>
        <v>33</v>
      </c>
      <c r="M606" s="168">
        <f t="shared" si="7"/>
        <v>8229.73</v>
      </c>
      <c r="N606" s="11" t="str">
        <f>IFERROR(__xludf.DUMMYFUNCTION("(VLOOKUP($I606,Capa!$A:$H,7,0))"),"")</f>
        <v/>
      </c>
      <c r="O606" s="169">
        <f>(VLOOKUP($I606,Capa!$A:$H,8,0))</f>
        <v>-0.003623188406</v>
      </c>
      <c r="P606" s="11" t="str">
        <f>IFERROR(__xludf.DUMMYFUNCTION("(VLOOKUP($I606,Capa!$A:$J,10,0))"),"")</f>
        <v/>
      </c>
      <c r="Q606" s="169">
        <f>(VLOOKUP($I606,Capa!$A:$K,11,0))</f>
        <v>0.09634551495</v>
      </c>
      <c r="R606" s="45" t="str">
        <f>'Dados StatusInvest'!A601</f>
        <v>VLID3</v>
      </c>
      <c r="S606" s="170">
        <f t="shared" si="234"/>
        <v>386.0386</v>
      </c>
      <c r="T606" s="171">
        <f>VLOOKUP(R606,'Dados StatusInvest'!A:Z,26,0)</f>
        <v>5950022</v>
      </c>
      <c r="U606" s="172">
        <f t="shared" ref="U606:AS606" si="609">IF(AT606="","", RANK(AT606,AT$7:AT$626,0)+RANK(AT606,AT$7:AT$626,0)/10000)</f>
        <v>321.0321</v>
      </c>
      <c r="V606" s="172">
        <f t="shared" si="609"/>
        <v>65.0065</v>
      </c>
      <c r="W606" s="172" t="str">
        <f t="shared" si="609"/>
        <v/>
      </c>
      <c r="X606" s="172" t="str">
        <f t="shared" si="609"/>
        <v/>
      </c>
      <c r="Y606" s="172" t="str">
        <f t="shared" si="609"/>
        <v/>
      </c>
      <c r="Z606" s="172" t="str">
        <f t="shared" si="609"/>
        <v/>
      </c>
      <c r="AA606" s="172" t="str">
        <f t="shared" si="609"/>
        <v/>
      </c>
      <c r="AB606" s="172" t="str">
        <f t="shared" si="609"/>
        <v/>
      </c>
      <c r="AC606" s="172" t="str">
        <f t="shared" si="609"/>
        <v/>
      </c>
      <c r="AD606" s="172" t="str">
        <f t="shared" si="609"/>
        <v/>
      </c>
      <c r="AE606" s="172" t="str">
        <f t="shared" si="609"/>
        <v/>
      </c>
      <c r="AF606" s="172" t="str">
        <f t="shared" si="609"/>
        <v/>
      </c>
      <c r="AG606" s="172" t="str">
        <f t="shared" si="609"/>
        <v/>
      </c>
      <c r="AH606" s="172" t="str">
        <f t="shared" si="609"/>
        <v/>
      </c>
      <c r="AI606" s="172" t="str">
        <f t="shared" si="609"/>
        <v/>
      </c>
      <c r="AJ606" s="172" t="str">
        <f t="shared" si="609"/>
        <v/>
      </c>
      <c r="AK606" s="172" t="str">
        <f t="shared" si="609"/>
        <v/>
      </c>
      <c r="AL606" s="172" t="str">
        <f t="shared" si="609"/>
        <v/>
      </c>
      <c r="AM606" s="172" t="str">
        <f t="shared" si="609"/>
        <v/>
      </c>
      <c r="AN606" s="172" t="str">
        <f t="shared" si="609"/>
        <v/>
      </c>
      <c r="AO606" s="172" t="str">
        <f t="shared" si="609"/>
        <v/>
      </c>
      <c r="AP606" s="172" t="str">
        <f t="shared" si="609"/>
        <v/>
      </c>
      <c r="AQ606" s="172" t="str">
        <f t="shared" si="609"/>
        <v/>
      </c>
      <c r="AR606" s="172" t="str">
        <f t="shared" si="609"/>
        <v/>
      </c>
      <c r="AS606" s="172" t="str">
        <f t="shared" si="609"/>
        <v/>
      </c>
      <c r="AT606" s="173">
        <f>IF(AT$6="","",IF(AT$3="Maior",iferror(VLOOKUP($R606,Capa!$A:$AJ,AT$5,0),0),IF(ISERROR(1/VLOOKUP($R606,Capa!$A:$AJ,AT$5,0)),0,1/VLOOKUP($R606,Capa!$A:$AJ,AT$5,0))))</f>
        <v>-0.7925548747</v>
      </c>
      <c r="AU606" s="174">
        <f>IF(AU$6="","",IF(AU$3="Maior",iferror(VLOOKUP($R606,Capa!$A:$AJ,AU$5,0),0),IF(ISERROR(1/VLOOKUP($R606,Capa!$A:$AJ,AU$5,0)),0,1/VLOOKUP($R606,Capa!$A:$AJ,AU$5,0))))</f>
        <v>34.57</v>
      </c>
      <c r="AV606" s="174" t="str">
        <f>IF(AV$6="","",IF(AV$3="Maior",iferror(VLOOKUP($R606,Capa!$A:$AJ,AV$5,0),0),IF(ISERROR(1/VLOOKUP($R606,Capa!$A:$AJ,AV$5,0)),0,1/VLOOKUP($R606,Capa!$A:$AJ,AV$5,0))))</f>
        <v/>
      </c>
      <c r="AW606" s="174" t="str">
        <f>IF(AW$6="","",IF(AW$3="Maior",iferror(VLOOKUP($R606,Capa!$A:$AJ,AW$5,0),0),IF(ISERROR(1/VLOOKUP($R606,Capa!$A:$AJ,AW$5,0)),0,1/VLOOKUP($R606,Capa!$A:$AJ,AW$5,0))))</f>
        <v/>
      </c>
      <c r="AX606" s="174" t="str">
        <f>IF(AX$6="","",IF(AX$3="Maior",iferror(VLOOKUP($R606,Capa!$A:$AJ,AX$5,0),0),IF(ISERROR(1/VLOOKUP($R606,Capa!$A:$AJ,AX$5,0)),0,1/VLOOKUP($R606,Capa!$A:$AJ,AX$5,0))))</f>
        <v/>
      </c>
      <c r="AY606" s="174" t="str">
        <f>IF(AY$6="","",IF(AY$3="Maior",iferror(VLOOKUP($R606,Capa!$A:$AJ,AY$5,0),0),IF(ISERROR(1/VLOOKUP($R606,Capa!$A:$AJ,AY$5,0)),0,1/VLOOKUP($R606,Capa!$A:$AJ,AY$5,0))))</f>
        <v/>
      </c>
      <c r="AZ606" s="174" t="str">
        <f>IF(AZ$6="","",IF(AZ$3="Maior",iferror(VLOOKUP($R606,Capa!$A:$AJ,AZ$5,0),0),IF(ISERROR(1/VLOOKUP($R606,Capa!$A:$AJ,AZ$5,0)),0,1/VLOOKUP($R606,Capa!$A:$AJ,AZ$5,0))))</f>
        <v/>
      </c>
      <c r="BA606" s="174" t="str">
        <f>IF(BA$6="","",IF(BA$3="Maior",iferror(VLOOKUP($R606,Capa!$A:$AJ,BA$5,0),0),IF(ISERROR(1/VLOOKUP($R606,Capa!$A:$AJ,BA$5,0)),0,1/VLOOKUP($R606,Capa!$A:$AJ,BA$5,0))))</f>
        <v/>
      </c>
      <c r="BB606" s="174" t="str">
        <f>IF(BB$6="","",IF(BB$3="Maior",iferror(VLOOKUP($R606,Capa!$A:$AJ,BB$5,0),0),IF(ISERROR(1/VLOOKUP($R606,Capa!$A:$AJ,BB$5,0)),0,1/VLOOKUP($R606,Capa!$A:$AJ,BB$5,0))))</f>
        <v/>
      </c>
      <c r="BC606" s="174" t="str">
        <f>IF(BC$6="","",IF(BC$3="Maior",iferror(VLOOKUP($R606,Capa!$A:$AJ,BC$5,0),0),IF(ISERROR(1/VLOOKUP($R606,Capa!$A:$AJ,BC$5,0)),0,1/VLOOKUP($R606,Capa!$A:$AJ,BC$5,0))))</f>
        <v/>
      </c>
      <c r="BD606" s="174" t="str">
        <f>IF(BD$6="","",IF(BD$3="Maior",iferror(VLOOKUP($R606,Capa!$A:$AJ,BD$5,0),0),IF(ISERROR(1/VLOOKUP($R606,Capa!$A:$AJ,BD$5,0)),0,1/VLOOKUP($R606,Capa!$A:$AJ,BD$5,0))))</f>
        <v/>
      </c>
      <c r="BE606" s="174" t="str">
        <f>IF(BE$6="","",IF(BE$3="Maior",iferror(VLOOKUP($R606,Capa!$A:$AJ,BE$5,0),0),IF(ISERROR(1/VLOOKUP($R606,Capa!$A:$AJ,BE$5,0)),0,1/VLOOKUP($R606,Capa!$A:$AJ,BE$5,0))))</f>
        <v/>
      </c>
      <c r="BF606" s="174" t="str">
        <f>IF(BF$6="","",IF(BF$3="Maior",iferror(VLOOKUP($R606,Capa!$A:$AJ,BF$5,0),0),IF(ISERROR(1/VLOOKUP($R606,Capa!$A:$AJ,BF$5,0)),0,1/VLOOKUP($R606,Capa!$A:$AJ,BF$5,0))))</f>
        <v/>
      </c>
      <c r="BG606" s="174" t="str">
        <f>IF(BG$6="","",IF(BG$3="Maior",iferror(VLOOKUP($R606,Capa!$A:$AJ,BG$5,0),0),IF(ISERROR(1/VLOOKUP($R606,Capa!$A:$AJ,BG$5,0)),0,1/VLOOKUP($R606,Capa!$A:$AJ,BG$5,0))))</f>
        <v/>
      </c>
      <c r="BH606" s="174" t="str">
        <f>IF(BH$6="","",IF(BH$3="Maior",iferror(VLOOKUP($R606,Capa!$A:$AJ,BH$5,0),0),IF(ISERROR(1/VLOOKUP($R606,Capa!$A:$AJ,BH$5,0)),0,1/VLOOKUP($R606,Capa!$A:$AJ,BH$5,0))))</f>
        <v/>
      </c>
      <c r="BI606" s="174" t="str">
        <f>IF(BI$6="","",IF(BI$3="Maior",iferror(VLOOKUP($R606,Capa!$A:$AJ,BI$5,0),0),IF(ISERROR(1/VLOOKUP($R606,Capa!$A:$AJ,BI$5,0)),0,1/VLOOKUP($R606,Capa!$A:$AJ,BI$5,0))))</f>
        <v/>
      </c>
      <c r="BJ606" s="174" t="str">
        <f>IF(BJ$6="","",IF(BJ$3="Maior",iferror(VLOOKUP($R606,Capa!$A:$AJ,BJ$5,0),0),IF(ISERROR(1/VLOOKUP($R606,Capa!$A:$AJ,BJ$5,0)),0,1/VLOOKUP($R606,Capa!$A:$AJ,BJ$5,0))))</f>
        <v/>
      </c>
      <c r="BK606" s="174" t="str">
        <f>IF(BK$6="","",IF(BK$3="Maior",iferror(VLOOKUP($R606,Capa!$A:$AJ,BK$5,0),0),IF(ISERROR(1/VLOOKUP($R606,Capa!$A:$AJ,BK$5,0)),0,1/VLOOKUP($R606,Capa!$A:$AJ,BK$5,0))))</f>
        <v/>
      </c>
      <c r="BL606" s="174" t="str">
        <f>IF(BL$6="","",IF(BL$3="Maior",iferror(VLOOKUP($R606,Capa!$A:$AJ,BL$5,0),0),IF(ISERROR(1/VLOOKUP($R606,Capa!$A:$AJ,BL$5,0)),0,1/VLOOKUP($R606,Capa!$A:$AJ,BL$5,0))))</f>
        <v/>
      </c>
      <c r="BM606" s="174" t="str">
        <f>IF(BM$6="","",IF(BM$3="Maior",iferror(VLOOKUP($R606,Capa!$A:$AJ,BM$5,0),0),IF(ISERROR(1/VLOOKUP($R606,Capa!$A:$AJ,BM$5,0)),0,1/VLOOKUP($R606,Capa!$A:$AJ,BM$5,0))))</f>
        <v/>
      </c>
      <c r="BN606" s="174" t="str">
        <f>IF(BN$6="","",IF(BN$3="Maior",iferror(VLOOKUP($R606,Capa!$A:$AJ,BN$5,0),0),IF(ISERROR(1/VLOOKUP($R606,Capa!$A:$AJ,BN$5,0)),0,1/VLOOKUP($R606,Capa!$A:$AJ,BN$5,0))))</f>
        <v/>
      </c>
      <c r="BO606" s="174" t="str">
        <f>IF(BO$6="","",IF(BO$3="Maior",iferror(VLOOKUP($R606,Capa!$A:$AJ,BO$5,0),0),IF(ISERROR(1/VLOOKUP($R606,Capa!$A:$AJ,BO$5,0)),0,1/VLOOKUP($R606,Capa!$A:$AJ,BO$5,0))))</f>
        <v/>
      </c>
      <c r="BP606" s="174" t="str">
        <f>IF(BP$6="","",IF(BP$3="Maior",iferror(VLOOKUP($R606,Capa!$A:$AJ,BP$5,0),0),IF(ISERROR(1/VLOOKUP($R606,Capa!$A:$AJ,BP$5,0)),0,1/VLOOKUP($R606,Capa!$A:$AJ,BP$5,0))))</f>
        <v/>
      </c>
      <c r="BQ606" s="174" t="str">
        <f>IF(BQ$6="","",IF(BQ$3="Maior",iferror(VLOOKUP($R606,Capa!$A:$AJ,BQ$5,0),0),IF(ISERROR(1/VLOOKUP($R606,Capa!$A:$AJ,BQ$5,0)),0,1/VLOOKUP($R606,Capa!$A:$AJ,BQ$5,0))))</f>
        <v/>
      </c>
      <c r="BR606" s="175"/>
      <c r="BS606" s="147"/>
    </row>
    <row r="607">
      <c r="H607" s="8">
        <v>601.0</v>
      </c>
      <c r="I607" s="165" t="str">
        <f t="shared" si="6"/>
        <v>CGRA4</v>
      </c>
      <c r="J607" s="166" t="str">
        <f>(VLOOKUP($I607,Capa!$A:$B,2,0))</f>
        <v>Grazziotin SA Preference Shares</v>
      </c>
      <c r="K607" s="167" t="str">
        <f>VLOOKUP(left(I607,4),Setor!A:D,3,0)&amp;" | "&amp;VLOOKUP(left(I607,4),Setor!A:D,4,0)</f>
        <v>Consumo Cíclico | Comércio</v>
      </c>
      <c r="L607" s="168">
        <f>(VLOOKUP($I607,Capa!$A:$F,6,0))</f>
        <v>27.02</v>
      </c>
      <c r="M607" s="168">
        <f t="shared" si="7"/>
        <v>251871.4</v>
      </c>
      <c r="N607" s="11" t="str">
        <f>IFERROR(__xludf.DUMMYFUNCTION("(VLOOKUP($I607,Capa!$A:$H,7,0))"),"")</f>
        <v/>
      </c>
      <c r="O607" s="169">
        <f>(VLOOKUP($I607,Capa!$A:$H,8,0))</f>
        <v>0.0340604669</v>
      </c>
      <c r="P607" s="11" t="str">
        <f>IFERROR(__xludf.DUMMYFUNCTION("(VLOOKUP($I607,Capa!$A:$J,10,0))"),"")</f>
        <v/>
      </c>
      <c r="Q607" s="169">
        <f>(VLOOKUP($I607,Capa!$A:$K,11,0))</f>
        <v>0.2154745839</v>
      </c>
      <c r="R607" s="45" t="str">
        <f>'Dados StatusInvest'!A602</f>
        <v>VSPT3</v>
      </c>
      <c r="S607" s="170">
        <f t="shared" si="234"/>
        <v>1285.0285</v>
      </c>
      <c r="T607" s="171">
        <f>VLOOKUP(R607,'Dados StatusInvest'!A:Z,26,0)</f>
        <v>0</v>
      </c>
      <c r="U607" s="172">
        <f t="shared" ref="U607:AS607" si="610">IF(AT607="","", RANK(AT607,AT$7:AT$626,0)+RANK(AT607,AT$7:AT$626,0)/10000)</f>
        <v>18.0018</v>
      </c>
      <c r="V607" s="172">
        <f t="shared" si="610"/>
        <v>267.0267</v>
      </c>
      <c r="W607" s="172" t="str">
        <f t="shared" si="610"/>
        <v/>
      </c>
      <c r="X607" s="172" t="str">
        <f t="shared" si="610"/>
        <v/>
      </c>
      <c r="Y607" s="172" t="str">
        <f t="shared" si="610"/>
        <v/>
      </c>
      <c r="Z607" s="172" t="str">
        <f t="shared" si="610"/>
        <v/>
      </c>
      <c r="AA607" s="172" t="str">
        <f t="shared" si="610"/>
        <v/>
      </c>
      <c r="AB607" s="172" t="str">
        <f t="shared" si="610"/>
        <v/>
      </c>
      <c r="AC607" s="172" t="str">
        <f t="shared" si="610"/>
        <v/>
      </c>
      <c r="AD607" s="172" t="str">
        <f t="shared" si="610"/>
        <v/>
      </c>
      <c r="AE607" s="172" t="str">
        <f t="shared" si="610"/>
        <v/>
      </c>
      <c r="AF607" s="172" t="str">
        <f t="shared" si="610"/>
        <v/>
      </c>
      <c r="AG607" s="172" t="str">
        <f t="shared" si="610"/>
        <v/>
      </c>
      <c r="AH607" s="172" t="str">
        <f t="shared" si="610"/>
        <v/>
      </c>
      <c r="AI607" s="172" t="str">
        <f t="shared" si="610"/>
        <v/>
      </c>
      <c r="AJ607" s="172" t="str">
        <f t="shared" si="610"/>
        <v/>
      </c>
      <c r="AK607" s="172" t="str">
        <f t="shared" si="610"/>
        <v/>
      </c>
      <c r="AL607" s="172" t="str">
        <f t="shared" si="610"/>
        <v/>
      </c>
      <c r="AM607" s="172" t="str">
        <f t="shared" si="610"/>
        <v/>
      </c>
      <c r="AN607" s="172" t="str">
        <f t="shared" si="610"/>
        <v/>
      </c>
      <c r="AO607" s="172" t="str">
        <f t="shared" si="610"/>
        <v/>
      </c>
      <c r="AP607" s="172" t="str">
        <f t="shared" si="610"/>
        <v/>
      </c>
      <c r="AQ607" s="172" t="str">
        <f t="shared" si="610"/>
        <v/>
      </c>
      <c r="AR607" s="172" t="str">
        <f t="shared" si="610"/>
        <v/>
      </c>
      <c r="AS607" s="172" t="str">
        <f t="shared" si="610"/>
        <v/>
      </c>
      <c r="AT607" s="173">
        <f>IF(AT$6="","",IF(AT$3="Maior",iferror(VLOOKUP($R607,Capa!$A:$AJ,AT$5,0),0),IF(ISERROR(1/VLOOKUP($R607,Capa!$A:$AJ,AT$5,0)),0,1/VLOOKUP($R607,Capa!$A:$AJ,AT$5,0))))</f>
        <v>0.2941176471</v>
      </c>
      <c r="AU607" s="174">
        <f>IF(AU$6="","",IF(AU$3="Maior",iferror(VLOOKUP($R607,Capa!$A:$AJ,AU$5,0),0),IF(ISERROR(1/VLOOKUP($R607,Capa!$A:$AJ,AU$5,0)),0,1/VLOOKUP($R607,Capa!$A:$AJ,AU$5,0))))</f>
        <v>0</v>
      </c>
      <c r="AV607" s="174" t="str">
        <f>IF(AV$6="","",IF(AV$3="Maior",iferror(VLOOKUP($R607,Capa!$A:$AJ,AV$5,0),0),IF(ISERROR(1/VLOOKUP($R607,Capa!$A:$AJ,AV$5,0)),0,1/VLOOKUP($R607,Capa!$A:$AJ,AV$5,0))))</f>
        <v/>
      </c>
      <c r="AW607" s="174" t="str">
        <f>IF(AW$6="","",IF(AW$3="Maior",iferror(VLOOKUP($R607,Capa!$A:$AJ,AW$5,0),0),IF(ISERROR(1/VLOOKUP($R607,Capa!$A:$AJ,AW$5,0)),0,1/VLOOKUP($R607,Capa!$A:$AJ,AW$5,0))))</f>
        <v/>
      </c>
      <c r="AX607" s="174" t="str">
        <f>IF(AX$6="","",IF(AX$3="Maior",iferror(VLOOKUP($R607,Capa!$A:$AJ,AX$5,0),0),IF(ISERROR(1/VLOOKUP($R607,Capa!$A:$AJ,AX$5,0)),0,1/VLOOKUP($R607,Capa!$A:$AJ,AX$5,0))))</f>
        <v/>
      </c>
      <c r="AY607" s="174" t="str">
        <f>IF(AY$6="","",IF(AY$3="Maior",iferror(VLOOKUP($R607,Capa!$A:$AJ,AY$5,0),0),IF(ISERROR(1/VLOOKUP($R607,Capa!$A:$AJ,AY$5,0)),0,1/VLOOKUP($R607,Capa!$A:$AJ,AY$5,0))))</f>
        <v/>
      </c>
      <c r="AZ607" s="174" t="str">
        <f>IF(AZ$6="","",IF(AZ$3="Maior",iferror(VLOOKUP($R607,Capa!$A:$AJ,AZ$5,0),0),IF(ISERROR(1/VLOOKUP($R607,Capa!$A:$AJ,AZ$5,0)),0,1/VLOOKUP($R607,Capa!$A:$AJ,AZ$5,0))))</f>
        <v/>
      </c>
      <c r="BA607" s="174" t="str">
        <f>IF(BA$6="","",IF(BA$3="Maior",iferror(VLOOKUP($R607,Capa!$A:$AJ,BA$5,0),0),IF(ISERROR(1/VLOOKUP($R607,Capa!$A:$AJ,BA$5,0)),0,1/VLOOKUP($R607,Capa!$A:$AJ,BA$5,0))))</f>
        <v/>
      </c>
      <c r="BB607" s="174" t="str">
        <f>IF(BB$6="","",IF(BB$3="Maior",iferror(VLOOKUP($R607,Capa!$A:$AJ,BB$5,0),0),IF(ISERROR(1/VLOOKUP($R607,Capa!$A:$AJ,BB$5,0)),0,1/VLOOKUP($R607,Capa!$A:$AJ,BB$5,0))))</f>
        <v/>
      </c>
      <c r="BC607" s="174" t="str">
        <f>IF(BC$6="","",IF(BC$3="Maior",iferror(VLOOKUP($R607,Capa!$A:$AJ,BC$5,0),0),IF(ISERROR(1/VLOOKUP($R607,Capa!$A:$AJ,BC$5,0)),0,1/VLOOKUP($R607,Capa!$A:$AJ,BC$5,0))))</f>
        <v/>
      </c>
      <c r="BD607" s="174" t="str">
        <f>IF(BD$6="","",IF(BD$3="Maior",iferror(VLOOKUP($R607,Capa!$A:$AJ,BD$5,0),0),IF(ISERROR(1/VLOOKUP($R607,Capa!$A:$AJ,BD$5,0)),0,1/VLOOKUP($R607,Capa!$A:$AJ,BD$5,0))))</f>
        <v/>
      </c>
      <c r="BE607" s="174" t="str">
        <f>IF(BE$6="","",IF(BE$3="Maior",iferror(VLOOKUP($R607,Capa!$A:$AJ,BE$5,0),0),IF(ISERROR(1/VLOOKUP($R607,Capa!$A:$AJ,BE$5,0)),0,1/VLOOKUP($R607,Capa!$A:$AJ,BE$5,0))))</f>
        <v/>
      </c>
      <c r="BF607" s="174" t="str">
        <f>IF(BF$6="","",IF(BF$3="Maior",iferror(VLOOKUP($R607,Capa!$A:$AJ,BF$5,0),0),IF(ISERROR(1/VLOOKUP($R607,Capa!$A:$AJ,BF$5,0)),0,1/VLOOKUP($R607,Capa!$A:$AJ,BF$5,0))))</f>
        <v/>
      </c>
      <c r="BG607" s="174" t="str">
        <f>IF(BG$6="","",IF(BG$3="Maior",iferror(VLOOKUP($R607,Capa!$A:$AJ,BG$5,0),0),IF(ISERROR(1/VLOOKUP($R607,Capa!$A:$AJ,BG$5,0)),0,1/VLOOKUP($R607,Capa!$A:$AJ,BG$5,0))))</f>
        <v/>
      </c>
      <c r="BH607" s="174" t="str">
        <f>IF(BH$6="","",IF(BH$3="Maior",iferror(VLOOKUP($R607,Capa!$A:$AJ,BH$5,0),0),IF(ISERROR(1/VLOOKUP($R607,Capa!$A:$AJ,BH$5,0)),0,1/VLOOKUP($R607,Capa!$A:$AJ,BH$5,0))))</f>
        <v/>
      </c>
      <c r="BI607" s="174" t="str">
        <f>IF(BI$6="","",IF(BI$3="Maior",iferror(VLOOKUP($R607,Capa!$A:$AJ,BI$5,0),0),IF(ISERROR(1/VLOOKUP($R607,Capa!$A:$AJ,BI$5,0)),0,1/VLOOKUP($R607,Capa!$A:$AJ,BI$5,0))))</f>
        <v/>
      </c>
      <c r="BJ607" s="174" t="str">
        <f>IF(BJ$6="","",IF(BJ$3="Maior",iferror(VLOOKUP($R607,Capa!$A:$AJ,BJ$5,0),0),IF(ISERROR(1/VLOOKUP($R607,Capa!$A:$AJ,BJ$5,0)),0,1/VLOOKUP($R607,Capa!$A:$AJ,BJ$5,0))))</f>
        <v/>
      </c>
      <c r="BK607" s="174" t="str">
        <f>IF(BK$6="","",IF(BK$3="Maior",iferror(VLOOKUP($R607,Capa!$A:$AJ,BK$5,0),0),IF(ISERROR(1/VLOOKUP($R607,Capa!$A:$AJ,BK$5,0)),0,1/VLOOKUP($R607,Capa!$A:$AJ,BK$5,0))))</f>
        <v/>
      </c>
      <c r="BL607" s="174" t="str">
        <f>IF(BL$6="","",IF(BL$3="Maior",iferror(VLOOKUP($R607,Capa!$A:$AJ,BL$5,0),0),IF(ISERROR(1/VLOOKUP($R607,Capa!$A:$AJ,BL$5,0)),0,1/VLOOKUP($R607,Capa!$A:$AJ,BL$5,0))))</f>
        <v/>
      </c>
      <c r="BM607" s="174" t="str">
        <f>IF(BM$6="","",IF(BM$3="Maior",iferror(VLOOKUP($R607,Capa!$A:$AJ,BM$5,0),0),IF(ISERROR(1/VLOOKUP($R607,Capa!$A:$AJ,BM$5,0)),0,1/VLOOKUP($R607,Capa!$A:$AJ,BM$5,0))))</f>
        <v/>
      </c>
      <c r="BN607" s="174" t="str">
        <f>IF(BN$6="","",IF(BN$3="Maior",iferror(VLOOKUP($R607,Capa!$A:$AJ,BN$5,0),0),IF(ISERROR(1/VLOOKUP($R607,Capa!$A:$AJ,BN$5,0)),0,1/VLOOKUP($R607,Capa!$A:$AJ,BN$5,0))))</f>
        <v/>
      </c>
      <c r="BO607" s="174" t="str">
        <f>IF(BO$6="","",IF(BO$3="Maior",iferror(VLOOKUP($R607,Capa!$A:$AJ,BO$5,0),0),IF(ISERROR(1/VLOOKUP($R607,Capa!$A:$AJ,BO$5,0)),0,1/VLOOKUP($R607,Capa!$A:$AJ,BO$5,0))))</f>
        <v/>
      </c>
      <c r="BP607" s="174" t="str">
        <f>IF(BP$6="","",IF(BP$3="Maior",iferror(VLOOKUP($R607,Capa!$A:$AJ,BP$5,0),0),IF(ISERROR(1/VLOOKUP($R607,Capa!$A:$AJ,BP$5,0)),0,1/VLOOKUP($R607,Capa!$A:$AJ,BP$5,0))))</f>
        <v/>
      </c>
      <c r="BQ607" s="174" t="str">
        <f>IF(BQ$6="","",IF(BQ$3="Maior",iferror(VLOOKUP($R607,Capa!$A:$AJ,BQ$5,0),0),IF(ISERROR(1/VLOOKUP($R607,Capa!$A:$AJ,BQ$5,0)),0,1/VLOOKUP($R607,Capa!$A:$AJ,BQ$5,0))))</f>
        <v/>
      </c>
      <c r="BR607" s="175"/>
      <c r="BS607" s="147"/>
    </row>
    <row r="608">
      <c r="H608" s="8">
        <v>602.0</v>
      </c>
      <c r="I608" s="165" t="str">
        <f t="shared" si="6"/>
        <v>DOHL3</v>
      </c>
      <c r="J608" s="166" t="str">
        <f>(VLOOKUP($I608,Capa!$A:$B,2,0))</f>
        <v>Dohler SA</v>
      </c>
      <c r="K608" s="167" t="str">
        <f>VLOOKUP(left(I608,4),Setor!A:D,3,0)&amp;" | "&amp;VLOOKUP(left(I608,4),Setor!A:D,4,0)</f>
        <v>Consumo Cíclico | Tecidos, Vestuário e Calçados</v>
      </c>
      <c r="L608" s="168">
        <f>(VLOOKUP($I608,Capa!$A:$F,6,0))</f>
        <v>6.51</v>
      </c>
      <c r="M608" s="168">
        <f t="shared" si="7"/>
        <v>1953</v>
      </c>
      <c r="N608" s="11" t="str">
        <f>IFERROR(__xludf.DUMMYFUNCTION("(VLOOKUP($I608,Capa!$A:$H,7,0))"),"")</f>
        <v/>
      </c>
      <c r="O608" s="169" t="str">
        <f>(VLOOKUP($I608,Capa!$A:$H,8,0))</f>
        <v/>
      </c>
      <c r="P608" s="11" t="str">
        <f>IFERROR(__xludf.DUMMYFUNCTION("(VLOOKUP($I608,Capa!$A:$J,10,0))"),"")</f>
        <v/>
      </c>
      <c r="Q608" s="169">
        <f>(VLOOKUP($I608,Capa!$A:$K,11,0))</f>
        <v>0.085</v>
      </c>
      <c r="R608" s="45" t="str">
        <f>'Dados StatusInvest'!A603</f>
        <v>VSPT4</v>
      </c>
      <c r="S608" s="170">
        <f t="shared" si="234"/>
        <v>1318.0318</v>
      </c>
      <c r="T608" s="171">
        <f>VLOOKUP(R608,'Dados StatusInvest'!A:Z,26,0)</f>
        <v>0</v>
      </c>
      <c r="U608" s="172">
        <f t="shared" ref="U608:AS608" si="611">IF(AT608="","", RANK(AT608,AT$7:AT$626,0)+RANK(AT608,AT$7:AT$626,0)/10000)</f>
        <v>51.0051</v>
      </c>
      <c r="V608" s="172">
        <f t="shared" si="611"/>
        <v>267.0267</v>
      </c>
      <c r="W608" s="172" t="str">
        <f t="shared" si="611"/>
        <v/>
      </c>
      <c r="X608" s="172" t="str">
        <f t="shared" si="611"/>
        <v/>
      </c>
      <c r="Y608" s="172" t="str">
        <f t="shared" si="611"/>
        <v/>
      </c>
      <c r="Z608" s="172" t="str">
        <f t="shared" si="611"/>
        <v/>
      </c>
      <c r="AA608" s="172" t="str">
        <f t="shared" si="611"/>
        <v/>
      </c>
      <c r="AB608" s="172" t="str">
        <f t="shared" si="611"/>
        <v/>
      </c>
      <c r="AC608" s="172" t="str">
        <f t="shared" si="611"/>
        <v/>
      </c>
      <c r="AD608" s="172" t="str">
        <f t="shared" si="611"/>
        <v/>
      </c>
      <c r="AE608" s="172" t="str">
        <f t="shared" si="611"/>
        <v/>
      </c>
      <c r="AF608" s="172" t="str">
        <f t="shared" si="611"/>
        <v/>
      </c>
      <c r="AG608" s="172" t="str">
        <f t="shared" si="611"/>
        <v/>
      </c>
      <c r="AH608" s="172" t="str">
        <f t="shared" si="611"/>
        <v/>
      </c>
      <c r="AI608" s="172" t="str">
        <f t="shared" si="611"/>
        <v/>
      </c>
      <c r="AJ608" s="172" t="str">
        <f t="shared" si="611"/>
        <v/>
      </c>
      <c r="AK608" s="172" t="str">
        <f t="shared" si="611"/>
        <v/>
      </c>
      <c r="AL608" s="172" t="str">
        <f t="shared" si="611"/>
        <v/>
      </c>
      <c r="AM608" s="172" t="str">
        <f t="shared" si="611"/>
        <v/>
      </c>
      <c r="AN608" s="172" t="str">
        <f t="shared" si="611"/>
        <v/>
      </c>
      <c r="AO608" s="172" t="str">
        <f t="shared" si="611"/>
        <v/>
      </c>
      <c r="AP608" s="172" t="str">
        <f t="shared" si="611"/>
        <v/>
      </c>
      <c r="AQ608" s="172" t="str">
        <f t="shared" si="611"/>
        <v/>
      </c>
      <c r="AR608" s="172" t="str">
        <f t="shared" si="611"/>
        <v/>
      </c>
      <c r="AS608" s="172" t="str">
        <f t="shared" si="611"/>
        <v/>
      </c>
      <c r="AT608" s="173">
        <f>IF(AT$6="","",IF(AT$3="Maior",iferror(VLOOKUP($R608,Capa!$A:$AJ,AT$5,0),0),IF(ISERROR(1/VLOOKUP($R608,Capa!$A:$AJ,AT$5,0)),0,1/VLOOKUP($R608,Capa!$A:$AJ,AT$5,0))))</f>
        <v>0</v>
      </c>
      <c r="AU608" s="174">
        <f>IF(AU$6="","",IF(AU$3="Maior",iferror(VLOOKUP($R608,Capa!$A:$AJ,AU$5,0),0),IF(ISERROR(1/VLOOKUP($R608,Capa!$A:$AJ,AU$5,0)),0,1/VLOOKUP($R608,Capa!$A:$AJ,AU$5,0))))</f>
        <v>0</v>
      </c>
      <c r="AV608" s="174" t="str">
        <f>IF(AV$6="","",IF(AV$3="Maior",iferror(VLOOKUP($R608,Capa!$A:$AJ,AV$5,0),0),IF(ISERROR(1/VLOOKUP($R608,Capa!$A:$AJ,AV$5,0)),0,1/VLOOKUP($R608,Capa!$A:$AJ,AV$5,0))))</f>
        <v/>
      </c>
      <c r="AW608" s="174" t="str">
        <f>IF(AW$6="","",IF(AW$3="Maior",iferror(VLOOKUP($R608,Capa!$A:$AJ,AW$5,0),0),IF(ISERROR(1/VLOOKUP($R608,Capa!$A:$AJ,AW$5,0)),0,1/VLOOKUP($R608,Capa!$A:$AJ,AW$5,0))))</f>
        <v/>
      </c>
      <c r="AX608" s="174" t="str">
        <f>IF(AX$6="","",IF(AX$3="Maior",iferror(VLOOKUP($R608,Capa!$A:$AJ,AX$5,0),0),IF(ISERROR(1/VLOOKUP($R608,Capa!$A:$AJ,AX$5,0)),0,1/VLOOKUP($R608,Capa!$A:$AJ,AX$5,0))))</f>
        <v/>
      </c>
      <c r="AY608" s="174" t="str">
        <f>IF(AY$6="","",IF(AY$3="Maior",iferror(VLOOKUP($R608,Capa!$A:$AJ,AY$5,0),0),IF(ISERROR(1/VLOOKUP($R608,Capa!$A:$AJ,AY$5,0)),0,1/VLOOKUP($R608,Capa!$A:$AJ,AY$5,0))))</f>
        <v/>
      </c>
      <c r="AZ608" s="174" t="str">
        <f>IF(AZ$6="","",IF(AZ$3="Maior",iferror(VLOOKUP($R608,Capa!$A:$AJ,AZ$5,0),0),IF(ISERROR(1/VLOOKUP($R608,Capa!$A:$AJ,AZ$5,0)),0,1/VLOOKUP($R608,Capa!$A:$AJ,AZ$5,0))))</f>
        <v/>
      </c>
      <c r="BA608" s="174" t="str">
        <f>IF(BA$6="","",IF(BA$3="Maior",iferror(VLOOKUP($R608,Capa!$A:$AJ,BA$5,0),0),IF(ISERROR(1/VLOOKUP($R608,Capa!$A:$AJ,BA$5,0)),0,1/VLOOKUP($R608,Capa!$A:$AJ,BA$5,0))))</f>
        <v/>
      </c>
      <c r="BB608" s="174" t="str">
        <f>IF(BB$6="","",IF(BB$3="Maior",iferror(VLOOKUP($R608,Capa!$A:$AJ,BB$5,0),0),IF(ISERROR(1/VLOOKUP($R608,Capa!$A:$AJ,BB$5,0)),0,1/VLOOKUP($R608,Capa!$A:$AJ,BB$5,0))))</f>
        <v/>
      </c>
      <c r="BC608" s="174" t="str">
        <f>IF(BC$6="","",IF(BC$3="Maior",iferror(VLOOKUP($R608,Capa!$A:$AJ,BC$5,0),0),IF(ISERROR(1/VLOOKUP($R608,Capa!$A:$AJ,BC$5,0)),0,1/VLOOKUP($R608,Capa!$A:$AJ,BC$5,0))))</f>
        <v/>
      </c>
      <c r="BD608" s="174" t="str">
        <f>IF(BD$6="","",IF(BD$3="Maior",iferror(VLOOKUP($R608,Capa!$A:$AJ,BD$5,0),0),IF(ISERROR(1/VLOOKUP($R608,Capa!$A:$AJ,BD$5,0)),0,1/VLOOKUP($R608,Capa!$A:$AJ,BD$5,0))))</f>
        <v/>
      </c>
      <c r="BE608" s="174" t="str">
        <f>IF(BE$6="","",IF(BE$3="Maior",iferror(VLOOKUP($R608,Capa!$A:$AJ,BE$5,0),0),IF(ISERROR(1/VLOOKUP($R608,Capa!$A:$AJ,BE$5,0)),0,1/VLOOKUP($R608,Capa!$A:$AJ,BE$5,0))))</f>
        <v/>
      </c>
      <c r="BF608" s="174" t="str">
        <f>IF(BF$6="","",IF(BF$3="Maior",iferror(VLOOKUP($R608,Capa!$A:$AJ,BF$5,0),0),IF(ISERROR(1/VLOOKUP($R608,Capa!$A:$AJ,BF$5,0)),0,1/VLOOKUP($R608,Capa!$A:$AJ,BF$5,0))))</f>
        <v/>
      </c>
      <c r="BG608" s="174" t="str">
        <f>IF(BG$6="","",IF(BG$3="Maior",iferror(VLOOKUP($R608,Capa!$A:$AJ,BG$5,0),0),IF(ISERROR(1/VLOOKUP($R608,Capa!$A:$AJ,BG$5,0)),0,1/VLOOKUP($R608,Capa!$A:$AJ,BG$5,0))))</f>
        <v/>
      </c>
      <c r="BH608" s="174" t="str">
        <f>IF(BH$6="","",IF(BH$3="Maior",iferror(VLOOKUP($R608,Capa!$A:$AJ,BH$5,0),0),IF(ISERROR(1/VLOOKUP($R608,Capa!$A:$AJ,BH$5,0)),0,1/VLOOKUP($R608,Capa!$A:$AJ,BH$5,0))))</f>
        <v/>
      </c>
      <c r="BI608" s="174" t="str">
        <f>IF(BI$6="","",IF(BI$3="Maior",iferror(VLOOKUP($R608,Capa!$A:$AJ,BI$5,0),0),IF(ISERROR(1/VLOOKUP($R608,Capa!$A:$AJ,BI$5,0)),0,1/VLOOKUP($R608,Capa!$A:$AJ,BI$5,0))))</f>
        <v/>
      </c>
      <c r="BJ608" s="174" t="str">
        <f>IF(BJ$6="","",IF(BJ$3="Maior",iferror(VLOOKUP($R608,Capa!$A:$AJ,BJ$5,0),0),IF(ISERROR(1/VLOOKUP($R608,Capa!$A:$AJ,BJ$5,0)),0,1/VLOOKUP($R608,Capa!$A:$AJ,BJ$5,0))))</f>
        <v/>
      </c>
      <c r="BK608" s="174" t="str">
        <f>IF(BK$6="","",IF(BK$3="Maior",iferror(VLOOKUP($R608,Capa!$A:$AJ,BK$5,0),0),IF(ISERROR(1/VLOOKUP($R608,Capa!$A:$AJ,BK$5,0)),0,1/VLOOKUP($R608,Capa!$A:$AJ,BK$5,0))))</f>
        <v/>
      </c>
      <c r="BL608" s="174" t="str">
        <f>IF(BL$6="","",IF(BL$3="Maior",iferror(VLOOKUP($R608,Capa!$A:$AJ,BL$5,0),0),IF(ISERROR(1/VLOOKUP($R608,Capa!$A:$AJ,BL$5,0)),0,1/VLOOKUP($R608,Capa!$A:$AJ,BL$5,0))))</f>
        <v/>
      </c>
      <c r="BM608" s="174" t="str">
        <f>IF(BM$6="","",IF(BM$3="Maior",iferror(VLOOKUP($R608,Capa!$A:$AJ,BM$5,0),0),IF(ISERROR(1/VLOOKUP($R608,Capa!$A:$AJ,BM$5,0)),0,1/VLOOKUP($R608,Capa!$A:$AJ,BM$5,0))))</f>
        <v/>
      </c>
      <c r="BN608" s="174" t="str">
        <f>IF(BN$6="","",IF(BN$3="Maior",iferror(VLOOKUP($R608,Capa!$A:$AJ,BN$5,0),0),IF(ISERROR(1/VLOOKUP($R608,Capa!$A:$AJ,BN$5,0)),0,1/VLOOKUP($R608,Capa!$A:$AJ,BN$5,0))))</f>
        <v/>
      </c>
      <c r="BO608" s="174" t="str">
        <f>IF(BO$6="","",IF(BO$3="Maior",iferror(VLOOKUP($R608,Capa!$A:$AJ,BO$5,0),0),IF(ISERROR(1/VLOOKUP($R608,Capa!$A:$AJ,BO$5,0)),0,1/VLOOKUP($R608,Capa!$A:$AJ,BO$5,0))))</f>
        <v/>
      </c>
      <c r="BP608" s="174" t="str">
        <f>IF(BP$6="","",IF(BP$3="Maior",iferror(VLOOKUP($R608,Capa!$A:$AJ,BP$5,0),0),IF(ISERROR(1/VLOOKUP($R608,Capa!$A:$AJ,BP$5,0)),0,1/VLOOKUP($R608,Capa!$A:$AJ,BP$5,0))))</f>
        <v/>
      </c>
      <c r="BQ608" s="174" t="str">
        <f>IF(BQ$6="","",IF(BQ$3="Maior",iferror(VLOOKUP($R608,Capa!$A:$AJ,BQ$5,0),0),IF(ISERROR(1/VLOOKUP($R608,Capa!$A:$AJ,BQ$5,0)),0,1/VLOOKUP($R608,Capa!$A:$AJ,BQ$5,0))))</f>
        <v/>
      </c>
      <c r="BR608" s="175"/>
      <c r="BS608" s="147"/>
    </row>
    <row r="609">
      <c r="H609" s="8">
        <v>603.0</v>
      </c>
      <c r="I609" s="165" t="str">
        <f t="shared" si="6"/>
        <v>PEAB3</v>
      </c>
      <c r="J609" s="166" t="str">
        <f>(VLOOKUP($I609,Capa!$A:$B,2,0))</f>
        <v>Companhia de Participacoes Alianca Bahia</v>
      </c>
      <c r="K609" s="167" t="str">
        <f>VLOOKUP(left(I609,4),Setor!A:D,3,0)&amp;" | "&amp;VLOOKUP(left(I609,4),Setor!A:D,4,0)</f>
        <v>Financeiro | Holdings Diversificadas</v>
      </c>
      <c r="L609" s="168">
        <f>(VLOOKUP($I609,Capa!$A:$F,6,0))</f>
        <v>41</v>
      </c>
      <c r="M609" s="168">
        <f t="shared" si="7"/>
        <v>5620.2</v>
      </c>
      <c r="N609" s="11" t="str">
        <f>IFERROR(__xludf.DUMMYFUNCTION("(VLOOKUP($I609,Capa!$A:$H,7,0))"),"")</f>
        <v/>
      </c>
      <c r="O609" s="169" t="str">
        <f>(VLOOKUP($I609,Capa!$A:$H,8,0))</f>
        <v/>
      </c>
      <c r="P609" s="11" t="str">
        <f>IFERROR(__xludf.DUMMYFUNCTION("(VLOOKUP($I609,Capa!$A:$J,10,0))"),"")</f>
        <v/>
      </c>
      <c r="Q609" s="169" t="str">
        <f>(VLOOKUP($I609,Capa!$A:$K,11,0))</f>
        <v/>
      </c>
      <c r="R609" s="45" t="str">
        <f>'Dados StatusInvest'!A604</f>
        <v>VSTE3</v>
      </c>
      <c r="S609" s="170">
        <f t="shared" si="234"/>
        <v>1762.0762</v>
      </c>
      <c r="T609" s="171">
        <f>VLOOKUP(R609,'Dados StatusInvest'!A:Z,26,0)</f>
        <v>109454.9</v>
      </c>
      <c r="U609" s="172">
        <f t="shared" ref="U609:AS609" si="612">IF(AT609="","", RANK(AT609,AT$7:AT$626,0)+RANK(AT609,AT$7:AT$626,0)/10000)</f>
        <v>495.0495</v>
      </c>
      <c r="V609" s="172">
        <f t="shared" si="612"/>
        <v>267.0267</v>
      </c>
      <c r="W609" s="172" t="str">
        <f t="shared" si="612"/>
        <v/>
      </c>
      <c r="X609" s="172" t="str">
        <f t="shared" si="612"/>
        <v/>
      </c>
      <c r="Y609" s="172" t="str">
        <f t="shared" si="612"/>
        <v/>
      </c>
      <c r="Z609" s="172" t="str">
        <f t="shared" si="612"/>
        <v/>
      </c>
      <c r="AA609" s="172" t="str">
        <f t="shared" si="612"/>
        <v/>
      </c>
      <c r="AB609" s="172" t="str">
        <f t="shared" si="612"/>
        <v/>
      </c>
      <c r="AC609" s="172" t="str">
        <f t="shared" si="612"/>
        <v/>
      </c>
      <c r="AD609" s="172" t="str">
        <f t="shared" si="612"/>
        <v/>
      </c>
      <c r="AE609" s="172" t="str">
        <f t="shared" si="612"/>
        <v/>
      </c>
      <c r="AF609" s="172" t="str">
        <f t="shared" si="612"/>
        <v/>
      </c>
      <c r="AG609" s="172" t="str">
        <f t="shared" si="612"/>
        <v/>
      </c>
      <c r="AH609" s="172" t="str">
        <f t="shared" si="612"/>
        <v/>
      </c>
      <c r="AI609" s="172" t="str">
        <f t="shared" si="612"/>
        <v/>
      </c>
      <c r="AJ609" s="172" t="str">
        <f t="shared" si="612"/>
        <v/>
      </c>
      <c r="AK609" s="172" t="str">
        <f t="shared" si="612"/>
        <v/>
      </c>
      <c r="AL609" s="172" t="str">
        <f t="shared" si="612"/>
        <v/>
      </c>
      <c r="AM609" s="172" t="str">
        <f t="shared" si="612"/>
        <v/>
      </c>
      <c r="AN609" s="172" t="str">
        <f t="shared" si="612"/>
        <v/>
      </c>
      <c r="AO609" s="172" t="str">
        <f t="shared" si="612"/>
        <v/>
      </c>
      <c r="AP609" s="172" t="str">
        <f t="shared" si="612"/>
        <v/>
      </c>
      <c r="AQ609" s="172" t="str">
        <f t="shared" si="612"/>
        <v/>
      </c>
      <c r="AR609" s="172" t="str">
        <f t="shared" si="612"/>
        <v/>
      </c>
      <c r="AS609" s="172" t="str">
        <f t="shared" si="612"/>
        <v/>
      </c>
      <c r="AT609" s="173">
        <f>IF(AT$6="","",IF(AT$3="Maior",iferror(VLOOKUP($R609,Capa!$A:$AJ,AT$5,0),0),IF(ISERROR(1/VLOOKUP($R609,Capa!$A:$AJ,AT$5,0)),0,1/VLOOKUP($R609,Capa!$A:$AJ,AT$5,0))))</f>
        <v>-2.96792328</v>
      </c>
      <c r="AU609" s="174">
        <f>IF(AU$6="","",IF(AU$3="Maior",iferror(VLOOKUP($R609,Capa!$A:$AJ,AU$5,0),0),IF(ISERROR(1/VLOOKUP($R609,Capa!$A:$AJ,AU$5,0)),0,1/VLOOKUP($R609,Capa!$A:$AJ,AU$5,0))))</f>
        <v>0</v>
      </c>
      <c r="AV609" s="174" t="str">
        <f>IF(AV$6="","",IF(AV$3="Maior",iferror(VLOOKUP($R609,Capa!$A:$AJ,AV$5,0),0),IF(ISERROR(1/VLOOKUP($R609,Capa!$A:$AJ,AV$5,0)),0,1/VLOOKUP($R609,Capa!$A:$AJ,AV$5,0))))</f>
        <v/>
      </c>
      <c r="AW609" s="174" t="str">
        <f>IF(AW$6="","",IF(AW$3="Maior",iferror(VLOOKUP($R609,Capa!$A:$AJ,AW$5,0),0),IF(ISERROR(1/VLOOKUP($R609,Capa!$A:$AJ,AW$5,0)),0,1/VLOOKUP($R609,Capa!$A:$AJ,AW$5,0))))</f>
        <v/>
      </c>
      <c r="AX609" s="174" t="str">
        <f>IF(AX$6="","",IF(AX$3="Maior",iferror(VLOOKUP($R609,Capa!$A:$AJ,AX$5,0),0),IF(ISERROR(1/VLOOKUP($R609,Capa!$A:$AJ,AX$5,0)),0,1/VLOOKUP($R609,Capa!$A:$AJ,AX$5,0))))</f>
        <v/>
      </c>
      <c r="AY609" s="174" t="str">
        <f>IF(AY$6="","",IF(AY$3="Maior",iferror(VLOOKUP($R609,Capa!$A:$AJ,AY$5,0),0),IF(ISERROR(1/VLOOKUP($R609,Capa!$A:$AJ,AY$5,0)),0,1/VLOOKUP($R609,Capa!$A:$AJ,AY$5,0))))</f>
        <v/>
      </c>
      <c r="AZ609" s="174" t="str">
        <f>IF(AZ$6="","",IF(AZ$3="Maior",iferror(VLOOKUP($R609,Capa!$A:$AJ,AZ$5,0),0),IF(ISERROR(1/VLOOKUP($R609,Capa!$A:$AJ,AZ$5,0)),0,1/VLOOKUP($R609,Capa!$A:$AJ,AZ$5,0))))</f>
        <v/>
      </c>
      <c r="BA609" s="174" t="str">
        <f>IF(BA$6="","",IF(BA$3="Maior",iferror(VLOOKUP($R609,Capa!$A:$AJ,BA$5,0),0),IF(ISERROR(1/VLOOKUP($R609,Capa!$A:$AJ,BA$5,0)),0,1/VLOOKUP($R609,Capa!$A:$AJ,BA$5,0))))</f>
        <v/>
      </c>
      <c r="BB609" s="174" t="str">
        <f>IF(BB$6="","",IF(BB$3="Maior",iferror(VLOOKUP($R609,Capa!$A:$AJ,BB$5,0),0),IF(ISERROR(1/VLOOKUP($R609,Capa!$A:$AJ,BB$5,0)),0,1/VLOOKUP($R609,Capa!$A:$AJ,BB$5,0))))</f>
        <v/>
      </c>
      <c r="BC609" s="174" t="str">
        <f>IF(BC$6="","",IF(BC$3="Maior",iferror(VLOOKUP($R609,Capa!$A:$AJ,BC$5,0),0),IF(ISERROR(1/VLOOKUP($R609,Capa!$A:$AJ,BC$5,0)),0,1/VLOOKUP($R609,Capa!$A:$AJ,BC$5,0))))</f>
        <v/>
      </c>
      <c r="BD609" s="174" t="str">
        <f>IF(BD$6="","",IF(BD$3="Maior",iferror(VLOOKUP($R609,Capa!$A:$AJ,BD$5,0),0),IF(ISERROR(1/VLOOKUP($R609,Capa!$A:$AJ,BD$5,0)),0,1/VLOOKUP($R609,Capa!$A:$AJ,BD$5,0))))</f>
        <v/>
      </c>
      <c r="BE609" s="174" t="str">
        <f>IF(BE$6="","",IF(BE$3="Maior",iferror(VLOOKUP($R609,Capa!$A:$AJ,BE$5,0),0),IF(ISERROR(1/VLOOKUP($R609,Capa!$A:$AJ,BE$5,0)),0,1/VLOOKUP($R609,Capa!$A:$AJ,BE$5,0))))</f>
        <v/>
      </c>
      <c r="BF609" s="174" t="str">
        <f>IF(BF$6="","",IF(BF$3="Maior",iferror(VLOOKUP($R609,Capa!$A:$AJ,BF$5,0),0),IF(ISERROR(1/VLOOKUP($R609,Capa!$A:$AJ,BF$5,0)),0,1/VLOOKUP($R609,Capa!$A:$AJ,BF$5,0))))</f>
        <v/>
      </c>
      <c r="BG609" s="174" t="str">
        <f>IF(BG$6="","",IF(BG$3="Maior",iferror(VLOOKUP($R609,Capa!$A:$AJ,BG$5,0),0),IF(ISERROR(1/VLOOKUP($R609,Capa!$A:$AJ,BG$5,0)),0,1/VLOOKUP($R609,Capa!$A:$AJ,BG$5,0))))</f>
        <v/>
      </c>
      <c r="BH609" s="174" t="str">
        <f>IF(BH$6="","",IF(BH$3="Maior",iferror(VLOOKUP($R609,Capa!$A:$AJ,BH$5,0),0),IF(ISERROR(1/VLOOKUP($R609,Capa!$A:$AJ,BH$5,0)),0,1/VLOOKUP($R609,Capa!$A:$AJ,BH$5,0))))</f>
        <v/>
      </c>
      <c r="BI609" s="174" t="str">
        <f>IF(BI$6="","",IF(BI$3="Maior",iferror(VLOOKUP($R609,Capa!$A:$AJ,BI$5,0),0),IF(ISERROR(1/VLOOKUP($R609,Capa!$A:$AJ,BI$5,0)),0,1/VLOOKUP($R609,Capa!$A:$AJ,BI$5,0))))</f>
        <v/>
      </c>
      <c r="BJ609" s="174" t="str">
        <f>IF(BJ$6="","",IF(BJ$3="Maior",iferror(VLOOKUP($R609,Capa!$A:$AJ,BJ$5,0),0),IF(ISERROR(1/VLOOKUP($R609,Capa!$A:$AJ,BJ$5,0)),0,1/VLOOKUP($R609,Capa!$A:$AJ,BJ$5,0))))</f>
        <v/>
      </c>
      <c r="BK609" s="174" t="str">
        <f>IF(BK$6="","",IF(BK$3="Maior",iferror(VLOOKUP($R609,Capa!$A:$AJ,BK$5,0),0),IF(ISERROR(1/VLOOKUP($R609,Capa!$A:$AJ,BK$5,0)),0,1/VLOOKUP($R609,Capa!$A:$AJ,BK$5,0))))</f>
        <v/>
      </c>
      <c r="BL609" s="174" t="str">
        <f>IF(BL$6="","",IF(BL$3="Maior",iferror(VLOOKUP($R609,Capa!$A:$AJ,BL$5,0),0),IF(ISERROR(1/VLOOKUP($R609,Capa!$A:$AJ,BL$5,0)),0,1/VLOOKUP($R609,Capa!$A:$AJ,BL$5,0))))</f>
        <v/>
      </c>
      <c r="BM609" s="174" t="str">
        <f>IF(BM$6="","",IF(BM$3="Maior",iferror(VLOOKUP($R609,Capa!$A:$AJ,BM$5,0),0),IF(ISERROR(1/VLOOKUP($R609,Capa!$A:$AJ,BM$5,0)),0,1/VLOOKUP($R609,Capa!$A:$AJ,BM$5,0))))</f>
        <v/>
      </c>
      <c r="BN609" s="174" t="str">
        <f>IF(BN$6="","",IF(BN$3="Maior",iferror(VLOOKUP($R609,Capa!$A:$AJ,BN$5,0),0),IF(ISERROR(1/VLOOKUP($R609,Capa!$A:$AJ,BN$5,0)),0,1/VLOOKUP($R609,Capa!$A:$AJ,BN$5,0))))</f>
        <v/>
      </c>
      <c r="BO609" s="174" t="str">
        <f>IF(BO$6="","",IF(BO$3="Maior",iferror(VLOOKUP($R609,Capa!$A:$AJ,BO$5,0),0),IF(ISERROR(1/VLOOKUP($R609,Capa!$A:$AJ,BO$5,0)),0,1/VLOOKUP($R609,Capa!$A:$AJ,BO$5,0))))</f>
        <v/>
      </c>
      <c r="BP609" s="174" t="str">
        <f>IF(BP$6="","",IF(BP$3="Maior",iferror(VLOOKUP($R609,Capa!$A:$AJ,BP$5,0),0),IF(ISERROR(1/VLOOKUP($R609,Capa!$A:$AJ,BP$5,0)),0,1/VLOOKUP($R609,Capa!$A:$AJ,BP$5,0))))</f>
        <v/>
      </c>
      <c r="BQ609" s="174" t="str">
        <f>IF(BQ$6="","",IF(BQ$3="Maior",iferror(VLOOKUP($R609,Capa!$A:$AJ,BQ$5,0),0),IF(ISERROR(1/VLOOKUP($R609,Capa!$A:$AJ,BQ$5,0)),0,1/VLOOKUP($R609,Capa!$A:$AJ,BQ$5,0))))</f>
        <v/>
      </c>
      <c r="BR609" s="175"/>
      <c r="BS609" s="147"/>
    </row>
    <row r="610">
      <c r="H610" s="8">
        <v>604.0</v>
      </c>
      <c r="I610" s="165" t="str">
        <f t="shared" si="6"/>
        <v>PEAB4</v>
      </c>
      <c r="J610" s="166" t="str">
        <f>(VLOOKUP($I610,Capa!$A:$B,2,0))</f>
        <v>Companhia de Participacoes Alianca Bahia Preference Shares</v>
      </c>
      <c r="K610" s="167" t="str">
        <f>VLOOKUP(left(I610,4),Setor!A:D,3,0)&amp;" | "&amp;VLOOKUP(left(I610,4),Setor!A:D,4,0)</f>
        <v>Financeiro | Holdings Diversificadas</v>
      </c>
      <c r="L610" s="168">
        <f>(VLOOKUP($I610,Capa!$A:$F,6,0))</f>
        <v>40.8</v>
      </c>
      <c r="M610" s="168">
        <f t="shared" si="7"/>
        <v>16690.18</v>
      </c>
      <c r="N610" s="11" t="str">
        <f>IFERROR(__xludf.DUMMYFUNCTION("(VLOOKUP($I610,Capa!$A:$H,7,0))"),"")</f>
        <v/>
      </c>
      <c r="O610" s="169" t="str">
        <f>(VLOOKUP($I610,Capa!$A:$H,8,0))</f>
        <v/>
      </c>
      <c r="P610" s="11" t="str">
        <f>IFERROR(__xludf.DUMMYFUNCTION("(VLOOKUP($I610,Capa!$A:$J,10,0))"),"")</f>
        <v/>
      </c>
      <c r="Q610" s="169" t="str">
        <f>(VLOOKUP($I610,Capa!$A:$K,11,0))</f>
        <v/>
      </c>
      <c r="R610" s="45" t="str">
        <f>'Dados StatusInvest'!A605</f>
        <v>VTRU3</v>
      </c>
      <c r="S610" s="170">
        <f t="shared" si="234"/>
        <v>459.0459</v>
      </c>
      <c r="T610" s="171">
        <f>VLOOKUP(R610,'Dados StatusInvest'!A:Z,26,0)</f>
        <v>9220640</v>
      </c>
      <c r="U610" s="172">
        <f t="shared" ref="U610:AS610" si="613">IF(AT610="","", RANK(AT610,AT$7:AT$626,0)+RANK(AT610,AT$7:AT$626,0)/10000)</f>
        <v>192.0192</v>
      </c>
      <c r="V610" s="172">
        <f t="shared" si="613"/>
        <v>267.0267</v>
      </c>
      <c r="W610" s="172" t="str">
        <f t="shared" si="613"/>
        <v/>
      </c>
      <c r="X610" s="172" t="str">
        <f t="shared" si="613"/>
        <v/>
      </c>
      <c r="Y610" s="172" t="str">
        <f t="shared" si="613"/>
        <v/>
      </c>
      <c r="Z610" s="172" t="str">
        <f t="shared" si="613"/>
        <v/>
      </c>
      <c r="AA610" s="172" t="str">
        <f t="shared" si="613"/>
        <v/>
      </c>
      <c r="AB610" s="172" t="str">
        <f t="shared" si="613"/>
        <v/>
      </c>
      <c r="AC610" s="172" t="str">
        <f t="shared" si="613"/>
        <v/>
      </c>
      <c r="AD610" s="172" t="str">
        <f t="shared" si="613"/>
        <v/>
      </c>
      <c r="AE610" s="172" t="str">
        <f t="shared" si="613"/>
        <v/>
      </c>
      <c r="AF610" s="172" t="str">
        <f t="shared" si="613"/>
        <v/>
      </c>
      <c r="AG610" s="172" t="str">
        <f t="shared" si="613"/>
        <v/>
      </c>
      <c r="AH610" s="172" t="str">
        <f t="shared" si="613"/>
        <v/>
      </c>
      <c r="AI610" s="172" t="str">
        <f t="shared" si="613"/>
        <v/>
      </c>
      <c r="AJ610" s="172" t="str">
        <f t="shared" si="613"/>
        <v/>
      </c>
      <c r="AK610" s="172" t="str">
        <f t="shared" si="613"/>
        <v/>
      </c>
      <c r="AL610" s="172" t="str">
        <f t="shared" si="613"/>
        <v/>
      </c>
      <c r="AM610" s="172" t="str">
        <f t="shared" si="613"/>
        <v/>
      </c>
      <c r="AN610" s="172" t="str">
        <f t="shared" si="613"/>
        <v/>
      </c>
      <c r="AO610" s="172" t="str">
        <f t="shared" si="613"/>
        <v/>
      </c>
      <c r="AP610" s="172" t="str">
        <f t="shared" si="613"/>
        <v/>
      </c>
      <c r="AQ610" s="172" t="str">
        <f t="shared" si="613"/>
        <v/>
      </c>
      <c r="AR610" s="172" t="str">
        <f t="shared" si="613"/>
        <v/>
      </c>
      <c r="AS610" s="172" t="str">
        <f t="shared" si="613"/>
        <v/>
      </c>
      <c r="AT610" s="173">
        <f>IF(AT$6="","",IF(AT$3="Maior",iferror(VLOOKUP($R610,Capa!$A:$AJ,AT$5,0),0),IF(ISERROR(1/VLOOKUP($R610,Capa!$A:$AJ,AT$5,0)),0,1/VLOOKUP($R610,Capa!$A:$AJ,AT$5,0))))</f>
        <v>-0.2495725824</v>
      </c>
      <c r="AU610" s="174">
        <f>IF(AU$6="","",IF(AU$3="Maior",iferror(VLOOKUP($R610,Capa!$A:$AJ,AU$5,0),0),IF(ISERROR(1/VLOOKUP($R610,Capa!$A:$AJ,AU$5,0)),0,1/VLOOKUP($R610,Capa!$A:$AJ,AU$5,0))))</f>
        <v>0</v>
      </c>
      <c r="AV610" s="174" t="str">
        <f>IF(AV$6="","",IF(AV$3="Maior",iferror(VLOOKUP($R610,Capa!$A:$AJ,AV$5,0),0),IF(ISERROR(1/VLOOKUP($R610,Capa!$A:$AJ,AV$5,0)),0,1/VLOOKUP($R610,Capa!$A:$AJ,AV$5,0))))</f>
        <v/>
      </c>
      <c r="AW610" s="174" t="str">
        <f>IF(AW$6="","",IF(AW$3="Maior",iferror(VLOOKUP($R610,Capa!$A:$AJ,AW$5,0),0),IF(ISERROR(1/VLOOKUP($R610,Capa!$A:$AJ,AW$5,0)),0,1/VLOOKUP($R610,Capa!$A:$AJ,AW$5,0))))</f>
        <v/>
      </c>
      <c r="AX610" s="174" t="str">
        <f>IF(AX$6="","",IF(AX$3="Maior",iferror(VLOOKUP($R610,Capa!$A:$AJ,AX$5,0),0),IF(ISERROR(1/VLOOKUP($R610,Capa!$A:$AJ,AX$5,0)),0,1/VLOOKUP($R610,Capa!$A:$AJ,AX$5,0))))</f>
        <v/>
      </c>
      <c r="AY610" s="174" t="str">
        <f>IF(AY$6="","",IF(AY$3="Maior",iferror(VLOOKUP($R610,Capa!$A:$AJ,AY$5,0),0),IF(ISERROR(1/VLOOKUP($R610,Capa!$A:$AJ,AY$5,0)),0,1/VLOOKUP($R610,Capa!$A:$AJ,AY$5,0))))</f>
        <v/>
      </c>
      <c r="AZ610" s="174" t="str">
        <f>IF(AZ$6="","",IF(AZ$3="Maior",iferror(VLOOKUP($R610,Capa!$A:$AJ,AZ$5,0),0),IF(ISERROR(1/VLOOKUP($R610,Capa!$A:$AJ,AZ$5,0)),0,1/VLOOKUP($R610,Capa!$A:$AJ,AZ$5,0))))</f>
        <v/>
      </c>
      <c r="BA610" s="174" t="str">
        <f>IF(BA$6="","",IF(BA$3="Maior",iferror(VLOOKUP($R610,Capa!$A:$AJ,BA$5,0),0),IF(ISERROR(1/VLOOKUP($R610,Capa!$A:$AJ,BA$5,0)),0,1/VLOOKUP($R610,Capa!$A:$AJ,BA$5,0))))</f>
        <v/>
      </c>
      <c r="BB610" s="174" t="str">
        <f>IF(BB$6="","",IF(BB$3="Maior",iferror(VLOOKUP($R610,Capa!$A:$AJ,BB$5,0),0),IF(ISERROR(1/VLOOKUP($R610,Capa!$A:$AJ,BB$5,0)),0,1/VLOOKUP($R610,Capa!$A:$AJ,BB$5,0))))</f>
        <v/>
      </c>
      <c r="BC610" s="174" t="str">
        <f>IF(BC$6="","",IF(BC$3="Maior",iferror(VLOOKUP($R610,Capa!$A:$AJ,BC$5,0),0),IF(ISERROR(1/VLOOKUP($R610,Capa!$A:$AJ,BC$5,0)),0,1/VLOOKUP($R610,Capa!$A:$AJ,BC$5,0))))</f>
        <v/>
      </c>
      <c r="BD610" s="174" t="str">
        <f>IF(BD$6="","",IF(BD$3="Maior",iferror(VLOOKUP($R610,Capa!$A:$AJ,BD$5,0),0),IF(ISERROR(1/VLOOKUP($R610,Capa!$A:$AJ,BD$5,0)),0,1/VLOOKUP($R610,Capa!$A:$AJ,BD$5,0))))</f>
        <v/>
      </c>
      <c r="BE610" s="174" t="str">
        <f>IF(BE$6="","",IF(BE$3="Maior",iferror(VLOOKUP($R610,Capa!$A:$AJ,BE$5,0),0),IF(ISERROR(1/VLOOKUP($R610,Capa!$A:$AJ,BE$5,0)),0,1/VLOOKUP($R610,Capa!$A:$AJ,BE$5,0))))</f>
        <v/>
      </c>
      <c r="BF610" s="174" t="str">
        <f>IF(BF$6="","",IF(BF$3="Maior",iferror(VLOOKUP($R610,Capa!$A:$AJ,BF$5,0),0),IF(ISERROR(1/VLOOKUP($R610,Capa!$A:$AJ,BF$5,0)),0,1/VLOOKUP($R610,Capa!$A:$AJ,BF$5,0))))</f>
        <v/>
      </c>
      <c r="BG610" s="174" t="str">
        <f>IF(BG$6="","",IF(BG$3="Maior",iferror(VLOOKUP($R610,Capa!$A:$AJ,BG$5,0),0),IF(ISERROR(1/VLOOKUP($R610,Capa!$A:$AJ,BG$5,0)),0,1/VLOOKUP($R610,Capa!$A:$AJ,BG$5,0))))</f>
        <v/>
      </c>
      <c r="BH610" s="174" t="str">
        <f>IF(BH$6="","",IF(BH$3="Maior",iferror(VLOOKUP($R610,Capa!$A:$AJ,BH$5,0),0),IF(ISERROR(1/VLOOKUP($R610,Capa!$A:$AJ,BH$5,0)),0,1/VLOOKUP($R610,Capa!$A:$AJ,BH$5,0))))</f>
        <v/>
      </c>
      <c r="BI610" s="174" t="str">
        <f>IF(BI$6="","",IF(BI$3="Maior",iferror(VLOOKUP($R610,Capa!$A:$AJ,BI$5,0),0),IF(ISERROR(1/VLOOKUP($R610,Capa!$A:$AJ,BI$5,0)),0,1/VLOOKUP($R610,Capa!$A:$AJ,BI$5,0))))</f>
        <v/>
      </c>
      <c r="BJ610" s="174" t="str">
        <f>IF(BJ$6="","",IF(BJ$3="Maior",iferror(VLOOKUP($R610,Capa!$A:$AJ,BJ$5,0),0),IF(ISERROR(1/VLOOKUP($R610,Capa!$A:$AJ,BJ$5,0)),0,1/VLOOKUP($R610,Capa!$A:$AJ,BJ$5,0))))</f>
        <v/>
      </c>
      <c r="BK610" s="174" t="str">
        <f>IF(BK$6="","",IF(BK$3="Maior",iferror(VLOOKUP($R610,Capa!$A:$AJ,BK$5,0),0),IF(ISERROR(1/VLOOKUP($R610,Capa!$A:$AJ,BK$5,0)),0,1/VLOOKUP($R610,Capa!$A:$AJ,BK$5,0))))</f>
        <v/>
      </c>
      <c r="BL610" s="174" t="str">
        <f>IF(BL$6="","",IF(BL$3="Maior",iferror(VLOOKUP($R610,Capa!$A:$AJ,BL$5,0),0),IF(ISERROR(1/VLOOKUP($R610,Capa!$A:$AJ,BL$5,0)),0,1/VLOOKUP($R610,Capa!$A:$AJ,BL$5,0))))</f>
        <v/>
      </c>
      <c r="BM610" s="174" t="str">
        <f>IF(BM$6="","",IF(BM$3="Maior",iferror(VLOOKUP($R610,Capa!$A:$AJ,BM$5,0),0),IF(ISERROR(1/VLOOKUP($R610,Capa!$A:$AJ,BM$5,0)),0,1/VLOOKUP($R610,Capa!$A:$AJ,BM$5,0))))</f>
        <v/>
      </c>
      <c r="BN610" s="174" t="str">
        <f>IF(BN$6="","",IF(BN$3="Maior",iferror(VLOOKUP($R610,Capa!$A:$AJ,BN$5,0),0),IF(ISERROR(1/VLOOKUP($R610,Capa!$A:$AJ,BN$5,0)),0,1/VLOOKUP($R610,Capa!$A:$AJ,BN$5,0))))</f>
        <v/>
      </c>
      <c r="BO610" s="174" t="str">
        <f>IF(BO$6="","",IF(BO$3="Maior",iferror(VLOOKUP($R610,Capa!$A:$AJ,BO$5,0),0),IF(ISERROR(1/VLOOKUP($R610,Capa!$A:$AJ,BO$5,0)),0,1/VLOOKUP($R610,Capa!$A:$AJ,BO$5,0))))</f>
        <v/>
      </c>
      <c r="BP610" s="174" t="str">
        <f>IF(BP$6="","",IF(BP$3="Maior",iferror(VLOOKUP($R610,Capa!$A:$AJ,BP$5,0),0),IF(ISERROR(1/VLOOKUP($R610,Capa!$A:$AJ,BP$5,0)),0,1/VLOOKUP($R610,Capa!$A:$AJ,BP$5,0))))</f>
        <v/>
      </c>
      <c r="BQ610" s="174" t="str">
        <f>IF(BQ$6="","",IF(BQ$3="Maior",iferror(VLOOKUP($R610,Capa!$A:$AJ,BQ$5,0),0),IF(ISERROR(1/VLOOKUP($R610,Capa!$A:$AJ,BQ$5,0)),0,1/VLOOKUP($R610,Capa!$A:$AJ,BQ$5,0))))</f>
        <v/>
      </c>
      <c r="BR610" s="175"/>
      <c r="BS610" s="147"/>
    </row>
    <row r="611">
      <c r="H611" s="8">
        <v>605.0</v>
      </c>
      <c r="I611" s="165" t="str">
        <f t="shared" si="6"/>
        <v>MOAR3</v>
      </c>
      <c r="J611" s="166" t="str">
        <f>(VLOOKUP($I611,Capa!$A:$B,2,0))</f>
        <v>MONT ARANHA ON</v>
      </c>
      <c r="K611" s="167" t="str">
        <f>VLOOKUP(left(I611,4),Setor!A:D,3,0)&amp;" | "&amp;VLOOKUP(left(I611,4),Setor!A:D,4,0)</f>
        <v>Financeiro | Holdings Diversificadas</v>
      </c>
      <c r="L611" s="168">
        <f>(VLOOKUP($I611,Capa!$A:$F,6,0))</f>
        <v>61.21</v>
      </c>
      <c r="M611" s="168">
        <f t="shared" si="7"/>
        <v>66141.7</v>
      </c>
      <c r="N611" s="11" t="str">
        <f>IFERROR(__xludf.DUMMYFUNCTION("(VLOOKUP($I611,Capa!$A:$H,7,0))"),"")</f>
        <v/>
      </c>
      <c r="O611" s="169">
        <f>(VLOOKUP($I611,Capa!$A:$H,8,0))</f>
        <v>0.02016666667</v>
      </c>
      <c r="P611" s="11" t="str">
        <f>IFERROR(__xludf.DUMMYFUNCTION("(VLOOKUP($I611,Capa!$A:$J,10,0))"),"")</f>
        <v/>
      </c>
      <c r="Q611" s="169" t="str">
        <f>(VLOOKUP($I611,Capa!$A:$K,11,0))</f>
        <v/>
      </c>
      <c r="R611" s="45" t="str">
        <f>'Dados StatusInvest'!A606</f>
        <v>VULC3</v>
      </c>
      <c r="S611" s="170">
        <f t="shared" si="234"/>
        <v>212.0212</v>
      </c>
      <c r="T611" s="171">
        <f>VLOOKUP(R611,'Dados StatusInvest'!A:Z,26,0)</f>
        <v>33789978</v>
      </c>
      <c r="U611" s="172">
        <f t="shared" ref="U611:AS611" si="614">IF(AT611="","", RANK(AT611,AT$7:AT$626,0)+RANK(AT611,AT$7:AT$626,0)/10000)</f>
        <v>190.019</v>
      </c>
      <c r="V611" s="172">
        <f t="shared" si="614"/>
        <v>22.0022</v>
      </c>
      <c r="W611" s="172" t="str">
        <f t="shared" si="614"/>
        <v/>
      </c>
      <c r="X611" s="172" t="str">
        <f t="shared" si="614"/>
        <v/>
      </c>
      <c r="Y611" s="172" t="str">
        <f t="shared" si="614"/>
        <v/>
      </c>
      <c r="Z611" s="172" t="str">
        <f t="shared" si="614"/>
        <v/>
      </c>
      <c r="AA611" s="172" t="str">
        <f t="shared" si="614"/>
        <v/>
      </c>
      <c r="AB611" s="172" t="str">
        <f t="shared" si="614"/>
        <v/>
      </c>
      <c r="AC611" s="172" t="str">
        <f t="shared" si="614"/>
        <v/>
      </c>
      <c r="AD611" s="172" t="str">
        <f t="shared" si="614"/>
        <v/>
      </c>
      <c r="AE611" s="172" t="str">
        <f t="shared" si="614"/>
        <v/>
      </c>
      <c r="AF611" s="172" t="str">
        <f t="shared" si="614"/>
        <v/>
      </c>
      <c r="AG611" s="172" t="str">
        <f t="shared" si="614"/>
        <v/>
      </c>
      <c r="AH611" s="172" t="str">
        <f t="shared" si="614"/>
        <v/>
      </c>
      <c r="AI611" s="172" t="str">
        <f t="shared" si="614"/>
        <v/>
      </c>
      <c r="AJ611" s="172" t="str">
        <f t="shared" si="614"/>
        <v/>
      </c>
      <c r="AK611" s="172" t="str">
        <f t="shared" si="614"/>
        <v/>
      </c>
      <c r="AL611" s="172" t="str">
        <f t="shared" si="614"/>
        <v/>
      </c>
      <c r="AM611" s="172" t="str">
        <f t="shared" si="614"/>
        <v/>
      </c>
      <c r="AN611" s="172" t="str">
        <f t="shared" si="614"/>
        <v/>
      </c>
      <c r="AO611" s="172" t="str">
        <f t="shared" si="614"/>
        <v/>
      </c>
      <c r="AP611" s="172" t="str">
        <f t="shared" si="614"/>
        <v/>
      </c>
      <c r="AQ611" s="172" t="str">
        <f t="shared" si="614"/>
        <v/>
      </c>
      <c r="AR611" s="172" t="str">
        <f t="shared" si="614"/>
        <v/>
      </c>
      <c r="AS611" s="172" t="str">
        <f t="shared" si="614"/>
        <v/>
      </c>
      <c r="AT611" s="173">
        <f>IF(AT$6="","",IF(AT$3="Maior",iferror(VLOOKUP($R611,Capa!$A:$AJ,AT$5,0),0),IF(ISERROR(1/VLOOKUP($R611,Capa!$A:$AJ,AT$5,0)),0,1/VLOOKUP($R611,Capa!$A:$AJ,AT$5,0))))</f>
        <v>-0.2451459792</v>
      </c>
      <c r="AU611" s="174">
        <f>IF(AU$6="","",IF(AU$3="Maior",iferror(VLOOKUP($R611,Capa!$A:$AJ,AU$5,0),0),IF(ISERROR(1/VLOOKUP($R611,Capa!$A:$AJ,AU$5,0)),0,1/VLOOKUP($R611,Capa!$A:$AJ,AU$5,0))))</f>
        <v>52.39</v>
      </c>
      <c r="AV611" s="174" t="str">
        <f>IF(AV$6="","",IF(AV$3="Maior",iferror(VLOOKUP($R611,Capa!$A:$AJ,AV$5,0),0),IF(ISERROR(1/VLOOKUP($R611,Capa!$A:$AJ,AV$5,0)),0,1/VLOOKUP($R611,Capa!$A:$AJ,AV$5,0))))</f>
        <v/>
      </c>
      <c r="AW611" s="174" t="str">
        <f>IF(AW$6="","",IF(AW$3="Maior",iferror(VLOOKUP($R611,Capa!$A:$AJ,AW$5,0),0),IF(ISERROR(1/VLOOKUP($R611,Capa!$A:$AJ,AW$5,0)),0,1/VLOOKUP($R611,Capa!$A:$AJ,AW$5,0))))</f>
        <v/>
      </c>
      <c r="AX611" s="174" t="str">
        <f>IF(AX$6="","",IF(AX$3="Maior",iferror(VLOOKUP($R611,Capa!$A:$AJ,AX$5,0),0),IF(ISERROR(1/VLOOKUP($R611,Capa!$A:$AJ,AX$5,0)),0,1/VLOOKUP($R611,Capa!$A:$AJ,AX$5,0))))</f>
        <v/>
      </c>
      <c r="AY611" s="174" t="str">
        <f>IF(AY$6="","",IF(AY$3="Maior",iferror(VLOOKUP($R611,Capa!$A:$AJ,AY$5,0),0),IF(ISERROR(1/VLOOKUP($R611,Capa!$A:$AJ,AY$5,0)),0,1/VLOOKUP($R611,Capa!$A:$AJ,AY$5,0))))</f>
        <v/>
      </c>
      <c r="AZ611" s="174" t="str">
        <f>IF(AZ$6="","",IF(AZ$3="Maior",iferror(VLOOKUP($R611,Capa!$A:$AJ,AZ$5,0),0),IF(ISERROR(1/VLOOKUP($R611,Capa!$A:$AJ,AZ$5,0)),0,1/VLOOKUP($R611,Capa!$A:$AJ,AZ$5,0))))</f>
        <v/>
      </c>
      <c r="BA611" s="174" t="str">
        <f>IF(BA$6="","",IF(BA$3="Maior",iferror(VLOOKUP($R611,Capa!$A:$AJ,BA$5,0),0),IF(ISERROR(1/VLOOKUP($R611,Capa!$A:$AJ,BA$5,0)),0,1/VLOOKUP($R611,Capa!$A:$AJ,BA$5,0))))</f>
        <v/>
      </c>
      <c r="BB611" s="174" t="str">
        <f>IF(BB$6="","",IF(BB$3="Maior",iferror(VLOOKUP($R611,Capa!$A:$AJ,BB$5,0),0),IF(ISERROR(1/VLOOKUP($R611,Capa!$A:$AJ,BB$5,0)),0,1/VLOOKUP($R611,Capa!$A:$AJ,BB$5,0))))</f>
        <v/>
      </c>
      <c r="BC611" s="174" t="str">
        <f>IF(BC$6="","",IF(BC$3="Maior",iferror(VLOOKUP($R611,Capa!$A:$AJ,BC$5,0),0),IF(ISERROR(1/VLOOKUP($R611,Capa!$A:$AJ,BC$5,0)),0,1/VLOOKUP($R611,Capa!$A:$AJ,BC$5,0))))</f>
        <v/>
      </c>
      <c r="BD611" s="174" t="str">
        <f>IF(BD$6="","",IF(BD$3="Maior",iferror(VLOOKUP($R611,Capa!$A:$AJ,BD$5,0),0),IF(ISERROR(1/VLOOKUP($R611,Capa!$A:$AJ,BD$5,0)),0,1/VLOOKUP($R611,Capa!$A:$AJ,BD$5,0))))</f>
        <v/>
      </c>
      <c r="BE611" s="174" t="str">
        <f>IF(BE$6="","",IF(BE$3="Maior",iferror(VLOOKUP($R611,Capa!$A:$AJ,BE$5,0),0),IF(ISERROR(1/VLOOKUP($R611,Capa!$A:$AJ,BE$5,0)),0,1/VLOOKUP($R611,Capa!$A:$AJ,BE$5,0))))</f>
        <v/>
      </c>
      <c r="BF611" s="174" t="str">
        <f>IF(BF$6="","",IF(BF$3="Maior",iferror(VLOOKUP($R611,Capa!$A:$AJ,BF$5,0),0),IF(ISERROR(1/VLOOKUP($R611,Capa!$A:$AJ,BF$5,0)),0,1/VLOOKUP($R611,Capa!$A:$AJ,BF$5,0))))</f>
        <v/>
      </c>
      <c r="BG611" s="174" t="str">
        <f>IF(BG$6="","",IF(BG$3="Maior",iferror(VLOOKUP($R611,Capa!$A:$AJ,BG$5,0),0),IF(ISERROR(1/VLOOKUP($R611,Capa!$A:$AJ,BG$5,0)),0,1/VLOOKUP($R611,Capa!$A:$AJ,BG$5,0))))</f>
        <v/>
      </c>
      <c r="BH611" s="174" t="str">
        <f>IF(BH$6="","",IF(BH$3="Maior",iferror(VLOOKUP($R611,Capa!$A:$AJ,BH$5,0),0),IF(ISERROR(1/VLOOKUP($R611,Capa!$A:$AJ,BH$5,0)),0,1/VLOOKUP($R611,Capa!$A:$AJ,BH$5,0))))</f>
        <v/>
      </c>
      <c r="BI611" s="174" t="str">
        <f>IF(BI$6="","",IF(BI$3="Maior",iferror(VLOOKUP($R611,Capa!$A:$AJ,BI$5,0),0),IF(ISERROR(1/VLOOKUP($R611,Capa!$A:$AJ,BI$5,0)),0,1/VLOOKUP($R611,Capa!$A:$AJ,BI$5,0))))</f>
        <v/>
      </c>
      <c r="BJ611" s="174" t="str">
        <f>IF(BJ$6="","",IF(BJ$3="Maior",iferror(VLOOKUP($R611,Capa!$A:$AJ,BJ$5,0),0),IF(ISERROR(1/VLOOKUP($R611,Capa!$A:$AJ,BJ$5,0)),0,1/VLOOKUP($R611,Capa!$A:$AJ,BJ$5,0))))</f>
        <v/>
      </c>
      <c r="BK611" s="174" t="str">
        <f>IF(BK$6="","",IF(BK$3="Maior",iferror(VLOOKUP($R611,Capa!$A:$AJ,BK$5,0),0),IF(ISERROR(1/VLOOKUP($R611,Capa!$A:$AJ,BK$5,0)),0,1/VLOOKUP($R611,Capa!$A:$AJ,BK$5,0))))</f>
        <v/>
      </c>
      <c r="BL611" s="174" t="str">
        <f>IF(BL$6="","",IF(BL$3="Maior",iferror(VLOOKUP($R611,Capa!$A:$AJ,BL$5,0),0),IF(ISERROR(1/VLOOKUP($R611,Capa!$A:$AJ,BL$5,0)),0,1/VLOOKUP($R611,Capa!$A:$AJ,BL$5,0))))</f>
        <v/>
      </c>
      <c r="BM611" s="174" t="str">
        <f>IF(BM$6="","",IF(BM$3="Maior",iferror(VLOOKUP($R611,Capa!$A:$AJ,BM$5,0),0),IF(ISERROR(1/VLOOKUP($R611,Capa!$A:$AJ,BM$5,0)),0,1/VLOOKUP($R611,Capa!$A:$AJ,BM$5,0))))</f>
        <v/>
      </c>
      <c r="BN611" s="174" t="str">
        <f>IF(BN$6="","",IF(BN$3="Maior",iferror(VLOOKUP($R611,Capa!$A:$AJ,BN$5,0),0),IF(ISERROR(1/VLOOKUP($R611,Capa!$A:$AJ,BN$5,0)),0,1/VLOOKUP($R611,Capa!$A:$AJ,BN$5,0))))</f>
        <v/>
      </c>
      <c r="BO611" s="174" t="str">
        <f>IF(BO$6="","",IF(BO$3="Maior",iferror(VLOOKUP($R611,Capa!$A:$AJ,BO$5,0),0),IF(ISERROR(1/VLOOKUP($R611,Capa!$A:$AJ,BO$5,0)),0,1/VLOOKUP($R611,Capa!$A:$AJ,BO$5,0))))</f>
        <v/>
      </c>
      <c r="BP611" s="174" t="str">
        <f>IF(BP$6="","",IF(BP$3="Maior",iferror(VLOOKUP($R611,Capa!$A:$AJ,BP$5,0),0),IF(ISERROR(1/VLOOKUP($R611,Capa!$A:$AJ,BP$5,0)),0,1/VLOOKUP($R611,Capa!$A:$AJ,BP$5,0))))</f>
        <v/>
      </c>
      <c r="BQ611" s="174" t="str">
        <f>IF(BQ$6="","",IF(BQ$3="Maior",iferror(VLOOKUP($R611,Capa!$A:$AJ,BQ$5,0),0),IF(ISERROR(1/VLOOKUP($R611,Capa!$A:$AJ,BQ$5,0)),0,1/VLOOKUP($R611,Capa!$A:$AJ,BQ$5,0))))</f>
        <v/>
      </c>
      <c r="BR611" s="175"/>
      <c r="BS611" s="147"/>
    </row>
    <row r="612">
      <c r="H612" s="8">
        <v>606.0</v>
      </c>
      <c r="I612" s="165" t="str">
        <f t="shared" si="6"/>
        <v>NUTR3</v>
      </c>
      <c r="J612" s="166" t="str">
        <f>(VLOOKUP($I612,Capa!$A:$B,2,0))</f>
        <v>Nutriplant Industria e Comercio S/A</v>
      </c>
      <c r="K612" s="167" t="str">
        <f>VLOOKUP(left(I612,4),Setor!A:D,3,0)&amp;" | "&amp;VLOOKUP(left(I612,4),Setor!A:D,4,0)</f>
        <v>Materiais Básicos | Químicos</v>
      </c>
      <c r="L612" s="168">
        <f>(VLOOKUP($I612,Capa!$A:$F,6,0))</f>
        <v>2.47</v>
      </c>
      <c r="M612" s="168">
        <f t="shared" si="7"/>
        <v>7695.05</v>
      </c>
      <c r="N612" s="11" t="str">
        <f>IFERROR(__xludf.DUMMYFUNCTION("(VLOOKUP($I612,Capa!$A:$H,7,0))"),"")</f>
        <v/>
      </c>
      <c r="O612" s="169">
        <f>(VLOOKUP($I612,Capa!$A:$H,8,0))</f>
        <v>-0.04633204633</v>
      </c>
      <c r="P612" s="11" t="str">
        <f>IFERROR(__xludf.DUMMYFUNCTION("(VLOOKUP($I612,Capa!$A:$J,10,0))"),"")</f>
        <v/>
      </c>
      <c r="Q612" s="169">
        <f>(VLOOKUP($I612,Capa!$A:$K,11,0))</f>
        <v>-0.3195592287</v>
      </c>
      <c r="R612" s="45" t="str">
        <f>'Dados StatusInvest'!A607</f>
        <v>VVEO3</v>
      </c>
      <c r="S612" s="170">
        <f t="shared" si="234"/>
        <v>838.0838</v>
      </c>
      <c r="T612" s="171">
        <f>VLOOKUP(R612,'Dados StatusInvest'!A:Z,26,0)</f>
        <v>1848521</v>
      </c>
      <c r="U612" s="172">
        <f t="shared" ref="U612:AS612" si="615">IF(AT612="","", RANK(AT612,AT$7:AT$626,0)+RANK(AT612,AT$7:AT$626,0)/10000)</f>
        <v>571.0571</v>
      </c>
      <c r="V612" s="172">
        <f t="shared" si="615"/>
        <v>267.0267</v>
      </c>
      <c r="W612" s="172" t="str">
        <f t="shared" si="615"/>
        <v/>
      </c>
      <c r="X612" s="172" t="str">
        <f t="shared" si="615"/>
        <v/>
      </c>
      <c r="Y612" s="172" t="str">
        <f t="shared" si="615"/>
        <v/>
      </c>
      <c r="Z612" s="172" t="str">
        <f t="shared" si="615"/>
        <v/>
      </c>
      <c r="AA612" s="172" t="str">
        <f t="shared" si="615"/>
        <v/>
      </c>
      <c r="AB612" s="172" t="str">
        <f t="shared" si="615"/>
        <v/>
      </c>
      <c r="AC612" s="172" t="str">
        <f t="shared" si="615"/>
        <v/>
      </c>
      <c r="AD612" s="172" t="str">
        <f t="shared" si="615"/>
        <v/>
      </c>
      <c r="AE612" s="172" t="str">
        <f t="shared" si="615"/>
        <v/>
      </c>
      <c r="AF612" s="172" t="str">
        <f t="shared" si="615"/>
        <v/>
      </c>
      <c r="AG612" s="172" t="str">
        <f t="shared" si="615"/>
        <v/>
      </c>
      <c r="AH612" s="172" t="str">
        <f t="shared" si="615"/>
        <v/>
      </c>
      <c r="AI612" s="172" t="str">
        <f t="shared" si="615"/>
        <v/>
      </c>
      <c r="AJ612" s="172" t="str">
        <f t="shared" si="615"/>
        <v/>
      </c>
      <c r="AK612" s="172" t="str">
        <f t="shared" si="615"/>
        <v/>
      </c>
      <c r="AL612" s="172" t="str">
        <f t="shared" si="615"/>
        <v/>
      </c>
      <c r="AM612" s="172" t="str">
        <f t="shared" si="615"/>
        <v/>
      </c>
      <c r="AN612" s="172" t="str">
        <f t="shared" si="615"/>
        <v/>
      </c>
      <c r="AO612" s="172" t="str">
        <f t="shared" si="615"/>
        <v/>
      </c>
      <c r="AP612" s="172" t="str">
        <f t="shared" si="615"/>
        <v/>
      </c>
      <c r="AQ612" s="172" t="str">
        <f t="shared" si="615"/>
        <v/>
      </c>
      <c r="AR612" s="172" t="str">
        <f t="shared" si="615"/>
        <v/>
      </c>
      <c r="AS612" s="172" t="str">
        <f t="shared" si="615"/>
        <v/>
      </c>
      <c r="AT612" s="173">
        <f>IF(AT$6="","",IF(AT$3="Maior",iferror(VLOOKUP($R612,Capa!$A:$AJ,AT$5,0),0),IF(ISERROR(1/VLOOKUP($R612,Capa!$A:$AJ,AT$5,0)),0,1/VLOOKUP($R612,Capa!$A:$AJ,AT$5,0))))</f>
        <v>-7.790927022</v>
      </c>
      <c r="AU612" s="174">
        <f>IF(AU$6="","",IF(AU$3="Maior",iferror(VLOOKUP($R612,Capa!$A:$AJ,AU$5,0),0),IF(ISERROR(1/VLOOKUP($R612,Capa!$A:$AJ,AU$5,0)),0,1/VLOOKUP($R612,Capa!$A:$AJ,AU$5,0))))</f>
        <v>0</v>
      </c>
      <c r="AV612" s="174" t="str">
        <f>IF(AV$6="","",IF(AV$3="Maior",iferror(VLOOKUP($R612,Capa!$A:$AJ,AV$5,0),0),IF(ISERROR(1/VLOOKUP($R612,Capa!$A:$AJ,AV$5,0)),0,1/VLOOKUP($R612,Capa!$A:$AJ,AV$5,0))))</f>
        <v/>
      </c>
      <c r="AW612" s="174" t="str">
        <f>IF(AW$6="","",IF(AW$3="Maior",iferror(VLOOKUP($R612,Capa!$A:$AJ,AW$5,0),0),IF(ISERROR(1/VLOOKUP($R612,Capa!$A:$AJ,AW$5,0)),0,1/VLOOKUP($R612,Capa!$A:$AJ,AW$5,0))))</f>
        <v/>
      </c>
      <c r="AX612" s="174" t="str">
        <f>IF(AX$6="","",IF(AX$3="Maior",iferror(VLOOKUP($R612,Capa!$A:$AJ,AX$5,0),0),IF(ISERROR(1/VLOOKUP($R612,Capa!$A:$AJ,AX$5,0)),0,1/VLOOKUP($R612,Capa!$A:$AJ,AX$5,0))))</f>
        <v/>
      </c>
      <c r="AY612" s="174" t="str">
        <f>IF(AY$6="","",IF(AY$3="Maior",iferror(VLOOKUP($R612,Capa!$A:$AJ,AY$5,0),0),IF(ISERROR(1/VLOOKUP($R612,Capa!$A:$AJ,AY$5,0)),0,1/VLOOKUP($R612,Capa!$A:$AJ,AY$5,0))))</f>
        <v/>
      </c>
      <c r="AZ612" s="174" t="str">
        <f>IF(AZ$6="","",IF(AZ$3="Maior",iferror(VLOOKUP($R612,Capa!$A:$AJ,AZ$5,0),0),IF(ISERROR(1/VLOOKUP($R612,Capa!$A:$AJ,AZ$5,0)),0,1/VLOOKUP($R612,Capa!$A:$AJ,AZ$5,0))))</f>
        <v/>
      </c>
      <c r="BA612" s="174" t="str">
        <f>IF(BA$6="","",IF(BA$3="Maior",iferror(VLOOKUP($R612,Capa!$A:$AJ,BA$5,0),0),IF(ISERROR(1/VLOOKUP($R612,Capa!$A:$AJ,BA$5,0)),0,1/VLOOKUP($R612,Capa!$A:$AJ,BA$5,0))))</f>
        <v/>
      </c>
      <c r="BB612" s="174" t="str">
        <f>IF(BB$6="","",IF(BB$3="Maior",iferror(VLOOKUP($R612,Capa!$A:$AJ,BB$5,0),0),IF(ISERROR(1/VLOOKUP($R612,Capa!$A:$AJ,BB$5,0)),0,1/VLOOKUP($R612,Capa!$A:$AJ,BB$5,0))))</f>
        <v/>
      </c>
      <c r="BC612" s="174" t="str">
        <f>IF(BC$6="","",IF(BC$3="Maior",iferror(VLOOKUP($R612,Capa!$A:$AJ,BC$5,0),0),IF(ISERROR(1/VLOOKUP($R612,Capa!$A:$AJ,BC$5,0)),0,1/VLOOKUP($R612,Capa!$A:$AJ,BC$5,0))))</f>
        <v/>
      </c>
      <c r="BD612" s="174" t="str">
        <f>IF(BD$6="","",IF(BD$3="Maior",iferror(VLOOKUP($R612,Capa!$A:$AJ,BD$5,0),0),IF(ISERROR(1/VLOOKUP($R612,Capa!$A:$AJ,BD$5,0)),0,1/VLOOKUP($R612,Capa!$A:$AJ,BD$5,0))))</f>
        <v/>
      </c>
      <c r="BE612" s="174" t="str">
        <f>IF(BE$6="","",IF(BE$3="Maior",iferror(VLOOKUP($R612,Capa!$A:$AJ,BE$5,0),0),IF(ISERROR(1/VLOOKUP($R612,Capa!$A:$AJ,BE$5,0)),0,1/VLOOKUP($R612,Capa!$A:$AJ,BE$5,0))))</f>
        <v/>
      </c>
      <c r="BF612" s="174" t="str">
        <f>IF(BF$6="","",IF(BF$3="Maior",iferror(VLOOKUP($R612,Capa!$A:$AJ,BF$5,0),0),IF(ISERROR(1/VLOOKUP($R612,Capa!$A:$AJ,BF$5,0)),0,1/VLOOKUP($R612,Capa!$A:$AJ,BF$5,0))))</f>
        <v/>
      </c>
      <c r="BG612" s="174" t="str">
        <f>IF(BG$6="","",IF(BG$3="Maior",iferror(VLOOKUP($R612,Capa!$A:$AJ,BG$5,0),0),IF(ISERROR(1/VLOOKUP($R612,Capa!$A:$AJ,BG$5,0)),0,1/VLOOKUP($R612,Capa!$A:$AJ,BG$5,0))))</f>
        <v/>
      </c>
      <c r="BH612" s="174" t="str">
        <f>IF(BH$6="","",IF(BH$3="Maior",iferror(VLOOKUP($R612,Capa!$A:$AJ,BH$5,0),0),IF(ISERROR(1/VLOOKUP($R612,Capa!$A:$AJ,BH$5,0)),0,1/VLOOKUP($R612,Capa!$A:$AJ,BH$5,0))))</f>
        <v/>
      </c>
      <c r="BI612" s="174" t="str">
        <f>IF(BI$6="","",IF(BI$3="Maior",iferror(VLOOKUP($R612,Capa!$A:$AJ,BI$5,0),0),IF(ISERROR(1/VLOOKUP($R612,Capa!$A:$AJ,BI$5,0)),0,1/VLOOKUP($R612,Capa!$A:$AJ,BI$5,0))))</f>
        <v/>
      </c>
      <c r="BJ612" s="174" t="str">
        <f>IF(BJ$6="","",IF(BJ$3="Maior",iferror(VLOOKUP($R612,Capa!$A:$AJ,BJ$5,0),0),IF(ISERROR(1/VLOOKUP($R612,Capa!$A:$AJ,BJ$5,0)),0,1/VLOOKUP($R612,Capa!$A:$AJ,BJ$5,0))))</f>
        <v/>
      </c>
      <c r="BK612" s="174" t="str">
        <f>IF(BK$6="","",IF(BK$3="Maior",iferror(VLOOKUP($R612,Capa!$A:$AJ,BK$5,0),0),IF(ISERROR(1/VLOOKUP($R612,Capa!$A:$AJ,BK$5,0)),0,1/VLOOKUP($R612,Capa!$A:$AJ,BK$5,0))))</f>
        <v/>
      </c>
      <c r="BL612" s="174" t="str">
        <f>IF(BL$6="","",IF(BL$3="Maior",iferror(VLOOKUP($R612,Capa!$A:$AJ,BL$5,0),0),IF(ISERROR(1/VLOOKUP($R612,Capa!$A:$AJ,BL$5,0)),0,1/VLOOKUP($R612,Capa!$A:$AJ,BL$5,0))))</f>
        <v/>
      </c>
      <c r="BM612" s="174" t="str">
        <f>IF(BM$6="","",IF(BM$3="Maior",iferror(VLOOKUP($R612,Capa!$A:$AJ,BM$5,0),0),IF(ISERROR(1/VLOOKUP($R612,Capa!$A:$AJ,BM$5,0)),0,1/VLOOKUP($R612,Capa!$A:$AJ,BM$5,0))))</f>
        <v/>
      </c>
      <c r="BN612" s="174" t="str">
        <f>IF(BN$6="","",IF(BN$3="Maior",iferror(VLOOKUP($R612,Capa!$A:$AJ,BN$5,0),0),IF(ISERROR(1/VLOOKUP($R612,Capa!$A:$AJ,BN$5,0)),0,1/VLOOKUP($R612,Capa!$A:$AJ,BN$5,0))))</f>
        <v/>
      </c>
      <c r="BO612" s="174" t="str">
        <f>IF(BO$6="","",IF(BO$3="Maior",iferror(VLOOKUP($R612,Capa!$A:$AJ,BO$5,0),0),IF(ISERROR(1/VLOOKUP($R612,Capa!$A:$AJ,BO$5,0)),0,1/VLOOKUP($R612,Capa!$A:$AJ,BO$5,0))))</f>
        <v/>
      </c>
      <c r="BP612" s="174" t="str">
        <f>IF(BP$6="","",IF(BP$3="Maior",iferror(VLOOKUP($R612,Capa!$A:$AJ,BP$5,0),0),IF(ISERROR(1/VLOOKUP($R612,Capa!$A:$AJ,BP$5,0)),0,1/VLOOKUP($R612,Capa!$A:$AJ,BP$5,0))))</f>
        <v/>
      </c>
      <c r="BQ612" s="174" t="str">
        <f>IF(BQ$6="","",IF(BQ$3="Maior",iferror(VLOOKUP($R612,Capa!$A:$AJ,BQ$5,0),0),IF(ISERROR(1/VLOOKUP($R612,Capa!$A:$AJ,BQ$5,0)),0,1/VLOOKUP($R612,Capa!$A:$AJ,BQ$5,0))))</f>
        <v/>
      </c>
      <c r="BR612" s="175"/>
      <c r="BS612" s="147"/>
    </row>
    <row r="613">
      <c r="H613" s="8">
        <v>607.0</v>
      </c>
      <c r="I613" s="165" t="str">
        <f t="shared" si="6"/>
        <v>JOPA4</v>
      </c>
      <c r="J613" s="166" t="str">
        <f>(VLOOKUP($I613,Capa!$A:$B,2,0))</f>
        <v>Josapar Joaquim Oliveira SA Prtcpcs Preference Shares</v>
      </c>
      <c r="K613" s="167" t="str">
        <f>VLOOKUP(left(I613,4),Setor!A:D,3,0)&amp;" | "&amp;VLOOKUP(left(I613,4),Setor!A:D,4,0)</f>
        <v>Consumo não Cíclico | Alimentos Processados</v>
      </c>
      <c r="L613" s="168">
        <f>(VLOOKUP($I613,Capa!$A:$F,6,0))</f>
        <v>24</v>
      </c>
      <c r="M613" s="168">
        <f t="shared" si="7"/>
        <v>0</v>
      </c>
      <c r="N613" s="11" t="str">
        <f>IFERROR(__xludf.DUMMYFUNCTION("(VLOOKUP($I613,Capa!$A:$H,7,0))"),"")</f>
        <v/>
      </c>
      <c r="O613" s="169" t="str">
        <f>(VLOOKUP($I613,Capa!$A:$H,8,0))</f>
        <v/>
      </c>
      <c r="P613" s="11" t="str">
        <f>IFERROR(__xludf.DUMMYFUNCTION("(VLOOKUP($I613,Capa!$A:$J,10,0))"),"")</f>
        <v/>
      </c>
      <c r="Q613" s="169" t="str">
        <f>(VLOOKUP($I613,Capa!$A:$K,11,0))</f>
        <v/>
      </c>
      <c r="R613" s="45" t="str">
        <f>'Dados StatusInvest'!A608</f>
        <v>WDCN3</v>
      </c>
      <c r="S613" s="170">
        <f t="shared" si="234"/>
        <v>1795.0795</v>
      </c>
      <c r="T613" s="171">
        <f>VLOOKUP(R613,'Dados StatusInvest'!A:Z,26,0)</f>
        <v>75438.1</v>
      </c>
      <c r="U613" s="172">
        <f t="shared" ref="U613:AS613" si="616">IF(AT613="","", RANK(AT613,AT$7:AT$626,0)+RANK(AT613,AT$7:AT$626,0)/10000)</f>
        <v>528.0528</v>
      </c>
      <c r="V613" s="172">
        <f t="shared" si="616"/>
        <v>267.0267</v>
      </c>
      <c r="W613" s="172" t="str">
        <f t="shared" si="616"/>
        <v/>
      </c>
      <c r="X613" s="172" t="str">
        <f t="shared" si="616"/>
        <v/>
      </c>
      <c r="Y613" s="172" t="str">
        <f t="shared" si="616"/>
        <v/>
      </c>
      <c r="Z613" s="172" t="str">
        <f t="shared" si="616"/>
        <v/>
      </c>
      <c r="AA613" s="172" t="str">
        <f t="shared" si="616"/>
        <v/>
      </c>
      <c r="AB613" s="172" t="str">
        <f t="shared" si="616"/>
        <v/>
      </c>
      <c r="AC613" s="172" t="str">
        <f t="shared" si="616"/>
        <v/>
      </c>
      <c r="AD613" s="172" t="str">
        <f t="shared" si="616"/>
        <v/>
      </c>
      <c r="AE613" s="172" t="str">
        <f t="shared" si="616"/>
        <v/>
      </c>
      <c r="AF613" s="172" t="str">
        <f t="shared" si="616"/>
        <v/>
      </c>
      <c r="AG613" s="172" t="str">
        <f t="shared" si="616"/>
        <v/>
      </c>
      <c r="AH613" s="172" t="str">
        <f t="shared" si="616"/>
        <v/>
      </c>
      <c r="AI613" s="172" t="str">
        <f t="shared" si="616"/>
        <v/>
      </c>
      <c r="AJ613" s="172" t="str">
        <f t="shared" si="616"/>
        <v/>
      </c>
      <c r="AK613" s="172" t="str">
        <f t="shared" si="616"/>
        <v/>
      </c>
      <c r="AL613" s="172" t="str">
        <f t="shared" si="616"/>
        <v/>
      </c>
      <c r="AM613" s="172" t="str">
        <f t="shared" si="616"/>
        <v/>
      </c>
      <c r="AN613" s="172" t="str">
        <f t="shared" si="616"/>
        <v/>
      </c>
      <c r="AO613" s="172" t="str">
        <f t="shared" si="616"/>
        <v/>
      </c>
      <c r="AP613" s="172" t="str">
        <f t="shared" si="616"/>
        <v/>
      </c>
      <c r="AQ613" s="172" t="str">
        <f t="shared" si="616"/>
        <v/>
      </c>
      <c r="AR613" s="172" t="str">
        <f t="shared" si="616"/>
        <v/>
      </c>
      <c r="AS613" s="172" t="str">
        <f t="shared" si="616"/>
        <v/>
      </c>
      <c r="AT613" s="173">
        <f>IF(AT$6="","",IF(AT$3="Maior",iferror(VLOOKUP($R613,Capa!$A:$AJ,AT$5,0),0),IF(ISERROR(1/VLOOKUP($R613,Capa!$A:$AJ,AT$5,0)),0,1/VLOOKUP($R613,Capa!$A:$AJ,AT$5,0))))</f>
        <v>-4.240963855</v>
      </c>
      <c r="AU613" s="174">
        <f>IF(AU$6="","",IF(AU$3="Maior",iferror(VLOOKUP($R613,Capa!$A:$AJ,AU$5,0),0),IF(ISERROR(1/VLOOKUP($R613,Capa!$A:$AJ,AU$5,0)),0,1/VLOOKUP($R613,Capa!$A:$AJ,AU$5,0))))</f>
        <v>0</v>
      </c>
      <c r="AV613" s="174" t="str">
        <f>IF(AV$6="","",IF(AV$3="Maior",iferror(VLOOKUP($R613,Capa!$A:$AJ,AV$5,0),0),IF(ISERROR(1/VLOOKUP($R613,Capa!$A:$AJ,AV$5,0)),0,1/VLOOKUP($R613,Capa!$A:$AJ,AV$5,0))))</f>
        <v/>
      </c>
      <c r="AW613" s="174" t="str">
        <f>IF(AW$6="","",IF(AW$3="Maior",iferror(VLOOKUP($R613,Capa!$A:$AJ,AW$5,0),0),IF(ISERROR(1/VLOOKUP($R613,Capa!$A:$AJ,AW$5,0)),0,1/VLOOKUP($R613,Capa!$A:$AJ,AW$5,0))))</f>
        <v/>
      </c>
      <c r="AX613" s="174" t="str">
        <f>IF(AX$6="","",IF(AX$3="Maior",iferror(VLOOKUP($R613,Capa!$A:$AJ,AX$5,0),0),IF(ISERROR(1/VLOOKUP($R613,Capa!$A:$AJ,AX$5,0)),0,1/VLOOKUP($R613,Capa!$A:$AJ,AX$5,0))))</f>
        <v/>
      </c>
      <c r="AY613" s="174" t="str">
        <f>IF(AY$6="","",IF(AY$3="Maior",iferror(VLOOKUP($R613,Capa!$A:$AJ,AY$5,0),0),IF(ISERROR(1/VLOOKUP($R613,Capa!$A:$AJ,AY$5,0)),0,1/VLOOKUP($R613,Capa!$A:$AJ,AY$5,0))))</f>
        <v/>
      </c>
      <c r="AZ613" s="174" t="str">
        <f>IF(AZ$6="","",IF(AZ$3="Maior",iferror(VLOOKUP($R613,Capa!$A:$AJ,AZ$5,0),0),IF(ISERROR(1/VLOOKUP($R613,Capa!$A:$AJ,AZ$5,0)),0,1/VLOOKUP($R613,Capa!$A:$AJ,AZ$5,0))))</f>
        <v/>
      </c>
      <c r="BA613" s="174" t="str">
        <f>IF(BA$6="","",IF(BA$3="Maior",iferror(VLOOKUP($R613,Capa!$A:$AJ,BA$5,0),0),IF(ISERROR(1/VLOOKUP($R613,Capa!$A:$AJ,BA$5,0)),0,1/VLOOKUP($R613,Capa!$A:$AJ,BA$5,0))))</f>
        <v/>
      </c>
      <c r="BB613" s="174" t="str">
        <f>IF(BB$6="","",IF(BB$3="Maior",iferror(VLOOKUP($R613,Capa!$A:$AJ,BB$5,0),0),IF(ISERROR(1/VLOOKUP($R613,Capa!$A:$AJ,BB$5,0)),0,1/VLOOKUP($R613,Capa!$A:$AJ,BB$5,0))))</f>
        <v/>
      </c>
      <c r="BC613" s="174" t="str">
        <f>IF(BC$6="","",IF(BC$3="Maior",iferror(VLOOKUP($R613,Capa!$A:$AJ,BC$5,0),0),IF(ISERROR(1/VLOOKUP($R613,Capa!$A:$AJ,BC$5,0)),0,1/VLOOKUP($R613,Capa!$A:$AJ,BC$5,0))))</f>
        <v/>
      </c>
      <c r="BD613" s="174" t="str">
        <f>IF(BD$6="","",IF(BD$3="Maior",iferror(VLOOKUP($R613,Capa!$A:$AJ,BD$5,0),0),IF(ISERROR(1/VLOOKUP($R613,Capa!$A:$AJ,BD$5,0)),0,1/VLOOKUP($R613,Capa!$A:$AJ,BD$5,0))))</f>
        <v/>
      </c>
      <c r="BE613" s="174" t="str">
        <f>IF(BE$6="","",IF(BE$3="Maior",iferror(VLOOKUP($R613,Capa!$A:$AJ,BE$5,0),0),IF(ISERROR(1/VLOOKUP($R613,Capa!$A:$AJ,BE$5,0)),0,1/VLOOKUP($R613,Capa!$A:$AJ,BE$5,0))))</f>
        <v/>
      </c>
      <c r="BF613" s="174" t="str">
        <f>IF(BF$6="","",IF(BF$3="Maior",iferror(VLOOKUP($R613,Capa!$A:$AJ,BF$5,0),0),IF(ISERROR(1/VLOOKUP($R613,Capa!$A:$AJ,BF$5,0)),0,1/VLOOKUP($R613,Capa!$A:$AJ,BF$5,0))))</f>
        <v/>
      </c>
      <c r="BG613" s="174" t="str">
        <f>IF(BG$6="","",IF(BG$3="Maior",iferror(VLOOKUP($R613,Capa!$A:$AJ,BG$5,0),0),IF(ISERROR(1/VLOOKUP($R613,Capa!$A:$AJ,BG$5,0)),0,1/VLOOKUP($R613,Capa!$A:$AJ,BG$5,0))))</f>
        <v/>
      </c>
      <c r="BH613" s="174" t="str">
        <f>IF(BH$6="","",IF(BH$3="Maior",iferror(VLOOKUP($R613,Capa!$A:$AJ,BH$5,0),0),IF(ISERROR(1/VLOOKUP($R613,Capa!$A:$AJ,BH$5,0)),0,1/VLOOKUP($R613,Capa!$A:$AJ,BH$5,0))))</f>
        <v/>
      </c>
      <c r="BI613" s="174" t="str">
        <f>IF(BI$6="","",IF(BI$3="Maior",iferror(VLOOKUP($R613,Capa!$A:$AJ,BI$5,0),0),IF(ISERROR(1/VLOOKUP($R613,Capa!$A:$AJ,BI$5,0)),0,1/VLOOKUP($R613,Capa!$A:$AJ,BI$5,0))))</f>
        <v/>
      </c>
      <c r="BJ613" s="174" t="str">
        <f>IF(BJ$6="","",IF(BJ$3="Maior",iferror(VLOOKUP($R613,Capa!$A:$AJ,BJ$5,0),0),IF(ISERROR(1/VLOOKUP($R613,Capa!$A:$AJ,BJ$5,0)),0,1/VLOOKUP($R613,Capa!$A:$AJ,BJ$5,0))))</f>
        <v/>
      </c>
      <c r="BK613" s="174" t="str">
        <f>IF(BK$6="","",IF(BK$3="Maior",iferror(VLOOKUP($R613,Capa!$A:$AJ,BK$5,0),0),IF(ISERROR(1/VLOOKUP($R613,Capa!$A:$AJ,BK$5,0)),0,1/VLOOKUP($R613,Capa!$A:$AJ,BK$5,0))))</f>
        <v/>
      </c>
      <c r="BL613" s="174" t="str">
        <f>IF(BL$6="","",IF(BL$3="Maior",iferror(VLOOKUP($R613,Capa!$A:$AJ,BL$5,0),0),IF(ISERROR(1/VLOOKUP($R613,Capa!$A:$AJ,BL$5,0)),0,1/VLOOKUP($R613,Capa!$A:$AJ,BL$5,0))))</f>
        <v/>
      </c>
      <c r="BM613" s="174" t="str">
        <f>IF(BM$6="","",IF(BM$3="Maior",iferror(VLOOKUP($R613,Capa!$A:$AJ,BM$5,0),0),IF(ISERROR(1/VLOOKUP($R613,Capa!$A:$AJ,BM$5,0)),0,1/VLOOKUP($R613,Capa!$A:$AJ,BM$5,0))))</f>
        <v/>
      </c>
      <c r="BN613" s="174" t="str">
        <f>IF(BN$6="","",IF(BN$3="Maior",iferror(VLOOKUP($R613,Capa!$A:$AJ,BN$5,0),0),IF(ISERROR(1/VLOOKUP($R613,Capa!$A:$AJ,BN$5,0)),0,1/VLOOKUP($R613,Capa!$A:$AJ,BN$5,0))))</f>
        <v/>
      </c>
      <c r="BO613" s="174" t="str">
        <f>IF(BO$6="","",IF(BO$3="Maior",iferror(VLOOKUP($R613,Capa!$A:$AJ,BO$5,0),0),IF(ISERROR(1/VLOOKUP($R613,Capa!$A:$AJ,BO$5,0)),0,1/VLOOKUP($R613,Capa!$A:$AJ,BO$5,0))))</f>
        <v/>
      </c>
      <c r="BP613" s="174" t="str">
        <f>IF(BP$6="","",IF(BP$3="Maior",iferror(VLOOKUP($R613,Capa!$A:$AJ,BP$5,0),0),IF(ISERROR(1/VLOOKUP($R613,Capa!$A:$AJ,BP$5,0)),0,1/VLOOKUP($R613,Capa!$A:$AJ,BP$5,0))))</f>
        <v/>
      </c>
      <c r="BQ613" s="174" t="str">
        <f>IF(BQ$6="","",IF(BQ$3="Maior",iferror(VLOOKUP($R613,Capa!$A:$AJ,BQ$5,0),0),IF(ISERROR(1/VLOOKUP($R613,Capa!$A:$AJ,BQ$5,0)),0,1/VLOOKUP($R613,Capa!$A:$AJ,BQ$5,0))))</f>
        <v/>
      </c>
      <c r="BR613" s="175"/>
      <c r="BS613" s="147"/>
    </row>
    <row r="614">
      <c r="H614" s="8">
        <v>608.0</v>
      </c>
      <c r="I614" s="165" t="str">
        <f t="shared" si="6"/>
        <v>DOHL4</v>
      </c>
      <c r="J614" s="166" t="str">
        <f>(VLOOKUP($I614,Capa!$A:$B,2,0))</f>
        <v>Dohler SA Preference Shares</v>
      </c>
      <c r="K614" s="167" t="str">
        <f>VLOOKUP(left(I614,4),Setor!A:D,3,0)&amp;" | "&amp;VLOOKUP(left(I614,4),Setor!A:D,4,0)</f>
        <v>Consumo Cíclico | Tecidos, Vestuário e Calçados</v>
      </c>
      <c r="L614" s="168">
        <f>(VLOOKUP($I614,Capa!$A:$F,6,0))</f>
        <v>3.77</v>
      </c>
      <c r="M614" s="168">
        <f t="shared" si="7"/>
        <v>10433.43</v>
      </c>
      <c r="N614" s="11" t="str">
        <f>IFERROR(__xludf.DUMMYFUNCTION("(VLOOKUP($I614,Capa!$A:$H,7,0))"),"")</f>
        <v/>
      </c>
      <c r="O614" s="169">
        <f>(VLOOKUP($I614,Capa!$A:$H,8,0))</f>
        <v>-0.03333333333</v>
      </c>
      <c r="P614" s="11" t="str">
        <f>IFERROR(__xludf.DUMMYFUNCTION("(VLOOKUP($I614,Capa!$A:$J,10,0))"),"")</f>
        <v/>
      </c>
      <c r="Q614" s="169">
        <f>(VLOOKUP($I614,Capa!$A:$K,11,0))</f>
        <v>-0.08048780488</v>
      </c>
      <c r="R614" s="45" t="str">
        <f>'Dados StatusInvest'!A609</f>
        <v>WEGE3</v>
      </c>
      <c r="S614" s="170">
        <f t="shared" si="234"/>
        <v>116.0116</v>
      </c>
      <c r="T614" s="171">
        <f>VLOOKUP(R614,'Dados StatusInvest'!A:Z,26,0)</f>
        <v>438000000</v>
      </c>
      <c r="U614" s="172">
        <f t="shared" ref="U614:AS614" si="617">IF(AT614="","", RANK(AT614,AT$7:AT$626,0)+RANK(AT614,AT$7:AT$626,0)/10000)</f>
        <v>45.0045</v>
      </c>
      <c r="V614" s="172">
        <f t="shared" si="617"/>
        <v>71.0071</v>
      </c>
      <c r="W614" s="172" t="str">
        <f t="shared" si="617"/>
        <v/>
      </c>
      <c r="X614" s="172" t="str">
        <f t="shared" si="617"/>
        <v/>
      </c>
      <c r="Y614" s="172" t="str">
        <f t="shared" si="617"/>
        <v/>
      </c>
      <c r="Z614" s="172" t="str">
        <f t="shared" si="617"/>
        <v/>
      </c>
      <c r="AA614" s="172" t="str">
        <f t="shared" si="617"/>
        <v/>
      </c>
      <c r="AB614" s="172" t="str">
        <f t="shared" si="617"/>
        <v/>
      </c>
      <c r="AC614" s="172" t="str">
        <f t="shared" si="617"/>
        <v/>
      </c>
      <c r="AD614" s="172" t="str">
        <f t="shared" si="617"/>
        <v/>
      </c>
      <c r="AE614" s="172" t="str">
        <f t="shared" si="617"/>
        <v/>
      </c>
      <c r="AF614" s="172" t="str">
        <f t="shared" si="617"/>
        <v/>
      </c>
      <c r="AG614" s="172" t="str">
        <f t="shared" si="617"/>
        <v/>
      </c>
      <c r="AH614" s="172" t="str">
        <f t="shared" si="617"/>
        <v/>
      </c>
      <c r="AI614" s="172" t="str">
        <f t="shared" si="617"/>
        <v/>
      </c>
      <c r="AJ614" s="172" t="str">
        <f t="shared" si="617"/>
        <v/>
      </c>
      <c r="AK614" s="172" t="str">
        <f t="shared" si="617"/>
        <v/>
      </c>
      <c r="AL614" s="172" t="str">
        <f t="shared" si="617"/>
        <v/>
      </c>
      <c r="AM614" s="172" t="str">
        <f t="shared" si="617"/>
        <v/>
      </c>
      <c r="AN614" s="172" t="str">
        <f t="shared" si="617"/>
        <v/>
      </c>
      <c r="AO614" s="172" t="str">
        <f t="shared" si="617"/>
        <v/>
      </c>
      <c r="AP614" s="172" t="str">
        <f t="shared" si="617"/>
        <v/>
      </c>
      <c r="AQ614" s="172" t="str">
        <f t="shared" si="617"/>
        <v/>
      </c>
      <c r="AR614" s="172" t="str">
        <f t="shared" si="617"/>
        <v/>
      </c>
      <c r="AS614" s="172" t="str">
        <f t="shared" si="617"/>
        <v/>
      </c>
      <c r="AT614" s="173">
        <f>IF(AT$6="","",IF(AT$3="Maior",iferror(VLOOKUP($R614,Capa!$A:$AJ,AT$5,0),0),IF(ISERROR(1/VLOOKUP($R614,Capa!$A:$AJ,AT$5,0)),0,1/VLOOKUP($R614,Capa!$A:$AJ,AT$5,0))))</f>
        <v>0.0001955386422</v>
      </c>
      <c r="AU614" s="174">
        <f>IF(AU$6="","",IF(AU$3="Maior",iferror(VLOOKUP($R614,Capa!$A:$AJ,AU$5,0),0),IF(ISERROR(1/VLOOKUP($R614,Capa!$A:$AJ,AU$5,0)),0,1/VLOOKUP($R614,Capa!$A:$AJ,AU$5,0))))</f>
        <v>32.05</v>
      </c>
      <c r="AV614" s="174" t="str">
        <f>IF(AV$6="","",IF(AV$3="Maior",iferror(VLOOKUP($R614,Capa!$A:$AJ,AV$5,0),0),IF(ISERROR(1/VLOOKUP($R614,Capa!$A:$AJ,AV$5,0)),0,1/VLOOKUP($R614,Capa!$A:$AJ,AV$5,0))))</f>
        <v/>
      </c>
      <c r="AW614" s="174" t="str">
        <f>IF(AW$6="","",IF(AW$3="Maior",iferror(VLOOKUP($R614,Capa!$A:$AJ,AW$5,0),0),IF(ISERROR(1/VLOOKUP($R614,Capa!$A:$AJ,AW$5,0)),0,1/VLOOKUP($R614,Capa!$A:$AJ,AW$5,0))))</f>
        <v/>
      </c>
      <c r="AX614" s="174" t="str">
        <f>IF(AX$6="","",IF(AX$3="Maior",iferror(VLOOKUP($R614,Capa!$A:$AJ,AX$5,0),0),IF(ISERROR(1/VLOOKUP($R614,Capa!$A:$AJ,AX$5,0)),0,1/VLOOKUP($R614,Capa!$A:$AJ,AX$5,0))))</f>
        <v/>
      </c>
      <c r="AY614" s="174" t="str">
        <f>IF(AY$6="","",IF(AY$3="Maior",iferror(VLOOKUP($R614,Capa!$A:$AJ,AY$5,0),0),IF(ISERROR(1/VLOOKUP($R614,Capa!$A:$AJ,AY$5,0)),0,1/VLOOKUP($R614,Capa!$A:$AJ,AY$5,0))))</f>
        <v/>
      </c>
      <c r="AZ614" s="174" t="str">
        <f>IF(AZ$6="","",IF(AZ$3="Maior",iferror(VLOOKUP($R614,Capa!$A:$AJ,AZ$5,0),0),IF(ISERROR(1/VLOOKUP($R614,Capa!$A:$AJ,AZ$5,0)),0,1/VLOOKUP($R614,Capa!$A:$AJ,AZ$5,0))))</f>
        <v/>
      </c>
      <c r="BA614" s="174" t="str">
        <f>IF(BA$6="","",IF(BA$3="Maior",iferror(VLOOKUP($R614,Capa!$A:$AJ,BA$5,0),0),IF(ISERROR(1/VLOOKUP($R614,Capa!$A:$AJ,BA$5,0)),0,1/VLOOKUP($R614,Capa!$A:$AJ,BA$5,0))))</f>
        <v/>
      </c>
      <c r="BB614" s="174" t="str">
        <f>IF(BB$6="","",IF(BB$3="Maior",iferror(VLOOKUP($R614,Capa!$A:$AJ,BB$5,0),0),IF(ISERROR(1/VLOOKUP($R614,Capa!$A:$AJ,BB$5,0)),0,1/VLOOKUP($R614,Capa!$A:$AJ,BB$5,0))))</f>
        <v/>
      </c>
      <c r="BC614" s="174" t="str">
        <f>IF(BC$6="","",IF(BC$3="Maior",iferror(VLOOKUP($R614,Capa!$A:$AJ,BC$5,0),0),IF(ISERROR(1/VLOOKUP($R614,Capa!$A:$AJ,BC$5,0)),0,1/VLOOKUP($R614,Capa!$A:$AJ,BC$5,0))))</f>
        <v/>
      </c>
      <c r="BD614" s="174" t="str">
        <f>IF(BD$6="","",IF(BD$3="Maior",iferror(VLOOKUP($R614,Capa!$A:$AJ,BD$5,0),0),IF(ISERROR(1/VLOOKUP($R614,Capa!$A:$AJ,BD$5,0)),0,1/VLOOKUP($R614,Capa!$A:$AJ,BD$5,0))))</f>
        <v/>
      </c>
      <c r="BE614" s="174" t="str">
        <f>IF(BE$6="","",IF(BE$3="Maior",iferror(VLOOKUP($R614,Capa!$A:$AJ,BE$5,0),0),IF(ISERROR(1/VLOOKUP($R614,Capa!$A:$AJ,BE$5,0)),0,1/VLOOKUP($R614,Capa!$A:$AJ,BE$5,0))))</f>
        <v/>
      </c>
      <c r="BF614" s="174" t="str">
        <f>IF(BF$6="","",IF(BF$3="Maior",iferror(VLOOKUP($R614,Capa!$A:$AJ,BF$5,0),0),IF(ISERROR(1/VLOOKUP($R614,Capa!$A:$AJ,BF$5,0)),0,1/VLOOKUP($R614,Capa!$A:$AJ,BF$5,0))))</f>
        <v/>
      </c>
      <c r="BG614" s="174" t="str">
        <f>IF(BG$6="","",IF(BG$3="Maior",iferror(VLOOKUP($R614,Capa!$A:$AJ,BG$5,0),0),IF(ISERROR(1/VLOOKUP($R614,Capa!$A:$AJ,BG$5,0)),0,1/VLOOKUP($R614,Capa!$A:$AJ,BG$5,0))))</f>
        <v/>
      </c>
      <c r="BH614" s="174" t="str">
        <f>IF(BH$6="","",IF(BH$3="Maior",iferror(VLOOKUP($R614,Capa!$A:$AJ,BH$5,0),0),IF(ISERROR(1/VLOOKUP($R614,Capa!$A:$AJ,BH$5,0)),0,1/VLOOKUP($R614,Capa!$A:$AJ,BH$5,0))))</f>
        <v/>
      </c>
      <c r="BI614" s="174" t="str">
        <f>IF(BI$6="","",IF(BI$3="Maior",iferror(VLOOKUP($R614,Capa!$A:$AJ,BI$5,0),0),IF(ISERROR(1/VLOOKUP($R614,Capa!$A:$AJ,BI$5,0)),0,1/VLOOKUP($R614,Capa!$A:$AJ,BI$5,0))))</f>
        <v/>
      </c>
      <c r="BJ614" s="174" t="str">
        <f>IF(BJ$6="","",IF(BJ$3="Maior",iferror(VLOOKUP($R614,Capa!$A:$AJ,BJ$5,0),0),IF(ISERROR(1/VLOOKUP($R614,Capa!$A:$AJ,BJ$5,0)),0,1/VLOOKUP($R614,Capa!$A:$AJ,BJ$5,0))))</f>
        <v/>
      </c>
      <c r="BK614" s="174" t="str">
        <f>IF(BK$6="","",IF(BK$3="Maior",iferror(VLOOKUP($R614,Capa!$A:$AJ,BK$5,0),0),IF(ISERROR(1/VLOOKUP($R614,Capa!$A:$AJ,BK$5,0)),0,1/VLOOKUP($R614,Capa!$A:$AJ,BK$5,0))))</f>
        <v/>
      </c>
      <c r="BL614" s="174" t="str">
        <f>IF(BL$6="","",IF(BL$3="Maior",iferror(VLOOKUP($R614,Capa!$A:$AJ,BL$5,0),0),IF(ISERROR(1/VLOOKUP($R614,Capa!$A:$AJ,BL$5,0)),0,1/VLOOKUP($R614,Capa!$A:$AJ,BL$5,0))))</f>
        <v/>
      </c>
      <c r="BM614" s="174" t="str">
        <f>IF(BM$6="","",IF(BM$3="Maior",iferror(VLOOKUP($R614,Capa!$A:$AJ,BM$5,0),0),IF(ISERROR(1/VLOOKUP($R614,Capa!$A:$AJ,BM$5,0)),0,1/VLOOKUP($R614,Capa!$A:$AJ,BM$5,0))))</f>
        <v/>
      </c>
      <c r="BN614" s="174" t="str">
        <f>IF(BN$6="","",IF(BN$3="Maior",iferror(VLOOKUP($R614,Capa!$A:$AJ,BN$5,0),0),IF(ISERROR(1/VLOOKUP($R614,Capa!$A:$AJ,BN$5,0)),0,1/VLOOKUP($R614,Capa!$A:$AJ,BN$5,0))))</f>
        <v/>
      </c>
      <c r="BO614" s="174" t="str">
        <f>IF(BO$6="","",IF(BO$3="Maior",iferror(VLOOKUP($R614,Capa!$A:$AJ,BO$5,0),0),IF(ISERROR(1/VLOOKUP($R614,Capa!$A:$AJ,BO$5,0)),0,1/VLOOKUP($R614,Capa!$A:$AJ,BO$5,0))))</f>
        <v/>
      </c>
      <c r="BP614" s="174" t="str">
        <f>IF(BP$6="","",IF(BP$3="Maior",iferror(VLOOKUP($R614,Capa!$A:$AJ,BP$5,0),0),IF(ISERROR(1/VLOOKUP($R614,Capa!$A:$AJ,BP$5,0)),0,1/VLOOKUP($R614,Capa!$A:$AJ,BP$5,0))))</f>
        <v/>
      </c>
      <c r="BQ614" s="174" t="str">
        <f>IF(BQ$6="","",IF(BQ$3="Maior",iferror(VLOOKUP($R614,Capa!$A:$AJ,BQ$5,0),0),IF(ISERROR(1/VLOOKUP($R614,Capa!$A:$AJ,BQ$5,0)),0,1/VLOOKUP($R614,Capa!$A:$AJ,BQ$5,0))))</f>
        <v/>
      </c>
      <c r="BR614" s="175"/>
      <c r="BS614" s="147"/>
    </row>
    <row r="615">
      <c r="H615" s="8">
        <v>609.0</v>
      </c>
      <c r="I615" s="165" t="str">
        <f t="shared" si="6"/>
        <v>DOHL4</v>
      </c>
      <c r="J615" s="166" t="str">
        <f>(VLOOKUP($I615,Capa!$A:$B,2,0))</f>
        <v>Dohler SA Preference Shares</v>
      </c>
      <c r="K615" s="167" t="str">
        <f>VLOOKUP(left(I615,4),Setor!A:D,3,0)&amp;" | "&amp;VLOOKUP(left(I615,4),Setor!A:D,4,0)</f>
        <v>Consumo Cíclico | Tecidos, Vestuário e Calçados</v>
      </c>
      <c r="L615" s="168">
        <f>(VLOOKUP($I615,Capa!$A:$F,6,0))</f>
        <v>3.77</v>
      </c>
      <c r="M615" s="168">
        <f t="shared" si="7"/>
        <v>10433.43</v>
      </c>
      <c r="N615" s="11" t="str">
        <f>IFERROR(__xludf.DUMMYFUNCTION("(VLOOKUP($I615,Capa!$A:$H,7,0))"),"")</f>
        <v/>
      </c>
      <c r="O615" s="169">
        <f>(VLOOKUP($I615,Capa!$A:$H,8,0))</f>
        <v>-0.03333333333</v>
      </c>
      <c r="P615" s="11" t="str">
        <f>IFERROR(__xludf.DUMMYFUNCTION("(VLOOKUP($I615,Capa!$A:$J,10,0))"),"")</f>
        <v/>
      </c>
      <c r="Q615" s="169">
        <f>(VLOOKUP($I615,Capa!$A:$K,11,0))</f>
        <v>-0.08048780488</v>
      </c>
      <c r="R615" s="45" t="str">
        <f>'Dados StatusInvest'!A610</f>
        <v>WEST3</v>
      </c>
      <c r="S615" s="170">
        <f t="shared" si="234"/>
        <v>709.0709</v>
      </c>
      <c r="T615" s="171">
        <f>VLOOKUP(R615,'Dados StatusInvest'!A:Z,26,0)</f>
        <v>979481.2</v>
      </c>
      <c r="U615" s="172">
        <f t="shared" ref="U615:AS615" si="618">IF(AT615="","", RANK(AT615,AT$7:AT$626,0)+RANK(AT615,AT$7:AT$626,0)/10000)</f>
        <v>442.0442</v>
      </c>
      <c r="V615" s="172">
        <f t="shared" si="618"/>
        <v>267.0267</v>
      </c>
      <c r="W615" s="172" t="str">
        <f t="shared" si="618"/>
        <v/>
      </c>
      <c r="X615" s="172" t="str">
        <f t="shared" si="618"/>
        <v/>
      </c>
      <c r="Y615" s="172" t="str">
        <f t="shared" si="618"/>
        <v/>
      </c>
      <c r="Z615" s="172" t="str">
        <f t="shared" si="618"/>
        <v/>
      </c>
      <c r="AA615" s="172" t="str">
        <f t="shared" si="618"/>
        <v/>
      </c>
      <c r="AB615" s="172" t="str">
        <f t="shared" si="618"/>
        <v/>
      </c>
      <c r="AC615" s="172" t="str">
        <f t="shared" si="618"/>
        <v/>
      </c>
      <c r="AD615" s="172" t="str">
        <f t="shared" si="618"/>
        <v/>
      </c>
      <c r="AE615" s="172" t="str">
        <f t="shared" si="618"/>
        <v/>
      </c>
      <c r="AF615" s="172" t="str">
        <f t="shared" si="618"/>
        <v/>
      </c>
      <c r="AG615" s="172" t="str">
        <f t="shared" si="618"/>
        <v/>
      </c>
      <c r="AH615" s="172" t="str">
        <f t="shared" si="618"/>
        <v/>
      </c>
      <c r="AI615" s="172" t="str">
        <f t="shared" si="618"/>
        <v/>
      </c>
      <c r="AJ615" s="172" t="str">
        <f t="shared" si="618"/>
        <v/>
      </c>
      <c r="AK615" s="172" t="str">
        <f t="shared" si="618"/>
        <v/>
      </c>
      <c r="AL615" s="172" t="str">
        <f t="shared" si="618"/>
        <v/>
      </c>
      <c r="AM615" s="172" t="str">
        <f t="shared" si="618"/>
        <v/>
      </c>
      <c r="AN615" s="172" t="str">
        <f t="shared" si="618"/>
        <v/>
      </c>
      <c r="AO615" s="172" t="str">
        <f t="shared" si="618"/>
        <v/>
      </c>
      <c r="AP615" s="172" t="str">
        <f t="shared" si="618"/>
        <v/>
      </c>
      <c r="AQ615" s="172" t="str">
        <f t="shared" si="618"/>
        <v/>
      </c>
      <c r="AR615" s="172" t="str">
        <f t="shared" si="618"/>
        <v/>
      </c>
      <c r="AS615" s="172" t="str">
        <f t="shared" si="618"/>
        <v/>
      </c>
      <c r="AT615" s="173">
        <f>IF(AT$6="","",IF(AT$3="Maior",iferror(VLOOKUP($R615,Capa!$A:$AJ,AT$5,0),0),IF(ISERROR(1/VLOOKUP($R615,Capa!$A:$AJ,AT$5,0)),0,1/VLOOKUP($R615,Capa!$A:$AJ,AT$5,0))))</f>
        <v>-1.785714286</v>
      </c>
      <c r="AU615" s="174">
        <f>IF(AU$6="","",IF(AU$3="Maior",iferror(VLOOKUP($R615,Capa!$A:$AJ,AU$5,0),0),IF(ISERROR(1/VLOOKUP($R615,Capa!$A:$AJ,AU$5,0)),0,1/VLOOKUP($R615,Capa!$A:$AJ,AU$5,0))))</f>
        <v>0</v>
      </c>
      <c r="AV615" s="174" t="str">
        <f>IF(AV$6="","",IF(AV$3="Maior",iferror(VLOOKUP($R615,Capa!$A:$AJ,AV$5,0),0),IF(ISERROR(1/VLOOKUP($R615,Capa!$A:$AJ,AV$5,0)),0,1/VLOOKUP($R615,Capa!$A:$AJ,AV$5,0))))</f>
        <v/>
      </c>
      <c r="AW615" s="174" t="str">
        <f>IF(AW$6="","",IF(AW$3="Maior",iferror(VLOOKUP($R615,Capa!$A:$AJ,AW$5,0),0),IF(ISERROR(1/VLOOKUP($R615,Capa!$A:$AJ,AW$5,0)),0,1/VLOOKUP($R615,Capa!$A:$AJ,AW$5,0))))</f>
        <v/>
      </c>
      <c r="AX615" s="174" t="str">
        <f>IF(AX$6="","",IF(AX$3="Maior",iferror(VLOOKUP($R615,Capa!$A:$AJ,AX$5,0),0),IF(ISERROR(1/VLOOKUP($R615,Capa!$A:$AJ,AX$5,0)),0,1/VLOOKUP($R615,Capa!$A:$AJ,AX$5,0))))</f>
        <v/>
      </c>
      <c r="AY615" s="174" t="str">
        <f>IF(AY$6="","",IF(AY$3="Maior",iferror(VLOOKUP($R615,Capa!$A:$AJ,AY$5,0),0),IF(ISERROR(1/VLOOKUP($R615,Capa!$A:$AJ,AY$5,0)),0,1/VLOOKUP($R615,Capa!$A:$AJ,AY$5,0))))</f>
        <v/>
      </c>
      <c r="AZ615" s="174" t="str">
        <f>IF(AZ$6="","",IF(AZ$3="Maior",iferror(VLOOKUP($R615,Capa!$A:$AJ,AZ$5,0),0),IF(ISERROR(1/VLOOKUP($R615,Capa!$A:$AJ,AZ$5,0)),0,1/VLOOKUP($R615,Capa!$A:$AJ,AZ$5,0))))</f>
        <v/>
      </c>
      <c r="BA615" s="174" t="str">
        <f>IF(BA$6="","",IF(BA$3="Maior",iferror(VLOOKUP($R615,Capa!$A:$AJ,BA$5,0),0),IF(ISERROR(1/VLOOKUP($R615,Capa!$A:$AJ,BA$5,0)),0,1/VLOOKUP($R615,Capa!$A:$AJ,BA$5,0))))</f>
        <v/>
      </c>
      <c r="BB615" s="174" t="str">
        <f>IF(BB$6="","",IF(BB$3="Maior",iferror(VLOOKUP($R615,Capa!$A:$AJ,BB$5,0),0),IF(ISERROR(1/VLOOKUP($R615,Capa!$A:$AJ,BB$5,0)),0,1/VLOOKUP($R615,Capa!$A:$AJ,BB$5,0))))</f>
        <v/>
      </c>
      <c r="BC615" s="174" t="str">
        <f>IF(BC$6="","",IF(BC$3="Maior",iferror(VLOOKUP($R615,Capa!$A:$AJ,BC$5,0),0),IF(ISERROR(1/VLOOKUP($R615,Capa!$A:$AJ,BC$5,0)),0,1/VLOOKUP($R615,Capa!$A:$AJ,BC$5,0))))</f>
        <v/>
      </c>
      <c r="BD615" s="174" t="str">
        <f>IF(BD$6="","",IF(BD$3="Maior",iferror(VLOOKUP($R615,Capa!$A:$AJ,BD$5,0),0),IF(ISERROR(1/VLOOKUP($R615,Capa!$A:$AJ,BD$5,0)),0,1/VLOOKUP($R615,Capa!$A:$AJ,BD$5,0))))</f>
        <v/>
      </c>
      <c r="BE615" s="174" t="str">
        <f>IF(BE$6="","",IF(BE$3="Maior",iferror(VLOOKUP($R615,Capa!$A:$AJ,BE$5,0),0),IF(ISERROR(1/VLOOKUP($R615,Capa!$A:$AJ,BE$5,0)),0,1/VLOOKUP($R615,Capa!$A:$AJ,BE$5,0))))</f>
        <v/>
      </c>
      <c r="BF615" s="174" t="str">
        <f>IF(BF$6="","",IF(BF$3="Maior",iferror(VLOOKUP($R615,Capa!$A:$AJ,BF$5,0),0),IF(ISERROR(1/VLOOKUP($R615,Capa!$A:$AJ,BF$5,0)),0,1/VLOOKUP($R615,Capa!$A:$AJ,BF$5,0))))</f>
        <v/>
      </c>
      <c r="BG615" s="174" t="str">
        <f>IF(BG$6="","",IF(BG$3="Maior",iferror(VLOOKUP($R615,Capa!$A:$AJ,BG$5,0),0),IF(ISERROR(1/VLOOKUP($R615,Capa!$A:$AJ,BG$5,0)),0,1/VLOOKUP($R615,Capa!$A:$AJ,BG$5,0))))</f>
        <v/>
      </c>
      <c r="BH615" s="174" t="str">
        <f>IF(BH$6="","",IF(BH$3="Maior",iferror(VLOOKUP($R615,Capa!$A:$AJ,BH$5,0),0),IF(ISERROR(1/VLOOKUP($R615,Capa!$A:$AJ,BH$5,0)),0,1/VLOOKUP($R615,Capa!$A:$AJ,BH$5,0))))</f>
        <v/>
      </c>
      <c r="BI615" s="174" t="str">
        <f>IF(BI$6="","",IF(BI$3="Maior",iferror(VLOOKUP($R615,Capa!$A:$AJ,BI$5,0),0),IF(ISERROR(1/VLOOKUP($R615,Capa!$A:$AJ,BI$5,0)),0,1/VLOOKUP($R615,Capa!$A:$AJ,BI$5,0))))</f>
        <v/>
      </c>
      <c r="BJ615" s="174" t="str">
        <f>IF(BJ$6="","",IF(BJ$3="Maior",iferror(VLOOKUP($R615,Capa!$A:$AJ,BJ$5,0),0),IF(ISERROR(1/VLOOKUP($R615,Capa!$A:$AJ,BJ$5,0)),0,1/VLOOKUP($R615,Capa!$A:$AJ,BJ$5,0))))</f>
        <v/>
      </c>
      <c r="BK615" s="174" t="str">
        <f>IF(BK$6="","",IF(BK$3="Maior",iferror(VLOOKUP($R615,Capa!$A:$AJ,BK$5,0),0),IF(ISERROR(1/VLOOKUP($R615,Capa!$A:$AJ,BK$5,0)),0,1/VLOOKUP($R615,Capa!$A:$AJ,BK$5,0))))</f>
        <v/>
      </c>
      <c r="BL615" s="174" t="str">
        <f>IF(BL$6="","",IF(BL$3="Maior",iferror(VLOOKUP($R615,Capa!$A:$AJ,BL$5,0),0),IF(ISERROR(1/VLOOKUP($R615,Capa!$A:$AJ,BL$5,0)),0,1/VLOOKUP($R615,Capa!$A:$AJ,BL$5,0))))</f>
        <v/>
      </c>
      <c r="BM615" s="174" t="str">
        <f>IF(BM$6="","",IF(BM$3="Maior",iferror(VLOOKUP($R615,Capa!$A:$AJ,BM$5,0),0),IF(ISERROR(1/VLOOKUP($R615,Capa!$A:$AJ,BM$5,0)),0,1/VLOOKUP($R615,Capa!$A:$AJ,BM$5,0))))</f>
        <v/>
      </c>
      <c r="BN615" s="174" t="str">
        <f>IF(BN$6="","",IF(BN$3="Maior",iferror(VLOOKUP($R615,Capa!$A:$AJ,BN$5,0),0),IF(ISERROR(1/VLOOKUP($R615,Capa!$A:$AJ,BN$5,0)),0,1/VLOOKUP($R615,Capa!$A:$AJ,BN$5,0))))</f>
        <v/>
      </c>
      <c r="BO615" s="174" t="str">
        <f>IF(BO$6="","",IF(BO$3="Maior",iferror(VLOOKUP($R615,Capa!$A:$AJ,BO$5,0),0),IF(ISERROR(1/VLOOKUP($R615,Capa!$A:$AJ,BO$5,0)),0,1/VLOOKUP($R615,Capa!$A:$AJ,BO$5,0))))</f>
        <v/>
      </c>
      <c r="BP615" s="174" t="str">
        <f>IF(BP$6="","",IF(BP$3="Maior",iferror(VLOOKUP($R615,Capa!$A:$AJ,BP$5,0),0),IF(ISERROR(1/VLOOKUP($R615,Capa!$A:$AJ,BP$5,0)),0,1/VLOOKUP($R615,Capa!$A:$AJ,BP$5,0))))</f>
        <v/>
      </c>
      <c r="BQ615" s="174" t="str">
        <f>IF(BQ$6="","",IF(BQ$3="Maior",iferror(VLOOKUP($R615,Capa!$A:$AJ,BQ$5,0),0),IF(ISERROR(1/VLOOKUP($R615,Capa!$A:$AJ,BQ$5,0)),0,1/VLOOKUP($R615,Capa!$A:$AJ,BQ$5,0))))</f>
        <v/>
      </c>
      <c r="BR615" s="175"/>
      <c r="BS615" s="147"/>
    </row>
    <row r="616">
      <c r="H616" s="8">
        <v>610.0</v>
      </c>
      <c r="I616" s="165" t="str">
        <f t="shared" si="6"/>
        <v>JOPA3</v>
      </c>
      <c r="J616" s="166" t="str">
        <f>(VLOOKUP($I616,Capa!$A:$B,2,0))</f>
        <v>Josapar Joaquim Oliveira SA Prtcpcs</v>
      </c>
      <c r="K616" s="167" t="str">
        <f>VLOOKUP(left(I616,4),Setor!A:D,3,0)&amp;" | "&amp;VLOOKUP(left(I616,4),Setor!A:D,4,0)</f>
        <v>Consumo não Cíclico | Alimentos Processados</v>
      </c>
      <c r="L616" s="168">
        <f>(VLOOKUP($I616,Capa!$A:$F,6,0))</f>
        <v>22</v>
      </c>
      <c r="M616" s="168">
        <f t="shared" si="7"/>
        <v>1662.4</v>
      </c>
      <c r="N616" s="11" t="str">
        <f>IFERROR(__xludf.DUMMYFUNCTION("(VLOOKUP($I616,Capa!$A:$H,7,0))"),"")</f>
        <v/>
      </c>
      <c r="O616" s="169" t="str">
        <f>(VLOOKUP($I616,Capa!$A:$H,8,0))</f>
        <v/>
      </c>
      <c r="P616" s="11" t="str">
        <f>IFERROR(__xludf.DUMMYFUNCTION("(VLOOKUP($I616,Capa!$A:$J,10,0))"),"")</f>
        <v/>
      </c>
      <c r="Q616" s="169" t="str">
        <f>(VLOOKUP($I616,Capa!$A:$K,11,0))</f>
        <v/>
      </c>
      <c r="R616" s="45" t="str">
        <f>'Dados StatusInvest'!A611</f>
        <v>WHRL3</v>
      </c>
      <c r="S616" s="170">
        <f t="shared" si="234"/>
        <v>1840.084</v>
      </c>
      <c r="T616" s="171">
        <f>VLOOKUP(R616,'Dados StatusInvest'!A:Z,26,0)</f>
        <v>14478.62</v>
      </c>
      <c r="U616" s="172">
        <f t="shared" ref="U616:AS616" si="619">IF(AT616="","", RANK(AT616,AT$7:AT$626,0)+RANK(AT616,AT$7:AT$626,0)/10000)</f>
        <v>249.0249</v>
      </c>
      <c r="V616" s="172">
        <f t="shared" si="619"/>
        <v>591.0591</v>
      </c>
      <c r="W616" s="172" t="str">
        <f t="shared" si="619"/>
        <v/>
      </c>
      <c r="X616" s="172" t="str">
        <f t="shared" si="619"/>
        <v/>
      </c>
      <c r="Y616" s="172" t="str">
        <f t="shared" si="619"/>
        <v/>
      </c>
      <c r="Z616" s="172" t="str">
        <f t="shared" si="619"/>
        <v/>
      </c>
      <c r="AA616" s="172" t="str">
        <f t="shared" si="619"/>
        <v/>
      </c>
      <c r="AB616" s="172" t="str">
        <f t="shared" si="619"/>
        <v/>
      </c>
      <c r="AC616" s="172" t="str">
        <f t="shared" si="619"/>
        <v/>
      </c>
      <c r="AD616" s="172" t="str">
        <f t="shared" si="619"/>
        <v/>
      </c>
      <c r="AE616" s="172" t="str">
        <f t="shared" si="619"/>
        <v/>
      </c>
      <c r="AF616" s="172" t="str">
        <f t="shared" si="619"/>
        <v/>
      </c>
      <c r="AG616" s="172" t="str">
        <f t="shared" si="619"/>
        <v/>
      </c>
      <c r="AH616" s="172" t="str">
        <f t="shared" si="619"/>
        <v/>
      </c>
      <c r="AI616" s="172" t="str">
        <f t="shared" si="619"/>
        <v/>
      </c>
      <c r="AJ616" s="172" t="str">
        <f t="shared" si="619"/>
        <v/>
      </c>
      <c r="AK616" s="172" t="str">
        <f t="shared" si="619"/>
        <v/>
      </c>
      <c r="AL616" s="172" t="str">
        <f t="shared" si="619"/>
        <v/>
      </c>
      <c r="AM616" s="172" t="str">
        <f t="shared" si="619"/>
        <v/>
      </c>
      <c r="AN616" s="172" t="str">
        <f t="shared" si="619"/>
        <v/>
      </c>
      <c r="AO616" s="172" t="str">
        <f t="shared" si="619"/>
        <v/>
      </c>
      <c r="AP616" s="172" t="str">
        <f t="shared" si="619"/>
        <v/>
      </c>
      <c r="AQ616" s="172" t="str">
        <f t="shared" si="619"/>
        <v/>
      </c>
      <c r="AR616" s="172" t="str">
        <f t="shared" si="619"/>
        <v/>
      </c>
      <c r="AS616" s="172" t="str">
        <f t="shared" si="619"/>
        <v/>
      </c>
      <c r="AT616" s="173">
        <f>IF(AT$6="","",IF(AT$3="Maior",iferror(VLOOKUP($R616,Capa!$A:$AJ,AT$5,0),0),IF(ISERROR(1/VLOOKUP($R616,Capa!$A:$AJ,AT$5,0)),0,1/VLOOKUP($R616,Capa!$A:$AJ,AT$5,0))))</f>
        <v>-0.487804878</v>
      </c>
      <c r="AU616" s="174">
        <f>IF(AU$6="","",IF(AU$3="Maior",iferror(VLOOKUP($R616,Capa!$A:$AJ,AU$5,0),0),IF(ISERROR(1/VLOOKUP($R616,Capa!$A:$AJ,AU$5,0)),0,1/VLOOKUP($R616,Capa!$A:$AJ,AU$5,0))))</f>
        <v>-16.94</v>
      </c>
      <c r="AV616" s="174" t="str">
        <f>IF(AV$6="","",IF(AV$3="Maior",iferror(VLOOKUP($R616,Capa!$A:$AJ,AV$5,0),0),IF(ISERROR(1/VLOOKUP($R616,Capa!$A:$AJ,AV$5,0)),0,1/VLOOKUP($R616,Capa!$A:$AJ,AV$5,0))))</f>
        <v/>
      </c>
      <c r="AW616" s="174" t="str">
        <f>IF(AW$6="","",IF(AW$3="Maior",iferror(VLOOKUP($R616,Capa!$A:$AJ,AW$5,0),0),IF(ISERROR(1/VLOOKUP($R616,Capa!$A:$AJ,AW$5,0)),0,1/VLOOKUP($R616,Capa!$A:$AJ,AW$5,0))))</f>
        <v/>
      </c>
      <c r="AX616" s="174" t="str">
        <f>IF(AX$6="","",IF(AX$3="Maior",iferror(VLOOKUP($R616,Capa!$A:$AJ,AX$5,0),0),IF(ISERROR(1/VLOOKUP($R616,Capa!$A:$AJ,AX$5,0)),0,1/VLOOKUP($R616,Capa!$A:$AJ,AX$5,0))))</f>
        <v/>
      </c>
      <c r="AY616" s="174" t="str">
        <f>IF(AY$6="","",IF(AY$3="Maior",iferror(VLOOKUP($R616,Capa!$A:$AJ,AY$5,0),0),IF(ISERROR(1/VLOOKUP($R616,Capa!$A:$AJ,AY$5,0)),0,1/VLOOKUP($R616,Capa!$A:$AJ,AY$5,0))))</f>
        <v/>
      </c>
      <c r="AZ616" s="174" t="str">
        <f>IF(AZ$6="","",IF(AZ$3="Maior",iferror(VLOOKUP($R616,Capa!$A:$AJ,AZ$5,0),0),IF(ISERROR(1/VLOOKUP($R616,Capa!$A:$AJ,AZ$5,0)),0,1/VLOOKUP($R616,Capa!$A:$AJ,AZ$5,0))))</f>
        <v/>
      </c>
      <c r="BA616" s="174" t="str">
        <f>IF(BA$6="","",IF(BA$3="Maior",iferror(VLOOKUP($R616,Capa!$A:$AJ,BA$5,0),0),IF(ISERROR(1/VLOOKUP($R616,Capa!$A:$AJ,BA$5,0)),0,1/VLOOKUP($R616,Capa!$A:$AJ,BA$5,0))))</f>
        <v/>
      </c>
      <c r="BB616" s="174" t="str">
        <f>IF(BB$6="","",IF(BB$3="Maior",iferror(VLOOKUP($R616,Capa!$A:$AJ,BB$5,0),0),IF(ISERROR(1/VLOOKUP($R616,Capa!$A:$AJ,BB$5,0)),0,1/VLOOKUP($R616,Capa!$A:$AJ,BB$5,0))))</f>
        <v/>
      </c>
      <c r="BC616" s="174" t="str">
        <f>IF(BC$6="","",IF(BC$3="Maior",iferror(VLOOKUP($R616,Capa!$A:$AJ,BC$5,0),0),IF(ISERROR(1/VLOOKUP($R616,Capa!$A:$AJ,BC$5,0)),0,1/VLOOKUP($R616,Capa!$A:$AJ,BC$5,0))))</f>
        <v/>
      </c>
      <c r="BD616" s="174" t="str">
        <f>IF(BD$6="","",IF(BD$3="Maior",iferror(VLOOKUP($R616,Capa!$A:$AJ,BD$5,0),0),IF(ISERROR(1/VLOOKUP($R616,Capa!$A:$AJ,BD$5,0)),0,1/VLOOKUP($R616,Capa!$A:$AJ,BD$5,0))))</f>
        <v/>
      </c>
      <c r="BE616" s="174" t="str">
        <f>IF(BE$6="","",IF(BE$3="Maior",iferror(VLOOKUP($R616,Capa!$A:$AJ,BE$5,0),0),IF(ISERROR(1/VLOOKUP($R616,Capa!$A:$AJ,BE$5,0)),0,1/VLOOKUP($R616,Capa!$A:$AJ,BE$5,0))))</f>
        <v/>
      </c>
      <c r="BF616" s="174" t="str">
        <f>IF(BF$6="","",IF(BF$3="Maior",iferror(VLOOKUP($R616,Capa!$A:$AJ,BF$5,0),0),IF(ISERROR(1/VLOOKUP($R616,Capa!$A:$AJ,BF$5,0)),0,1/VLOOKUP($R616,Capa!$A:$AJ,BF$5,0))))</f>
        <v/>
      </c>
      <c r="BG616" s="174" t="str">
        <f>IF(BG$6="","",IF(BG$3="Maior",iferror(VLOOKUP($R616,Capa!$A:$AJ,BG$5,0),0),IF(ISERROR(1/VLOOKUP($R616,Capa!$A:$AJ,BG$5,0)),0,1/VLOOKUP($R616,Capa!$A:$AJ,BG$5,0))))</f>
        <v/>
      </c>
      <c r="BH616" s="174" t="str">
        <f>IF(BH$6="","",IF(BH$3="Maior",iferror(VLOOKUP($R616,Capa!$A:$AJ,BH$5,0),0),IF(ISERROR(1/VLOOKUP($R616,Capa!$A:$AJ,BH$5,0)),0,1/VLOOKUP($R616,Capa!$A:$AJ,BH$5,0))))</f>
        <v/>
      </c>
      <c r="BI616" s="174" t="str">
        <f>IF(BI$6="","",IF(BI$3="Maior",iferror(VLOOKUP($R616,Capa!$A:$AJ,BI$5,0),0),IF(ISERROR(1/VLOOKUP($R616,Capa!$A:$AJ,BI$5,0)),0,1/VLOOKUP($R616,Capa!$A:$AJ,BI$5,0))))</f>
        <v/>
      </c>
      <c r="BJ616" s="174" t="str">
        <f>IF(BJ$6="","",IF(BJ$3="Maior",iferror(VLOOKUP($R616,Capa!$A:$AJ,BJ$5,0),0),IF(ISERROR(1/VLOOKUP($R616,Capa!$A:$AJ,BJ$5,0)),0,1/VLOOKUP($R616,Capa!$A:$AJ,BJ$5,0))))</f>
        <v/>
      </c>
      <c r="BK616" s="174" t="str">
        <f>IF(BK$6="","",IF(BK$3="Maior",iferror(VLOOKUP($R616,Capa!$A:$AJ,BK$5,0),0),IF(ISERROR(1/VLOOKUP($R616,Capa!$A:$AJ,BK$5,0)),0,1/VLOOKUP($R616,Capa!$A:$AJ,BK$5,0))))</f>
        <v/>
      </c>
      <c r="BL616" s="174" t="str">
        <f>IF(BL$6="","",IF(BL$3="Maior",iferror(VLOOKUP($R616,Capa!$A:$AJ,BL$5,0),0),IF(ISERROR(1/VLOOKUP($R616,Capa!$A:$AJ,BL$5,0)),0,1/VLOOKUP($R616,Capa!$A:$AJ,BL$5,0))))</f>
        <v/>
      </c>
      <c r="BM616" s="174" t="str">
        <f>IF(BM$6="","",IF(BM$3="Maior",iferror(VLOOKUP($R616,Capa!$A:$AJ,BM$5,0),0),IF(ISERROR(1/VLOOKUP($R616,Capa!$A:$AJ,BM$5,0)),0,1/VLOOKUP($R616,Capa!$A:$AJ,BM$5,0))))</f>
        <v/>
      </c>
      <c r="BN616" s="174" t="str">
        <f>IF(BN$6="","",IF(BN$3="Maior",iferror(VLOOKUP($R616,Capa!$A:$AJ,BN$5,0),0),IF(ISERROR(1/VLOOKUP($R616,Capa!$A:$AJ,BN$5,0)),0,1/VLOOKUP($R616,Capa!$A:$AJ,BN$5,0))))</f>
        <v/>
      </c>
      <c r="BO616" s="174" t="str">
        <f>IF(BO$6="","",IF(BO$3="Maior",iferror(VLOOKUP($R616,Capa!$A:$AJ,BO$5,0),0),IF(ISERROR(1/VLOOKUP($R616,Capa!$A:$AJ,BO$5,0)),0,1/VLOOKUP($R616,Capa!$A:$AJ,BO$5,0))))</f>
        <v/>
      </c>
      <c r="BP616" s="174" t="str">
        <f>IF(BP$6="","",IF(BP$3="Maior",iferror(VLOOKUP($R616,Capa!$A:$AJ,BP$5,0),0),IF(ISERROR(1/VLOOKUP($R616,Capa!$A:$AJ,BP$5,0)),0,1/VLOOKUP($R616,Capa!$A:$AJ,BP$5,0))))</f>
        <v/>
      </c>
      <c r="BQ616" s="174" t="str">
        <f>IF(BQ$6="","",IF(BQ$3="Maior",iferror(VLOOKUP($R616,Capa!$A:$AJ,BQ$5,0),0),IF(ISERROR(1/VLOOKUP($R616,Capa!$A:$AJ,BQ$5,0)),0,1/VLOOKUP($R616,Capa!$A:$AJ,BQ$5,0))))</f>
        <v/>
      </c>
      <c r="BR616" s="175"/>
      <c r="BS616" s="147"/>
    </row>
    <row r="617">
      <c r="H617" s="8">
        <v>611.0</v>
      </c>
      <c r="I617" s="165" t="str">
        <f t="shared" si="6"/>
        <v>RPAD3</v>
      </c>
      <c r="J617" s="166" t="str">
        <f>(VLOOKUP($I617,Capa!$A:$B,2,0))</f>
        <v>Alfa Holdings SA</v>
      </c>
      <c r="K617" s="167" t="str">
        <f>VLOOKUP(left(I617,4),Setor!A:D,3,0)&amp;" | "&amp;VLOOKUP(left(I617,4),Setor!A:D,4,0)</f>
        <v>Financeiro | Intermediários Financeiros</v>
      </c>
      <c r="L617" s="168">
        <f>(VLOOKUP($I617,Capa!$A:$F,6,0))</f>
        <v>5.32</v>
      </c>
      <c r="M617" s="168">
        <f t="shared" si="7"/>
        <v>531.6</v>
      </c>
      <c r="N617" s="11" t="str">
        <f>IFERROR(__xludf.DUMMYFUNCTION("(VLOOKUP($I617,Capa!$A:$H,7,0))"),"")</f>
        <v/>
      </c>
      <c r="O617" s="169">
        <f>(VLOOKUP($I617,Capa!$A:$H,8,0))</f>
        <v>-0.1927162367</v>
      </c>
      <c r="P617" s="11" t="str">
        <f>IFERROR(__xludf.DUMMYFUNCTION("(VLOOKUP($I617,Capa!$A:$J,10,0))"),"")</f>
        <v/>
      </c>
      <c r="Q617" s="169">
        <f>(VLOOKUP($I617,Capa!$A:$K,11,0))</f>
        <v>0.2314814815</v>
      </c>
      <c r="R617" s="45" t="str">
        <f>'Dados StatusInvest'!A612</f>
        <v>WHRL4</v>
      </c>
      <c r="S617" s="170">
        <f t="shared" si="234"/>
        <v>1833.0833</v>
      </c>
      <c r="T617" s="171">
        <f>VLOOKUP(R617,'Dados StatusInvest'!A:Z,26,0)</f>
        <v>26775.05</v>
      </c>
      <c r="U617" s="172">
        <f t="shared" ref="U617:AS617" si="620">IF(AT617="","", RANK(AT617,AT$7:AT$626,0)+RANK(AT617,AT$7:AT$626,0)/10000)</f>
        <v>242.0242</v>
      </c>
      <c r="V617" s="172">
        <f t="shared" si="620"/>
        <v>591.0591</v>
      </c>
      <c r="W617" s="172" t="str">
        <f t="shared" si="620"/>
        <v/>
      </c>
      <c r="X617" s="172" t="str">
        <f t="shared" si="620"/>
        <v/>
      </c>
      <c r="Y617" s="172" t="str">
        <f t="shared" si="620"/>
        <v/>
      </c>
      <c r="Z617" s="172" t="str">
        <f t="shared" si="620"/>
        <v/>
      </c>
      <c r="AA617" s="172" t="str">
        <f t="shared" si="620"/>
        <v/>
      </c>
      <c r="AB617" s="172" t="str">
        <f t="shared" si="620"/>
        <v/>
      </c>
      <c r="AC617" s="172" t="str">
        <f t="shared" si="620"/>
        <v/>
      </c>
      <c r="AD617" s="172" t="str">
        <f t="shared" si="620"/>
        <v/>
      </c>
      <c r="AE617" s="172" t="str">
        <f t="shared" si="620"/>
        <v/>
      </c>
      <c r="AF617" s="172" t="str">
        <f t="shared" si="620"/>
        <v/>
      </c>
      <c r="AG617" s="172" t="str">
        <f t="shared" si="620"/>
        <v/>
      </c>
      <c r="AH617" s="172" t="str">
        <f t="shared" si="620"/>
        <v/>
      </c>
      <c r="AI617" s="172" t="str">
        <f t="shared" si="620"/>
        <v/>
      </c>
      <c r="AJ617" s="172" t="str">
        <f t="shared" si="620"/>
        <v/>
      </c>
      <c r="AK617" s="172" t="str">
        <f t="shared" si="620"/>
        <v/>
      </c>
      <c r="AL617" s="172" t="str">
        <f t="shared" si="620"/>
        <v/>
      </c>
      <c r="AM617" s="172" t="str">
        <f t="shared" si="620"/>
        <v/>
      </c>
      <c r="AN617" s="172" t="str">
        <f t="shared" si="620"/>
        <v/>
      </c>
      <c r="AO617" s="172" t="str">
        <f t="shared" si="620"/>
        <v/>
      </c>
      <c r="AP617" s="172" t="str">
        <f t="shared" si="620"/>
        <v/>
      </c>
      <c r="AQ617" s="172" t="str">
        <f t="shared" si="620"/>
        <v/>
      </c>
      <c r="AR617" s="172" t="str">
        <f t="shared" si="620"/>
        <v/>
      </c>
      <c r="AS617" s="172" t="str">
        <f t="shared" si="620"/>
        <v/>
      </c>
      <c r="AT617" s="173">
        <f>IF(AT$6="","",IF(AT$3="Maior",iferror(VLOOKUP($R617,Capa!$A:$AJ,AT$5,0),0),IF(ISERROR(1/VLOOKUP($R617,Capa!$A:$AJ,AT$5,0)),0,1/VLOOKUP($R617,Capa!$A:$AJ,AT$5,0))))</f>
        <v>-0.4566210046</v>
      </c>
      <c r="AU617" s="174">
        <f>IF(AU$6="","",IF(AU$3="Maior",iferror(VLOOKUP($R617,Capa!$A:$AJ,AU$5,0),0),IF(ISERROR(1/VLOOKUP($R617,Capa!$A:$AJ,AU$5,0)),0,1/VLOOKUP($R617,Capa!$A:$AJ,AU$5,0))))</f>
        <v>-16.94</v>
      </c>
      <c r="AV617" s="174" t="str">
        <f>IF(AV$6="","",IF(AV$3="Maior",iferror(VLOOKUP($R617,Capa!$A:$AJ,AV$5,0),0),IF(ISERROR(1/VLOOKUP($R617,Capa!$A:$AJ,AV$5,0)),0,1/VLOOKUP($R617,Capa!$A:$AJ,AV$5,0))))</f>
        <v/>
      </c>
      <c r="AW617" s="174" t="str">
        <f>IF(AW$6="","",IF(AW$3="Maior",iferror(VLOOKUP($R617,Capa!$A:$AJ,AW$5,0),0),IF(ISERROR(1/VLOOKUP($R617,Capa!$A:$AJ,AW$5,0)),0,1/VLOOKUP($R617,Capa!$A:$AJ,AW$5,0))))</f>
        <v/>
      </c>
      <c r="AX617" s="174" t="str">
        <f>IF(AX$6="","",IF(AX$3="Maior",iferror(VLOOKUP($R617,Capa!$A:$AJ,AX$5,0),0),IF(ISERROR(1/VLOOKUP($R617,Capa!$A:$AJ,AX$5,0)),0,1/VLOOKUP($R617,Capa!$A:$AJ,AX$5,0))))</f>
        <v/>
      </c>
      <c r="AY617" s="174" t="str">
        <f>IF(AY$6="","",IF(AY$3="Maior",iferror(VLOOKUP($R617,Capa!$A:$AJ,AY$5,0),0),IF(ISERROR(1/VLOOKUP($R617,Capa!$A:$AJ,AY$5,0)),0,1/VLOOKUP($R617,Capa!$A:$AJ,AY$5,0))))</f>
        <v/>
      </c>
      <c r="AZ617" s="174" t="str">
        <f>IF(AZ$6="","",IF(AZ$3="Maior",iferror(VLOOKUP($R617,Capa!$A:$AJ,AZ$5,0),0),IF(ISERROR(1/VLOOKUP($R617,Capa!$A:$AJ,AZ$5,0)),0,1/VLOOKUP($R617,Capa!$A:$AJ,AZ$5,0))))</f>
        <v/>
      </c>
      <c r="BA617" s="174" t="str">
        <f>IF(BA$6="","",IF(BA$3="Maior",iferror(VLOOKUP($R617,Capa!$A:$AJ,BA$5,0),0),IF(ISERROR(1/VLOOKUP($R617,Capa!$A:$AJ,BA$5,0)),0,1/VLOOKUP($R617,Capa!$A:$AJ,BA$5,0))))</f>
        <v/>
      </c>
      <c r="BB617" s="174" t="str">
        <f>IF(BB$6="","",IF(BB$3="Maior",iferror(VLOOKUP($R617,Capa!$A:$AJ,BB$5,0),0),IF(ISERROR(1/VLOOKUP($R617,Capa!$A:$AJ,BB$5,0)),0,1/VLOOKUP($R617,Capa!$A:$AJ,BB$5,0))))</f>
        <v/>
      </c>
      <c r="BC617" s="174" t="str">
        <f>IF(BC$6="","",IF(BC$3="Maior",iferror(VLOOKUP($R617,Capa!$A:$AJ,BC$5,0),0),IF(ISERROR(1/VLOOKUP($R617,Capa!$A:$AJ,BC$5,0)),0,1/VLOOKUP($R617,Capa!$A:$AJ,BC$5,0))))</f>
        <v/>
      </c>
      <c r="BD617" s="174" t="str">
        <f>IF(BD$6="","",IF(BD$3="Maior",iferror(VLOOKUP($R617,Capa!$A:$AJ,BD$5,0),0),IF(ISERROR(1/VLOOKUP($R617,Capa!$A:$AJ,BD$5,0)),0,1/VLOOKUP($R617,Capa!$A:$AJ,BD$5,0))))</f>
        <v/>
      </c>
      <c r="BE617" s="174" t="str">
        <f>IF(BE$6="","",IF(BE$3="Maior",iferror(VLOOKUP($R617,Capa!$A:$AJ,BE$5,0),0),IF(ISERROR(1/VLOOKUP($R617,Capa!$A:$AJ,BE$5,0)),0,1/VLOOKUP($R617,Capa!$A:$AJ,BE$5,0))))</f>
        <v/>
      </c>
      <c r="BF617" s="174" t="str">
        <f>IF(BF$6="","",IF(BF$3="Maior",iferror(VLOOKUP($R617,Capa!$A:$AJ,BF$5,0),0),IF(ISERROR(1/VLOOKUP($R617,Capa!$A:$AJ,BF$5,0)),0,1/VLOOKUP($R617,Capa!$A:$AJ,BF$5,0))))</f>
        <v/>
      </c>
      <c r="BG617" s="174" t="str">
        <f>IF(BG$6="","",IF(BG$3="Maior",iferror(VLOOKUP($R617,Capa!$A:$AJ,BG$5,0),0),IF(ISERROR(1/VLOOKUP($R617,Capa!$A:$AJ,BG$5,0)),0,1/VLOOKUP($R617,Capa!$A:$AJ,BG$5,0))))</f>
        <v/>
      </c>
      <c r="BH617" s="174" t="str">
        <f>IF(BH$6="","",IF(BH$3="Maior",iferror(VLOOKUP($R617,Capa!$A:$AJ,BH$5,0),0),IF(ISERROR(1/VLOOKUP($R617,Capa!$A:$AJ,BH$5,0)),0,1/VLOOKUP($R617,Capa!$A:$AJ,BH$5,0))))</f>
        <v/>
      </c>
      <c r="BI617" s="174" t="str">
        <f>IF(BI$6="","",IF(BI$3="Maior",iferror(VLOOKUP($R617,Capa!$A:$AJ,BI$5,0),0),IF(ISERROR(1/VLOOKUP($R617,Capa!$A:$AJ,BI$5,0)),0,1/VLOOKUP($R617,Capa!$A:$AJ,BI$5,0))))</f>
        <v/>
      </c>
      <c r="BJ617" s="174" t="str">
        <f>IF(BJ$6="","",IF(BJ$3="Maior",iferror(VLOOKUP($R617,Capa!$A:$AJ,BJ$5,0),0),IF(ISERROR(1/VLOOKUP($R617,Capa!$A:$AJ,BJ$5,0)),0,1/VLOOKUP($R617,Capa!$A:$AJ,BJ$5,0))))</f>
        <v/>
      </c>
      <c r="BK617" s="174" t="str">
        <f>IF(BK$6="","",IF(BK$3="Maior",iferror(VLOOKUP($R617,Capa!$A:$AJ,BK$5,0),0),IF(ISERROR(1/VLOOKUP($R617,Capa!$A:$AJ,BK$5,0)),0,1/VLOOKUP($R617,Capa!$A:$AJ,BK$5,0))))</f>
        <v/>
      </c>
      <c r="BL617" s="174" t="str">
        <f>IF(BL$6="","",IF(BL$3="Maior",iferror(VLOOKUP($R617,Capa!$A:$AJ,BL$5,0),0),IF(ISERROR(1/VLOOKUP($R617,Capa!$A:$AJ,BL$5,0)),0,1/VLOOKUP($R617,Capa!$A:$AJ,BL$5,0))))</f>
        <v/>
      </c>
      <c r="BM617" s="174" t="str">
        <f>IF(BM$6="","",IF(BM$3="Maior",iferror(VLOOKUP($R617,Capa!$A:$AJ,BM$5,0),0),IF(ISERROR(1/VLOOKUP($R617,Capa!$A:$AJ,BM$5,0)),0,1/VLOOKUP($R617,Capa!$A:$AJ,BM$5,0))))</f>
        <v/>
      </c>
      <c r="BN617" s="174" t="str">
        <f>IF(BN$6="","",IF(BN$3="Maior",iferror(VLOOKUP($R617,Capa!$A:$AJ,BN$5,0),0),IF(ISERROR(1/VLOOKUP($R617,Capa!$A:$AJ,BN$5,0)),0,1/VLOOKUP($R617,Capa!$A:$AJ,BN$5,0))))</f>
        <v/>
      </c>
      <c r="BO617" s="174" t="str">
        <f>IF(BO$6="","",IF(BO$3="Maior",iferror(VLOOKUP($R617,Capa!$A:$AJ,BO$5,0),0),IF(ISERROR(1/VLOOKUP($R617,Capa!$A:$AJ,BO$5,0)),0,1/VLOOKUP($R617,Capa!$A:$AJ,BO$5,0))))</f>
        <v/>
      </c>
      <c r="BP617" s="174" t="str">
        <f>IF(BP$6="","",IF(BP$3="Maior",iferror(VLOOKUP($R617,Capa!$A:$AJ,BP$5,0),0),IF(ISERROR(1/VLOOKUP($R617,Capa!$A:$AJ,BP$5,0)),0,1/VLOOKUP($R617,Capa!$A:$AJ,BP$5,0))))</f>
        <v/>
      </c>
      <c r="BQ617" s="174" t="str">
        <f>IF(BQ$6="","",IF(BQ$3="Maior",iferror(VLOOKUP($R617,Capa!$A:$AJ,BQ$5,0),0),IF(ISERROR(1/VLOOKUP($R617,Capa!$A:$AJ,BQ$5,0)),0,1/VLOOKUP($R617,Capa!$A:$AJ,BQ$5,0))))</f>
        <v/>
      </c>
      <c r="BR617" s="175"/>
      <c r="BS617" s="147"/>
    </row>
    <row r="618">
      <c r="H618" s="8">
        <v>612.0</v>
      </c>
      <c r="I618" s="165" t="str">
        <f t="shared" si="6"/>
        <v>RPAD6</v>
      </c>
      <c r="J618" s="166" t="str">
        <f>(VLOOKUP($I618,Capa!$A:$B,2,0))</f>
        <v>Alfa Holdings SA Preference Shares Class B</v>
      </c>
      <c r="K618" s="167" t="str">
        <f>VLOOKUP(left(I618,4),Setor!A:D,3,0)&amp;" | "&amp;VLOOKUP(left(I618,4),Setor!A:D,4,0)</f>
        <v>Financeiro | Intermediários Financeiros</v>
      </c>
      <c r="L618" s="168">
        <f>(VLOOKUP($I618,Capa!$A:$F,6,0))</f>
        <v>4.45</v>
      </c>
      <c r="M618" s="168">
        <f t="shared" si="7"/>
        <v>5340</v>
      </c>
      <c r="N618" s="11" t="str">
        <f>(VLOOKUP($I618,Capa!$A:$H,7,0))</f>
        <v/>
      </c>
      <c r="O618" s="169" t="str">
        <f>(VLOOKUP($I618,Capa!$A:$H,8,0))</f>
        <v/>
      </c>
      <c r="P618" s="11" t="str">
        <f>IFERROR(__xludf.DUMMYFUNCTION("(VLOOKUP($I618,Capa!$A:$J,10,0))"),"")</f>
        <v/>
      </c>
      <c r="Q618" s="169" t="str">
        <f>(VLOOKUP($I618,Capa!$A:$K,11,0))</f>
        <v/>
      </c>
      <c r="R618" s="45" t="str">
        <f>'Dados StatusInvest'!A613</f>
        <v>WIZC3</v>
      </c>
      <c r="S618" s="170">
        <f t="shared" si="234"/>
        <v>869.0869</v>
      </c>
      <c r="T618" s="171">
        <f>VLOOKUP(R618,'Dados StatusInvest'!A:Z,26,0)</f>
        <v>5751102</v>
      </c>
      <c r="U618" s="172">
        <f t="shared" ref="U618:AS618" si="621">IF(AT618="","", RANK(AT618,AT$7:AT$626,0)+RANK(AT618,AT$7:AT$626,0)/10000)</f>
        <v>326.0326</v>
      </c>
      <c r="V618" s="172">
        <f t="shared" si="621"/>
        <v>543.0543</v>
      </c>
      <c r="W618" s="172" t="str">
        <f t="shared" si="621"/>
        <v/>
      </c>
      <c r="X618" s="172" t="str">
        <f t="shared" si="621"/>
        <v/>
      </c>
      <c r="Y618" s="172" t="str">
        <f t="shared" si="621"/>
        <v/>
      </c>
      <c r="Z618" s="172" t="str">
        <f t="shared" si="621"/>
        <v/>
      </c>
      <c r="AA618" s="172" t="str">
        <f t="shared" si="621"/>
        <v/>
      </c>
      <c r="AB618" s="172" t="str">
        <f t="shared" si="621"/>
        <v/>
      </c>
      <c r="AC618" s="172" t="str">
        <f t="shared" si="621"/>
        <v/>
      </c>
      <c r="AD618" s="172" t="str">
        <f t="shared" si="621"/>
        <v/>
      </c>
      <c r="AE618" s="172" t="str">
        <f t="shared" si="621"/>
        <v/>
      </c>
      <c r="AF618" s="172" t="str">
        <f t="shared" si="621"/>
        <v/>
      </c>
      <c r="AG618" s="172" t="str">
        <f t="shared" si="621"/>
        <v/>
      </c>
      <c r="AH618" s="172" t="str">
        <f t="shared" si="621"/>
        <v/>
      </c>
      <c r="AI618" s="172" t="str">
        <f t="shared" si="621"/>
        <v/>
      </c>
      <c r="AJ618" s="172" t="str">
        <f t="shared" si="621"/>
        <v/>
      </c>
      <c r="AK618" s="172" t="str">
        <f t="shared" si="621"/>
        <v/>
      </c>
      <c r="AL618" s="172" t="str">
        <f t="shared" si="621"/>
        <v/>
      </c>
      <c r="AM618" s="172" t="str">
        <f t="shared" si="621"/>
        <v/>
      </c>
      <c r="AN618" s="172" t="str">
        <f t="shared" si="621"/>
        <v/>
      </c>
      <c r="AO618" s="172" t="str">
        <f t="shared" si="621"/>
        <v/>
      </c>
      <c r="AP618" s="172" t="str">
        <f t="shared" si="621"/>
        <v/>
      </c>
      <c r="AQ618" s="172" t="str">
        <f t="shared" si="621"/>
        <v/>
      </c>
      <c r="AR618" s="172" t="str">
        <f t="shared" si="621"/>
        <v/>
      </c>
      <c r="AS618" s="172" t="str">
        <f t="shared" si="621"/>
        <v/>
      </c>
      <c r="AT618" s="173">
        <f>IF(AT$6="","",IF(AT$3="Maior",iferror(VLOOKUP($R618,Capa!$A:$AJ,AT$5,0),0),IF(ISERROR(1/VLOOKUP($R618,Capa!$A:$AJ,AT$5,0)),0,1/VLOOKUP($R618,Capa!$A:$AJ,AT$5,0))))</f>
        <v>-0.8549337191</v>
      </c>
      <c r="AU618" s="174">
        <f>IF(AU$6="","",IF(AU$3="Maior",iferror(VLOOKUP($R618,Capa!$A:$AJ,AU$5,0),0),IF(ISERROR(1/VLOOKUP($R618,Capa!$A:$AJ,AU$5,0)),0,1/VLOOKUP($R618,Capa!$A:$AJ,AU$5,0))))</f>
        <v>-2.34</v>
      </c>
      <c r="AV618" s="174" t="str">
        <f>IF(AV$6="","",IF(AV$3="Maior",iferror(VLOOKUP($R618,Capa!$A:$AJ,AV$5,0),0),IF(ISERROR(1/VLOOKUP($R618,Capa!$A:$AJ,AV$5,0)),0,1/VLOOKUP($R618,Capa!$A:$AJ,AV$5,0))))</f>
        <v/>
      </c>
      <c r="AW618" s="174" t="str">
        <f>IF(AW$6="","",IF(AW$3="Maior",iferror(VLOOKUP($R618,Capa!$A:$AJ,AW$5,0),0),IF(ISERROR(1/VLOOKUP($R618,Capa!$A:$AJ,AW$5,0)),0,1/VLOOKUP($R618,Capa!$A:$AJ,AW$5,0))))</f>
        <v/>
      </c>
      <c r="AX618" s="174" t="str">
        <f>IF(AX$6="","",IF(AX$3="Maior",iferror(VLOOKUP($R618,Capa!$A:$AJ,AX$5,0),0),IF(ISERROR(1/VLOOKUP($R618,Capa!$A:$AJ,AX$5,0)),0,1/VLOOKUP($R618,Capa!$A:$AJ,AX$5,0))))</f>
        <v/>
      </c>
      <c r="AY618" s="174" t="str">
        <f>IF(AY$6="","",IF(AY$3="Maior",iferror(VLOOKUP($R618,Capa!$A:$AJ,AY$5,0),0),IF(ISERROR(1/VLOOKUP($R618,Capa!$A:$AJ,AY$5,0)),0,1/VLOOKUP($R618,Capa!$A:$AJ,AY$5,0))))</f>
        <v/>
      </c>
      <c r="AZ618" s="174" t="str">
        <f>IF(AZ$6="","",IF(AZ$3="Maior",iferror(VLOOKUP($R618,Capa!$A:$AJ,AZ$5,0),0),IF(ISERROR(1/VLOOKUP($R618,Capa!$A:$AJ,AZ$5,0)),0,1/VLOOKUP($R618,Capa!$A:$AJ,AZ$5,0))))</f>
        <v/>
      </c>
      <c r="BA618" s="174" t="str">
        <f>IF(BA$6="","",IF(BA$3="Maior",iferror(VLOOKUP($R618,Capa!$A:$AJ,BA$5,0),0),IF(ISERROR(1/VLOOKUP($R618,Capa!$A:$AJ,BA$5,0)),0,1/VLOOKUP($R618,Capa!$A:$AJ,BA$5,0))))</f>
        <v/>
      </c>
      <c r="BB618" s="174" t="str">
        <f>IF(BB$6="","",IF(BB$3="Maior",iferror(VLOOKUP($R618,Capa!$A:$AJ,BB$5,0),0),IF(ISERROR(1/VLOOKUP($R618,Capa!$A:$AJ,BB$5,0)),0,1/VLOOKUP($R618,Capa!$A:$AJ,BB$5,0))))</f>
        <v/>
      </c>
      <c r="BC618" s="174" t="str">
        <f>IF(BC$6="","",IF(BC$3="Maior",iferror(VLOOKUP($R618,Capa!$A:$AJ,BC$5,0),0),IF(ISERROR(1/VLOOKUP($R618,Capa!$A:$AJ,BC$5,0)),0,1/VLOOKUP($R618,Capa!$A:$AJ,BC$5,0))))</f>
        <v/>
      </c>
      <c r="BD618" s="174" t="str">
        <f>IF(BD$6="","",IF(BD$3="Maior",iferror(VLOOKUP($R618,Capa!$A:$AJ,BD$5,0),0),IF(ISERROR(1/VLOOKUP($R618,Capa!$A:$AJ,BD$5,0)),0,1/VLOOKUP($R618,Capa!$A:$AJ,BD$5,0))))</f>
        <v/>
      </c>
      <c r="BE618" s="174" t="str">
        <f>IF(BE$6="","",IF(BE$3="Maior",iferror(VLOOKUP($R618,Capa!$A:$AJ,BE$5,0),0),IF(ISERROR(1/VLOOKUP($R618,Capa!$A:$AJ,BE$5,0)),0,1/VLOOKUP($R618,Capa!$A:$AJ,BE$5,0))))</f>
        <v/>
      </c>
      <c r="BF618" s="174" t="str">
        <f>IF(BF$6="","",IF(BF$3="Maior",iferror(VLOOKUP($R618,Capa!$A:$AJ,BF$5,0),0),IF(ISERROR(1/VLOOKUP($R618,Capa!$A:$AJ,BF$5,0)),0,1/VLOOKUP($R618,Capa!$A:$AJ,BF$5,0))))</f>
        <v/>
      </c>
      <c r="BG618" s="174" t="str">
        <f>IF(BG$6="","",IF(BG$3="Maior",iferror(VLOOKUP($R618,Capa!$A:$AJ,BG$5,0),0),IF(ISERROR(1/VLOOKUP($R618,Capa!$A:$AJ,BG$5,0)),0,1/VLOOKUP($R618,Capa!$A:$AJ,BG$5,0))))</f>
        <v/>
      </c>
      <c r="BH618" s="174" t="str">
        <f>IF(BH$6="","",IF(BH$3="Maior",iferror(VLOOKUP($R618,Capa!$A:$AJ,BH$5,0),0),IF(ISERROR(1/VLOOKUP($R618,Capa!$A:$AJ,BH$5,0)),0,1/VLOOKUP($R618,Capa!$A:$AJ,BH$5,0))))</f>
        <v/>
      </c>
      <c r="BI618" s="174" t="str">
        <f>IF(BI$6="","",IF(BI$3="Maior",iferror(VLOOKUP($R618,Capa!$A:$AJ,BI$5,0),0),IF(ISERROR(1/VLOOKUP($R618,Capa!$A:$AJ,BI$5,0)),0,1/VLOOKUP($R618,Capa!$A:$AJ,BI$5,0))))</f>
        <v/>
      </c>
      <c r="BJ618" s="174" t="str">
        <f>IF(BJ$6="","",IF(BJ$3="Maior",iferror(VLOOKUP($R618,Capa!$A:$AJ,BJ$5,0),0),IF(ISERROR(1/VLOOKUP($R618,Capa!$A:$AJ,BJ$5,0)),0,1/VLOOKUP($R618,Capa!$A:$AJ,BJ$5,0))))</f>
        <v/>
      </c>
      <c r="BK618" s="174" t="str">
        <f>IF(BK$6="","",IF(BK$3="Maior",iferror(VLOOKUP($R618,Capa!$A:$AJ,BK$5,0),0),IF(ISERROR(1/VLOOKUP($R618,Capa!$A:$AJ,BK$5,0)),0,1/VLOOKUP($R618,Capa!$A:$AJ,BK$5,0))))</f>
        <v/>
      </c>
      <c r="BL618" s="174" t="str">
        <f>IF(BL$6="","",IF(BL$3="Maior",iferror(VLOOKUP($R618,Capa!$A:$AJ,BL$5,0),0),IF(ISERROR(1/VLOOKUP($R618,Capa!$A:$AJ,BL$5,0)),0,1/VLOOKUP($R618,Capa!$A:$AJ,BL$5,0))))</f>
        <v/>
      </c>
      <c r="BM618" s="174" t="str">
        <f>IF(BM$6="","",IF(BM$3="Maior",iferror(VLOOKUP($R618,Capa!$A:$AJ,BM$5,0),0),IF(ISERROR(1/VLOOKUP($R618,Capa!$A:$AJ,BM$5,0)),0,1/VLOOKUP($R618,Capa!$A:$AJ,BM$5,0))))</f>
        <v/>
      </c>
      <c r="BN618" s="174" t="str">
        <f>IF(BN$6="","",IF(BN$3="Maior",iferror(VLOOKUP($R618,Capa!$A:$AJ,BN$5,0),0),IF(ISERROR(1/VLOOKUP($R618,Capa!$A:$AJ,BN$5,0)),0,1/VLOOKUP($R618,Capa!$A:$AJ,BN$5,0))))</f>
        <v/>
      </c>
      <c r="BO618" s="174" t="str">
        <f>IF(BO$6="","",IF(BO$3="Maior",iferror(VLOOKUP($R618,Capa!$A:$AJ,BO$5,0),0),IF(ISERROR(1/VLOOKUP($R618,Capa!$A:$AJ,BO$5,0)),0,1/VLOOKUP($R618,Capa!$A:$AJ,BO$5,0))))</f>
        <v/>
      </c>
      <c r="BP618" s="174" t="str">
        <f>IF(BP$6="","",IF(BP$3="Maior",iferror(VLOOKUP($R618,Capa!$A:$AJ,BP$5,0),0),IF(ISERROR(1/VLOOKUP($R618,Capa!$A:$AJ,BP$5,0)),0,1/VLOOKUP($R618,Capa!$A:$AJ,BP$5,0))))</f>
        <v/>
      </c>
      <c r="BQ618" s="174" t="str">
        <f>IF(BQ$6="","",IF(BQ$3="Maior",iferror(VLOOKUP($R618,Capa!$A:$AJ,BQ$5,0),0),IF(ISERROR(1/VLOOKUP($R618,Capa!$A:$AJ,BQ$5,0)),0,1/VLOOKUP($R618,Capa!$A:$AJ,BQ$5,0))))</f>
        <v/>
      </c>
      <c r="BR618" s="175"/>
      <c r="BS618" s="147"/>
    </row>
    <row r="619">
      <c r="H619" s="8">
        <v>613.0</v>
      </c>
      <c r="I619" s="165" t="str">
        <f t="shared" si="6"/>
        <v>COCE3</v>
      </c>
      <c r="J619" s="166" t="str">
        <f>(VLOOKUP($I619,Capa!$A:$B,2,0))</f>
        <v>Companhia Energetica do Ceara</v>
      </c>
      <c r="K619" s="167" t="str">
        <f>VLOOKUP(left(I619,4),Setor!A:D,3,0)&amp;" | "&amp;VLOOKUP(left(I619,4),Setor!A:D,4,0)</f>
        <v>Utilidade Pública | Energia Elétrica</v>
      </c>
      <c r="L619" s="168">
        <f>(VLOOKUP($I619,Capa!$A:$F,6,0))</f>
        <v>38</v>
      </c>
      <c r="M619" s="168">
        <f t="shared" si="7"/>
        <v>1450.25</v>
      </c>
      <c r="N619" s="11" t="str">
        <f>IFERROR(__xludf.DUMMYFUNCTION("(VLOOKUP($I619,Capa!$A:$H,7,0))"),"")</f>
        <v/>
      </c>
      <c r="O619" s="169" t="str">
        <f>(VLOOKUP($I619,Capa!$A:$H,8,0))</f>
        <v/>
      </c>
      <c r="P619" s="11" t="str">
        <f>IFERROR(__xludf.DUMMYFUNCTION("(VLOOKUP($I619,Capa!$A:$J,10,0))"),"")</f>
        <v/>
      </c>
      <c r="Q619" s="169" t="str">
        <f>(VLOOKUP($I619,Capa!$A:$K,11,0))</f>
        <v/>
      </c>
      <c r="R619" s="45" t="str">
        <f>'Dados StatusInvest'!A614</f>
        <v>WLMM3</v>
      </c>
      <c r="S619" s="170">
        <f t="shared" si="234"/>
        <v>1460.046</v>
      </c>
      <c r="T619" s="171">
        <f>VLOOKUP(R619,'Dados StatusInvest'!A:Z,26,0)</f>
        <v>1654.44</v>
      </c>
      <c r="U619" s="172">
        <f t="shared" ref="U619:AS619" si="622">IF(AT619="","", RANK(AT619,AT$7:AT$626,0)+RANK(AT619,AT$7:AT$626,0)/10000)</f>
        <v>315.0315</v>
      </c>
      <c r="V619" s="172">
        <f t="shared" si="622"/>
        <v>145.0145</v>
      </c>
      <c r="W619" s="172" t="str">
        <f t="shared" si="622"/>
        <v/>
      </c>
      <c r="X619" s="172" t="str">
        <f t="shared" si="622"/>
        <v/>
      </c>
      <c r="Y619" s="172" t="str">
        <f t="shared" si="622"/>
        <v/>
      </c>
      <c r="Z619" s="172" t="str">
        <f t="shared" si="622"/>
        <v/>
      </c>
      <c r="AA619" s="172" t="str">
        <f t="shared" si="622"/>
        <v/>
      </c>
      <c r="AB619" s="172" t="str">
        <f t="shared" si="622"/>
        <v/>
      </c>
      <c r="AC619" s="172" t="str">
        <f t="shared" si="622"/>
        <v/>
      </c>
      <c r="AD619" s="172" t="str">
        <f t="shared" si="622"/>
        <v/>
      </c>
      <c r="AE619" s="172" t="str">
        <f t="shared" si="622"/>
        <v/>
      </c>
      <c r="AF619" s="172" t="str">
        <f t="shared" si="622"/>
        <v/>
      </c>
      <c r="AG619" s="172" t="str">
        <f t="shared" si="622"/>
        <v/>
      </c>
      <c r="AH619" s="172" t="str">
        <f t="shared" si="622"/>
        <v/>
      </c>
      <c r="AI619" s="172" t="str">
        <f t="shared" si="622"/>
        <v/>
      </c>
      <c r="AJ619" s="172" t="str">
        <f t="shared" si="622"/>
        <v/>
      </c>
      <c r="AK619" s="172" t="str">
        <f t="shared" si="622"/>
        <v/>
      </c>
      <c r="AL619" s="172" t="str">
        <f t="shared" si="622"/>
        <v/>
      </c>
      <c r="AM619" s="172" t="str">
        <f t="shared" si="622"/>
        <v/>
      </c>
      <c r="AN619" s="172" t="str">
        <f t="shared" si="622"/>
        <v/>
      </c>
      <c r="AO619" s="172" t="str">
        <f t="shared" si="622"/>
        <v/>
      </c>
      <c r="AP619" s="172" t="str">
        <f t="shared" si="622"/>
        <v/>
      </c>
      <c r="AQ619" s="172" t="str">
        <f t="shared" si="622"/>
        <v/>
      </c>
      <c r="AR619" s="172" t="str">
        <f t="shared" si="622"/>
        <v/>
      </c>
      <c r="AS619" s="172" t="str">
        <f t="shared" si="622"/>
        <v/>
      </c>
      <c r="AT619" s="173">
        <f>IF(AT$6="","",IF(AT$3="Maior",iferror(VLOOKUP($R619,Capa!$A:$AJ,AT$5,0),0),IF(ISERROR(1/VLOOKUP($R619,Capa!$A:$AJ,AT$5,0)),0,1/VLOOKUP($R619,Capa!$A:$AJ,AT$5,0))))</f>
        <v>-0.7751937984</v>
      </c>
      <c r="AU619" s="174">
        <f>IF(AU$6="","",IF(AU$3="Maior",iferror(VLOOKUP($R619,Capa!$A:$AJ,AU$5,0),0),IF(ISERROR(1/VLOOKUP($R619,Capa!$A:$AJ,AU$5,0)),0,1/VLOOKUP($R619,Capa!$A:$AJ,AU$5,0))))</f>
        <v>18.79</v>
      </c>
      <c r="AV619" s="174" t="str">
        <f>IF(AV$6="","",IF(AV$3="Maior",iferror(VLOOKUP($R619,Capa!$A:$AJ,AV$5,0),0),IF(ISERROR(1/VLOOKUP($R619,Capa!$A:$AJ,AV$5,0)),0,1/VLOOKUP($R619,Capa!$A:$AJ,AV$5,0))))</f>
        <v/>
      </c>
      <c r="AW619" s="174" t="str">
        <f>IF(AW$6="","",IF(AW$3="Maior",iferror(VLOOKUP($R619,Capa!$A:$AJ,AW$5,0),0),IF(ISERROR(1/VLOOKUP($R619,Capa!$A:$AJ,AW$5,0)),0,1/VLOOKUP($R619,Capa!$A:$AJ,AW$5,0))))</f>
        <v/>
      </c>
      <c r="AX619" s="174" t="str">
        <f>IF(AX$6="","",IF(AX$3="Maior",iferror(VLOOKUP($R619,Capa!$A:$AJ,AX$5,0),0),IF(ISERROR(1/VLOOKUP($R619,Capa!$A:$AJ,AX$5,0)),0,1/VLOOKUP($R619,Capa!$A:$AJ,AX$5,0))))</f>
        <v/>
      </c>
      <c r="AY619" s="174" t="str">
        <f>IF(AY$6="","",IF(AY$3="Maior",iferror(VLOOKUP($R619,Capa!$A:$AJ,AY$5,0),0),IF(ISERROR(1/VLOOKUP($R619,Capa!$A:$AJ,AY$5,0)),0,1/VLOOKUP($R619,Capa!$A:$AJ,AY$5,0))))</f>
        <v/>
      </c>
      <c r="AZ619" s="174" t="str">
        <f>IF(AZ$6="","",IF(AZ$3="Maior",iferror(VLOOKUP($R619,Capa!$A:$AJ,AZ$5,0),0),IF(ISERROR(1/VLOOKUP($R619,Capa!$A:$AJ,AZ$5,0)),0,1/VLOOKUP($R619,Capa!$A:$AJ,AZ$5,0))))</f>
        <v/>
      </c>
      <c r="BA619" s="174" t="str">
        <f>IF(BA$6="","",IF(BA$3="Maior",iferror(VLOOKUP($R619,Capa!$A:$AJ,BA$5,0),0),IF(ISERROR(1/VLOOKUP($R619,Capa!$A:$AJ,BA$5,0)),0,1/VLOOKUP($R619,Capa!$A:$AJ,BA$5,0))))</f>
        <v/>
      </c>
      <c r="BB619" s="174" t="str">
        <f>IF(BB$6="","",IF(BB$3="Maior",iferror(VLOOKUP($R619,Capa!$A:$AJ,BB$5,0),0),IF(ISERROR(1/VLOOKUP($R619,Capa!$A:$AJ,BB$5,0)),0,1/VLOOKUP($R619,Capa!$A:$AJ,BB$5,0))))</f>
        <v/>
      </c>
      <c r="BC619" s="174" t="str">
        <f>IF(BC$6="","",IF(BC$3="Maior",iferror(VLOOKUP($R619,Capa!$A:$AJ,BC$5,0),0),IF(ISERROR(1/VLOOKUP($R619,Capa!$A:$AJ,BC$5,0)),0,1/VLOOKUP($R619,Capa!$A:$AJ,BC$5,0))))</f>
        <v/>
      </c>
      <c r="BD619" s="174" t="str">
        <f>IF(BD$6="","",IF(BD$3="Maior",iferror(VLOOKUP($R619,Capa!$A:$AJ,BD$5,0),0),IF(ISERROR(1/VLOOKUP($R619,Capa!$A:$AJ,BD$5,0)),0,1/VLOOKUP($R619,Capa!$A:$AJ,BD$5,0))))</f>
        <v/>
      </c>
      <c r="BE619" s="174" t="str">
        <f>IF(BE$6="","",IF(BE$3="Maior",iferror(VLOOKUP($R619,Capa!$A:$AJ,BE$5,0),0),IF(ISERROR(1/VLOOKUP($R619,Capa!$A:$AJ,BE$5,0)),0,1/VLOOKUP($R619,Capa!$A:$AJ,BE$5,0))))</f>
        <v/>
      </c>
      <c r="BF619" s="174" t="str">
        <f>IF(BF$6="","",IF(BF$3="Maior",iferror(VLOOKUP($R619,Capa!$A:$AJ,BF$5,0),0),IF(ISERROR(1/VLOOKUP($R619,Capa!$A:$AJ,BF$5,0)),0,1/VLOOKUP($R619,Capa!$A:$AJ,BF$5,0))))</f>
        <v/>
      </c>
      <c r="BG619" s="174" t="str">
        <f>IF(BG$6="","",IF(BG$3="Maior",iferror(VLOOKUP($R619,Capa!$A:$AJ,BG$5,0),0),IF(ISERROR(1/VLOOKUP($R619,Capa!$A:$AJ,BG$5,0)),0,1/VLOOKUP($R619,Capa!$A:$AJ,BG$5,0))))</f>
        <v/>
      </c>
      <c r="BH619" s="174" t="str">
        <f>IF(BH$6="","",IF(BH$3="Maior",iferror(VLOOKUP($R619,Capa!$A:$AJ,BH$5,0),0),IF(ISERROR(1/VLOOKUP($R619,Capa!$A:$AJ,BH$5,0)),0,1/VLOOKUP($R619,Capa!$A:$AJ,BH$5,0))))</f>
        <v/>
      </c>
      <c r="BI619" s="174" t="str">
        <f>IF(BI$6="","",IF(BI$3="Maior",iferror(VLOOKUP($R619,Capa!$A:$AJ,BI$5,0),0),IF(ISERROR(1/VLOOKUP($R619,Capa!$A:$AJ,BI$5,0)),0,1/VLOOKUP($R619,Capa!$A:$AJ,BI$5,0))))</f>
        <v/>
      </c>
      <c r="BJ619" s="174" t="str">
        <f>IF(BJ$6="","",IF(BJ$3="Maior",iferror(VLOOKUP($R619,Capa!$A:$AJ,BJ$5,0),0),IF(ISERROR(1/VLOOKUP($R619,Capa!$A:$AJ,BJ$5,0)),0,1/VLOOKUP($R619,Capa!$A:$AJ,BJ$5,0))))</f>
        <v/>
      </c>
      <c r="BK619" s="174" t="str">
        <f>IF(BK$6="","",IF(BK$3="Maior",iferror(VLOOKUP($R619,Capa!$A:$AJ,BK$5,0),0),IF(ISERROR(1/VLOOKUP($R619,Capa!$A:$AJ,BK$5,0)),0,1/VLOOKUP($R619,Capa!$A:$AJ,BK$5,0))))</f>
        <v/>
      </c>
      <c r="BL619" s="174" t="str">
        <f>IF(BL$6="","",IF(BL$3="Maior",iferror(VLOOKUP($R619,Capa!$A:$AJ,BL$5,0),0),IF(ISERROR(1/VLOOKUP($R619,Capa!$A:$AJ,BL$5,0)),0,1/VLOOKUP($R619,Capa!$A:$AJ,BL$5,0))))</f>
        <v/>
      </c>
      <c r="BM619" s="174" t="str">
        <f>IF(BM$6="","",IF(BM$3="Maior",iferror(VLOOKUP($R619,Capa!$A:$AJ,BM$5,0),0),IF(ISERROR(1/VLOOKUP($R619,Capa!$A:$AJ,BM$5,0)),0,1/VLOOKUP($R619,Capa!$A:$AJ,BM$5,0))))</f>
        <v/>
      </c>
      <c r="BN619" s="174" t="str">
        <f>IF(BN$6="","",IF(BN$3="Maior",iferror(VLOOKUP($R619,Capa!$A:$AJ,BN$5,0),0),IF(ISERROR(1/VLOOKUP($R619,Capa!$A:$AJ,BN$5,0)),0,1/VLOOKUP($R619,Capa!$A:$AJ,BN$5,0))))</f>
        <v/>
      </c>
      <c r="BO619" s="174" t="str">
        <f>IF(BO$6="","",IF(BO$3="Maior",iferror(VLOOKUP($R619,Capa!$A:$AJ,BO$5,0),0),IF(ISERROR(1/VLOOKUP($R619,Capa!$A:$AJ,BO$5,0)),0,1/VLOOKUP($R619,Capa!$A:$AJ,BO$5,0))))</f>
        <v/>
      </c>
      <c r="BP619" s="174" t="str">
        <f>IF(BP$6="","",IF(BP$3="Maior",iferror(VLOOKUP($R619,Capa!$A:$AJ,BP$5,0),0),IF(ISERROR(1/VLOOKUP($R619,Capa!$A:$AJ,BP$5,0)),0,1/VLOOKUP($R619,Capa!$A:$AJ,BP$5,0))))</f>
        <v/>
      </c>
      <c r="BQ619" s="174" t="str">
        <f>IF(BQ$6="","",IF(BQ$3="Maior",iferror(VLOOKUP($R619,Capa!$A:$AJ,BQ$5,0),0),IF(ISERROR(1/VLOOKUP($R619,Capa!$A:$AJ,BQ$5,0)),0,1/VLOOKUP($R619,Capa!$A:$AJ,BQ$5,0))))</f>
        <v/>
      </c>
      <c r="BR619" s="175"/>
      <c r="BS619" s="147"/>
    </row>
    <row r="620">
      <c r="H620" s="8">
        <v>614.0</v>
      </c>
      <c r="I620" s="165" t="str">
        <f t="shared" si="6"/>
        <v>RAPT3</v>
      </c>
      <c r="J620" s="166" t="str">
        <f>(VLOOKUP($I620,Capa!$A:$B,2,0))</f>
        <v>Randoncorp SA</v>
      </c>
      <c r="K620" s="167" t="str">
        <f>VLOOKUP(left(I620,4),Setor!A:D,3,0)&amp;" | "&amp;VLOOKUP(left(I620,4),Setor!A:D,4,0)</f>
        <v>Bens Industriais | Material de Transporte</v>
      </c>
      <c r="L620" s="168">
        <f>(VLOOKUP($I620,Capa!$A:$F,6,0))</f>
        <v>6.39</v>
      </c>
      <c r="M620" s="168">
        <f t="shared" si="7"/>
        <v>105623.1</v>
      </c>
      <c r="N620" s="11" t="str">
        <f>IFERROR(__xludf.DUMMYFUNCTION("(VLOOKUP($I620,Capa!$A:$H,7,0))"),"")</f>
        <v/>
      </c>
      <c r="O620" s="169">
        <f>(VLOOKUP($I620,Capa!$A:$H,8,0))</f>
        <v>-0.04484304933</v>
      </c>
      <c r="P620" s="11" t="str">
        <f>IFERROR(__xludf.DUMMYFUNCTION("(VLOOKUP($I620,Capa!$A:$J,10,0))"),"")</f>
        <v/>
      </c>
      <c r="Q620" s="169">
        <f>(VLOOKUP($I620,Capa!$A:$K,11,0))</f>
        <v>-0.2319711538</v>
      </c>
      <c r="R620" s="45" t="str">
        <f>'Dados StatusInvest'!A615</f>
        <v>WLMM4</v>
      </c>
      <c r="S620" s="170">
        <f t="shared" si="234"/>
        <v>1447.0447</v>
      </c>
      <c r="T620" s="171">
        <f>VLOOKUP(R620,'Dados StatusInvest'!A:Z,26,0)</f>
        <v>46932.81</v>
      </c>
      <c r="U620" s="172">
        <f t="shared" ref="U620:AS620" si="623">IF(AT620="","", RANK(AT620,AT$7:AT$626,0)+RANK(AT620,AT$7:AT$626,0)/10000)</f>
        <v>302.0302</v>
      </c>
      <c r="V620" s="172">
        <f t="shared" si="623"/>
        <v>145.0145</v>
      </c>
      <c r="W620" s="172" t="str">
        <f t="shared" si="623"/>
        <v/>
      </c>
      <c r="X620" s="172" t="str">
        <f t="shared" si="623"/>
        <v/>
      </c>
      <c r="Y620" s="172" t="str">
        <f t="shared" si="623"/>
        <v/>
      </c>
      <c r="Z620" s="172" t="str">
        <f t="shared" si="623"/>
        <v/>
      </c>
      <c r="AA620" s="172" t="str">
        <f t="shared" si="623"/>
        <v/>
      </c>
      <c r="AB620" s="172" t="str">
        <f t="shared" si="623"/>
        <v/>
      </c>
      <c r="AC620" s="172" t="str">
        <f t="shared" si="623"/>
        <v/>
      </c>
      <c r="AD620" s="172" t="str">
        <f t="shared" si="623"/>
        <v/>
      </c>
      <c r="AE620" s="172" t="str">
        <f t="shared" si="623"/>
        <v/>
      </c>
      <c r="AF620" s="172" t="str">
        <f t="shared" si="623"/>
        <v/>
      </c>
      <c r="AG620" s="172" t="str">
        <f t="shared" si="623"/>
        <v/>
      </c>
      <c r="AH620" s="172" t="str">
        <f t="shared" si="623"/>
        <v/>
      </c>
      <c r="AI620" s="172" t="str">
        <f t="shared" si="623"/>
        <v/>
      </c>
      <c r="AJ620" s="172" t="str">
        <f t="shared" si="623"/>
        <v/>
      </c>
      <c r="AK620" s="172" t="str">
        <f t="shared" si="623"/>
        <v/>
      </c>
      <c r="AL620" s="172" t="str">
        <f t="shared" si="623"/>
        <v/>
      </c>
      <c r="AM620" s="172" t="str">
        <f t="shared" si="623"/>
        <v/>
      </c>
      <c r="AN620" s="172" t="str">
        <f t="shared" si="623"/>
        <v/>
      </c>
      <c r="AO620" s="172" t="str">
        <f t="shared" si="623"/>
        <v/>
      </c>
      <c r="AP620" s="172" t="str">
        <f t="shared" si="623"/>
        <v/>
      </c>
      <c r="AQ620" s="172" t="str">
        <f t="shared" si="623"/>
        <v/>
      </c>
      <c r="AR620" s="172" t="str">
        <f t="shared" si="623"/>
        <v/>
      </c>
      <c r="AS620" s="172" t="str">
        <f t="shared" si="623"/>
        <v/>
      </c>
      <c r="AT620" s="173">
        <f>IF(AT$6="","",IF(AT$3="Maior",iferror(VLOOKUP($R620,Capa!$A:$AJ,AT$5,0),0),IF(ISERROR(1/VLOOKUP($R620,Capa!$A:$AJ,AT$5,0)),0,1/VLOOKUP($R620,Capa!$A:$AJ,AT$5,0))))</f>
        <v>-0.6880322116</v>
      </c>
      <c r="AU620" s="174">
        <f>IF(AU$6="","",IF(AU$3="Maior",iferror(VLOOKUP($R620,Capa!$A:$AJ,AU$5,0),0),IF(ISERROR(1/VLOOKUP($R620,Capa!$A:$AJ,AU$5,0)),0,1/VLOOKUP($R620,Capa!$A:$AJ,AU$5,0))))</f>
        <v>18.79</v>
      </c>
      <c r="AV620" s="174" t="str">
        <f>IF(AV$6="","",IF(AV$3="Maior",iferror(VLOOKUP($R620,Capa!$A:$AJ,AV$5,0),0),IF(ISERROR(1/VLOOKUP($R620,Capa!$A:$AJ,AV$5,0)),0,1/VLOOKUP($R620,Capa!$A:$AJ,AV$5,0))))</f>
        <v/>
      </c>
      <c r="AW620" s="174" t="str">
        <f>IF(AW$6="","",IF(AW$3="Maior",iferror(VLOOKUP($R620,Capa!$A:$AJ,AW$5,0),0),IF(ISERROR(1/VLOOKUP($R620,Capa!$A:$AJ,AW$5,0)),0,1/VLOOKUP($R620,Capa!$A:$AJ,AW$5,0))))</f>
        <v/>
      </c>
      <c r="AX620" s="174" t="str">
        <f>IF(AX$6="","",IF(AX$3="Maior",iferror(VLOOKUP($R620,Capa!$A:$AJ,AX$5,0),0),IF(ISERROR(1/VLOOKUP($R620,Capa!$A:$AJ,AX$5,0)),0,1/VLOOKUP($R620,Capa!$A:$AJ,AX$5,0))))</f>
        <v/>
      </c>
      <c r="AY620" s="174" t="str">
        <f>IF(AY$6="","",IF(AY$3="Maior",iferror(VLOOKUP($R620,Capa!$A:$AJ,AY$5,0),0),IF(ISERROR(1/VLOOKUP($R620,Capa!$A:$AJ,AY$5,0)),0,1/VLOOKUP($R620,Capa!$A:$AJ,AY$5,0))))</f>
        <v/>
      </c>
      <c r="AZ620" s="174" t="str">
        <f>IF(AZ$6="","",IF(AZ$3="Maior",iferror(VLOOKUP($R620,Capa!$A:$AJ,AZ$5,0),0),IF(ISERROR(1/VLOOKUP($R620,Capa!$A:$AJ,AZ$5,0)),0,1/VLOOKUP($R620,Capa!$A:$AJ,AZ$5,0))))</f>
        <v/>
      </c>
      <c r="BA620" s="174" t="str">
        <f>IF(BA$6="","",IF(BA$3="Maior",iferror(VLOOKUP($R620,Capa!$A:$AJ,BA$5,0),0),IF(ISERROR(1/VLOOKUP($R620,Capa!$A:$AJ,BA$5,0)),0,1/VLOOKUP($R620,Capa!$A:$AJ,BA$5,0))))</f>
        <v/>
      </c>
      <c r="BB620" s="174" t="str">
        <f>IF(BB$6="","",IF(BB$3="Maior",iferror(VLOOKUP($R620,Capa!$A:$AJ,BB$5,0),0),IF(ISERROR(1/VLOOKUP($R620,Capa!$A:$AJ,BB$5,0)),0,1/VLOOKUP($R620,Capa!$A:$AJ,BB$5,0))))</f>
        <v/>
      </c>
      <c r="BC620" s="174" t="str">
        <f>IF(BC$6="","",IF(BC$3="Maior",iferror(VLOOKUP($R620,Capa!$A:$AJ,BC$5,0),0),IF(ISERROR(1/VLOOKUP($R620,Capa!$A:$AJ,BC$5,0)),0,1/VLOOKUP($R620,Capa!$A:$AJ,BC$5,0))))</f>
        <v/>
      </c>
      <c r="BD620" s="174" t="str">
        <f>IF(BD$6="","",IF(BD$3="Maior",iferror(VLOOKUP($R620,Capa!$A:$AJ,BD$5,0),0),IF(ISERROR(1/VLOOKUP($R620,Capa!$A:$AJ,BD$5,0)),0,1/VLOOKUP($R620,Capa!$A:$AJ,BD$5,0))))</f>
        <v/>
      </c>
      <c r="BE620" s="174" t="str">
        <f>IF(BE$6="","",IF(BE$3="Maior",iferror(VLOOKUP($R620,Capa!$A:$AJ,BE$5,0),0),IF(ISERROR(1/VLOOKUP($R620,Capa!$A:$AJ,BE$5,0)),0,1/VLOOKUP($R620,Capa!$A:$AJ,BE$5,0))))</f>
        <v/>
      </c>
      <c r="BF620" s="174" t="str">
        <f>IF(BF$6="","",IF(BF$3="Maior",iferror(VLOOKUP($R620,Capa!$A:$AJ,BF$5,0),0),IF(ISERROR(1/VLOOKUP($R620,Capa!$A:$AJ,BF$5,0)),0,1/VLOOKUP($R620,Capa!$A:$AJ,BF$5,0))))</f>
        <v/>
      </c>
      <c r="BG620" s="174" t="str">
        <f>IF(BG$6="","",IF(BG$3="Maior",iferror(VLOOKUP($R620,Capa!$A:$AJ,BG$5,0),0),IF(ISERROR(1/VLOOKUP($R620,Capa!$A:$AJ,BG$5,0)),0,1/VLOOKUP($R620,Capa!$A:$AJ,BG$5,0))))</f>
        <v/>
      </c>
      <c r="BH620" s="174" t="str">
        <f>IF(BH$6="","",IF(BH$3="Maior",iferror(VLOOKUP($R620,Capa!$A:$AJ,BH$5,0),0),IF(ISERROR(1/VLOOKUP($R620,Capa!$A:$AJ,BH$5,0)),0,1/VLOOKUP($R620,Capa!$A:$AJ,BH$5,0))))</f>
        <v/>
      </c>
      <c r="BI620" s="174" t="str">
        <f>IF(BI$6="","",IF(BI$3="Maior",iferror(VLOOKUP($R620,Capa!$A:$AJ,BI$5,0),0),IF(ISERROR(1/VLOOKUP($R620,Capa!$A:$AJ,BI$5,0)),0,1/VLOOKUP($R620,Capa!$A:$AJ,BI$5,0))))</f>
        <v/>
      </c>
      <c r="BJ620" s="174" t="str">
        <f>IF(BJ$6="","",IF(BJ$3="Maior",iferror(VLOOKUP($R620,Capa!$A:$AJ,BJ$5,0),0),IF(ISERROR(1/VLOOKUP($R620,Capa!$A:$AJ,BJ$5,0)),0,1/VLOOKUP($R620,Capa!$A:$AJ,BJ$5,0))))</f>
        <v/>
      </c>
      <c r="BK620" s="174" t="str">
        <f>IF(BK$6="","",IF(BK$3="Maior",iferror(VLOOKUP($R620,Capa!$A:$AJ,BK$5,0),0),IF(ISERROR(1/VLOOKUP($R620,Capa!$A:$AJ,BK$5,0)),0,1/VLOOKUP($R620,Capa!$A:$AJ,BK$5,0))))</f>
        <v/>
      </c>
      <c r="BL620" s="174" t="str">
        <f>IF(BL$6="","",IF(BL$3="Maior",iferror(VLOOKUP($R620,Capa!$A:$AJ,BL$5,0),0),IF(ISERROR(1/VLOOKUP($R620,Capa!$A:$AJ,BL$5,0)),0,1/VLOOKUP($R620,Capa!$A:$AJ,BL$5,0))))</f>
        <v/>
      </c>
      <c r="BM620" s="174" t="str">
        <f>IF(BM$6="","",IF(BM$3="Maior",iferror(VLOOKUP($R620,Capa!$A:$AJ,BM$5,0),0),IF(ISERROR(1/VLOOKUP($R620,Capa!$A:$AJ,BM$5,0)),0,1/VLOOKUP($R620,Capa!$A:$AJ,BM$5,0))))</f>
        <v/>
      </c>
      <c r="BN620" s="174" t="str">
        <f>IF(BN$6="","",IF(BN$3="Maior",iferror(VLOOKUP($R620,Capa!$A:$AJ,BN$5,0),0),IF(ISERROR(1/VLOOKUP($R620,Capa!$A:$AJ,BN$5,0)),0,1/VLOOKUP($R620,Capa!$A:$AJ,BN$5,0))))</f>
        <v/>
      </c>
      <c r="BO620" s="174" t="str">
        <f>IF(BO$6="","",IF(BO$3="Maior",iferror(VLOOKUP($R620,Capa!$A:$AJ,BO$5,0),0),IF(ISERROR(1/VLOOKUP($R620,Capa!$A:$AJ,BO$5,0)),0,1/VLOOKUP($R620,Capa!$A:$AJ,BO$5,0))))</f>
        <v/>
      </c>
      <c r="BP620" s="174" t="str">
        <f>IF(BP$6="","",IF(BP$3="Maior",iferror(VLOOKUP($R620,Capa!$A:$AJ,BP$5,0),0),IF(ISERROR(1/VLOOKUP($R620,Capa!$A:$AJ,BP$5,0)),0,1/VLOOKUP($R620,Capa!$A:$AJ,BP$5,0))))</f>
        <v/>
      </c>
      <c r="BQ620" s="174" t="str">
        <f>IF(BQ$6="","",IF(BQ$3="Maior",iferror(VLOOKUP($R620,Capa!$A:$AJ,BQ$5,0),0),IF(ISERROR(1/VLOOKUP($R620,Capa!$A:$AJ,BQ$5,0)),0,1/VLOOKUP($R620,Capa!$A:$AJ,BQ$5,0))))</f>
        <v/>
      </c>
      <c r="BR620" s="175"/>
      <c r="BS620" s="147"/>
    </row>
    <row r="621">
      <c r="H621" s="8">
        <v>615.0</v>
      </c>
      <c r="I621" s="165" t="str">
        <f t="shared" si="6"/>
        <v>HETA4</v>
      </c>
      <c r="J621" s="166" t="str">
        <f>(VLOOKUP($I621,Capa!$A:$B,2,0))</f>
        <v>Hercules SA Fabrica De Talheres Preference Shares</v>
      </c>
      <c r="K621" s="167" t="str">
        <f>VLOOKUP(left(I621,4),Setor!A:D,3,0)&amp;" | "&amp;VLOOKUP(left(I621,4),Setor!A:D,4,0)</f>
        <v>Consumo Cíclico | Utilidades Domésticas</v>
      </c>
      <c r="L621" s="168">
        <f>(VLOOKUP($I621,Capa!$A:$F,6,0))</f>
        <v>5</v>
      </c>
      <c r="M621" s="168">
        <f t="shared" si="7"/>
        <v>1011.6</v>
      </c>
      <c r="N621" s="11" t="str">
        <f>IFERROR(__xludf.DUMMYFUNCTION("(VLOOKUP($I621,Capa!$A:$H,7,0))"),"")</f>
        <v/>
      </c>
      <c r="O621" s="169" t="str">
        <f>(VLOOKUP($I621,Capa!$A:$H,8,0))</f>
        <v/>
      </c>
      <c r="P621" s="11" t="str">
        <f>IFERROR(__xludf.DUMMYFUNCTION("(VLOOKUP($I621,Capa!$A:$J,10,0))"),"")</f>
        <v/>
      </c>
      <c r="Q621" s="169">
        <f>(VLOOKUP($I621,Capa!$A:$K,11,0))</f>
        <v>-0.1181657848</v>
      </c>
      <c r="R621" s="45" t="str">
        <f>'Dados StatusInvest'!A616</f>
        <v>YDUQ3</v>
      </c>
      <c r="S621" s="170">
        <f t="shared" si="234"/>
        <v>1012.1012</v>
      </c>
      <c r="T621" s="171">
        <f>VLOOKUP(R621,'Dados StatusInvest'!A:Z,26,0)</f>
        <v>58230737</v>
      </c>
      <c r="U621" s="172">
        <f t="shared" ref="U621:AS621" si="624">IF(AT621="","", RANK(AT621,AT$7:AT$626,0)+RANK(AT621,AT$7:AT$626,0)/10000)</f>
        <v>416.0416</v>
      </c>
      <c r="V621" s="172">
        <f t="shared" si="624"/>
        <v>596.0596</v>
      </c>
      <c r="W621" s="172" t="str">
        <f t="shared" si="624"/>
        <v/>
      </c>
      <c r="X621" s="172" t="str">
        <f t="shared" si="624"/>
        <v/>
      </c>
      <c r="Y621" s="172" t="str">
        <f t="shared" si="624"/>
        <v/>
      </c>
      <c r="Z621" s="172" t="str">
        <f t="shared" si="624"/>
        <v/>
      </c>
      <c r="AA621" s="172" t="str">
        <f t="shared" si="624"/>
        <v/>
      </c>
      <c r="AB621" s="172" t="str">
        <f t="shared" si="624"/>
        <v/>
      </c>
      <c r="AC621" s="172" t="str">
        <f t="shared" si="624"/>
        <v/>
      </c>
      <c r="AD621" s="172" t="str">
        <f t="shared" si="624"/>
        <v/>
      </c>
      <c r="AE621" s="172" t="str">
        <f t="shared" si="624"/>
        <v/>
      </c>
      <c r="AF621" s="172" t="str">
        <f t="shared" si="624"/>
        <v/>
      </c>
      <c r="AG621" s="172" t="str">
        <f t="shared" si="624"/>
        <v/>
      </c>
      <c r="AH621" s="172" t="str">
        <f t="shared" si="624"/>
        <v/>
      </c>
      <c r="AI621" s="172" t="str">
        <f t="shared" si="624"/>
        <v/>
      </c>
      <c r="AJ621" s="172" t="str">
        <f t="shared" si="624"/>
        <v/>
      </c>
      <c r="AK621" s="172" t="str">
        <f t="shared" si="624"/>
        <v/>
      </c>
      <c r="AL621" s="172" t="str">
        <f t="shared" si="624"/>
        <v/>
      </c>
      <c r="AM621" s="172" t="str">
        <f t="shared" si="624"/>
        <v/>
      </c>
      <c r="AN621" s="172" t="str">
        <f t="shared" si="624"/>
        <v/>
      </c>
      <c r="AO621" s="172" t="str">
        <f t="shared" si="624"/>
        <v/>
      </c>
      <c r="AP621" s="172" t="str">
        <f t="shared" si="624"/>
        <v/>
      </c>
      <c r="AQ621" s="172" t="str">
        <f t="shared" si="624"/>
        <v/>
      </c>
      <c r="AR621" s="172" t="str">
        <f t="shared" si="624"/>
        <v/>
      </c>
      <c r="AS621" s="172" t="str">
        <f t="shared" si="624"/>
        <v/>
      </c>
      <c r="AT621" s="173">
        <f>IF(AT$6="","",IF(AT$3="Maior",iferror(VLOOKUP($R621,Capa!$A:$AJ,AT$5,0),0),IF(ISERROR(1/VLOOKUP($R621,Capa!$A:$AJ,AT$5,0)),0,1/VLOOKUP($R621,Capa!$A:$AJ,AT$5,0))))</f>
        <v>-1.472148541</v>
      </c>
      <c r="AU621" s="174">
        <f>IF(AU$6="","",IF(AU$3="Maior",iferror(VLOOKUP($R621,Capa!$A:$AJ,AU$5,0),0),IF(ISERROR(1/VLOOKUP($R621,Capa!$A:$AJ,AU$5,0)),0,1/VLOOKUP($R621,Capa!$A:$AJ,AU$5,0))))</f>
        <v>-17.66</v>
      </c>
      <c r="AV621" s="174" t="str">
        <f>IF(AV$6="","",IF(AV$3="Maior",iferror(VLOOKUP($R621,Capa!$A:$AJ,AV$5,0),0),IF(ISERROR(1/VLOOKUP($R621,Capa!$A:$AJ,AV$5,0)),0,1/VLOOKUP($R621,Capa!$A:$AJ,AV$5,0))))</f>
        <v/>
      </c>
      <c r="AW621" s="174" t="str">
        <f>IF(AW$6="","",IF(AW$3="Maior",iferror(VLOOKUP($R621,Capa!$A:$AJ,AW$5,0),0),IF(ISERROR(1/VLOOKUP($R621,Capa!$A:$AJ,AW$5,0)),0,1/VLOOKUP($R621,Capa!$A:$AJ,AW$5,0))))</f>
        <v/>
      </c>
      <c r="AX621" s="174" t="str">
        <f>IF(AX$6="","",IF(AX$3="Maior",iferror(VLOOKUP($R621,Capa!$A:$AJ,AX$5,0),0),IF(ISERROR(1/VLOOKUP($R621,Capa!$A:$AJ,AX$5,0)),0,1/VLOOKUP($R621,Capa!$A:$AJ,AX$5,0))))</f>
        <v/>
      </c>
      <c r="AY621" s="174" t="str">
        <f>IF(AY$6="","",IF(AY$3="Maior",iferror(VLOOKUP($R621,Capa!$A:$AJ,AY$5,0),0),IF(ISERROR(1/VLOOKUP($R621,Capa!$A:$AJ,AY$5,0)),0,1/VLOOKUP($R621,Capa!$A:$AJ,AY$5,0))))</f>
        <v/>
      </c>
      <c r="AZ621" s="174" t="str">
        <f>IF(AZ$6="","",IF(AZ$3="Maior",iferror(VLOOKUP($R621,Capa!$A:$AJ,AZ$5,0),0),IF(ISERROR(1/VLOOKUP($R621,Capa!$A:$AJ,AZ$5,0)),0,1/VLOOKUP($R621,Capa!$A:$AJ,AZ$5,0))))</f>
        <v/>
      </c>
      <c r="BA621" s="174" t="str">
        <f>IF(BA$6="","",IF(BA$3="Maior",iferror(VLOOKUP($R621,Capa!$A:$AJ,BA$5,0),0),IF(ISERROR(1/VLOOKUP($R621,Capa!$A:$AJ,BA$5,0)),0,1/VLOOKUP($R621,Capa!$A:$AJ,BA$5,0))))</f>
        <v/>
      </c>
      <c r="BB621" s="174" t="str">
        <f>IF(BB$6="","",IF(BB$3="Maior",iferror(VLOOKUP($R621,Capa!$A:$AJ,BB$5,0),0),IF(ISERROR(1/VLOOKUP($R621,Capa!$A:$AJ,BB$5,0)),0,1/VLOOKUP($R621,Capa!$A:$AJ,BB$5,0))))</f>
        <v/>
      </c>
      <c r="BC621" s="174" t="str">
        <f>IF(BC$6="","",IF(BC$3="Maior",iferror(VLOOKUP($R621,Capa!$A:$AJ,BC$5,0),0),IF(ISERROR(1/VLOOKUP($R621,Capa!$A:$AJ,BC$5,0)),0,1/VLOOKUP($R621,Capa!$A:$AJ,BC$5,0))))</f>
        <v/>
      </c>
      <c r="BD621" s="174" t="str">
        <f>IF(BD$6="","",IF(BD$3="Maior",iferror(VLOOKUP($R621,Capa!$A:$AJ,BD$5,0),0),IF(ISERROR(1/VLOOKUP($R621,Capa!$A:$AJ,BD$5,0)),0,1/VLOOKUP($R621,Capa!$A:$AJ,BD$5,0))))</f>
        <v/>
      </c>
      <c r="BE621" s="174" t="str">
        <f>IF(BE$6="","",IF(BE$3="Maior",iferror(VLOOKUP($R621,Capa!$A:$AJ,BE$5,0),0),IF(ISERROR(1/VLOOKUP($R621,Capa!$A:$AJ,BE$5,0)),0,1/VLOOKUP($R621,Capa!$A:$AJ,BE$5,0))))</f>
        <v/>
      </c>
      <c r="BF621" s="174" t="str">
        <f>IF(BF$6="","",IF(BF$3="Maior",iferror(VLOOKUP($R621,Capa!$A:$AJ,BF$5,0),0),IF(ISERROR(1/VLOOKUP($R621,Capa!$A:$AJ,BF$5,0)),0,1/VLOOKUP($R621,Capa!$A:$AJ,BF$5,0))))</f>
        <v/>
      </c>
      <c r="BG621" s="174" t="str">
        <f>IF(BG$6="","",IF(BG$3="Maior",iferror(VLOOKUP($R621,Capa!$A:$AJ,BG$5,0),0),IF(ISERROR(1/VLOOKUP($R621,Capa!$A:$AJ,BG$5,0)),0,1/VLOOKUP($R621,Capa!$A:$AJ,BG$5,0))))</f>
        <v/>
      </c>
      <c r="BH621" s="174" t="str">
        <f>IF(BH$6="","",IF(BH$3="Maior",iferror(VLOOKUP($R621,Capa!$A:$AJ,BH$5,0),0),IF(ISERROR(1/VLOOKUP($R621,Capa!$A:$AJ,BH$5,0)),0,1/VLOOKUP($R621,Capa!$A:$AJ,BH$5,0))))</f>
        <v/>
      </c>
      <c r="BI621" s="174" t="str">
        <f>IF(BI$6="","",IF(BI$3="Maior",iferror(VLOOKUP($R621,Capa!$A:$AJ,BI$5,0),0),IF(ISERROR(1/VLOOKUP($R621,Capa!$A:$AJ,BI$5,0)),0,1/VLOOKUP($R621,Capa!$A:$AJ,BI$5,0))))</f>
        <v/>
      </c>
      <c r="BJ621" s="174" t="str">
        <f>IF(BJ$6="","",IF(BJ$3="Maior",iferror(VLOOKUP($R621,Capa!$A:$AJ,BJ$5,0),0),IF(ISERROR(1/VLOOKUP($R621,Capa!$A:$AJ,BJ$5,0)),0,1/VLOOKUP($R621,Capa!$A:$AJ,BJ$5,0))))</f>
        <v/>
      </c>
      <c r="BK621" s="174" t="str">
        <f>IF(BK$6="","",IF(BK$3="Maior",iferror(VLOOKUP($R621,Capa!$A:$AJ,BK$5,0),0),IF(ISERROR(1/VLOOKUP($R621,Capa!$A:$AJ,BK$5,0)),0,1/VLOOKUP($R621,Capa!$A:$AJ,BK$5,0))))</f>
        <v/>
      </c>
      <c r="BL621" s="174" t="str">
        <f>IF(BL$6="","",IF(BL$3="Maior",iferror(VLOOKUP($R621,Capa!$A:$AJ,BL$5,0),0),IF(ISERROR(1/VLOOKUP($R621,Capa!$A:$AJ,BL$5,0)),0,1/VLOOKUP($R621,Capa!$A:$AJ,BL$5,0))))</f>
        <v/>
      </c>
      <c r="BM621" s="174" t="str">
        <f>IF(BM$6="","",IF(BM$3="Maior",iferror(VLOOKUP($R621,Capa!$A:$AJ,BM$5,0),0),IF(ISERROR(1/VLOOKUP($R621,Capa!$A:$AJ,BM$5,0)),0,1/VLOOKUP($R621,Capa!$A:$AJ,BM$5,0))))</f>
        <v/>
      </c>
      <c r="BN621" s="174" t="str">
        <f>IF(BN$6="","",IF(BN$3="Maior",iferror(VLOOKUP($R621,Capa!$A:$AJ,BN$5,0),0),IF(ISERROR(1/VLOOKUP($R621,Capa!$A:$AJ,BN$5,0)),0,1/VLOOKUP($R621,Capa!$A:$AJ,BN$5,0))))</f>
        <v/>
      </c>
      <c r="BO621" s="174" t="str">
        <f>IF(BO$6="","",IF(BO$3="Maior",iferror(VLOOKUP($R621,Capa!$A:$AJ,BO$5,0),0),IF(ISERROR(1/VLOOKUP($R621,Capa!$A:$AJ,BO$5,0)),0,1/VLOOKUP($R621,Capa!$A:$AJ,BO$5,0))))</f>
        <v/>
      </c>
      <c r="BP621" s="174" t="str">
        <f>IF(BP$6="","",IF(BP$3="Maior",iferror(VLOOKUP($R621,Capa!$A:$AJ,BP$5,0),0),IF(ISERROR(1/VLOOKUP($R621,Capa!$A:$AJ,BP$5,0)),0,1/VLOOKUP($R621,Capa!$A:$AJ,BP$5,0))))</f>
        <v/>
      </c>
      <c r="BQ621" s="174" t="str">
        <f>IF(BQ$6="","",IF(BQ$3="Maior",iferror(VLOOKUP($R621,Capa!$A:$AJ,BQ$5,0),0),IF(ISERROR(1/VLOOKUP($R621,Capa!$A:$AJ,BQ$5,0)),0,1/VLOOKUP($R621,Capa!$A:$AJ,BQ$5,0))))</f>
        <v/>
      </c>
      <c r="BR621" s="175"/>
      <c r="BS621" s="147"/>
    </row>
    <row r="622">
      <c r="H622" s="8">
        <v>616.0</v>
      </c>
      <c r="I622" s="165" t="str">
        <f t="shared" si="6"/>
        <v>CRIV3</v>
      </c>
      <c r="J622" s="166" t="str">
        <f>(VLOOKUP($I622,Capa!$A:$B,2,0))</f>
        <v/>
      </c>
      <c r="K622" s="167" t="str">
        <f>VLOOKUP(left(I622,4),Setor!A:D,3,0)&amp;" | "&amp;VLOOKUP(left(I622,4),Setor!A:D,4,0)</f>
        <v>Financeiro | Intermediários Financeiros</v>
      </c>
      <c r="L622" s="168" t="str">
        <f>(VLOOKUP($I622,Capa!$A:$F,6,0))</f>
        <v/>
      </c>
      <c r="M622" s="168">
        <f t="shared" si="7"/>
        <v>0</v>
      </c>
      <c r="N622" s="11" t="str">
        <f>(VLOOKUP($I622,Capa!$A:$H,7,0))</f>
        <v/>
      </c>
      <c r="O622" s="169" t="str">
        <f>(VLOOKUP($I622,Capa!$A:$H,8,0))</f>
        <v/>
      </c>
      <c r="P622" s="11" t="str">
        <f>(VLOOKUP($I622,Capa!$A:$J,10,0))</f>
        <v/>
      </c>
      <c r="Q622" s="169" t="str">
        <f>(VLOOKUP($I622,Capa!$A:$K,11,0))</f>
        <v/>
      </c>
      <c r="R622" s="45" t="str">
        <f>'Dados StatusInvest'!A617</f>
        <v>ZAMP3</v>
      </c>
      <c r="S622" s="170">
        <f t="shared" si="234"/>
        <v>1291.0291</v>
      </c>
      <c r="T622" s="171">
        <f>VLOOKUP(R622,'Dados StatusInvest'!A:Z,26,0)</f>
        <v>247849</v>
      </c>
      <c r="U622" s="172">
        <f t="shared" ref="U622:AS622" si="625">IF(AT622="","", RANK(AT622,AT$7:AT$626,0)+RANK(AT622,AT$7:AT$626,0)/10000)</f>
        <v>24.0024</v>
      </c>
      <c r="V622" s="172">
        <f t="shared" si="625"/>
        <v>267.0267</v>
      </c>
      <c r="W622" s="172" t="str">
        <f t="shared" si="625"/>
        <v/>
      </c>
      <c r="X622" s="172" t="str">
        <f t="shared" si="625"/>
        <v/>
      </c>
      <c r="Y622" s="172" t="str">
        <f t="shared" si="625"/>
        <v/>
      </c>
      <c r="Z622" s="172" t="str">
        <f t="shared" si="625"/>
        <v/>
      </c>
      <c r="AA622" s="172" t="str">
        <f t="shared" si="625"/>
        <v/>
      </c>
      <c r="AB622" s="172" t="str">
        <f t="shared" si="625"/>
        <v/>
      </c>
      <c r="AC622" s="172" t="str">
        <f t="shared" si="625"/>
        <v/>
      </c>
      <c r="AD622" s="172" t="str">
        <f t="shared" si="625"/>
        <v/>
      </c>
      <c r="AE622" s="172" t="str">
        <f t="shared" si="625"/>
        <v/>
      </c>
      <c r="AF622" s="172" t="str">
        <f t="shared" si="625"/>
        <v/>
      </c>
      <c r="AG622" s="172" t="str">
        <f t="shared" si="625"/>
        <v/>
      </c>
      <c r="AH622" s="172" t="str">
        <f t="shared" si="625"/>
        <v/>
      </c>
      <c r="AI622" s="172" t="str">
        <f t="shared" si="625"/>
        <v/>
      </c>
      <c r="AJ622" s="172" t="str">
        <f t="shared" si="625"/>
        <v/>
      </c>
      <c r="AK622" s="172" t="str">
        <f t="shared" si="625"/>
        <v/>
      </c>
      <c r="AL622" s="172" t="str">
        <f t="shared" si="625"/>
        <v/>
      </c>
      <c r="AM622" s="172" t="str">
        <f t="shared" si="625"/>
        <v/>
      </c>
      <c r="AN622" s="172" t="str">
        <f t="shared" si="625"/>
        <v/>
      </c>
      <c r="AO622" s="172" t="str">
        <f t="shared" si="625"/>
        <v/>
      </c>
      <c r="AP622" s="172" t="str">
        <f t="shared" si="625"/>
        <v/>
      </c>
      <c r="AQ622" s="172" t="str">
        <f t="shared" si="625"/>
        <v/>
      </c>
      <c r="AR622" s="172" t="str">
        <f t="shared" si="625"/>
        <v/>
      </c>
      <c r="AS622" s="172" t="str">
        <f t="shared" si="625"/>
        <v/>
      </c>
      <c r="AT622" s="173">
        <f>IF(AT$6="","",IF(AT$3="Maior",iferror(VLOOKUP($R622,Capa!$A:$AJ,AT$5,0),0),IF(ISERROR(1/VLOOKUP($R622,Capa!$A:$AJ,AT$5,0)),0,1/VLOOKUP($R622,Capa!$A:$AJ,AT$5,0))))</f>
        <v>0.1102535832</v>
      </c>
      <c r="AU622" s="174">
        <f>IF(AU$6="","",IF(AU$3="Maior",iferror(VLOOKUP($R622,Capa!$A:$AJ,AU$5,0),0),IF(ISERROR(1/VLOOKUP($R622,Capa!$A:$AJ,AU$5,0)),0,1/VLOOKUP($R622,Capa!$A:$AJ,AU$5,0))))</f>
        <v>0</v>
      </c>
      <c r="AV622" s="174" t="str">
        <f>IF(AV$6="","",IF(AV$3="Maior",iferror(VLOOKUP($R622,Capa!$A:$AJ,AV$5,0),0),IF(ISERROR(1/VLOOKUP($R622,Capa!$A:$AJ,AV$5,0)),0,1/VLOOKUP($R622,Capa!$A:$AJ,AV$5,0))))</f>
        <v/>
      </c>
      <c r="AW622" s="174" t="str">
        <f>IF(AW$6="","",IF(AW$3="Maior",iferror(VLOOKUP($R622,Capa!$A:$AJ,AW$5,0),0),IF(ISERROR(1/VLOOKUP($R622,Capa!$A:$AJ,AW$5,0)),0,1/VLOOKUP($R622,Capa!$A:$AJ,AW$5,0))))</f>
        <v/>
      </c>
      <c r="AX622" s="174" t="str">
        <f>IF(AX$6="","",IF(AX$3="Maior",iferror(VLOOKUP($R622,Capa!$A:$AJ,AX$5,0),0),IF(ISERROR(1/VLOOKUP($R622,Capa!$A:$AJ,AX$5,0)),0,1/VLOOKUP($R622,Capa!$A:$AJ,AX$5,0))))</f>
        <v/>
      </c>
      <c r="AY622" s="174" t="str">
        <f>IF(AY$6="","",IF(AY$3="Maior",iferror(VLOOKUP($R622,Capa!$A:$AJ,AY$5,0),0),IF(ISERROR(1/VLOOKUP($R622,Capa!$A:$AJ,AY$5,0)),0,1/VLOOKUP($R622,Capa!$A:$AJ,AY$5,0))))</f>
        <v/>
      </c>
      <c r="AZ622" s="174" t="str">
        <f>IF(AZ$6="","",IF(AZ$3="Maior",iferror(VLOOKUP($R622,Capa!$A:$AJ,AZ$5,0),0),IF(ISERROR(1/VLOOKUP($R622,Capa!$A:$AJ,AZ$5,0)),0,1/VLOOKUP($R622,Capa!$A:$AJ,AZ$5,0))))</f>
        <v/>
      </c>
      <c r="BA622" s="174" t="str">
        <f>IF(BA$6="","",IF(BA$3="Maior",iferror(VLOOKUP($R622,Capa!$A:$AJ,BA$5,0),0),IF(ISERROR(1/VLOOKUP($R622,Capa!$A:$AJ,BA$5,0)),0,1/VLOOKUP($R622,Capa!$A:$AJ,BA$5,0))))</f>
        <v/>
      </c>
      <c r="BB622" s="174" t="str">
        <f>IF(BB$6="","",IF(BB$3="Maior",iferror(VLOOKUP($R622,Capa!$A:$AJ,BB$5,0),0),IF(ISERROR(1/VLOOKUP($R622,Capa!$A:$AJ,BB$5,0)),0,1/VLOOKUP($R622,Capa!$A:$AJ,BB$5,0))))</f>
        <v/>
      </c>
      <c r="BC622" s="174" t="str">
        <f>IF(BC$6="","",IF(BC$3="Maior",iferror(VLOOKUP($R622,Capa!$A:$AJ,BC$5,0),0),IF(ISERROR(1/VLOOKUP($R622,Capa!$A:$AJ,BC$5,0)),0,1/VLOOKUP($R622,Capa!$A:$AJ,BC$5,0))))</f>
        <v/>
      </c>
      <c r="BD622" s="174" t="str">
        <f>IF(BD$6="","",IF(BD$3="Maior",iferror(VLOOKUP($R622,Capa!$A:$AJ,BD$5,0),0),IF(ISERROR(1/VLOOKUP($R622,Capa!$A:$AJ,BD$5,0)),0,1/VLOOKUP($R622,Capa!$A:$AJ,BD$5,0))))</f>
        <v/>
      </c>
      <c r="BE622" s="174" t="str">
        <f>IF(BE$6="","",IF(BE$3="Maior",iferror(VLOOKUP($R622,Capa!$A:$AJ,BE$5,0),0),IF(ISERROR(1/VLOOKUP($R622,Capa!$A:$AJ,BE$5,0)),0,1/VLOOKUP($R622,Capa!$A:$AJ,BE$5,0))))</f>
        <v/>
      </c>
      <c r="BF622" s="174" t="str">
        <f>IF(BF$6="","",IF(BF$3="Maior",iferror(VLOOKUP($R622,Capa!$A:$AJ,BF$5,0),0),IF(ISERROR(1/VLOOKUP($R622,Capa!$A:$AJ,BF$5,0)),0,1/VLOOKUP($R622,Capa!$A:$AJ,BF$5,0))))</f>
        <v/>
      </c>
      <c r="BG622" s="174" t="str">
        <f>IF(BG$6="","",IF(BG$3="Maior",iferror(VLOOKUP($R622,Capa!$A:$AJ,BG$5,0),0),IF(ISERROR(1/VLOOKUP($R622,Capa!$A:$AJ,BG$5,0)),0,1/VLOOKUP($R622,Capa!$A:$AJ,BG$5,0))))</f>
        <v/>
      </c>
      <c r="BH622" s="174" t="str">
        <f>IF(BH$6="","",IF(BH$3="Maior",iferror(VLOOKUP($R622,Capa!$A:$AJ,BH$5,0),0),IF(ISERROR(1/VLOOKUP($R622,Capa!$A:$AJ,BH$5,0)),0,1/VLOOKUP($R622,Capa!$A:$AJ,BH$5,0))))</f>
        <v/>
      </c>
      <c r="BI622" s="174" t="str">
        <f>IF(BI$6="","",IF(BI$3="Maior",iferror(VLOOKUP($R622,Capa!$A:$AJ,BI$5,0),0),IF(ISERROR(1/VLOOKUP($R622,Capa!$A:$AJ,BI$5,0)),0,1/VLOOKUP($R622,Capa!$A:$AJ,BI$5,0))))</f>
        <v/>
      </c>
      <c r="BJ622" s="174" t="str">
        <f>IF(BJ$6="","",IF(BJ$3="Maior",iferror(VLOOKUP($R622,Capa!$A:$AJ,BJ$5,0),0),IF(ISERROR(1/VLOOKUP($R622,Capa!$A:$AJ,BJ$5,0)),0,1/VLOOKUP($R622,Capa!$A:$AJ,BJ$5,0))))</f>
        <v/>
      </c>
      <c r="BK622" s="174" t="str">
        <f>IF(BK$6="","",IF(BK$3="Maior",iferror(VLOOKUP($R622,Capa!$A:$AJ,BK$5,0),0),IF(ISERROR(1/VLOOKUP($R622,Capa!$A:$AJ,BK$5,0)),0,1/VLOOKUP($R622,Capa!$A:$AJ,BK$5,0))))</f>
        <v/>
      </c>
      <c r="BL622" s="174" t="str">
        <f>IF(BL$6="","",IF(BL$3="Maior",iferror(VLOOKUP($R622,Capa!$A:$AJ,BL$5,0),0),IF(ISERROR(1/VLOOKUP($R622,Capa!$A:$AJ,BL$5,0)),0,1/VLOOKUP($R622,Capa!$A:$AJ,BL$5,0))))</f>
        <v/>
      </c>
      <c r="BM622" s="174" t="str">
        <f>IF(BM$6="","",IF(BM$3="Maior",iferror(VLOOKUP($R622,Capa!$A:$AJ,BM$5,0),0),IF(ISERROR(1/VLOOKUP($R622,Capa!$A:$AJ,BM$5,0)),0,1/VLOOKUP($R622,Capa!$A:$AJ,BM$5,0))))</f>
        <v/>
      </c>
      <c r="BN622" s="174" t="str">
        <f>IF(BN$6="","",IF(BN$3="Maior",iferror(VLOOKUP($R622,Capa!$A:$AJ,BN$5,0),0),IF(ISERROR(1/VLOOKUP($R622,Capa!$A:$AJ,BN$5,0)),0,1/VLOOKUP($R622,Capa!$A:$AJ,BN$5,0))))</f>
        <v/>
      </c>
      <c r="BO622" s="174" t="str">
        <f>IF(BO$6="","",IF(BO$3="Maior",iferror(VLOOKUP($R622,Capa!$A:$AJ,BO$5,0),0),IF(ISERROR(1/VLOOKUP($R622,Capa!$A:$AJ,BO$5,0)),0,1/VLOOKUP($R622,Capa!$A:$AJ,BO$5,0))))</f>
        <v/>
      </c>
      <c r="BP622" s="174" t="str">
        <f>IF(BP$6="","",IF(BP$3="Maior",iferror(VLOOKUP($R622,Capa!$A:$AJ,BP$5,0),0),IF(ISERROR(1/VLOOKUP($R622,Capa!$A:$AJ,BP$5,0)),0,1/VLOOKUP($R622,Capa!$A:$AJ,BP$5,0))))</f>
        <v/>
      </c>
      <c r="BQ622" s="174" t="str">
        <f>IF(BQ$6="","",IF(BQ$3="Maior",iferror(VLOOKUP($R622,Capa!$A:$AJ,BQ$5,0),0),IF(ISERROR(1/VLOOKUP($R622,Capa!$A:$AJ,BQ$5,0)),0,1/VLOOKUP($R622,Capa!$A:$AJ,BQ$5,0))))</f>
        <v/>
      </c>
      <c r="BR622" s="175"/>
      <c r="BS622" s="147"/>
    </row>
    <row r="623">
      <c r="H623" s="8">
        <v>617.0</v>
      </c>
      <c r="I623" s="165" t="str">
        <f t="shared" si="6"/>
        <v>CRIV3</v>
      </c>
      <c r="J623" s="166" t="str">
        <f>(VLOOKUP($I623,Capa!$A:$B,2,0))</f>
        <v/>
      </c>
      <c r="K623" s="167" t="str">
        <f>VLOOKUP(left(I623,4),Setor!A:D,3,0)&amp;" | "&amp;VLOOKUP(left(I623,4),Setor!A:D,4,0)</f>
        <v>Financeiro | Intermediários Financeiros</v>
      </c>
      <c r="L623" s="168" t="str">
        <f>(VLOOKUP($I623,Capa!$A:$F,6,0))</f>
        <v/>
      </c>
      <c r="M623" s="168">
        <f t="shared" si="7"/>
        <v>0</v>
      </c>
      <c r="N623" s="11" t="str">
        <f>(VLOOKUP($I623,Capa!$A:$H,7,0))</f>
        <v/>
      </c>
      <c r="O623" s="169" t="str">
        <f>(VLOOKUP($I623,Capa!$A:$H,8,0))</f>
        <v/>
      </c>
      <c r="P623" s="11" t="str">
        <f>(VLOOKUP($I623,Capa!$A:$J,10,0))</f>
        <v/>
      </c>
      <c r="Q623" s="169" t="str">
        <f>(VLOOKUP($I623,Capa!$A:$K,11,0))</f>
        <v/>
      </c>
      <c r="R623" s="45" t="str">
        <f>'Dados StatusInvest'!A618</f>
        <v>WLMM3</v>
      </c>
      <c r="S623" s="170">
        <f t="shared" si="234"/>
        <v>1460.046</v>
      </c>
      <c r="T623" s="171">
        <f>VLOOKUP(R623,'Dados StatusInvest'!A:Z,26,0)</f>
        <v>1654.44</v>
      </c>
      <c r="U623" s="172">
        <f t="shared" ref="U623:AS623" si="626">IF(AT623="","", RANK(AT623,AT$7:AT$626,0)+RANK(AT623,AT$7:AT$626,0)/10000)</f>
        <v>315.0315</v>
      </c>
      <c r="V623" s="172">
        <f t="shared" si="626"/>
        <v>145.0145</v>
      </c>
      <c r="W623" s="172" t="str">
        <f t="shared" si="626"/>
        <v/>
      </c>
      <c r="X623" s="172" t="str">
        <f t="shared" si="626"/>
        <v/>
      </c>
      <c r="Y623" s="172" t="str">
        <f t="shared" si="626"/>
        <v/>
      </c>
      <c r="Z623" s="172" t="str">
        <f t="shared" si="626"/>
        <v/>
      </c>
      <c r="AA623" s="172" t="str">
        <f t="shared" si="626"/>
        <v/>
      </c>
      <c r="AB623" s="172" t="str">
        <f t="shared" si="626"/>
        <v/>
      </c>
      <c r="AC623" s="172" t="str">
        <f t="shared" si="626"/>
        <v/>
      </c>
      <c r="AD623" s="172" t="str">
        <f t="shared" si="626"/>
        <v/>
      </c>
      <c r="AE623" s="172" t="str">
        <f t="shared" si="626"/>
        <v/>
      </c>
      <c r="AF623" s="172" t="str">
        <f t="shared" si="626"/>
        <v/>
      </c>
      <c r="AG623" s="172" t="str">
        <f t="shared" si="626"/>
        <v/>
      </c>
      <c r="AH623" s="172" t="str">
        <f t="shared" si="626"/>
        <v/>
      </c>
      <c r="AI623" s="172" t="str">
        <f t="shared" si="626"/>
        <v/>
      </c>
      <c r="AJ623" s="172" t="str">
        <f t="shared" si="626"/>
        <v/>
      </c>
      <c r="AK623" s="172" t="str">
        <f t="shared" si="626"/>
        <v/>
      </c>
      <c r="AL623" s="172" t="str">
        <f t="shared" si="626"/>
        <v/>
      </c>
      <c r="AM623" s="172" t="str">
        <f t="shared" si="626"/>
        <v/>
      </c>
      <c r="AN623" s="172" t="str">
        <f t="shared" si="626"/>
        <v/>
      </c>
      <c r="AO623" s="172" t="str">
        <f t="shared" si="626"/>
        <v/>
      </c>
      <c r="AP623" s="172" t="str">
        <f t="shared" si="626"/>
        <v/>
      </c>
      <c r="AQ623" s="172" t="str">
        <f t="shared" si="626"/>
        <v/>
      </c>
      <c r="AR623" s="172" t="str">
        <f t="shared" si="626"/>
        <v/>
      </c>
      <c r="AS623" s="172" t="str">
        <f t="shared" si="626"/>
        <v/>
      </c>
      <c r="AT623" s="173">
        <f>IF(AT$6="","",IF(AT$3="Maior",iferror(VLOOKUP($R623,Capa!$A:$AJ,AT$5,0),0),IF(ISERROR(1/VLOOKUP($R623,Capa!$A:$AJ,AT$5,0)),0,1/VLOOKUP($R623,Capa!$A:$AJ,AT$5,0))))</f>
        <v>-0.7751937984</v>
      </c>
      <c r="AU623" s="174">
        <f>IF(AU$6="","",IF(AU$3="Maior",iferror(VLOOKUP($R623,Capa!$A:$AJ,AU$5,0),0),IF(ISERROR(1/VLOOKUP($R623,Capa!$A:$AJ,AU$5,0)),0,1/VLOOKUP($R623,Capa!$A:$AJ,AU$5,0))))</f>
        <v>18.79</v>
      </c>
      <c r="AV623" s="174" t="str">
        <f>IF(AV$6="","",IF(AV$3="Maior",iferror(VLOOKUP($R623,Capa!$A:$AJ,AV$5,0),0),IF(ISERROR(1/VLOOKUP($R623,Capa!$A:$AJ,AV$5,0)),0,1/VLOOKUP($R623,Capa!$A:$AJ,AV$5,0))))</f>
        <v/>
      </c>
      <c r="AW623" s="174" t="str">
        <f>IF(AW$6="","",IF(AW$3="Maior",iferror(VLOOKUP($R623,Capa!$A:$AJ,AW$5,0),0),IF(ISERROR(1/VLOOKUP($R623,Capa!$A:$AJ,AW$5,0)),0,1/VLOOKUP($R623,Capa!$A:$AJ,AW$5,0))))</f>
        <v/>
      </c>
      <c r="AX623" s="174" t="str">
        <f>IF(AX$6="","",IF(AX$3="Maior",iferror(VLOOKUP($R623,Capa!$A:$AJ,AX$5,0),0),IF(ISERROR(1/VLOOKUP($R623,Capa!$A:$AJ,AX$5,0)),0,1/VLOOKUP($R623,Capa!$A:$AJ,AX$5,0))))</f>
        <v/>
      </c>
      <c r="AY623" s="174" t="str">
        <f>IF(AY$6="","",IF(AY$3="Maior",iferror(VLOOKUP($R623,Capa!$A:$AJ,AY$5,0),0),IF(ISERROR(1/VLOOKUP($R623,Capa!$A:$AJ,AY$5,0)),0,1/VLOOKUP($R623,Capa!$A:$AJ,AY$5,0))))</f>
        <v/>
      </c>
      <c r="AZ623" s="174" t="str">
        <f>IF(AZ$6="","",IF(AZ$3="Maior",iferror(VLOOKUP($R623,Capa!$A:$AJ,AZ$5,0),0),IF(ISERROR(1/VLOOKUP($R623,Capa!$A:$AJ,AZ$5,0)),0,1/VLOOKUP($R623,Capa!$A:$AJ,AZ$5,0))))</f>
        <v/>
      </c>
      <c r="BA623" s="174" t="str">
        <f>IF(BA$6="","",IF(BA$3="Maior",iferror(VLOOKUP($R623,Capa!$A:$AJ,BA$5,0),0),IF(ISERROR(1/VLOOKUP($R623,Capa!$A:$AJ,BA$5,0)),0,1/VLOOKUP($R623,Capa!$A:$AJ,BA$5,0))))</f>
        <v/>
      </c>
      <c r="BB623" s="174" t="str">
        <f>IF(BB$6="","",IF(BB$3="Maior",iferror(VLOOKUP($R623,Capa!$A:$AJ,BB$5,0),0),IF(ISERROR(1/VLOOKUP($R623,Capa!$A:$AJ,BB$5,0)),0,1/VLOOKUP($R623,Capa!$A:$AJ,BB$5,0))))</f>
        <v/>
      </c>
      <c r="BC623" s="174" t="str">
        <f>IF(BC$6="","",IF(BC$3="Maior",iferror(VLOOKUP($R623,Capa!$A:$AJ,BC$5,0),0),IF(ISERROR(1/VLOOKUP($R623,Capa!$A:$AJ,BC$5,0)),0,1/VLOOKUP($R623,Capa!$A:$AJ,BC$5,0))))</f>
        <v/>
      </c>
      <c r="BD623" s="174" t="str">
        <f>IF(BD$6="","",IF(BD$3="Maior",iferror(VLOOKUP($R623,Capa!$A:$AJ,BD$5,0),0),IF(ISERROR(1/VLOOKUP($R623,Capa!$A:$AJ,BD$5,0)),0,1/VLOOKUP($R623,Capa!$A:$AJ,BD$5,0))))</f>
        <v/>
      </c>
      <c r="BE623" s="174" t="str">
        <f>IF(BE$6="","",IF(BE$3="Maior",iferror(VLOOKUP($R623,Capa!$A:$AJ,BE$5,0),0),IF(ISERROR(1/VLOOKUP($R623,Capa!$A:$AJ,BE$5,0)),0,1/VLOOKUP($R623,Capa!$A:$AJ,BE$5,0))))</f>
        <v/>
      </c>
      <c r="BF623" s="174" t="str">
        <f>IF(BF$6="","",IF(BF$3="Maior",iferror(VLOOKUP($R623,Capa!$A:$AJ,BF$5,0),0),IF(ISERROR(1/VLOOKUP($R623,Capa!$A:$AJ,BF$5,0)),0,1/VLOOKUP($R623,Capa!$A:$AJ,BF$5,0))))</f>
        <v/>
      </c>
      <c r="BG623" s="174" t="str">
        <f>IF(BG$6="","",IF(BG$3="Maior",iferror(VLOOKUP($R623,Capa!$A:$AJ,BG$5,0),0),IF(ISERROR(1/VLOOKUP($R623,Capa!$A:$AJ,BG$5,0)),0,1/VLOOKUP($R623,Capa!$A:$AJ,BG$5,0))))</f>
        <v/>
      </c>
      <c r="BH623" s="174" t="str">
        <f>IF(BH$6="","",IF(BH$3="Maior",iferror(VLOOKUP($R623,Capa!$A:$AJ,BH$5,0),0),IF(ISERROR(1/VLOOKUP($R623,Capa!$A:$AJ,BH$5,0)),0,1/VLOOKUP($R623,Capa!$A:$AJ,BH$5,0))))</f>
        <v/>
      </c>
      <c r="BI623" s="174" t="str">
        <f>IF(BI$6="","",IF(BI$3="Maior",iferror(VLOOKUP($R623,Capa!$A:$AJ,BI$5,0),0),IF(ISERROR(1/VLOOKUP($R623,Capa!$A:$AJ,BI$5,0)),0,1/VLOOKUP($R623,Capa!$A:$AJ,BI$5,0))))</f>
        <v/>
      </c>
      <c r="BJ623" s="174" t="str">
        <f>IF(BJ$6="","",IF(BJ$3="Maior",iferror(VLOOKUP($R623,Capa!$A:$AJ,BJ$5,0),0),IF(ISERROR(1/VLOOKUP($R623,Capa!$A:$AJ,BJ$5,0)),0,1/VLOOKUP($R623,Capa!$A:$AJ,BJ$5,0))))</f>
        <v/>
      </c>
      <c r="BK623" s="174" t="str">
        <f>IF(BK$6="","",IF(BK$3="Maior",iferror(VLOOKUP($R623,Capa!$A:$AJ,BK$5,0),0),IF(ISERROR(1/VLOOKUP($R623,Capa!$A:$AJ,BK$5,0)),0,1/VLOOKUP($R623,Capa!$A:$AJ,BK$5,0))))</f>
        <v/>
      </c>
      <c r="BL623" s="174" t="str">
        <f>IF(BL$6="","",IF(BL$3="Maior",iferror(VLOOKUP($R623,Capa!$A:$AJ,BL$5,0),0),IF(ISERROR(1/VLOOKUP($R623,Capa!$A:$AJ,BL$5,0)),0,1/VLOOKUP($R623,Capa!$A:$AJ,BL$5,0))))</f>
        <v/>
      </c>
      <c r="BM623" s="174" t="str">
        <f>IF(BM$6="","",IF(BM$3="Maior",iferror(VLOOKUP($R623,Capa!$A:$AJ,BM$5,0),0),IF(ISERROR(1/VLOOKUP($R623,Capa!$A:$AJ,BM$5,0)),0,1/VLOOKUP($R623,Capa!$A:$AJ,BM$5,0))))</f>
        <v/>
      </c>
      <c r="BN623" s="174" t="str">
        <f>IF(BN$6="","",IF(BN$3="Maior",iferror(VLOOKUP($R623,Capa!$A:$AJ,BN$5,0),0),IF(ISERROR(1/VLOOKUP($R623,Capa!$A:$AJ,BN$5,0)),0,1/VLOOKUP($R623,Capa!$A:$AJ,BN$5,0))))</f>
        <v/>
      </c>
      <c r="BO623" s="174" t="str">
        <f>IF(BO$6="","",IF(BO$3="Maior",iferror(VLOOKUP($R623,Capa!$A:$AJ,BO$5,0),0),IF(ISERROR(1/VLOOKUP($R623,Capa!$A:$AJ,BO$5,0)),0,1/VLOOKUP($R623,Capa!$A:$AJ,BO$5,0))))</f>
        <v/>
      </c>
      <c r="BP623" s="174" t="str">
        <f>IF(BP$6="","",IF(BP$3="Maior",iferror(VLOOKUP($R623,Capa!$A:$AJ,BP$5,0),0),IF(ISERROR(1/VLOOKUP($R623,Capa!$A:$AJ,BP$5,0)),0,1/VLOOKUP($R623,Capa!$A:$AJ,BP$5,0))))</f>
        <v/>
      </c>
      <c r="BQ623" s="174" t="str">
        <f>IF(BQ$6="","",IF(BQ$3="Maior",iferror(VLOOKUP($R623,Capa!$A:$AJ,BQ$5,0),0),IF(ISERROR(1/VLOOKUP($R623,Capa!$A:$AJ,BQ$5,0)),0,1/VLOOKUP($R623,Capa!$A:$AJ,BQ$5,0))))</f>
        <v/>
      </c>
      <c r="BR623" s="175"/>
      <c r="BS623" s="147"/>
    </row>
    <row r="624">
      <c r="H624" s="8">
        <v>618.0</v>
      </c>
      <c r="I624" s="165" t="str">
        <f t="shared" si="6"/>
        <v>BPAT33</v>
      </c>
      <c r="J624" s="166" t="str">
        <f>(VLOOKUP($I624,Capa!$A:$B,2,0))</f>
        <v/>
      </c>
      <c r="K624" s="167" t="str">
        <f>VLOOKUP(left(I624,4),Setor!A:D,3,0)&amp;" | "&amp;VLOOKUP(left(I624,4),Setor!A:D,4,0)</f>
        <v>#N/A</v>
      </c>
      <c r="L624" s="168" t="str">
        <f>(VLOOKUP($I624,Capa!$A:$F,6,0))</f>
        <v/>
      </c>
      <c r="M624" s="168">
        <f t="shared" si="7"/>
        <v>0</v>
      </c>
      <c r="N624" s="11" t="str">
        <f>(VLOOKUP($I624,Capa!$A:$H,7,0))</f>
        <v/>
      </c>
      <c r="O624" s="169" t="str">
        <f>(VLOOKUP($I624,Capa!$A:$H,8,0))</f>
        <v/>
      </c>
      <c r="P624" s="11" t="str">
        <f>(VLOOKUP($I624,Capa!$A:$J,10,0))</f>
        <v/>
      </c>
      <c r="Q624" s="169" t="str">
        <f>(VLOOKUP($I624,Capa!$A:$K,11,0))</f>
        <v/>
      </c>
      <c r="R624" s="45" t="str">
        <f>'Dados StatusInvest'!A619</f>
        <v>WLMM4</v>
      </c>
      <c r="S624" s="170">
        <f t="shared" si="234"/>
        <v>1447.0447</v>
      </c>
      <c r="T624" s="171">
        <f>VLOOKUP(R624,'Dados StatusInvest'!A:Z,26,0)</f>
        <v>46932.81</v>
      </c>
      <c r="U624" s="172">
        <f t="shared" ref="U624:AS624" si="627">IF(AT624="","", RANK(AT624,AT$7:AT$626,0)+RANK(AT624,AT$7:AT$626,0)/10000)</f>
        <v>302.0302</v>
      </c>
      <c r="V624" s="172">
        <f t="shared" si="627"/>
        <v>145.0145</v>
      </c>
      <c r="W624" s="172" t="str">
        <f t="shared" si="627"/>
        <v/>
      </c>
      <c r="X624" s="172" t="str">
        <f t="shared" si="627"/>
        <v/>
      </c>
      <c r="Y624" s="172" t="str">
        <f t="shared" si="627"/>
        <v/>
      </c>
      <c r="Z624" s="172" t="str">
        <f t="shared" si="627"/>
        <v/>
      </c>
      <c r="AA624" s="172" t="str">
        <f t="shared" si="627"/>
        <v/>
      </c>
      <c r="AB624" s="172" t="str">
        <f t="shared" si="627"/>
        <v/>
      </c>
      <c r="AC624" s="172" t="str">
        <f t="shared" si="627"/>
        <v/>
      </c>
      <c r="AD624" s="172" t="str">
        <f t="shared" si="627"/>
        <v/>
      </c>
      <c r="AE624" s="172" t="str">
        <f t="shared" si="627"/>
        <v/>
      </c>
      <c r="AF624" s="172" t="str">
        <f t="shared" si="627"/>
        <v/>
      </c>
      <c r="AG624" s="172" t="str">
        <f t="shared" si="627"/>
        <v/>
      </c>
      <c r="AH624" s="172" t="str">
        <f t="shared" si="627"/>
        <v/>
      </c>
      <c r="AI624" s="172" t="str">
        <f t="shared" si="627"/>
        <v/>
      </c>
      <c r="AJ624" s="172" t="str">
        <f t="shared" si="627"/>
        <v/>
      </c>
      <c r="AK624" s="172" t="str">
        <f t="shared" si="627"/>
        <v/>
      </c>
      <c r="AL624" s="172" t="str">
        <f t="shared" si="627"/>
        <v/>
      </c>
      <c r="AM624" s="172" t="str">
        <f t="shared" si="627"/>
        <v/>
      </c>
      <c r="AN624" s="172" t="str">
        <f t="shared" si="627"/>
        <v/>
      </c>
      <c r="AO624" s="172" t="str">
        <f t="shared" si="627"/>
        <v/>
      </c>
      <c r="AP624" s="172" t="str">
        <f t="shared" si="627"/>
        <v/>
      </c>
      <c r="AQ624" s="172" t="str">
        <f t="shared" si="627"/>
        <v/>
      </c>
      <c r="AR624" s="172" t="str">
        <f t="shared" si="627"/>
        <v/>
      </c>
      <c r="AS624" s="172" t="str">
        <f t="shared" si="627"/>
        <v/>
      </c>
      <c r="AT624" s="173">
        <f>IF(AT$6="","",IF(AT$3="Maior",iferror(VLOOKUP($R624,Capa!$A:$AJ,AT$5,0),0),IF(ISERROR(1/VLOOKUP($R624,Capa!$A:$AJ,AT$5,0)),0,1/VLOOKUP($R624,Capa!$A:$AJ,AT$5,0))))</f>
        <v>-0.6880322116</v>
      </c>
      <c r="AU624" s="174">
        <f>IF(AU$6="","",IF(AU$3="Maior",iferror(VLOOKUP($R624,Capa!$A:$AJ,AU$5,0),0),IF(ISERROR(1/VLOOKUP($R624,Capa!$A:$AJ,AU$5,0)),0,1/VLOOKUP($R624,Capa!$A:$AJ,AU$5,0))))</f>
        <v>18.79</v>
      </c>
      <c r="AV624" s="174" t="str">
        <f>IF(AV$6="","",IF(AV$3="Maior",iferror(VLOOKUP($R624,Capa!$A:$AJ,AV$5,0),0),IF(ISERROR(1/VLOOKUP($R624,Capa!$A:$AJ,AV$5,0)),0,1/VLOOKUP($R624,Capa!$A:$AJ,AV$5,0))))</f>
        <v/>
      </c>
      <c r="AW624" s="174" t="str">
        <f>IF(AW$6="","",IF(AW$3="Maior",iferror(VLOOKUP($R624,Capa!$A:$AJ,AW$5,0),0),IF(ISERROR(1/VLOOKUP($R624,Capa!$A:$AJ,AW$5,0)),0,1/VLOOKUP($R624,Capa!$A:$AJ,AW$5,0))))</f>
        <v/>
      </c>
      <c r="AX624" s="174" t="str">
        <f>IF(AX$6="","",IF(AX$3="Maior",iferror(VLOOKUP($R624,Capa!$A:$AJ,AX$5,0),0),IF(ISERROR(1/VLOOKUP($R624,Capa!$A:$AJ,AX$5,0)),0,1/VLOOKUP($R624,Capa!$A:$AJ,AX$5,0))))</f>
        <v/>
      </c>
      <c r="AY624" s="174" t="str">
        <f>IF(AY$6="","",IF(AY$3="Maior",iferror(VLOOKUP($R624,Capa!$A:$AJ,AY$5,0),0),IF(ISERROR(1/VLOOKUP($R624,Capa!$A:$AJ,AY$5,0)),0,1/VLOOKUP($R624,Capa!$A:$AJ,AY$5,0))))</f>
        <v/>
      </c>
      <c r="AZ624" s="174" t="str">
        <f>IF(AZ$6="","",IF(AZ$3="Maior",iferror(VLOOKUP($R624,Capa!$A:$AJ,AZ$5,0),0),IF(ISERROR(1/VLOOKUP($R624,Capa!$A:$AJ,AZ$5,0)),0,1/VLOOKUP($R624,Capa!$A:$AJ,AZ$5,0))))</f>
        <v/>
      </c>
      <c r="BA624" s="174" t="str">
        <f>IF(BA$6="","",IF(BA$3="Maior",iferror(VLOOKUP($R624,Capa!$A:$AJ,BA$5,0),0),IF(ISERROR(1/VLOOKUP($R624,Capa!$A:$AJ,BA$5,0)),0,1/VLOOKUP($R624,Capa!$A:$AJ,BA$5,0))))</f>
        <v/>
      </c>
      <c r="BB624" s="174" t="str">
        <f>IF(BB$6="","",IF(BB$3="Maior",iferror(VLOOKUP($R624,Capa!$A:$AJ,BB$5,0),0),IF(ISERROR(1/VLOOKUP($R624,Capa!$A:$AJ,BB$5,0)),0,1/VLOOKUP($R624,Capa!$A:$AJ,BB$5,0))))</f>
        <v/>
      </c>
      <c r="BC624" s="174" t="str">
        <f>IF(BC$6="","",IF(BC$3="Maior",iferror(VLOOKUP($R624,Capa!$A:$AJ,BC$5,0),0),IF(ISERROR(1/VLOOKUP($R624,Capa!$A:$AJ,BC$5,0)),0,1/VLOOKUP($R624,Capa!$A:$AJ,BC$5,0))))</f>
        <v/>
      </c>
      <c r="BD624" s="174" t="str">
        <f>IF(BD$6="","",IF(BD$3="Maior",iferror(VLOOKUP($R624,Capa!$A:$AJ,BD$5,0),0),IF(ISERROR(1/VLOOKUP($R624,Capa!$A:$AJ,BD$5,0)),0,1/VLOOKUP($R624,Capa!$A:$AJ,BD$5,0))))</f>
        <v/>
      </c>
      <c r="BE624" s="174" t="str">
        <f>IF(BE$6="","",IF(BE$3="Maior",iferror(VLOOKUP($R624,Capa!$A:$AJ,BE$5,0),0),IF(ISERROR(1/VLOOKUP($R624,Capa!$A:$AJ,BE$5,0)),0,1/VLOOKUP($R624,Capa!$A:$AJ,BE$5,0))))</f>
        <v/>
      </c>
      <c r="BF624" s="174" t="str">
        <f>IF(BF$6="","",IF(BF$3="Maior",iferror(VLOOKUP($R624,Capa!$A:$AJ,BF$5,0),0),IF(ISERROR(1/VLOOKUP($R624,Capa!$A:$AJ,BF$5,0)),0,1/VLOOKUP($R624,Capa!$A:$AJ,BF$5,0))))</f>
        <v/>
      </c>
      <c r="BG624" s="174" t="str">
        <f>IF(BG$6="","",IF(BG$3="Maior",iferror(VLOOKUP($R624,Capa!$A:$AJ,BG$5,0),0),IF(ISERROR(1/VLOOKUP($R624,Capa!$A:$AJ,BG$5,0)),0,1/VLOOKUP($R624,Capa!$A:$AJ,BG$5,0))))</f>
        <v/>
      </c>
      <c r="BH624" s="174" t="str">
        <f>IF(BH$6="","",IF(BH$3="Maior",iferror(VLOOKUP($R624,Capa!$A:$AJ,BH$5,0),0),IF(ISERROR(1/VLOOKUP($R624,Capa!$A:$AJ,BH$5,0)),0,1/VLOOKUP($R624,Capa!$A:$AJ,BH$5,0))))</f>
        <v/>
      </c>
      <c r="BI624" s="174" t="str">
        <f>IF(BI$6="","",IF(BI$3="Maior",iferror(VLOOKUP($R624,Capa!$A:$AJ,BI$5,0),0),IF(ISERROR(1/VLOOKUP($R624,Capa!$A:$AJ,BI$5,0)),0,1/VLOOKUP($R624,Capa!$A:$AJ,BI$5,0))))</f>
        <v/>
      </c>
      <c r="BJ624" s="174" t="str">
        <f>IF(BJ$6="","",IF(BJ$3="Maior",iferror(VLOOKUP($R624,Capa!$A:$AJ,BJ$5,0),0),IF(ISERROR(1/VLOOKUP($R624,Capa!$A:$AJ,BJ$5,0)),0,1/VLOOKUP($R624,Capa!$A:$AJ,BJ$5,0))))</f>
        <v/>
      </c>
      <c r="BK624" s="174" t="str">
        <f>IF(BK$6="","",IF(BK$3="Maior",iferror(VLOOKUP($R624,Capa!$A:$AJ,BK$5,0),0),IF(ISERROR(1/VLOOKUP($R624,Capa!$A:$AJ,BK$5,0)),0,1/VLOOKUP($R624,Capa!$A:$AJ,BK$5,0))))</f>
        <v/>
      </c>
      <c r="BL624" s="174" t="str">
        <f>IF(BL$6="","",IF(BL$3="Maior",iferror(VLOOKUP($R624,Capa!$A:$AJ,BL$5,0),0),IF(ISERROR(1/VLOOKUP($R624,Capa!$A:$AJ,BL$5,0)),0,1/VLOOKUP($R624,Capa!$A:$AJ,BL$5,0))))</f>
        <v/>
      </c>
      <c r="BM624" s="174" t="str">
        <f>IF(BM$6="","",IF(BM$3="Maior",iferror(VLOOKUP($R624,Capa!$A:$AJ,BM$5,0),0),IF(ISERROR(1/VLOOKUP($R624,Capa!$A:$AJ,BM$5,0)),0,1/VLOOKUP($R624,Capa!$A:$AJ,BM$5,0))))</f>
        <v/>
      </c>
      <c r="BN624" s="174" t="str">
        <f>IF(BN$6="","",IF(BN$3="Maior",iferror(VLOOKUP($R624,Capa!$A:$AJ,BN$5,0),0),IF(ISERROR(1/VLOOKUP($R624,Capa!$A:$AJ,BN$5,0)),0,1/VLOOKUP($R624,Capa!$A:$AJ,BN$5,0))))</f>
        <v/>
      </c>
      <c r="BO624" s="174" t="str">
        <f>IF(BO$6="","",IF(BO$3="Maior",iferror(VLOOKUP($R624,Capa!$A:$AJ,BO$5,0),0),IF(ISERROR(1/VLOOKUP($R624,Capa!$A:$AJ,BO$5,0)),0,1/VLOOKUP($R624,Capa!$A:$AJ,BO$5,0))))</f>
        <v/>
      </c>
      <c r="BP624" s="174" t="str">
        <f>IF(BP$6="","",IF(BP$3="Maior",iferror(VLOOKUP($R624,Capa!$A:$AJ,BP$5,0),0),IF(ISERROR(1/VLOOKUP($R624,Capa!$A:$AJ,BP$5,0)),0,1/VLOOKUP($R624,Capa!$A:$AJ,BP$5,0))))</f>
        <v/>
      </c>
      <c r="BQ624" s="174" t="str">
        <f>IF(BQ$6="","",IF(BQ$3="Maior",iferror(VLOOKUP($R624,Capa!$A:$AJ,BQ$5,0),0),IF(ISERROR(1/VLOOKUP($R624,Capa!$A:$AJ,BQ$5,0)),0,1/VLOOKUP($R624,Capa!$A:$AJ,BQ$5,0))))</f>
        <v/>
      </c>
      <c r="BR624" s="175"/>
      <c r="BS624" s="147"/>
    </row>
    <row r="625">
      <c r="H625" s="8">
        <v>619.0</v>
      </c>
      <c r="I625" s="165" t="str">
        <f t="shared" si="6"/>
        <v>#NUM!</v>
      </c>
      <c r="J625" s="167" t="str">
        <f>(VLOOKUP($I625,Capa!$A:$B,2,0))</f>
        <v>#NUM!</v>
      </c>
      <c r="K625" s="167" t="str">
        <f>VLOOKUP(left(I625,4),Setor!A:D,3,0)&amp;" | "&amp;VLOOKUP(left(I625,4),Setor!A:D,4,0)</f>
        <v>#NUM!</v>
      </c>
      <c r="L625" s="10" t="str">
        <f>(VLOOKUP($I625,Capa!$A:$F,6,0))</f>
        <v>#NUM!</v>
      </c>
      <c r="M625" s="10" t="str">
        <f t="shared" si="7"/>
        <v>#NUM!</v>
      </c>
      <c r="N625" s="11" t="str">
        <f>(VLOOKUP($I625,Capa!$A:$H,7,0))</f>
        <v>#NUM!</v>
      </c>
      <c r="O625" s="11" t="str">
        <f>(VLOOKUP($I625,Capa!$A:$H,8,0))</f>
        <v>#NUM!</v>
      </c>
      <c r="P625" s="11" t="str">
        <f>(VLOOKUP($I625,Capa!$A:$J,10,0))</f>
        <v>#NUM!</v>
      </c>
      <c r="Q625" s="11" t="str">
        <f>(VLOOKUP($I625,Capa!$A:$K,11,0))</f>
        <v>#NUM!</v>
      </c>
      <c r="R625" s="45" t="str">
        <f>'Dados StatusInvest'!A620</f>
        <v>YDUQ3</v>
      </c>
      <c r="S625" s="170">
        <f t="shared" si="234"/>
        <v>1012.1012</v>
      </c>
      <c r="T625" s="171">
        <f>VLOOKUP(R625,'Dados StatusInvest'!A:Z,26,0)</f>
        <v>58230737</v>
      </c>
      <c r="U625" s="172">
        <f t="shared" ref="U625:AS625" si="628">IF(AT625="","", RANK(AT625,AT$7:AT$626,0)+RANK(AT625,AT$7:AT$626,0)/10000)</f>
        <v>416.0416</v>
      </c>
      <c r="V625" s="172">
        <f t="shared" si="628"/>
        <v>596.0596</v>
      </c>
      <c r="W625" s="172" t="str">
        <f t="shared" si="628"/>
        <v/>
      </c>
      <c r="X625" s="172" t="str">
        <f t="shared" si="628"/>
        <v/>
      </c>
      <c r="Y625" s="172" t="str">
        <f t="shared" si="628"/>
        <v/>
      </c>
      <c r="Z625" s="172" t="str">
        <f t="shared" si="628"/>
        <v/>
      </c>
      <c r="AA625" s="172" t="str">
        <f t="shared" si="628"/>
        <v/>
      </c>
      <c r="AB625" s="172" t="str">
        <f t="shared" si="628"/>
        <v/>
      </c>
      <c r="AC625" s="172" t="str">
        <f t="shared" si="628"/>
        <v/>
      </c>
      <c r="AD625" s="172" t="str">
        <f t="shared" si="628"/>
        <v/>
      </c>
      <c r="AE625" s="172" t="str">
        <f t="shared" si="628"/>
        <v/>
      </c>
      <c r="AF625" s="172" t="str">
        <f t="shared" si="628"/>
        <v/>
      </c>
      <c r="AG625" s="172" t="str">
        <f t="shared" si="628"/>
        <v/>
      </c>
      <c r="AH625" s="172" t="str">
        <f t="shared" si="628"/>
        <v/>
      </c>
      <c r="AI625" s="172" t="str">
        <f t="shared" si="628"/>
        <v/>
      </c>
      <c r="AJ625" s="172" t="str">
        <f t="shared" si="628"/>
        <v/>
      </c>
      <c r="AK625" s="172" t="str">
        <f t="shared" si="628"/>
        <v/>
      </c>
      <c r="AL625" s="172" t="str">
        <f t="shared" si="628"/>
        <v/>
      </c>
      <c r="AM625" s="172" t="str">
        <f t="shared" si="628"/>
        <v/>
      </c>
      <c r="AN625" s="172" t="str">
        <f t="shared" si="628"/>
        <v/>
      </c>
      <c r="AO625" s="172" t="str">
        <f t="shared" si="628"/>
        <v/>
      </c>
      <c r="AP625" s="172" t="str">
        <f t="shared" si="628"/>
        <v/>
      </c>
      <c r="AQ625" s="172" t="str">
        <f t="shared" si="628"/>
        <v/>
      </c>
      <c r="AR625" s="172" t="str">
        <f t="shared" si="628"/>
        <v/>
      </c>
      <c r="AS625" s="172" t="str">
        <f t="shared" si="628"/>
        <v/>
      </c>
      <c r="AT625" s="173">
        <f>IF(AT$6="","",IF(AT$3="Maior",iferror(VLOOKUP($R625,Capa!$A:$AJ,AT$5,0),0),IF(ISERROR(1/VLOOKUP($R625,Capa!$A:$AJ,AT$5,0)),0,1/VLOOKUP($R625,Capa!$A:$AJ,AT$5,0))))</f>
        <v>-1.472148541</v>
      </c>
      <c r="AU625" s="174">
        <f>IF(AU$6="","",IF(AU$3="Maior",iferror(VLOOKUP($R625,Capa!$A:$AJ,AU$5,0),0),IF(ISERROR(1/VLOOKUP($R625,Capa!$A:$AJ,AU$5,0)),0,1/VLOOKUP($R625,Capa!$A:$AJ,AU$5,0))))</f>
        <v>-17.66</v>
      </c>
      <c r="AV625" s="174" t="str">
        <f>IF(AV$6="","",IF(AV$3="Maior",iferror(VLOOKUP($R625,Capa!$A:$AJ,AV$5,0),0),IF(ISERROR(1/VLOOKUP($R625,Capa!$A:$AJ,AV$5,0)),0,1/VLOOKUP($R625,Capa!$A:$AJ,AV$5,0))))</f>
        <v/>
      </c>
      <c r="AW625" s="174" t="str">
        <f>IF(AW$6="","",IF(AW$3="Maior",iferror(VLOOKUP($R625,Capa!$A:$AJ,AW$5,0),0),IF(ISERROR(1/VLOOKUP($R625,Capa!$A:$AJ,AW$5,0)),0,1/VLOOKUP($R625,Capa!$A:$AJ,AW$5,0))))</f>
        <v/>
      </c>
      <c r="AX625" s="174" t="str">
        <f>IF(AX$6="","",IF(AX$3="Maior",iferror(VLOOKUP($R625,Capa!$A:$AJ,AX$5,0),0),IF(ISERROR(1/VLOOKUP($R625,Capa!$A:$AJ,AX$5,0)),0,1/VLOOKUP($R625,Capa!$A:$AJ,AX$5,0))))</f>
        <v/>
      </c>
      <c r="AY625" s="174" t="str">
        <f>IF(AY$6="","",IF(AY$3="Maior",iferror(VLOOKUP($R625,Capa!$A:$AJ,AY$5,0),0),IF(ISERROR(1/VLOOKUP($R625,Capa!$A:$AJ,AY$5,0)),0,1/VLOOKUP($R625,Capa!$A:$AJ,AY$5,0))))</f>
        <v/>
      </c>
      <c r="AZ625" s="174" t="str">
        <f>IF(AZ$6="","",IF(AZ$3="Maior",iferror(VLOOKUP($R625,Capa!$A:$AJ,AZ$5,0),0),IF(ISERROR(1/VLOOKUP($R625,Capa!$A:$AJ,AZ$5,0)),0,1/VLOOKUP($R625,Capa!$A:$AJ,AZ$5,0))))</f>
        <v/>
      </c>
      <c r="BA625" s="174" t="str">
        <f>IF(BA$6="","",IF(BA$3="Maior",iferror(VLOOKUP($R625,Capa!$A:$AJ,BA$5,0),0),IF(ISERROR(1/VLOOKUP($R625,Capa!$A:$AJ,BA$5,0)),0,1/VLOOKUP($R625,Capa!$A:$AJ,BA$5,0))))</f>
        <v/>
      </c>
      <c r="BB625" s="174" t="str">
        <f>IF(BB$6="","",IF(BB$3="Maior",iferror(VLOOKUP($R625,Capa!$A:$AJ,BB$5,0),0),IF(ISERROR(1/VLOOKUP($R625,Capa!$A:$AJ,BB$5,0)),0,1/VLOOKUP($R625,Capa!$A:$AJ,BB$5,0))))</f>
        <v/>
      </c>
      <c r="BC625" s="174" t="str">
        <f>IF(BC$6="","",IF(BC$3="Maior",iferror(VLOOKUP($R625,Capa!$A:$AJ,BC$5,0),0),IF(ISERROR(1/VLOOKUP($R625,Capa!$A:$AJ,BC$5,0)),0,1/VLOOKUP($R625,Capa!$A:$AJ,BC$5,0))))</f>
        <v/>
      </c>
      <c r="BD625" s="174" t="str">
        <f>IF(BD$6="","",IF(BD$3="Maior",iferror(VLOOKUP($R625,Capa!$A:$AJ,BD$5,0),0),IF(ISERROR(1/VLOOKUP($R625,Capa!$A:$AJ,BD$5,0)),0,1/VLOOKUP($R625,Capa!$A:$AJ,BD$5,0))))</f>
        <v/>
      </c>
      <c r="BE625" s="174" t="str">
        <f>IF(BE$6="","",IF(BE$3="Maior",iferror(VLOOKUP($R625,Capa!$A:$AJ,BE$5,0),0),IF(ISERROR(1/VLOOKUP($R625,Capa!$A:$AJ,BE$5,0)),0,1/VLOOKUP($R625,Capa!$A:$AJ,BE$5,0))))</f>
        <v/>
      </c>
      <c r="BF625" s="174" t="str">
        <f>IF(BF$6="","",IF(BF$3="Maior",iferror(VLOOKUP($R625,Capa!$A:$AJ,BF$5,0),0),IF(ISERROR(1/VLOOKUP($R625,Capa!$A:$AJ,BF$5,0)),0,1/VLOOKUP($R625,Capa!$A:$AJ,BF$5,0))))</f>
        <v/>
      </c>
      <c r="BG625" s="174" t="str">
        <f>IF(BG$6="","",IF(BG$3="Maior",iferror(VLOOKUP($R625,Capa!$A:$AJ,BG$5,0),0),IF(ISERROR(1/VLOOKUP($R625,Capa!$A:$AJ,BG$5,0)),0,1/VLOOKUP($R625,Capa!$A:$AJ,BG$5,0))))</f>
        <v/>
      </c>
      <c r="BH625" s="174" t="str">
        <f>IF(BH$6="","",IF(BH$3="Maior",iferror(VLOOKUP($R625,Capa!$A:$AJ,BH$5,0),0),IF(ISERROR(1/VLOOKUP($R625,Capa!$A:$AJ,BH$5,0)),0,1/VLOOKUP($R625,Capa!$A:$AJ,BH$5,0))))</f>
        <v/>
      </c>
      <c r="BI625" s="174" t="str">
        <f>IF(BI$6="","",IF(BI$3="Maior",iferror(VLOOKUP($R625,Capa!$A:$AJ,BI$5,0),0),IF(ISERROR(1/VLOOKUP($R625,Capa!$A:$AJ,BI$5,0)),0,1/VLOOKUP($R625,Capa!$A:$AJ,BI$5,0))))</f>
        <v/>
      </c>
      <c r="BJ625" s="174" t="str">
        <f>IF(BJ$6="","",IF(BJ$3="Maior",iferror(VLOOKUP($R625,Capa!$A:$AJ,BJ$5,0),0),IF(ISERROR(1/VLOOKUP($R625,Capa!$A:$AJ,BJ$5,0)),0,1/VLOOKUP($R625,Capa!$A:$AJ,BJ$5,0))))</f>
        <v/>
      </c>
      <c r="BK625" s="174" t="str">
        <f>IF(BK$6="","",IF(BK$3="Maior",iferror(VLOOKUP($R625,Capa!$A:$AJ,BK$5,0),0),IF(ISERROR(1/VLOOKUP($R625,Capa!$A:$AJ,BK$5,0)),0,1/VLOOKUP($R625,Capa!$A:$AJ,BK$5,0))))</f>
        <v/>
      </c>
      <c r="BL625" s="174" t="str">
        <f>IF(BL$6="","",IF(BL$3="Maior",iferror(VLOOKUP($R625,Capa!$A:$AJ,BL$5,0),0),IF(ISERROR(1/VLOOKUP($R625,Capa!$A:$AJ,BL$5,0)),0,1/VLOOKUP($R625,Capa!$A:$AJ,BL$5,0))))</f>
        <v/>
      </c>
      <c r="BM625" s="174" t="str">
        <f>IF(BM$6="","",IF(BM$3="Maior",iferror(VLOOKUP($R625,Capa!$A:$AJ,BM$5,0),0),IF(ISERROR(1/VLOOKUP($R625,Capa!$A:$AJ,BM$5,0)),0,1/VLOOKUP($R625,Capa!$A:$AJ,BM$5,0))))</f>
        <v/>
      </c>
      <c r="BN625" s="174" t="str">
        <f>IF(BN$6="","",IF(BN$3="Maior",iferror(VLOOKUP($R625,Capa!$A:$AJ,BN$5,0),0),IF(ISERROR(1/VLOOKUP($R625,Capa!$A:$AJ,BN$5,0)),0,1/VLOOKUP($R625,Capa!$A:$AJ,BN$5,0))))</f>
        <v/>
      </c>
      <c r="BO625" s="174" t="str">
        <f>IF(BO$6="","",IF(BO$3="Maior",iferror(VLOOKUP($R625,Capa!$A:$AJ,BO$5,0),0),IF(ISERROR(1/VLOOKUP($R625,Capa!$A:$AJ,BO$5,0)),0,1/VLOOKUP($R625,Capa!$A:$AJ,BO$5,0))))</f>
        <v/>
      </c>
      <c r="BP625" s="174" t="str">
        <f>IF(BP$6="","",IF(BP$3="Maior",iferror(VLOOKUP($R625,Capa!$A:$AJ,BP$5,0),0),IF(ISERROR(1/VLOOKUP($R625,Capa!$A:$AJ,BP$5,0)),0,1/VLOOKUP($R625,Capa!$A:$AJ,BP$5,0))))</f>
        <v/>
      </c>
      <c r="BQ625" s="174" t="str">
        <f>IF(BQ$6="","",IF(BQ$3="Maior",iferror(VLOOKUP($R625,Capa!$A:$AJ,BQ$5,0),0),IF(ISERROR(1/VLOOKUP($R625,Capa!$A:$AJ,BQ$5,0)),0,1/VLOOKUP($R625,Capa!$A:$AJ,BQ$5,0))))</f>
        <v/>
      </c>
      <c r="BR625" s="175"/>
      <c r="BS625" s="147"/>
    </row>
    <row r="626">
      <c r="H626" s="8">
        <v>620.0</v>
      </c>
      <c r="I626" s="165" t="str">
        <f t="shared" si="6"/>
        <v>#NUM!</v>
      </c>
      <c r="J626" s="167" t="str">
        <f>(VLOOKUP($I626,Capa!$A:$B,2,0))</f>
        <v>#NUM!</v>
      </c>
      <c r="K626" s="167" t="str">
        <f>VLOOKUP(left(I626,4),Setor!A:D,3,0)&amp;" | "&amp;VLOOKUP(left(I626,4),Setor!A:D,4,0)</f>
        <v>#NUM!</v>
      </c>
      <c r="L626" s="10" t="str">
        <f>(VLOOKUP($I626,Capa!$A:$F,6,0))</f>
        <v>#NUM!</v>
      </c>
      <c r="M626" s="10" t="str">
        <f t="shared" si="7"/>
        <v>#NUM!</v>
      </c>
      <c r="N626" s="11" t="str">
        <f>(VLOOKUP($I626,Capa!$A:$H,7,0))</f>
        <v>#NUM!</v>
      </c>
      <c r="O626" s="11" t="str">
        <f>(VLOOKUP($I626,Capa!$A:$H,8,0))</f>
        <v>#NUM!</v>
      </c>
      <c r="P626" s="11" t="str">
        <f>(VLOOKUP($I626,Capa!$A:$J,10,0))</f>
        <v>#NUM!</v>
      </c>
      <c r="Q626" s="11" t="str">
        <f>(VLOOKUP($I626,Capa!$A:$K,11,0))</f>
        <v>#NUM!</v>
      </c>
      <c r="R626" s="45" t="str">
        <f>'Dados StatusInvest'!A621</f>
        <v>ZAMP3</v>
      </c>
      <c r="S626" s="170">
        <f t="shared" si="234"/>
        <v>1291.0291</v>
      </c>
      <c r="T626" s="171">
        <f>VLOOKUP(R626,'Dados StatusInvest'!A:Z,26,0)</f>
        <v>247849</v>
      </c>
      <c r="U626" s="172">
        <f t="shared" ref="U626:AS626" si="629">IF(AT626="","", RANK(AT626,AT$7:AT$626,0)+RANK(AT626,AT$7:AT$626,0)/10000)</f>
        <v>24.0024</v>
      </c>
      <c r="V626" s="172">
        <f t="shared" si="629"/>
        <v>267.0267</v>
      </c>
      <c r="W626" s="172" t="str">
        <f t="shared" si="629"/>
        <v/>
      </c>
      <c r="X626" s="172" t="str">
        <f t="shared" si="629"/>
        <v/>
      </c>
      <c r="Y626" s="172" t="str">
        <f t="shared" si="629"/>
        <v/>
      </c>
      <c r="Z626" s="172" t="str">
        <f t="shared" si="629"/>
        <v/>
      </c>
      <c r="AA626" s="172" t="str">
        <f t="shared" si="629"/>
        <v/>
      </c>
      <c r="AB626" s="172" t="str">
        <f t="shared" si="629"/>
        <v/>
      </c>
      <c r="AC626" s="172" t="str">
        <f t="shared" si="629"/>
        <v/>
      </c>
      <c r="AD626" s="172" t="str">
        <f t="shared" si="629"/>
        <v/>
      </c>
      <c r="AE626" s="172" t="str">
        <f t="shared" si="629"/>
        <v/>
      </c>
      <c r="AF626" s="172" t="str">
        <f t="shared" si="629"/>
        <v/>
      </c>
      <c r="AG626" s="172" t="str">
        <f t="shared" si="629"/>
        <v/>
      </c>
      <c r="AH626" s="172" t="str">
        <f t="shared" si="629"/>
        <v/>
      </c>
      <c r="AI626" s="172" t="str">
        <f t="shared" si="629"/>
        <v/>
      </c>
      <c r="AJ626" s="172" t="str">
        <f t="shared" si="629"/>
        <v/>
      </c>
      <c r="AK626" s="172" t="str">
        <f t="shared" si="629"/>
        <v/>
      </c>
      <c r="AL626" s="172" t="str">
        <f t="shared" si="629"/>
        <v/>
      </c>
      <c r="AM626" s="172" t="str">
        <f t="shared" si="629"/>
        <v/>
      </c>
      <c r="AN626" s="172" t="str">
        <f t="shared" si="629"/>
        <v/>
      </c>
      <c r="AO626" s="172" t="str">
        <f t="shared" si="629"/>
        <v/>
      </c>
      <c r="AP626" s="172" t="str">
        <f t="shared" si="629"/>
        <v/>
      </c>
      <c r="AQ626" s="172" t="str">
        <f t="shared" si="629"/>
        <v/>
      </c>
      <c r="AR626" s="172" t="str">
        <f t="shared" si="629"/>
        <v/>
      </c>
      <c r="AS626" s="172" t="str">
        <f t="shared" si="629"/>
        <v/>
      </c>
      <c r="AT626" s="173">
        <f>IF(AT$6="","",IF(AT$3="Maior",iferror(VLOOKUP($R626,Capa!$A:$AJ,AT$5,0),0),IF(ISERROR(1/VLOOKUP($R626,Capa!$A:$AJ,AT$5,0)),0,1/VLOOKUP($R626,Capa!$A:$AJ,AT$5,0))))</f>
        <v>0.1102535832</v>
      </c>
      <c r="AU626" s="174">
        <f>IF(AU$6="","",IF(AU$3="Maior",iferror(VLOOKUP($R626,Capa!$A:$AJ,AU$5,0),0),IF(ISERROR(1/VLOOKUP($R626,Capa!$A:$AJ,AU$5,0)),0,1/VLOOKUP($R626,Capa!$A:$AJ,AU$5,0))))</f>
        <v>0</v>
      </c>
      <c r="AV626" s="174" t="str">
        <f>IF(AV$6="","",IF(AV$3="Maior",iferror(VLOOKUP($R626,Capa!$A:$AJ,AV$5,0),0),IF(ISERROR(1/VLOOKUP($R626,Capa!$A:$AJ,AV$5,0)),0,1/VLOOKUP($R626,Capa!$A:$AJ,AV$5,0))))</f>
        <v/>
      </c>
      <c r="AW626" s="174" t="str">
        <f>IF(AW$6="","",IF(AW$3="Maior",iferror(VLOOKUP($R626,Capa!$A:$AJ,AW$5,0),0),IF(ISERROR(1/VLOOKUP($R626,Capa!$A:$AJ,AW$5,0)),0,1/VLOOKUP($R626,Capa!$A:$AJ,AW$5,0))))</f>
        <v/>
      </c>
      <c r="AX626" s="174" t="str">
        <f>IF(AX$6="","",IF(AX$3="Maior",iferror(VLOOKUP($R626,Capa!$A:$AJ,AX$5,0),0),IF(ISERROR(1/VLOOKUP($R626,Capa!$A:$AJ,AX$5,0)),0,1/VLOOKUP($R626,Capa!$A:$AJ,AX$5,0))))</f>
        <v/>
      </c>
      <c r="AY626" s="174" t="str">
        <f>IF(AY$6="","",IF(AY$3="Maior",iferror(VLOOKUP($R626,Capa!$A:$AJ,AY$5,0),0),IF(ISERROR(1/VLOOKUP($R626,Capa!$A:$AJ,AY$5,0)),0,1/VLOOKUP($R626,Capa!$A:$AJ,AY$5,0))))</f>
        <v/>
      </c>
      <c r="AZ626" s="174" t="str">
        <f>IF(AZ$6="","",IF(AZ$3="Maior",iferror(VLOOKUP($R626,Capa!$A:$AJ,AZ$5,0),0),IF(ISERROR(1/VLOOKUP($R626,Capa!$A:$AJ,AZ$5,0)),0,1/VLOOKUP($R626,Capa!$A:$AJ,AZ$5,0))))</f>
        <v/>
      </c>
      <c r="BA626" s="174" t="str">
        <f>IF(BA$6="","",IF(BA$3="Maior",iferror(VLOOKUP($R626,Capa!$A:$AJ,BA$5,0),0),IF(ISERROR(1/VLOOKUP($R626,Capa!$A:$AJ,BA$5,0)),0,1/VLOOKUP($R626,Capa!$A:$AJ,BA$5,0))))</f>
        <v/>
      </c>
      <c r="BB626" s="174" t="str">
        <f>IF(BB$6="","",IF(BB$3="Maior",iferror(VLOOKUP($R626,Capa!$A:$AJ,BB$5,0),0),IF(ISERROR(1/VLOOKUP($R626,Capa!$A:$AJ,BB$5,0)),0,1/VLOOKUP($R626,Capa!$A:$AJ,BB$5,0))))</f>
        <v/>
      </c>
      <c r="BC626" s="174" t="str">
        <f>IF(BC$6="","",IF(BC$3="Maior",iferror(VLOOKUP($R626,Capa!$A:$AJ,BC$5,0),0),IF(ISERROR(1/VLOOKUP($R626,Capa!$A:$AJ,BC$5,0)),0,1/VLOOKUP($R626,Capa!$A:$AJ,BC$5,0))))</f>
        <v/>
      </c>
      <c r="BD626" s="174" t="str">
        <f>IF(BD$6="","",IF(BD$3="Maior",iferror(VLOOKUP($R626,Capa!$A:$AJ,BD$5,0),0),IF(ISERROR(1/VLOOKUP($R626,Capa!$A:$AJ,BD$5,0)),0,1/VLOOKUP($R626,Capa!$A:$AJ,BD$5,0))))</f>
        <v/>
      </c>
      <c r="BE626" s="174" t="str">
        <f>IF(BE$6="","",IF(BE$3="Maior",iferror(VLOOKUP($R626,Capa!$A:$AJ,BE$5,0),0),IF(ISERROR(1/VLOOKUP($R626,Capa!$A:$AJ,BE$5,0)),0,1/VLOOKUP($R626,Capa!$A:$AJ,BE$5,0))))</f>
        <v/>
      </c>
      <c r="BF626" s="174" t="str">
        <f>IF(BF$6="","",IF(BF$3="Maior",iferror(VLOOKUP($R626,Capa!$A:$AJ,BF$5,0),0),IF(ISERROR(1/VLOOKUP($R626,Capa!$A:$AJ,BF$5,0)),0,1/VLOOKUP($R626,Capa!$A:$AJ,BF$5,0))))</f>
        <v/>
      </c>
      <c r="BG626" s="174" t="str">
        <f>IF(BG$6="","",IF(BG$3="Maior",iferror(VLOOKUP($R626,Capa!$A:$AJ,BG$5,0),0),IF(ISERROR(1/VLOOKUP($R626,Capa!$A:$AJ,BG$5,0)),0,1/VLOOKUP($R626,Capa!$A:$AJ,BG$5,0))))</f>
        <v/>
      </c>
      <c r="BH626" s="174" t="str">
        <f>IF(BH$6="","",IF(BH$3="Maior",iferror(VLOOKUP($R626,Capa!$A:$AJ,BH$5,0),0),IF(ISERROR(1/VLOOKUP($R626,Capa!$A:$AJ,BH$5,0)),0,1/VLOOKUP($R626,Capa!$A:$AJ,BH$5,0))))</f>
        <v/>
      </c>
      <c r="BI626" s="174" t="str">
        <f>IF(BI$6="","",IF(BI$3="Maior",iferror(VLOOKUP($R626,Capa!$A:$AJ,BI$5,0),0),IF(ISERROR(1/VLOOKUP($R626,Capa!$A:$AJ,BI$5,0)),0,1/VLOOKUP($R626,Capa!$A:$AJ,BI$5,0))))</f>
        <v/>
      </c>
      <c r="BJ626" s="174" t="str">
        <f>IF(BJ$6="","",IF(BJ$3="Maior",iferror(VLOOKUP($R626,Capa!$A:$AJ,BJ$5,0),0),IF(ISERROR(1/VLOOKUP($R626,Capa!$A:$AJ,BJ$5,0)),0,1/VLOOKUP($R626,Capa!$A:$AJ,BJ$5,0))))</f>
        <v/>
      </c>
      <c r="BK626" s="174" t="str">
        <f>IF(BK$6="","",IF(BK$3="Maior",iferror(VLOOKUP($R626,Capa!$A:$AJ,BK$5,0),0),IF(ISERROR(1/VLOOKUP($R626,Capa!$A:$AJ,BK$5,0)),0,1/VLOOKUP($R626,Capa!$A:$AJ,BK$5,0))))</f>
        <v/>
      </c>
      <c r="BL626" s="174" t="str">
        <f>IF(BL$6="","",IF(BL$3="Maior",iferror(VLOOKUP($R626,Capa!$A:$AJ,BL$5,0),0),IF(ISERROR(1/VLOOKUP($R626,Capa!$A:$AJ,BL$5,0)),0,1/VLOOKUP($R626,Capa!$A:$AJ,BL$5,0))))</f>
        <v/>
      </c>
      <c r="BM626" s="174" t="str">
        <f>IF(BM$6="","",IF(BM$3="Maior",iferror(VLOOKUP($R626,Capa!$A:$AJ,BM$5,0),0),IF(ISERROR(1/VLOOKUP($R626,Capa!$A:$AJ,BM$5,0)),0,1/VLOOKUP($R626,Capa!$A:$AJ,BM$5,0))))</f>
        <v/>
      </c>
      <c r="BN626" s="174" t="str">
        <f>IF(BN$6="","",IF(BN$3="Maior",iferror(VLOOKUP($R626,Capa!$A:$AJ,BN$5,0),0),IF(ISERROR(1/VLOOKUP($R626,Capa!$A:$AJ,BN$5,0)),0,1/VLOOKUP($R626,Capa!$A:$AJ,BN$5,0))))</f>
        <v/>
      </c>
      <c r="BO626" s="174" t="str">
        <f>IF(BO$6="","",IF(BO$3="Maior",iferror(VLOOKUP($R626,Capa!$A:$AJ,BO$5,0),0),IF(ISERROR(1/VLOOKUP($R626,Capa!$A:$AJ,BO$5,0)),0,1/VLOOKUP($R626,Capa!$A:$AJ,BO$5,0))))</f>
        <v/>
      </c>
      <c r="BP626" s="174" t="str">
        <f>IF(BP$6="","",IF(BP$3="Maior",iferror(VLOOKUP($R626,Capa!$A:$AJ,BP$5,0),0),IF(ISERROR(1/VLOOKUP($R626,Capa!$A:$AJ,BP$5,0)),0,1/VLOOKUP($R626,Capa!$A:$AJ,BP$5,0))))</f>
        <v/>
      </c>
      <c r="BQ626" s="174" t="str">
        <f>IF(BQ$6="","",IF(BQ$3="Maior",iferror(VLOOKUP($R626,Capa!$A:$AJ,BQ$5,0),0),IF(ISERROR(1/VLOOKUP($R626,Capa!$A:$AJ,BQ$5,0)),0,1/VLOOKUP($R626,Capa!$A:$AJ,BQ$5,0))))</f>
        <v/>
      </c>
      <c r="BR626" s="175"/>
      <c r="BS626" s="147"/>
    </row>
    <row r="627">
      <c r="I627" s="128"/>
      <c r="J627" s="129"/>
      <c r="K627" s="129"/>
      <c r="R627" s="45" t="str">
        <f>'Dados StatusInvest'!A622</f>
        <v/>
      </c>
      <c r="S627" s="170"/>
      <c r="T627" s="171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  <c r="AE627" s="172"/>
      <c r="AF627" s="172"/>
      <c r="AG627" s="172"/>
      <c r="AH627" s="172"/>
      <c r="AI627" s="172"/>
      <c r="AJ627" s="172"/>
      <c r="AK627" s="172"/>
      <c r="AL627" s="172"/>
      <c r="AM627" s="172"/>
      <c r="AN627" s="172"/>
      <c r="AO627" s="172"/>
      <c r="AP627" s="172"/>
      <c r="AQ627" s="172"/>
      <c r="AR627" s="172"/>
      <c r="AS627" s="172"/>
      <c r="AT627" s="173"/>
      <c r="AU627" s="174"/>
      <c r="AV627" s="174"/>
      <c r="AW627" s="174"/>
      <c r="AX627" s="174"/>
      <c r="AY627" s="174"/>
      <c r="AZ627" s="174"/>
      <c r="BA627" s="174"/>
      <c r="BB627" s="174"/>
      <c r="BC627" s="174"/>
      <c r="BD627" s="174"/>
      <c r="BE627" s="174"/>
      <c r="BF627" s="174"/>
      <c r="BG627" s="174"/>
      <c r="BH627" s="174"/>
      <c r="BI627" s="174"/>
      <c r="BJ627" s="174"/>
      <c r="BK627" s="174"/>
      <c r="BL627" s="174"/>
      <c r="BM627" s="174"/>
      <c r="BN627" s="174"/>
      <c r="BO627" s="174"/>
      <c r="BP627" s="174"/>
      <c r="BQ627" s="174"/>
      <c r="BR627" s="175"/>
      <c r="BS627" s="147"/>
    </row>
    <row r="628">
      <c r="I628" s="128"/>
      <c r="J628" s="129"/>
      <c r="K628" s="129"/>
      <c r="R628" s="45" t="str">
        <f>'Dados StatusInvest'!A623</f>
        <v/>
      </c>
      <c r="S628" s="170"/>
      <c r="T628" s="171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  <c r="AE628" s="172"/>
      <c r="AF628" s="172"/>
      <c r="AG628" s="172"/>
      <c r="AH628" s="172"/>
      <c r="AI628" s="172"/>
      <c r="AJ628" s="172"/>
      <c r="AK628" s="172"/>
      <c r="AL628" s="172"/>
      <c r="AM628" s="172"/>
      <c r="AN628" s="172"/>
      <c r="AO628" s="172"/>
      <c r="AP628" s="172"/>
      <c r="AQ628" s="172"/>
      <c r="AR628" s="172"/>
      <c r="AS628" s="172"/>
      <c r="AT628" s="173"/>
      <c r="AU628" s="174"/>
      <c r="AV628" s="174"/>
      <c r="AW628" s="174"/>
      <c r="AX628" s="174"/>
      <c r="AY628" s="174"/>
      <c r="AZ628" s="174"/>
      <c r="BA628" s="174"/>
      <c r="BB628" s="174"/>
      <c r="BC628" s="174"/>
      <c r="BD628" s="174"/>
      <c r="BE628" s="174"/>
      <c r="BF628" s="174"/>
      <c r="BG628" s="174"/>
      <c r="BH628" s="174"/>
      <c r="BI628" s="174"/>
      <c r="BJ628" s="174"/>
      <c r="BK628" s="174"/>
      <c r="BL628" s="174"/>
      <c r="BM628" s="174"/>
      <c r="BN628" s="174"/>
      <c r="BO628" s="174"/>
      <c r="BP628" s="174"/>
      <c r="BQ628" s="174"/>
      <c r="BR628" s="175"/>
      <c r="BS628" s="147"/>
    </row>
    <row r="629">
      <c r="I629" s="128"/>
      <c r="J629" s="129"/>
      <c r="K629" s="129"/>
      <c r="R629" s="45" t="str">
        <f>'Dados StatusInvest'!A624</f>
        <v/>
      </c>
      <c r="S629" s="170"/>
      <c r="T629" s="171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  <c r="AE629" s="172"/>
      <c r="AF629" s="172"/>
      <c r="AG629" s="172"/>
      <c r="AH629" s="172"/>
      <c r="AI629" s="172"/>
      <c r="AJ629" s="172"/>
      <c r="AK629" s="172"/>
      <c r="AL629" s="172"/>
      <c r="AM629" s="172"/>
      <c r="AN629" s="172"/>
      <c r="AO629" s="172"/>
      <c r="AP629" s="172"/>
      <c r="AQ629" s="172"/>
      <c r="AR629" s="172"/>
      <c r="AS629" s="172"/>
      <c r="AT629" s="173"/>
      <c r="AU629" s="174"/>
      <c r="AV629" s="174"/>
      <c r="AW629" s="174"/>
      <c r="AX629" s="174"/>
      <c r="AY629" s="174"/>
      <c r="AZ629" s="174"/>
      <c r="BA629" s="174"/>
      <c r="BB629" s="174"/>
      <c r="BC629" s="174"/>
      <c r="BD629" s="174"/>
      <c r="BE629" s="174"/>
      <c r="BF629" s="174"/>
      <c r="BG629" s="174"/>
      <c r="BH629" s="174"/>
      <c r="BI629" s="174"/>
      <c r="BJ629" s="174"/>
      <c r="BK629" s="174"/>
      <c r="BL629" s="174"/>
      <c r="BM629" s="174"/>
      <c r="BN629" s="174"/>
      <c r="BO629" s="174"/>
      <c r="BP629" s="174"/>
      <c r="BQ629" s="174"/>
      <c r="BR629" s="175"/>
      <c r="BS629" s="147"/>
    </row>
    <row r="630">
      <c r="I630" s="128"/>
      <c r="J630" s="129"/>
      <c r="K630" s="129"/>
      <c r="R630" s="45" t="str">
        <f>'Dados StatusInvest'!A625</f>
        <v/>
      </c>
      <c r="S630" s="170"/>
      <c r="T630" s="171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  <c r="AE630" s="172"/>
      <c r="AF630" s="172"/>
      <c r="AG630" s="172"/>
      <c r="AH630" s="172"/>
      <c r="AI630" s="172"/>
      <c r="AJ630" s="172"/>
      <c r="AK630" s="172"/>
      <c r="AL630" s="172"/>
      <c r="AM630" s="172"/>
      <c r="AN630" s="172"/>
      <c r="AO630" s="172"/>
      <c r="AP630" s="172"/>
      <c r="AQ630" s="172"/>
      <c r="AR630" s="172"/>
      <c r="AS630" s="172"/>
      <c r="AT630" s="173"/>
      <c r="AU630" s="174"/>
      <c r="AV630" s="174"/>
      <c r="AW630" s="174"/>
      <c r="AX630" s="174"/>
      <c r="AY630" s="174"/>
      <c r="AZ630" s="174"/>
      <c r="BA630" s="174"/>
      <c r="BB630" s="174"/>
      <c r="BC630" s="174"/>
      <c r="BD630" s="174"/>
      <c r="BE630" s="174"/>
      <c r="BF630" s="174"/>
      <c r="BG630" s="174"/>
      <c r="BH630" s="174"/>
      <c r="BI630" s="174"/>
      <c r="BJ630" s="174"/>
      <c r="BK630" s="174"/>
      <c r="BL630" s="174"/>
      <c r="BM630" s="174"/>
      <c r="BN630" s="174"/>
      <c r="BO630" s="174"/>
      <c r="BP630" s="174"/>
      <c r="BQ630" s="174"/>
      <c r="BR630" s="175"/>
      <c r="BS630" s="147"/>
    </row>
    <row r="631">
      <c r="I631" s="128"/>
      <c r="J631" s="129"/>
      <c r="K631" s="129"/>
      <c r="R631" s="45" t="str">
        <f>'Dados StatusInvest'!A626</f>
        <v/>
      </c>
      <c r="S631" s="170"/>
      <c r="T631" s="171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  <c r="AE631" s="172"/>
      <c r="AF631" s="172"/>
      <c r="AG631" s="172"/>
      <c r="AH631" s="172"/>
      <c r="AI631" s="172"/>
      <c r="AJ631" s="172"/>
      <c r="AK631" s="172"/>
      <c r="AL631" s="172"/>
      <c r="AM631" s="172"/>
      <c r="AN631" s="172"/>
      <c r="AO631" s="172"/>
      <c r="AP631" s="172"/>
      <c r="AQ631" s="172"/>
      <c r="AR631" s="172"/>
      <c r="AS631" s="172"/>
      <c r="AT631" s="173"/>
      <c r="AU631" s="174"/>
      <c r="AV631" s="174"/>
      <c r="AW631" s="174"/>
      <c r="AX631" s="174"/>
      <c r="AY631" s="174"/>
      <c r="AZ631" s="174"/>
      <c r="BA631" s="174"/>
      <c r="BB631" s="174"/>
      <c r="BC631" s="174"/>
      <c r="BD631" s="174"/>
      <c r="BE631" s="174"/>
      <c r="BF631" s="174"/>
      <c r="BG631" s="174"/>
      <c r="BH631" s="174"/>
      <c r="BI631" s="174"/>
      <c r="BJ631" s="174"/>
      <c r="BK631" s="174"/>
      <c r="BL631" s="174"/>
      <c r="BM631" s="174"/>
      <c r="BN631" s="174"/>
      <c r="BO631" s="174"/>
      <c r="BP631" s="174"/>
      <c r="BQ631" s="174"/>
      <c r="BR631" s="175"/>
      <c r="BS631" s="147"/>
    </row>
    <row r="632">
      <c r="I632" s="128"/>
      <c r="J632" s="129"/>
      <c r="K632" s="129"/>
      <c r="R632" s="45" t="str">
        <f>'Dados StatusInvest'!A627</f>
        <v/>
      </c>
      <c r="S632" s="170"/>
      <c r="T632" s="171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  <c r="AE632" s="172"/>
      <c r="AF632" s="172"/>
      <c r="AG632" s="172"/>
      <c r="AH632" s="172"/>
      <c r="AI632" s="172"/>
      <c r="AJ632" s="172"/>
      <c r="AK632" s="172"/>
      <c r="AL632" s="172"/>
      <c r="AM632" s="172"/>
      <c r="AN632" s="172"/>
      <c r="AO632" s="172"/>
      <c r="AP632" s="172"/>
      <c r="AQ632" s="172"/>
      <c r="AR632" s="172"/>
      <c r="AS632" s="172"/>
      <c r="AT632" s="173"/>
      <c r="AU632" s="174"/>
      <c r="AV632" s="174"/>
      <c r="AW632" s="174"/>
      <c r="AX632" s="174"/>
      <c r="AY632" s="174"/>
      <c r="AZ632" s="174"/>
      <c r="BA632" s="174"/>
      <c r="BB632" s="174"/>
      <c r="BC632" s="174"/>
      <c r="BD632" s="174"/>
      <c r="BE632" s="174"/>
      <c r="BF632" s="174"/>
      <c r="BG632" s="174"/>
      <c r="BH632" s="174"/>
      <c r="BI632" s="174"/>
      <c r="BJ632" s="174"/>
      <c r="BK632" s="174"/>
      <c r="BL632" s="174"/>
      <c r="BM632" s="174"/>
      <c r="BN632" s="174"/>
      <c r="BO632" s="174"/>
      <c r="BP632" s="174"/>
      <c r="BQ632" s="174"/>
      <c r="BR632" s="175"/>
      <c r="BS632" s="147"/>
    </row>
    <row r="633">
      <c r="I633" s="128"/>
      <c r="J633" s="129"/>
      <c r="K633" s="129"/>
      <c r="R633" s="45" t="str">
        <f>'Dados StatusInvest'!A628</f>
        <v/>
      </c>
      <c r="S633" s="170"/>
      <c r="T633" s="171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  <c r="AE633" s="172"/>
      <c r="AF633" s="172"/>
      <c r="AG633" s="172"/>
      <c r="AH633" s="172"/>
      <c r="AI633" s="172"/>
      <c r="AJ633" s="172"/>
      <c r="AK633" s="172"/>
      <c r="AL633" s="172"/>
      <c r="AM633" s="172"/>
      <c r="AN633" s="172"/>
      <c r="AO633" s="172"/>
      <c r="AP633" s="172"/>
      <c r="AQ633" s="172"/>
      <c r="AR633" s="172"/>
      <c r="AS633" s="172"/>
      <c r="AT633" s="173"/>
      <c r="AU633" s="174"/>
      <c r="AV633" s="174"/>
      <c r="AW633" s="174"/>
      <c r="AX633" s="174"/>
      <c r="AY633" s="174"/>
      <c r="AZ633" s="174"/>
      <c r="BA633" s="174"/>
      <c r="BB633" s="174"/>
      <c r="BC633" s="174"/>
      <c r="BD633" s="174"/>
      <c r="BE633" s="174"/>
      <c r="BF633" s="174"/>
      <c r="BG633" s="174"/>
      <c r="BH633" s="174"/>
      <c r="BI633" s="174"/>
      <c r="BJ633" s="174"/>
      <c r="BK633" s="174"/>
      <c r="BL633" s="174"/>
      <c r="BM633" s="174"/>
      <c r="BN633" s="174"/>
      <c r="BO633" s="174"/>
      <c r="BP633" s="174"/>
      <c r="BQ633" s="174"/>
      <c r="BR633" s="175"/>
      <c r="BS633" s="147"/>
    </row>
    <row r="634">
      <c r="I634" s="128"/>
      <c r="J634" s="129"/>
      <c r="K634" s="129"/>
      <c r="R634" s="45" t="str">
        <f>'Dados StatusInvest'!A629</f>
        <v/>
      </c>
      <c r="S634" s="170"/>
      <c r="T634" s="171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  <c r="AE634" s="172"/>
      <c r="AF634" s="172"/>
      <c r="AG634" s="172"/>
      <c r="AH634" s="172"/>
      <c r="AI634" s="172"/>
      <c r="AJ634" s="172"/>
      <c r="AK634" s="172"/>
      <c r="AL634" s="172"/>
      <c r="AM634" s="172"/>
      <c r="AN634" s="172"/>
      <c r="AO634" s="172"/>
      <c r="AP634" s="172"/>
      <c r="AQ634" s="172"/>
      <c r="AR634" s="172"/>
      <c r="AS634" s="172"/>
      <c r="AT634" s="173"/>
      <c r="AU634" s="174"/>
      <c r="AV634" s="174"/>
      <c r="AW634" s="174"/>
      <c r="AX634" s="174"/>
      <c r="AY634" s="174"/>
      <c r="AZ634" s="174"/>
      <c r="BA634" s="174"/>
      <c r="BB634" s="174"/>
      <c r="BC634" s="174"/>
      <c r="BD634" s="174"/>
      <c r="BE634" s="174"/>
      <c r="BF634" s="174"/>
      <c r="BG634" s="174"/>
      <c r="BH634" s="174"/>
      <c r="BI634" s="174"/>
      <c r="BJ634" s="174"/>
      <c r="BK634" s="174"/>
      <c r="BL634" s="174"/>
      <c r="BM634" s="174"/>
      <c r="BN634" s="174"/>
      <c r="BO634" s="174"/>
      <c r="BP634" s="174"/>
      <c r="BQ634" s="174"/>
      <c r="BR634" s="175"/>
      <c r="BS634" s="147"/>
    </row>
    <row r="635">
      <c r="I635" s="128"/>
      <c r="J635" s="129"/>
      <c r="K635" s="129"/>
      <c r="R635" s="45" t="str">
        <f>'Dados StatusInvest'!A630</f>
        <v/>
      </c>
      <c r="S635" s="170"/>
      <c r="T635" s="171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  <c r="AE635" s="172"/>
      <c r="AF635" s="172"/>
      <c r="AG635" s="172"/>
      <c r="AH635" s="172"/>
      <c r="AI635" s="172"/>
      <c r="AJ635" s="172"/>
      <c r="AK635" s="172"/>
      <c r="AL635" s="172"/>
      <c r="AM635" s="172"/>
      <c r="AN635" s="172"/>
      <c r="AO635" s="172"/>
      <c r="AP635" s="172"/>
      <c r="AQ635" s="172"/>
      <c r="AR635" s="172"/>
      <c r="AS635" s="172"/>
      <c r="AT635" s="173"/>
      <c r="AU635" s="174"/>
      <c r="AV635" s="174"/>
      <c r="AW635" s="174"/>
      <c r="AX635" s="174"/>
      <c r="AY635" s="174"/>
      <c r="AZ635" s="174"/>
      <c r="BA635" s="174"/>
      <c r="BB635" s="174"/>
      <c r="BC635" s="174"/>
      <c r="BD635" s="174"/>
      <c r="BE635" s="174"/>
      <c r="BF635" s="174"/>
      <c r="BG635" s="174"/>
      <c r="BH635" s="174"/>
      <c r="BI635" s="174"/>
      <c r="BJ635" s="174"/>
      <c r="BK635" s="174"/>
      <c r="BL635" s="174"/>
      <c r="BM635" s="174"/>
      <c r="BN635" s="174"/>
      <c r="BO635" s="174"/>
      <c r="BP635" s="174"/>
      <c r="BQ635" s="174"/>
      <c r="BR635" s="175"/>
      <c r="BS635" s="147"/>
    </row>
    <row r="636">
      <c r="I636" s="128"/>
      <c r="J636" s="129"/>
      <c r="K636" s="129"/>
      <c r="R636" s="45" t="str">
        <f>'Dados StatusInvest'!A631</f>
        <v/>
      </c>
      <c r="S636" s="170"/>
      <c r="T636" s="171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  <c r="AE636" s="172"/>
      <c r="AF636" s="172"/>
      <c r="AG636" s="172"/>
      <c r="AH636" s="172"/>
      <c r="AI636" s="172"/>
      <c r="AJ636" s="172"/>
      <c r="AK636" s="172"/>
      <c r="AL636" s="172"/>
      <c r="AM636" s="172"/>
      <c r="AN636" s="172"/>
      <c r="AO636" s="172"/>
      <c r="AP636" s="172"/>
      <c r="AQ636" s="172"/>
      <c r="AR636" s="172"/>
      <c r="AS636" s="172"/>
      <c r="AT636" s="173"/>
      <c r="AU636" s="174"/>
      <c r="AV636" s="174"/>
      <c r="AW636" s="174"/>
      <c r="AX636" s="174"/>
      <c r="AY636" s="174"/>
      <c r="AZ636" s="174"/>
      <c r="BA636" s="174"/>
      <c r="BB636" s="174"/>
      <c r="BC636" s="174"/>
      <c r="BD636" s="174"/>
      <c r="BE636" s="174"/>
      <c r="BF636" s="174"/>
      <c r="BG636" s="174"/>
      <c r="BH636" s="174"/>
      <c r="BI636" s="174"/>
      <c r="BJ636" s="174"/>
      <c r="BK636" s="174"/>
      <c r="BL636" s="174"/>
      <c r="BM636" s="174"/>
      <c r="BN636" s="174"/>
      <c r="BO636" s="174"/>
      <c r="BP636" s="174"/>
      <c r="BQ636" s="174"/>
      <c r="BR636" s="175"/>
      <c r="BS636" s="147"/>
    </row>
    <row r="637">
      <c r="I637" s="128"/>
      <c r="J637" s="129"/>
      <c r="K637" s="129"/>
      <c r="R637" s="45" t="str">
        <f>'Dados StatusInvest'!A632</f>
        <v/>
      </c>
      <c r="S637" s="170"/>
      <c r="T637" s="171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  <c r="AN637" s="172"/>
      <c r="AO637" s="172"/>
      <c r="AP637" s="172"/>
      <c r="AQ637" s="172"/>
      <c r="AR637" s="172"/>
      <c r="AS637" s="172"/>
      <c r="AT637" s="173"/>
      <c r="AU637" s="174"/>
      <c r="AV637" s="174"/>
      <c r="AW637" s="174"/>
      <c r="AX637" s="174"/>
      <c r="AY637" s="174"/>
      <c r="AZ637" s="174"/>
      <c r="BA637" s="174"/>
      <c r="BB637" s="174"/>
      <c r="BC637" s="174"/>
      <c r="BD637" s="174"/>
      <c r="BE637" s="174"/>
      <c r="BF637" s="174"/>
      <c r="BG637" s="174"/>
      <c r="BH637" s="174"/>
      <c r="BI637" s="174"/>
      <c r="BJ637" s="174"/>
      <c r="BK637" s="174"/>
      <c r="BL637" s="174"/>
      <c r="BM637" s="174"/>
      <c r="BN637" s="174"/>
      <c r="BO637" s="174"/>
      <c r="BP637" s="174"/>
      <c r="BQ637" s="174"/>
      <c r="BR637" s="175"/>
      <c r="BS637" s="147"/>
    </row>
    <row r="638">
      <c r="I638" s="128"/>
      <c r="J638" s="129"/>
      <c r="K638" s="129"/>
      <c r="R638" s="45" t="str">
        <f>'Dados StatusInvest'!A633</f>
        <v/>
      </c>
      <c r="S638" s="170"/>
      <c r="T638" s="171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  <c r="AE638" s="172"/>
      <c r="AF638" s="172"/>
      <c r="AG638" s="172"/>
      <c r="AH638" s="172"/>
      <c r="AI638" s="172"/>
      <c r="AJ638" s="172"/>
      <c r="AK638" s="172"/>
      <c r="AL638" s="172"/>
      <c r="AM638" s="172"/>
      <c r="AN638" s="172"/>
      <c r="AO638" s="172"/>
      <c r="AP638" s="172"/>
      <c r="AQ638" s="172"/>
      <c r="AR638" s="172"/>
      <c r="AS638" s="172"/>
      <c r="AT638" s="173"/>
      <c r="AU638" s="174"/>
      <c r="AV638" s="174"/>
      <c r="AW638" s="174"/>
      <c r="AX638" s="174"/>
      <c r="AY638" s="174"/>
      <c r="AZ638" s="174"/>
      <c r="BA638" s="174"/>
      <c r="BB638" s="174"/>
      <c r="BC638" s="174"/>
      <c r="BD638" s="174"/>
      <c r="BE638" s="174"/>
      <c r="BF638" s="174"/>
      <c r="BG638" s="174"/>
      <c r="BH638" s="174"/>
      <c r="BI638" s="174"/>
      <c r="BJ638" s="174"/>
      <c r="BK638" s="174"/>
      <c r="BL638" s="174"/>
      <c r="BM638" s="174"/>
      <c r="BN638" s="174"/>
      <c r="BO638" s="174"/>
      <c r="BP638" s="174"/>
      <c r="BQ638" s="174"/>
      <c r="BR638" s="175"/>
      <c r="BS638" s="147"/>
    </row>
    <row r="639">
      <c r="I639" s="128"/>
      <c r="J639" s="129"/>
      <c r="K639" s="129"/>
      <c r="R639" s="45" t="str">
        <f>'Dados StatusInvest'!A634</f>
        <v/>
      </c>
      <c r="S639" s="170"/>
      <c r="T639" s="171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  <c r="AE639" s="172"/>
      <c r="AF639" s="172"/>
      <c r="AG639" s="172"/>
      <c r="AH639" s="172"/>
      <c r="AI639" s="172"/>
      <c r="AJ639" s="172"/>
      <c r="AK639" s="172"/>
      <c r="AL639" s="172"/>
      <c r="AM639" s="172"/>
      <c r="AN639" s="172"/>
      <c r="AO639" s="172"/>
      <c r="AP639" s="172"/>
      <c r="AQ639" s="172"/>
      <c r="AR639" s="172"/>
      <c r="AS639" s="172"/>
      <c r="AT639" s="173"/>
      <c r="AU639" s="174"/>
      <c r="AV639" s="174"/>
      <c r="AW639" s="174"/>
      <c r="AX639" s="174"/>
      <c r="AY639" s="174"/>
      <c r="AZ639" s="174"/>
      <c r="BA639" s="174"/>
      <c r="BB639" s="174"/>
      <c r="BC639" s="174"/>
      <c r="BD639" s="174"/>
      <c r="BE639" s="174"/>
      <c r="BF639" s="174"/>
      <c r="BG639" s="174"/>
      <c r="BH639" s="174"/>
      <c r="BI639" s="174"/>
      <c r="BJ639" s="174"/>
      <c r="BK639" s="174"/>
      <c r="BL639" s="174"/>
      <c r="BM639" s="174"/>
      <c r="BN639" s="174"/>
      <c r="BO639" s="174"/>
      <c r="BP639" s="174"/>
      <c r="BQ639" s="174"/>
      <c r="BR639" s="175"/>
      <c r="BS639" s="147"/>
    </row>
    <row r="640">
      <c r="I640" s="128"/>
      <c r="J640" s="129"/>
      <c r="K640" s="129"/>
      <c r="R640" s="45" t="str">
        <f>'Dados StatusInvest'!A635</f>
        <v/>
      </c>
      <c r="S640" s="170"/>
      <c r="T640" s="171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  <c r="AE640" s="172"/>
      <c r="AF640" s="172"/>
      <c r="AG640" s="172"/>
      <c r="AH640" s="172"/>
      <c r="AI640" s="172"/>
      <c r="AJ640" s="172"/>
      <c r="AK640" s="172"/>
      <c r="AL640" s="172"/>
      <c r="AM640" s="172"/>
      <c r="AN640" s="172"/>
      <c r="AO640" s="172"/>
      <c r="AP640" s="172"/>
      <c r="AQ640" s="172"/>
      <c r="AR640" s="172"/>
      <c r="AS640" s="172"/>
      <c r="AT640" s="173"/>
      <c r="AU640" s="174"/>
      <c r="AV640" s="174"/>
      <c r="AW640" s="174"/>
      <c r="AX640" s="174"/>
      <c r="AY640" s="174"/>
      <c r="AZ640" s="174"/>
      <c r="BA640" s="174"/>
      <c r="BB640" s="174"/>
      <c r="BC640" s="174"/>
      <c r="BD640" s="174"/>
      <c r="BE640" s="174"/>
      <c r="BF640" s="174"/>
      <c r="BG640" s="174"/>
      <c r="BH640" s="174"/>
      <c r="BI640" s="174"/>
      <c r="BJ640" s="174"/>
      <c r="BK640" s="174"/>
      <c r="BL640" s="174"/>
      <c r="BM640" s="174"/>
      <c r="BN640" s="174"/>
      <c r="BO640" s="174"/>
      <c r="BP640" s="174"/>
      <c r="BQ640" s="174"/>
      <c r="BR640" s="175"/>
      <c r="BS640" s="147"/>
    </row>
    <row r="641">
      <c r="I641" s="128"/>
      <c r="J641" s="129"/>
      <c r="K641" s="129"/>
      <c r="R641" s="45" t="str">
        <f>'Dados StatusInvest'!A636</f>
        <v/>
      </c>
      <c r="S641" s="170"/>
      <c r="T641" s="171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  <c r="AE641" s="172"/>
      <c r="AF641" s="172"/>
      <c r="AG641" s="172"/>
      <c r="AH641" s="172"/>
      <c r="AI641" s="172"/>
      <c r="AJ641" s="172"/>
      <c r="AK641" s="172"/>
      <c r="AL641" s="172"/>
      <c r="AM641" s="172"/>
      <c r="AN641" s="172"/>
      <c r="AO641" s="172"/>
      <c r="AP641" s="172"/>
      <c r="AQ641" s="172"/>
      <c r="AR641" s="172"/>
      <c r="AS641" s="172"/>
      <c r="AT641" s="173"/>
      <c r="AU641" s="174"/>
      <c r="AV641" s="174"/>
      <c r="AW641" s="174"/>
      <c r="AX641" s="174"/>
      <c r="AY641" s="174"/>
      <c r="AZ641" s="174"/>
      <c r="BA641" s="174"/>
      <c r="BB641" s="174"/>
      <c r="BC641" s="174"/>
      <c r="BD641" s="174"/>
      <c r="BE641" s="174"/>
      <c r="BF641" s="174"/>
      <c r="BG641" s="174"/>
      <c r="BH641" s="174"/>
      <c r="BI641" s="174"/>
      <c r="BJ641" s="174"/>
      <c r="BK641" s="174"/>
      <c r="BL641" s="174"/>
      <c r="BM641" s="174"/>
      <c r="BN641" s="174"/>
      <c r="BO641" s="174"/>
      <c r="BP641" s="174"/>
      <c r="BQ641" s="174"/>
      <c r="BR641" s="175"/>
      <c r="BS641" s="147"/>
    </row>
    <row r="642">
      <c r="I642" s="128"/>
      <c r="J642" s="129"/>
      <c r="K642" s="129"/>
      <c r="R642" s="45" t="str">
        <f>'Dados StatusInvest'!A637</f>
        <v/>
      </c>
      <c r="S642" s="170"/>
      <c r="T642" s="171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  <c r="AE642" s="172"/>
      <c r="AF642" s="172"/>
      <c r="AG642" s="172"/>
      <c r="AH642" s="172"/>
      <c r="AI642" s="172"/>
      <c r="AJ642" s="172"/>
      <c r="AK642" s="172"/>
      <c r="AL642" s="172"/>
      <c r="AM642" s="172"/>
      <c r="AN642" s="172"/>
      <c r="AO642" s="172"/>
      <c r="AP642" s="172"/>
      <c r="AQ642" s="172"/>
      <c r="AR642" s="172"/>
      <c r="AS642" s="172"/>
      <c r="AT642" s="173"/>
      <c r="AU642" s="174"/>
      <c r="AV642" s="174"/>
      <c r="AW642" s="174"/>
      <c r="AX642" s="174"/>
      <c r="AY642" s="174"/>
      <c r="AZ642" s="174"/>
      <c r="BA642" s="174"/>
      <c r="BB642" s="174"/>
      <c r="BC642" s="174"/>
      <c r="BD642" s="174"/>
      <c r="BE642" s="174"/>
      <c r="BF642" s="174"/>
      <c r="BG642" s="174"/>
      <c r="BH642" s="174"/>
      <c r="BI642" s="174"/>
      <c r="BJ642" s="174"/>
      <c r="BK642" s="174"/>
      <c r="BL642" s="174"/>
      <c r="BM642" s="174"/>
      <c r="BN642" s="174"/>
      <c r="BO642" s="174"/>
      <c r="BP642" s="174"/>
      <c r="BQ642" s="174"/>
      <c r="BR642" s="175"/>
      <c r="BS642" s="147"/>
    </row>
    <row r="643">
      <c r="I643" s="128"/>
      <c r="J643" s="129"/>
      <c r="K643" s="129"/>
      <c r="R643" s="45" t="str">
        <f>'Dados StatusInvest'!A638</f>
        <v/>
      </c>
      <c r="S643" s="170"/>
      <c r="T643" s="171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  <c r="AE643" s="172"/>
      <c r="AF643" s="172"/>
      <c r="AG643" s="172"/>
      <c r="AH643" s="172"/>
      <c r="AI643" s="172"/>
      <c r="AJ643" s="172"/>
      <c r="AK643" s="172"/>
      <c r="AL643" s="172"/>
      <c r="AM643" s="172"/>
      <c r="AN643" s="172"/>
      <c r="AO643" s="172"/>
      <c r="AP643" s="172"/>
      <c r="AQ643" s="172"/>
      <c r="AR643" s="172"/>
      <c r="AS643" s="172"/>
      <c r="AT643" s="173"/>
      <c r="AU643" s="174"/>
      <c r="AV643" s="174"/>
      <c r="AW643" s="174"/>
      <c r="AX643" s="174"/>
      <c r="AY643" s="174"/>
      <c r="AZ643" s="174"/>
      <c r="BA643" s="174"/>
      <c r="BB643" s="174"/>
      <c r="BC643" s="174"/>
      <c r="BD643" s="174"/>
      <c r="BE643" s="174"/>
      <c r="BF643" s="174"/>
      <c r="BG643" s="174"/>
      <c r="BH643" s="174"/>
      <c r="BI643" s="174"/>
      <c r="BJ643" s="174"/>
      <c r="BK643" s="174"/>
      <c r="BL643" s="174"/>
      <c r="BM643" s="174"/>
      <c r="BN643" s="174"/>
      <c r="BO643" s="174"/>
      <c r="BP643" s="174"/>
      <c r="BQ643" s="174"/>
      <c r="BR643" s="175"/>
      <c r="BS643" s="147"/>
    </row>
    <row r="644">
      <c r="I644" s="128"/>
      <c r="J644" s="129"/>
      <c r="K644" s="129"/>
      <c r="S644" s="170"/>
      <c r="T644" s="171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  <c r="AE644" s="172"/>
      <c r="AF644" s="172"/>
      <c r="AG644" s="172"/>
      <c r="AH644" s="172"/>
      <c r="AI644" s="172"/>
      <c r="AJ644" s="172"/>
      <c r="AK644" s="172"/>
      <c r="AL644" s="172"/>
      <c r="AM644" s="172"/>
      <c r="AN644" s="172"/>
      <c r="AO644" s="172"/>
      <c r="AP644" s="172"/>
      <c r="AQ644" s="172"/>
      <c r="AR644" s="172"/>
      <c r="AS644" s="172"/>
      <c r="AT644" s="173"/>
      <c r="AU644" s="174"/>
      <c r="AV644" s="174"/>
      <c r="AW644" s="174"/>
      <c r="AX644" s="174"/>
      <c r="AY644" s="174"/>
      <c r="AZ644" s="174"/>
      <c r="BA644" s="174"/>
      <c r="BB644" s="174"/>
      <c r="BC644" s="174"/>
      <c r="BD644" s="174"/>
      <c r="BE644" s="174"/>
      <c r="BF644" s="174"/>
      <c r="BG644" s="174"/>
      <c r="BH644" s="174"/>
      <c r="BI644" s="174"/>
      <c r="BJ644" s="174"/>
      <c r="BK644" s="174"/>
      <c r="BL644" s="174"/>
      <c r="BM644" s="174"/>
      <c r="BN644" s="174"/>
      <c r="BO644" s="174"/>
      <c r="BP644" s="174"/>
      <c r="BQ644" s="174"/>
      <c r="BR644" s="175"/>
      <c r="BS644" s="147"/>
    </row>
    <row r="645">
      <c r="I645" s="128"/>
      <c r="J645" s="129"/>
      <c r="K645" s="129"/>
      <c r="S645" s="170"/>
      <c r="T645" s="171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  <c r="AE645" s="172"/>
      <c r="AF645" s="172"/>
      <c r="AG645" s="172"/>
      <c r="AH645" s="172"/>
      <c r="AI645" s="172"/>
      <c r="AJ645" s="172"/>
      <c r="AK645" s="172"/>
      <c r="AL645" s="172"/>
      <c r="AM645" s="172"/>
      <c r="AN645" s="172"/>
      <c r="AO645" s="172"/>
      <c r="AP645" s="172"/>
      <c r="AQ645" s="172"/>
      <c r="AR645" s="172"/>
      <c r="AS645" s="172"/>
      <c r="AT645" s="173"/>
      <c r="AU645" s="174"/>
      <c r="AV645" s="174"/>
      <c r="AW645" s="174"/>
      <c r="AX645" s="174"/>
      <c r="AY645" s="174"/>
      <c r="AZ645" s="174"/>
      <c r="BA645" s="174"/>
      <c r="BB645" s="174"/>
      <c r="BC645" s="174"/>
      <c r="BD645" s="174"/>
      <c r="BE645" s="174"/>
      <c r="BF645" s="174"/>
      <c r="BG645" s="174"/>
      <c r="BH645" s="174"/>
      <c r="BI645" s="174"/>
      <c r="BJ645" s="174"/>
      <c r="BK645" s="174"/>
      <c r="BL645" s="174"/>
      <c r="BM645" s="174"/>
      <c r="BN645" s="174"/>
      <c r="BO645" s="174"/>
      <c r="BP645" s="174"/>
      <c r="BQ645" s="174"/>
      <c r="BR645" s="175"/>
      <c r="BS645" s="147"/>
    </row>
    <row r="646">
      <c r="I646" s="128"/>
      <c r="J646" s="129"/>
      <c r="K646" s="129"/>
      <c r="S646" s="170"/>
      <c r="T646" s="171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  <c r="AE646" s="172"/>
      <c r="AF646" s="172"/>
      <c r="AG646" s="172"/>
      <c r="AH646" s="172"/>
      <c r="AI646" s="172"/>
      <c r="AJ646" s="172"/>
      <c r="AK646" s="172"/>
      <c r="AL646" s="172"/>
      <c r="AM646" s="172"/>
      <c r="AN646" s="172"/>
      <c r="AO646" s="172"/>
      <c r="AP646" s="172"/>
      <c r="AQ646" s="172"/>
      <c r="AR646" s="172"/>
      <c r="AS646" s="172"/>
      <c r="AT646" s="173"/>
      <c r="AU646" s="174"/>
      <c r="AV646" s="174"/>
      <c r="AW646" s="174"/>
      <c r="AX646" s="174"/>
      <c r="AY646" s="174"/>
      <c r="AZ646" s="174"/>
      <c r="BA646" s="174"/>
      <c r="BB646" s="174"/>
      <c r="BC646" s="174"/>
      <c r="BD646" s="174"/>
      <c r="BE646" s="174"/>
      <c r="BF646" s="174"/>
      <c r="BG646" s="174"/>
      <c r="BH646" s="174"/>
      <c r="BI646" s="174"/>
      <c r="BJ646" s="174"/>
      <c r="BK646" s="174"/>
      <c r="BL646" s="174"/>
      <c r="BM646" s="174"/>
      <c r="BN646" s="174"/>
      <c r="BO646" s="174"/>
      <c r="BP646" s="174"/>
      <c r="BQ646" s="174"/>
      <c r="BR646" s="175"/>
      <c r="BS646" s="147"/>
    </row>
    <row r="647">
      <c r="I647" s="128"/>
      <c r="J647" s="129"/>
      <c r="K647" s="129"/>
      <c r="S647" s="170"/>
      <c r="T647" s="171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  <c r="AE647" s="172"/>
      <c r="AF647" s="172"/>
      <c r="AG647" s="172"/>
      <c r="AH647" s="172"/>
      <c r="AI647" s="172"/>
      <c r="AJ647" s="172"/>
      <c r="AK647" s="172"/>
      <c r="AL647" s="172"/>
      <c r="AM647" s="172"/>
      <c r="AN647" s="172"/>
      <c r="AO647" s="172"/>
      <c r="AP647" s="172"/>
      <c r="AQ647" s="172"/>
      <c r="AR647" s="172"/>
      <c r="AS647" s="172"/>
      <c r="AT647" s="173"/>
      <c r="AU647" s="174"/>
      <c r="AV647" s="174"/>
      <c r="AW647" s="174"/>
      <c r="AX647" s="174"/>
      <c r="AY647" s="174"/>
      <c r="AZ647" s="174"/>
      <c r="BA647" s="174"/>
      <c r="BB647" s="174"/>
      <c r="BC647" s="174"/>
      <c r="BD647" s="174"/>
      <c r="BE647" s="174"/>
      <c r="BF647" s="174"/>
      <c r="BG647" s="174"/>
      <c r="BH647" s="174"/>
      <c r="BI647" s="174"/>
      <c r="BJ647" s="174"/>
      <c r="BK647" s="174"/>
      <c r="BL647" s="174"/>
      <c r="BM647" s="174"/>
      <c r="BN647" s="174"/>
      <c r="BO647" s="174"/>
      <c r="BP647" s="174"/>
      <c r="BQ647" s="174"/>
      <c r="BR647" s="175"/>
      <c r="BS647" s="147"/>
    </row>
    <row r="648">
      <c r="I648" s="128"/>
      <c r="J648" s="129"/>
      <c r="K648" s="129"/>
      <c r="S648" s="170"/>
      <c r="T648" s="171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  <c r="AE648" s="172"/>
      <c r="AF648" s="172"/>
      <c r="AG648" s="172"/>
      <c r="AH648" s="172"/>
      <c r="AI648" s="172"/>
      <c r="AJ648" s="172"/>
      <c r="AK648" s="172"/>
      <c r="AL648" s="172"/>
      <c r="AM648" s="172"/>
      <c r="AN648" s="172"/>
      <c r="AO648" s="172"/>
      <c r="AP648" s="172"/>
      <c r="AQ648" s="172"/>
      <c r="AR648" s="172"/>
      <c r="AS648" s="172"/>
      <c r="AT648" s="173"/>
      <c r="AU648" s="174"/>
      <c r="AV648" s="174"/>
      <c r="AW648" s="174"/>
      <c r="AX648" s="174"/>
      <c r="AY648" s="174"/>
      <c r="AZ648" s="174"/>
      <c r="BA648" s="174"/>
      <c r="BB648" s="174"/>
      <c r="BC648" s="174"/>
      <c r="BD648" s="174"/>
      <c r="BE648" s="174"/>
      <c r="BF648" s="174"/>
      <c r="BG648" s="174"/>
      <c r="BH648" s="174"/>
      <c r="BI648" s="174"/>
      <c r="BJ648" s="174"/>
      <c r="BK648" s="174"/>
      <c r="BL648" s="174"/>
      <c r="BM648" s="174"/>
      <c r="BN648" s="174"/>
      <c r="BO648" s="174"/>
      <c r="BP648" s="174"/>
      <c r="BQ648" s="174"/>
      <c r="BR648" s="175"/>
      <c r="BS648" s="147"/>
    </row>
    <row r="649">
      <c r="I649" s="128"/>
      <c r="J649" s="129"/>
      <c r="K649" s="129"/>
      <c r="S649" s="170"/>
      <c r="T649" s="171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  <c r="AE649" s="172"/>
      <c r="AF649" s="172"/>
      <c r="AG649" s="172"/>
      <c r="AH649" s="172"/>
      <c r="AI649" s="172"/>
      <c r="AJ649" s="172"/>
      <c r="AK649" s="172"/>
      <c r="AL649" s="172"/>
      <c r="AM649" s="172"/>
      <c r="AN649" s="172"/>
      <c r="AO649" s="172"/>
      <c r="AP649" s="172"/>
      <c r="AQ649" s="172"/>
      <c r="AR649" s="172"/>
      <c r="AS649" s="172"/>
      <c r="AT649" s="173"/>
      <c r="AU649" s="174"/>
      <c r="AV649" s="174"/>
      <c r="AW649" s="174"/>
      <c r="AX649" s="174"/>
      <c r="AY649" s="174"/>
      <c r="AZ649" s="174"/>
      <c r="BA649" s="174"/>
      <c r="BB649" s="174"/>
      <c r="BC649" s="174"/>
      <c r="BD649" s="174"/>
      <c r="BE649" s="174"/>
      <c r="BF649" s="174"/>
      <c r="BG649" s="174"/>
      <c r="BH649" s="174"/>
      <c r="BI649" s="174"/>
      <c r="BJ649" s="174"/>
      <c r="BK649" s="174"/>
      <c r="BL649" s="174"/>
      <c r="BM649" s="174"/>
      <c r="BN649" s="174"/>
      <c r="BO649" s="174"/>
      <c r="BP649" s="174"/>
      <c r="BQ649" s="174"/>
      <c r="BR649" s="175"/>
      <c r="BS649" s="147"/>
    </row>
    <row r="650">
      <c r="I650" s="128"/>
      <c r="J650" s="129"/>
      <c r="K650" s="129"/>
      <c r="S650" s="170"/>
      <c r="T650" s="171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  <c r="AE650" s="172"/>
      <c r="AF650" s="172"/>
      <c r="AG650" s="172"/>
      <c r="AH650" s="172"/>
      <c r="AI650" s="172"/>
      <c r="AJ650" s="172"/>
      <c r="AK650" s="172"/>
      <c r="AL650" s="172"/>
      <c r="AM650" s="172"/>
      <c r="AN650" s="172"/>
      <c r="AO650" s="172"/>
      <c r="AP650" s="172"/>
      <c r="AQ650" s="172"/>
      <c r="AR650" s="172"/>
      <c r="AS650" s="172"/>
      <c r="AT650" s="173"/>
      <c r="AU650" s="174"/>
      <c r="AV650" s="174"/>
      <c r="AW650" s="174"/>
      <c r="AX650" s="174"/>
      <c r="AY650" s="174"/>
      <c r="AZ650" s="174"/>
      <c r="BA650" s="174"/>
      <c r="BB650" s="174"/>
      <c r="BC650" s="174"/>
      <c r="BD650" s="174"/>
      <c r="BE650" s="174"/>
      <c r="BF650" s="174"/>
      <c r="BG650" s="174"/>
      <c r="BH650" s="174"/>
      <c r="BI650" s="174"/>
      <c r="BJ650" s="174"/>
      <c r="BK650" s="174"/>
      <c r="BL650" s="174"/>
      <c r="BM650" s="174"/>
      <c r="BN650" s="174"/>
      <c r="BO650" s="174"/>
      <c r="BP650" s="174"/>
      <c r="BQ650" s="174"/>
      <c r="BR650" s="175"/>
      <c r="BS650" s="147"/>
    </row>
    <row r="651">
      <c r="I651" s="128"/>
      <c r="J651" s="129"/>
      <c r="K651" s="129"/>
      <c r="S651" s="170"/>
      <c r="T651" s="171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  <c r="AE651" s="172"/>
      <c r="AF651" s="172"/>
      <c r="AG651" s="172"/>
      <c r="AH651" s="172"/>
      <c r="AI651" s="172"/>
      <c r="AJ651" s="172"/>
      <c r="AK651" s="172"/>
      <c r="AL651" s="172"/>
      <c r="AM651" s="172"/>
      <c r="AN651" s="172"/>
      <c r="AO651" s="172"/>
      <c r="AP651" s="172"/>
      <c r="AQ651" s="172"/>
      <c r="AR651" s="172"/>
      <c r="AS651" s="172"/>
      <c r="AT651" s="173"/>
      <c r="AU651" s="174"/>
      <c r="AV651" s="174"/>
      <c r="AW651" s="174"/>
      <c r="AX651" s="174"/>
      <c r="AY651" s="174"/>
      <c r="AZ651" s="174"/>
      <c r="BA651" s="174"/>
      <c r="BB651" s="174"/>
      <c r="BC651" s="174"/>
      <c r="BD651" s="174"/>
      <c r="BE651" s="174"/>
      <c r="BF651" s="174"/>
      <c r="BG651" s="174"/>
      <c r="BH651" s="174"/>
      <c r="BI651" s="174"/>
      <c r="BJ651" s="174"/>
      <c r="BK651" s="174"/>
      <c r="BL651" s="174"/>
      <c r="BM651" s="174"/>
      <c r="BN651" s="174"/>
      <c r="BO651" s="174"/>
      <c r="BP651" s="174"/>
      <c r="BQ651" s="174"/>
      <c r="BR651" s="175"/>
      <c r="BS651" s="147"/>
    </row>
    <row r="652">
      <c r="I652" s="128"/>
      <c r="J652" s="129"/>
      <c r="K652" s="129"/>
      <c r="S652" s="170"/>
      <c r="T652" s="171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  <c r="AE652" s="172"/>
      <c r="AF652" s="172"/>
      <c r="AG652" s="172"/>
      <c r="AH652" s="172"/>
      <c r="AI652" s="172"/>
      <c r="AJ652" s="172"/>
      <c r="AK652" s="172"/>
      <c r="AL652" s="172"/>
      <c r="AM652" s="172"/>
      <c r="AN652" s="172"/>
      <c r="AO652" s="172"/>
      <c r="AP652" s="172"/>
      <c r="AQ652" s="172"/>
      <c r="AR652" s="172"/>
      <c r="AS652" s="172"/>
      <c r="AT652" s="173"/>
      <c r="AU652" s="174"/>
      <c r="AV652" s="174"/>
      <c r="AW652" s="174"/>
      <c r="AX652" s="174"/>
      <c r="AY652" s="174"/>
      <c r="AZ652" s="174"/>
      <c r="BA652" s="174"/>
      <c r="BB652" s="174"/>
      <c r="BC652" s="174"/>
      <c r="BD652" s="174"/>
      <c r="BE652" s="174"/>
      <c r="BF652" s="174"/>
      <c r="BG652" s="174"/>
      <c r="BH652" s="174"/>
      <c r="BI652" s="174"/>
      <c r="BJ652" s="174"/>
      <c r="BK652" s="174"/>
      <c r="BL652" s="174"/>
      <c r="BM652" s="174"/>
      <c r="BN652" s="174"/>
      <c r="BO652" s="174"/>
      <c r="BP652" s="174"/>
      <c r="BQ652" s="174"/>
      <c r="BR652" s="175"/>
      <c r="BS652" s="147"/>
    </row>
    <row r="653">
      <c r="I653" s="128"/>
      <c r="J653" s="129"/>
      <c r="K653" s="129"/>
      <c r="S653" s="170"/>
      <c r="T653" s="171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  <c r="AE653" s="172"/>
      <c r="AF653" s="172"/>
      <c r="AG653" s="172"/>
      <c r="AH653" s="172"/>
      <c r="AI653" s="172"/>
      <c r="AJ653" s="172"/>
      <c r="AK653" s="172"/>
      <c r="AL653" s="172"/>
      <c r="AM653" s="172"/>
      <c r="AN653" s="172"/>
      <c r="AO653" s="172"/>
      <c r="AP653" s="172"/>
      <c r="AQ653" s="172"/>
      <c r="AR653" s="172"/>
      <c r="AS653" s="172"/>
      <c r="AT653" s="173"/>
      <c r="AU653" s="174"/>
      <c r="AV653" s="174"/>
      <c r="AW653" s="174"/>
      <c r="AX653" s="174"/>
      <c r="AY653" s="174"/>
      <c r="AZ653" s="174"/>
      <c r="BA653" s="174"/>
      <c r="BB653" s="174"/>
      <c r="BC653" s="174"/>
      <c r="BD653" s="174"/>
      <c r="BE653" s="174"/>
      <c r="BF653" s="174"/>
      <c r="BG653" s="174"/>
      <c r="BH653" s="174"/>
      <c r="BI653" s="174"/>
      <c r="BJ653" s="174"/>
      <c r="BK653" s="174"/>
      <c r="BL653" s="174"/>
      <c r="BM653" s="174"/>
      <c r="BN653" s="174"/>
      <c r="BO653" s="174"/>
      <c r="BP653" s="174"/>
      <c r="BQ653" s="174"/>
      <c r="BR653" s="175"/>
      <c r="BS653" s="147"/>
    </row>
    <row r="654">
      <c r="I654" s="128"/>
      <c r="J654" s="129"/>
      <c r="K654" s="129"/>
      <c r="S654" s="170"/>
      <c r="T654" s="171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  <c r="AE654" s="172"/>
      <c r="AF654" s="172"/>
      <c r="AG654" s="172"/>
      <c r="AH654" s="172"/>
      <c r="AI654" s="172"/>
      <c r="AJ654" s="172"/>
      <c r="AK654" s="172"/>
      <c r="AL654" s="172"/>
      <c r="AM654" s="172"/>
      <c r="AN654" s="172"/>
      <c r="AO654" s="172"/>
      <c r="AP654" s="172"/>
      <c r="AQ654" s="172"/>
      <c r="AR654" s="172"/>
      <c r="AS654" s="172"/>
      <c r="AT654" s="173"/>
      <c r="AU654" s="174"/>
      <c r="AV654" s="174"/>
      <c r="AW654" s="174"/>
      <c r="AX654" s="174"/>
      <c r="AY654" s="174"/>
      <c r="AZ654" s="174"/>
      <c r="BA654" s="174"/>
      <c r="BB654" s="174"/>
      <c r="BC654" s="174"/>
      <c r="BD654" s="174"/>
      <c r="BE654" s="174"/>
      <c r="BF654" s="174"/>
      <c r="BG654" s="174"/>
      <c r="BH654" s="174"/>
      <c r="BI654" s="174"/>
      <c r="BJ654" s="174"/>
      <c r="BK654" s="174"/>
      <c r="BL654" s="174"/>
      <c r="BM654" s="174"/>
      <c r="BN654" s="174"/>
      <c r="BO654" s="174"/>
      <c r="BP654" s="174"/>
      <c r="BQ654" s="174"/>
      <c r="BR654" s="175"/>
      <c r="BS654" s="147"/>
    </row>
    <row r="655">
      <c r="I655" s="128"/>
      <c r="J655" s="129"/>
      <c r="K655" s="129"/>
      <c r="S655" s="170"/>
      <c r="T655" s="171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  <c r="AE655" s="172"/>
      <c r="AF655" s="172"/>
      <c r="AG655" s="172"/>
      <c r="AH655" s="172"/>
      <c r="AI655" s="172"/>
      <c r="AJ655" s="172"/>
      <c r="AK655" s="172"/>
      <c r="AL655" s="172"/>
      <c r="AM655" s="172"/>
      <c r="AN655" s="172"/>
      <c r="AO655" s="172"/>
      <c r="AP655" s="172"/>
      <c r="AQ655" s="172"/>
      <c r="AR655" s="172"/>
      <c r="AS655" s="172"/>
      <c r="AT655" s="173"/>
      <c r="AU655" s="174"/>
      <c r="AV655" s="174"/>
      <c r="AW655" s="174"/>
      <c r="AX655" s="174"/>
      <c r="AY655" s="174"/>
      <c r="AZ655" s="174"/>
      <c r="BA655" s="174"/>
      <c r="BB655" s="174"/>
      <c r="BC655" s="174"/>
      <c r="BD655" s="174"/>
      <c r="BE655" s="174"/>
      <c r="BF655" s="174"/>
      <c r="BG655" s="174"/>
      <c r="BH655" s="174"/>
      <c r="BI655" s="174"/>
      <c r="BJ655" s="174"/>
      <c r="BK655" s="174"/>
      <c r="BL655" s="174"/>
      <c r="BM655" s="174"/>
      <c r="BN655" s="174"/>
      <c r="BO655" s="174"/>
      <c r="BP655" s="174"/>
      <c r="BQ655" s="174"/>
      <c r="BR655" s="175"/>
      <c r="BS655" s="147"/>
    </row>
    <row r="656">
      <c r="I656" s="128"/>
      <c r="J656" s="129"/>
      <c r="K656" s="129"/>
      <c r="S656" s="170"/>
      <c r="T656" s="171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  <c r="AE656" s="172"/>
      <c r="AF656" s="172"/>
      <c r="AG656" s="172"/>
      <c r="AH656" s="172"/>
      <c r="AI656" s="172"/>
      <c r="AJ656" s="172"/>
      <c r="AK656" s="172"/>
      <c r="AL656" s="172"/>
      <c r="AM656" s="172"/>
      <c r="AN656" s="172"/>
      <c r="AO656" s="172"/>
      <c r="AP656" s="172"/>
      <c r="AQ656" s="172"/>
      <c r="AR656" s="172"/>
      <c r="AS656" s="172"/>
      <c r="AT656" s="173"/>
      <c r="AU656" s="174"/>
      <c r="AV656" s="174"/>
      <c r="AW656" s="174"/>
      <c r="AX656" s="174"/>
      <c r="AY656" s="174"/>
      <c r="AZ656" s="174"/>
      <c r="BA656" s="174"/>
      <c r="BB656" s="174"/>
      <c r="BC656" s="174"/>
      <c r="BD656" s="174"/>
      <c r="BE656" s="174"/>
      <c r="BF656" s="174"/>
      <c r="BG656" s="174"/>
      <c r="BH656" s="174"/>
      <c r="BI656" s="174"/>
      <c r="BJ656" s="174"/>
      <c r="BK656" s="174"/>
      <c r="BL656" s="174"/>
      <c r="BM656" s="174"/>
      <c r="BN656" s="174"/>
      <c r="BO656" s="174"/>
      <c r="BP656" s="174"/>
      <c r="BQ656" s="174"/>
      <c r="BR656" s="175"/>
      <c r="BS656" s="147"/>
    </row>
    <row r="657">
      <c r="I657" s="128"/>
      <c r="J657" s="129"/>
      <c r="K657" s="129"/>
      <c r="S657" s="170"/>
      <c r="T657" s="171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  <c r="AE657" s="172"/>
      <c r="AF657" s="172"/>
      <c r="AG657" s="172"/>
      <c r="AH657" s="172"/>
      <c r="AI657" s="172"/>
      <c r="AJ657" s="172"/>
      <c r="AK657" s="172"/>
      <c r="AL657" s="172"/>
      <c r="AM657" s="172"/>
      <c r="AN657" s="172"/>
      <c r="AO657" s="172"/>
      <c r="AP657" s="172"/>
      <c r="AQ657" s="172"/>
      <c r="AR657" s="172"/>
      <c r="AS657" s="172"/>
      <c r="AT657" s="173"/>
      <c r="AU657" s="174"/>
      <c r="AV657" s="174"/>
      <c r="AW657" s="174"/>
      <c r="AX657" s="174"/>
      <c r="AY657" s="174"/>
      <c r="AZ657" s="174"/>
      <c r="BA657" s="174"/>
      <c r="BB657" s="174"/>
      <c r="BC657" s="174"/>
      <c r="BD657" s="174"/>
      <c r="BE657" s="174"/>
      <c r="BF657" s="174"/>
      <c r="BG657" s="174"/>
      <c r="BH657" s="174"/>
      <c r="BI657" s="174"/>
      <c r="BJ657" s="174"/>
      <c r="BK657" s="174"/>
      <c r="BL657" s="174"/>
      <c r="BM657" s="174"/>
      <c r="BN657" s="174"/>
      <c r="BO657" s="174"/>
      <c r="BP657" s="174"/>
      <c r="BQ657" s="174"/>
      <c r="BR657" s="175"/>
      <c r="BS657" s="147"/>
    </row>
    <row r="658">
      <c r="I658" s="128"/>
      <c r="J658" s="129"/>
      <c r="K658" s="129"/>
      <c r="S658" s="170"/>
      <c r="T658" s="171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  <c r="AE658" s="172"/>
      <c r="AF658" s="172"/>
      <c r="AG658" s="172"/>
      <c r="AH658" s="172"/>
      <c r="AI658" s="172"/>
      <c r="AJ658" s="172"/>
      <c r="AK658" s="172"/>
      <c r="AL658" s="172"/>
      <c r="AM658" s="172"/>
      <c r="AN658" s="172"/>
      <c r="AO658" s="172"/>
      <c r="AP658" s="172"/>
      <c r="AQ658" s="172"/>
      <c r="AR658" s="172"/>
      <c r="AS658" s="172"/>
      <c r="AT658" s="173"/>
      <c r="AU658" s="174"/>
      <c r="AV658" s="174"/>
      <c r="AW658" s="174"/>
      <c r="AX658" s="174"/>
      <c r="AY658" s="174"/>
      <c r="AZ658" s="174"/>
      <c r="BA658" s="174"/>
      <c r="BB658" s="174"/>
      <c r="BC658" s="174"/>
      <c r="BD658" s="174"/>
      <c r="BE658" s="174"/>
      <c r="BF658" s="174"/>
      <c r="BG658" s="174"/>
      <c r="BH658" s="174"/>
      <c r="BI658" s="174"/>
      <c r="BJ658" s="174"/>
      <c r="BK658" s="174"/>
      <c r="BL658" s="174"/>
      <c r="BM658" s="174"/>
      <c r="BN658" s="174"/>
      <c r="BO658" s="174"/>
      <c r="BP658" s="174"/>
      <c r="BQ658" s="174"/>
      <c r="BR658" s="175"/>
      <c r="BS658" s="147"/>
    </row>
    <row r="659">
      <c r="I659" s="128"/>
      <c r="J659" s="129"/>
      <c r="K659" s="129"/>
      <c r="S659" s="170"/>
      <c r="T659" s="171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  <c r="AE659" s="172"/>
      <c r="AF659" s="172"/>
      <c r="AG659" s="172"/>
      <c r="AH659" s="172"/>
      <c r="AI659" s="172"/>
      <c r="AJ659" s="172"/>
      <c r="AK659" s="172"/>
      <c r="AL659" s="172"/>
      <c r="AM659" s="172"/>
      <c r="AN659" s="172"/>
      <c r="AO659" s="172"/>
      <c r="AP659" s="172"/>
      <c r="AQ659" s="172"/>
      <c r="AR659" s="172"/>
      <c r="AS659" s="172"/>
      <c r="AT659" s="173"/>
      <c r="AU659" s="174"/>
      <c r="AV659" s="174"/>
      <c r="AW659" s="174"/>
      <c r="AX659" s="174"/>
      <c r="AY659" s="174"/>
      <c r="AZ659" s="174"/>
      <c r="BA659" s="174"/>
      <c r="BB659" s="174"/>
      <c r="BC659" s="174"/>
      <c r="BD659" s="174"/>
      <c r="BE659" s="174"/>
      <c r="BF659" s="174"/>
      <c r="BG659" s="174"/>
      <c r="BH659" s="174"/>
      <c r="BI659" s="174"/>
      <c r="BJ659" s="174"/>
      <c r="BK659" s="174"/>
      <c r="BL659" s="174"/>
      <c r="BM659" s="174"/>
      <c r="BN659" s="174"/>
      <c r="BO659" s="174"/>
      <c r="BP659" s="174"/>
      <c r="BQ659" s="174"/>
      <c r="BR659" s="175"/>
      <c r="BS659" s="147"/>
    </row>
    <row r="660">
      <c r="I660" s="128"/>
      <c r="J660" s="129"/>
      <c r="K660" s="129"/>
      <c r="S660" s="170"/>
      <c r="T660" s="171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  <c r="AE660" s="172"/>
      <c r="AF660" s="172"/>
      <c r="AG660" s="172"/>
      <c r="AH660" s="172"/>
      <c r="AI660" s="172"/>
      <c r="AJ660" s="172"/>
      <c r="AK660" s="172"/>
      <c r="AL660" s="172"/>
      <c r="AM660" s="172"/>
      <c r="AN660" s="172"/>
      <c r="AO660" s="172"/>
      <c r="AP660" s="172"/>
      <c r="AQ660" s="172"/>
      <c r="AR660" s="172"/>
      <c r="AS660" s="172"/>
      <c r="AT660" s="173"/>
      <c r="AU660" s="174"/>
      <c r="AV660" s="174"/>
      <c r="AW660" s="174"/>
      <c r="AX660" s="174"/>
      <c r="AY660" s="174"/>
      <c r="AZ660" s="174"/>
      <c r="BA660" s="174"/>
      <c r="BB660" s="174"/>
      <c r="BC660" s="174"/>
      <c r="BD660" s="174"/>
      <c r="BE660" s="174"/>
      <c r="BF660" s="174"/>
      <c r="BG660" s="174"/>
      <c r="BH660" s="174"/>
      <c r="BI660" s="174"/>
      <c r="BJ660" s="174"/>
      <c r="BK660" s="174"/>
      <c r="BL660" s="174"/>
      <c r="BM660" s="174"/>
      <c r="BN660" s="174"/>
      <c r="BO660" s="174"/>
      <c r="BP660" s="174"/>
      <c r="BQ660" s="174"/>
      <c r="BR660" s="175"/>
      <c r="BS660" s="147"/>
    </row>
    <row r="661">
      <c r="I661" s="128"/>
      <c r="J661" s="129"/>
      <c r="K661" s="129"/>
      <c r="S661" s="170"/>
      <c r="T661" s="171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  <c r="AE661" s="172"/>
      <c r="AF661" s="172"/>
      <c r="AG661" s="172"/>
      <c r="AH661" s="172"/>
      <c r="AI661" s="172"/>
      <c r="AJ661" s="172"/>
      <c r="AK661" s="172"/>
      <c r="AL661" s="172"/>
      <c r="AM661" s="172"/>
      <c r="AN661" s="172"/>
      <c r="AO661" s="172"/>
      <c r="AP661" s="172"/>
      <c r="AQ661" s="172"/>
      <c r="AR661" s="172"/>
      <c r="AS661" s="172"/>
      <c r="AT661" s="173"/>
      <c r="AU661" s="174"/>
      <c r="AV661" s="174"/>
      <c r="AW661" s="174"/>
      <c r="AX661" s="174"/>
      <c r="AY661" s="174"/>
      <c r="AZ661" s="174"/>
      <c r="BA661" s="174"/>
      <c r="BB661" s="174"/>
      <c r="BC661" s="174"/>
      <c r="BD661" s="174"/>
      <c r="BE661" s="174"/>
      <c r="BF661" s="174"/>
      <c r="BG661" s="174"/>
      <c r="BH661" s="174"/>
      <c r="BI661" s="174"/>
      <c r="BJ661" s="174"/>
      <c r="BK661" s="174"/>
      <c r="BL661" s="174"/>
      <c r="BM661" s="174"/>
      <c r="BN661" s="174"/>
      <c r="BO661" s="174"/>
      <c r="BP661" s="174"/>
      <c r="BQ661" s="174"/>
      <c r="BR661" s="175"/>
      <c r="BS661" s="147"/>
    </row>
    <row r="662">
      <c r="I662" s="128"/>
      <c r="J662" s="129"/>
      <c r="K662" s="129"/>
      <c r="S662" s="170"/>
      <c r="T662" s="171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  <c r="AE662" s="172"/>
      <c r="AF662" s="172"/>
      <c r="AG662" s="172"/>
      <c r="AH662" s="172"/>
      <c r="AI662" s="172"/>
      <c r="AJ662" s="172"/>
      <c r="AK662" s="172"/>
      <c r="AL662" s="172"/>
      <c r="AM662" s="172"/>
      <c r="AN662" s="172"/>
      <c r="AO662" s="172"/>
      <c r="AP662" s="172"/>
      <c r="AQ662" s="172"/>
      <c r="AR662" s="172"/>
      <c r="AS662" s="172"/>
      <c r="AT662" s="173"/>
      <c r="AU662" s="174"/>
      <c r="AV662" s="174"/>
      <c r="AW662" s="174"/>
      <c r="AX662" s="174"/>
      <c r="AY662" s="174"/>
      <c r="AZ662" s="174"/>
      <c r="BA662" s="174"/>
      <c r="BB662" s="174"/>
      <c r="BC662" s="174"/>
      <c r="BD662" s="174"/>
      <c r="BE662" s="174"/>
      <c r="BF662" s="174"/>
      <c r="BG662" s="174"/>
      <c r="BH662" s="174"/>
      <c r="BI662" s="174"/>
      <c r="BJ662" s="174"/>
      <c r="BK662" s="174"/>
      <c r="BL662" s="174"/>
      <c r="BM662" s="174"/>
      <c r="BN662" s="174"/>
      <c r="BO662" s="174"/>
      <c r="BP662" s="174"/>
      <c r="BQ662" s="174"/>
      <c r="BR662" s="175"/>
      <c r="BS662" s="147"/>
    </row>
    <row r="663">
      <c r="I663" s="128"/>
      <c r="J663" s="129"/>
      <c r="K663" s="129"/>
      <c r="S663" s="170"/>
      <c r="T663" s="171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  <c r="AE663" s="172"/>
      <c r="AF663" s="172"/>
      <c r="AG663" s="172"/>
      <c r="AH663" s="172"/>
      <c r="AI663" s="172"/>
      <c r="AJ663" s="172"/>
      <c r="AK663" s="172"/>
      <c r="AL663" s="172"/>
      <c r="AM663" s="172"/>
      <c r="AN663" s="172"/>
      <c r="AO663" s="172"/>
      <c r="AP663" s="172"/>
      <c r="AQ663" s="172"/>
      <c r="AR663" s="172"/>
      <c r="AS663" s="172"/>
      <c r="AT663" s="173"/>
      <c r="AU663" s="174"/>
      <c r="AV663" s="174"/>
      <c r="AW663" s="174"/>
      <c r="AX663" s="174"/>
      <c r="AY663" s="174"/>
      <c r="AZ663" s="174"/>
      <c r="BA663" s="174"/>
      <c r="BB663" s="174"/>
      <c r="BC663" s="174"/>
      <c r="BD663" s="174"/>
      <c r="BE663" s="174"/>
      <c r="BF663" s="174"/>
      <c r="BG663" s="174"/>
      <c r="BH663" s="174"/>
      <c r="BI663" s="174"/>
      <c r="BJ663" s="174"/>
      <c r="BK663" s="174"/>
      <c r="BL663" s="174"/>
      <c r="BM663" s="174"/>
      <c r="BN663" s="174"/>
      <c r="BO663" s="174"/>
      <c r="BP663" s="174"/>
      <c r="BQ663" s="174"/>
      <c r="BR663" s="175"/>
      <c r="BS663" s="147"/>
    </row>
    <row r="664">
      <c r="I664" s="128"/>
      <c r="J664" s="129"/>
      <c r="K664" s="129"/>
      <c r="S664" s="170"/>
      <c r="T664" s="171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  <c r="AE664" s="172"/>
      <c r="AF664" s="172"/>
      <c r="AG664" s="172"/>
      <c r="AH664" s="172"/>
      <c r="AI664" s="172"/>
      <c r="AJ664" s="172"/>
      <c r="AK664" s="172"/>
      <c r="AL664" s="172"/>
      <c r="AM664" s="172"/>
      <c r="AN664" s="172"/>
      <c r="AO664" s="172"/>
      <c r="AP664" s="172"/>
      <c r="AQ664" s="172"/>
      <c r="AR664" s="172"/>
      <c r="AS664" s="172"/>
      <c r="AT664" s="173"/>
      <c r="AU664" s="174"/>
      <c r="AV664" s="174"/>
      <c r="AW664" s="174"/>
      <c r="AX664" s="174"/>
      <c r="AY664" s="174"/>
      <c r="AZ664" s="174"/>
      <c r="BA664" s="174"/>
      <c r="BB664" s="174"/>
      <c r="BC664" s="174"/>
      <c r="BD664" s="174"/>
      <c r="BE664" s="174"/>
      <c r="BF664" s="174"/>
      <c r="BG664" s="174"/>
      <c r="BH664" s="174"/>
      <c r="BI664" s="174"/>
      <c r="BJ664" s="174"/>
      <c r="BK664" s="174"/>
      <c r="BL664" s="174"/>
      <c r="BM664" s="174"/>
      <c r="BN664" s="174"/>
      <c r="BO664" s="174"/>
      <c r="BP664" s="174"/>
      <c r="BQ664" s="174"/>
      <c r="BR664" s="175"/>
      <c r="BS664" s="147"/>
    </row>
    <row r="665">
      <c r="I665" s="128"/>
      <c r="J665" s="129"/>
      <c r="K665" s="129"/>
      <c r="S665" s="170"/>
      <c r="T665" s="171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  <c r="AE665" s="172"/>
      <c r="AF665" s="172"/>
      <c r="AG665" s="172"/>
      <c r="AH665" s="172"/>
      <c r="AI665" s="172"/>
      <c r="AJ665" s="172"/>
      <c r="AK665" s="172"/>
      <c r="AL665" s="172"/>
      <c r="AM665" s="172"/>
      <c r="AN665" s="172"/>
      <c r="AO665" s="172"/>
      <c r="AP665" s="172"/>
      <c r="AQ665" s="172"/>
      <c r="AR665" s="172"/>
      <c r="AS665" s="172"/>
      <c r="AT665" s="173"/>
      <c r="AU665" s="174"/>
      <c r="AV665" s="174"/>
      <c r="AW665" s="174"/>
      <c r="AX665" s="174"/>
      <c r="AY665" s="174"/>
      <c r="AZ665" s="174"/>
      <c r="BA665" s="174"/>
      <c r="BB665" s="174"/>
      <c r="BC665" s="174"/>
      <c r="BD665" s="174"/>
      <c r="BE665" s="174"/>
      <c r="BF665" s="174"/>
      <c r="BG665" s="174"/>
      <c r="BH665" s="174"/>
      <c r="BI665" s="174"/>
      <c r="BJ665" s="174"/>
      <c r="BK665" s="174"/>
      <c r="BL665" s="174"/>
      <c r="BM665" s="174"/>
      <c r="BN665" s="174"/>
      <c r="BO665" s="174"/>
      <c r="BP665" s="174"/>
      <c r="BQ665" s="174"/>
      <c r="BR665" s="175"/>
      <c r="BS665" s="147"/>
    </row>
    <row r="666">
      <c r="I666" s="128"/>
      <c r="J666" s="129"/>
      <c r="K666" s="129"/>
      <c r="S666" s="170"/>
      <c r="T666" s="171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  <c r="AE666" s="172"/>
      <c r="AF666" s="172"/>
      <c r="AG666" s="172"/>
      <c r="AH666" s="172"/>
      <c r="AI666" s="172"/>
      <c r="AJ666" s="172"/>
      <c r="AK666" s="172"/>
      <c r="AL666" s="172"/>
      <c r="AM666" s="172"/>
      <c r="AN666" s="172"/>
      <c r="AO666" s="172"/>
      <c r="AP666" s="172"/>
      <c r="AQ666" s="172"/>
      <c r="AR666" s="172"/>
      <c r="AS666" s="172"/>
      <c r="AT666" s="173"/>
      <c r="AU666" s="174"/>
      <c r="AV666" s="174"/>
      <c r="AW666" s="174"/>
      <c r="AX666" s="174"/>
      <c r="AY666" s="174"/>
      <c r="AZ666" s="174"/>
      <c r="BA666" s="174"/>
      <c r="BB666" s="174"/>
      <c r="BC666" s="174"/>
      <c r="BD666" s="174"/>
      <c r="BE666" s="174"/>
      <c r="BF666" s="174"/>
      <c r="BG666" s="174"/>
      <c r="BH666" s="174"/>
      <c r="BI666" s="174"/>
      <c r="BJ666" s="174"/>
      <c r="BK666" s="174"/>
      <c r="BL666" s="174"/>
      <c r="BM666" s="174"/>
      <c r="BN666" s="174"/>
      <c r="BO666" s="174"/>
      <c r="BP666" s="174"/>
      <c r="BQ666" s="174"/>
      <c r="BR666" s="175"/>
      <c r="BS666" s="147"/>
    </row>
    <row r="667">
      <c r="I667" s="128"/>
      <c r="J667" s="129"/>
      <c r="K667" s="129"/>
      <c r="S667" s="170"/>
      <c r="T667" s="171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  <c r="AE667" s="172"/>
      <c r="AF667" s="172"/>
      <c r="AG667" s="172"/>
      <c r="AH667" s="172"/>
      <c r="AI667" s="172"/>
      <c r="AJ667" s="172"/>
      <c r="AK667" s="172"/>
      <c r="AL667" s="172"/>
      <c r="AM667" s="172"/>
      <c r="AN667" s="172"/>
      <c r="AO667" s="172"/>
      <c r="AP667" s="172"/>
      <c r="AQ667" s="172"/>
      <c r="AR667" s="172"/>
      <c r="AS667" s="172"/>
      <c r="AT667" s="173"/>
      <c r="AU667" s="174"/>
      <c r="AV667" s="174"/>
      <c r="AW667" s="174"/>
      <c r="AX667" s="174"/>
      <c r="AY667" s="174"/>
      <c r="AZ667" s="174"/>
      <c r="BA667" s="174"/>
      <c r="BB667" s="174"/>
      <c r="BC667" s="174"/>
      <c r="BD667" s="174"/>
      <c r="BE667" s="174"/>
      <c r="BF667" s="174"/>
      <c r="BG667" s="174"/>
      <c r="BH667" s="174"/>
      <c r="BI667" s="174"/>
      <c r="BJ667" s="174"/>
      <c r="BK667" s="174"/>
      <c r="BL667" s="174"/>
      <c r="BM667" s="174"/>
      <c r="BN667" s="174"/>
      <c r="BO667" s="174"/>
      <c r="BP667" s="174"/>
      <c r="BQ667" s="174"/>
      <c r="BR667" s="175"/>
      <c r="BS667" s="147"/>
    </row>
    <row r="668">
      <c r="I668" s="128"/>
      <c r="J668" s="129"/>
      <c r="K668" s="129"/>
      <c r="S668" s="170"/>
      <c r="T668" s="171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  <c r="AE668" s="172"/>
      <c r="AF668" s="172"/>
      <c r="AG668" s="172"/>
      <c r="AH668" s="172"/>
      <c r="AI668" s="172"/>
      <c r="AJ668" s="172"/>
      <c r="AK668" s="172"/>
      <c r="AL668" s="172"/>
      <c r="AM668" s="172"/>
      <c r="AN668" s="172"/>
      <c r="AO668" s="172"/>
      <c r="AP668" s="172"/>
      <c r="AQ668" s="172"/>
      <c r="AR668" s="172"/>
      <c r="AS668" s="172"/>
      <c r="AT668" s="173"/>
      <c r="AU668" s="174"/>
      <c r="AV668" s="174"/>
      <c r="AW668" s="174"/>
      <c r="AX668" s="174"/>
      <c r="AY668" s="174"/>
      <c r="AZ668" s="174"/>
      <c r="BA668" s="174"/>
      <c r="BB668" s="174"/>
      <c r="BC668" s="174"/>
      <c r="BD668" s="174"/>
      <c r="BE668" s="174"/>
      <c r="BF668" s="174"/>
      <c r="BG668" s="174"/>
      <c r="BH668" s="174"/>
      <c r="BI668" s="174"/>
      <c r="BJ668" s="174"/>
      <c r="BK668" s="174"/>
      <c r="BL668" s="174"/>
      <c r="BM668" s="174"/>
      <c r="BN668" s="174"/>
      <c r="BO668" s="174"/>
      <c r="BP668" s="174"/>
      <c r="BQ668" s="174"/>
      <c r="BR668" s="175"/>
      <c r="BS668" s="147"/>
    </row>
    <row r="669">
      <c r="I669" s="128"/>
      <c r="J669" s="129"/>
      <c r="K669" s="129"/>
      <c r="S669" s="170"/>
      <c r="T669" s="171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  <c r="AE669" s="172"/>
      <c r="AF669" s="172"/>
      <c r="AG669" s="172"/>
      <c r="AH669" s="172"/>
      <c r="AI669" s="172"/>
      <c r="AJ669" s="172"/>
      <c r="AK669" s="172"/>
      <c r="AL669" s="172"/>
      <c r="AM669" s="172"/>
      <c r="AN669" s="172"/>
      <c r="AO669" s="172"/>
      <c r="AP669" s="172"/>
      <c r="AQ669" s="172"/>
      <c r="AR669" s="172"/>
      <c r="AS669" s="172"/>
      <c r="AT669" s="173"/>
      <c r="AU669" s="174"/>
      <c r="AV669" s="174"/>
      <c r="AW669" s="174"/>
      <c r="AX669" s="174"/>
      <c r="AY669" s="174"/>
      <c r="AZ669" s="174"/>
      <c r="BA669" s="174"/>
      <c r="BB669" s="174"/>
      <c r="BC669" s="174"/>
      <c r="BD669" s="174"/>
      <c r="BE669" s="174"/>
      <c r="BF669" s="174"/>
      <c r="BG669" s="174"/>
      <c r="BH669" s="174"/>
      <c r="BI669" s="174"/>
      <c r="BJ669" s="174"/>
      <c r="BK669" s="174"/>
      <c r="BL669" s="174"/>
      <c r="BM669" s="174"/>
      <c r="BN669" s="174"/>
      <c r="BO669" s="174"/>
      <c r="BP669" s="174"/>
      <c r="BQ669" s="174"/>
      <c r="BR669" s="175"/>
      <c r="BS669" s="147"/>
    </row>
    <row r="670">
      <c r="I670" s="128"/>
      <c r="J670" s="129"/>
      <c r="K670" s="129"/>
      <c r="S670" s="170"/>
      <c r="T670" s="171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  <c r="AE670" s="172"/>
      <c r="AF670" s="172"/>
      <c r="AG670" s="172"/>
      <c r="AH670" s="172"/>
      <c r="AI670" s="172"/>
      <c r="AJ670" s="172"/>
      <c r="AK670" s="172"/>
      <c r="AL670" s="172"/>
      <c r="AM670" s="172"/>
      <c r="AN670" s="172"/>
      <c r="AO670" s="172"/>
      <c r="AP670" s="172"/>
      <c r="AQ670" s="172"/>
      <c r="AR670" s="172"/>
      <c r="AS670" s="172"/>
      <c r="AT670" s="173"/>
      <c r="AU670" s="174"/>
      <c r="AV670" s="174"/>
      <c r="AW670" s="174"/>
      <c r="AX670" s="174"/>
      <c r="AY670" s="174"/>
      <c r="AZ670" s="174"/>
      <c r="BA670" s="174"/>
      <c r="BB670" s="174"/>
      <c r="BC670" s="174"/>
      <c r="BD670" s="174"/>
      <c r="BE670" s="174"/>
      <c r="BF670" s="174"/>
      <c r="BG670" s="174"/>
      <c r="BH670" s="174"/>
      <c r="BI670" s="174"/>
      <c r="BJ670" s="174"/>
      <c r="BK670" s="174"/>
      <c r="BL670" s="174"/>
      <c r="BM670" s="174"/>
      <c r="BN670" s="174"/>
      <c r="BO670" s="174"/>
      <c r="BP670" s="174"/>
      <c r="BQ670" s="174"/>
      <c r="BR670" s="175"/>
      <c r="BS670" s="147"/>
    </row>
    <row r="671">
      <c r="I671" s="128"/>
      <c r="J671" s="129"/>
      <c r="K671" s="129"/>
      <c r="S671" s="170"/>
      <c r="T671" s="171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  <c r="AE671" s="172"/>
      <c r="AF671" s="172"/>
      <c r="AG671" s="172"/>
      <c r="AH671" s="172"/>
      <c r="AI671" s="172"/>
      <c r="AJ671" s="172"/>
      <c r="AK671" s="172"/>
      <c r="AL671" s="172"/>
      <c r="AM671" s="172"/>
      <c r="AN671" s="172"/>
      <c r="AO671" s="172"/>
      <c r="AP671" s="172"/>
      <c r="AQ671" s="172"/>
      <c r="AR671" s="172"/>
      <c r="AS671" s="172"/>
      <c r="AT671" s="173"/>
      <c r="AU671" s="174"/>
      <c r="AV671" s="174"/>
      <c r="AW671" s="174"/>
      <c r="AX671" s="174"/>
      <c r="AY671" s="174"/>
      <c r="AZ671" s="174"/>
      <c r="BA671" s="174"/>
      <c r="BB671" s="174"/>
      <c r="BC671" s="174"/>
      <c r="BD671" s="174"/>
      <c r="BE671" s="174"/>
      <c r="BF671" s="174"/>
      <c r="BG671" s="174"/>
      <c r="BH671" s="174"/>
      <c r="BI671" s="174"/>
      <c r="BJ671" s="174"/>
      <c r="BK671" s="174"/>
      <c r="BL671" s="174"/>
      <c r="BM671" s="174"/>
      <c r="BN671" s="174"/>
      <c r="BO671" s="174"/>
      <c r="BP671" s="174"/>
      <c r="BQ671" s="174"/>
      <c r="BR671" s="175"/>
      <c r="BS671" s="147"/>
    </row>
    <row r="672">
      <c r="I672" s="128"/>
      <c r="J672" s="129"/>
      <c r="K672" s="129"/>
      <c r="S672" s="170"/>
      <c r="T672" s="171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  <c r="AE672" s="172"/>
      <c r="AF672" s="172"/>
      <c r="AG672" s="172"/>
      <c r="AH672" s="172"/>
      <c r="AI672" s="172"/>
      <c r="AJ672" s="172"/>
      <c r="AK672" s="172"/>
      <c r="AL672" s="172"/>
      <c r="AM672" s="172"/>
      <c r="AN672" s="172"/>
      <c r="AO672" s="172"/>
      <c r="AP672" s="172"/>
      <c r="AQ672" s="172"/>
      <c r="AR672" s="172"/>
      <c r="AS672" s="172"/>
      <c r="AT672" s="173"/>
      <c r="AU672" s="174"/>
      <c r="AV672" s="174"/>
      <c r="AW672" s="174"/>
      <c r="AX672" s="174"/>
      <c r="AY672" s="174"/>
      <c r="AZ672" s="174"/>
      <c r="BA672" s="174"/>
      <c r="BB672" s="174"/>
      <c r="BC672" s="174"/>
      <c r="BD672" s="174"/>
      <c r="BE672" s="174"/>
      <c r="BF672" s="174"/>
      <c r="BG672" s="174"/>
      <c r="BH672" s="174"/>
      <c r="BI672" s="174"/>
      <c r="BJ672" s="174"/>
      <c r="BK672" s="174"/>
      <c r="BL672" s="174"/>
      <c r="BM672" s="174"/>
      <c r="BN672" s="174"/>
      <c r="BO672" s="174"/>
      <c r="BP672" s="174"/>
      <c r="BQ672" s="174"/>
      <c r="BR672" s="175"/>
      <c r="BS672" s="147"/>
    </row>
    <row r="673">
      <c r="I673" s="128"/>
      <c r="J673" s="129"/>
      <c r="K673" s="129"/>
      <c r="S673" s="170"/>
      <c r="T673" s="171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  <c r="AE673" s="172"/>
      <c r="AF673" s="172"/>
      <c r="AG673" s="172"/>
      <c r="AH673" s="172"/>
      <c r="AI673" s="172"/>
      <c r="AJ673" s="172"/>
      <c r="AK673" s="172"/>
      <c r="AL673" s="172"/>
      <c r="AM673" s="172"/>
      <c r="AN673" s="172"/>
      <c r="AO673" s="172"/>
      <c r="AP673" s="172"/>
      <c r="AQ673" s="172"/>
      <c r="AR673" s="172"/>
      <c r="AS673" s="172"/>
      <c r="AT673" s="173"/>
      <c r="AU673" s="174"/>
      <c r="AV673" s="174"/>
      <c r="AW673" s="174"/>
      <c r="AX673" s="174"/>
      <c r="AY673" s="174"/>
      <c r="AZ673" s="174"/>
      <c r="BA673" s="174"/>
      <c r="BB673" s="174"/>
      <c r="BC673" s="174"/>
      <c r="BD673" s="174"/>
      <c r="BE673" s="174"/>
      <c r="BF673" s="174"/>
      <c r="BG673" s="174"/>
      <c r="BH673" s="174"/>
      <c r="BI673" s="174"/>
      <c r="BJ673" s="174"/>
      <c r="BK673" s="174"/>
      <c r="BL673" s="174"/>
      <c r="BM673" s="174"/>
      <c r="BN673" s="174"/>
      <c r="BO673" s="174"/>
      <c r="BP673" s="174"/>
      <c r="BQ673" s="174"/>
      <c r="BR673" s="175"/>
      <c r="BS673" s="147"/>
    </row>
    <row r="674">
      <c r="I674" s="128"/>
      <c r="J674" s="129"/>
      <c r="K674" s="129"/>
      <c r="S674" s="170"/>
      <c r="T674" s="171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  <c r="AE674" s="172"/>
      <c r="AF674" s="172"/>
      <c r="AG674" s="172"/>
      <c r="AH674" s="172"/>
      <c r="AI674" s="172"/>
      <c r="AJ674" s="172"/>
      <c r="AK674" s="172"/>
      <c r="AL674" s="172"/>
      <c r="AM674" s="172"/>
      <c r="AN674" s="172"/>
      <c r="AO674" s="172"/>
      <c r="AP674" s="172"/>
      <c r="AQ674" s="172"/>
      <c r="AR674" s="172"/>
      <c r="AS674" s="172"/>
      <c r="AT674" s="173"/>
      <c r="AU674" s="174"/>
      <c r="AV674" s="174"/>
      <c r="AW674" s="174"/>
      <c r="AX674" s="174"/>
      <c r="AY674" s="174"/>
      <c r="AZ674" s="174"/>
      <c r="BA674" s="174"/>
      <c r="BB674" s="174"/>
      <c r="BC674" s="174"/>
      <c r="BD674" s="174"/>
      <c r="BE674" s="174"/>
      <c r="BF674" s="174"/>
      <c r="BG674" s="174"/>
      <c r="BH674" s="174"/>
      <c r="BI674" s="174"/>
      <c r="BJ674" s="174"/>
      <c r="BK674" s="174"/>
      <c r="BL674" s="174"/>
      <c r="BM674" s="174"/>
      <c r="BN674" s="174"/>
      <c r="BO674" s="174"/>
      <c r="BP674" s="174"/>
      <c r="BQ674" s="174"/>
      <c r="BR674" s="175"/>
      <c r="BS674" s="147"/>
    </row>
    <row r="675">
      <c r="I675" s="128"/>
      <c r="J675" s="129"/>
      <c r="K675" s="129"/>
      <c r="S675" s="170"/>
      <c r="T675" s="171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  <c r="AE675" s="172"/>
      <c r="AF675" s="172"/>
      <c r="AG675" s="172"/>
      <c r="AH675" s="172"/>
      <c r="AI675" s="172"/>
      <c r="AJ675" s="172"/>
      <c r="AK675" s="172"/>
      <c r="AL675" s="172"/>
      <c r="AM675" s="172"/>
      <c r="AN675" s="172"/>
      <c r="AO675" s="172"/>
      <c r="AP675" s="172"/>
      <c r="AQ675" s="172"/>
      <c r="AR675" s="172"/>
      <c r="AS675" s="172"/>
      <c r="AT675" s="173"/>
      <c r="AU675" s="174"/>
      <c r="AV675" s="174"/>
      <c r="AW675" s="174"/>
      <c r="AX675" s="174"/>
      <c r="AY675" s="174"/>
      <c r="AZ675" s="174"/>
      <c r="BA675" s="174"/>
      <c r="BB675" s="174"/>
      <c r="BC675" s="174"/>
      <c r="BD675" s="174"/>
      <c r="BE675" s="174"/>
      <c r="BF675" s="174"/>
      <c r="BG675" s="174"/>
      <c r="BH675" s="174"/>
      <c r="BI675" s="174"/>
      <c r="BJ675" s="174"/>
      <c r="BK675" s="174"/>
      <c r="BL675" s="174"/>
      <c r="BM675" s="174"/>
      <c r="BN675" s="174"/>
      <c r="BO675" s="174"/>
      <c r="BP675" s="174"/>
      <c r="BQ675" s="174"/>
      <c r="BR675" s="175"/>
      <c r="BS675" s="147"/>
    </row>
    <row r="676">
      <c r="I676" s="128"/>
      <c r="J676" s="129"/>
      <c r="K676" s="129"/>
      <c r="S676" s="170"/>
      <c r="T676" s="171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  <c r="AE676" s="172"/>
      <c r="AF676" s="172"/>
      <c r="AG676" s="172"/>
      <c r="AH676" s="172"/>
      <c r="AI676" s="172"/>
      <c r="AJ676" s="172"/>
      <c r="AK676" s="172"/>
      <c r="AL676" s="172"/>
      <c r="AM676" s="172"/>
      <c r="AN676" s="172"/>
      <c r="AO676" s="172"/>
      <c r="AP676" s="172"/>
      <c r="AQ676" s="172"/>
      <c r="AR676" s="172"/>
      <c r="AS676" s="172"/>
      <c r="AT676" s="173"/>
      <c r="AU676" s="174"/>
      <c r="AV676" s="174"/>
      <c r="AW676" s="174"/>
      <c r="AX676" s="174"/>
      <c r="AY676" s="174"/>
      <c r="AZ676" s="174"/>
      <c r="BA676" s="174"/>
      <c r="BB676" s="174"/>
      <c r="BC676" s="174"/>
      <c r="BD676" s="174"/>
      <c r="BE676" s="174"/>
      <c r="BF676" s="174"/>
      <c r="BG676" s="174"/>
      <c r="BH676" s="174"/>
      <c r="BI676" s="174"/>
      <c r="BJ676" s="174"/>
      <c r="BK676" s="174"/>
      <c r="BL676" s="174"/>
      <c r="BM676" s="174"/>
      <c r="BN676" s="174"/>
      <c r="BO676" s="174"/>
      <c r="BP676" s="174"/>
      <c r="BQ676" s="174"/>
      <c r="BR676" s="175"/>
      <c r="BS676" s="147"/>
    </row>
    <row r="677">
      <c r="I677" s="128"/>
      <c r="J677" s="129"/>
      <c r="K677" s="129"/>
      <c r="S677" s="170"/>
      <c r="T677" s="171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  <c r="AE677" s="172"/>
      <c r="AF677" s="172"/>
      <c r="AG677" s="172"/>
      <c r="AH677" s="172"/>
      <c r="AI677" s="172"/>
      <c r="AJ677" s="172"/>
      <c r="AK677" s="172"/>
      <c r="AL677" s="172"/>
      <c r="AM677" s="172"/>
      <c r="AN677" s="172"/>
      <c r="AO677" s="172"/>
      <c r="AP677" s="172"/>
      <c r="AQ677" s="172"/>
      <c r="AR677" s="172"/>
      <c r="AS677" s="172"/>
      <c r="AT677" s="173"/>
      <c r="AU677" s="174"/>
      <c r="AV677" s="174"/>
      <c r="AW677" s="174"/>
      <c r="AX677" s="174"/>
      <c r="AY677" s="174"/>
      <c r="AZ677" s="174"/>
      <c r="BA677" s="174"/>
      <c r="BB677" s="174"/>
      <c r="BC677" s="174"/>
      <c r="BD677" s="174"/>
      <c r="BE677" s="174"/>
      <c r="BF677" s="174"/>
      <c r="BG677" s="174"/>
      <c r="BH677" s="174"/>
      <c r="BI677" s="174"/>
      <c r="BJ677" s="174"/>
      <c r="BK677" s="174"/>
      <c r="BL677" s="174"/>
      <c r="BM677" s="174"/>
      <c r="BN677" s="174"/>
      <c r="BO677" s="174"/>
      <c r="BP677" s="174"/>
      <c r="BQ677" s="174"/>
      <c r="BR677" s="175"/>
      <c r="BS677" s="147"/>
    </row>
    <row r="678">
      <c r="I678" s="128"/>
      <c r="J678" s="129"/>
      <c r="K678" s="129"/>
      <c r="S678" s="170"/>
      <c r="T678" s="171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  <c r="AE678" s="172"/>
      <c r="AF678" s="172"/>
      <c r="AG678" s="172"/>
      <c r="AH678" s="172"/>
      <c r="AI678" s="172"/>
      <c r="AJ678" s="172"/>
      <c r="AK678" s="172"/>
      <c r="AL678" s="172"/>
      <c r="AM678" s="172"/>
      <c r="AN678" s="172"/>
      <c r="AO678" s="172"/>
      <c r="AP678" s="172"/>
      <c r="AQ678" s="172"/>
      <c r="AR678" s="172"/>
      <c r="AS678" s="172"/>
      <c r="AT678" s="173"/>
      <c r="AU678" s="174"/>
      <c r="AV678" s="174"/>
      <c r="AW678" s="174"/>
      <c r="AX678" s="174"/>
      <c r="AY678" s="174"/>
      <c r="AZ678" s="174"/>
      <c r="BA678" s="174"/>
      <c r="BB678" s="174"/>
      <c r="BC678" s="174"/>
      <c r="BD678" s="174"/>
      <c r="BE678" s="174"/>
      <c r="BF678" s="174"/>
      <c r="BG678" s="174"/>
      <c r="BH678" s="174"/>
      <c r="BI678" s="174"/>
      <c r="BJ678" s="174"/>
      <c r="BK678" s="174"/>
      <c r="BL678" s="174"/>
      <c r="BM678" s="174"/>
      <c r="BN678" s="174"/>
      <c r="BO678" s="174"/>
      <c r="BP678" s="174"/>
      <c r="BQ678" s="174"/>
      <c r="BR678" s="175"/>
      <c r="BS678" s="147"/>
    </row>
    <row r="679">
      <c r="I679" s="128"/>
      <c r="J679" s="129"/>
      <c r="K679" s="129"/>
      <c r="S679" s="170"/>
      <c r="T679" s="171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  <c r="AE679" s="172"/>
      <c r="AF679" s="172"/>
      <c r="AG679" s="172"/>
      <c r="AH679" s="172"/>
      <c r="AI679" s="172"/>
      <c r="AJ679" s="172"/>
      <c r="AK679" s="172"/>
      <c r="AL679" s="172"/>
      <c r="AM679" s="172"/>
      <c r="AN679" s="172"/>
      <c r="AO679" s="172"/>
      <c r="AP679" s="172"/>
      <c r="AQ679" s="172"/>
      <c r="AR679" s="172"/>
      <c r="AS679" s="172"/>
      <c r="AT679" s="173"/>
      <c r="AU679" s="174"/>
      <c r="AV679" s="174"/>
      <c r="AW679" s="174"/>
      <c r="AX679" s="174"/>
      <c r="AY679" s="174"/>
      <c r="AZ679" s="174"/>
      <c r="BA679" s="174"/>
      <c r="BB679" s="174"/>
      <c r="BC679" s="174"/>
      <c r="BD679" s="174"/>
      <c r="BE679" s="174"/>
      <c r="BF679" s="174"/>
      <c r="BG679" s="174"/>
      <c r="BH679" s="174"/>
      <c r="BI679" s="174"/>
      <c r="BJ679" s="174"/>
      <c r="BK679" s="174"/>
      <c r="BL679" s="174"/>
      <c r="BM679" s="174"/>
      <c r="BN679" s="174"/>
      <c r="BO679" s="174"/>
      <c r="BP679" s="174"/>
      <c r="BQ679" s="174"/>
      <c r="BR679" s="175"/>
      <c r="BS679" s="147"/>
    </row>
    <row r="680">
      <c r="I680" s="128"/>
      <c r="J680" s="129"/>
      <c r="K680" s="129"/>
      <c r="S680" s="170"/>
      <c r="T680" s="171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  <c r="AE680" s="172"/>
      <c r="AF680" s="172"/>
      <c r="AG680" s="172"/>
      <c r="AH680" s="172"/>
      <c r="AI680" s="172"/>
      <c r="AJ680" s="172"/>
      <c r="AK680" s="172"/>
      <c r="AL680" s="172"/>
      <c r="AM680" s="172"/>
      <c r="AN680" s="172"/>
      <c r="AO680" s="172"/>
      <c r="AP680" s="172"/>
      <c r="AQ680" s="172"/>
      <c r="AR680" s="172"/>
      <c r="AS680" s="172"/>
      <c r="AT680" s="173"/>
      <c r="AU680" s="174"/>
      <c r="AV680" s="174"/>
      <c r="AW680" s="174"/>
      <c r="AX680" s="174"/>
      <c r="AY680" s="174"/>
      <c r="AZ680" s="174"/>
      <c r="BA680" s="174"/>
      <c r="BB680" s="174"/>
      <c r="BC680" s="174"/>
      <c r="BD680" s="174"/>
      <c r="BE680" s="174"/>
      <c r="BF680" s="174"/>
      <c r="BG680" s="174"/>
      <c r="BH680" s="174"/>
      <c r="BI680" s="174"/>
      <c r="BJ680" s="174"/>
      <c r="BK680" s="174"/>
      <c r="BL680" s="174"/>
      <c r="BM680" s="174"/>
      <c r="BN680" s="174"/>
      <c r="BO680" s="174"/>
      <c r="BP680" s="174"/>
      <c r="BQ680" s="174"/>
      <c r="BR680" s="175"/>
      <c r="BS680" s="147"/>
    </row>
    <row r="681">
      <c r="I681" s="128"/>
      <c r="J681" s="129"/>
      <c r="K681" s="129"/>
      <c r="S681" s="170"/>
      <c r="T681" s="171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  <c r="AE681" s="172"/>
      <c r="AF681" s="172"/>
      <c r="AG681" s="172"/>
      <c r="AH681" s="172"/>
      <c r="AI681" s="172"/>
      <c r="AJ681" s="172"/>
      <c r="AK681" s="172"/>
      <c r="AL681" s="172"/>
      <c r="AM681" s="172"/>
      <c r="AN681" s="172"/>
      <c r="AO681" s="172"/>
      <c r="AP681" s="172"/>
      <c r="AQ681" s="172"/>
      <c r="AR681" s="172"/>
      <c r="AS681" s="172"/>
      <c r="AT681" s="173"/>
      <c r="AU681" s="174"/>
      <c r="AV681" s="174"/>
      <c r="AW681" s="174"/>
      <c r="AX681" s="174"/>
      <c r="AY681" s="174"/>
      <c r="AZ681" s="174"/>
      <c r="BA681" s="174"/>
      <c r="BB681" s="174"/>
      <c r="BC681" s="174"/>
      <c r="BD681" s="174"/>
      <c r="BE681" s="174"/>
      <c r="BF681" s="174"/>
      <c r="BG681" s="174"/>
      <c r="BH681" s="174"/>
      <c r="BI681" s="174"/>
      <c r="BJ681" s="174"/>
      <c r="BK681" s="174"/>
      <c r="BL681" s="174"/>
      <c r="BM681" s="174"/>
      <c r="BN681" s="174"/>
      <c r="BO681" s="174"/>
      <c r="BP681" s="174"/>
      <c r="BQ681" s="174"/>
      <c r="BR681" s="175"/>
      <c r="BS681" s="147"/>
    </row>
    <row r="682">
      <c r="I682" s="128"/>
      <c r="J682" s="129"/>
      <c r="K682" s="129"/>
      <c r="S682" s="170"/>
      <c r="T682" s="171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  <c r="AE682" s="172"/>
      <c r="AF682" s="172"/>
      <c r="AG682" s="172"/>
      <c r="AH682" s="172"/>
      <c r="AI682" s="172"/>
      <c r="AJ682" s="172"/>
      <c r="AK682" s="172"/>
      <c r="AL682" s="172"/>
      <c r="AM682" s="172"/>
      <c r="AN682" s="172"/>
      <c r="AO682" s="172"/>
      <c r="AP682" s="172"/>
      <c r="AQ682" s="172"/>
      <c r="AR682" s="172"/>
      <c r="AS682" s="172"/>
      <c r="AT682" s="173"/>
      <c r="AU682" s="174"/>
      <c r="AV682" s="174"/>
      <c r="AW682" s="174"/>
      <c r="AX682" s="174"/>
      <c r="AY682" s="174"/>
      <c r="AZ682" s="174"/>
      <c r="BA682" s="174"/>
      <c r="BB682" s="174"/>
      <c r="BC682" s="174"/>
      <c r="BD682" s="174"/>
      <c r="BE682" s="174"/>
      <c r="BF682" s="174"/>
      <c r="BG682" s="174"/>
      <c r="BH682" s="174"/>
      <c r="BI682" s="174"/>
      <c r="BJ682" s="174"/>
      <c r="BK682" s="174"/>
      <c r="BL682" s="174"/>
      <c r="BM682" s="174"/>
      <c r="BN682" s="174"/>
      <c r="BO682" s="174"/>
      <c r="BP682" s="174"/>
      <c r="BQ682" s="174"/>
      <c r="BR682" s="175"/>
      <c r="BS682" s="147"/>
    </row>
    <row r="683">
      <c r="I683" s="128"/>
      <c r="J683" s="129"/>
      <c r="K683" s="129"/>
      <c r="S683" s="170"/>
      <c r="T683" s="171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  <c r="AE683" s="172"/>
      <c r="AF683" s="172"/>
      <c r="AG683" s="172"/>
      <c r="AH683" s="172"/>
      <c r="AI683" s="172"/>
      <c r="AJ683" s="172"/>
      <c r="AK683" s="172"/>
      <c r="AL683" s="172"/>
      <c r="AM683" s="172"/>
      <c r="AN683" s="172"/>
      <c r="AO683" s="172"/>
      <c r="AP683" s="172"/>
      <c r="AQ683" s="172"/>
      <c r="AR683" s="172"/>
      <c r="AS683" s="172"/>
      <c r="AT683" s="173"/>
      <c r="AU683" s="174"/>
      <c r="AV683" s="174"/>
      <c r="AW683" s="174"/>
      <c r="AX683" s="174"/>
      <c r="AY683" s="174"/>
      <c r="AZ683" s="174"/>
      <c r="BA683" s="174"/>
      <c r="BB683" s="174"/>
      <c r="BC683" s="174"/>
      <c r="BD683" s="174"/>
      <c r="BE683" s="174"/>
      <c r="BF683" s="174"/>
      <c r="BG683" s="174"/>
      <c r="BH683" s="174"/>
      <c r="BI683" s="174"/>
      <c r="BJ683" s="174"/>
      <c r="BK683" s="174"/>
      <c r="BL683" s="174"/>
      <c r="BM683" s="174"/>
      <c r="BN683" s="174"/>
      <c r="BO683" s="174"/>
      <c r="BP683" s="174"/>
      <c r="BQ683" s="174"/>
      <c r="BR683" s="175"/>
      <c r="BS683" s="147"/>
    </row>
    <row r="684">
      <c r="I684" s="128"/>
      <c r="J684" s="129"/>
      <c r="K684" s="129"/>
      <c r="S684" s="170"/>
      <c r="T684" s="171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  <c r="AE684" s="172"/>
      <c r="AF684" s="172"/>
      <c r="AG684" s="172"/>
      <c r="AH684" s="172"/>
      <c r="AI684" s="172"/>
      <c r="AJ684" s="172"/>
      <c r="AK684" s="172"/>
      <c r="AL684" s="172"/>
      <c r="AM684" s="172"/>
      <c r="AN684" s="172"/>
      <c r="AO684" s="172"/>
      <c r="AP684" s="172"/>
      <c r="AQ684" s="172"/>
      <c r="AR684" s="172"/>
      <c r="AS684" s="172"/>
      <c r="AT684" s="173"/>
      <c r="AU684" s="174"/>
      <c r="AV684" s="174"/>
      <c r="AW684" s="174"/>
      <c r="AX684" s="174"/>
      <c r="AY684" s="174"/>
      <c r="AZ684" s="174"/>
      <c r="BA684" s="174"/>
      <c r="BB684" s="174"/>
      <c r="BC684" s="174"/>
      <c r="BD684" s="174"/>
      <c r="BE684" s="174"/>
      <c r="BF684" s="174"/>
      <c r="BG684" s="174"/>
      <c r="BH684" s="174"/>
      <c r="BI684" s="174"/>
      <c r="BJ684" s="174"/>
      <c r="BK684" s="174"/>
      <c r="BL684" s="174"/>
      <c r="BM684" s="174"/>
      <c r="BN684" s="174"/>
      <c r="BO684" s="174"/>
      <c r="BP684" s="174"/>
      <c r="BQ684" s="174"/>
      <c r="BR684" s="175"/>
      <c r="BS684" s="147"/>
    </row>
    <row r="685">
      <c r="I685" s="128"/>
      <c r="J685" s="129"/>
      <c r="K685" s="129"/>
      <c r="S685" s="170"/>
      <c r="T685" s="171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  <c r="AE685" s="172"/>
      <c r="AF685" s="172"/>
      <c r="AG685" s="172"/>
      <c r="AH685" s="172"/>
      <c r="AI685" s="172"/>
      <c r="AJ685" s="172"/>
      <c r="AK685" s="172"/>
      <c r="AL685" s="172"/>
      <c r="AM685" s="172"/>
      <c r="AN685" s="172"/>
      <c r="AO685" s="172"/>
      <c r="AP685" s="172"/>
      <c r="AQ685" s="172"/>
      <c r="AR685" s="172"/>
      <c r="AS685" s="172"/>
      <c r="AT685" s="173"/>
      <c r="AU685" s="174"/>
      <c r="AV685" s="174"/>
      <c r="AW685" s="174"/>
      <c r="AX685" s="174"/>
      <c r="AY685" s="174"/>
      <c r="AZ685" s="174"/>
      <c r="BA685" s="174"/>
      <c r="BB685" s="174"/>
      <c r="BC685" s="174"/>
      <c r="BD685" s="174"/>
      <c r="BE685" s="174"/>
      <c r="BF685" s="174"/>
      <c r="BG685" s="174"/>
      <c r="BH685" s="174"/>
      <c r="BI685" s="174"/>
      <c r="BJ685" s="174"/>
      <c r="BK685" s="174"/>
      <c r="BL685" s="174"/>
      <c r="BM685" s="174"/>
      <c r="BN685" s="174"/>
      <c r="BO685" s="174"/>
      <c r="BP685" s="174"/>
      <c r="BQ685" s="174"/>
      <c r="BR685" s="175"/>
      <c r="BS685" s="147"/>
    </row>
    <row r="686">
      <c r="I686" s="128"/>
      <c r="J686" s="129"/>
      <c r="K686" s="129"/>
      <c r="S686" s="170"/>
      <c r="T686" s="171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  <c r="AE686" s="172"/>
      <c r="AF686" s="172"/>
      <c r="AG686" s="172"/>
      <c r="AH686" s="172"/>
      <c r="AI686" s="172"/>
      <c r="AJ686" s="172"/>
      <c r="AK686" s="172"/>
      <c r="AL686" s="172"/>
      <c r="AM686" s="172"/>
      <c r="AN686" s="172"/>
      <c r="AO686" s="172"/>
      <c r="AP686" s="172"/>
      <c r="AQ686" s="172"/>
      <c r="AR686" s="172"/>
      <c r="AS686" s="172"/>
      <c r="AT686" s="173"/>
      <c r="AU686" s="174"/>
      <c r="AV686" s="174"/>
      <c r="AW686" s="174"/>
      <c r="AX686" s="174"/>
      <c r="AY686" s="174"/>
      <c r="AZ686" s="174"/>
      <c r="BA686" s="174"/>
      <c r="BB686" s="174"/>
      <c r="BC686" s="174"/>
      <c r="BD686" s="174"/>
      <c r="BE686" s="174"/>
      <c r="BF686" s="174"/>
      <c r="BG686" s="174"/>
      <c r="BH686" s="174"/>
      <c r="BI686" s="174"/>
      <c r="BJ686" s="174"/>
      <c r="BK686" s="174"/>
      <c r="BL686" s="174"/>
      <c r="BM686" s="174"/>
      <c r="BN686" s="174"/>
      <c r="BO686" s="174"/>
      <c r="BP686" s="174"/>
      <c r="BQ686" s="174"/>
      <c r="BR686" s="175"/>
      <c r="BS686" s="147"/>
    </row>
    <row r="687">
      <c r="I687" s="128"/>
      <c r="J687" s="129"/>
      <c r="K687" s="129"/>
      <c r="S687" s="170"/>
      <c r="T687" s="171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  <c r="AE687" s="172"/>
      <c r="AF687" s="172"/>
      <c r="AG687" s="172"/>
      <c r="AH687" s="172"/>
      <c r="AI687" s="172"/>
      <c r="AJ687" s="172"/>
      <c r="AK687" s="172"/>
      <c r="AL687" s="172"/>
      <c r="AM687" s="172"/>
      <c r="AN687" s="172"/>
      <c r="AO687" s="172"/>
      <c r="AP687" s="172"/>
      <c r="AQ687" s="172"/>
      <c r="AR687" s="172"/>
      <c r="AS687" s="172"/>
      <c r="AT687" s="173"/>
      <c r="AU687" s="174"/>
      <c r="AV687" s="174"/>
      <c r="AW687" s="174"/>
      <c r="AX687" s="174"/>
      <c r="AY687" s="174"/>
      <c r="AZ687" s="174"/>
      <c r="BA687" s="174"/>
      <c r="BB687" s="174"/>
      <c r="BC687" s="174"/>
      <c r="BD687" s="174"/>
      <c r="BE687" s="174"/>
      <c r="BF687" s="174"/>
      <c r="BG687" s="174"/>
      <c r="BH687" s="174"/>
      <c r="BI687" s="174"/>
      <c r="BJ687" s="174"/>
      <c r="BK687" s="174"/>
      <c r="BL687" s="174"/>
      <c r="BM687" s="174"/>
      <c r="BN687" s="174"/>
      <c r="BO687" s="174"/>
      <c r="BP687" s="174"/>
      <c r="BQ687" s="174"/>
      <c r="BR687" s="175"/>
      <c r="BS687" s="147"/>
    </row>
    <row r="688">
      <c r="I688" s="128"/>
      <c r="J688" s="129"/>
      <c r="K688" s="129"/>
      <c r="S688" s="170"/>
      <c r="T688" s="171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  <c r="AE688" s="172"/>
      <c r="AF688" s="172"/>
      <c r="AG688" s="172"/>
      <c r="AH688" s="172"/>
      <c r="AI688" s="172"/>
      <c r="AJ688" s="172"/>
      <c r="AK688" s="172"/>
      <c r="AL688" s="172"/>
      <c r="AM688" s="172"/>
      <c r="AN688" s="172"/>
      <c r="AO688" s="172"/>
      <c r="AP688" s="172"/>
      <c r="AQ688" s="172"/>
      <c r="AR688" s="172"/>
      <c r="AS688" s="172"/>
      <c r="AT688" s="173"/>
      <c r="AU688" s="174"/>
      <c r="AV688" s="174"/>
      <c r="AW688" s="174"/>
      <c r="AX688" s="174"/>
      <c r="AY688" s="174"/>
      <c r="AZ688" s="174"/>
      <c r="BA688" s="174"/>
      <c r="BB688" s="174"/>
      <c r="BC688" s="174"/>
      <c r="BD688" s="174"/>
      <c r="BE688" s="174"/>
      <c r="BF688" s="174"/>
      <c r="BG688" s="174"/>
      <c r="BH688" s="174"/>
      <c r="BI688" s="174"/>
      <c r="BJ688" s="174"/>
      <c r="BK688" s="174"/>
      <c r="BL688" s="174"/>
      <c r="BM688" s="174"/>
      <c r="BN688" s="174"/>
      <c r="BO688" s="174"/>
      <c r="BP688" s="174"/>
      <c r="BQ688" s="174"/>
      <c r="BR688" s="175"/>
      <c r="BS688" s="147"/>
    </row>
    <row r="689">
      <c r="I689" s="128"/>
      <c r="J689" s="129"/>
      <c r="K689" s="129"/>
      <c r="S689" s="170"/>
      <c r="T689" s="171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  <c r="AE689" s="172"/>
      <c r="AF689" s="172"/>
      <c r="AG689" s="172"/>
      <c r="AH689" s="172"/>
      <c r="AI689" s="172"/>
      <c r="AJ689" s="172"/>
      <c r="AK689" s="172"/>
      <c r="AL689" s="172"/>
      <c r="AM689" s="172"/>
      <c r="AN689" s="172"/>
      <c r="AO689" s="172"/>
      <c r="AP689" s="172"/>
      <c r="AQ689" s="172"/>
      <c r="AR689" s="172"/>
      <c r="AS689" s="172"/>
      <c r="AT689" s="173"/>
      <c r="AU689" s="174"/>
      <c r="AV689" s="174"/>
      <c r="AW689" s="174"/>
      <c r="AX689" s="174"/>
      <c r="AY689" s="174"/>
      <c r="AZ689" s="174"/>
      <c r="BA689" s="174"/>
      <c r="BB689" s="174"/>
      <c r="BC689" s="174"/>
      <c r="BD689" s="174"/>
      <c r="BE689" s="174"/>
      <c r="BF689" s="174"/>
      <c r="BG689" s="174"/>
      <c r="BH689" s="174"/>
      <c r="BI689" s="174"/>
      <c r="BJ689" s="174"/>
      <c r="BK689" s="174"/>
      <c r="BL689" s="174"/>
      <c r="BM689" s="174"/>
      <c r="BN689" s="174"/>
      <c r="BO689" s="174"/>
      <c r="BP689" s="174"/>
      <c r="BQ689" s="174"/>
      <c r="BR689" s="175"/>
      <c r="BS689" s="147"/>
    </row>
    <row r="690">
      <c r="I690" s="128"/>
      <c r="J690" s="129"/>
      <c r="K690" s="129"/>
      <c r="S690" s="170"/>
      <c r="T690" s="171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  <c r="AE690" s="172"/>
      <c r="AF690" s="172"/>
      <c r="AG690" s="172"/>
      <c r="AH690" s="172"/>
      <c r="AI690" s="172"/>
      <c r="AJ690" s="172"/>
      <c r="AK690" s="172"/>
      <c r="AL690" s="172"/>
      <c r="AM690" s="172"/>
      <c r="AN690" s="172"/>
      <c r="AO690" s="172"/>
      <c r="AP690" s="172"/>
      <c r="AQ690" s="172"/>
      <c r="AR690" s="172"/>
      <c r="AS690" s="172"/>
      <c r="AT690" s="173"/>
      <c r="AU690" s="174"/>
      <c r="AV690" s="174"/>
      <c r="AW690" s="174"/>
      <c r="AX690" s="174"/>
      <c r="AY690" s="174"/>
      <c r="AZ690" s="174"/>
      <c r="BA690" s="174"/>
      <c r="BB690" s="174"/>
      <c r="BC690" s="174"/>
      <c r="BD690" s="174"/>
      <c r="BE690" s="174"/>
      <c r="BF690" s="174"/>
      <c r="BG690" s="174"/>
      <c r="BH690" s="174"/>
      <c r="BI690" s="174"/>
      <c r="BJ690" s="174"/>
      <c r="BK690" s="174"/>
      <c r="BL690" s="174"/>
      <c r="BM690" s="174"/>
      <c r="BN690" s="174"/>
      <c r="BO690" s="174"/>
      <c r="BP690" s="174"/>
      <c r="BQ690" s="174"/>
      <c r="BR690" s="175"/>
      <c r="BS690" s="147"/>
    </row>
    <row r="691">
      <c r="I691" s="128"/>
      <c r="J691" s="129"/>
      <c r="K691" s="129"/>
      <c r="S691" s="170"/>
      <c r="T691" s="171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  <c r="AE691" s="172"/>
      <c r="AF691" s="172"/>
      <c r="AG691" s="172"/>
      <c r="AH691" s="172"/>
      <c r="AI691" s="172"/>
      <c r="AJ691" s="172"/>
      <c r="AK691" s="172"/>
      <c r="AL691" s="172"/>
      <c r="AM691" s="172"/>
      <c r="AN691" s="172"/>
      <c r="AO691" s="172"/>
      <c r="AP691" s="172"/>
      <c r="AQ691" s="172"/>
      <c r="AR691" s="172"/>
      <c r="AS691" s="172"/>
      <c r="AT691" s="173"/>
      <c r="AU691" s="174"/>
      <c r="AV691" s="174"/>
      <c r="AW691" s="174"/>
      <c r="AX691" s="174"/>
      <c r="AY691" s="174"/>
      <c r="AZ691" s="174"/>
      <c r="BA691" s="174"/>
      <c r="BB691" s="174"/>
      <c r="BC691" s="174"/>
      <c r="BD691" s="174"/>
      <c r="BE691" s="174"/>
      <c r="BF691" s="174"/>
      <c r="BG691" s="174"/>
      <c r="BH691" s="174"/>
      <c r="BI691" s="174"/>
      <c r="BJ691" s="174"/>
      <c r="BK691" s="174"/>
      <c r="BL691" s="174"/>
      <c r="BM691" s="174"/>
      <c r="BN691" s="174"/>
      <c r="BO691" s="174"/>
      <c r="BP691" s="174"/>
      <c r="BQ691" s="174"/>
      <c r="BR691" s="175"/>
      <c r="BS691" s="147"/>
    </row>
    <row r="692">
      <c r="I692" s="128"/>
      <c r="J692" s="129"/>
      <c r="K692" s="129"/>
      <c r="S692" s="170"/>
      <c r="T692" s="171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  <c r="AE692" s="172"/>
      <c r="AF692" s="172"/>
      <c r="AG692" s="172"/>
      <c r="AH692" s="172"/>
      <c r="AI692" s="172"/>
      <c r="AJ692" s="172"/>
      <c r="AK692" s="172"/>
      <c r="AL692" s="172"/>
      <c r="AM692" s="172"/>
      <c r="AN692" s="172"/>
      <c r="AO692" s="172"/>
      <c r="AP692" s="172"/>
      <c r="AQ692" s="172"/>
      <c r="AR692" s="172"/>
      <c r="AS692" s="172"/>
      <c r="AT692" s="173"/>
      <c r="AU692" s="174"/>
      <c r="AV692" s="174"/>
      <c r="AW692" s="174"/>
      <c r="AX692" s="174"/>
      <c r="AY692" s="174"/>
      <c r="AZ692" s="174"/>
      <c r="BA692" s="174"/>
      <c r="BB692" s="174"/>
      <c r="BC692" s="174"/>
      <c r="BD692" s="174"/>
      <c r="BE692" s="174"/>
      <c r="BF692" s="174"/>
      <c r="BG692" s="174"/>
      <c r="BH692" s="174"/>
      <c r="BI692" s="174"/>
      <c r="BJ692" s="174"/>
      <c r="BK692" s="174"/>
      <c r="BL692" s="174"/>
      <c r="BM692" s="174"/>
      <c r="BN692" s="174"/>
      <c r="BO692" s="174"/>
      <c r="BP692" s="174"/>
      <c r="BQ692" s="174"/>
      <c r="BR692" s="175"/>
      <c r="BS692" s="147"/>
    </row>
    <row r="693">
      <c r="I693" s="128"/>
      <c r="J693" s="129"/>
      <c r="K693" s="129"/>
      <c r="S693" s="170"/>
      <c r="T693" s="171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  <c r="AE693" s="172"/>
      <c r="AF693" s="172"/>
      <c r="AG693" s="172"/>
      <c r="AH693" s="172"/>
      <c r="AI693" s="172"/>
      <c r="AJ693" s="172"/>
      <c r="AK693" s="172"/>
      <c r="AL693" s="172"/>
      <c r="AM693" s="172"/>
      <c r="AN693" s="172"/>
      <c r="AO693" s="172"/>
      <c r="AP693" s="172"/>
      <c r="AQ693" s="172"/>
      <c r="AR693" s="172"/>
      <c r="AS693" s="172"/>
      <c r="AT693" s="173"/>
      <c r="AU693" s="174"/>
      <c r="AV693" s="174"/>
      <c r="AW693" s="174"/>
      <c r="AX693" s="174"/>
      <c r="AY693" s="174"/>
      <c r="AZ693" s="174"/>
      <c r="BA693" s="174"/>
      <c r="BB693" s="174"/>
      <c r="BC693" s="174"/>
      <c r="BD693" s="174"/>
      <c r="BE693" s="174"/>
      <c r="BF693" s="174"/>
      <c r="BG693" s="174"/>
      <c r="BH693" s="174"/>
      <c r="BI693" s="174"/>
      <c r="BJ693" s="174"/>
      <c r="BK693" s="174"/>
      <c r="BL693" s="174"/>
      <c r="BM693" s="174"/>
      <c r="BN693" s="174"/>
      <c r="BO693" s="174"/>
      <c r="BP693" s="174"/>
      <c r="BQ693" s="174"/>
      <c r="BR693" s="175"/>
      <c r="BS693" s="147"/>
    </row>
    <row r="694">
      <c r="I694" s="128"/>
      <c r="J694" s="129"/>
      <c r="K694" s="129"/>
      <c r="S694" s="170"/>
      <c r="T694" s="171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  <c r="AE694" s="172"/>
      <c r="AF694" s="172"/>
      <c r="AG694" s="172"/>
      <c r="AH694" s="172"/>
      <c r="AI694" s="172"/>
      <c r="AJ694" s="172"/>
      <c r="AK694" s="172"/>
      <c r="AL694" s="172"/>
      <c r="AM694" s="172"/>
      <c r="AN694" s="172"/>
      <c r="AO694" s="172"/>
      <c r="AP694" s="172"/>
      <c r="AQ694" s="172"/>
      <c r="AR694" s="172"/>
      <c r="AS694" s="172"/>
      <c r="AT694" s="173"/>
      <c r="AU694" s="174"/>
      <c r="AV694" s="174"/>
      <c r="AW694" s="174"/>
      <c r="AX694" s="174"/>
      <c r="AY694" s="174"/>
      <c r="AZ694" s="174"/>
      <c r="BA694" s="174"/>
      <c r="BB694" s="174"/>
      <c r="BC694" s="174"/>
      <c r="BD694" s="174"/>
      <c r="BE694" s="174"/>
      <c r="BF694" s="174"/>
      <c r="BG694" s="174"/>
      <c r="BH694" s="174"/>
      <c r="BI694" s="174"/>
      <c r="BJ694" s="174"/>
      <c r="BK694" s="174"/>
      <c r="BL694" s="174"/>
      <c r="BM694" s="174"/>
      <c r="BN694" s="174"/>
      <c r="BO694" s="174"/>
      <c r="BP694" s="174"/>
      <c r="BQ694" s="174"/>
      <c r="BR694" s="175"/>
      <c r="BS694" s="147"/>
    </row>
    <row r="695">
      <c r="I695" s="128"/>
      <c r="J695" s="129"/>
      <c r="K695" s="129"/>
      <c r="S695" s="170"/>
      <c r="T695" s="171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  <c r="AE695" s="172"/>
      <c r="AF695" s="172"/>
      <c r="AG695" s="172"/>
      <c r="AH695" s="172"/>
      <c r="AI695" s="172"/>
      <c r="AJ695" s="172"/>
      <c r="AK695" s="172"/>
      <c r="AL695" s="172"/>
      <c r="AM695" s="172"/>
      <c r="AN695" s="172"/>
      <c r="AO695" s="172"/>
      <c r="AP695" s="172"/>
      <c r="AQ695" s="172"/>
      <c r="AR695" s="172"/>
      <c r="AS695" s="172"/>
      <c r="AT695" s="173"/>
      <c r="AU695" s="174"/>
      <c r="AV695" s="174"/>
      <c r="AW695" s="174"/>
      <c r="AX695" s="174"/>
      <c r="AY695" s="174"/>
      <c r="AZ695" s="174"/>
      <c r="BA695" s="174"/>
      <c r="BB695" s="174"/>
      <c r="BC695" s="174"/>
      <c r="BD695" s="174"/>
      <c r="BE695" s="174"/>
      <c r="BF695" s="174"/>
      <c r="BG695" s="174"/>
      <c r="BH695" s="174"/>
      <c r="BI695" s="174"/>
      <c r="BJ695" s="174"/>
      <c r="BK695" s="174"/>
      <c r="BL695" s="174"/>
      <c r="BM695" s="174"/>
      <c r="BN695" s="174"/>
      <c r="BO695" s="174"/>
      <c r="BP695" s="174"/>
      <c r="BQ695" s="174"/>
      <c r="BR695" s="175"/>
      <c r="BS695" s="147"/>
    </row>
    <row r="696">
      <c r="I696" s="128"/>
      <c r="J696" s="129"/>
      <c r="K696" s="129"/>
      <c r="S696" s="170"/>
      <c r="T696" s="171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  <c r="AE696" s="172"/>
      <c r="AF696" s="172"/>
      <c r="AG696" s="172"/>
      <c r="AH696" s="172"/>
      <c r="AI696" s="172"/>
      <c r="AJ696" s="172"/>
      <c r="AK696" s="172"/>
      <c r="AL696" s="172"/>
      <c r="AM696" s="172"/>
      <c r="AN696" s="172"/>
      <c r="AO696" s="172"/>
      <c r="AP696" s="172"/>
      <c r="AQ696" s="172"/>
      <c r="AR696" s="172"/>
      <c r="AS696" s="172"/>
      <c r="AT696" s="173"/>
      <c r="AU696" s="174"/>
      <c r="AV696" s="174"/>
      <c r="AW696" s="174"/>
      <c r="AX696" s="174"/>
      <c r="AY696" s="174"/>
      <c r="AZ696" s="174"/>
      <c r="BA696" s="174"/>
      <c r="BB696" s="174"/>
      <c r="BC696" s="174"/>
      <c r="BD696" s="174"/>
      <c r="BE696" s="174"/>
      <c r="BF696" s="174"/>
      <c r="BG696" s="174"/>
      <c r="BH696" s="174"/>
      <c r="BI696" s="174"/>
      <c r="BJ696" s="174"/>
      <c r="BK696" s="174"/>
      <c r="BL696" s="174"/>
      <c r="BM696" s="174"/>
      <c r="BN696" s="174"/>
      <c r="BO696" s="174"/>
      <c r="BP696" s="174"/>
      <c r="BQ696" s="174"/>
      <c r="BR696" s="175"/>
      <c r="BS696" s="147"/>
    </row>
    <row r="697">
      <c r="I697" s="128"/>
      <c r="J697" s="129"/>
      <c r="K697" s="129"/>
      <c r="S697" s="170"/>
      <c r="T697" s="171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  <c r="AE697" s="172"/>
      <c r="AF697" s="172"/>
      <c r="AG697" s="172"/>
      <c r="AH697" s="172"/>
      <c r="AI697" s="172"/>
      <c r="AJ697" s="172"/>
      <c r="AK697" s="172"/>
      <c r="AL697" s="172"/>
      <c r="AM697" s="172"/>
      <c r="AN697" s="172"/>
      <c r="AO697" s="172"/>
      <c r="AP697" s="172"/>
      <c r="AQ697" s="172"/>
      <c r="AR697" s="172"/>
      <c r="AS697" s="172"/>
      <c r="AT697" s="173"/>
      <c r="AU697" s="174"/>
      <c r="AV697" s="174"/>
      <c r="AW697" s="174"/>
      <c r="AX697" s="174"/>
      <c r="AY697" s="174"/>
      <c r="AZ697" s="174"/>
      <c r="BA697" s="174"/>
      <c r="BB697" s="174"/>
      <c r="BC697" s="174"/>
      <c r="BD697" s="174"/>
      <c r="BE697" s="174"/>
      <c r="BF697" s="174"/>
      <c r="BG697" s="174"/>
      <c r="BH697" s="174"/>
      <c r="BI697" s="174"/>
      <c r="BJ697" s="174"/>
      <c r="BK697" s="174"/>
      <c r="BL697" s="174"/>
      <c r="BM697" s="174"/>
      <c r="BN697" s="174"/>
      <c r="BO697" s="174"/>
      <c r="BP697" s="174"/>
      <c r="BQ697" s="174"/>
      <c r="BR697" s="175"/>
      <c r="BS697" s="147"/>
    </row>
    <row r="698">
      <c r="I698" s="128"/>
      <c r="J698" s="129"/>
      <c r="K698" s="129"/>
      <c r="S698" s="170"/>
      <c r="T698" s="171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  <c r="AE698" s="172"/>
      <c r="AF698" s="172"/>
      <c r="AG698" s="172"/>
      <c r="AH698" s="172"/>
      <c r="AI698" s="172"/>
      <c r="AJ698" s="172"/>
      <c r="AK698" s="172"/>
      <c r="AL698" s="172"/>
      <c r="AM698" s="172"/>
      <c r="AN698" s="172"/>
      <c r="AO698" s="172"/>
      <c r="AP698" s="172"/>
      <c r="AQ698" s="172"/>
      <c r="AR698" s="172"/>
      <c r="AS698" s="172"/>
      <c r="AT698" s="173"/>
      <c r="AU698" s="174"/>
      <c r="AV698" s="174"/>
      <c r="AW698" s="174"/>
      <c r="AX698" s="174"/>
      <c r="AY698" s="174"/>
      <c r="AZ698" s="174"/>
      <c r="BA698" s="174"/>
      <c r="BB698" s="174"/>
      <c r="BC698" s="174"/>
      <c r="BD698" s="174"/>
      <c r="BE698" s="174"/>
      <c r="BF698" s="174"/>
      <c r="BG698" s="174"/>
      <c r="BH698" s="174"/>
      <c r="BI698" s="174"/>
      <c r="BJ698" s="174"/>
      <c r="BK698" s="174"/>
      <c r="BL698" s="174"/>
      <c r="BM698" s="174"/>
      <c r="BN698" s="174"/>
      <c r="BO698" s="174"/>
      <c r="BP698" s="174"/>
      <c r="BQ698" s="174"/>
      <c r="BR698" s="175"/>
      <c r="BS698" s="147"/>
    </row>
    <row r="699">
      <c r="I699" s="128"/>
      <c r="J699" s="129"/>
      <c r="K699" s="129"/>
      <c r="S699" s="170"/>
      <c r="T699" s="171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  <c r="AE699" s="172"/>
      <c r="AF699" s="172"/>
      <c r="AG699" s="172"/>
      <c r="AH699" s="172"/>
      <c r="AI699" s="172"/>
      <c r="AJ699" s="172"/>
      <c r="AK699" s="172"/>
      <c r="AL699" s="172"/>
      <c r="AM699" s="172"/>
      <c r="AN699" s="172"/>
      <c r="AO699" s="172"/>
      <c r="AP699" s="172"/>
      <c r="AQ699" s="172"/>
      <c r="AR699" s="172"/>
      <c r="AS699" s="172"/>
      <c r="AT699" s="173"/>
      <c r="AU699" s="174"/>
      <c r="AV699" s="174"/>
      <c r="AW699" s="174"/>
      <c r="AX699" s="174"/>
      <c r="AY699" s="174"/>
      <c r="AZ699" s="174"/>
      <c r="BA699" s="174"/>
      <c r="BB699" s="174"/>
      <c r="BC699" s="174"/>
      <c r="BD699" s="174"/>
      <c r="BE699" s="174"/>
      <c r="BF699" s="174"/>
      <c r="BG699" s="174"/>
      <c r="BH699" s="174"/>
      <c r="BI699" s="174"/>
      <c r="BJ699" s="174"/>
      <c r="BK699" s="174"/>
      <c r="BL699" s="174"/>
      <c r="BM699" s="174"/>
      <c r="BN699" s="174"/>
      <c r="BO699" s="174"/>
      <c r="BP699" s="174"/>
      <c r="BQ699" s="174"/>
      <c r="BR699" s="175"/>
      <c r="BS699" s="147"/>
    </row>
    <row r="700">
      <c r="I700" s="128"/>
      <c r="J700" s="129"/>
      <c r="K700" s="129"/>
      <c r="S700" s="170"/>
      <c r="T700" s="171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  <c r="AE700" s="172"/>
      <c r="AF700" s="172"/>
      <c r="AG700" s="172"/>
      <c r="AH700" s="172"/>
      <c r="AI700" s="172"/>
      <c r="AJ700" s="172"/>
      <c r="AK700" s="172"/>
      <c r="AL700" s="172"/>
      <c r="AM700" s="172"/>
      <c r="AN700" s="172"/>
      <c r="AO700" s="172"/>
      <c r="AP700" s="172"/>
      <c r="AQ700" s="172"/>
      <c r="AR700" s="172"/>
      <c r="AS700" s="172"/>
      <c r="AT700" s="173"/>
      <c r="AU700" s="174"/>
      <c r="AV700" s="174"/>
      <c r="AW700" s="174"/>
      <c r="AX700" s="174"/>
      <c r="AY700" s="174"/>
      <c r="AZ700" s="174"/>
      <c r="BA700" s="174"/>
      <c r="BB700" s="174"/>
      <c r="BC700" s="174"/>
      <c r="BD700" s="174"/>
      <c r="BE700" s="174"/>
      <c r="BF700" s="174"/>
      <c r="BG700" s="174"/>
      <c r="BH700" s="174"/>
      <c r="BI700" s="174"/>
      <c r="BJ700" s="174"/>
      <c r="BK700" s="174"/>
      <c r="BL700" s="174"/>
      <c r="BM700" s="174"/>
      <c r="BN700" s="174"/>
      <c r="BO700" s="174"/>
      <c r="BP700" s="174"/>
      <c r="BQ700" s="174"/>
      <c r="BR700" s="175"/>
      <c r="BS700" s="147"/>
    </row>
    <row r="701">
      <c r="I701" s="128"/>
      <c r="J701" s="129"/>
      <c r="K701" s="129"/>
      <c r="S701" s="170"/>
      <c r="T701" s="171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  <c r="AE701" s="172"/>
      <c r="AF701" s="172"/>
      <c r="AG701" s="172"/>
      <c r="AH701" s="172"/>
      <c r="AI701" s="172"/>
      <c r="AJ701" s="172"/>
      <c r="AK701" s="172"/>
      <c r="AL701" s="172"/>
      <c r="AM701" s="172"/>
      <c r="AN701" s="172"/>
      <c r="AO701" s="172"/>
      <c r="AP701" s="172"/>
      <c r="AQ701" s="172"/>
      <c r="AR701" s="172"/>
      <c r="AS701" s="172"/>
      <c r="AT701" s="173"/>
      <c r="AU701" s="174"/>
      <c r="AV701" s="174"/>
      <c r="AW701" s="174"/>
      <c r="AX701" s="174"/>
      <c r="AY701" s="174"/>
      <c r="AZ701" s="174"/>
      <c r="BA701" s="174"/>
      <c r="BB701" s="174"/>
      <c r="BC701" s="174"/>
      <c r="BD701" s="174"/>
      <c r="BE701" s="174"/>
      <c r="BF701" s="174"/>
      <c r="BG701" s="174"/>
      <c r="BH701" s="174"/>
      <c r="BI701" s="174"/>
      <c r="BJ701" s="174"/>
      <c r="BK701" s="174"/>
      <c r="BL701" s="174"/>
      <c r="BM701" s="174"/>
      <c r="BN701" s="174"/>
      <c r="BO701" s="174"/>
      <c r="BP701" s="174"/>
      <c r="BQ701" s="174"/>
      <c r="BR701" s="175"/>
      <c r="BS701" s="147"/>
    </row>
    <row r="702">
      <c r="I702" s="128"/>
      <c r="J702" s="129"/>
      <c r="K702" s="129"/>
      <c r="S702" s="170"/>
      <c r="T702" s="171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  <c r="AE702" s="172"/>
      <c r="AF702" s="172"/>
      <c r="AG702" s="172"/>
      <c r="AH702" s="172"/>
      <c r="AI702" s="172"/>
      <c r="AJ702" s="172"/>
      <c r="AK702" s="172"/>
      <c r="AL702" s="172"/>
      <c r="AM702" s="172"/>
      <c r="AN702" s="172"/>
      <c r="AO702" s="172"/>
      <c r="AP702" s="172"/>
      <c r="AQ702" s="172"/>
      <c r="AR702" s="172"/>
      <c r="AS702" s="172"/>
      <c r="AT702" s="173"/>
      <c r="AU702" s="174"/>
      <c r="AV702" s="174"/>
      <c r="AW702" s="174"/>
      <c r="AX702" s="174"/>
      <c r="AY702" s="174"/>
      <c r="AZ702" s="174"/>
      <c r="BA702" s="174"/>
      <c r="BB702" s="174"/>
      <c r="BC702" s="174"/>
      <c r="BD702" s="174"/>
      <c r="BE702" s="174"/>
      <c r="BF702" s="174"/>
      <c r="BG702" s="174"/>
      <c r="BH702" s="174"/>
      <c r="BI702" s="174"/>
      <c r="BJ702" s="174"/>
      <c r="BK702" s="174"/>
      <c r="BL702" s="174"/>
      <c r="BM702" s="174"/>
      <c r="BN702" s="174"/>
      <c r="BO702" s="174"/>
      <c r="BP702" s="174"/>
      <c r="BQ702" s="174"/>
      <c r="BR702" s="175"/>
      <c r="BS702" s="147"/>
    </row>
    <row r="703">
      <c r="I703" s="128"/>
      <c r="J703" s="129"/>
      <c r="K703" s="129"/>
      <c r="S703" s="170"/>
      <c r="T703" s="171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  <c r="AE703" s="172"/>
      <c r="AF703" s="172"/>
      <c r="AG703" s="172"/>
      <c r="AH703" s="172"/>
      <c r="AI703" s="172"/>
      <c r="AJ703" s="172"/>
      <c r="AK703" s="172"/>
      <c r="AL703" s="172"/>
      <c r="AM703" s="172"/>
      <c r="AN703" s="172"/>
      <c r="AO703" s="172"/>
      <c r="AP703" s="172"/>
      <c r="AQ703" s="172"/>
      <c r="AR703" s="172"/>
      <c r="AS703" s="172"/>
      <c r="AT703" s="173"/>
      <c r="AU703" s="174"/>
      <c r="AV703" s="174"/>
      <c r="AW703" s="174"/>
      <c r="AX703" s="174"/>
      <c r="AY703" s="174"/>
      <c r="AZ703" s="174"/>
      <c r="BA703" s="174"/>
      <c r="BB703" s="174"/>
      <c r="BC703" s="174"/>
      <c r="BD703" s="174"/>
      <c r="BE703" s="174"/>
      <c r="BF703" s="174"/>
      <c r="BG703" s="174"/>
      <c r="BH703" s="174"/>
      <c r="BI703" s="174"/>
      <c r="BJ703" s="174"/>
      <c r="BK703" s="174"/>
      <c r="BL703" s="174"/>
      <c r="BM703" s="174"/>
      <c r="BN703" s="174"/>
      <c r="BO703" s="174"/>
      <c r="BP703" s="174"/>
      <c r="BQ703" s="174"/>
      <c r="BR703" s="175"/>
      <c r="BS703" s="147"/>
    </row>
    <row r="704">
      <c r="I704" s="128"/>
      <c r="J704" s="129"/>
      <c r="K704" s="129"/>
      <c r="S704" s="170"/>
      <c r="T704" s="171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  <c r="AE704" s="172"/>
      <c r="AF704" s="172"/>
      <c r="AG704" s="172"/>
      <c r="AH704" s="172"/>
      <c r="AI704" s="172"/>
      <c r="AJ704" s="172"/>
      <c r="AK704" s="172"/>
      <c r="AL704" s="172"/>
      <c r="AM704" s="172"/>
      <c r="AN704" s="172"/>
      <c r="AO704" s="172"/>
      <c r="AP704" s="172"/>
      <c r="AQ704" s="172"/>
      <c r="AR704" s="172"/>
      <c r="AS704" s="172"/>
      <c r="AT704" s="173"/>
      <c r="AU704" s="174"/>
      <c r="AV704" s="174"/>
      <c r="AW704" s="174"/>
      <c r="AX704" s="174"/>
      <c r="AY704" s="174"/>
      <c r="AZ704" s="174"/>
      <c r="BA704" s="174"/>
      <c r="BB704" s="174"/>
      <c r="BC704" s="174"/>
      <c r="BD704" s="174"/>
      <c r="BE704" s="174"/>
      <c r="BF704" s="174"/>
      <c r="BG704" s="174"/>
      <c r="BH704" s="174"/>
      <c r="BI704" s="174"/>
      <c r="BJ704" s="174"/>
      <c r="BK704" s="174"/>
      <c r="BL704" s="174"/>
      <c r="BM704" s="174"/>
      <c r="BN704" s="174"/>
      <c r="BO704" s="174"/>
      <c r="BP704" s="174"/>
      <c r="BQ704" s="174"/>
      <c r="BR704" s="175"/>
      <c r="BS704" s="147"/>
    </row>
    <row r="705">
      <c r="I705" s="128"/>
      <c r="J705" s="129"/>
      <c r="K705" s="129"/>
      <c r="S705" s="170"/>
      <c r="T705" s="171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  <c r="AE705" s="172"/>
      <c r="AF705" s="172"/>
      <c r="AG705" s="172"/>
      <c r="AH705" s="172"/>
      <c r="AI705" s="172"/>
      <c r="AJ705" s="172"/>
      <c r="AK705" s="172"/>
      <c r="AL705" s="172"/>
      <c r="AM705" s="172"/>
      <c r="AN705" s="172"/>
      <c r="AO705" s="172"/>
      <c r="AP705" s="172"/>
      <c r="AQ705" s="172"/>
      <c r="AR705" s="172"/>
      <c r="AS705" s="172"/>
      <c r="AT705" s="173"/>
      <c r="AU705" s="174"/>
      <c r="AV705" s="174"/>
      <c r="AW705" s="174"/>
      <c r="AX705" s="174"/>
      <c r="AY705" s="174"/>
      <c r="AZ705" s="174"/>
      <c r="BA705" s="174"/>
      <c r="BB705" s="174"/>
      <c r="BC705" s="174"/>
      <c r="BD705" s="174"/>
      <c r="BE705" s="174"/>
      <c r="BF705" s="174"/>
      <c r="BG705" s="174"/>
      <c r="BH705" s="174"/>
      <c r="BI705" s="174"/>
      <c r="BJ705" s="174"/>
      <c r="BK705" s="174"/>
      <c r="BL705" s="174"/>
      <c r="BM705" s="174"/>
      <c r="BN705" s="174"/>
      <c r="BO705" s="174"/>
      <c r="BP705" s="174"/>
      <c r="BQ705" s="174"/>
      <c r="BR705" s="175"/>
      <c r="BS705" s="147"/>
    </row>
    <row r="706">
      <c r="I706" s="128"/>
      <c r="J706" s="129"/>
      <c r="K706" s="129"/>
      <c r="S706" s="170"/>
      <c r="T706" s="171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  <c r="AE706" s="172"/>
      <c r="AF706" s="172"/>
      <c r="AG706" s="172"/>
      <c r="AH706" s="172"/>
      <c r="AI706" s="172"/>
      <c r="AJ706" s="172"/>
      <c r="AK706" s="172"/>
      <c r="AL706" s="172"/>
      <c r="AM706" s="172"/>
      <c r="AN706" s="172"/>
      <c r="AO706" s="172"/>
      <c r="AP706" s="172"/>
      <c r="AQ706" s="172"/>
      <c r="AR706" s="172"/>
      <c r="AS706" s="172"/>
      <c r="AT706" s="173"/>
      <c r="AU706" s="174"/>
      <c r="AV706" s="174"/>
      <c r="AW706" s="174"/>
      <c r="AX706" s="174"/>
      <c r="AY706" s="174"/>
      <c r="AZ706" s="174"/>
      <c r="BA706" s="174"/>
      <c r="BB706" s="174"/>
      <c r="BC706" s="174"/>
      <c r="BD706" s="174"/>
      <c r="BE706" s="174"/>
      <c r="BF706" s="174"/>
      <c r="BG706" s="174"/>
      <c r="BH706" s="174"/>
      <c r="BI706" s="174"/>
      <c r="BJ706" s="174"/>
      <c r="BK706" s="174"/>
      <c r="BL706" s="174"/>
      <c r="BM706" s="174"/>
      <c r="BN706" s="174"/>
      <c r="BO706" s="174"/>
      <c r="BP706" s="174"/>
      <c r="BQ706" s="174"/>
      <c r="BR706" s="175"/>
      <c r="BS706" s="147"/>
    </row>
    <row r="707">
      <c r="I707" s="128"/>
      <c r="J707" s="129"/>
      <c r="K707" s="129"/>
      <c r="S707" s="170"/>
      <c r="T707" s="171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  <c r="AE707" s="172"/>
      <c r="AF707" s="172"/>
      <c r="AG707" s="172"/>
      <c r="AH707" s="172"/>
      <c r="AI707" s="172"/>
      <c r="AJ707" s="172"/>
      <c r="AK707" s="172"/>
      <c r="AL707" s="172"/>
      <c r="AM707" s="172"/>
      <c r="AN707" s="172"/>
      <c r="AO707" s="172"/>
      <c r="AP707" s="172"/>
      <c r="AQ707" s="172"/>
      <c r="AR707" s="172"/>
      <c r="AS707" s="172"/>
      <c r="AT707" s="173"/>
      <c r="AU707" s="174"/>
      <c r="AV707" s="174"/>
      <c r="AW707" s="174"/>
      <c r="AX707" s="174"/>
      <c r="AY707" s="174"/>
      <c r="AZ707" s="174"/>
      <c r="BA707" s="174"/>
      <c r="BB707" s="174"/>
      <c r="BC707" s="174"/>
      <c r="BD707" s="174"/>
      <c r="BE707" s="174"/>
      <c r="BF707" s="174"/>
      <c r="BG707" s="174"/>
      <c r="BH707" s="174"/>
      <c r="BI707" s="174"/>
      <c r="BJ707" s="174"/>
      <c r="BK707" s="174"/>
      <c r="BL707" s="174"/>
      <c r="BM707" s="174"/>
      <c r="BN707" s="174"/>
      <c r="BO707" s="174"/>
      <c r="BP707" s="174"/>
      <c r="BQ707" s="174"/>
      <c r="BR707" s="175"/>
      <c r="BS707" s="147"/>
    </row>
    <row r="708">
      <c r="I708" s="128"/>
      <c r="J708" s="129"/>
      <c r="K708" s="129"/>
      <c r="S708" s="170"/>
      <c r="T708" s="171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  <c r="AE708" s="172"/>
      <c r="AF708" s="172"/>
      <c r="AG708" s="172"/>
      <c r="AH708" s="172"/>
      <c r="AI708" s="172"/>
      <c r="AJ708" s="172"/>
      <c r="AK708" s="172"/>
      <c r="AL708" s="172"/>
      <c r="AM708" s="172"/>
      <c r="AN708" s="172"/>
      <c r="AO708" s="172"/>
      <c r="AP708" s="172"/>
      <c r="AQ708" s="172"/>
      <c r="AR708" s="172"/>
      <c r="AS708" s="172"/>
      <c r="AT708" s="173"/>
      <c r="AU708" s="174"/>
      <c r="AV708" s="174"/>
      <c r="AW708" s="174"/>
      <c r="AX708" s="174"/>
      <c r="AY708" s="174"/>
      <c r="AZ708" s="174"/>
      <c r="BA708" s="174"/>
      <c r="BB708" s="174"/>
      <c r="BC708" s="174"/>
      <c r="BD708" s="174"/>
      <c r="BE708" s="174"/>
      <c r="BF708" s="174"/>
      <c r="BG708" s="174"/>
      <c r="BH708" s="174"/>
      <c r="BI708" s="174"/>
      <c r="BJ708" s="174"/>
      <c r="BK708" s="174"/>
      <c r="BL708" s="174"/>
      <c r="BM708" s="174"/>
      <c r="BN708" s="174"/>
      <c r="BO708" s="174"/>
      <c r="BP708" s="174"/>
      <c r="BQ708" s="174"/>
      <c r="BR708" s="175"/>
      <c r="BS708" s="147"/>
    </row>
    <row r="709">
      <c r="I709" s="128"/>
      <c r="J709" s="129"/>
      <c r="K709" s="129"/>
      <c r="S709" s="170"/>
      <c r="T709" s="171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  <c r="AE709" s="172"/>
      <c r="AF709" s="172"/>
      <c r="AG709" s="172"/>
      <c r="AH709" s="172"/>
      <c r="AI709" s="172"/>
      <c r="AJ709" s="172"/>
      <c r="AK709" s="172"/>
      <c r="AL709" s="172"/>
      <c r="AM709" s="172"/>
      <c r="AN709" s="172"/>
      <c r="AO709" s="172"/>
      <c r="AP709" s="172"/>
      <c r="AQ709" s="172"/>
      <c r="AR709" s="172"/>
      <c r="AS709" s="172"/>
      <c r="AT709" s="173"/>
      <c r="AU709" s="174"/>
      <c r="AV709" s="174"/>
      <c r="AW709" s="174"/>
      <c r="AX709" s="174"/>
      <c r="AY709" s="174"/>
      <c r="AZ709" s="174"/>
      <c r="BA709" s="174"/>
      <c r="BB709" s="174"/>
      <c r="BC709" s="174"/>
      <c r="BD709" s="174"/>
      <c r="BE709" s="174"/>
      <c r="BF709" s="174"/>
      <c r="BG709" s="174"/>
      <c r="BH709" s="174"/>
      <c r="BI709" s="174"/>
      <c r="BJ709" s="174"/>
      <c r="BK709" s="174"/>
      <c r="BL709" s="174"/>
      <c r="BM709" s="174"/>
      <c r="BN709" s="174"/>
      <c r="BO709" s="174"/>
      <c r="BP709" s="174"/>
      <c r="BQ709" s="174"/>
      <c r="BR709" s="175"/>
      <c r="BS709" s="147"/>
    </row>
    <row r="710">
      <c r="I710" s="128"/>
      <c r="J710" s="129"/>
      <c r="K710" s="129"/>
      <c r="S710" s="170"/>
      <c r="T710" s="171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  <c r="AE710" s="172"/>
      <c r="AF710" s="172"/>
      <c r="AG710" s="172"/>
      <c r="AH710" s="172"/>
      <c r="AI710" s="172"/>
      <c r="AJ710" s="172"/>
      <c r="AK710" s="172"/>
      <c r="AL710" s="172"/>
      <c r="AM710" s="172"/>
      <c r="AN710" s="172"/>
      <c r="AO710" s="172"/>
      <c r="AP710" s="172"/>
      <c r="AQ710" s="172"/>
      <c r="AR710" s="172"/>
      <c r="AS710" s="172"/>
      <c r="AT710" s="173"/>
      <c r="AU710" s="174"/>
      <c r="AV710" s="174"/>
      <c r="AW710" s="174"/>
      <c r="AX710" s="174"/>
      <c r="AY710" s="174"/>
      <c r="AZ710" s="174"/>
      <c r="BA710" s="174"/>
      <c r="BB710" s="174"/>
      <c r="BC710" s="174"/>
      <c r="BD710" s="174"/>
      <c r="BE710" s="174"/>
      <c r="BF710" s="174"/>
      <c r="BG710" s="174"/>
      <c r="BH710" s="174"/>
      <c r="BI710" s="174"/>
      <c r="BJ710" s="174"/>
      <c r="BK710" s="174"/>
      <c r="BL710" s="174"/>
      <c r="BM710" s="174"/>
      <c r="BN710" s="174"/>
      <c r="BO710" s="174"/>
      <c r="BP710" s="174"/>
      <c r="BQ710" s="174"/>
      <c r="BR710" s="175"/>
      <c r="BS710" s="147"/>
    </row>
    <row r="711">
      <c r="I711" s="128"/>
      <c r="J711" s="129"/>
      <c r="K711" s="129"/>
      <c r="S711" s="170"/>
      <c r="T711" s="171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  <c r="AE711" s="172"/>
      <c r="AF711" s="172"/>
      <c r="AG711" s="172"/>
      <c r="AH711" s="172"/>
      <c r="AI711" s="172"/>
      <c r="AJ711" s="172"/>
      <c r="AK711" s="172"/>
      <c r="AL711" s="172"/>
      <c r="AM711" s="172"/>
      <c r="AN711" s="172"/>
      <c r="AO711" s="172"/>
      <c r="AP711" s="172"/>
      <c r="AQ711" s="172"/>
      <c r="AR711" s="172"/>
      <c r="AS711" s="172"/>
      <c r="AT711" s="173"/>
      <c r="AU711" s="174"/>
      <c r="AV711" s="174"/>
      <c r="AW711" s="174"/>
      <c r="AX711" s="174"/>
      <c r="AY711" s="174"/>
      <c r="AZ711" s="174"/>
      <c r="BA711" s="174"/>
      <c r="BB711" s="174"/>
      <c r="BC711" s="174"/>
      <c r="BD711" s="174"/>
      <c r="BE711" s="174"/>
      <c r="BF711" s="174"/>
      <c r="BG711" s="174"/>
      <c r="BH711" s="174"/>
      <c r="BI711" s="174"/>
      <c r="BJ711" s="174"/>
      <c r="BK711" s="174"/>
      <c r="BL711" s="174"/>
      <c r="BM711" s="174"/>
      <c r="BN711" s="174"/>
      <c r="BO711" s="174"/>
      <c r="BP711" s="174"/>
      <c r="BQ711" s="174"/>
      <c r="BR711" s="175"/>
      <c r="BS711" s="147"/>
    </row>
    <row r="712">
      <c r="I712" s="128"/>
      <c r="J712" s="129"/>
      <c r="K712" s="129"/>
      <c r="S712" s="170"/>
      <c r="T712" s="171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  <c r="AE712" s="172"/>
      <c r="AF712" s="172"/>
      <c r="AG712" s="172"/>
      <c r="AH712" s="172"/>
      <c r="AI712" s="172"/>
      <c r="AJ712" s="172"/>
      <c r="AK712" s="172"/>
      <c r="AL712" s="172"/>
      <c r="AM712" s="172"/>
      <c r="AN712" s="172"/>
      <c r="AO712" s="172"/>
      <c r="AP712" s="172"/>
      <c r="AQ712" s="172"/>
      <c r="AR712" s="172"/>
      <c r="AS712" s="172"/>
      <c r="AT712" s="173"/>
      <c r="AU712" s="174"/>
      <c r="AV712" s="174"/>
      <c r="AW712" s="174"/>
      <c r="AX712" s="174"/>
      <c r="AY712" s="174"/>
      <c r="AZ712" s="174"/>
      <c r="BA712" s="174"/>
      <c r="BB712" s="174"/>
      <c r="BC712" s="174"/>
      <c r="BD712" s="174"/>
      <c r="BE712" s="174"/>
      <c r="BF712" s="174"/>
      <c r="BG712" s="174"/>
      <c r="BH712" s="174"/>
      <c r="BI712" s="174"/>
      <c r="BJ712" s="174"/>
      <c r="BK712" s="174"/>
      <c r="BL712" s="174"/>
      <c r="BM712" s="174"/>
      <c r="BN712" s="174"/>
      <c r="BO712" s="174"/>
      <c r="BP712" s="174"/>
      <c r="BQ712" s="174"/>
      <c r="BR712" s="175"/>
      <c r="BS712" s="147"/>
    </row>
    <row r="713">
      <c r="I713" s="128"/>
      <c r="J713" s="129"/>
      <c r="K713" s="129"/>
      <c r="S713" s="170"/>
      <c r="T713" s="171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  <c r="AE713" s="172"/>
      <c r="AF713" s="172"/>
      <c r="AG713" s="172"/>
      <c r="AH713" s="172"/>
      <c r="AI713" s="172"/>
      <c r="AJ713" s="172"/>
      <c r="AK713" s="172"/>
      <c r="AL713" s="172"/>
      <c r="AM713" s="172"/>
      <c r="AN713" s="172"/>
      <c r="AO713" s="172"/>
      <c r="AP713" s="172"/>
      <c r="AQ713" s="172"/>
      <c r="AR713" s="172"/>
      <c r="AS713" s="172"/>
      <c r="AT713" s="173"/>
      <c r="AU713" s="174"/>
      <c r="AV713" s="174"/>
      <c r="AW713" s="174"/>
      <c r="AX713" s="174"/>
      <c r="AY713" s="174"/>
      <c r="AZ713" s="174"/>
      <c r="BA713" s="174"/>
      <c r="BB713" s="174"/>
      <c r="BC713" s="174"/>
      <c r="BD713" s="174"/>
      <c r="BE713" s="174"/>
      <c r="BF713" s="174"/>
      <c r="BG713" s="174"/>
      <c r="BH713" s="174"/>
      <c r="BI713" s="174"/>
      <c r="BJ713" s="174"/>
      <c r="BK713" s="174"/>
      <c r="BL713" s="174"/>
      <c r="BM713" s="174"/>
      <c r="BN713" s="174"/>
      <c r="BO713" s="174"/>
      <c r="BP713" s="174"/>
      <c r="BQ713" s="174"/>
      <c r="BR713" s="175"/>
      <c r="BS713" s="147"/>
    </row>
    <row r="714">
      <c r="I714" s="128"/>
      <c r="J714" s="129"/>
      <c r="K714" s="129"/>
      <c r="S714" s="170"/>
      <c r="T714" s="171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  <c r="AE714" s="172"/>
      <c r="AF714" s="172"/>
      <c r="AG714" s="172"/>
      <c r="AH714" s="172"/>
      <c r="AI714" s="172"/>
      <c r="AJ714" s="172"/>
      <c r="AK714" s="172"/>
      <c r="AL714" s="172"/>
      <c r="AM714" s="172"/>
      <c r="AN714" s="172"/>
      <c r="AO714" s="172"/>
      <c r="AP714" s="172"/>
      <c r="AQ714" s="172"/>
      <c r="AR714" s="172"/>
      <c r="AS714" s="172"/>
      <c r="AT714" s="173"/>
      <c r="AU714" s="174"/>
      <c r="AV714" s="174"/>
      <c r="AW714" s="174"/>
      <c r="AX714" s="174"/>
      <c r="AY714" s="174"/>
      <c r="AZ714" s="174"/>
      <c r="BA714" s="174"/>
      <c r="BB714" s="174"/>
      <c r="BC714" s="174"/>
      <c r="BD714" s="174"/>
      <c r="BE714" s="174"/>
      <c r="BF714" s="174"/>
      <c r="BG714" s="174"/>
      <c r="BH714" s="174"/>
      <c r="BI714" s="174"/>
      <c r="BJ714" s="174"/>
      <c r="BK714" s="174"/>
      <c r="BL714" s="174"/>
      <c r="BM714" s="174"/>
      <c r="BN714" s="174"/>
      <c r="BO714" s="174"/>
      <c r="BP714" s="174"/>
      <c r="BQ714" s="174"/>
      <c r="BR714" s="175"/>
      <c r="BS714" s="147"/>
    </row>
    <row r="715">
      <c r="I715" s="128"/>
      <c r="J715" s="129"/>
      <c r="K715" s="129"/>
      <c r="S715" s="170"/>
      <c r="T715" s="171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  <c r="AE715" s="172"/>
      <c r="AF715" s="172"/>
      <c r="AG715" s="172"/>
      <c r="AH715" s="172"/>
      <c r="AI715" s="172"/>
      <c r="AJ715" s="172"/>
      <c r="AK715" s="172"/>
      <c r="AL715" s="172"/>
      <c r="AM715" s="172"/>
      <c r="AN715" s="172"/>
      <c r="AO715" s="172"/>
      <c r="AP715" s="172"/>
      <c r="AQ715" s="172"/>
      <c r="AR715" s="172"/>
      <c r="AS715" s="172"/>
      <c r="AT715" s="173"/>
      <c r="AU715" s="174"/>
      <c r="AV715" s="174"/>
      <c r="AW715" s="174"/>
      <c r="AX715" s="174"/>
      <c r="AY715" s="174"/>
      <c r="AZ715" s="174"/>
      <c r="BA715" s="174"/>
      <c r="BB715" s="174"/>
      <c r="BC715" s="174"/>
      <c r="BD715" s="174"/>
      <c r="BE715" s="174"/>
      <c r="BF715" s="174"/>
      <c r="BG715" s="174"/>
      <c r="BH715" s="174"/>
      <c r="BI715" s="174"/>
      <c r="BJ715" s="174"/>
      <c r="BK715" s="174"/>
      <c r="BL715" s="174"/>
      <c r="BM715" s="174"/>
      <c r="BN715" s="174"/>
      <c r="BO715" s="174"/>
      <c r="BP715" s="174"/>
      <c r="BQ715" s="174"/>
      <c r="BR715" s="175"/>
      <c r="BS715" s="147"/>
    </row>
    <row r="716">
      <c r="I716" s="128"/>
      <c r="J716" s="129"/>
      <c r="K716" s="129"/>
      <c r="S716" s="170"/>
      <c r="T716" s="171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  <c r="AE716" s="172"/>
      <c r="AF716" s="172"/>
      <c r="AG716" s="172"/>
      <c r="AH716" s="172"/>
      <c r="AI716" s="172"/>
      <c r="AJ716" s="172"/>
      <c r="AK716" s="172"/>
      <c r="AL716" s="172"/>
      <c r="AM716" s="172"/>
      <c r="AN716" s="172"/>
      <c r="AO716" s="172"/>
      <c r="AP716" s="172"/>
      <c r="AQ716" s="172"/>
      <c r="AR716" s="172"/>
      <c r="AS716" s="172"/>
      <c r="AT716" s="173"/>
      <c r="AU716" s="174"/>
      <c r="AV716" s="174"/>
      <c r="AW716" s="174"/>
      <c r="AX716" s="174"/>
      <c r="AY716" s="174"/>
      <c r="AZ716" s="174"/>
      <c r="BA716" s="174"/>
      <c r="BB716" s="174"/>
      <c r="BC716" s="174"/>
      <c r="BD716" s="174"/>
      <c r="BE716" s="174"/>
      <c r="BF716" s="174"/>
      <c r="BG716" s="174"/>
      <c r="BH716" s="174"/>
      <c r="BI716" s="174"/>
      <c r="BJ716" s="174"/>
      <c r="BK716" s="174"/>
      <c r="BL716" s="174"/>
      <c r="BM716" s="174"/>
      <c r="BN716" s="174"/>
      <c r="BO716" s="174"/>
      <c r="BP716" s="174"/>
      <c r="BQ716" s="174"/>
      <c r="BR716" s="175"/>
      <c r="BS716" s="147"/>
    </row>
    <row r="717">
      <c r="I717" s="128"/>
      <c r="J717" s="129"/>
      <c r="K717" s="129"/>
      <c r="S717" s="170"/>
      <c r="T717" s="171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  <c r="AE717" s="172"/>
      <c r="AF717" s="172"/>
      <c r="AG717" s="172"/>
      <c r="AH717" s="172"/>
      <c r="AI717" s="172"/>
      <c r="AJ717" s="172"/>
      <c r="AK717" s="172"/>
      <c r="AL717" s="172"/>
      <c r="AM717" s="172"/>
      <c r="AN717" s="172"/>
      <c r="AO717" s="172"/>
      <c r="AP717" s="172"/>
      <c r="AQ717" s="172"/>
      <c r="AR717" s="172"/>
      <c r="AS717" s="172"/>
      <c r="AT717" s="173"/>
      <c r="AU717" s="174"/>
      <c r="AV717" s="174"/>
      <c r="AW717" s="174"/>
      <c r="AX717" s="174"/>
      <c r="AY717" s="174"/>
      <c r="AZ717" s="174"/>
      <c r="BA717" s="174"/>
      <c r="BB717" s="174"/>
      <c r="BC717" s="174"/>
      <c r="BD717" s="174"/>
      <c r="BE717" s="174"/>
      <c r="BF717" s="174"/>
      <c r="BG717" s="174"/>
      <c r="BH717" s="174"/>
      <c r="BI717" s="174"/>
      <c r="BJ717" s="174"/>
      <c r="BK717" s="174"/>
      <c r="BL717" s="174"/>
      <c r="BM717" s="174"/>
      <c r="BN717" s="174"/>
      <c r="BO717" s="174"/>
      <c r="BP717" s="174"/>
      <c r="BQ717" s="174"/>
      <c r="BR717" s="175"/>
      <c r="BS717" s="147"/>
    </row>
    <row r="718">
      <c r="I718" s="128"/>
      <c r="J718" s="129"/>
      <c r="K718" s="129"/>
      <c r="S718" s="170"/>
      <c r="T718" s="171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  <c r="AE718" s="172"/>
      <c r="AF718" s="172"/>
      <c r="AG718" s="172"/>
      <c r="AH718" s="172"/>
      <c r="AI718" s="172"/>
      <c r="AJ718" s="172"/>
      <c r="AK718" s="172"/>
      <c r="AL718" s="172"/>
      <c r="AM718" s="172"/>
      <c r="AN718" s="172"/>
      <c r="AO718" s="172"/>
      <c r="AP718" s="172"/>
      <c r="AQ718" s="172"/>
      <c r="AR718" s="172"/>
      <c r="AS718" s="172"/>
      <c r="AT718" s="173"/>
      <c r="AU718" s="174"/>
      <c r="AV718" s="174"/>
      <c r="AW718" s="174"/>
      <c r="AX718" s="174"/>
      <c r="AY718" s="174"/>
      <c r="AZ718" s="174"/>
      <c r="BA718" s="174"/>
      <c r="BB718" s="174"/>
      <c r="BC718" s="174"/>
      <c r="BD718" s="174"/>
      <c r="BE718" s="174"/>
      <c r="BF718" s="174"/>
      <c r="BG718" s="174"/>
      <c r="BH718" s="174"/>
      <c r="BI718" s="174"/>
      <c r="BJ718" s="174"/>
      <c r="BK718" s="174"/>
      <c r="BL718" s="174"/>
      <c r="BM718" s="174"/>
      <c r="BN718" s="174"/>
      <c r="BO718" s="174"/>
      <c r="BP718" s="174"/>
      <c r="BQ718" s="174"/>
      <c r="BR718" s="175"/>
      <c r="BS718" s="147"/>
    </row>
    <row r="719">
      <c r="I719" s="128"/>
      <c r="J719" s="129"/>
      <c r="K719" s="129"/>
      <c r="S719" s="170"/>
      <c r="T719" s="171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  <c r="AE719" s="172"/>
      <c r="AF719" s="172"/>
      <c r="AG719" s="172"/>
      <c r="AH719" s="172"/>
      <c r="AI719" s="172"/>
      <c r="AJ719" s="172"/>
      <c r="AK719" s="172"/>
      <c r="AL719" s="172"/>
      <c r="AM719" s="172"/>
      <c r="AN719" s="172"/>
      <c r="AO719" s="172"/>
      <c r="AP719" s="172"/>
      <c r="AQ719" s="172"/>
      <c r="AR719" s="172"/>
      <c r="AS719" s="172"/>
      <c r="AT719" s="173"/>
      <c r="AU719" s="174"/>
      <c r="AV719" s="174"/>
      <c r="AW719" s="174"/>
      <c r="AX719" s="174"/>
      <c r="AY719" s="174"/>
      <c r="AZ719" s="174"/>
      <c r="BA719" s="174"/>
      <c r="BB719" s="174"/>
      <c r="BC719" s="174"/>
      <c r="BD719" s="174"/>
      <c r="BE719" s="174"/>
      <c r="BF719" s="174"/>
      <c r="BG719" s="174"/>
      <c r="BH719" s="174"/>
      <c r="BI719" s="174"/>
      <c r="BJ719" s="174"/>
      <c r="BK719" s="174"/>
      <c r="BL719" s="174"/>
      <c r="BM719" s="174"/>
      <c r="BN719" s="174"/>
      <c r="BO719" s="174"/>
      <c r="BP719" s="174"/>
      <c r="BQ719" s="174"/>
      <c r="BR719" s="175"/>
      <c r="BS719" s="147"/>
    </row>
    <row r="720">
      <c r="I720" s="128"/>
      <c r="J720" s="129"/>
      <c r="K720" s="129"/>
      <c r="S720" s="170"/>
      <c r="T720" s="171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  <c r="AE720" s="172"/>
      <c r="AF720" s="172"/>
      <c r="AG720" s="172"/>
      <c r="AH720" s="172"/>
      <c r="AI720" s="172"/>
      <c r="AJ720" s="172"/>
      <c r="AK720" s="172"/>
      <c r="AL720" s="172"/>
      <c r="AM720" s="172"/>
      <c r="AN720" s="172"/>
      <c r="AO720" s="172"/>
      <c r="AP720" s="172"/>
      <c r="AQ720" s="172"/>
      <c r="AR720" s="172"/>
      <c r="AS720" s="172"/>
      <c r="AT720" s="173"/>
      <c r="AU720" s="174"/>
      <c r="AV720" s="174"/>
      <c r="AW720" s="174"/>
      <c r="AX720" s="174"/>
      <c r="AY720" s="174"/>
      <c r="AZ720" s="174"/>
      <c r="BA720" s="174"/>
      <c r="BB720" s="174"/>
      <c r="BC720" s="174"/>
      <c r="BD720" s="174"/>
      <c r="BE720" s="174"/>
      <c r="BF720" s="174"/>
      <c r="BG720" s="174"/>
      <c r="BH720" s="174"/>
      <c r="BI720" s="174"/>
      <c r="BJ720" s="174"/>
      <c r="BK720" s="174"/>
      <c r="BL720" s="174"/>
      <c r="BM720" s="174"/>
      <c r="BN720" s="174"/>
      <c r="BO720" s="174"/>
      <c r="BP720" s="174"/>
      <c r="BQ720" s="174"/>
      <c r="BR720" s="175"/>
      <c r="BS720" s="147"/>
    </row>
    <row r="721">
      <c r="I721" s="128"/>
      <c r="J721" s="129"/>
      <c r="K721" s="129"/>
      <c r="S721" s="170"/>
      <c r="T721" s="171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  <c r="AE721" s="172"/>
      <c r="AF721" s="172"/>
      <c r="AG721" s="172"/>
      <c r="AH721" s="172"/>
      <c r="AI721" s="172"/>
      <c r="AJ721" s="172"/>
      <c r="AK721" s="172"/>
      <c r="AL721" s="172"/>
      <c r="AM721" s="172"/>
      <c r="AN721" s="172"/>
      <c r="AO721" s="172"/>
      <c r="AP721" s="172"/>
      <c r="AQ721" s="172"/>
      <c r="AR721" s="172"/>
      <c r="AS721" s="172"/>
      <c r="AT721" s="173"/>
      <c r="AU721" s="174"/>
      <c r="AV721" s="174"/>
      <c r="AW721" s="174"/>
      <c r="AX721" s="174"/>
      <c r="AY721" s="174"/>
      <c r="AZ721" s="174"/>
      <c r="BA721" s="174"/>
      <c r="BB721" s="174"/>
      <c r="BC721" s="174"/>
      <c r="BD721" s="174"/>
      <c r="BE721" s="174"/>
      <c r="BF721" s="174"/>
      <c r="BG721" s="174"/>
      <c r="BH721" s="174"/>
      <c r="BI721" s="174"/>
      <c r="BJ721" s="174"/>
      <c r="BK721" s="174"/>
      <c r="BL721" s="174"/>
      <c r="BM721" s="174"/>
      <c r="BN721" s="174"/>
      <c r="BO721" s="174"/>
      <c r="BP721" s="174"/>
      <c r="BQ721" s="174"/>
      <c r="BR721" s="175"/>
      <c r="BS721" s="147"/>
    </row>
    <row r="722">
      <c r="I722" s="128"/>
      <c r="J722" s="129"/>
      <c r="K722" s="129"/>
      <c r="S722" s="170"/>
      <c r="T722" s="171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  <c r="AE722" s="172"/>
      <c r="AF722" s="172"/>
      <c r="AG722" s="172"/>
      <c r="AH722" s="172"/>
      <c r="AI722" s="172"/>
      <c r="AJ722" s="172"/>
      <c r="AK722" s="172"/>
      <c r="AL722" s="172"/>
      <c r="AM722" s="172"/>
      <c r="AN722" s="172"/>
      <c r="AO722" s="172"/>
      <c r="AP722" s="172"/>
      <c r="AQ722" s="172"/>
      <c r="AR722" s="172"/>
      <c r="AS722" s="172"/>
      <c r="AT722" s="173"/>
      <c r="AU722" s="174"/>
      <c r="AV722" s="174"/>
      <c r="AW722" s="174"/>
      <c r="AX722" s="174"/>
      <c r="AY722" s="174"/>
      <c r="AZ722" s="174"/>
      <c r="BA722" s="174"/>
      <c r="BB722" s="174"/>
      <c r="BC722" s="174"/>
      <c r="BD722" s="174"/>
      <c r="BE722" s="174"/>
      <c r="BF722" s="174"/>
      <c r="BG722" s="174"/>
      <c r="BH722" s="174"/>
      <c r="BI722" s="174"/>
      <c r="BJ722" s="174"/>
      <c r="BK722" s="174"/>
      <c r="BL722" s="174"/>
      <c r="BM722" s="174"/>
      <c r="BN722" s="174"/>
      <c r="BO722" s="174"/>
      <c r="BP722" s="174"/>
      <c r="BQ722" s="174"/>
      <c r="BR722" s="175"/>
      <c r="BS722" s="147"/>
    </row>
    <row r="723">
      <c r="I723" s="128"/>
      <c r="J723" s="129"/>
      <c r="K723" s="129"/>
      <c r="S723" s="170"/>
      <c r="T723" s="171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  <c r="AE723" s="172"/>
      <c r="AF723" s="172"/>
      <c r="AG723" s="172"/>
      <c r="AH723" s="172"/>
      <c r="AI723" s="172"/>
      <c r="AJ723" s="172"/>
      <c r="AK723" s="172"/>
      <c r="AL723" s="172"/>
      <c r="AM723" s="172"/>
      <c r="AN723" s="172"/>
      <c r="AO723" s="172"/>
      <c r="AP723" s="172"/>
      <c r="AQ723" s="172"/>
      <c r="AR723" s="172"/>
      <c r="AS723" s="172"/>
      <c r="AT723" s="173"/>
      <c r="AU723" s="174"/>
      <c r="AV723" s="174"/>
      <c r="AW723" s="174"/>
      <c r="AX723" s="174"/>
      <c r="AY723" s="174"/>
      <c r="AZ723" s="174"/>
      <c r="BA723" s="174"/>
      <c r="BB723" s="174"/>
      <c r="BC723" s="174"/>
      <c r="BD723" s="174"/>
      <c r="BE723" s="174"/>
      <c r="BF723" s="174"/>
      <c r="BG723" s="174"/>
      <c r="BH723" s="174"/>
      <c r="BI723" s="174"/>
      <c r="BJ723" s="174"/>
      <c r="BK723" s="174"/>
      <c r="BL723" s="174"/>
      <c r="BM723" s="174"/>
      <c r="BN723" s="174"/>
      <c r="BO723" s="174"/>
      <c r="BP723" s="174"/>
      <c r="BQ723" s="174"/>
      <c r="BR723" s="175"/>
      <c r="BS723" s="147"/>
    </row>
    <row r="724">
      <c r="I724" s="128"/>
      <c r="J724" s="129"/>
      <c r="K724" s="129"/>
      <c r="S724" s="170"/>
      <c r="T724" s="171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  <c r="AE724" s="172"/>
      <c r="AF724" s="172"/>
      <c r="AG724" s="172"/>
      <c r="AH724" s="172"/>
      <c r="AI724" s="172"/>
      <c r="AJ724" s="172"/>
      <c r="AK724" s="172"/>
      <c r="AL724" s="172"/>
      <c r="AM724" s="172"/>
      <c r="AN724" s="172"/>
      <c r="AO724" s="172"/>
      <c r="AP724" s="172"/>
      <c r="AQ724" s="172"/>
      <c r="AR724" s="172"/>
      <c r="AS724" s="172"/>
      <c r="AT724" s="173"/>
      <c r="AU724" s="174"/>
      <c r="AV724" s="174"/>
      <c r="AW724" s="174"/>
      <c r="AX724" s="174"/>
      <c r="AY724" s="174"/>
      <c r="AZ724" s="174"/>
      <c r="BA724" s="174"/>
      <c r="BB724" s="174"/>
      <c r="BC724" s="174"/>
      <c r="BD724" s="174"/>
      <c r="BE724" s="174"/>
      <c r="BF724" s="174"/>
      <c r="BG724" s="174"/>
      <c r="BH724" s="174"/>
      <c r="BI724" s="174"/>
      <c r="BJ724" s="174"/>
      <c r="BK724" s="174"/>
      <c r="BL724" s="174"/>
      <c r="BM724" s="174"/>
      <c r="BN724" s="174"/>
      <c r="BO724" s="174"/>
      <c r="BP724" s="174"/>
      <c r="BQ724" s="174"/>
      <c r="BR724" s="175"/>
      <c r="BS724" s="147"/>
    </row>
    <row r="725">
      <c r="I725" s="128"/>
      <c r="J725" s="129"/>
      <c r="K725" s="129"/>
      <c r="S725" s="170"/>
      <c r="T725" s="171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  <c r="AE725" s="172"/>
      <c r="AF725" s="172"/>
      <c r="AG725" s="172"/>
      <c r="AH725" s="172"/>
      <c r="AI725" s="172"/>
      <c r="AJ725" s="172"/>
      <c r="AK725" s="172"/>
      <c r="AL725" s="172"/>
      <c r="AM725" s="172"/>
      <c r="AN725" s="172"/>
      <c r="AO725" s="172"/>
      <c r="AP725" s="172"/>
      <c r="AQ725" s="172"/>
      <c r="AR725" s="172"/>
      <c r="AS725" s="172"/>
      <c r="AT725" s="173"/>
      <c r="AU725" s="174"/>
      <c r="AV725" s="174"/>
      <c r="AW725" s="174"/>
      <c r="AX725" s="174"/>
      <c r="AY725" s="174"/>
      <c r="AZ725" s="174"/>
      <c r="BA725" s="174"/>
      <c r="BB725" s="174"/>
      <c r="BC725" s="174"/>
      <c r="BD725" s="174"/>
      <c r="BE725" s="174"/>
      <c r="BF725" s="174"/>
      <c r="BG725" s="174"/>
      <c r="BH725" s="174"/>
      <c r="BI725" s="174"/>
      <c r="BJ725" s="174"/>
      <c r="BK725" s="174"/>
      <c r="BL725" s="174"/>
      <c r="BM725" s="174"/>
      <c r="BN725" s="174"/>
      <c r="BO725" s="174"/>
      <c r="BP725" s="174"/>
      <c r="BQ725" s="174"/>
      <c r="BR725" s="175"/>
      <c r="BS725" s="147"/>
    </row>
    <row r="726">
      <c r="I726" s="128"/>
      <c r="J726" s="129"/>
      <c r="K726" s="129"/>
      <c r="S726" s="170"/>
      <c r="T726" s="171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  <c r="AE726" s="172"/>
      <c r="AF726" s="172"/>
      <c r="AG726" s="172"/>
      <c r="AH726" s="172"/>
      <c r="AI726" s="172"/>
      <c r="AJ726" s="172"/>
      <c r="AK726" s="172"/>
      <c r="AL726" s="172"/>
      <c r="AM726" s="172"/>
      <c r="AN726" s="172"/>
      <c r="AO726" s="172"/>
      <c r="AP726" s="172"/>
      <c r="AQ726" s="172"/>
      <c r="AR726" s="172"/>
      <c r="AS726" s="172"/>
      <c r="AT726" s="173"/>
      <c r="AU726" s="174"/>
      <c r="AV726" s="174"/>
      <c r="AW726" s="174"/>
      <c r="AX726" s="174"/>
      <c r="AY726" s="174"/>
      <c r="AZ726" s="174"/>
      <c r="BA726" s="174"/>
      <c r="BB726" s="174"/>
      <c r="BC726" s="174"/>
      <c r="BD726" s="174"/>
      <c r="BE726" s="174"/>
      <c r="BF726" s="174"/>
      <c r="BG726" s="174"/>
      <c r="BH726" s="174"/>
      <c r="BI726" s="174"/>
      <c r="BJ726" s="174"/>
      <c r="BK726" s="174"/>
      <c r="BL726" s="174"/>
      <c r="BM726" s="174"/>
      <c r="BN726" s="174"/>
      <c r="BO726" s="174"/>
      <c r="BP726" s="174"/>
      <c r="BQ726" s="174"/>
      <c r="BR726" s="175"/>
      <c r="BS726" s="147"/>
    </row>
    <row r="727">
      <c r="I727" s="128"/>
      <c r="J727" s="129"/>
      <c r="K727" s="129"/>
      <c r="S727" s="170"/>
      <c r="T727" s="171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  <c r="AE727" s="172"/>
      <c r="AF727" s="172"/>
      <c r="AG727" s="172"/>
      <c r="AH727" s="172"/>
      <c r="AI727" s="172"/>
      <c r="AJ727" s="172"/>
      <c r="AK727" s="172"/>
      <c r="AL727" s="172"/>
      <c r="AM727" s="172"/>
      <c r="AN727" s="172"/>
      <c r="AO727" s="172"/>
      <c r="AP727" s="172"/>
      <c r="AQ727" s="172"/>
      <c r="AR727" s="172"/>
      <c r="AS727" s="172"/>
      <c r="AT727" s="173"/>
      <c r="AU727" s="174"/>
      <c r="AV727" s="174"/>
      <c r="AW727" s="174"/>
      <c r="AX727" s="174"/>
      <c r="AY727" s="174"/>
      <c r="AZ727" s="174"/>
      <c r="BA727" s="174"/>
      <c r="BB727" s="174"/>
      <c r="BC727" s="174"/>
      <c r="BD727" s="174"/>
      <c r="BE727" s="174"/>
      <c r="BF727" s="174"/>
      <c r="BG727" s="174"/>
      <c r="BH727" s="174"/>
      <c r="BI727" s="174"/>
      <c r="BJ727" s="174"/>
      <c r="BK727" s="174"/>
      <c r="BL727" s="174"/>
      <c r="BM727" s="174"/>
      <c r="BN727" s="174"/>
      <c r="BO727" s="174"/>
      <c r="BP727" s="174"/>
      <c r="BQ727" s="174"/>
      <c r="BR727" s="175"/>
      <c r="BS727" s="147"/>
    </row>
    <row r="728">
      <c r="I728" s="128"/>
      <c r="J728" s="129"/>
      <c r="K728" s="129"/>
      <c r="S728" s="170"/>
      <c r="T728" s="171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  <c r="AE728" s="172"/>
      <c r="AF728" s="172"/>
      <c r="AG728" s="172"/>
      <c r="AH728" s="172"/>
      <c r="AI728" s="172"/>
      <c r="AJ728" s="172"/>
      <c r="AK728" s="172"/>
      <c r="AL728" s="172"/>
      <c r="AM728" s="172"/>
      <c r="AN728" s="172"/>
      <c r="AO728" s="172"/>
      <c r="AP728" s="172"/>
      <c r="AQ728" s="172"/>
      <c r="AR728" s="172"/>
      <c r="AS728" s="172"/>
      <c r="AT728" s="173"/>
      <c r="AU728" s="174"/>
      <c r="AV728" s="174"/>
      <c r="AW728" s="174"/>
      <c r="AX728" s="174"/>
      <c r="AY728" s="174"/>
      <c r="AZ728" s="174"/>
      <c r="BA728" s="174"/>
      <c r="BB728" s="174"/>
      <c r="BC728" s="174"/>
      <c r="BD728" s="174"/>
      <c r="BE728" s="174"/>
      <c r="BF728" s="174"/>
      <c r="BG728" s="174"/>
      <c r="BH728" s="174"/>
      <c r="BI728" s="174"/>
      <c r="BJ728" s="174"/>
      <c r="BK728" s="174"/>
      <c r="BL728" s="174"/>
      <c r="BM728" s="174"/>
      <c r="BN728" s="174"/>
      <c r="BO728" s="174"/>
      <c r="BP728" s="174"/>
      <c r="BQ728" s="174"/>
      <c r="BR728" s="175"/>
      <c r="BS728" s="147"/>
    </row>
    <row r="729">
      <c r="I729" s="128"/>
      <c r="J729" s="129"/>
      <c r="K729" s="129"/>
      <c r="S729" s="170"/>
      <c r="T729" s="171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  <c r="AE729" s="172"/>
      <c r="AF729" s="172"/>
      <c r="AG729" s="172"/>
      <c r="AH729" s="172"/>
      <c r="AI729" s="172"/>
      <c r="AJ729" s="172"/>
      <c r="AK729" s="172"/>
      <c r="AL729" s="172"/>
      <c r="AM729" s="172"/>
      <c r="AN729" s="172"/>
      <c r="AO729" s="172"/>
      <c r="AP729" s="172"/>
      <c r="AQ729" s="172"/>
      <c r="AR729" s="172"/>
      <c r="AS729" s="172"/>
      <c r="AT729" s="173"/>
      <c r="AU729" s="174"/>
      <c r="AV729" s="174"/>
      <c r="AW729" s="174"/>
      <c r="AX729" s="174"/>
      <c r="AY729" s="174"/>
      <c r="AZ729" s="174"/>
      <c r="BA729" s="174"/>
      <c r="BB729" s="174"/>
      <c r="BC729" s="174"/>
      <c r="BD729" s="174"/>
      <c r="BE729" s="174"/>
      <c r="BF729" s="174"/>
      <c r="BG729" s="174"/>
      <c r="BH729" s="174"/>
      <c r="BI729" s="174"/>
      <c r="BJ729" s="174"/>
      <c r="BK729" s="174"/>
      <c r="BL729" s="174"/>
      <c r="BM729" s="174"/>
      <c r="BN729" s="174"/>
      <c r="BO729" s="174"/>
      <c r="BP729" s="174"/>
      <c r="BQ729" s="174"/>
      <c r="BR729" s="175"/>
      <c r="BS729" s="147"/>
    </row>
    <row r="730">
      <c r="I730" s="128"/>
      <c r="J730" s="129"/>
      <c r="K730" s="129"/>
      <c r="S730" s="170"/>
      <c r="T730" s="171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  <c r="AE730" s="172"/>
      <c r="AF730" s="172"/>
      <c r="AG730" s="172"/>
      <c r="AH730" s="172"/>
      <c r="AI730" s="172"/>
      <c r="AJ730" s="172"/>
      <c r="AK730" s="172"/>
      <c r="AL730" s="172"/>
      <c r="AM730" s="172"/>
      <c r="AN730" s="172"/>
      <c r="AO730" s="172"/>
      <c r="AP730" s="172"/>
      <c r="AQ730" s="172"/>
      <c r="AR730" s="172"/>
      <c r="AS730" s="172"/>
      <c r="AT730" s="173"/>
      <c r="AU730" s="174"/>
      <c r="AV730" s="174"/>
      <c r="AW730" s="174"/>
      <c r="AX730" s="174"/>
      <c r="AY730" s="174"/>
      <c r="AZ730" s="174"/>
      <c r="BA730" s="174"/>
      <c r="BB730" s="174"/>
      <c r="BC730" s="174"/>
      <c r="BD730" s="174"/>
      <c r="BE730" s="174"/>
      <c r="BF730" s="174"/>
      <c r="BG730" s="174"/>
      <c r="BH730" s="174"/>
      <c r="BI730" s="174"/>
      <c r="BJ730" s="174"/>
      <c r="BK730" s="174"/>
      <c r="BL730" s="174"/>
      <c r="BM730" s="174"/>
      <c r="BN730" s="174"/>
      <c r="BO730" s="174"/>
      <c r="BP730" s="174"/>
      <c r="BQ730" s="174"/>
      <c r="BR730" s="175"/>
      <c r="BS730" s="147"/>
    </row>
    <row r="731">
      <c r="I731" s="128"/>
      <c r="J731" s="129"/>
      <c r="K731" s="129"/>
      <c r="S731" s="170"/>
      <c r="T731" s="171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  <c r="AE731" s="172"/>
      <c r="AF731" s="172"/>
      <c r="AG731" s="172"/>
      <c r="AH731" s="172"/>
      <c r="AI731" s="172"/>
      <c r="AJ731" s="172"/>
      <c r="AK731" s="172"/>
      <c r="AL731" s="172"/>
      <c r="AM731" s="172"/>
      <c r="AN731" s="172"/>
      <c r="AO731" s="172"/>
      <c r="AP731" s="172"/>
      <c r="AQ731" s="172"/>
      <c r="AR731" s="172"/>
      <c r="AS731" s="172"/>
      <c r="AT731" s="173"/>
      <c r="AU731" s="174"/>
      <c r="AV731" s="174"/>
      <c r="AW731" s="174"/>
      <c r="AX731" s="174"/>
      <c r="AY731" s="174"/>
      <c r="AZ731" s="174"/>
      <c r="BA731" s="174"/>
      <c r="BB731" s="174"/>
      <c r="BC731" s="174"/>
      <c r="BD731" s="174"/>
      <c r="BE731" s="174"/>
      <c r="BF731" s="174"/>
      <c r="BG731" s="174"/>
      <c r="BH731" s="174"/>
      <c r="BI731" s="174"/>
      <c r="BJ731" s="174"/>
      <c r="BK731" s="174"/>
      <c r="BL731" s="174"/>
      <c r="BM731" s="174"/>
      <c r="BN731" s="174"/>
      <c r="BO731" s="174"/>
      <c r="BP731" s="174"/>
      <c r="BQ731" s="174"/>
      <c r="BR731" s="175"/>
      <c r="BS731" s="147"/>
    </row>
    <row r="732">
      <c r="I732" s="128"/>
      <c r="J732" s="129"/>
      <c r="K732" s="129"/>
      <c r="S732" s="170"/>
      <c r="T732" s="171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  <c r="AE732" s="172"/>
      <c r="AF732" s="172"/>
      <c r="AG732" s="172"/>
      <c r="AH732" s="172"/>
      <c r="AI732" s="172"/>
      <c r="AJ732" s="172"/>
      <c r="AK732" s="172"/>
      <c r="AL732" s="172"/>
      <c r="AM732" s="172"/>
      <c r="AN732" s="172"/>
      <c r="AO732" s="172"/>
      <c r="AP732" s="172"/>
      <c r="AQ732" s="172"/>
      <c r="AR732" s="172"/>
      <c r="AS732" s="172"/>
      <c r="AT732" s="173"/>
      <c r="AU732" s="174"/>
      <c r="AV732" s="174"/>
      <c r="AW732" s="174"/>
      <c r="AX732" s="174"/>
      <c r="AY732" s="174"/>
      <c r="AZ732" s="174"/>
      <c r="BA732" s="174"/>
      <c r="BB732" s="174"/>
      <c r="BC732" s="174"/>
      <c r="BD732" s="174"/>
      <c r="BE732" s="174"/>
      <c r="BF732" s="174"/>
      <c r="BG732" s="174"/>
      <c r="BH732" s="174"/>
      <c r="BI732" s="174"/>
      <c r="BJ732" s="174"/>
      <c r="BK732" s="174"/>
      <c r="BL732" s="174"/>
      <c r="BM732" s="174"/>
      <c r="BN732" s="174"/>
      <c r="BO732" s="174"/>
      <c r="BP732" s="174"/>
      <c r="BQ732" s="174"/>
      <c r="BR732" s="175"/>
      <c r="BS732" s="147"/>
    </row>
    <row r="733">
      <c r="I733" s="128"/>
      <c r="J733" s="129"/>
      <c r="K733" s="129"/>
      <c r="S733" s="170"/>
      <c r="T733" s="171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  <c r="AE733" s="172"/>
      <c r="AF733" s="172"/>
      <c r="AG733" s="172"/>
      <c r="AH733" s="172"/>
      <c r="AI733" s="172"/>
      <c r="AJ733" s="172"/>
      <c r="AK733" s="172"/>
      <c r="AL733" s="172"/>
      <c r="AM733" s="172"/>
      <c r="AN733" s="172"/>
      <c r="AO733" s="172"/>
      <c r="AP733" s="172"/>
      <c r="AQ733" s="172"/>
      <c r="AR733" s="172"/>
      <c r="AS733" s="172"/>
      <c r="AT733" s="173"/>
      <c r="AU733" s="174"/>
      <c r="AV733" s="174"/>
      <c r="AW733" s="174"/>
      <c r="AX733" s="174"/>
      <c r="AY733" s="174"/>
      <c r="AZ733" s="174"/>
      <c r="BA733" s="174"/>
      <c r="BB733" s="174"/>
      <c r="BC733" s="174"/>
      <c r="BD733" s="174"/>
      <c r="BE733" s="174"/>
      <c r="BF733" s="174"/>
      <c r="BG733" s="174"/>
      <c r="BH733" s="174"/>
      <c r="BI733" s="174"/>
      <c r="BJ733" s="174"/>
      <c r="BK733" s="174"/>
      <c r="BL733" s="174"/>
      <c r="BM733" s="174"/>
      <c r="BN733" s="174"/>
      <c r="BO733" s="174"/>
      <c r="BP733" s="174"/>
      <c r="BQ733" s="174"/>
      <c r="BR733" s="175"/>
      <c r="BS733" s="147"/>
    </row>
    <row r="734">
      <c r="I734" s="128"/>
      <c r="J734" s="129"/>
      <c r="K734" s="129"/>
      <c r="S734" s="170"/>
      <c r="T734" s="171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  <c r="AE734" s="172"/>
      <c r="AF734" s="172"/>
      <c r="AG734" s="172"/>
      <c r="AH734" s="172"/>
      <c r="AI734" s="172"/>
      <c r="AJ734" s="172"/>
      <c r="AK734" s="172"/>
      <c r="AL734" s="172"/>
      <c r="AM734" s="172"/>
      <c r="AN734" s="172"/>
      <c r="AO734" s="172"/>
      <c r="AP734" s="172"/>
      <c r="AQ734" s="172"/>
      <c r="AR734" s="172"/>
      <c r="AS734" s="172"/>
      <c r="AT734" s="173"/>
      <c r="AU734" s="174"/>
      <c r="AV734" s="174"/>
      <c r="AW734" s="174"/>
      <c r="AX734" s="174"/>
      <c r="AY734" s="174"/>
      <c r="AZ734" s="174"/>
      <c r="BA734" s="174"/>
      <c r="BB734" s="174"/>
      <c r="BC734" s="174"/>
      <c r="BD734" s="174"/>
      <c r="BE734" s="174"/>
      <c r="BF734" s="174"/>
      <c r="BG734" s="174"/>
      <c r="BH734" s="174"/>
      <c r="BI734" s="174"/>
      <c r="BJ734" s="174"/>
      <c r="BK734" s="174"/>
      <c r="BL734" s="174"/>
      <c r="BM734" s="174"/>
      <c r="BN734" s="174"/>
      <c r="BO734" s="174"/>
      <c r="BP734" s="174"/>
      <c r="BQ734" s="174"/>
      <c r="BR734" s="175"/>
      <c r="BS734" s="147"/>
    </row>
    <row r="735">
      <c r="I735" s="128"/>
      <c r="J735" s="129"/>
      <c r="K735" s="129"/>
      <c r="S735" s="170"/>
      <c r="T735" s="171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  <c r="AE735" s="172"/>
      <c r="AF735" s="172"/>
      <c r="AG735" s="172"/>
      <c r="AH735" s="172"/>
      <c r="AI735" s="172"/>
      <c r="AJ735" s="172"/>
      <c r="AK735" s="172"/>
      <c r="AL735" s="172"/>
      <c r="AM735" s="172"/>
      <c r="AN735" s="172"/>
      <c r="AO735" s="172"/>
      <c r="AP735" s="172"/>
      <c r="AQ735" s="172"/>
      <c r="AR735" s="172"/>
      <c r="AS735" s="172"/>
      <c r="AT735" s="173"/>
      <c r="AU735" s="174"/>
      <c r="AV735" s="174"/>
      <c r="AW735" s="174"/>
      <c r="AX735" s="174"/>
      <c r="AY735" s="174"/>
      <c r="AZ735" s="174"/>
      <c r="BA735" s="174"/>
      <c r="BB735" s="174"/>
      <c r="BC735" s="174"/>
      <c r="BD735" s="174"/>
      <c r="BE735" s="174"/>
      <c r="BF735" s="174"/>
      <c r="BG735" s="174"/>
      <c r="BH735" s="174"/>
      <c r="BI735" s="174"/>
      <c r="BJ735" s="174"/>
      <c r="BK735" s="174"/>
      <c r="BL735" s="174"/>
      <c r="BM735" s="174"/>
      <c r="BN735" s="174"/>
      <c r="BO735" s="174"/>
      <c r="BP735" s="174"/>
      <c r="BQ735" s="174"/>
      <c r="BR735" s="175"/>
      <c r="BS735" s="147"/>
    </row>
    <row r="736">
      <c r="I736" s="128"/>
      <c r="J736" s="129"/>
      <c r="K736" s="129"/>
      <c r="S736" s="170"/>
      <c r="T736" s="171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  <c r="AE736" s="172"/>
      <c r="AF736" s="172"/>
      <c r="AG736" s="172"/>
      <c r="AH736" s="172"/>
      <c r="AI736" s="172"/>
      <c r="AJ736" s="172"/>
      <c r="AK736" s="172"/>
      <c r="AL736" s="172"/>
      <c r="AM736" s="172"/>
      <c r="AN736" s="172"/>
      <c r="AO736" s="172"/>
      <c r="AP736" s="172"/>
      <c r="AQ736" s="172"/>
      <c r="AR736" s="172"/>
      <c r="AS736" s="172"/>
      <c r="AT736" s="173"/>
      <c r="AU736" s="174"/>
      <c r="AV736" s="174"/>
      <c r="AW736" s="174"/>
      <c r="AX736" s="174"/>
      <c r="AY736" s="174"/>
      <c r="AZ736" s="174"/>
      <c r="BA736" s="174"/>
      <c r="BB736" s="174"/>
      <c r="BC736" s="174"/>
      <c r="BD736" s="174"/>
      <c r="BE736" s="174"/>
      <c r="BF736" s="174"/>
      <c r="BG736" s="174"/>
      <c r="BH736" s="174"/>
      <c r="BI736" s="174"/>
      <c r="BJ736" s="174"/>
      <c r="BK736" s="174"/>
      <c r="BL736" s="174"/>
      <c r="BM736" s="174"/>
      <c r="BN736" s="174"/>
      <c r="BO736" s="174"/>
      <c r="BP736" s="174"/>
      <c r="BQ736" s="174"/>
      <c r="BR736" s="175"/>
      <c r="BS736" s="147"/>
    </row>
    <row r="737">
      <c r="I737" s="128"/>
      <c r="J737" s="129"/>
      <c r="K737" s="129"/>
      <c r="S737" s="170"/>
      <c r="T737" s="171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  <c r="AE737" s="172"/>
      <c r="AF737" s="172"/>
      <c r="AG737" s="172"/>
      <c r="AH737" s="172"/>
      <c r="AI737" s="172"/>
      <c r="AJ737" s="172"/>
      <c r="AK737" s="172"/>
      <c r="AL737" s="172"/>
      <c r="AM737" s="172"/>
      <c r="AN737" s="172"/>
      <c r="AO737" s="172"/>
      <c r="AP737" s="172"/>
      <c r="AQ737" s="172"/>
      <c r="AR737" s="172"/>
      <c r="AS737" s="172"/>
      <c r="AT737" s="173"/>
      <c r="AU737" s="174"/>
      <c r="AV737" s="174"/>
      <c r="AW737" s="174"/>
      <c r="AX737" s="174"/>
      <c r="AY737" s="174"/>
      <c r="AZ737" s="174"/>
      <c r="BA737" s="174"/>
      <c r="BB737" s="174"/>
      <c r="BC737" s="174"/>
      <c r="BD737" s="174"/>
      <c r="BE737" s="174"/>
      <c r="BF737" s="174"/>
      <c r="BG737" s="174"/>
      <c r="BH737" s="174"/>
      <c r="BI737" s="174"/>
      <c r="BJ737" s="174"/>
      <c r="BK737" s="174"/>
      <c r="BL737" s="174"/>
      <c r="BM737" s="174"/>
      <c r="BN737" s="174"/>
      <c r="BO737" s="174"/>
      <c r="BP737" s="174"/>
      <c r="BQ737" s="174"/>
      <c r="BR737" s="175"/>
      <c r="BS737" s="147"/>
    </row>
    <row r="738">
      <c r="I738" s="128"/>
      <c r="J738" s="129"/>
      <c r="K738" s="129"/>
      <c r="S738" s="170"/>
      <c r="T738" s="171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  <c r="AE738" s="172"/>
      <c r="AF738" s="172"/>
      <c r="AG738" s="172"/>
      <c r="AH738" s="172"/>
      <c r="AI738" s="172"/>
      <c r="AJ738" s="172"/>
      <c r="AK738" s="172"/>
      <c r="AL738" s="172"/>
      <c r="AM738" s="172"/>
      <c r="AN738" s="172"/>
      <c r="AO738" s="172"/>
      <c r="AP738" s="172"/>
      <c r="AQ738" s="172"/>
      <c r="AR738" s="172"/>
      <c r="AS738" s="172"/>
      <c r="AT738" s="173"/>
      <c r="AU738" s="174"/>
      <c r="AV738" s="174"/>
      <c r="AW738" s="174"/>
      <c r="AX738" s="174"/>
      <c r="AY738" s="174"/>
      <c r="AZ738" s="174"/>
      <c r="BA738" s="174"/>
      <c r="BB738" s="174"/>
      <c r="BC738" s="174"/>
      <c r="BD738" s="174"/>
      <c r="BE738" s="174"/>
      <c r="BF738" s="174"/>
      <c r="BG738" s="174"/>
      <c r="BH738" s="174"/>
      <c r="BI738" s="174"/>
      <c r="BJ738" s="174"/>
      <c r="BK738" s="174"/>
      <c r="BL738" s="174"/>
      <c r="BM738" s="174"/>
      <c r="BN738" s="174"/>
      <c r="BO738" s="174"/>
      <c r="BP738" s="174"/>
      <c r="BQ738" s="174"/>
      <c r="BR738" s="175"/>
      <c r="BS738" s="147"/>
    </row>
    <row r="739">
      <c r="I739" s="128"/>
      <c r="J739" s="129"/>
      <c r="K739" s="129"/>
      <c r="S739" s="170"/>
      <c r="T739" s="171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  <c r="AE739" s="172"/>
      <c r="AF739" s="172"/>
      <c r="AG739" s="172"/>
      <c r="AH739" s="172"/>
      <c r="AI739" s="172"/>
      <c r="AJ739" s="172"/>
      <c r="AK739" s="172"/>
      <c r="AL739" s="172"/>
      <c r="AM739" s="172"/>
      <c r="AN739" s="172"/>
      <c r="AO739" s="172"/>
      <c r="AP739" s="172"/>
      <c r="AQ739" s="172"/>
      <c r="AR739" s="172"/>
      <c r="AS739" s="172"/>
      <c r="AT739" s="173"/>
      <c r="AU739" s="174"/>
      <c r="AV739" s="174"/>
      <c r="AW739" s="174"/>
      <c r="AX739" s="174"/>
      <c r="AY739" s="174"/>
      <c r="AZ739" s="174"/>
      <c r="BA739" s="174"/>
      <c r="BB739" s="174"/>
      <c r="BC739" s="174"/>
      <c r="BD739" s="174"/>
      <c r="BE739" s="174"/>
      <c r="BF739" s="174"/>
      <c r="BG739" s="174"/>
      <c r="BH739" s="174"/>
      <c r="BI739" s="174"/>
      <c r="BJ739" s="174"/>
      <c r="BK739" s="174"/>
      <c r="BL739" s="174"/>
      <c r="BM739" s="174"/>
      <c r="BN739" s="174"/>
      <c r="BO739" s="174"/>
      <c r="BP739" s="174"/>
      <c r="BQ739" s="174"/>
      <c r="BR739" s="175"/>
      <c r="BS739" s="147"/>
    </row>
    <row r="740">
      <c r="I740" s="128"/>
      <c r="J740" s="129"/>
      <c r="K740" s="129"/>
      <c r="S740" s="170"/>
      <c r="T740" s="171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  <c r="AE740" s="172"/>
      <c r="AF740" s="172"/>
      <c r="AG740" s="172"/>
      <c r="AH740" s="172"/>
      <c r="AI740" s="172"/>
      <c r="AJ740" s="172"/>
      <c r="AK740" s="172"/>
      <c r="AL740" s="172"/>
      <c r="AM740" s="172"/>
      <c r="AN740" s="172"/>
      <c r="AO740" s="172"/>
      <c r="AP740" s="172"/>
      <c r="AQ740" s="172"/>
      <c r="AR740" s="172"/>
      <c r="AS740" s="172"/>
      <c r="AT740" s="173"/>
      <c r="AU740" s="174"/>
      <c r="AV740" s="174"/>
      <c r="AW740" s="174"/>
      <c r="AX740" s="174"/>
      <c r="AY740" s="174"/>
      <c r="AZ740" s="174"/>
      <c r="BA740" s="174"/>
      <c r="BB740" s="174"/>
      <c r="BC740" s="174"/>
      <c r="BD740" s="174"/>
      <c r="BE740" s="174"/>
      <c r="BF740" s="174"/>
      <c r="BG740" s="174"/>
      <c r="BH740" s="174"/>
      <c r="BI740" s="174"/>
      <c r="BJ740" s="174"/>
      <c r="BK740" s="174"/>
      <c r="BL740" s="174"/>
      <c r="BM740" s="174"/>
      <c r="BN740" s="174"/>
      <c r="BO740" s="174"/>
      <c r="BP740" s="174"/>
      <c r="BQ740" s="174"/>
      <c r="BR740" s="175"/>
      <c r="BS740" s="147"/>
    </row>
    <row r="741">
      <c r="I741" s="128"/>
      <c r="J741" s="129"/>
      <c r="K741" s="129"/>
      <c r="S741" s="170"/>
      <c r="T741" s="171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  <c r="AE741" s="172"/>
      <c r="AF741" s="172"/>
      <c r="AG741" s="172"/>
      <c r="AH741" s="172"/>
      <c r="AI741" s="172"/>
      <c r="AJ741" s="172"/>
      <c r="AK741" s="172"/>
      <c r="AL741" s="172"/>
      <c r="AM741" s="172"/>
      <c r="AN741" s="172"/>
      <c r="AO741" s="172"/>
      <c r="AP741" s="172"/>
      <c r="AQ741" s="172"/>
      <c r="AR741" s="172"/>
      <c r="AS741" s="172"/>
      <c r="AT741" s="173"/>
      <c r="AU741" s="174"/>
      <c r="AV741" s="174"/>
      <c r="AW741" s="174"/>
      <c r="AX741" s="174"/>
      <c r="AY741" s="174"/>
      <c r="AZ741" s="174"/>
      <c r="BA741" s="174"/>
      <c r="BB741" s="174"/>
      <c r="BC741" s="174"/>
      <c r="BD741" s="174"/>
      <c r="BE741" s="174"/>
      <c r="BF741" s="174"/>
      <c r="BG741" s="174"/>
      <c r="BH741" s="174"/>
      <c r="BI741" s="174"/>
      <c r="BJ741" s="174"/>
      <c r="BK741" s="174"/>
      <c r="BL741" s="174"/>
      <c r="BM741" s="174"/>
      <c r="BN741" s="174"/>
      <c r="BO741" s="174"/>
      <c r="BP741" s="174"/>
      <c r="BQ741" s="174"/>
      <c r="BR741" s="175"/>
      <c r="BS741" s="147"/>
    </row>
    <row r="742">
      <c r="I742" s="128"/>
      <c r="J742" s="129"/>
      <c r="K742" s="129"/>
      <c r="S742" s="170"/>
      <c r="T742" s="171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  <c r="AE742" s="172"/>
      <c r="AF742" s="172"/>
      <c r="AG742" s="172"/>
      <c r="AH742" s="172"/>
      <c r="AI742" s="172"/>
      <c r="AJ742" s="172"/>
      <c r="AK742" s="172"/>
      <c r="AL742" s="172"/>
      <c r="AM742" s="172"/>
      <c r="AN742" s="172"/>
      <c r="AO742" s="172"/>
      <c r="AP742" s="172"/>
      <c r="AQ742" s="172"/>
      <c r="AR742" s="172"/>
      <c r="AS742" s="172"/>
      <c r="AT742" s="173"/>
      <c r="AU742" s="174"/>
      <c r="AV742" s="174"/>
      <c r="AW742" s="174"/>
      <c r="AX742" s="174"/>
      <c r="AY742" s="174"/>
      <c r="AZ742" s="174"/>
      <c r="BA742" s="174"/>
      <c r="BB742" s="174"/>
      <c r="BC742" s="174"/>
      <c r="BD742" s="174"/>
      <c r="BE742" s="174"/>
      <c r="BF742" s="174"/>
      <c r="BG742" s="174"/>
      <c r="BH742" s="174"/>
      <c r="BI742" s="174"/>
      <c r="BJ742" s="174"/>
      <c r="BK742" s="174"/>
      <c r="BL742" s="174"/>
      <c r="BM742" s="174"/>
      <c r="BN742" s="174"/>
      <c r="BO742" s="174"/>
      <c r="BP742" s="174"/>
      <c r="BQ742" s="174"/>
      <c r="BR742" s="175"/>
      <c r="BS742" s="147"/>
    </row>
    <row r="743">
      <c r="I743" s="128"/>
      <c r="J743" s="129"/>
      <c r="K743" s="129"/>
      <c r="S743" s="170"/>
      <c r="T743" s="171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  <c r="AE743" s="172"/>
      <c r="AF743" s="172"/>
      <c r="AG743" s="172"/>
      <c r="AH743" s="172"/>
      <c r="AI743" s="172"/>
      <c r="AJ743" s="172"/>
      <c r="AK743" s="172"/>
      <c r="AL743" s="172"/>
      <c r="AM743" s="172"/>
      <c r="AN743" s="172"/>
      <c r="AO743" s="172"/>
      <c r="AP743" s="172"/>
      <c r="AQ743" s="172"/>
      <c r="AR743" s="172"/>
      <c r="AS743" s="172"/>
      <c r="AT743" s="173"/>
      <c r="AU743" s="174"/>
      <c r="AV743" s="174"/>
      <c r="AW743" s="174"/>
      <c r="AX743" s="174"/>
      <c r="AY743" s="174"/>
      <c r="AZ743" s="174"/>
      <c r="BA743" s="174"/>
      <c r="BB743" s="174"/>
      <c r="BC743" s="174"/>
      <c r="BD743" s="174"/>
      <c r="BE743" s="174"/>
      <c r="BF743" s="174"/>
      <c r="BG743" s="174"/>
      <c r="BH743" s="174"/>
      <c r="BI743" s="174"/>
      <c r="BJ743" s="174"/>
      <c r="BK743" s="174"/>
      <c r="BL743" s="174"/>
      <c r="BM743" s="174"/>
      <c r="BN743" s="174"/>
      <c r="BO743" s="174"/>
      <c r="BP743" s="174"/>
      <c r="BQ743" s="174"/>
      <c r="BR743" s="175"/>
      <c r="BS743" s="147"/>
    </row>
    <row r="744">
      <c r="I744" s="128"/>
      <c r="J744" s="129"/>
      <c r="K744" s="129"/>
      <c r="S744" s="170"/>
      <c r="T744" s="171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  <c r="AE744" s="172"/>
      <c r="AF744" s="172"/>
      <c r="AG744" s="172"/>
      <c r="AH744" s="172"/>
      <c r="AI744" s="172"/>
      <c r="AJ744" s="172"/>
      <c r="AK744" s="172"/>
      <c r="AL744" s="172"/>
      <c r="AM744" s="172"/>
      <c r="AN744" s="172"/>
      <c r="AO744" s="172"/>
      <c r="AP744" s="172"/>
      <c r="AQ744" s="172"/>
      <c r="AR744" s="172"/>
      <c r="AS744" s="172"/>
      <c r="AT744" s="173"/>
      <c r="AU744" s="174"/>
      <c r="AV744" s="174"/>
      <c r="AW744" s="174"/>
      <c r="AX744" s="174"/>
      <c r="AY744" s="174"/>
      <c r="AZ744" s="174"/>
      <c r="BA744" s="174"/>
      <c r="BB744" s="174"/>
      <c r="BC744" s="174"/>
      <c r="BD744" s="174"/>
      <c r="BE744" s="174"/>
      <c r="BF744" s="174"/>
      <c r="BG744" s="174"/>
      <c r="BH744" s="174"/>
      <c r="BI744" s="174"/>
      <c r="BJ744" s="174"/>
      <c r="BK744" s="174"/>
      <c r="BL744" s="174"/>
      <c r="BM744" s="174"/>
      <c r="BN744" s="174"/>
      <c r="BO744" s="174"/>
      <c r="BP744" s="174"/>
      <c r="BQ744" s="174"/>
      <c r="BR744" s="175"/>
      <c r="BS744" s="147"/>
    </row>
    <row r="745">
      <c r="I745" s="128"/>
      <c r="J745" s="129"/>
      <c r="K745" s="129"/>
      <c r="S745" s="170"/>
      <c r="T745" s="171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  <c r="AE745" s="172"/>
      <c r="AF745" s="172"/>
      <c r="AG745" s="172"/>
      <c r="AH745" s="172"/>
      <c r="AI745" s="172"/>
      <c r="AJ745" s="172"/>
      <c r="AK745" s="172"/>
      <c r="AL745" s="172"/>
      <c r="AM745" s="172"/>
      <c r="AN745" s="172"/>
      <c r="AO745" s="172"/>
      <c r="AP745" s="172"/>
      <c r="AQ745" s="172"/>
      <c r="AR745" s="172"/>
      <c r="AS745" s="172"/>
      <c r="AT745" s="173"/>
      <c r="AU745" s="174"/>
      <c r="AV745" s="174"/>
      <c r="AW745" s="174"/>
      <c r="AX745" s="174"/>
      <c r="AY745" s="174"/>
      <c r="AZ745" s="174"/>
      <c r="BA745" s="174"/>
      <c r="BB745" s="174"/>
      <c r="BC745" s="174"/>
      <c r="BD745" s="174"/>
      <c r="BE745" s="174"/>
      <c r="BF745" s="174"/>
      <c r="BG745" s="174"/>
      <c r="BH745" s="174"/>
      <c r="BI745" s="174"/>
      <c r="BJ745" s="174"/>
      <c r="BK745" s="174"/>
      <c r="BL745" s="174"/>
      <c r="BM745" s="174"/>
      <c r="BN745" s="174"/>
      <c r="BO745" s="174"/>
      <c r="BP745" s="174"/>
      <c r="BQ745" s="174"/>
      <c r="BR745" s="175"/>
      <c r="BS745" s="147"/>
    </row>
    <row r="746">
      <c r="I746" s="128"/>
      <c r="J746" s="129"/>
      <c r="K746" s="129"/>
      <c r="S746" s="170"/>
      <c r="T746" s="171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  <c r="AE746" s="172"/>
      <c r="AF746" s="172"/>
      <c r="AG746" s="172"/>
      <c r="AH746" s="172"/>
      <c r="AI746" s="172"/>
      <c r="AJ746" s="172"/>
      <c r="AK746" s="172"/>
      <c r="AL746" s="172"/>
      <c r="AM746" s="172"/>
      <c r="AN746" s="172"/>
      <c r="AO746" s="172"/>
      <c r="AP746" s="172"/>
      <c r="AQ746" s="172"/>
      <c r="AR746" s="172"/>
      <c r="AS746" s="172"/>
      <c r="AT746" s="173"/>
      <c r="AU746" s="174"/>
      <c r="AV746" s="174"/>
      <c r="AW746" s="174"/>
      <c r="AX746" s="174"/>
      <c r="AY746" s="174"/>
      <c r="AZ746" s="174"/>
      <c r="BA746" s="174"/>
      <c r="BB746" s="174"/>
      <c r="BC746" s="174"/>
      <c r="BD746" s="174"/>
      <c r="BE746" s="174"/>
      <c r="BF746" s="174"/>
      <c r="BG746" s="174"/>
      <c r="BH746" s="174"/>
      <c r="BI746" s="174"/>
      <c r="BJ746" s="174"/>
      <c r="BK746" s="174"/>
      <c r="BL746" s="174"/>
      <c r="BM746" s="174"/>
      <c r="BN746" s="174"/>
      <c r="BO746" s="174"/>
      <c r="BP746" s="174"/>
      <c r="BQ746" s="174"/>
      <c r="BR746" s="175"/>
      <c r="BS746" s="147"/>
    </row>
    <row r="747">
      <c r="I747" s="128"/>
      <c r="J747" s="129"/>
      <c r="K747" s="129"/>
      <c r="S747" s="170"/>
      <c r="T747" s="171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  <c r="AE747" s="172"/>
      <c r="AF747" s="172"/>
      <c r="AG747" s="172"/>
      <c r="AH747" s="172"/>
      <c r="AI747" s="172"/>
      <c r="AJ747" s="172"/>
      <c r="AK747" s="172"/>
      <c r="AL747" s="172"/>
      <c r="AM747" s="172"/>
      <c r="AN747" s="172"/>
      <c r="AO747" s="172"/>
      <c r="AP747" s="172"/>
      <c r="AQ747" s="172"/>
      <c r="AR747" s="172"/>
      <c r="AS747" s="172"/>
      <c r="AT747" s="173"/>
      <c r="AU747" s="174"/>
      <c r="AV747" s="174"/>
      <c r="AW747" s="174"/>
      <c r="AX747" s="174"/>
      <c r="AY747" s="174"/>
      <c r="AZ747" s="174"/>
      <c r="BA747" s="174"/>
      <c r="BB747" s="174"/>
      <c r="BC747" s="174"/>
      <c r="BD747" s="174"/>
      <c r="BE747" s="174"/>
      <c r="BF747" s="174"/>
      <c r="BG747" s="174"/>
      <c r="BH747" s="174"/>
      <c r="BI747" s="174"/>
      <c r="BJ747" s="174"/>
      <c r="BK747" s="174"/>
      <c r="BL747" s="174"/>
      <c r="BM747" s="174"/>
      <c r="BN747" s="174"/>
      <c r="BO747" s="174"/>
      <c r="BP747" s="174"/>
      <c r="BQ747" s="174"/>
      <c r="BR747" s="175"/>
      <c r="BS747" s="147"/>
    </row>
    <row r="748">
      <c r="I748" s="128"/>
      <c r="J748" s="129"/>
      <c r="K748" s="129"/>
      <c r="S748" s="170"/>
      <c r="T748" s="171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  <c r="AE748" s="172"/>
      <c r="AF748" s="172"/>
      <c r="AG748" s="172"/>
      <c r="AH748" s="172"/>
      <c r="AI748" s="172"/>
      <c r="AJ748" s="172"/>
      <c r="AK748" s="172"/>
      <c r="AL748" s="172"/>
      <c r="AM748" s="172"/>
      <c r="AN748" s="172"/>
      <c r="AO748" s="172"/>
      <c r="AP748" s="172"/>
      <c r="AQ748" s="172"/>
      <c r="AR748" s="172"/>
      <c r="AS748" s="172"/>
      <c r="AT748" s="173"/>
      <c r="AU748" s="174"/>
      <c r="AV748" s="174"/>
      <c r="AW748" s="174"/>
      <c r="AX748" s="174"/>
      <c r="AY748" s="174"/>
      <c r="AZ748" s="174"/>
      <c r="BA748" s="174"/>
      <c r="BB748" s="174"/>
      <c r="BC748" s="174"/>
      <c r="BD748" s="174"/>
      <c r="BE748" s="174"/>
      <c r="BF748" s="174"/>
      <c r="BG748" s="174"/>
      <c r="BH748" s="174"/>
      <c r="BI748" s="174"/>
      <c r="BJ748" s="174"/>
      <c r="BK748" s="174"/>
      <c r="BL748" s="174"/>
      <c r="BM748" s="174"/>
      <c r="BN748" s="174"/>
      <c r="BO748" s="174"/>
      <c r="BP748" s="174"/>
      <c r="BQ748" s="174"/>
      <c r="BR748" s="175"/>
      <c r="BS748" s="147"/>
    </row>
    <row r="749">
      <c r="I749" s="128"/>
      <c r="J749" s="129"/>
      <c r="K749" s="129"/>
      <c r="S749" s="170"/>
      <c r="T749" s="171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  <c r="AE749" s="172"/>
      <c r="AF749" s="172"/>
      <c r="AG749" s="172"/>
      <c r="AH749" s="172"/>
      <c r="AI749" s="172"/>
      <c r="AJ749" s="172"/>
      <c r="AK749" s="172"/>
      <c r="AL749" s="172"/>
      <c r="AM749" s="172"/>
      <c r="AN749" s="172"/>
      <c r="AO749" s="172"/>
      <c r="AP749" s="172"/>
      <c r="AQ749" s="172"/>
      <c r="AR749" s="172"/>
      <c r="AS749" s="172"/>
      <c r="AT749" s="173"/>
      <c r="AU749" s="174"/>
      <c r="AV749" s="174"/>
      <c r="AW749" s="174"/>
      <c r="AX749" s="174"/>
      <c r="AY749" s="174"/>
      <c r="AZ749" s="174"/>
      <c r="BA749" s="174"/>
      <c r="BB749" s="174"/>
      <c r="BC749" s="174"/>
      <c r="BD749" s="174"/>
      <c r="BE749" s="174"/>
      <c r="BF749" s="174"/>
      <c r="BG749" s="174"/>
      <c r="BH749" s="174"/>
      <c r="BI749" s="174"/>
      <c r="BJ749" s="174"/>
      <c r="BK749" s="174"/>
      <c r="BL749" s="174"/>
      <c r="BM749" s="174"/>
      <c r="BN749" s="174"/>
      <c r="BO749" s="174"/>
      <c r="BP749" s="174"/>
      <c r="BQ749" s="174"/>
      <c r="BR749" s="175"/>
      <c r="BS749" s="147"/>
    </row>
    <row r="750">
      <c r="I750" s="128"/>
      <c r="J750" s="129"/>
      <c r="K750" s="129"/>
      <c r="S750" s="170"/>
      <c r="T750" s="171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  <c r="AE750" s="172"/>
      <c r="AF750" s="172"/>
      <c r="AG750" s="172"/>
      <c r="AH750" s="172"/>
      <c r="AI750" s="172"/>
      <c r="AJ750" s="172"/>
      <c r="AK750" s="172"/>
      <c r="AL750" s="172"/>
      <c r="AM750" s="172"/>
      <c r="AN750" s="172"/>
      <c r="AO750" s="172"/>
      <c r="AP750" s="172"/>
      <c r="AQ750" s="172"/>
      <c r="AR750" s="172"/>
      <c r="AS750" s="172"/>
      <c r="AT750" s="173"/>
      <c r="AU750" s="174"/>
      <c r="AV750" s="174"/>
      <c r="AW750" s="174"/>
      <c r="AX750" s="174"/>
      <c r="AY750" s="174"/>
      <c r="AZ750" s="174"/>
      <c r="BA750" s="174"/>
      <c r="BB750" s="174"/>
      <c r="BC750" s="174"/>
      <c r="BD750" s="174"/>
      <c r="BE750" s="174"/>
      <c r="BF750" s="174"/>
      <c r="BG750" s="174"/>
      <c r="BH750" s="174"/>
      <c r="BI750" s="174"/>
      <c r="BJ750" s="174"/>
      <c r="BK750" s="174"/>
      <c r="BL750" s="174"/>
      <c r="BM750" s="174"/>
      <c r="BN750" s="174"/>
      <c r="BO750" s="174"/>
      <c r="BP750" s="174"/>
      <c r="BQ750" s="174"/>
      <c r="BR750" s="175"/>
      <c r="BS750" s="147"/>
    </row>
    <row r="751">
      <c r="I751" s="128"/>
      <c r="J751" s="129"/>
      <c r="K751" s="129"/>
      <c r="S751" s="170"/>
      <c r="T751" s="171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  <c r="AE751" s="172"/>
      <c r="AF751" s="172"/>
      <c r="AG751" s="172"/>
      <c r="AH751" s="172"/>
      <c r="AI751" s="172"/>
      <c r="AJ751" s="172"/>
      <c r="AK751" s="172"/>
      <c r="AL751" s="172"/>
      <c r="AM751" s="172"/>
      <c r="AN751" s="172"/>
      <c r="AO751" s="172"/>
      <c r="AP751" s="172"/>
      <c r="AQ751" s="172"/>
      <c r="AR751" s="172"/>
      <c r="AS751" s="172"/>
      <c r="AT751" s="173"/>
      <c r="AU751" s="174"/>
      <c r="AV751" s="174"/>
      <c r="AW751" s="174"/>
      <c r="AX751" s="174"/>
      <c r="AY751" s="174"/>
      <c r="AZ751" s="174"/>
      <c r="BA751" s="174"/>
      <c r="BB751" s="174"/>
      <c r="BC751" s="174"/>
      <c r="BD751" s="174"/>
      <c r="BE751" s="174"/>
      <c r="BF751" s="174"/>
      <c r="BG751" s="174"/>
      <c r="BH751" s="174"/>
      <c r="BI751" s="174"/>
      <c r="BJ751" s="174"/>
      <c r="BK751" s="174"/>
      <c r="BL751" s="174"/>
      <c r="BM751" s="174"/>
      <c r="BN751" s="174"/>
      <c r="BO751" s="174"/>
      <c r="BP751" s="174"/>
      <c r="BQ751" s="174"/>
      <c r="BR751" s="175"/>
      <c r="BS751" s="147"/>
    </row>
    <row r="752">
      <c r="I752" s="128"/>
      <c r="J752" s="129"/>
      <c r="K752" s="129"/>
      <c r="S752" s="170"/>
      <c r="T752" s="171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  <c r="AE752" s="172"/>
      <c r="AF752" s="172"/>
      <c r="AG752" s="172"/>
      <c r="AH752" s="172"/>
      <c r="AI752" s="172"/>
      <c r="AJ752" s="172"/>
      <c r="AK752" s="172"/>
      <c r="AL752" s="172"/>
      <c r="AM752" s="172"/>
      <c r="AN752" s="172"/>
      <c r="AO752" s="172"/>
      <c r="AP752" s="172"/>
      <c r="AQ752" s="172"/>
      <c r="AR752" s="172"/>
      <c r="AS752" s="172"/>
      <c r="AT752" s="173"/>
      <c r="AU752" s="174"/>
      <c r="AV752" s="174"/>
      <c r="AW752" s="174"/>
      <c r="AX752" s="174"/>
      <c r="AY752" s="174"/>
      <c r="AZ752" s="174"/>
      <c r="BA752" s="174"/>
      <c r="BB752" s="174"/>
      <c r="BC752" s="174"/>
      <c r="BD752" s="174"/>
      <c r="BE752" s="174"/>
      <c r="BF752" s="174"/>
      <c r="BG752" s="174"/>
      <c r="BH752" s="174"/>
      <c r="BI752" s="174"/>
      <c r="BJ752" s="174"/>
      <c r="BK752" s="174"/>
      <c r="BL752" s="174"/>
      <c r="BM752" s="174"/>
      <c r="BN752" s="174"/>
      <c r="BO752" s="174"/>
      <c r="BP752" s="174"/>
      <c r="BQ752" s="174"/>
      <c r="BR752" s="175"/>
      <c r="BS752" s="147"/>
    </row>
    <row r="753">
      <c r="I753" s="128"/>
      <c r="J753" s="129"/>
      <c r="K753" s="129"/>
      <c r="S753" s="170"/>
      <c r="T753" s="171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  <c r="AE753" s="172"/>
      <c r="AF753" s="172"/>
      <c r="AG753" s="172"/>
      <c r="AH753" s="172"/>
      <c r="AI753" s="172"/>
      <c r="AJ753" s="172"/>
      <c r="AK753" s="172"/>
      <c r="AL753" s="172"/>
      <c r="AM753" s="172"/>
      <c r="AN753" s="172"/>
      <c r="AO753" s="172"/>
      <c r="AP753" s="172"/>
      <c r="AQ753" s="172"/>
      <c r="AR753" s="172"/>
      <c r="AS753" s="172"/>
      <c r="AT753" s="173"/>
      <c r="AU753" s="174"/>
      <c r="AV753" s="174"/>
      <c r="AW753" s="174"/>
      <c r="AX753" s="174"/>
      <c r="AY753" s="174"/>
      <c r="AZ753" s="174"/>
      <c r="BA753" s="174"/>
      <c r="BB753" s="174"/>
      <c r="BC753" s="174"/>
      <c r="BD753" s="174"/>
      <c r="BE753" s="174"/>
      <c r="BF753" s="174"/>
      <c r="BG753" s="174"/>
      <c r="BH753" s="174"/>
      <c r="BI753" s="174"/>
      <c r="BJ753" s="174"/>
      <c r="BK753" s="174"/>
      <c r="BL753" s="174"/>
      <c r="BM753" s="174"/>
      <c r="BN753" s="174"/>
      <c r="BO753" s="174"/>
      <c r="BP753" s="174"/>
      <c r="BQ753" s="174"/>
      <c r="BR753" s="175"/>
      <c r="BS753" s="147"/>
    </row>
    <row r="754">
      <c r="I754" s="128"/>
      <c r="J754" s="129"/>
      <c r="K754" s="129"/>
      <c r="S754" s="170"/>
      <c r="T754" s="171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  <c r="AE754" s="172"/>
      <c r="AF754" s="172"/>
      <c r="AG754" s="172"/>
      <c r="AH754" s="172"/>
      <c r="AI754" s="172"/>
      <c r="AJ754" s="172"/>
      <c r="AK754" s="172"/>
      <c r="AL754" s="172"/>
      <c r="AM754" s="172"/>
      <c r="AN754" s="172"/>
      <c r="AO754" s="172"/>
      <c r="AP754" s="172"/>
      <c r="AQ754" s="172"/>
      <c r="AR754" s="172"/>
      <c r="AS754" s="172"/>
      <c r="AT754" s="173"/>
      <c r="AU754" s="174"/>
      <c r="AV754" s="174"/>
      <c r="AW754" s="174"/>
      <c r="AX754" s="174"/>
      <c r="AY754" s="174"/>
      <c r="AZ754" s="174"/>
      <c r="BA754" s="174"/>
      <c r="BB754" s="174"/>
      <c r="BC754" s="174"/>
      <c r="BD754" s="174"/>
      <c r="BE754" s="174"/>
      <c r="BF754" s="174"/>
      <c r="BG754" s="174"/>
      <c r="BH754" s="174"/>
      <c r="BI754" s="174"/>
      <c r="BJ754" s="174"/>
      <c r="BK754" s="174"/>
      <c r="BL754" s="174"/>
      <c r="BM754" s="174"/>
      <c r="BN754" s="174"/>
      <c r="BO754" s="174"/>
      <c r="BP754" s="174"/>
      <c r="BQ754" s="174"/>
      <c r="BR754" s="175"/>
      <c r="BS754" s="147"/>
    </row>
    <row r="755">
      <c r="I755" s="128"/>
      <c r="J755" s="129"/>
      <c r="K755" s="129"/>
      <c r="S755" s="170"/>
      <c r="T755" s="171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  <c r="AE755" s="172"/>
      <c r="AF755" s="172"/>
      <c r="AG755" s="172"/>
      <c r="AH755" s="172"/>
      <c r="AI755" s="172"/>
      <c r="AJ755" s="172"/>
      <c r="AK755" s="172"/>
      <c r="AL755" s="172"/>
      <c r="AM755" s="172"/>
      <c r="AN755" s="172"/>
      <c r="AO755" s="172"/>
      <c r="AP755" s="172"/>
      <c r="AQ755" s="172"/>
      <c r="AR755" s="172"/>
      <c r="AS755" s="172"/>
      <c r="AT755" s="173"/>
      <c r="AU755" s="174"/>
      <c r="AV755" s="174"/>
      <c r="AW755" s="174"/>
      <c r="AX755" s="174"/>
      <c r="AY755" s="174"/>
      <c r="AZ755" s="174"/>
      <c r="BA755" s="174"/>
      <c r="BB755" s="174"/>
      <c r="BC755" s="174"/>
      <c r="BD755" s="174"/>
      <c r="BE755" s="174"/>
      <c r="BF755" s="174"/>
      <c r="BG755" s="174"/>
      <c r="BH755" s="174"/>
      <c r="BI755" s="174"/>
      <c r="BJ755" s="174"/>
      <c r="BK755" s="174"/>
      <c r="BL755" s="174"/>
      <c r="BM755" s="174"/>
      <c r="BN755" s="174"/>
      <c r="BO755" s="174"/>
      <c r="BP755" s="174"/>
      <c r="BQ755" s="174"/>
      <c r="BR755" s="175"/>
      <c r="BS755" s="147"/>
    </row>
    <row r="756">
      <c r="I756" s="128"/>
      <c r="J756" s="129"/>
      <c r="K756" s="129"/>
      <c r="S756" s="170"/>
      <c r="T756" s="171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  <c r="AE756" s="172"/>
      <c r="AF756" s="172"/>
      <c r="AG756" s="172"/>
      <c r="AH756" s="172"/>
      <c r="AI756" s="172"/>
      <c r="AJ756" s="172"/>
      <c r="AK756" s="172"/>
      <c r="AL756" s="172"/>
      <c r="AM756" s="172"/>
      <c r="AN756" s="172"/>
      <c r="AO756" s="172"/>
      <c r="AP756" s="172"/>
      <c r="AQ756" s="172"/>
      <c r="AR756" s="172"/>
      <c r="AS756" s="172"/>
      <c r="AT756" s="173"/>
      <c r="AU756" s="174"/>
      <c r="AV756" s="174"/>
      <c r="AW756" s="174"/>
      <c r="AX756" s="174"/>
      <c r="AY756" s="174"/>
      <c r="AZ756" s="174"/>
      <c r="BA756" s="174"/>
      <c r="BB756" s="174"/>
      <c r="BC756" s="174"/>
      <c r="BD756" s="174"/>
      <c r="BE756" s="174"/>
      <c r="BF756" s="174"/>
      <c r="BG756" s="174"/>
      <c r="BH756" s="174"/>
      <c r="BI756" s="174"/>
      <c r="BJ756" s="174"/>
      <c r="BK756" s="174"/>
      <c r="BL756" s="174"/>
      <c r="BM756" s="174"/>
      <c r="BN756" s="174"/>
      <c r="BO756" s="174"/>
      <c r="BP756" s="174"/>
      <c r="BQ756" s="174"/>
      <c r="BR756" s="175"/>
      <c r="BS756" s="147"/>
    </row>
    <row r="757">
      <c r="I757" s="128"/>
      <c r="J757" s="129"/>
      <c r="K757" s="129"/>
      <c r="S757" s="170"/>
      <c r="T757" s="171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  <c r="AE757" s="172"/>
      <c r="AF757" s="172"/>
      <c r="AG757" s="172"/>
      <c r="AH757" s="172"/>
      <c r="AI757" s="172"/>
      <c r="AJ757" s="172"/>
      <c r="AK757" s="172"/>
      <c r="AL757" s="172"/>
      <c r="AM757" s="172"/>
      <c r="AN757" s="172"/>
      <c r="AO757" s="172"/>
      <c r="AP757" s="172"/>
      <c r="AQ757" s="172"/>
      <c r="AR757" s="172"/>
      <c r="AS757" s="172"/>
      <c r="AT757" s="173"/>
      <c r="AU757" s="174"/>
      <c r="AV757" s="174"/>
      <c r="AW757" s="174"/>
      <c r="AX757" s="174"/>
      <c r="AY757" s="174"/>
      <c r="AZ757" s="174"/>
      <c r="BA757" s="174"/>
      <c r="BB757" s="174"/>
      <c r="BC757" s="174"/>
      <c r="BD757" s="174"/>
      <c r="BE757" s="174"/>
      <c r="BF757" s="174"/>
      <c r="BG757" s="174"/>
      <c r="BH757" s="174"/>
      <c r="BI757" s="174"/>
      <c r="BJ757" s="174"/>
      <c r="BK757" s="174"/>
      <c r="BL757" s="174"/>
      <c r="BM757" s="174"/>
      <c r="BN757" s="174"/>
      <c r="BO757" s="174"/>
      <c r="BP757" s="174"/>
      <c r="BQ757" s="174"/>
      <c r="BR757" s="175"/>
      <c r="BS757" s="147"/>
    </row>
    <row r="758">
      <c r="I758" s="128"/>
      <c r="J758" s="129"/>
      <c r="K758" s="129"/>
      <c r="S758" s="170"/>
      <c r="T758" s="171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  <c r="AE758" s="172"/>
      <c r="AF758" s="172"/>
      <c r="AG758" s="172"/>
      <c r="AH758" s="172"/>
      <c r="AI758" s="172"/>
      <c r="AJ758" s="172"/>
      <c r="AK758" s="172"/>
      <c r="AL758" s="172"/>
      <c r="AM758" s="172"/>
      <c r="AN758" s="172"/>
      <c r="AO758" s="172"/>
      <c r="AP758" s="172"/>
      <c r="AQ758" s="172"/>
      <c r="AR758" s="172"/>
      <c r="AS758" s="172"/>
      <c r="AT758" s="173"/>
      <c r="AU758" s="174"/>
      <c r="AV758" s="174"/>
      <c r="AW758" s="174"/>
      <c r="AX758" s="174"/>
      <c r="AY758" s="174"/>
      <c r="AZ758" s="174"/>
      <c r="BA758" s="174"/>
      <c r="BB758" s="174"/>
      <c r="BC758" s="174"/>
      <c r="BD758" s="174"/>
      <c r="BE758" s="174"/>
      <c r="BF758" s="174"/>
      <c r="BG758" s="174"/>
      <c r="BH758" s="174"/>
      <c r="BI758" s="174"/>
      <c r="BJ758" s="174"/>
      <c r="BK758" s="174"/>
      <c r="BL758" s="174"/>
      <c r="BM758" s="174"/>
      <c r="BN758" s="174"/>
      <c r="BO758" s="174"/>
      <c r="BP758" s="174"/>
      <c r="BQ758" s="174"/>
      <c r="BR758" s="175"/>
      <c r="BS758" s="147"/>
    </row>
    <row r="759">
      <c r="I759" s="128"/>
      <c r="J759" s="129"/>
      <c r="K759" s="129"/>
      <c r="S759" s="170"/>
      <c r="T759" s="171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  <c r="AE759" s="172"/>
      <c r="AF759" s="172"/>
      <c r="AG759" s="172"/>
      <c r="AH759" s="172"/>
      <c r="AI759" s="172"/>
      <c r="AJ759" s="172"/>
      <c r="AK759" s="172"/>
      <c r="AL759" s="172"/>
      <c r="AM759" s="172"/>
      <c r="AN759" s="172"/>
      <c r="AO759" s="172"/>
      <c r="AP759" s="172"/>
      <c r="AQ759" s="172"/>
      <c r="AR759" s="172"/>
      <c r="AS759" s="172"/>
      <c r="AT759" s="173"/>
      <c r="AU759" s="174"/>
      <c r="AV759" s="174"/>
      <c r="AW759" s="174"/>
      <c r="AX759" s="174"/>
      <c r="AY759" s="174"/>
      <c r="AZ759" s="174"/>
      <c r="BA759" s="174"/>
      <c r="BB759" s="174"/>
      <c r="BC759" s="174"/>
      <c r="BD759" s="174"/>
      <c r="BE759" s="174"/>
      <c r="BF759" s="174"/>
      <c r="BG759" s="174"/>
      <c r="BH759" s="174"/>
      <c r="BI759" s="174"/>
      <c r="BJ759" s="174"/>
      <c r="BK759" s="174"/>
      <c r="BL759" s="174"/>
      <c r="BM759" s="174"/>
      <c r="BN759" s="174"/>
      <c r="BO759" s="174"/>
      <c r="BP759" s="174"/>
      <c r="BQ759" s="174"/>
      <c r="BR759" s="175"/>
      <c r="BS759" s="147"/>
    </row>
    <row r="760">
      <c r="I760" s="128"/>
      <c r="J760" s="129"/>
      <c r="K760" s="129"/>
      <c r="S760" s="170"/>
      <c r="T760" s="171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  <c r="AE760" s="172"/>
      <c r="AF760" s="172"/>
      <c r="AG760" s="172"/>
      <c r="AH760" s="172"/>
      <c r="AI760" s="172"/>
      <c r="AJ760" s="172"/>
      <c r="AK760" s="172"/>
      <c r="AL760" s="172"/>
      <c r="AM760" s="172"/>
      <c r="AN760" s="172"/>
      <c r="AO760" s="172"/>
      <c r="AP760" s="172"/>
      <c r="AQ760" s="172"/>
      <c r="AR760" s="172"/>
      <c r="AS760" s="172"/>
      <c r="AT760" s="173"/>
      <c r="AU760" s="174"/>
      <c r="AV760" s="174"/>
      <c r="AW760" s="174"/>
      <c r="AX760" s="174"/>
      <c r="AY760" s="174"/>
      <c r="AZ760" s="174"/>
      <c r="BA760" s="174"/>
      <c r="BB760" s="174"/>
      <c r="BC760" s="174"/>
      <c r="BD760" s="174"/>
      <c r="BE760" s="174"/>
      <c r="BF760" s="174"/>
      <c r="BG760" s="174"/>
      <c r="BH760" s="174"/>
      <c r="BI760" s="174"/>
      <c r="BJ760" s="174"/>
      <c r="BK760" s="174"/>
      <c r="BL760" s="174"/>
      <c r="BM760" s="174"/>
      <c r="BN760" s="174"/>
      <c r="BO760" s="174"/>
      <c r="BP760" s="174"/>
      <c r="BQ760" s="174"/>
      <c r="BR760" s="175"/>
      <c r="BS760" s="147"/>
    </row>
    <row r="761">
      <c r="I761" s="128"/>
      <c r="J761" s="129"/>
      <c r="K761" s="129"/>
      <c r="S761" s="170"/>
      <c r="T761" s="171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  <c r="AE761" s="172"/>
      <c r="AF761" s="172"/>
      <c r="AG761" s="172"/>
      <c r="AH761" s="172"/>
      <c r="AI761" s="172"/>
      <c r="AJ761" s="172"/>
      <c r="AK761" s="172"/>
      <c r="AL761" s="172"/>
      <c r="AM761" s="172"/>
      <c r="AN761" s="172"/>
      <c r="AO761" s="172"/>
      <c r="AP761" s="172"/>
      <c r="AQ761" s="172"/>
      <c r="AR761" s="172"/>
      <c r="AS761" s="172"/>
      <c r="AT761" s="173"/>
      <c r="AU761" s="174"/>
      <c r="AV761" s="174"/>
      <c r="AW761" s="174"/>
      <c r="AX761" s="174"/>
      <c r="AY761" s="174"/>
      <c r="AZ761" s="174"/>
      <c r="BA761" s="174"/>
      <c r="BB761" s="174"/>
      <c r="BC761" s="174"/>
      <c r="BD761" s="174"/>
      <c r="BE761" s="174"/>
      <c r="BF761" s="174"/>
      <c r="BG761" s="174"/>
      <c r="BH761" s="174"/>
      <c r="BI761" s="174"/>
      <c r="BJ761" s="174"/>
      <c r="BK761" s="174"/>
      <c r="BL761" s="174"/>
      <c r="BM761" s="174"/>
      <c r="BN761" s="174"/>
      <c r="BO761" s="174"/>
      <c r="BP761" s="174"/>
      <c r="BQ761" s="174"/>
      <c r="BR761" s="175"/>
      <c r="BS761" s="147"/>
    </row>
    <row r="762">
      <c r="I762" s="128"/>
      <c r="J762" s="129"/>
      <c r="K762" s="129"/>
      <c r="S762" s="170"/>
      <c r="T762" s="171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  <c r="AE762" s="172"/>
      <c r="AF762" s="172"/>
      <c r="AG762" s="172"/>
      <c r="AH762" s="172"/>
      <c r="AI762" s="172"/>
      <c r="AJ762" s="172"/>
      <c r="AK762" s="172"/>
      <c r="AL762" s="172"/>
      <c r="AM762" s="172"/>
      <c r="AN762" s="172"/>
      <c r="AO762" s="172"/>
      <c r="AP762" s="172"/>
      <c r="AQ762" s="172"/>
      <c r="AR762" s="172"/>
      <c r="AS762" s="172"/>
      <c r="AT762" s="173"/>
      <c r="AU762" s="174"/>
      <c r="AV762" s="174"/>
      <c r="AW762" s="174"/>
      <c r="AX762" s="174"/>
      <c r="AY762" s="174"/>
      <c r="AZ762" s="174"/>
      <c r="BA762" s="174"/>
      <c r="BB762" s="174"/>
      <c r="BC762" s="174"/>
      <c r="BD762" s="174"/>
      <c r="BE762" s="174"/>
      <c r="BF762" s="174"/>
      <c r="BG762" s="174"/>
      <c r="BH762" s="174"/>
      <c r="BI762" s="174"/>
      <c r="BJ762" s="174"/>
      <c r="BK762" s="174"/>
      <c r="BL762" s="174"/>
      <c r="BM762" s="174"/>
      <c r="BN762" s="174"/>
      <c r="BO762" s="174"/>
      <c r="BP762" s="174"/>
      <c r="BQ762" s="174"/>
      <c r="BR762" s="175"/>
      <c r="BS762" s="147"/>
    </row>
    <row r="763">
      <c r="I763" s="128"/>
      <c r="J763" s="129"/>
      <c r="K763" s="129"/>
      <c r="S763" s="170"/>
      <c r="T763" s="171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  <c r="AE763" s="172"/>
      <c r="AF763" s="172"/>
      <c r="AG763" s="172"/>
      <c r="AH763" s="172"/>
      <c r="AI763" s="172"/>
      <c r="AJ763" s="172"/>
      <c r="AK763" s="172"/>
      <c r="AL763" s="172"/>
      <c r="AM763" s="172"/>
      <c r="AN763" s="172"/>
      <c r="AO763" s="172"/>
      <c r="AP763" s="172"/>
      <c r="AQ763" s="172"/>
      <c r="AR763" s="172"/>
      <c r="AS763" s="172"/>
      <c r="AT763" s="173"/>
      <c r="AU763" s="174"/>
      <c r="AV763" s="174"/>
      <c r="AW763" s="174"/>
      <c r="AX763" s="174"/>
      <c r="AY763" s="174"/>
      <c r="AZ763" s="174"/>
      <c r="BA763" s="174"/>
      <c r="BB763" s="174"/>
      <c r="BC763" s="174"/>
      <c r="BD763" s="174"/>
      <c r="BE763" s="174"/>
      <c r="BF763" s="174"/>
      <c r="BG763" s="174"/>
      <c r="BH763" s="174"/>
      <c r="BI763" s="174"/>
      <c r="BJ763" s="174"/>
      <c r="BK763" s="174"/>
      <c r="BL763" s="174"/>
      <c r="BM763" s="174"/>
      <c r="BN763" s="174"/>
      <c r="BO763" s="174"/>
      <c r="BP763" s="174"/>
      <c r="BQ763" s="174"/>
      <c r="BR763" s="175"/>
      <c r="BS763" s="147"/>
    </row>
    <row r="764">
      <c r="I764" s="128"/>
      <c r="J764" s="129"/>
      <c r="K764" s="129"/>
      <c r="S764" s="170"/>
      <c r="T764" s="171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  <c r="AE764" s="172"/>
      <c r="AF764" s="172"/>
      <c r="AG764" s="172"/>
      <c r="AH764" s="172"/>
      <c r="AI764" s="172"/>
      <c r="AJ764" s="172"/>
      <c r="AK764" s="172"/>
      <c r="AL764" s="172"/>
      <c r="AM764" s="172"/>
      <c r="AN764" s="172"/>
      <c r="AO764" s="172"/>
      <c r="AP764" s="172"/>
      <c r="AQ764" s="172"/>
      <c r="AR764" s="172"/>
      <c r="AS764" s="172"/>
      <c r="AT764" s="173"/>
      <c r="AU764" s="174"/>
      <c r="AV764" s="174"/>
      <c r="AW764" s="174"/>
      <c r="AX764" s="174"/>
      <c r="AY764" s="174"/>
      <c r="AZ764" s="174"/>
      <c r="BA764" s="174"/>
      <c r="BB764" s="174"/>
      <c r="BC764" s="174"/>
      <c r="BD764" s="174"/>
      <c r="BE764" s="174"/>
      <c r="BF764" s="174"/>
      <c r="BG764" s="174"/>
      <c r="BH764" s="174"/>
      <c r="BI764" s="174"/>
      <c r="BJ764" s="174"/>
      <c r="BK764" s="174"/>
      <c r="BL764" s="174"/>
      <c r="BM764" s="174"/>
      <c r="BN764" s="174"/>
      <c r="BO764" s="174"/>
      <c r="BP764" s="174"/>
      <c r="BQ764" s="174"/>
      <c r="BR764" s="175"/>
      <c r="BS764" s="147"/>
    </row>
    <row r="765">
      <c r="I765" s="128"/>
      <c r="J765" s="129"/>
      <c r="K765" s="129"/>
      <c r="S765" s="170"/>
      <c r="T765" s="171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  <c r="AE765" s="172"/>
      <c r="AF765" s="172"/>
      <c r="AG765" s="172"/>
      <c r="AH765" s="172"/>
      <c r="AI765" s="172"/>
      <c r="AJ765" s="172"/>
      <c r="AK765" s="172"/>
      <c r="AL765" s="172"/>
      <c r="AM765" s="172"/>
      <c r="AN765" s="172"/>
      <c r="AO765" s="172"/>
      <c r="AP765" s="172"/>
      <c r="AQ765" s="172"/>
      <c r="AR765" s="172"/>
      <c r="AS765" s="172"/>
      <c r="AT765" s="173"/>
      <c r="AU765" s="174"/>
      <c r="AV765" s="174"/>
      <c r="AW765" s="174"/>
      <c r="AX765" s="174"/>
      <c r="AY765" s="174"/>
      <c r="AZ765" s="174"/>
      <c r="BA765" s="174"/>
      <c r="BB765" s="174"/>
      <c r="BC765" s="174"/>
      <c r="BD765" s="174"/>
      <c r="BE765" s="174"/>
      <c r="BF765" s="174"/>
      <c r="BG765" s="174"/>
      <c r="BH765" s="174"/>
      <c r="BI765" s="174"/>
      <c r="BJ765" s="174"/>
      <c r="BK765" s="174"/>
      <c r="BL765" s="174"/>
      <c r="BM765" s="174"/>
      <c r="BN765" s="174"/>
      <c r="BO765" s="174"/>
      <c r="BP765" s="174"/>
      <c r="BQ765" s="174"/>
      <c r="BR765" s="175"/>
      <c r="BS765" s="147"/>
    </row>
    <row r="766">
      <c r="I766" s="128"/>
      <c r="J766" s="129"/>
      <c r="K766" s="129"/>
      <c r="S766" s="170"/>
      <c r="T766" s="171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  <c r="AE766" s="172"/>
      <c r="AF766" s="172"/>
      <c r="AG766" s="172"/>
      <c r="AH766" s="172"/>
      <c r="AI766" s="172"/>
      <c r="AJ766" s="172"/>
      <c r="AK766" s="172"/>
      <c r="AL766" s="172"/>
      <c r="AM766" s="172"/>
      <c r="AN766" s="172"/>
      <c r="AO766" s="172"/>
      <c r="AP766" s="172"/>
      <c r="AQ766" s="172"/>
      <c r="AR766" s="172"/>
      <c r="AS766" s="172"/>
      <c r="AT766" s="173"/>
      <c r="AU766" s="174"/>
      <c r="AV766" s="174"/>
      <c r="AW766" s="174"/>
      <c r="AX766" s="174"/>
      <c r="AY766" s="174"/>
      <c r="AZ766" s="174"/>
      <c r="BA766" s="174"/>
      <c r="BB766" s="174"/>
      <c r="BC766" s="174"/>
      <c r="BD766" s="174"/>
      <c r="BE766" s="174"/>
      <c r="BF766" s="174"/>
      <c r="BG766" s="174"/>
      <c r="BH766" s="174"/>
      <c r="BI766" s="174"/>
      <c r="BJ766" s="174"/>
      <c r="BK766" s="174"/>
      <c r="BL766" s="174"/>
      <c r="BM766" s="174"/>
      <c r="BN766" s="174"/>
      <c r="BO766" s="174"/>
      <c r="BP766" s="174"/>
      <c r="BQ766" s="174"/>
      <c r="BR766" s="175"/>
      <c r="BS766" s="147"/>
    </row>
    <row r="767">
      <c r="I767" s="128"/>
      <c r="J767" s="129"/>
      <c r="K767" s="129"/>
      <c r="S767" s="170"/>
      <c r="T767" s="171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  <c r="AE767" s="172"/>
      <c r="AF767" s="172"/>
      <c r="AG767" s="172"/>
      <c r="AH767" s="172"/>
      <c r="AI767" s="172"/>
      <c r="AJ767" s="172"/>
      <c r="AK767" s="172"/>
      <c r="AL767" s="172"/>
      <c r="AM767" s="172"/>
      <c r="AN767" s="172"/>
      <c r="AO767" s="172"/>
      <c r="AP767" s="172"/>
      <c r="AQ767" s="172"/>
      <c r="AR767" s="172"/>
      <c r="AS767" s="172"/>
      <c r="AT767" s="173"/>
      <c r="AU767" s="174"/>
      <c r="AV767" s="174"/>
      <c r="AW767" s="174"/>
      <c r="AX767" s="174"/>
      <c r="AY767" s="174"/>
      <c r="AZ767" s="174"/>
      <c r="BA767" s="174"/>
      <c r="BB767" s="174"/>
      <c r="BC767" s="174"/>
      <c r="BD767" s="174"/>
      <c r="BE767" s="174"/>
      <c r="BF767" s="174"/>
      <c r="BG767" s="174"/>
      <c r="BH767" s="174"/>
      <c r="BI767" s="174"/>
      <c r="BJ767" s="174"/>
      <c r="BK767" s="174"/>
      <c r="BL767" s="174"/>
      <c r="BM767" s="174"/>
      <c r="BN767" s="174"/>
      <c r="BO767" s="174"/>
      <c r="BP767" s="174"/>
      <c r="BQ767" s="174"/>
      <c r="BR767" s="175"/>
      <c r="BS767" s="147"/>
    </row>
    <row r="768">
      <c r="I768" s="128"/>
      <c r="J768" s="129"/>
      <c r="K768" s="129"/>
      <c r="S768" s="170"/>
      <c r="T768" s="171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  <c r="AE768" s="172"/>
      <c r="AF768" s="172"/>
      <c r="AG768" s="172"/>
      <c r="AH768" s="172"/>
      <c r="AI768" s="172"/>
      <c r="AJ768" s="172"/>
      <c r="AK768" s="172"/>
      <c r="AL768" s="172"/>
      <c r="AM768" s="172"/>
      <c r="AN768" s="172"/>
      <c r="AO768" s="172"/>
      <c r="AP768" s="172"/>
      <c r="AQ768" s="172"/>
      <c r="AR768" s="172"/>
      <c r="AS768" s="172"/>
      <c r="AT768" s="173"/>
      <c r="AU768" s="174"/>
      <c r="AV768" s="174"/>
      <c r="AW768" s="174"/>
      <c r="AX768" s="174"/>
      <c r="AY768" s="174"/>
      <c r="AZ768" s="174"/>
      <c r="BA768" s="174"/>
      <c r="BB768" s="174"/>
      <c r="BC768" s="174"/>
      <c r="BD768" s="174"/>
      <c r="BE768" s="174"/>
      <c r="BF768" s="174"/>
      <c r="BG768" s="174"/>
      <c r="BH768" s="174"/>
      <c r="BI768" s="174"/>
      <c r="BJ768" s="174"/>
      <c r="BK768" s="174"/>
      <c r="BL768" s="174"/>
      <c r="BM768" s="174"/>
      <c r="BN768" s="174"/>
      <c r="BO768" s="174"/>
      <c r="BP768" s="174"/>
      <c r="BQ768" s="174"/>
      <c r="BR768" s="175"/>
      <c r="BS768" s="147"/>
    </row>
    <row r="769">
      <c r="I769" s="128"/>
      <c r="J769" s="129"/>
      <c r="K769" s="129"/>
      <c r="S769" s="170"/>
      <c r="T769" s="171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  <c r="AE769" s="172"/>
      <c r="AF769" s="172"/>
      <c r="AG769" s="172"/>
      <c r="AH769" s="172"/>
      <c r="AI769" s="172"/>
      <c r="AJ769" s="172"/>
      <c r="AK769" s="172"/>
      <c r="AL769" s="172"/>
      <c r="AM769" s="172"/>
      <c r="AN769" s="172"/>
      <c r="AO769" s="172"/>
      <c r="AP769" s="172"/>
      <c r="AQ769" s="172"/>
      <c r="AR769" s="172"/>
      <c r="AS769" s="172"/>
      <c r="AT769" s="173"/>
      <c r="AU769" s="174"/>
      <c r="AV769" s="174"/>
      <c r="AW769" s="174"/>
      <c r="AX769" s="174"/>
      <c r="AY769" s="174"/>
      <c r="AZ769" s="174"/>
      <c r="BA769" s="174"/>
      <c r="BB769" s="174"/>
      <c r="BC769" s="174"/>
      <c r="BD769" s="174"/>
      <c r="BE769" s="174"/>
      <c r="BF769" s="174"/>
      <c r="BG769" s="174"/>
      <c r="BH769" s="174"/>
      <c r="BI769" s="174"/>
      <c r="BJ769" s="174"/>
      <c r="BK769" s="174"/>
      <c r="BL769" s="174"/>
      <c r="BM769" s="174"/>
      <c r="BN769" s="174"/>
      <c r="BO769" s="174"/>
      <c r="BP769" s="174"/>
      <c r="BQ769" s="174"/>
      <c r="BR769" s="175"/>
      <c r="BS769" s="147"/>
    </row>
    <row r="770">
      <c r="I770" s="128"/>
      <c r="J770" s="129"/>
      <c r="K770" s="129"/>
      <c r="S770" s="170"/>
      <c r="T770" s="171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  <c r="AE770" s="172"/>
      <c r="AF770" s="172"/>
      <c r="AG770" s="172"/>
      <c r="AH770" s="172"/>
      <c r="AI770" s="172"/>
      <c r="AJ770" s="172"/>
      <c r="AK770" s="172"/>
      <c r="AL770" s="172"/>
      <c r="AM770" s="172"/>
      <c r="AN770" s="172"/>
      <c r="AO770" s="172"/>
      <c r="AP770" s="172"/>
      <c r="AQ770" s="172"/>
      <c r="AR770" s="172"/>
      <c r="AS770" s="172"/>
      <c r="AT770" s="173"/>
      <c r="AU770" s="174"/>
      <c r="AV770" s="174"/>
      <c r="AW770" s="174"/>
      <c r="AX770" s="174"/>
      <c r="AY770" s="174"/>
      <c r="AZ770" s="174"/>
      <c r="BA770" s="174"/>
      <c r="BB770" s="174"/>
      <c r="BC770" s="174"/>
      <c r="BD770" s="174"/>
      <c r="BE770" s="174"/>
      <c r="BF770" s="174"/>
      <c r="BG770" s="174"/>
      <c r="BH770" s="174"/>
      <c r="BI770" s="174"/>
      <c r="BJ770" s="174"/>
      <c r="BK770" s="174"/>
      <c r="BL770" s="174"/>
      <c r="BM770" s="174"/>
      <c r="BN770" s="174"/>
      <c r="BO770" s="174"/>
      <c r="BP770" s="174"/>
      <c r="BQ770" s="174"/>
      <c r="BR770" s="175"/>
      <c r="BS770" s="147"/>
    </row>
    <row r="771">
      <c r="I771" s="128"/>
      <c r="J771" s="129"/>
      <c r="K771" s="129"/>
      <c r="S771" s="170"/>
      <c r="T771" s="171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  <c r="AE771" s="172"/>
      <c r="AF771" s="172"/>
      <c r="AG771" s="172"/>
      <c r="AH771" s="172"/>
      <c r="AI771" s="172"/>
      <c r="AJ771" s="172"/>
      <c r="AK771" s="172"/>
      <c r="AL771" s="172"/>
      <c r="AM771" s="172"/>
      <c r="AN771" s="172"/>
      <c r="AO771" s="172"/>
      <c r="AP771" s="172"/>
      <c r="AQ771" s="172"/>
      <c r="AR771" s="172"/>
      <c r="AS771" s="172"/>
      <c r="AT771" s="173"/>
      <c r="AU771" s="174"/>
      <c r="AV771" s="174"/>
      <c r="AW771" s="174"/>
      <c r="AX771" s="174"/>
      <c r="AY771" s="174"/>
      <c r="AZ771" s="174"/>
      <c r="BA771" s="174"/>
      <c r="BB771" s="174"/>
      <c r="BC771" s="174"/>
      <c r="BD771" s="174"/>
      <c r="BE771" s="174"/>
      <c r="BF771" s="174"/>
      <c r="BG771" s="174"/>
      <c r="BH771" s="174"/>
      <c r="BI771" s="174"/>
      <c r="BJ771" s="174"/>
      <c r="BK771" s="174"/>
      <c r="BL771" s="174"/>
      <c r="BM771" s="174"/>
      <c r="BN771" s="174"/>
      <c r="BO771" s="174"/>
      <c r="BP771" s="174"/>
      <c r="BQ771" s="174"/>
      <c r="BR771" s="175"/>
      <c r="BS771" s="147"/>
    </row>
    <row r="772">
      <c r="I772" s="128"/>
      <c r="J772" s="129"/>
      <c r="K772" s="129"/>
      <c r="S772" s="170"/>
      <c r="T772" s="171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  <c r="AE772" s="172"/>
      <c r="AF772" s="172"/>
      <c r="AG772" s="172"/>
      <c r="AH772" s="172"/>
      <c r="AI772" s="172"/>
      <c r="AJ772" s="172"/>
      <c r="AK772" s="172"/>
      <c r="AL772" s="172"/>
      <c r="AM772" s="172"/>
      <c r="AN772" s="172"/>
      <c r="AO772" s="172"/>
      <c r="AP772" s="172"/>
      <c r="AQ772" s="172"/>
      <c r="AR772" s="172"/>
      <c r="AS772" s="172"/>
      <c r="AT772" s="173"/>
      <c r="AU772" s="174"/>
      <c r="AV772" s="174"/>
      <c r="AW772" s="174"/>
      <c r="AX772" s="174"/>
      <c r="AY772" s="174"/>
      <c r="AZ772" s="174"/>
      <c r="BA772" s="174"/>
      <c r="BB772" s="174"/>
      <c r="BC772" s="174"/>
      <c r="BD772" s="174"/>
      <c r="BE772" s="174"/>
      <c r="BF772" s="174"/>
      <c r="BG772" s="174"/>
      <c r="BH772" s="174"/>
      <c r="BI772" s="174"/>
      <c r="BJ772" s="174"/>
      <c r="BK772" s="174"/>
      <c r="BL772" s="174"/>
      <c r="BM772" s="174"/>
      <c r="BN772" s="174"/>
      <c r="BO772" s="174"/>
      <c r="BP772" s="174"/>
      <c r="BQ772" s="174"/>
      <c r="BR772" s="175"/>
      <c r="BS772" s="147"/>
    </row>
    <row r="773">
      <c r="I773" s="128"/>
      <c r="J773" s="129"/>
      <c r="K773" s="129"/>
      <c r="S773" s="170"/>
      <c r="T773" s="171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  <c r="AE773" s="172"/>
      <c r="AF773" s="172"/>
      <c r="AG773" s="172"/>
      <c r="AH773" s="172"/>
      <c r="AI773" s="172"/>
      <c r="AJ773" s="172"/>
      <c r="AK773" s="172"/>
      <c r="AL773" s="172"/>
      <c r="AM773" s="172"/>
      <c r="AN773" s="172"/>
      <c r="AO773" s="172"/>
      <c r="AP773" s="172"/>
      <c r="AQ773" s="172"/>
      <c r="AR773" s="172"/>
      <c r="AS773" s="172"/>
      <c r="AT773" s="173"/>
      <c r="AU773" s="174"/>
      <c r="AV773" s="174"/>
      <c r="AW773" s="174"/>
      <c r="AX773" s="174"/>
      <c r="AY773" s="174"/>
      <c r="AZ773" s="174"/>
      <c r="BA773" s="174"/>
      <c r="BB773" s="174"/>
      <c r="BC773" s="174"/>
      <c r="BD773" s="174"/>
      <c r="BE773" s="174"/>
      <c r="BF773" s="174"/>
      <c r="BG773" s="174"/>
      <c r="BH773" s="174"/>
      <c r="BI773" s="174"/>
      <c r="BJ773" s="174"/>
      <c r="BK773" s="174"/>
      <c r="BL773" s="174"/>
      <c r="BM773" s="174"/>
      <c r="BN773" s="174"/>
      <c r="BO773" s="174"/>
      <c r="BP773" s="174"/>
      <c r="BQ773" s="174"/>
      <c r="BR773" s="175"/>
      <c r="BS773" s="147"/>
    </row>
    <row r="774">
      <c r="I774" s="128"/>
      <c r="J774" s="129"/>
      <c r="K774" s="129"/>
      <c r="S774" s="170"/>
      <c r="T774" s="171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  <c r="AE774" s="172"/>
      <c r="AF774" s="172"/>
      <c r="AG774" s="172"/>
      <c r="AH774" s="172"/>
      <c r="AI774" s="172"/>
      <c r="AJ774" s="172"/>
      <c r="AK774" s="172"/>
      <c r="AL774" s="172"/>
      <c r="AM774" s="172"/>
      <c r="AN774" s="172"/>
      <c r="AO774" s="172"/>
      <c r="AP774" s="172"/>
      <c r="AQ774" s="172"/>
      <c r="AR774" s="172"/>
      <c r="AS774" s="172"/>
      <c r="AT774" s="173"/>
      <c r="AU774" s="174"/>
      <c r="AV774" s="174"/>
      <c r="AW774" s="174"/>
      <c r="AX774" s="174"/>
      <c r="AY774" s="174"/>
      <c r="AZ774" s="174"/>
      <c r="BA774" s="174"/>
      <c r="BB774" s="174"/>
      <c r="BC774" s="174"/>
      <c r="BD774" s="174"/>
      <c r="BE774" s="174"/>
      <c r="BF774" s="174"/>
      <c r="BG774" s="174"/>
      <c r="BH774" s="174"/>
      <c r="BI774" s="174"/>
      <c r="BJ774" s="174"/>
      <c r="BK774" s="174"/>
      <c r="BL774" s="174"/>
      <c r="BM774" s="174"/>
      <c r="BN774" s="174"/>
      <c r="BO774" s="174"/>
      <c r="BP774" s="174"/>
      <c r="BQ774" s="174"/>
      <c r="BR774" s="175"/>
      <c r="BS774" s="147"/>
    </row>
    <row r="775">
      <c r="I775" s="128"/>
      <c r="J775" s="129"/>
      <c r="K775" s="129"/>
      <c r="S775" s="170"/>
      <c r="T775" s="171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  <c r="AE775" s="172"/>
      <c r="AF775" s="172"/>
      <c r="AG775" s="172"/>
      <c r="AH775" s="172"/>
      <c r="AI775" s="172"/>
      <c r="AJ775" s="172"/>
      <c r="AK775" s="172"/>
      <c r="AL775" s="172"/>
      <c r="AM775" s="172"/>
      <c r="AN775" s="172"/>
      <c r="AO775" s="172"/>
      <c r="AP775" s="172"/>
      <c r="AQ775" s="172"/>
      <c r="AR775" s="172"/>
      <c r="AS775" s="172"/>
      <c r="AT775" s="173"/>
      <c r="AU775" s="174"/>
      <c r="AV775" s="174"/>
      <c r="AW775" s="174"/>
      <c r="AX775" s="174"/>
      <c r="AY775" s="174"/>
      <c r="AZ775" s="174"/>
      <c r="BA775" s="174"/>
      <c r="BB775" s="174"/>
      <c r="BC775" s="174"/>
      <c r="BD775" s="174"/>
      <c r="BE775" s="174"/>
      <c r="BF775" s="174"/>
      <c r="BG775" s="174"/>
      <c r="BH775" s="174"/>
      <c r="BI775" s="174"/>
      <c r="BJ775" s="174"/>
      <c r="BK775" s="174"/>
      <c r="BL775" s="174"/>
      <c r="BM775" s="174"/>
      <c r="BN775" s="174"/>
      <c r="BO775" s="174"/>
      <c r="BP775" s="174"/>
      <c r="BQ775" s="174"/>
      <c r="BR775" s="175"/>
      <c r="BS775" s="147"/>
    </row>
    <row r="776">
      <c r="I776" s="128"/>
      <c r="J776" s="129"/>
      <c r="K776" s="129"/>
      <c r="S776" s="170"/>
      <c r="T776" s="171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  <c r="AE776" s="172"/>
      <c r="AF776" s="172"/>
      <c r="AG776" s="172"/>
      <c r="AH776" s="172"/>
      <c r="AI776" s="172"/>
      <c r="AJ776" s="172"/>
      <c r="AK776" s="172"/>
      <c r="AL776" s="172"/>
      <c r="AM776" s="172"/>
      <c r="AN776" s="172"/>
      <c r="AO776" s="172"/>
      <c r="AP776" s="172"/>
      <c r="AQ776" s="172"/>
      <c r="AR776" s="172"/>
      <c r="AS776" s="172"/>
      <c r="AT776" s="173"/>
      <c r="AU776" s="174"/>
      <c r="AV776" s="174"/>
      <c r="AW776" s="174"/>
      <c r="AX776" s="174"/>
      <c r="AY776" s="174"/>
      <c r="AZ776" s="174"/>
      <c r="BA776" s="174"/>
      <c r="BB776" s="174"/>
      <c r="BC776" s="174"/>
      <c r="BD776" s="174"/>
      <c r="BE776" s="174"/>
      <c r="BF776" s="174"/>
      <c r="BG776" s="174"/>
      <c r="BH776" s="174"/>
      <c r="BI776" s="174"/>
      <c r="BJ776" s="174"/>
      <c r="BK776" s="174"/>
      <c r="BL776" s="174"/>
      <c r="BM776" s="174"/>
      <c r="BN776" s="174"/>
      <c r="BO776" s="174"/>
      <c r="BP776" s="174"/>
      <c r="BQ776" s="174"/>
      <c r="BR776" s="175"/>
      <c r="BS776" s="147"/>
    </row>
    <row r="777">
      <c r="I777" s="128"/>
      <c r="J777" s="129"/>
      <c r="K777" s="129"/>
      <c r="S777" s="170"/>
      <c r="T777" s="171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  <c r="AE777" s="172"/>
      <c r="AF777" s="172"/>
      <c r="AG777" s="172"/>
      <c r="AH777" s="172"/>
      <c r="AI777" s="172"/>
      <c r="AJ777" s="172"/>
      <c r="AK777" s="172"/>
      <c r="AL777" s="172"/>
      <c r="AM777" s="172"/>
      <c r="AN777" s="172"/>
      <c r="AO777" s="172"/>
      <c r="AP777" s="172"/>
      <c r="AQ777" s="172"/>
      <c r="AR777" s="172"/>
      <c r="AS777" s="172"/>
      <c r="AT777" s="173"/>
      <c r="AU777" s="174"/>
      <c r="AV777" s="174"/>
      <c r="AW777" s="174"/>
      <c r="AX777" s="174"/>
      <c r="AY777" s="174"/>
      <c r="AZ777" s="174"/>
      <c r="BA777" s="174"/>
      <c r="BB777" s="174"/>
      <c r="BC777" s="174"/>
      <c r="BD777" s="174"/>
      <c r="BE777" s="174"/>
      <c r="BF777" s="174"/>
      <c r="BG777" s="174"/>
      <c r="BH777" s="174"/>
      <c r="BI777" s="174"/>
      <c r="BJ777" s="174"/>
      <c r="BK777" s="174"/>
      <c r="BL777" s="174"/>
      <c r="BM777" s="174"/>
      <c r="BN777" s="174"/>
      <c r="BO777" s="174"/>
      <c r="BP777" s="174"/>
      <c r="BQ777" s="174"/>
      <c r="BR777" s="175"/>
      <c r="BS777" s="147"/>
    </row>
    <row r="778">
      <c r="I778" s="128"/>
      <c r="J778" s="129"/>
      <c r="K778" s="129"/>
      <c r="S778" s="170"/>
      <c r="T778" s="171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  <c r="AE778" s="172"/>
      <c r="AF778" s="172"/>
      <c r="AG778" s="172"/>
      <c r="AH778" s="172"/>
      <c r="AI778" s="172"/>
      <c r="AJ778" s="172"/>
      <c r="AK778" s="172"/>
      <c r="AL778" s="172"/>
      <c r="AM778" s="172"/>
      <c r="AN778" s="172"/>
      <c r="AO778" s="172"/>
      <c r="AP778" s="172"/>
      <c r="AQ778" s="172"/>
      <c r="AR778" s="172"/>
      <c r="AS778" s="172"/>
      <c r="AT778" s="173"/>
      <c r="AU778" s="174"/>
      <c r="AV778" s="174"/>
      <c r="AW778" s="174"/>
      <c r="AX778" s="174"/>
      <c r="AY778" s="174"/>
      <c r="AZ778" s="174"/>
      <c r="BA778" s="174"/>
      <c r="BB778" s="174"/>
      <c r="BC778" s="174"/>
      <c r="BD778" s="174"/>
      <c r="BE778" s="174"/>
      <c r="BF778" s="174"/>
      <c r="BG778" s="174"/>
      <c r="BH778" s="174"/>
      <c r="BI778" s="174"/>
      <c r="BJ778" s="174"/>
      <c r="BK778" s="174"/>
      <c r="BL778" s="174"/>
      <c r="BM778" s="174"/>
      <c r="BN778" s="174"/>
      <c r="BO778" s="174"/>
      <c r="BP778" s="174"/>
      <c r="BQ778" s="174"/>
      <c r="BR778" s="175"/>
      <c r="BS778" s="147"/>
    </row>
    <row r="779">
      <c r="I779" s="128"/>
      <c r="J779" s="129"/>
      <c r="K779" s="129"/>
      <c r="S779" s="170"/>
      <c r="T779" s="171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  <c r="AE779" s="172"/>
      <c r="AF779" s="172"/>
      <c r="AG779" s="172"/>
      <c r="AH779" s="172"/>
      <c r="AI779" s="172"/>
      <c r="AJ779" s="172"/>
      <c r="AK779" s="172"/>
      <c r="AL779" s="172"/>
      <c r="AM779" s="172"/>
      <c r="AN779" s="172"/>
      <c r="AO779" s="172"/>
      <c r="AP779" s="172"/>
      <c r="AQ779" s="172"/>
      <c r="AR779" s="172"/>
      <c r="AS779" s="172"/>
      <c r="AT779" s="173"/>
      <c r="AU779" s="174"/>
      <c r="AV779" s="174"/>
      <c r="AW779" s="174"/>
      <c r="AX779" s="174"/>
      <c r="AY779" s="174"/>
      <c r="AZ779" s="174"/>
      <c r="BA779" s="174"/>
      <c r="BB779" s="174"/>
      <c r="BC779" s="174"/>
      <c r="BD779" s="174"/>
      <c r="BE779" s="174"/>
      <c r="BF779" s="174"/>
      <c r="BG779" s="174"/>
      <c r="BH779" s="174"/>
      <c r="BI779" s="174"/>
      <c r="BJ779" s="174"/>
      <c r="BK779" s="174"/>
      <c r="BL779" s="174"/>
      <c r="BM779" s="174"/>
      <c r="BN779" s="174"/>
      <c r="BO779" s="174"/>
      <c r="BP779" s="174"/>
      <c r="BQ779" s="174"/>
      <c r="BR779" s="175"/>
      <c r="BS779" s="147"/>
    </row>
    <row r="780">
      <c r="I780" s="128"/>
      <c r="J780" s="129"/>
      <c r="K780" s="129"/>
      <c r="S780" s="170"/>
      <c r="T780" s="171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  <c r="AE780" s="172"/>
      <c r="AF780" s="172"/>
      <c r="AG780" s="172"/>
      <c r="AH780" s="172"/>
      <c r="AI780" s="172"/>
      <c r="AJ780" s="172"/>
      <c r="AK780" s="172"/>
      <c r="AL780" s="172"/>
      <c r="AM780" s="172"/>
      <c r="AN780" s="172"/>
      <c r="AO780" s="172"/>
      <c r="AP780" s="172"/>
      <c r="AQ780" s="172"/>
      <c r="AR780" s="172"/>
      <c r="AS780" s="172"/>
      <c r="AT780" s="173"/>
      <c r="AU780" s="174"/>
      <c r="AV780" s="174"/>
      <c r="AW780" s="174"/>
      <c r="AX780" s="174"/>
      <c r="AY780" s="174"/>
      <c r="AZ780" s="174"/>
      <c r="BA780" s="174"/>
      <c r="BB780" s="174"/>
      <c r="BC780" s="174"/>
      <c r="BD780" s="174"/>
      <c r="BE780" s="174"/>
      <c r="BF780" s="174"/>
      <c r="BG780" s="174"/>
      <c r="BH780" s="174"/>
      <c r="BI780" s="174"/>
      <c r="BJ780" s="174"/>
      <c r="BK780" s="174"/>
      <c r="BL780" s="174"/>
      <c r="BM780" s="174"/>
      <c r="BN780" s="174"/>
      <c r="BO780" s="174"/>
      <c r="BP780" s="174"/>
      <c r="BQ780" s="174"/>
      <c r="BR780" s="175"/>
      <c r="BS780" s="147"/>
    </row>
    <row r="781">
      <c r="I781" s="128"/>
      <c r="J781" s="129"/>
      <c r="K781" s="129"/>
      <c r="S781" s="170"/>
      <c r="T781" s="171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  <c r="AE781" s="172"/>
      <c r="AF781" s="172"/>
      <c r="AG781" s="172"/>
      <c r="AH781" s="172"/>
      <c r="AI781" s="172"/>
      <c r="AJ781" s="172"/>
      <c r="AK781" s="172"/>
      <c r="AL781" s="172"/>
      <c r="AM781" s="172"/>
      <c r="AN781" s="172"/>
      <c r="AO781" s="172"/>
      <c r="AP781" s="172"/>
      <c r="AQ781" s="172"/>
      <c r="AR781" s="172"/>
      <c r="AS781" s="172"/>
      <c r="AT781" s="173"/>
      <c r="AU781" s="174"/>
      <c r="AV781" s="174"/>
      <c r="AW781" s="174"/>
      <c r="AX781" s="174"/>
      <c r="AY781" s="174"/>
      <c r="AZ781" s="174"/>
      <c r="BA781" s="174"/>
      <c r="BB781" s="174"/>
      <c r="BC781" s="174"/>
      <c r="BD781" s="174"/>
      <c r="BE781" s="174"/>
      <c r="BF781" s="174"/>
      <c r="BG781" s="174"/>
      <c r="BH781" s="174"/>
      <c r="BI781" s="174"/>
      <c r="BJ781" s="174"/>
      <c r="BK781" s="174"/>
      <c r="BL781" s="174"/>
      <c r="BM781" s="174"/>
      <c r="BN781" s="174"/>
      <c r="BO781" s="174"/>
      <c r="BP781" s="174"/>
      <c r="BQ781" s="174"/>
      <c r="BR781" s="175"/>
      <c r="BS781" s="147"/>
    </row>
    <row r="782">
      <c r="I782" s="128"/>
      <c r="J782" s="129"/>
      <c r="K782" s="129"/>
      <c r="S782" s="170"/>
      <c r="T782" s="171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  <c r="AE782" s="172"/>
      <c r="AF782" s="172"/>
      <c r="AG782" s="172"/>
      <c r="AH782" s="172"/>
      <c r="AI782" s="172"/>
      <c r="AJ782" s="172"/>
      <c r="AK782" s="172"/>
      <c r="AL782" s="172"/>
      <c r="AM782" s="172"/>
      <c r="AN782" s="172"/>
      <c r="AO782" s="172"/>
      <c r="AP782" s="172"/>
      <c r="AQ782" s="172"/>
      <c r="AR782" s="172"/>
      <c r="AS782" s="172"/>
      <c r="AT782" s="173"/>
      <c r="AU782" s="174"/>
      <c r="AV782" s="174"/>
      <c r="AW782" s="174"/>
      <c r="AX782" s="174"/>
      <c r="AY782" s="174"/>
      <c r="AZ782" s="174"/>
      <c r="BA782" s="174"/>
      <c r="BB782" s="174"/>
      <c r="BC782" s="174"/>
      <c r="BD782" s="174"/>
      <c r="BE782" s="174"/>
      <c r="BF782" s="174"/>
      <c r="BG782" s="174"/>
      <c r="BH782" s="174"/>
      <c r="BI782" s="174"/>
      <c r="BJ782" s="174"/>
      <c r="BK782" s="174"/>
      <c r="BL782" s="174"/>
      <c r="BM782" s="174"/>
      <c r="BN782" s="174"/>
      <c r="BO782" s="174"/>
      <c r="BP782" s="174"/>
      <c r="BQ782" s="174"/>
      <c r="BR782" s="175"/>
      <c r="BS782" s="147"/>
    </row>
    <row r="783">
      <c r="I783" s="128"/>
      <c r="J783" s="129"/>
      <c r="K783" s="129"/>
      <c r="S783" s="170"/>
      <c r="T783" s="171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  <c r="AE783" s="172"/>
      <c r="AF783" s="172"/>
      <c r="AG783" s="172"/>
      <c r="AH783" s="172"/>
      <c r="AI783" s="172"/>
      <c r="AJ783" s="172"/>
      <c r="AK783" s="172"/>
      <c r="AL783" s="172"/>
      <c r="AM783" s="172"/>
      <c r="AN783" s="172"/>
      <c r="AO783" s="172"/>
      <c r="AP783" s="172"/>
      <c r="AQ783" s="172"/>
      <c r="AR783" s="172"/>
      <c r="AS783" s="172"/>
      <c r="AT783" s="173"/>
      <c r="AU783" s="174"/>
      <c r="AV783" s="174"/>
      <c r="AW783" s="174"/>
      <c r="AX783" s="174"/>
      <c r="AY783" s="174"/>
      <c r="AZ783" s="174"/>
      <c r="BA783" s="174"/>
      <c r="BB783" s="174"/>
      <c r="BC783" s="174"/>
      <c r="BD783" s="174"/>
      <c r="BE783" s="174"/>
      <c r="BF783" s="174"/>
      <c r="BG783" s="174"/>
      <c r="BH783" s="174"/>
      <c r="BI783" s="174"/>
      <c r="BJ783" s="174"/>
      <c r="BK783" s="174"/>
      <c r="BL783" s="174"/>
      <c r="BM783" s="174"/>
      <c r="BN783" s="174"/>
      <c r="BO783" s="174"/>
      <c r="BP783" s="174"/>
      <c r="BQ783" s="174"/>
      <c r="BR783" s="175"/>
      <c r="BS783" s="147"/>
    </row>
    <row r="784">
      <c r="I784" s="128"/>
      <c r="J784" s="129"/>
      <c r="K784" s="129"/>
      <c r="S784" s="170"/>
      <c r="T784" s="171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  <c r="AE784" s="172"/>
      <c r="AF784" s="172"/>
      <c r="AG784" s="172"/>
      <c r="AH784" s="172"/>
      <c r="AI784" s="172"/>
      <c r="AJ784" s="172"/>
      <c r="AK784" s="172"/>
      <c r="AL784" s="172"/>
      <c r="AM784" s="172"/>
      <c r="AN784" s="172"/>
      <c r="AO784" s="172"/>
      <c r="AP784" s="172"/>
      <c r="AQ784" s="172"/>
      <c r="AR784" s="172"/>
      <c r="AS784" s="172"/>
      <c r="AT784" s="173"/>
      <c r="AU784" s="174"/>
      <c r="AV784" s="174"/>
      <c r="AW784" s="174"/>
      <c r="AX784" s="174"/>
      <c r="AY784" s="174"/>
      <c r="AZ784" s="174"/>
      <c r="BA784" s="174"/>
      <c r="BB784" s="174"/>
      <c r="BC784" s="174"/>
      <c r="BD784" s="174"/>
      <c r="BE784" s="174"/>
      <c r="BF784" s="174"/>
      <c r="BG784" s="174"/>
      <c r="BH784" s="174"/>
      <c r="BI784" s="174"/>
      <c r="BJ784" s="174"/>
      <c r="BK784" s="174"/>
      <c r="BL784" s="174"/>
      <c r="BM784" s="174"/>
      <c r="BN784" s="174"/>
      <c r="BO784" s="174"/>
      <c r="BP784" s="174"/>
      <c r="BQ784" s="174"/>
      <c r="BR784" s="175"/>
      <c r="BS784" s="147"/>
    </row>
    <row r="785">
      <c r="I785" s="128"/>
      <c r="J785" s="129"/>
      <c r="K785" s="129"/>
      <c r="S785" s="170"/>
      <c r="T785" s="171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  <c r="AE785" s="172"/>
      <c r="AF785" s="172"/>
      <c r="AG785" s="172"/>
      <c r="AH785" s="172"/>
      <c r="AI785" s="172"/>
      <c r="AJ785" s="172"/>
      <c r="AK785" s="172"/>
      <c r="AL785" s="172"/>
      <c r="AM785" s="172"/>
      <c r="AN785" s="172"/>
      <c r="AO785" s="172"/>
      <c r="AP785" s="172"/>
      <c r="AQ785" s="172"/>
      <c r="AR785" s="172"/>
      <c r="AS785" s="172"/>
      <c r="AT785" s="173"/>
      <c r="AU785" s="174"/>
      <c r="AV785" s="174"/>
      <c r="AW785" s="174"/>
      <c r="AX785" s="174"/>
      <c r="AY785" s="174"/>
      <c r="AZ785" s="174"/>
      <c r="BA785" s="174"/>
      <c r="BB785" s="174"/>
      <c r="BC785" s="174"/>
      <c r="BD785" s="174"/>
      <c r="BE785" s="174"/>
      <c r="BF785" s="174"/>
      <c r="BG785" s="174"/>
      <c r="BH785" s="174"/>
      <c r="BI785" s="174"/>
      <c r="BJ785" s="174"/>
      <c r="BK785" s="174"/>
      <c r="BL785" s="174"/>
      <c r="BM785" s="174"/>
      <c r="BN785" s="174"/>
      <c r="BO785" s="174"/>
      <c r="BP785" s="174"/>
      <c r="BQ785" s="174"/>
      <c r="BR785" s="175"/>
      <c r="BS785" s="147"/>
    </row>
    <row r="786">
      <c r="I786" s="128"/>
      <c r="J786" s="129"/>
      <c r="K786" s="129"/>
      <c r="S786" s="170"/>
      <c r="T786" s="171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  <c r="AE786" s="172"/>
      <c r="AF786" s="172"/>
      <c r="AG786" s="172"/>
      <c r="AH786" s="172"/>
      <c r="AI786" s="172"/>
      <c r="AJ786" s="172"/>
      <c r="AK786" s="172"/>
      <c r="AL786" s="172"/>
      <c r="AM786" s="172"/>
      <c r="AN786" s="172"/>
      <c r="AO786" s="172"/>
      <c r="AP786" s="172"/>
      <c r="AQ786" s="172"/>
      <c r="AR786" s="172"/>
      <c r="AS786" s="172"/>
      <c r="AT786" s="173"/>
      <c r="AU786" s="174"/>
      <c r="AV786" s="174"/>
      <c r="AW786" s="174"/>
      <c r="AX786" s="174"/>
      <c r="AY786" s="174"/>
      <c r="AZ786" s="174"/>
      <c r="BA786" s="174"/>
      <c r="BB786" s="174"/>
      <c r="BC786" s="174"/>
      <c r="BD786" s="174"/>
      <c r="BE786" s="174"/>
      <c r="BF786" s="174"/>
      <c r="BG786" s="174"/>
      <c r="BH786" s="174"/>
      <c r="BI786" s="174"/>
      <c r="BJ786" s="174"/>
      <c r="BK786" s="174"/>
      <c r="BL786" s="174"/>
      <c r="BM786" s="174"/>
      <c r="BN786" s="174"/>
      <c r="BO786" s="174"/>
      <c r="BP786" s="174"/>
      <c r="BQ786" s="174"/>
      <c r="BR786" s="175"/>
      <c r="BS786" s="147"/>
    </row>
    <row r="787">
      <c r="I787" s="128"/>
      <c r="J787" s="129"/>
      <c r="K787" s="129"/>
      <c r="S787" s="170"/>
      <c r="T787" s="171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  <c r="AE787" s="172"/>
      <c r="AF787" s="172"/>
      <c r="AG787" s="172"/>
      <c r="AH787" s="172"/>
      <c r="AI787" s="172"/>
      <c r="AJ787" s="172"/>
      <c r="AK787" s="172"/>
      <c r="AL787" s="172"/>
      <c r="AM787" s="172"/>
      <c r="AN787" s="172"/>
      <c r="AO787" s="172"/>
      <c r="AP787" s="172"/>
      <c r="AQ787" s="172"/>
      <c r="AR787" s="172"/>
      <c r="AS787" s="172"/>
      <c r="AT787" s="173"/>
      <c r="AU787" s="174"/>
      <c r="AV787" s="174"/>
      <c r="AW787" s="174"/>
      <c r="AX787" s="174"/>
      <c r="AY787" s="174"/>
      <c r="AZ787" s="174"/>
      <c r="BA787" s="174"/>
      <c r="BB787" s="174"/>
      <c r="BC787" s="174"/>
      <c r="BD787" s="174"/>
      <c r="BE787" s="174"/>
      <c r="BF787" s="174"/>
      <c r="BG787" s="174"/>
      <c r="BH787" s="174"/>
      <c r="BI787" s="174"/>
      <c r="BJ787" s="174"/>
      <c r="BK787" s="174"/>
      <c r="BL787" s="174"/>
      <c r="BM787" s="174"/>
      <c r="BN787" s="174"/>
      <c r="BO787" s="174"/>
      <c r="BP787" s="174"/>
      <c r="BQ787" s="174"/>
      <c r="BR787" s="175"/>
      <c r="BS787" s="147"/>
    </row>
    <row r="788">
      <c r="I788" s="128"/>
      <c r="J788" s="129"/>
      <c r="K788" s="129"/>
      <c r="S788" s="170"/>
      <c r="T788" s="171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  <c r="AE788" s="172"/>
      <c r="AF788" s="172"/>
      <c r="AG788" s="172"/>
      <c r="AH788" s="172"/>
      <c r="AI788" s="172"/>
      <c r="AJ788" s="172"/>
      <c r="AK788" s="172"/>
      <c r="AL788" s="172"/>
      <c r="AM788" s="172"/>
      <c r="AN788" s="172"/>
      <c r="AO788" s="172"/>
      <c r="AP788" s="172"/>
      <c r="AQ788" s="172"/>
      <c r="AR788" s="172"/>
      <c r="AS788" s="172"/>
      <c r="AT788" s="173"/>
      <c r="AU788" s="174"/>
      <c r="AV788" s="174"/>
      <c r="AW788" s="174"/>
      <c r="AX788" s="174"/>
      <c r="AY788" s="174"/>
      <c r="AZ788" s="174"/>
      <c r="BA788" s="174"/>
      <c r="BB788" s="174"/>
      <c r="BC788" s="174"/>
      <c r="BD788" s="174"/>
      <c r="BE788" s="174"/>
      <c r="BF788" s="174"/>
      <c r="BG788" s="174"/>
      <c r="BH788" s="174"/>
      <c r="BI788" s="174"/>
      <c r="BJ788" s="174"/>
      <c r="BK788" s="174"/>
      <c r="BL788" s="174"/>
      <c r="BM788" s="174"/>
      <c r="BN788" s="174"/>
      <c r="BO788" s="174"/>
      <c r="BP788" s="174"/>
      <c r="BQ788" s="174"/>
      <c r="BR788" s="175"/>
      <c r="BS788" s="147"/>
    </row>
    <row r="789">
      <c r="I789" s="128"/>
      <c r="J789" s="129"/>
      <c r="K789" s="129"/>
      <c r="S789" s="170"/>
      <c r="T789" s="171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  <c r="AE789" s="172"/>
      <c r="AF789" s="172"/>
      <c r="AG789" s="172"/>
      <c r="AH789" s="172"/>
      <c r="AI789" s="172"/>
      <c r="AJ789" s="172"/>
      <c r="AK789" s="172"/>
      <c r="AL789" s="172"/>
      <c r="AM789" s="172"/>
      <c r="AN789" s="172"/>
      <c r="AO789" s="172"/>
      <c r="AP789" s="172"/>
      <c r="AQ789" s="172"/>
      <c r="AR789" s="172"/>
      <c r="AS789" s="172"/>
      <c r="AT789" s="173"/>
      <c r="AU789" s="174"/>
      <c r="AV789" s="174"/>
      <c r="AW789" s="174"/>
      <c r="AX789" s="174"/>
      <c r="AY789" s="174"/>
      <c r="AZ789" s="174"/>
      <c r="BA789" s="174"/>
      <c r="BB789" s="174"/>
      <c r="BC789" s="174"/>
      <c r="BD789" s="174"/>
      <c r="BE789" s="174"/>
      <c r="BF789" s="174"/>
      <c r="BG789" s="174"/>
      <c r="BH789" s="174"/>
      <c r="BI789" s="174"/>
      <c r="BJ789" s="174"/>
      <c r="BK789" s="174"/>
      <c r="BL789" s="174"/>
      <c r="BM789" s="174"/>
      <c r="BN789" s="174"/>
      <c r="BO789" s="174"/>
      <c r="BP789" s="174"/>
      <c r="BQ789" s="174"/>
      <c r="BR789" s="175"/>
      <c r="BS789" s="147"/>
    </row>
    <row r="790">
      <c r="I790" s="128"/>
      <c r="J790" s="129"/>
      <c r="K790" s="129"/>
      <c r="S790" s="170"/>
      <c r="T790" s="171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  <c r="AE790" s="172"/>
      <c r="AF790" s="172"/>
      <c r="AG790" s="172"/>
      <c r="AH790" s="172"/>
      <c r="AI790" s="172"/>
      <c r="AJ790" s="172"/>
      <c r="AK790" s="172"/>
      <c r="AL790" s="172"/>
      <c r="AM790" s="172"/>
      <c r="AN790" s="172"/>
      <c r="AO790" s="172"/>
      <c r="AP790" s="172"/>
      <c r="AQ790" s="172"/>
      <c r="AR790" s="172"/>
      <c r="AS790" s="172"/>
      <c r="AT790" s="173"/>
      <c r="AU790" s="174"/>
      <c r="AV790" s="174"/>
      <c r="AW790" s="174"/>
      <c r="AX790" s="174"/>
      <c r="AY790" s="174"/>
      <c r="AZ790" s="174"/>
      <c r="BA790" s="174"/>
      <c r="BB790" s="174"/>
      <c r="BC790" s="174"/>
      <c r="BD790" s="174"/>
      <c r="BE790" s="174"/>
      <c r="BF790" s="174"/>
      <c r="BG790" s="174"/>
      <c r="BH790" s="174"/>
      <c r="BI790" s="174"/>
      <c r="BJ790" s="174"/>
      <c r="BK790" s="174"/>
      <c r="BL790" s="174"/>
      <c r="BM790" s="174"/>
      <c r="BN790" s="174"/>
      <c r="BO790" s="174"/>
      <c r="BP790" s="174"/>
      <c r="BQ790" s="174"/>
      <c r="BR790" s="175"/>
      <c r="BS790" s="147"/>
    </row>
    <row r="791">
      <c r="I791" s="128"/>
      <c r="J791" s="129"/>
      <c r="K791" s="129"/>
      <c r="S791" s="170"/>
      <c r="T791" s="171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  <c r="AE791" s="172"/>
      <c r="AF791" s="172"/>
      <c r="AG791" s="172"/>
      <c r="AH791" s="172"/>
      <c r="AI791" s="172"/>
      <c r="AJ791" s="172"/>
      <c r="AK791" s="172"/>
      <c r="AL791" s="172"/>
      <c r="AM791" s="172"/>
      <c r="AN791" s="172"/>
      <c r="AO791" s="172"/>
      <c r="AP791" s="172"/>
      <c r="AQ791" s="172"/>
      <c r="AR791" s="172"/>
      <c r="AS791" s="172"/>
      <c r="AT791" s="173"/>
      <c r="AU791" s="174"/>
      <c r="AV791" s="174"/>
      <c r="AW791" s="174"/>
      <c r="AX791" s="174"/>
      <c r="AY791" s="174"/>
      <c r="AZ791" s="174"/>
      <c r="BA791" s="174"/>
      <c r="BB791" s="174"/>
      <c r="BC791" s="174"/>
      <c r="BD791" s="174"/>
      <c r="BE791" s="174"/>
      <c r="BF791" s="174"/>
      <c r="BG791" s="174"/>
      <c r="BH791" s="174"/>
      <c r="BI791" s="174"/>
      <c r="BJ791" s="174"/>
      <c r="BK791" s="174"/>
      <c r="BL791" s="174"/>
      <c r="BM791" s="174"/>
      <c r="BN791" s="174"/>
      <c r="BO791" s="174"/>
      <c r="BP791" s="174"/>
      <c r="BQ791" s="174"/>
      <c r="BR791" s="175"/>
      <c r="BS791" s="147"/>
    </row>
    <row r="792">
      <c r="I792" s="128"/>
      <c r="J792" s="129"/>
      <c r="K792" s="129"/>
      <c r="S792" s="170"/>
      <c r="T792" s="171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  <c r="AE792" s="172"/>
      <c r="AF792" s="172"/>
      <c r="AG792" s="172"/>
      <c r="AH792" s="172"/>
      <c r="AI792" s="172"/>
      <c r="AJ792" s="172"/>
      <c r="AK792" s="172"/>
      <c r="AL792" s="172"/>
      <c r="AM792" s="172"/>
      <c r="AN792" s="172"/>
      <c r="AO792" s="172"/>
      <c r="AP792" s="172"/>
      <c r="AQ792" s="172"/>
      <c r="AR792" s="172"/>
      <c r="AS792" s="172"/>
      <c r="AT792" s="173"/>
      <c r="AU792" s="174"/>
      <c r="AV792" s="174"/>
      <c r="AW792" s="174"/>
      <c r="AX792" s="174"/>
      <c r="AY792" s="174"/>
      <c r="AZ792" s="174"/>
      <c r="BA792" s="174"/>
      <c r="BB792" s="174"/>
      <c r="BC792" s="174"/>
      <c r="BD792" s="174"/>
      <c r="BE792" s="174"/>
      <c r="BF792" s="174"/>
      <c r="BG792" s="174"/>
      <c r="BH792" s="174"/>
      <c r="BI792" s="174"/>
      <c r="BJ792" s="174"/>
      <c r="BK792" s="174"/>
      <c r="BL792" s="174"/>
      <c r="BM792" s="174"/>
      <c r="BN792" s="174"/>
      <c r="BO792" s="174"/>
      <c r="BP792" s="174"/>
      <c r="BQ792" s="174"/>
      <c r="BR792" s="175"/>
      <c r="BS792" s="147"/>
    </row>
    <row r="793">
      <c r="I793" s="128"/>
      <c r="J793" s="129"/>
      <c r="K793" s="129"/>
      <c r="S793" s="170"/>
      <c r="T793" s="171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  <c r="AE793" s="172"/>
      <c r="AF793" s="172"/>
      <c r="AG793" s="172"/>
      <c r="AH793" s="172"/>
      <c r="AI793" s="172"/>
      <c r="AJ793" s="172"/>
      <c r="AK793" s="172"/>
      <c r="AL793" s="172"/>
      <c r="AM793" s="172"/>
      <c r="AN793" s="172"/>
      <c r="AO793" s="172"/>
      <c r="AP793" s="172"/>
      <c r="AQ793" s="172"/>
      <c r="AR793" s="172"/>
      <c r="AS793" s="172"/>
      <c r="AT793" s="173"/>
      <c r="AU793" s="174"/>
      <c r="AV793" s="174"/>
      <c r="AW793" s="174"/>
      <c r="AX793" s="174"/>
      <c r="AY793" s="174"/>
      <c r="AZ793" s="174"/>
      <c r="BA793" s="174"/>
      <c r="BB793" s="174"/>
      <c r="BC793" s="174"/>
      <c r="BD793" s="174"/>
      <c r="BE793" s="174"/>
      <c r="BF793" s="174"/>
      <c r="BG793" s="174"/>
      <c r="BH793" s="174"/>
      <c r="BI793" s="174"/>
      <c r="BJ793" s="174"/>
      <c r="BK793" s="174"/>
      <c r="BL793" s="174"/>
      <c r="BM793" s="174"/>
      <c r="BN793" s="174"/>
      <c r="BO793" s="174"/>
      <c r="BP793" s="174"/>
      <c r="BQ793" s="174"/>
      <c r="BR793" s="175"/>
      <c r="BS793" s="147"/>
    </row>
    <row r="794">
      <c r="I794" s="128"/>
      <c r="J794" s="129"/>
      <c r="K794" s="129"/>
      <c r="S794" s="170"/>
      <c r="T794" s="171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  <c r="AE794" s="172"/>
      <c r="AF794" s="172"/>
      <c r="AG794" s="172"/>
      <c r="AH794" s="172"/>
      <c r="AI794" s="172"/>
      <c r="AJ794" s="172"/>
      <c r="AK794" s="172"/>
      <c r="AL794" s="172"/>
      <c r="AM794" s="172"/>
      <c r="AN794" s="172"/>
      <c r="AO794" s="172"/>
      <c r="AP794" s="172"/>
      <c r="AQ794" s="172"/>
      <c r="AR794" s="172"/>
      <c r="AS794" s="172"/>
      <c r="AT794" s="173"/>
      <c r="AU794" s="174"/>
      <c r="AV794" s="174"/>
      <c r="AW794" s="174"/>
      <c r="AX794" s="174"/>
      <c r="AY794" s="174"/>
      <c r="AZ794" s="174"/>
      <c r="BA794" s="174"/>
      <c r="BB794" s="174"/>
      <c r="BC794" s="174"/>
      <c r="BD794" s="174"/>
      <c r="BE794" s="174"/>
      <c r="BF794" s="174"/>
      <c r="BG794" s="174"/>
      <c r="BH794" s="174"/>
      <c r="BI794" s="174"/>
      <c r="BJ794" s="174"/>
      <c r="BK794" s="174"/>
      <c r="BL794" s="174"/>
      <c r="BM794" s="174"/>
      <c r="BN794" s="174"/>
      <c r="BO794" s="174"/>
      <c r="BP794" s="174"/>
      <c r="BQ794" s="174"/>
      <c r="BR794" s="175"/>
      <c r="BS794" s="147"/>
    </row>
    <row r="795">
      <c r="I795" s="128"/>
      <c r="J795" s="129"/>
      <c r="K795" s="129"/>
      <c r="S795" s="170"/>
      <c r="T795" s="171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  <c r="AE795" s="172"/>
      <c r="AF795" s="172"/>
      <c r="AG795" s="172"/>
      <c r="AH795" s="172"/>
      <c r="AI795" s="172"/>
      <c r="AJ795" s="172"/>
      <c r="AK795" s="172"/>
      <c r="AL795" s="172"/>
      <c r="AM795" s="172"/>
      <c r="AN795" s="172"/>
      <c r="AO795" s="172"/>
      <c r="AP795" s="172"/>
      <c r="AQ795" s="172"/>
      <c r="AR795" s="172"/>
      <c r="AS795" s="172"/>
      <c r="AT795" s="173"/>
      <c r="AU795" s="174"/>
      <c r="AV795" s="174"/>
      <c r="AW795" s="174"/>
      <c r="AX795" s="174"/>
      <c r="AY795" s="174"/>
      <c r="AZ795" s="174"/>
      <c r="BA795" s="174"/>
      <c r="BB795" s="174"/>
      <c r="BC795" s="174"/>
      <c r="BD795" s="174"/>
      <c r="BE795" s="174"/>
      <c r="BF795" s="174"/>
      <c r="BG795" s="174"/>
      <c r="BH795" s="174"/>
      <c r="BI795" s="174"/>
      <c r="BJ795" s="174"/>
      <c r="BK795" s="174"/>
      <c r="BL795" s="174"/>
      <c r="BM795" s="174"/>
      <c r="BN795" s="174"/>
      <c r="BO795" s="174"/>
      <c r="BP795" s="174"/>
      <c r="BQ795" s="174"/>
      <c r="BR795" s="175"/>
      <c r="BS795" s="147"/>
    </row>
    <row r="796">
      <c r="I796" s="128"/>
      <c r="J796" s="129"/>
      <c r="K796" s="129"/>
      <c r="S796" s="170"/>
      <c r="T796" s="171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  <c r="AE796" s="172"/>
      <c r="AF796" s="172"/>
      <c r="AG796" s="172"/>
      <c r="AH796" s="172"/>
      <c r="AI796" s="172"/>
      <c r="AJ796" s="172"/>
      <c r="AK796" s="172"/>
      <c r="AL796" s="172"/>
      <c r="AM796" s="172"/>
      <c r="AN796" s="172"/>
      <c r="AO796" s="172"/>
      <c r="AP796" s="172"/>
      <c r="AQ796" s="172"/>
      <c r="AR796" s="172"/>
      <c r="AS796" s="172"/>
      <c r="AT796" s="173"/>
      <c r="AU796" s="174"/>
      <c r="AV796" s="174"/>
      <c r="AW796" s="174"/>
      <c r="AX796" s="174"/>
      <c r="AY796" s="174"/>
      <c r="AZ796" s="174"/>
      <c r="BA796" s="174"/>
      <c r="BB796" s="174"/>
      <c r="BC796" s="174"/>
      <c r="BD796" s="174"/>
      <c r="BE796" s="174"/>
      <c r="BF796" s="174"/>
      <c r="BG796" s="174"/>
      <c r="BH796" s="174"/>
      <c r="BI796" s="174"/>
      <c r="BJ796" s="174"/>
      <c r="BK796" s="174"/>
      <c r="BL796" s="174"/>
      <c r="BM796" s="174"/>
      <c r="BN796" s="174"/>
      <c r="BO796" s="174"/>
      <c r="BP796" s="174"/>
      <c r="BQ796" s="174"/>
      <c r="BR796" s="175"/>
      <c r="BS796" s="147"/>
    </row>
    <row r="797">
      <c r="I797" s="128"/>
      <c r="J797" s="129"/>
      <c r="K797" s="129"/>
      <c r="S797" s="170"/>
      <c r="T797" s="171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  <c r="AE797" s="172"/>
      <c r="AF797" s="172"/>
      <c r="AG797" s="172"/>
      <c r="AH797" s="172"/>
      <c r="AI797" s="172"/>
      <c r="AJ797" s="172"/>
      <c r="AK797" s="172"/>
      <c r="AL797" s="172"/>
      <c r="AM797" s="172"/>
      <c r="AN797" s="172"/>
      <c r="AO797" s="172"/>
      <c r="AP797" s="172"/>
      <c r="AQ797" s="172"/>
      <c r="AR797" s="172"/>
      <c r="AS797" s="172"/>
      <c r="AT797" s="173"/>
      <c r="AU797" s="174"/>
      <c r="AV797" s="174"/>
      <c r="AW797" s="174"/>
      <c r="AX797" s="174"/>
      <c r="AY797" s="174"/>
      <c r="AZ797" s="174"/>
      <c r="BA797" s="174"/>
      <c r="BB797" s="174"/>
      <c r="BC797" s="174"/>
      <c r="BD797" s="174"/>
      <c r="BE797" s="174"/>
      <c r="BF797" s="174"/>
      <c r="BG797" s="174"/>
      <c r="BH797" s="174"/>
      <c r="BI797" s="174"/>
      <c r="BJ797" s="174"/>
      <c r="BK797" s="174"/>
      <c r="BL797" s="174"/>
      <c r="BM797" s="174"/>
      <c r="BN797" s="174"/>
      <c r="BO797" s="174"/>
      <c r="BP797" s="174"/>
      <c r="BQ797" s="174"/>
      <c r="BR797" s="175"/>
      <c r="BS797" s="147"/>
    </row>
    <row r="798">
      <c r="I798" s="128"/>
      <c r="J798" s="129"/>
      <c r="K798" s="129"/>
      <c r="S798" s="170"/>
      <c r="T798" s="171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  <c r="AE798" s="172"/>
      <c r="AF798" s="172"/>
      <c r="AG798" s="172"/>
      <c r="AH798" s="172"/>
      <c r="AI798" s="172"/>
      <c r="AJ798" s="172"/>
      <c r="AK798" s="172"/>
      <c r="AL798" s="172"/>
      <c r="AM798" s="172"/>
      <c r="AN798" s="172"/>
      <c r="AO798" s="172"/>
      <c r="AP798" s="172"/>
      <c r="AQ798" s="172"/>
      <c r="AR798" s="172"/>
      <c r="AS798" s="172"/>
      <c r="AT798" s="173"/>
      <c r="AU798" s="174"/>
      <c r="AV798" s="174"/>
      <c r="AW798" s="174"/>
      <c r="AX798" s="174"/>
      <c r="AY798" s="174"/>
      <c r="AZ798" s="174"/>
      <c r="BA798" s="174"/>
      <c r="BB798" s="174"/>
      <c r="BC798" s="174"/>
      <c r="BD798" s="174"/>
      <c r="BE798" s="174"/>
      <c r="BF798" s="174"/>
      <c r="BG798" s="174"/>
      <c r="BH798" s="174"/>
      <c r="BI798" s="174"/>
      <c r="BJ798" s="174"/>
      <c r="BK798" s="174"/>
      <c r="BL798" s="174"/>
      <c r="BM798" s="174"/>
      <c r="BN798" s="174"/>
      <c r="BO798" s="174"/>
      <c r="BP798" s="174"/>
      <c r="BQ798" s="174"/>
      <c r="BR798" s="175"/>
      <c r="BS798" s="147"/>
    </row>
    <row r="799">
      <c r="I799" s="128"/>
      <c r="J799" s="129"/>
      <c r="K799" s="129"/>
      <c r="S799" s="170"/>
      <c r="T799" s="171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  <c r="AE799" s="172"/>
      <c r="AF799" s="172"/>
      <c r="AG799" s="172"/>
      <c r="AH799" s="172"/>
      <c r="AI799" s="172"/>
      <c r="AJ799" s="172"/>
      <c r="AK799" s="172"/>
      <c r="AL799" s="172"/>
      <c r="AM799" s="172"/>
      <c r="AN799" s="172"/>
      <c r="AO799" s="172"/>
      <c r="AP799" s="172"/>
      <c r="AQ799" s="172"/>
      <c r="AR799" s="172"/>
      <c r="AS799" s="172"/>
      <c r="AT799" s="173"/>
      <c r="AU799" s="174"/>
      <c r="AV799" s="174"/>
      <c r="AW799" s="174"/>
      <c r="AX799" s="174"/>
      <c r="AY799" s="174"/>
      <c r="AZ799" s="174"/>
      <c r="BA799" s="174"/>
      <c r="BB799" s="174"/>
      <c r="BC799" s="174"/>
      <c r="BD799" s="174"/>
      <c r="BE799" s="174"/>
      <c r="BF799" s="174"/>
      <c r="BG799" s="174"/>
      <c r="BH799" s="174"/>
      <c r="BI799" s="174"/>
      <c r="BJ799" s="174"/>
      <c r="BK799" s="174"/>
      <c r="BL799" s="174"/>
      <c r="BM799" s="174"/>
      <c r="BN799" s="174"/>
      <c r="BO799" s="174"/>
      <c r="BP799" s="174"/>
      <c r="BQ799" s="174"/>
      <c r="BR799" s="175"/>
      <c r="BS799" s="147"/>
    </row>
    <row r="800">
      <c r="I800" s="128"/>
      <c r="J800" s="129"/>
      <c r="K800" s="129"/>
      <c r="S800" s="170"/>
      <c r="T800" s="171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  <c r="AE800" s="172"/>
      <c r="AF800" s="172"/>
      <c r="AG800" s="172"/>
      <c r="AH800" s="172"/>
      <c r="AI800" s="172"/>
      <c r="AJ800" s="172"/>
      <c r="AK800" s="172"/>
      <c r="AL800" s="172"/>
      <c r="AM800" s="172"/>
      <c r="AN800" s="172"/>
      <c r="AO800" s="172"/>
      <c r="AP800" s="172"/>
      <c r="AQ800" s="172"/>
      <c r="AR800" s="172"/>
      <c r="AS800" s="172"/>
      <c r="AT800" s="173"/>
      <c r="AU800" s="174"/>
      <c r="AV800" s="174"/>
      <c r="AW800" s="174"/>
      <c r="AX800" s="174"/>
      <c r="AY800" s="174"/>
      <c r="AZ800" s="174"/>
      <c r="BA800" s="174"/>
      <c r="BB800" s="174"/>
      <c r="BC800" s="174"/>
      <c r="BD800" s="174"/>
      <c r="BE800" s="174"/>
      <c r="BF800" s="174"/>
      <c r="BG800" s="174"/>
      <c r="BH800" s="174"/>
      <c r="BI800" s="174"/>
      <c r="BJ800" s="174"/>
      <c r="BK800" s="174"/>
      <c r="BL800" s="174"/>
      <c r="BM800" s="174"/>
      <c r="BN800" s="174"/>
      <c r="BO800" s="174"/>
      <c r="BP800" s="174"/>
      <c r="BQ800" s="174"/>
      <c r="BR800" s="175"/>
      <c r="BS800" s="147"/>
    </row>
    <row r="801">
      <c r="I801" s="128"/>
      <c r="J801" s="129"/>
      <c r="K801" s="129"/>
      <c r="S801" s="170"/>
      <c r="T801" s="171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  <c r="AE801" s="172"/>
      <c r="AF801" s="172"/>
      <c r="AG801" s="172"/>
      <c r="AH801" s="172"/>
      <c r="AI801" s="172"/>
      <c r="AJ801" s="172"/>
      <c r="AK801" s="172"/>
      <c r="AL801" s="172"/>
      <c r="AM801" s="172"/>
      <c r="AN801" s="172"/>
      <c r="AO801" s="172"/>
      <c r="AP801" s="172"/>
      <c r="AQ801" s="172"/>
      <c r="AR801" s="172"/>
      <c r="AS801" s="172"/>
      <c r="AT801" s="173"/>
      <c r="AU801" s="174"/>
      <c r="AV801" s="174"/>
      <c r="AW801" s="174"/>
      <c r="AX801" s="174"/>
      <c r="AY801" s="174"/>
      <c r="AZ801" s="174"/>
      <c r="BA801" s="174"/>
      <c r="BB801" s="174"/>
      <c r="BC801" s="174"/>
      <c r="BD801" s="174"/>
      <c r="BE801" s="174"/>
      <c r="BF801" s="174"/>
      <c r="BG801" s="174"/>
      <c r="BH801" s="174"/>
      <c r="BI801" s="174"/>
      <c r="BJ801" s="174"/>
      <c r="BK801" s="174"/>
      <c r="BL801" s="174"/>
      <c r="BM801" s="174"/>
      <c r="BN801" s="174"/>
      <c r="BO801" s="174"/>
      <c r="BP801" s="174"/>
      <c r="BQ801" s="174"/>
      <c r="BR801" s="175"/>
      <c r="BS801" s="147"/>
    </row>
    <row r="802">
      <c r="I802" s="128"/>
      <c r="J802" s="129"/>
      <c r="K802" s="129"/>
      <c r="S802" s="170"/>
      <c r="T802" s="171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  <c r="AE802" s="172"/>
      <c r="AF802" s="172"/>
      <c r="AG802" s="172"/>
      <c r="AH802" s="172"/>
      <c r="AI802" s="172"/>
      <c r="AJ802" s="172"/>
      <c r="AK802" s="172"/>
      <c r="AL802" s="172"/>
      <c r="AM802" s="172"/>
      <c r="AN802" s="172"/>
      <c r="AO802" s="172"/>
      <c r="AP802" s="172"/>
      <c r="AQ802" s="172"/>
      <c r="AR802" s="172"/>
      <c r="AS802" s="172"/>
      <c r="AT802" s="173"/>
      <c r="AU802" s="174"/>
      <c r="AV802" s="174"/>
      <c r="AW802" s="174"/>
      <c r="AX802" s="174"/>
      <c r="AY802" s="174"/>
      <c r="AZ802" s="174"/>
      <c r="BA802" s="174"/>
      <c r="BB802" s="174"/>
      <c r="BC802" s="174"/>
      <c r="BD802" s="174"/>
      <c r="BE802" s="174"/>
      <c r="BF802" s="174"/>
      <c r="BG802" s="174"/>
      <c r="BH802" s="174"/>
      <c r="BI802" s="174"/>
      <c r="BJ802" s="174"/>
      <c r="BK802" s="174"/>
      <c r="BL802" s="174"/>
      <c r="BM802" s="174"/>
      <c r="BN802" s="174"/>
      <c r="BO802" s="174"/>
      <c r="BP802" s="174"/>
      <c r="BQ802" s="174"/>
      <c r="BR802" s="175"/>
      <c r="BS802" s="147"/>
    </row>
    <row r="803">
      <c r="I803" s="128"/>
      <c r="J803" s="129"/>
      <c r="K803" s="129"/>
      <c r="S803" s="170"/>
      <c r="T803" s="171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  <c r="AE803" s="172"/>
      <c r="AF803" s="172"/>
      <c r="AG803" s="172"/>
      <c r="AH803" s="172"/>
      <c r="AI803" s="172"/>
      <c r="AJ803" s="172"/>
      <c r="AK803" s="172"/>
      <c r="AL803" s="172"/>
      <c r="AM803" s="172"/>
      <c r="AN803" s="172"/>
      <c r="AO803" s="172"/>
      <c r="AP803" s="172"/>
      <c r="AQ803" s="172"/>
      <c r="AR803" s="172"/>
      <c r="AS803" s="172"/>
      <c r="AT803" s="173"/>
      <c r="AU803" s="174"/>
      <c r="AV803" s="174"/>
      <c r="AW803" s="174"/>
      <c r="AX803" s="174"/>
      <c r="AY803" s="174"/>
      <c r="AZ803" s="174"/>
      <c r="BA803" s="174"/>
      <c r="BB803" s="174"/>
      <c r="BC803" s="174"/>
      <c r="BD803" s="174"/>
      <c r="BE803" s="174"/>
      <c r="BF803" s="174"/>
      <c r="BG803" s="174"/>
      <c r="BH803" s="174"/>
      <c r="BI803" s="174"/>
      <c r="BJ803" s="174"/>
      <c r="BK803" s="174"/>
      <c r="BL803" s="174"/>
      <c r="BM803" s="174"/>
      <c r="BN803" s="174"/>
      <c r="BO803" s="174"/>
      <c r="BP803" s="174"/>
      <c r="BQ803" s="174"/>
      <c r="BR803" s="175"/>
      <c r="BS803" s="147"/>
    </row>
    <row r="804">
      <c r="I804" s="128"/>
      <c r="J804" s="129"/>
      <c r="K804" s="129"/>
      <c r="S804" s="170"/>
      <c r="T804" s="171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  <c r="AE804" s="172"/>
      <c r="AF804" s="172"/>
      <c r="AG804" s="172"/>
      <c r="AH804" s="172"/>
      <c r="AI804" s="172"/>
      <c r="AJ804" s="172"/>
      <c r="AK804" s="172"/>
      <c r="AL804" s="172"/>
      <c r="AM804" s="172"/>
      <c r="AN804" s="172"/>
      <c r="AO804" s="172"/>
      <c r="AP804" s="172"/>
      <c r="AQ804" s="172"/>
      <c r="AR804" s="172"/>
      <c r="AS804" s="172"/>
      <c r="AT804" s="173"/>
      <c r="AU804" s="174"/>
      <c r="AV804" s="174"/>
      <c r="AW804" s="174"/>
      <c r="AX804" s="174"/>
      <c r="AY804" s="174"/>
      <c r="AZ804" s="174"/>
      <c r="BA804" s="174"/>
      <c r="BB804" s="174"/>
      <c r="BC804" s="174"/>
      <c r="BD804" s="174"/>
      <c r="BE804" s="174"/>
      <c r="BF804" s="174"/>
      <c r="BG804" s="174"/>
      <c r="BH804" s="174"/>
      <c r="BI804" s="174"/>
      <c r="BJ804" s="174"/>
      <c r="BK804" s="174"/>
      <c r="BL804" s="174"/>
      <c r="BM804" s="174"/>
      <c r="BN804" s="174"/>
      <c r="BO804" s="174"/>
      <c r="BP804" s="174"/>
      <c r="BQ804" s="174"/>
      <c r="BR804" s="175"/>
      <c r="BS804" s="147"/>
    </row>
    <row r="805">
      <c r="I805" s="128"/>
      <c r="J805" s="129"/>
      <c r="K805" s="129"/>
      <c r="S805" s="170"/>
      <c r="T805" s="171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  <c r="AE805" s="172"/>
      <c r="AF805" s="172"/>
      <c r="AG805" s="172"/>
      <c r="AH805" s="172"/>
      <c r="AI805" s="172"/>
      <c r="AJ805" s="172"/>
      <c r="AK805" s="172"/>
      <c r="AL805" s="172"/>
      <c r="AM805" s="172"/>
      <c r="AN805" s="172"/>
      <c r="AO805" s="172"/>
      <c r="AP805" s="172"/>
      <c r="AQ805" s="172"/>
      <c r="AR805" s="172"/>
      <c r="AS805" s="172"/>
      <c r="AT805" s="173"/>
      <c r="AU805" s="174"/>
      <c r="AV805" s="174"/>
      <c r="AW805" s="174"/>
      <c r="AX805" s="174"/>
      <c r="AY805" s="174"/>
      <c r="AZ805" s="174"/>
      <c r="BA805" s="174"/>
      <c r="BB805" s="174"/>
      <c r="BC805" s="174"/>
      <c r="BD805" s="174"/>
      <c r="BE805" s="174"/>
      <c r="BF805" s="174"/>
      <c r="BG805" s="174"/>
      <c r="BH805" s="174"/>
      <c r="BI805" s="174"/>
      <c r="BJ805" s="174"/>
      <c r="BK805" s="174"/>
      <c r="BL805" s="174"/>
      <c r="BM805" s="174"/>
      <c r="BN805" s="174"/>
      <c r="BO805" s="174"/>
      <c r="BP805" s="174"/>
      <c r="BQ805" s="174"/>
      <c r="BR805" s="175"/>
      <c r="BS805" s="147"/>
    </row>
    <row r="806">
      <c r="I806" s="128"/>
      <c r="J806" s="129"/>
      <c r="K806" s="129"/>
      <c r="S806" s="170"/>
      <c r="T806" s="171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  <c r="AE806" s="172"/>
      <c r="AF806" s="172"/>
      <c r="AG806" s="172"/>
      <c r="AH806" s="172"/>
      <c r="AI806" s="172"/>
      <c r="AJ806" s="172"/>
      <c r="AK806" s="172"/>
      <c r="AL806" s="172"/>
      <c r="AM806" s="172"/>
      <c r="AN806" s="172"/>
      <c r="AO806" s="172"/>
      <c r="AP806" s="172"/>
      <c r="AQ806" s="172"/>
      <c r="AR806" s="172"/>
      <c r="AS806" s="172"/>
      <c r="AT806" s="173"/>
      <c r="AU806" s="174"/>
      <c r="AV806" s="174"/>
      <c r="AW806" s="174"/>
      <c r="AX806" s="174"/>
      <c r="AY806" s="174"/>
      <c r="AZ806" s="174"/>
      <c r="BA806" s="174"/>
      <c r="BB806" s="174"/>
      <c r="BC806" s="174"/>
      <c r="BD806" s="174"/>
      <c r="BE806" s="174"/>
      <c r="BF806" s="174"/>
      <c r="BG806" s="174"/>
      <c r="BH806" s="174"/>
      <c r="BI806" s="174"/>
      <c r="BJ806" s="174"/>
      <c r="BK806" s="174"/>
      <c r="BL806" s="174"/>
      <c r="BM806" s="174"/>
      <c r="BN806" s="174"/>
      <c r="BO806" s="174"/>
      <c r="BP806" s="174"/>
      <c r="BQ806" s="174"/>
      <c r="BR806" s="175"/>
      <c r="BS806" s="147"/>
    </row>
    <row r="807">
      <c r="I807" s="128"/>
      <c r="J807" s="129"/>
      <c r="K807" s="129"/>
      <c r="S807" s="170"/>
      <c r="T807" s="171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  <c r="AE807" s="172"/>
      <c r="AF807" s="172"/>
      <c r="AG807" s="172"/>
      <c r="AH807" s="172"/>
      <c r="AI807" s="172"/>
      <c r="AJ807" s="172"/>
      <c r="AK807" s="172"/>
      <c r="AL807" s="172"/>
      <c r="AM807" s="172"/>
      <c r="AN807" s="172"/>
      <c r="AO807" s="172"/>
      <c r="AP807" s="172"/>
      <c r="AQ807" s="172"/>
      <c r="AR807" s="172"/>
      <c r="AS807" s="172"/>
      <c r="AT807" s="173"/>
      <c r="AU807" s="174"/>
      <c r="AV807" s="174"/>
      <c r="AW807" s="174"/>
      <c r="AX807" s="174"/>
      <c r="AY807" s="174"/>
      <c r="AZ807" s="174"/>
      <c r="BA807" s="174"/>
      <c r="BB807" s="174"/>
      <c r="BC807" s="174"/>
      <c r="BD807" s="174"/>
      <c r="BE807" s="174"/>
      <c r="BF807" s="174"/>
      <c r="BG807" s="174"/>
      <c r="BH807" s="174"/>
      <c r="BI807" s="174"/>
      <c r="BJ807" s="174"/>
      <c r="BK807" s="174"/>
      <c r="BL807" s="174"/>
      <c r="BM807" s="174"/>
      <c r="BN807" s="174"/>
      <c r="BO807" s="174"/>
      <c r="BP807" s="174"/>
      <c r="BQ807" s="174"/>
      <c r="BR807" s="175"/>
      <c r="BS807" s="147"/>
    </row>
    <row r="808">
      <c r="I808" s="128"/>
      <c r="J808" s="129"/>
      <c r="K808" s="129"/>
      <c r="S808" s="170"/>
      <c r="T808" s="171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  <c r="AE808" s="172"/>
      <c r="AF808" s="172"/>
      <c r="AG808" s="172"/>
      <c r="AH808" s="172"/>
      <c r="AI808" s="172"/>
      <c r="AJ808" s="172"/>
      <c r="AK808" s="172"/>
      <c r="AL808" s="172"/>
      <c r="AM808" s="172"/>
      <c r="AN808" s="172"/>
      <c r="AO808" s="172"/>
      <c r="AP808" s="172"/>
      <c r="AQ808" s="172"/>
      <c r="AR808" s="172"/>
      <c r="AS808" s="172"/>
      <c r="AT808" s="173"/>
      <c r="AU808" s="174"/>
      <c r="AV808" s="174"/>
      <c r="AW808" s="174"/>
      <c r="AX808" s="174"/>
      <c r="AY808" s="174"/>
      <c r="AZ808" s="174"/>
      <c r="BA808" s="174"/>
      <c r="BB808" s="174"/>
      <c r="BC808" s="174"/>
      <c r="BD808" s="174"/>
      <c r="BE808" s="174"/>
      <c r="BF808" s="174"/>
      <c r="BG808" s="174"/>
      <c r="BH808" s="174"/>
      <c r="BI808" s="174"/>
      <c r="BJ808" s="174"/>
      <c r="BK808" s="174"/>
      <c r="BL808" s="174"/>
      <c r="BM808" s="174"/>
      <c r="BN808" s="174"/>
      <c r="BO808" s="174"/>
      <c r="BP808" s="174"/>
      <c r="BQ808" s="174"/>
      <c r="BR808" s="175"/>
      <c r="BS808" s="147"/>
    </row>
    <row r="809">
      <c r="I809" s="128"/>
      <c r="J809" s="129"/>
      <c r="K809" s="129"/>
      <c r="S809" s="170"/>
      <c r="T809" s="171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  <c r="AE809" s="172"/>
      <c r="AF809" s="172"/>
      <c r="AG809" s="172"/>
      <c r="AH809" s="172"/>
      <c r="AI809" s="172"/>
      <c r="AJ809" s="172"/>
      <c r="AK809" s="172"/>
      <c r="AL809" s="172"/>
      <c r="AM809" s="172"/>
      <c r="AN809" s="172"/>
      <c r="AO809" s="172"/>
      <c r="AP809" s="172"/>
      <c r="AQ809" s="172"/>
      <c r="AR809" s="172"/>
      <c r="AS809" s="172"/>
      <c r="AT809" s="173"/>
      <c r="AU809" s="174"/>
      <c r="AV809" s="174"/>
      <c r="AW809" s="174"/>
      <c r="AX809" s="174"/>
      <c r="AY809" s="174"/>
      <c r="AZ809" s="174"/>
      <c r="BA809" s="174"/>
      <c r="BB809" s="174"/>
      <c r="BC809" s="174"/>
      <c r="BD809" s="174"/>
      <c r="BE809" s="174"/>
      <c r="BF809" s="174"/>
      <c r="BG809" s="174"/>
      <c r="BH809" s="174"/>
      <c r="BI809" s="174"/>
      <c r="BJ809" s="174"/>
      <c r="BK809" s="174"/>
      <c r="BL809" s="174"/>
      <c r="BM809" s="174"/>
      <c r="BN809" s="174"/>
      <c r="BO809" s="174"/>
      <c r="BP809" s="174"/>
      <c r="BQ809" s="174"/>
      <c r="BR809" s="175"/>
      <c r="BS809" s="147"/>
    </row>
    <row r="810">
      <c r="I810" s="128"/>
      <c r="J810" s="129"/>
      <c r="K810" s="129"/>
      <c r="S810" s="170"/>
      <c r="T810" s="171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  <c r="AE810" s="172"/>
      <c r="AF810" s="172"/>
      <c r="AG810" s="172"/>
      <c r="AH810" s="172"/>
      <c r="AI810" s="172"/>
      <c r="AJ810" s="172"/>
      <c r="AK810" s="172"/>
      <c r="AL810" s="172"/>
      <c r="AM810" s="172"/>
      <c r="AN810" s="172"/>
      <c r="AO810" s="172"/>
      <c r="AP810" s="172"/>
      <c r="AQ810" s="172"/>
      <c r="AR810" s="172"/>
      <c r="AS810" s="172"/>
      <c r="AT810" s="173"/>
      <c r="AU810" s="174"/>
      <c r="AV810" s="174"/>
      <c r="AW810" s="174"/>
      <c r="AX810" s="174"/>
      <c r="AY810" s="174"/>
      <c r="AZ810" s="174"/>
      <c r="BA810" s="174"/>
      <c r="BB810" s="174"/>
      <c r="BC810" s="174"/>
      <c r="BD810" s="174"/>
      <c r="BE810" s="174"/>
      <c r="BF810" s="174"/>
      <c r="BG810" s="174"/>
      <c r="BH810" s="174"/>
      <c r="BI810" s="174"/>
      <c r="BJ810" s="174"/>
      <c r="BK810" s="174"/>
      <c r="BL810" s="174"/>
      <c r="BM810" s="174"/>
      <c r="BN810" s="174"/>
      <c r="BO810" s="174"/>
      <c r="BP810" s="174"/>
      <c r="BQ810" s="174"/>
      <c r="BR810" s="175"/>
      <c r="BS810" s="147"/>
    </row>
    <row r="811">
      <c r="I811" s="128"/>
      <c r="J811" s="129"/>
      <c r="K811" s="129"/>
      <c r="S811" s="170"/>
      <c r="T811" s="171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  <c r="AE811" s="172"/>
      <c r="AF811" s="172"/>
      <c r="AG811" s="172"/>
      <c r="AH811" s="172"/>
      <c r="AI811" s="172"/>
      <c r="AJ811" s="172"/>
      <c r="AK811" s="172"/>
      <c r="AL811" s="172"/>
      <c r="AM811" s="172"/>
      <c r="AN811" s="172"/>
      <c r="AO811" s="172"/>
      <c r="AP811" s="172"/>
      <c r="AQ811" s="172"/>
      <c r="AR811" s="172"/>
      <c r="AS811" s="172"/>
      <c r="AT811" s="173"/>
      <c r="AU811" s="174"/>
      <c r="AV811" s="174"/>
      <c r="AW811" s="174"/>
      <c r="AX811" s="174"/>
      <c r="AY811" s="174"/>
      <c r="AZ811" s="174"/>
      <c r="BA811" s="174"/>
      <c r="BB811" s="174"/>
      <c r="BC811" s="174"/>
      <c r="BD811" s="174"/>
      <c r="BE811" s="174"/>
      <c r="BF811" s="174"/>
      <c r="BG811" s="174"/>
      <c r="BH811" s="174"/>
      <c r="BI811" s="174"/>
      <c r="BJ811" s="174"/>
      <c r="BK811" s="174"/>
      <c r="BL811" s="174"/>
      <c r="BM811" s="174"/>
      <c r="BN811" s="174"/>
      <c r="BO811" s="174"/>
      <c r="BP811" s="174"/>
      <c r="BQ811" s="174"/>
      <c r="BR811" s="175"/>
      <c r="BS811" s="147"/>
    </row>
    <row r="812">
      <c r="I812" s="128"/>
      <c r="J812" s="129"/>
      <c r="K812" s="129"/>
      <c r="S812" s="170"/>
      <c r="T812" s="171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  <c r="AE812" s="172"/>
      <c r="AF812" s="172"/>
      <c r="AG812" s="172"/>
      <c r="AH812" s="172"/>
      <c r="AI812" s="172"/>
      <c r="AJ812" s="172"/>
      <c r="AK812" s="172"/>
      <c r="AL812" s="172"/>
      <c r="AM812" s="172"/>
      <c r="AN812" s="172"/>
      <c r="AO812" s="172"/>
      <c r="AP812" s="172"/>
      <c r="AQ812" s="172"/>
      <c r="AR812" s="172"/>
      <c r="AS812" s="172"/>
      <c r="AT812" s="173"/>
      <c r="AU812" s="174"/>
      <c r="AV812" s="174"/>
      <c r="AW812" s="174"/>
      <c r="AX812" s="174"/>
      <c r="AY812" s="174"/>
      <c r="AZ812" s="174"/>
      <c r="BA812" s="174"/>
      <c r="BB812" s="174"/>
      <c r="BC812" s="174"/>
      <c r="BD812" s="174"/>
      <c r="BE812" s="174"/>
      <c r="BF812" s="174"/>
      <c r="BG812" s="174"/>
      <c r="BH812" s="174"/>
      <c r="BI812" s="174"/>
      <c r="BJ812" s="174"/>
      <c r="BK812" s="174"/>
      <c r="BL812" s="174"/>
      <c r="BM812" s="174"/>
      <c r="BN812" s="174"/>
      <c r="BO812" s="174"/>
      <c r="BP812" s="174"/>
      <c r="BQ812" s="174"/>
      <c r="BR812" s="175"/>
      <c r="BS812" s="147"/>
    </row>
    <row r="813">
      <c r="I813" s="128"/>
      <c r="J813" s="129"/>
      <c r="K813" s="129"/>
      <c r="S813" s="170"/>
      <c r="T813" s="171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  <c r="AE813" s="172"/>
      <c r="AF813" s="172"/>
      <c r="AG813" s="172"/>
      <c r="AH813" s="172"/>
      <c r="AI813" s="172"/>
      <c r="AJ813" s="172"/>
      <c r="AK813" s="172"/>
      <c r="AL813" s="172"/>
      <c r="AM813" s="172"/>
      <c r="AN813" s="172"/>
      <c r="AO813" s="172"/>
      <c r="AP813" s="172"/>
      <c r="AQ813" s="172"/>
      <c r="AR813" s="172"/>
      <c r="AS813" s="172"/>
      <c r="AT813" s="173"/>
      <c r="AU813" s="174"/>
      <c r="AV813" s="174"/>
      <c r="AW813" s="174"/>
      <c r="AX813" s="174"/>
      <c r="AY813" s="174"/>
      <c r="AZ813" s="174"/>
      <c r="BA813" s="174"/>
      <c r="BB813" s="174"/>
      <c r="BC813" s="174"/>
      <c r="BD813" s="174"/>
      <c r="BE813" s="174"/>
      <c r="BF813" s="174"/>
      <c r="BG813" s="174"/>
      <c r="BH813" s="174"/>
      <c r="BI813" s="174"/>
      <c r="BJ813" s="174"/>
      <c r="BK813" s="174"/>
      <c r="BL813" s="174"/>
      <c r="BM813" s="174"/>
      <c r="BN813" s="174"/>
      <c r="BO813" s="174"/>
      <c r="BP813" s="174"/>
      <c r="BQ813" s="174"/>
      <c r="BR813" s="175"/>
      <c r="BS813" s="147"/>
    </row>
    <row r="814">
      <c r="I814" s="128"/>
      <c r="J814" s="129"/>
      <c r="K814" s="129"/>
      <c r="S814" s="170"/>
      <c r="T814" s="171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  <c r="AE814" s="172"/>
      <c r="AF814" s="172"/>
      <c r="AG814" s="172"/>
      <c r="AH814" s="172"/>
      <c r="AI814" s="172"/>
      <c r="AJ814" s="172"/>
      <c r="AK814" s="172"/>
      <c r="AL814" s="172"/>
      <c r="AM814" s="172"/>
      <c r="AN814" s="172"/>
      <c r="AO814" s="172"/>
      <c r="AP814" s="172"/>
      <c r="AQ814" s="172"/>
      <c r="AR814" s="172"/>
      <c r="AS814" s="172"/>
      <c r="AT814" s="173"/>
      <c r="AU814" s="174"/>
      <c r="AV814" s="174"/>
      <c r="AW814" s="174"/>
      <c r="AX814" s="174"/>
      <c r="AY814" s="174"/>
      <c r="AZ814" s="174"/>
      <c r="BA814" s="174"/>
      <c r="BB814" s="174"/>
      <c r="BC814" s="174"/>
      <c r="BD814" s="174"/>
      <c r="BE814" s="174"/>
      <c r="BF814" s="174"/>
      <c r="BG814" s="174"/>
      <c r="BH814" s="174"/>
      <c r="BI814" s="174"/>
      <c r="BJ814" s="174"/>
      <c r="BK814" s="174"/>
      <c r="BL814" s="174"/>
      <c r="BM814" s="174"/>
      <c r="BN814" s="174"/>
      <c r="BO814" s="174"/>
      <c r="BP814" s="174"/>
      <c r="BQ814" s="174"/>
      <c r="BR814" s="175"/>
      <c r="BS814" s="147"/>
    </row>
    <row r="815">
      <c r="I815" s="128"/>
      <c r="J815" s="129"/>
      <c r="K815" s="129"/>
      <c r="S815" s="170"/>
      <c r="T815" s="171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  <c r="AE815" s="172"/>
      <c r="AF815" s="172"/>
      <c r="AG815" s="172"/>
      <c r="AH815" s="172"/>
      <c r="AI815" s="172"/>
      <c r="AJ815" s="172"/>
      <c r="AK815" s="172"/>
      <c r="AL815" s="172"/>
      <c r="AM815" s="172"/>
      <c r="AN815" s="172"/>
      <c r="AO815" s="172"/>
      <c r="AP815" s="172"/>
      <c r="AQ815" s="172"/>
      <c r="AR815" s="172"/>
      <c r="AS815" s="172"/>
      <c r="AT815" s="173"/>
      <c r="AU815" s="174"/>
      <c r="AV815" s="174"/>
      <c r="AW815" s="174"/>
      <c r="AX815" s="174"/>
      <c r="AY815" s="174"/>
      <c r="AZ815" s="174"/>
      <c r="BA815" s="174"/>
      <c r="BB815" s="174"/>
      <c r="BC815" s="174"/>
      <c r="BD815" s="174"/>
      <c r="BE815" s="174"/>
      <c r="BF815" s="174"/>
      <c r="BG815" s="174"/>
      <c r="BH815" s="174"/>
      <c r="BI815" s="174"/>
      <c r="BJ815" s="174"/>
      <c r="BK815" s="174"/>
      <c r="BL815" s="174"/>
      <c r="BM815" s="174"/>
      <c r="BN815" s="174"/>
      <c r="BO815" s="174"/>
      <c r="BP815" s="174"/>
      <c r="BQ815" s="174"/>
      <c r="BR815" s="175"/>
      <c r="BS815" s="147"/>
    </row>
    <row r="816">
      <c r="I816" s="128"/>
      <c r="J816" s="129"/>
      <c r="K816" s="129"/>
      <c r="S816" s="170"/>
      <c r="T816" s="171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  <c r="AE816" s="172"/>
      <c r="AF816" s="172"/>
      <c r="AG816" s="172"/>
      <c r="AH816" s="172"/>
      <c r="AI816" s="172"/>
      <c r="AJ816" s="172"/>
      <c r="AK816" s="172"/>
      <c r="AL816" s="172"/>
      <c r="AM816" s="172"/>
      <c r="AN816" s="172"/>
      <c r="AO816" s="172"/>
      <c r="AP816" s="172"/>
      <c r="AQ816" s="172"/>
      <c r="AR816" s="172"/>
      <c r="AS816" s="172"/>
      <c r="AT816" s="173"/>
      <c r="AU816" s="174"/>
      <c r="AV816" s="174"/>
      <c r="AW816" s="174"/>
      <c r="AX816" s="174"/>
      <c r="AY816" s="174"/>
      <c r="AZ816" s="174"/>
      <c r="BA816" s="174"/>
      <c r="BB816" s="174"/>
      <c r="BC816" s="174"/>
      <c r="BD816" s="174"/>
      <c r="BE816" s="174"/>
      <c r="BF816" s="174"/>
      <c r="BG816" s="174"/>
      <c r="BH816" s="174"/>
      <c r="BI816" s="174"/>
      <c r="BJ816" s="174"/>
      <c r="BK816" s="174"/>
      <c r="BL816" s="174"/>
      <c r="BM816" s="174"/>
      <c r="BN816" s="174"/>
      <c r="BO816" s="174"/>
      <c r="BP816" s="174"/>
      <c r="BQ816" s="174"/>
      <c r="BR816" s="175"/>
      <c r="BS816" s="147"/>
    </row>
    <row r="817">
      <c r="I817" s="128"/>
      <c r="J817" s="129"/>
      <c r="K817" s="129"/>
      <c r="S817" s="170"/>
      <c r="T817" s="171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  <c r="AE817" s="172"/>
      <c r="AF817" s="172"/>
      <c r="AG817" s="172"/>
      <c r="AH817" s="172"/>
      <c r="AI817" s="172"/>
      <c r="AJ817" s="172"/>
      <c r="AK817" s="172"/>
      <c r="AL817" s="172"/>
      <c r="AM817" s="172"/>
      <c r="AN817" s="172"/>
      <c r="AO817" s="172"/>
      <c r="AP817" s="172"/>
      <c r="AQ817" s="172"/>
      <c r="AR817" s="172"/>
      <c r="AS817" s="172"/>
      <c r="AT817" s="173"/>
      <c r="AU817" s="174"/>
      <c r="AV817" s="174"/>
      <c r="AW817" s="174"/>
      <c r="AX817" s="174"/>
      <c r="AY817" s="174"/>
      <c r="AZ817" s="174"/>
      <c r="BA817" s="174"/>
      <c r="BB817" s="174"/>
      <c r="BC817" s="174"/>
      <c r="BD817" s="174"/>
      <c r="BE817" s="174"/>
      <c r="BF817" s="174"/>
      <c r="BG817" s="174"/>
      <c r="BH817" s="174"/>
      <c r="BI817" s="174"/>
      <c r="BJ817" s="174"/>
      <c r="BK817" s="174"/>
      <c r="BL817" s="174"/>
      <c r="BM817" s="174"/>
      <c r="BN817" s="174"/>
      <c r="BO817" s="174"/>
      <c r="BP817" s="174"/>
      <c r="BQ817" s="174"/>
      <c r="BR817" s="175"/>
      <c r="BS817" s="147"/>
    </row>
    <row r="818">
      <c r="I818" s="128"/>
      <c r="J818" s="129"/>
      <c r="K818" s="129"/>
      <c r="S818" s="170"/>
      <c r="T818" s="171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  <c r="AE818" s="172"/>
      <c r="AF818" s="172"/>
      <c r="AG818" s="172"/>
      <c r="AH818" s="172"/>
      <c r="AI818" s="172"/>
      <c r="AJ818" s="172"/>
      <c r="AK818" s="172"/>
      <c r="AL818" s="172"/>
      <c r="AM818" s="172"/>
      <c r="AN818" s="172"/>
      <c r="AO818" s="172"/>
      <c r="AP818" s="172"/>
      <c r="AQ818" s="172"/>
      <c r="AR818" s="172"/>
      <c r="AS818" s="172"/>
      <c r="AT818" s="173"/>
      <c r="AU818" s="174"/>
      <c r="AV818" s="174"/>
      <c r="AW818" s="174"/>
      <c r="AX818" s="174"/>
      <c r="AY818" s="174"/>
      <c r="AZ818" s="174"/>
      <c r="BA818" s="174"/>
      <c r="BB818" s="174"/>
      <c r="BC818" s="174"/>
      <c r="BD818" s="174"/>
      <c r="BE818" s="174"/>
      <c r="BF818" s="174"/>
      <c r="BG818" s="174"/>
      <c r="BH818" s="174"/>
      <c r="BI818" s="174"/>
      <c r="BJ818" s="174"/>
      <c r="BK818" s="174"/>
      <c r="BL818" s="174"/>
      <c r="BM818" s="174"/>
      <c r="BN818" s="174"/>
      <c r="BO818" s="174"/>
      <c r="BP818" s="174"/>
      <c r="BQ818" s="174"/>
      <c r="BR818" s="175"/>
      <c r="BS818" s="147"/>
    </row>
    <row r="819">
      <c r="I819" s="128"/>
      <c r="J819" s="129"/>
      <c r="K819" s="129"/>
      <c r="S819" s="170"/>
      <c r="T819" s="171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  <c r="AE819" s="172"/>
      <c r="AF819" s="172"/>
      <c r="AG819" s="172"/>
      <c r="AH819" s="172"/>
      <c r="AI819" s="172"/>
      <c r="AJ819" s="172"/>
      <c r="AK819" s="172"/>
      <c r="AL819" s="172"/>
      <c r="AM819" s="172"/>
      <c r="AN819" s="172"/>
      <c r="AO819" s="172"/>
      <c r="AP819" s="172"/>
      <c r="AQ819" s="172"/>
      <c r="AR819" s="172"/>
      <c r="AS819" s="172"/>
      <c r="AT819" s="173"/>
      <c r="AU819" s="174"/>
      <c r="AV819" s="174"/>
      <c r="AW819" s="174"/>
      <c r="AX819" s="174"/>
      <c r="AY819" s="174"/>
      <c r="AZ819" s="174"/>
      <c r="BA819" s="174"/>
      <c r="BB819" s="174"/>
      <c r="BC819" s="174"/>
      <c r="BD819" s="174"/>
      <c r="BE819" s="174"/>
      <c r="BF819" s="174"/>
      <c r="BG819" s="174"/>
      <c r="BH819" s="174"/>
      <c r="BI819" s="174"/>
      <c r="BJ819" s="174"/>
      <c r="BK819" s="174"/>
      <c r="BL819" s="174"/>
      <c r="BM819" s="174"/>
      <c r="BN819" s="174"/>
      <c r="BO819" s="174"/>
      <c r="BP819" s="174"/>
      <c r="BQ819" s="174"/>
      <c r="BR819" s="175"/>
      <c r="BS819" s="147"/>
    </row>
    <row r="820">
      <c r="I820" s="128"/>
      <c r="J820" s="129"/>
      <c r="K820" s="129"/>
      <c r="S820" s="170"/>
      <c r="T820" s="171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  <c r="AE820" s="172"/>
      <c r="AF820" s="172"/>
      <c r="AG820" s="172"/>
      <c r="AH820" s="172"/>
      <c r="AI820" s="172"/>
      <c r="AJ820" s="172"/>
      <c r="AK820" s="172"/>
      <c r="AL820" s="172"/>
      <c r="AM820" s="172"/>
      <c r="AN820" s="172"/>
      <c r="AO820" s="172"/>
      <c r="AP820" s="172"/>
      <c r="AQ820" s="172"/>
      <c r="AR820" s="172"/>
      <c r="AS820" s="172"/>
      <c r="AT820" s="173"/>
      <c r="AU820" s="174"/>
      <c r="AV820" s="174"/>
      <c r="AW820" s="174"/>
      <c r="AX820" s="174"/>
      <c r="AY820" s="174"/>
      <c r="AZ820" s="174"/>
      <c r="BA820" s="174"/>
      <c r="BB820" s="174"/>
      <c r="BC820" s="174"/>
      <c r="BD820" s="174"/>
      <c r="BE820" s="174"/>
      <c r="BF820" s="174"/>
      <c r="BG820" s="174"/>
      <c r="BH820" s="174"/>
      <c r="BI820" s="174"/>
      <c r="BJ820" s="174"/>
      <c r="BK820" s="174"/>
      <c r="BL820" s="174"/>
      <c r="BM820" s="174"/>
      <c r="BN820" s="174"/>
      <c r="BO820" s="174"/>
      <c r="BP820" s="174"/>
      <c r="BQ820" s="174"/>
      <c r="BR820" s="175"/>
      <c r="BS820" s="147"/>
    </row>
    <row r="821">
      <c r="I821" s="128"/>
      <c r="J821" s="129"/>
      <c r="K821" s="129"/>
      <c r="S821" s="170"/>
      <c r="T821" s="171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  <c r="AE821" s="172"/>
      <c r="AF821" s="172"/>
      <c r="AG821" s="172"/>
      <c r="AH821" s="172"/>
      <c r="AI821" s="172"/>
      <c r="AJ821" s="172"/>
      <c r="AK821" s="172"/>
      <c r="AL821" s="172"/>
      <c r="AM821" s="172"/>
      <c r="AN821" s="172"/>
      <c r="AO821" s="172"/>
      <c r="AP821" s="172"/>
      <c r="AQ821" s="172"/>
      <c r="AR821" s="172"/>
      <c r="AS821" s="172"/>
      <c r="AT821" s="173"/>
      <c r="AU821" s="174"/>
      <c r="AV821" s="174"/>
      <c r="AW821" s="174"/>
      <c r="AX821" s="174"/>
      <c r="AY821" s="174"/>
      <c r="AZ821" s="174"/>
      <c r="BA821" s="174"/>
      <c r="BB821" s="174"/>
      <c r="BC821" s="174"/>
      <c r="BD821" s="174"/>
      <c r="BE821" s="174"/>
      <c r="BF821" s="174"/>
      <c r="BG821" s="174"/>
      <c r="BH821" s="174"/>
      <c r="BI821" s="174"/>
      <c r="BJ821" s="174"/>
      <c r="BK821" s="174"/>
      <c r="BL821" s="174"/>
      <c r="BM821" s="174"/>
      <c r="BN821" s="174"/>
      <c r="BO821" s="174"/>
      <c r="BP821" s="174"/>
      <c r="BQ821" s="174"/>
      <c r="BR821" s="175"/>
      <c r="BS821" s="147"/>
    </row>
    <row r="822">
      <c r="I822" s="128"/>
      <c r="J822" s="129"/>
      <c r="K822" s="129"/>
      <c r="S822" s="170"/>
      <c r="T822" s="171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  <c r="AE822" s="172"/>
      <c r="AF822" s="172"/>
      <c r="AG822" s="172"/>
      <c r="AH822" s="172"/>
      <c r="AI822" s="172"/>
      <c r="AJ822" s="172"/>
      <c r="AK822" s="172"/>
      <c r="AL822" s="172"/>
      <c r="AM822" s="172"/>
      <c r="AN822" s="172"/>
      <c r="AO822" s="172"/>
      <c r="AP822" s="172"/>
      <c r="AQ822" s="172"/>
      <c r="AR822" s="172"/>
      <c r="AS822" s="172"/>
      <c r="AT822" s="173"/>
      <c r="AU822" s="174"/>
      <c r="AV822" s="174"/>
      <c r="AW822" s="174"/>
      <c r="AX822" s="174"/>
      <c r="AY822" s="174"/>
      <c r="AZ822" s="174"/>
      <c r="BA822" s="174"/>
      <c r="BB822" s="174"/>
      <c r="BC822" s="174"/>
      <c r="BD822" s="174"/>
      <c r="BE822" s="174"/>
      <c r="BF822" s="174"/>
      <c r="BG822" s="174"/>
      <c r="BH822" s="174"/>
      <c r="BI822" s="174"/>
      <c r="BJ822" s="174"/>
      <c r="BK822" s="174"/>
      <c r="BL822" s="174"/>
      <c r="BM822" s="174"/>
      <c r="BN822" s="174"/>
      <c r="BO822" s="174"/>
      <c r="BP822" s="174"/>
      <c r="BQ822" s="174"/>
      <c r="BR822" s="175"/>
      <c r="BS822" s="147"/>
    </row>
    <row r="823">
      <c r="I823" s="128"/>
      <c r="J823" s="129"/>
      <c r="K823" s="129"/>
      <c r="S823" s="170"/>
      <c r="T823" s="171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  <c r="AE823" s="172"/>
      <c r="AF823" s="172"/>
      <c r="AG823" s="172"/>
      <c r="AH823" s="172"/>
      <c r="AI823" s="172"/>
      <c r="AJ823" s="172"/>
      <c r="AK823" s="172"/>
      <c r="AL823" s="172"/>
      <c r="AM823" s="172"/>
      <c r="AN823" s="172"/>
      <c r="AO823" s="172"/>
      <c r="AP823" s="172"/>
      <c r="AQ823" s="172"/>
      <c r="AR823" s="172"/>
      <c r="AS823" s="172"/>
      <c r="AT823" s="173"/>
      <c r="AU823" s="174"/>
      <c r="AV823" s="174"/>
      <c r="AW823" s="174"/>
      <c r="AX823" s="174"/>
      <c r="AY823" s="174"/>
      <c r="AZ823" s="174"/>
      <c r="BA823" s="174"/>
      <c r="BB823" s="174"/>
      <c r="BC823" s="174"/>
      <c r="BD823" s="174"/>
      <c r="BE823" s="174"/>
      <c r="BF823" s="174"/>
      <c r="BG823" s="174"/>
      <c r="BH823" s="174"/>
      <c r="BI823" s="174"/>
      <c r="BJ823" s="174"/>
      <c r="BK823" s="174"/>
      <c r="BL823" s="174"/>
      <c r="BM823" s="174"/>
      <c r="BN823" s="174"/>
      <c r="BO823" s="174"/>
      <c r="BP823" s="174"/>
      <c r="BQ823" s="174"/>
      <c r="BR823" s="175"/>
      <c r="BS823" s="147"/>
    </row>
    <row r="824">
      <c r="I824" s="128"/>
      <c r="J824" s="129"/>
      <c r="K824" s="129"/>
      <c r="S824" s="170"/>
      <c r="T824" s="171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  <c r="AE824" s="172"/>
      <c r="AF824" s="172"/>
      <c r="AG824" s="172"/>
      <c r="AH824" s="172"/>
      <c r="AI824" s="172"/>
      <c r="AJ824" s="172"/>
      <c r="AK824" s="172"/>
      <c r="AL824" s="172"/>
      <c r="AM824" s="172"/>
      <c r="AN824" s="172"/>
      <c r="AO824" s="172"/>
      <c r="AP824" s="172"/>
      <c r="AQ824" s="172"/>
      <c r="AR824" s="172"/>
      <c r="AS824" s="172"/>
      <c r="AT824" s="173"/>
      <c r="AU824" s="174"/>
      <c r="AV824" s="174"/>
      <c r="AW824" s="174"/>
      <c r="AX824" s="174"/>
      <c r="AY824" s="174"/>
      <c r="AZ824" s="174"/>
      <c r="BA824" s="174"/>
      <c r="BB824" s="174"/>
      <c r="BC824" s="174"/>
      <c r="BD824" s="174"/>
      <c r="BE824" s="174"/>
      <c r="BF824" s="174"/>
      <c r="BG824" s="174"/>
      <c r="BH824" s="174"/>
      <c r="BI824" s="174"/>
      <c r="BJ824" s="174"/>
      <c r="BK824" s="174"/>
      <c r="BL824" s="174"/>
      <c r="BM824" s="174"/>
      <c r="BN824" s="174"/>
      <c r="BO824" s="174"/>
      <c r="BP824" s="174"/>
      <c r="BQ824" s="174"/>
      <c r="BR824" s="175"/>
      <c r="BS824" s="147"/>
    </row>
    <row r="825">
      <c r="I825" s="128"/>
      <c r="J825" s="129"/>
      <c r="K825" s="129"/>
      <c r="S825" s="170"/>
      <c r="T825" s="171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  <c r="AE825" s="172"/>
      <c r="AF825" s="172"/>
      <c r="AG825" s="172"/>
      <c r="AH825" s="172"/>
      <c r="AI825" s="172"/>
      <c r="AJ825" s="172"/>
      <c r="AK825" s="172"/>
      <c r="AL825" s="172"/>
      <c r="AM825" s="172"/>
      <c r="AN825" s="172"/>
      <c r="AO825" s="172"/>
      <c r="AP825" s="172"/>
      <c r="AQ825" s="172"/>
      <c r="AR825" s="172"/>
      <c r="AS825" s="172"/>
      <c r="AT825" s="173"/>
      <c r="AU825" s="174"/>
      <c r="AV825" s="174"/>
      <c r="AW825" s="174"/>
      <c r="AX825" s="174"/>
      <c r="AY825" s="174"/>
      <c r="AZ825" s="174"/>
      <c r="BA825" s="174"/>
      <c r="BB825" s="174"/>
      <c r="BC825" s="174"/>
      <c r="BD825" s="174"/>
      <c r="BE825" s="174"/>
      <c r="BF825" s="174"/>
      <c r="BG825" s="174"/>
      <c r="BH825" s="174"/>
      <c r="BI825" s="174"/>
      <c r="BJ825" s="174"/>
      <c r="BK825" s="174"/>
      <c r="BL825" s="174"/>
      <c r="BM825" s="174"/>
      <c r="BN825" s="174"/>
      <c r="BO825" s="174"/>
      <c r="BP825" s="174"/>
      <c r="BQ825" s="174"/>
      <c r="BR825" s="175"/>
      <c r="BS825" s="147"/>
    </row>
    <row r="826">
      <c r="I826" s="128"/>
      <c r="J826" s="129"/>
      <c r="K826" s="129"/>
      <c r="S826" s="170"/>
      <c r="T826" s="171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  <c r="AE826" s="172"/>
      <c r="AF826" s="172"/>
      <c r="AG826" s="172"/>
      <c r="AH826" s="172"/>
      <c r="AI826" s="172"/>
      <c r="AJ826" s="172"/>
      <c r="AK826" s="172"/>
      <c r="AL826" s="172"/>
      <c r="AM826" s="172"/>
      <c r="AN826" s="172"/>
      <c r="AO826" s="172"/>
      <c r="AP826" s="172"/>
      <c r="AQ826" s="172"/>
      <c r="AR826" s="172"/>
      <c r="AS826" s="172"/>
      <c r="AT826" s="173"/>
      <c r="AU826" s="174"/>
      <c r="AV826" s="174"/>
      <c r="AW826" s="174"/>
      <c r="AX826" s="174"/>
      <c r="AY826" s="174"/>
      <c r="AZ826" s="174"/>
      <c r="BA826" s="174"/>
      <c r="BB826" s="174"/>
      <c r="BC826" s="174"/>
      <c r="BD826" s="174"/>
      <c r="BE826" s="174"/>
      <c r="BF826" s="174"/>
      <c r="BG826" s="174"/>
      <c r="BH826" s="174"/>
      <c r="BI826" s="174"/>
      <c r="BJ826" s="174"/>
      <c r="BK826" s="174"/>
      <c r="BL826" s="174"/>
      <c r="BM826" s="174"/>
      <c r="BN826" s="174"/>
      <c r="BO826" s="174"/>
      <c r="BP826" s="174"/>
      <c r="BQ826" s="174"/>
      <c r="BR826" s="175"/>
      <c r="BS826" s="147"/>
    </row>
    <row r="827">
      <c r="I827" s="128"/>
      <c r="J827" s="129"/>
      <c r="K827" s="129"/>
      <c r="S827" s="170"/>
      <c r="T827" s="171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  <c r="AE827" s="172"/>
      <c r="AF827" s="172"/>
      <c r="AG827" s="172"/>
      <c r="AH827" s="172"/>
      <c r="AI827" s="172"/>
      <c r="AJ827" s="172"/>
      <c r="AK827" s="172"/>
      <c r="AL827" s="172"/>
      <c r="AM827" s="172"/>
      <c r="AN827" s="172"/>
      <c r="AO827" s="172"/>
      <c r="AP827" s="172"/>
      <c r="AQ827" s="172"/>
      <c r="AR827" s="172"/>
      <c r="AS827" s="172"/>
      <c r="AT827" s="173"/>
      <c r="AU827" s="174"/>
      <c r="AV827" s="174"/>
      <c r="AW827" s="174"/>
      <c r="AX827" s="174"/>
      <c r="AY827" s="174"/>
      <c r="AZ827" s="174"/>
      <c r="BA827" s="174"/>
      <c r="BB827" s="174"/>
      <c r="BC827" s="174"/>
      <c r="BD827" s="174"/>
      <c r="BE827" s="174"/>
      <c r="BF827" s="174"/>
      <c r="BG827" s="174"/>
      <c r="BH827" s="174"/>
      <c r="BI827" s="174"/>
      <c r="BJ827" s="174"/>
      <c r="BK827" s="174"/>
      <c r="BL827" s="174"/>
      <c r="BM827" s="174"/>
      <c r="BN827" s="174"/>
      <c r="BO827" s="174"/>
      <c r="BP827" s="174"/>
      <c r="BQ827" s="174"/>
      <c r="BR827" s="175"/>
      <c r="BS827" s="147"/>
    </row>
    <row r="828">
      <c r="I828" s="128"/>
      <c r="J828" s="129"/>
      <c r="K828" s="129"/>
      <c r="S828" s="170"/>
      <c r="T828" s="171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  <c r="AE828" s="172"/>
      <c r="AF828" s="172"/>
      <c r="AG828" s="172"/>
      <c r="AH828" s="172"/>
      <c r="AI828" s="172"/>
      <c r="AJ828" s="172"/>
      <c r="AK828" s="172"/>
      <c r="AL828" s="172"/>
      <c r="AM828" s="172"/>
      <c r="AN828" s="172"/>
      <c r="AO828" s="172"/>
      <c r="AP828" s="172"/>
      <c r="AQ828" s="172"/>
      <c r="AR828" s="172"/>
      <c r="AS828" s="172"/>
      <c r="AT828" s="173"/>
      <c r="AU828" s="174"/>
      <c r="AV828" s="174"/>
      <c r="AW828" s="174"/>
      <c r="AX828" s="174"/>
      <c r="AY828" s="174"/>
      <c r="AZ828" s="174"/>
      <c r="BA828" s="174"/>
      <c r="BB828" s="174"/>
      <c r="BC828" s="174"/>
      <c r="BD828" s="174"/>
      <c r="BE828" s="174"/>
      <c r="BF828" s="174"/>
      <c r="BG828" s="174"/>
      <c r="BH828" s="174"/>
      <c r="BI828" s="174"/>
      <c r="BJ828" s="174"/>
      <c r="BK828" s="174"/>
      <c r="BL828" s="174"/>
      <c r="BM828" s="174"/>
      <c r="BN828" s="174"/>
      <c r="BO828" s="174"/>
      <c r="BP828" s="174"/>
      <c r="BQ828" s="174"/>
      <c r="BR828" s="175"/>
      <c r="BS828" s="147"/>
    </row>
    <row r="829">
      <c r="I829" s="128"/>
      <c r="J829" s="129"/>
      <c r="K829" s="129"/>
      <c r="S829" s="170"/>
      <c r="T829" s="171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  <c r="AE829" s="172"/>
      <c r="AF829" s="172"/>
      <c r="AG829" s="172"/>
      <c r="AH829" s="172"/>
      <c r="AI829" s="172"/>
      <c r="AJ829" s="172"/>
      <c r="AK829" s="172"/>
      <c r="AL829" s="172"/>
      <c r="AM829" s="172"/>
      <c r="AN829" s="172"/>
      <c r="AO829" s="172"/>
      <c r="AP829" s="172"/>
      <c r="AQ829" s="172"/>
      <c r="AR829" s="172"/>
      <c r="AS829" s="172"/>
      <c r="AT829" s="173"/>
      <c r="AU829" s="174"/>
      <c r="AV829" s="174"/>
      <c r="AW829" s="174"/>
      <c r="AX829" s="174"/>
      <c r="AY829" s="174"/>
      <c r="AZ829" s="174"/>
      <c r="BA829" s="174"/>
      <c r="BB829" s="174"/>
      <c r="BC829" s="174"/>
      <c r="BD829" s="174"/>
      <c r="BE829" s="174"/>
      <c r="BF829" s="174"/>
      <c r="BG829" s="174"/>
      <c r="BH829" s="174"/>
      <c r="BI829" s="174"/>
      <c r="BJ829" s="174"/>
      <c r="BK829" s="174"/>
      <c r="BL829" s="174"/>
      <c r="BM829" s="174"/>
      <c r="BN829" s="174"/>
      <c r="BO829" s="174"/>
      <c r="BP829" s="174"/>
      <c r="BQ829" s="174"/>
      <c r="BR829" s="175"/>
      <c r="BS829" s="147"/>
    </row>
    <row r="830">
      <c r="I830" s="128"/>
      <c r="J830" s="129"/>
      <c r="K830" s="129"/>
      <c r="S830" s="170"/>
      <c r="T830" s="171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  <c r="AE830" s="172"/>
      <c r="AF830" s="172"/>
      <c r="AG830" s="172"/>
      <c r="AH830" s="172"/>
      <c r="AI830" s="172"/>
      <c r="AJ830" s="172"/>
      <c r="AK830" s="172"/>
      <c r="AL830" s="172"/>
      <c r="AM830" s="172"/>
      <c r="AN830" s="172"/>
      <c r="AO830" s="172"/>
      <c r="AP830" s="172"/>
      <c r="AQ830" s="172"/>
      <c r="AR830" s="172"/>
      <c r="AS830" s="172"/>
      <c r="AT830" s="173"/>
      <c r="AU830" s="174"/>
      <c r="AV830" s="174"/>
      <c r="AW830" s="174"/>
      <c r="AX830" s="174"/>
      <c r="AY830" s="174"/>
      <c r="AZ830" s="174"/>
      <c r="BA830" s="174"/>
      <c r="BB830" s="174"/>
      <c r="BC830" s="174"/>
      <c r="BD830" s="174"/>
      <c r="BE830" s="174"/>
      <c r="BF830" s="174"/>
      <c r="BG830" s="174"/>
      <c r="BH830" s="174"/>
      <c r="BI830" s="174"/>
      <c r="BJ830" s="174"/>
      <c r="BK830" s="174"/>
      <c r="BL830" s="174"/>
      <c r="BM830" s="174"/>
      <c r="BN830" s="174"/>
      <c r="BO830" s="174"/>
      <c r="BP830" s="174"/>
      <c r="BQ830" s="174"/>
      <c r="BR830" s="175"/>
      <c r="BS830" s="147"/>
    </row>
    <row r="831">
      <c r="I831" s="128"/>
      <c r="J831" s="129"/>
      <c r="K831" s="129"/>
      <c r="S831" s="170"/>
      <c r="T831" s="171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  <c r="AE831" s="172"/>
      <c r="AF831" s="172"/>
      <c r="AG831" s="172"/>
      <c r="AH831" s="172"/>
      <c r="AI831" s="172"/>
      <c r="AJ831" s="172"/>
      <c r="AK831" s="172"/>
      <c r="AL831" s="172"/>
      <c r="AM831" s="172"/>
      <c r="AN831" s="172"/>
      <c r="AO831" s="172"/>
      <c r="AP831" s="172"/>
      <c r="AQ831" s="172"/>
      <c r="AR831" s="172"/>
      <c r="AS831" s="172"/>
      <c r="AT831" s="173"/>
      <c r="AU831" s="174"/>
      <c r="AV831" s="174"/>
      <c r="AW831" s="174"/>
      <c r="AX831" s="174"/>
      <c r="AY831" s="174"/>
      <c r="AZ831" s="174"/>
      <c r="BA831" s="174"/>
      <c r="BB831" s="174"/>
      <c r="BC831" s="174"/>
      <c r="BD831" s="174"/>
      <c r="BE831" s="174"/>
      <c r="BF831" s="174"/>
      <c r="BG831" s="174"/>
      <c r="BH831" s="174"/>
      <c r="BI831" s="174"/>
      <c r="BJ831" s="174"/>
      <c r="BK831" s="174"/>
      <c r="BL831" s="174"/>
      <c r="BM831" s="174"/>
      <c r="BN831" s="174"/>
      <c r="BO831" s="174"/>
      <c r="BP831" s="174"/>
      <c r="BQ831" s="174"/>
      <c r="BR831" s="175"/>
      <c r="BS831" s="147"/>
    </row>
    <row r="832">
      <c r="I832" s="128"/>
      <c r="J832" s="129"/>
      <c r="K832" s="129"/>
      <c r="S832" s="170"/>
      <c r="T832" s="171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  <c r="AE832" s="172"/>
      <c r="AF832" s="172"/>
      <c r="AG832" s="172"/>
      <c r="AH832" s="172"/>
      <c r="AI832" s="172"/>
      <c r="AJ832" s="172"/>
      <c r="AK832" s="172"/>
      <c r="AL832" s="172"/>
      <c r="AM832" s="172"/>
      <c r="AN832" s="172"/>
      <c r="AO832" s="172"/>
      <c r="AP832" s="172"/>
      <c r="AQ832" s="172"/>
      <c r="AR832" s="172"/>
      <c r="AS832" s="172"/>
      <c r="AT832" s="173"/>
      <c r="AU832" s="174"/>
      <c r="AV832" s="174"/>
      <c r="AW832" s="174"/>
      <c r="AX832" s="174"/>
      <c r="AY832" s="174"/>
      <c r="AZ832" s="174"/>
      <c r="BA832" s="174"/>
      <c r="BB832" s="174"/>
      <c r="BC832" s="174"/>
      <c r="BD832" s="174"/>
      <c r="BE832" s="174"/>
      <c r="BF832" s="174"/>
      <c r="BG832" s="174"/>
      <c r="BH832" s="174"/>
      <c r="BI832" s="174"/>
      <c r="BJ832" s="174"/>
      <c r="BK832" s="174"/>
      <c r="BL832" s="174"/>
      <c r="BM832" s="174"/>
      <c r="BN832" s="174"/>
      <c r="BO832" s="174"/>
      <c r="BP832" s="174"/>
      <c r="BQ832" s="174"/>
      <c r="BR832" s="175"/>
      <c r="BS832" s="147"/>
    </row>
    <row r="833">
      <c r="I833" s="128"/>
      <c r="J833" s="129"/>
      <c r="K833" s="129"/>
      <c r="S833" s="170"/>
      <c r="T833" s="171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  <c r="AE833" s="172"/>
      <c r="AF833" s="172"/>
      <c r="AG833" s="172"/>
      <c r="AH833" s="172"/>
      <c r="AI833" s="172"/>
      <c r="AJ833" s="172"/>
      <c r="AK833" s="172"/>
      <c r="AL833" s="172"/>
      <c r="AM833" s="172"/>
      <c r="AN833" s="172"/>
      <c r="AO833" s="172"/>
      <c r="AP833" s="172"/>
      <c r="AQ833" s="172"/>
      <c r="AR833" s="172"/>
      <c r="AS833" s="172"/>
      <c r="AT833" s="173"/>
      <c r="AU833" s="174"/>
      <c r="AV833" s="174"/>
      <c r="AW833" s="174"/>
      <c r="AX833" s="174"/>
      <c r="AY833" s="174"/>
      <c r="AZ833" s="174"/>
      <c r="BA833" s="174"/>
      <c r="BB833" s="174"/>
      <c r="BC833" s="174"/>
      <c r="BD833" s="174"/>
      <c r="BE833" s="174"/>
      <c r="BF833" s="174"/>
      <c r="BG833" s="174"/>
      <c r="BH833" s="174"/>
      <c r="BI833" s="174"/>
      <c r="BJ833" s="174"/>
      <c r="BK833" s="174"/>
      <c r="BL833" s="174"/>
      <c r="BM833" s="174"/>
      <c r="BN833" s="174"/>
      <c r="BO833" s="174"/>
      <c r="BP833" s="174"/>
      <c r="BQ833" s="174"/>
      <c r="BR833" s="175"/>
      <c r="BS833" s="147"/>
    </row>
    <row r="834">
      <c r="I834" s="128"/>
      <c r="J834" s="129"/>
      <c r="K834" s="129"/>
      <c r="S834" s="170"/>
      <c r="T834" s="171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  <c r="AE834" s="172"/>
      <c r="AF834" s="172"/>
      <c r="AG834" s="172"/>
      <c r="AH834" s="172"/>
      <c r="AI834" s="172"/>
      <c r="AJ834" s="172"/>
      <c r="AK834" s="172"/>
      <c r="AL834" s="172"/>
      <c r="AM834" s="172"/>
      <c r="AN834" s="172"/>
      <c r="AO834" s="172"/>
      <c r="AP834" s="172"/>
      <c r="AQ834" s="172"/>
      <c r="AR834" s="172"/>
      <c r="AS834" s="172"/>
      <c r="AT834" s="173"/>
      <c r="AU834" s="174"/>
      <c r="AV834" s="174"/>
      <c r="AW834" s="174"/>
      <c r="AX834" s="174"/>
      <c r="AY834" s="174"/>
      <c r="AZ834" s="174"/>
      <c r="BA834" s="174"/>
      <c r="BB834" s="174"/>
      <c r="BC834" s="174"/>
      <c r="BD834" s="174"/>
      <c r="BE834" s="174"/>
      <c r="BF834" s="174"/>
      <c r="BG834" s="174"/>
      <c r="BH834" s="174"/>
      <c r="BI834" s="174"/>
      <c r="BJ834" s="174"/>
      <c r="BK834" s="174"/>
      <c r="BL834" s="174"/>
      <c r="BM834" s="174"/>
      <c r="BN834" s="174"/>
      <c r="BO834" s="174"/>
      <c r="BP834" s="174"/>
      <c r="BQ834" s="174"/>
      <c r="BR834" s="175"/>
      <c r="BS834" s="147"/>
    </row>
    <row r="835">
      <c r="I835" s="128"/>
      <c r="J835" s="129"/>
      <c r="K835" s="129"/>
      <c r="S835" s="170"/>
      <c r="T835" s="171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  <c r="AE835" s="172"/>
      <c r="AF835" s="172"/>
      <c r="AG835" s="172"/>
      <c r="AH835" s="172"/>
      <c r="AI835" s="172"/>
      <c r="AJ835" s="172"/>
      <c r="AK835" s="172"/>
      <c r="AL835" s="172"/>
      <c r="AM835" s="172"/>
      <c r="AN835" s="172"/>
      <c r="AO835" s="172"/>
      <c r="AP835" s="172"/>
      <c r="AQ835" s="172"/>
      <c r="AR835" s="172"/>
      <c r="AS835" s="172"/>
      <c r="AT835" s="173"/>
      <c r="AU835" s="174"/>
      <c r="AV835" s="174"/>
      <c r="AW835" s="174"/>
      <c r="AX835" s="174"/>
      <c r="AY835" s="174"/>
      <c r="AZ835" s="174"/>
      <c r="BA835" s="174"/>
      <c r="BB835" s="174"/>
      <c r="BC835" s="174"/>
      <c r="BD835" s="174"/>
      <c r="BE835" s="174"/>
      <c r="BF835" s="174"/>
      <c r="BG835" s="174"/>
      <c r="BH835" s="174"/>
      <c r="BI835" s="174"/>
      <c r="BJ835" s="174"/>
      <c r="BK835" s="174"/>
      <c r="BL835" s="174"/>
      <c r="BM835" s="174"/>
      <c r="BN835" s="174"/>
      <c r="BO835" s="174"/>
      <c r="BP835" s="174"/>
      <c r="BQ835" s="174"/>
      <c r="BR835" s="175"/>
      <c r="BS835" s="147"/>
    </row>
    <row r="836">
      <c r="I836" s="128"/>
      <c r="J836" s="129"/>
      <c r="K836" s="129"/>
      <c r="S836" s="170"/>
      <c r="T836" s="171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  <c r="AE836" s="172"/>
      <c r="AF836" s="172"/>
      <c r="AG836" s="172"/>
      <c r="AH836" s="172"/>
      <c r="AI836" s="172"/>
      <c r="AJ836" s="172"/>
      <c r="AK836" s="172"/>
      <c r="AL836" s="172"/>
      <c r="AM836" s="172"/>
      <c r="AN836" s="172"/>
      <c r="AO836" s="172"/>
      <c r="AP836" s="172"/>
      <c r="AQ836" s="172"/>
      <c r="AR836" s="172"/>
      <c r="AS836" s="172"/>
      <c r="AT836" s="173"/>
      <c r="AU836" s="174"/>
      <c r="AV836" s="174"/>
      <c r="AW836" s="174"/>
      <c r="AX836" s="174"/>
      <c r="AY836" s="174"/>
      <c r="AZ836" s="174"/>
      <c r="BA836" s="174"/>
      <c r="BB836" s="174"/>
      <c r="BC836" s="174"/>
      <c r="BD836" s="174"/>
      <c r="BE836" s="174"/>
      <c r="BF836" s="174"/>
      <c r="BG836" s="174"/>
      <c r="BH836" s="174"/>
      <c r="BI836" s="174"/>
      <c r="BJ836" s="174"/>
      <c r="BK836" s="174"/>
      <c r="BL836" s="174"/>
      <c r="BM836" s="174"/>
      <c r="BN836" s="174"/>
      <c r="BO836" s="174"/>
      <c r="BP836" s="174"/>
      <c r="BQ836" s="174"/>
      <c r="BR836" s="175"/>
      <c r="BS836" s="147"/>
    </row>
    <row r="837">
      <c r="I837" s="128"/>
      <c r="J837" s="129"/>
      <c r="K837" s="129"/>
      <c r="S837" s="170"/>
      <c r="T837" s="171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  <c r="AE837" s="172"/>
      <c r="AF837" s="172"/>
      <c r="AG837" s="172"/>
      <c r="AH837" s="172"/>
      <c r="AI837" s="172"/>
      <c r="AJ837" s="172"/>
      <c r="AK837" s="172"/>
      <c r="AL837" s="172"/>
      <c r="AM837" s="172"/>
      <c r="AN837" s="172"/>
      <c r="AO837" s="172"/>
      <c r="AP837" s="172"/>
      <c r="AQ837" s="172"/>
      <c r="AR837" s="172"/>
      <c r="AS837" s="172"/>
      <c r="AT837" s="173"/>
      <c r="AU837" s="174"/>
      <c r="AV837" s="174"/>
      <c r="AW837" s="174"/>
      <c r="AX837" s="174"/>
      <c r="AY837" s="174"/>
      <c r="AZ837" s="174"/>
      <c r="BA837" s="174"/>
      <c r="BB837" s="174"/>
      <c r="BC837" s="174"/>
      <c r="BD837" s="174"/>
      <c r="BE837" s="174"/>
      <c r="BF837" s="174"/>
      <c r="BG837" s="174"/>
      <c r="BH837" s="174"/>
      <c r="BI837" s="174"/>
      <c r="BJ837" s="174"/>
      <c r="BK837" s="174"/>
      <c r="BL837" s="174"/>
      <c r="BM837" s="174"/>
      <c r="BN837" s="174"/>
      <c r="BO837" s="174"/>
      <c r="BP837" s="174"/>
      <c r="BQ837" s="174"/>
      <c r="BR837" s="175"/>
      <c r="BS837" s="147"/>
    </row>
    <row r="838">
      <c r="I838" s="128"/>
      <c r="J838" s="129"/>
      <c r="K838" s="129"/>
      <c r="S838" s="170"/>
      <c r="T838" s="171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  <c r="AE838" s="172"/>
      <c r="AF838" s="172"/>
      <c r="AG838" s="172"/>
      <c r="AH838" s="172"/>
      <c r="AI838" s="172"/>
      <c r="AJ838" s="172"/>
      <c r="AK838" s="172"/>
      <c r="AL838" s="172"/>
      <c r="AM838" s="172"/>
      <c r="AN838" s="172"/>
      <c r="AO838" s="172"/>
      <c r="AP838" s="172"/>
      <c r="AQ838" s="172"/>
      <c r="AR838" s="172"/>
      <c r="AS838" s="172"/>
      <c r="AT838" s="173"/>
      <c r="AU838" s="174"/>
      <c r="AV838" s="174"/>
      <c r="AW838" s="174"/>
      <c r="AX838" s="174"/>
      <c r="AY838" s="174"/>
      <c r="AZ838" s="174"/>
      <c r="BA838" s="174"/>
      <c r="BB838" s="174"/>
      <c r="BC838" s="174"/>
      <c r="BD838" s="174"/>
      <c r="BE838" s="174"/>
      <c r="BF838" s="174"/>
      <c r="BG838" s="174"/>
      <c r="BH838" s="174"/>
      <c r="BI838" s="174"/>
      <c r="BJ838" s="174"/>
      <c r="BK838" s="174"/>
      <c r="BL838" s="174"/>
      <c r="BM838" s="174"/>
      <c r="BN838" s="174"/>
      <c r="BO838" s="174"/>
      <c r="BP838" s="174"/>
      <c r="BQ838" s="174"/>
      <c r="BR838" s="175"/>
      <c r="BS838" s="147"/>
    </row>
    <row r="839">
      <c r="I839" s="128"/>
      <c r="J839" s="129"/>
      <c r="K839" s="129"/>
      <c r="S839" s="170"/>
      <c r="T839" s="171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  <c r="AE839" s="172"/>
      <c r="AF839" s="172"/>
      <c r="AG839" s="172"/>
      <c r="AH839" s="172"/>
      <c r="AI839" s="172"/>
      <c r="AJ839" s="172"/>
      <c r="AK839" s="172"/>
      <c r="AL839" s="172"/>
      <c r="AM839" s="172"/>
      <c r="AN839" s="172"/>
      <c r="AO839" s="172"/>
      <c r="AP839" s="172"/>
      <c r="AQ839" s="172"/>
      <c r="AR839" s="172"/>
      <c r="AS839" s="172"/>
      <c r="AT839" s="173"/>
      <c r="AU839" s="174"/>
      <c r="AV839" s="174"/>
      <c r="AW839" s="174"/>
      <c r="AX839" s="174"/>
      <c r="AY839" s="174"/>
      <c r="AZ839" s="174"/>
      <c r="BA839" s="174"/>
      <c r="BB839" s="174"/>
      <c r="BC839" s="174"/>
      <c r="BD839" s="174"/>
      <c r="BE839" s="174"/>
      <c r="BF839" s="174"/>
      <c r="BG839" s="174"/>
      <c r="BH839" s="174"/>
      <c r="BI839" s="174"/>
      <c r="BJ839" s="174"/>
      <c r="BK839" s="174"/>
      <c r="BL839" s="174"/>
      <c r="BM839" s="174"/>
      <c r="BN839" s="174"/>
      <c r="BO839" s="174"/>
      <c r="BP839" s="174"/>
      <c r="BQ839" s="174"/>
      <c r="BR839" s="175"/>
      <c r="BS839" s="147"/>
    </row>
    <row r="840">
      <c r="I840" s="128"/>
      <c r="J840" s="129"/>
      <c r="K840" s="129"/>
      <c r="S840" s="170"/>
      <c r="T840" s="171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  <c r="AE840" s="172"/>
      <c r="AF840" s="172"/>
      <c r="AG840" s="172"/>
      <c r="AH840" s="172"/>
      <c r="AI840" s="172"/>
      <c r="AJ840" s="172"/>
      <c r="AK840" s="172"/>
      <c r="AL840" s="172"/>
      <c r="AM840" s="172"/>
      <c r="AN840" s="172"/>
      <c r="AO840" s="172"/>
      <c r="AP840" s="172"/>
      <c r="AQ840" s="172"/>
      <c r="AR840" s="172"/>
      <c r="AS840" s="172"/>
      <c r="AT840" s="173"/>
      <c r="AU840" s="174"/>
      <c r="AV840" s="174"/>
      <c r="AW840" s="174"/>
      <c r="AX840" s="174"/>
      <c r="AY840" s="174"/>
      <c r="AZ840" s="174"/>
      <c r="BA840" s="174"/>
      <c r="BB840" s="174"/>
      <c r="BC840" s="174"/>
      <c r="BD840" s="174"/>
      <c r="BE840" s="174"/>
      <c r="BF840" s="174"/>
      <c r="BG840" s="174"/>
      <c r="BH840" s="174"/>
      <c r="BI840" s="174"/>
      <c r="BJ840" s="174"/>
      <c r="BK840" s="174"/>
      <c r="BL840" s="174"/>
      <c r="BM840" s="174"/>
      <c r="BN840" s="174"/>
      <c r="BO840" s="174"/>
      <c r="BP840" s="174"/>
      <c r="BQ840" s="174"/>
      <c r="BR840" s="175"/>
      <c r="BS840" s="147"/>
    </row>
    <row r="841">
      <c r="I841" s="128"/>
      <c r="J841" s="129"/>
      <c r="K841" s="129"/>
      <c r="S841" s="170"/>
      <c r="T841" s="171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  <c r="AE841" s="172"/>
      <c r="AF841" s="172"/>
      <c r="AG841" s="172"/>
      <c r="AH841" s="172"/>
      <c r="AI841" s="172"/>
      <c r="AJ841" s="172"/>
      <c r="AK841" s="172"/>
      <c r="AL841" s="172"/>
      <c r="AM841" s="172"/>
      <c r="AN841" s="172"/>
      <c r="AO841" s="172"/>
      <c r="AP841" s="172"/>
      <c r="AQ841" s="172"/>
      <c r="AR841" s="172"/>
      <c r="AS841" s="172"/>
      <c r="AT841" s="173"/>
      <c r="AU841" s="174"/>
      <c r="AV841" s="174"/>
      <c r="AW841" s="174"/>
      <c r="AX841" s="174"/>
      <c r="AY841" s="174"/>
      <c r="AZ841" s="174"/>
      <c r="BA841" s="174"/>
      <c r="BB841" s="174"/>
      <c r="BC841" s="174"/>
      <c r="BD841" s="174"/>
      <c r="BE841" s="174"/>
      <c r="BF841" s="174"/>
      <c r="BG841" s="174"/>
      <c r="BH841" s="174"/>
      <c r="BI841" s="174"/>
      <c r="BJ841" s="174"/>
      <c r="BK841" s="174"/>
      <c r="BL841" s="174"/>
      <c r="BM841" s="174"/>
      <c r="BN841" s="174"/>
      <c r="BO841" s="174"/>
      <c r="BP841" s="174"/>
      <c r="BQ841" s="174"/>
      <c r="BR841" s="175"/>
      <c r="BS841" s="147"/>
    </row>
    <row r="842">
      <c r="I842" s="128"/>
      <c r="J842" s="129"/>
      <c r="K842" s="129"/>
      <c r="S842" s="170"/>
      <c r="T842" s="171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  <c r="AE842" s="172"/>
      <c r="AF842" s="172"/>
      <c r="AG842" s="172"/>
      <c r="AH842" s="172"/>
      <c r="AI842" s="172"/>
      <c r="AJ842" s="172"/>
      <c r="AK842" s="172"/>
      <c r="AL842" s="172"/>
      <c r="AM842" s="172"/>
      <c r="AN842" s="172"/>
      <c r="AO842" s="172"/>
      <c r="AP842" s="172"/>
      <c r="AQ842" s="172"/>
      <c r="AR842" s="172"/>
      <c r="AS842" s="172"/>
      <c r="AT842" s="173"/>
      <c r="AU842" s="174"/>
      <c r="AV842" s="174"/>
      <c r="AW842" s="174"/>
      <c r="AX842" s="174"/>
      <c r="AY842" s="174"/>
      <c r="AZ842" s="174"/>
      <c r="BA842" s="174"/>
      <c r="BB842" s="174"/>
      <c r="BC842" s="174"/>
      <c r="BD842" s="174"/>
      <c r="BE842" s="174"/>
      <c r="BF842" s="174"/>
      <c r="BG842" s="174"/>
      <c r="BH842" s="174"/>
      <c r="BI842" s="174"/>
      <c r="BJ842" s="174"/>
      <c r="BK842" s="174"/>
      <c r="BL842" s="174"/>
      <c r="BM842" s="174"/>
      <c r="BN842" s="174"/>
      <c r="BO842" s="174"/>
      <c r="BP842" s="174"/>
      <c r="BQ842" s="174"/>
      <c r="BR842" s="175"/>
      <c r="BS842" s="147"/>
    </row>
    <row r="843">
      <c r="I843" s="128"/>
      <c r="J843" s="129"/>
      <c r="K843" s="129"/>
      <c r="S843" s="170"/>
      <c r="T843" s="171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  <c r="AE843" s="172"/>
      <c r="AF843" s="172"/>
      <c r="AG843" s="172"/>
      <c r="AH843" s="172"/>
      <c r="AI843" s="172"/>
      <c r="AJ843" s="172"/>
      <c r="AK843" s="172"/>
      <c r="AL843" s="172"/>
      <c r="AM843" s="172"/>
      <c r="AN843" s="172"/>
      <c r="AO843" s="172"/>
      <c r="AP843" s="172"/>
      <c r="AQ843" s="172"/>
      <c r="AR843" s="172"/>
      <c r="AS843" s="172"/>
      <c r="AT843" s="173"/>
      <c r="AU843" s="174"/>
      <c r="AV843" s="174"/>
      <c r="AW843" s="174"/>
      <c r="AX843" s="174"/>
      <c r="AY843" s="174"/>
      <c r="AZ843" s="174"/>
      <c r="BA843" s="174"/>
      <c r="BB843" s="174"/>
      <c r="BC843" s="174"/>
      <c r="BD843" s="174"/>
      <c r="BE843" s="174"/>
      <c r="BF843" s="174"/>
      <c r="BG843" s="174"/>
      <c r="BH843" s="174"/>
      <c r="BI843" s="174"/>
      <c r="BJ843" s="174"/>
      <c r="BK843" s="174"/>
      <c r="BL843" s="174"/>
      <c r="BM843" s="174"/>
      <c r="BN843" s="174"/>
      <c r="BO843" s="174"/>
      <c r="BP843" s="174"/>
      <c r="BQ843" s="174"/>
      <c r="BR843" s="175"/>
      <c r="BS843" s="147"/>
    </row>
    <row r="844">
      <c r="I844" s="128"/>
      <c r="J844" s="129"/>
      <c r="K844" s="129"/>
      <c r="S844" s="170"/>
      <c r="T844" s="171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72"/>
      <c r="AM844" s="172"/>
      <c r="AN844" s="172"/>
      <c r="AO844" s="172"/>
      <c r="AP844" s="172"/>
      <c r="AQ844" s="172"/>
      <c r="AR844" s="172"/>
      <c r="AS844" s="172"/>
      <c r="AT844" s="173"/>
      <c r="AU844" s="174"/>
      <c r="AV844" s="174"/>
      <c r="AW844" s="174"/>
      <c r="AX844" s="174"/>
      <c r="AY844" s="174"/>
      <c r="AZ844" s="174"/>
      <c r="BA844" s="174"/>
      <c r="BB844" s="174"/>
      <c r="BC844" s="174"/>
      <c r="BD844" s="174"/>
      <c r="BE844" s="174"/>
      <c r="BF844" s="174"/>
      <c r="BG844" s="174"/>
      <c r="BH844" s="174"/>
      <c r="BI844" s="174"/>
      <c r="BJ844" s="174"/>
      <c r="BK844" s="174"/>
      <c r="BL844" s="174"/>
      <c r="BM844" s="174"/>
      <c r="BN844" s="174"/>
      <c r="BO844" s="174"/>
      <c r="BP844" s="174"/>
      <c r="BQ844" s="174"/>
      <c r="BR844" s="175"/>
      <c r="BS844" s="147"/>
    </row>
    <row r="845">
      <c r="I845" s="128"/>
      <c r="J845" s="129"/>
      <c r="K845" s="129"/>
      <c r="S845" s="170"/>
      <c r="T845" s="171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  <c r="AE845" s="172"/>
      <c r="AF845" s="172"/>
      <c r="AG845" s="172"/>
      <c r="AH845" s="172"/>
      <c r="AI845" s="172"/>
      <c r="AJ845" s="172"/>
      <c r="AK845" s="172"/>
      <c r="AL845" s="172"/>
      <c r="AM845" s="172"/>
      <c r="AN845" s="172"/>
      <c r="AO845" s="172"/>
      <c r="AP845" s="172"/>
      <c r="AQ845" s="172"/>
      <c r="AR845" s="172"/>
      <c r="AS845" s="172"/>
      <c r="AT845" s="173"/>
      <c r="AU845" s="174"/>
      <c r="AV845" s="174"/>
      <c r="AW845" s="174"/>
      <c r="AX845" s="174"/>
      <c r="AY845" s="174"/>
      <c r="AZ845" s="174"/>
      <c r="BA845" s="174"/>
      <c r="BB845" s="174"/>
      <c r="BC845" s="174"/>
      <c r="BD845" s="174"/>
      <c r="BE845" s="174"/>
      <c r="BF845" s="174"/>
      <c r="BG845" s="174"/>
      <c r="BH845" s="174"/>
      <c r="BI845" s="174"/>
      <c r="BJ845" s="174"/>
      <c r="BK845" s="174"/>
      <c r="BL845" s="174"/>
      <c r="BM845" s="174"/>
      <c r="BN845" s="174"/>
      <c r="BO845" s="174"/>
      <c r="BP845" s="174"/>
      <c r="BQ845" s="174"/>
      <c r="BR845" s="175"/>
      <c r="BS845" s="147"/>
    </row>
    <row r="846">
      <c r="I846" s="128"/>
      <c r="J846" s="129"/>
      <c r="K846" s="129"/>
      <c r="S846" s="170"/>
      <c r="T846" s="171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  <c r="AE846" s="172"/>
      <c r="AF846" s="172"/>
      <c r="AG846" s="172"/>
      <c r="AH846" s="172"/>
      <c r="AI846" s="172"/>
      <c r="AJ846" s="172"/>
      <c r="AK846" s="172"/>
      <c r="AL846" s="172"/>
      <c r="AM846" s="172"/>
      <c r="AN846" s="172"/>
      <c r="AO846" s="172"/>
      <c r="AP846" s="172"/>
      <c r="AQ846" s="172"/>
      <c r="AR846" s="172"/>
      <c r="AS846" s="172"/>
      <c r="AT846" s="173"/>
      <c r="AU846" s="174"/>
      <c r="AV846" s="174"/>
      <c r="AW846" s="174"/>
      <c r="AX846" s="174"/>
      <c r="AY846" s="174"/>
      <c r="AZ846" s="174"/>
      <c r="BA846" s="174"/>
      <c r="BB846" s="174"/>
      <c r="BC846" s="174"/>
      <c r="BD846" s="174"/>
      <c r="BE846" s="174"/>
      <c r="BF846" s="174"/>
      <c r="BG846" s="174"/>
      <c r="BH846" s="174"/>
      <c r="BI846" s="174"/>
      <c r="BJ846" s="174"/>
      <c r="BK846" s="174"/>
      <c r="BL846" s="174"/>
      <c r="BM846" s="174"/>
      <c r="BN846" s="174"/>
      <c r="BO846" s="174"/>
      <c r="BP846" s="174"/>
      <c r="BQ846" s="174"/>
      <c r="BR846" s="175"/>
      <c r="BS846" s="147"/>
    </row>
    <row r="847">
      <c r="I847" s="128"/>
      <c r="J847" s="129"/>
      <c r="K847" s="129"/>
      <c r="S847" s="170"/>
      <c r="T847" s="171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  <c r="AE847" s="172"/>
      <c r="AF847" s="172"/>
      <c r="AG847" s="172"/>
      <c r="AH847" s="172"/>
      <c r="AI847" s="172"/>
      <c r="AJ847" s="172"/>
      <c r="AK847" s="172"/>
      <c r="AL847" s="172"/>
      <c r="AM847" s="172"/>
      <c r="AN847" s="172"/>
      <c r="AO847" s="172"/>
      <c r="AP847" s="172"/>
      <c r="AQ847" s="172"/>
      <c r="AR847" s="172"/>
      <c r="AS847" s="172"/>
      <c r="AT847" s="173"/>
      <c r="AU847" s="174"/>
      <c r="AV847" s="174"/>
      <c r="AW847" s="174"/>
      <c r="AX847" s="174"/>
      <c r="AY847" s="174"/>
      <c r="AZ847" s="174"/>
      <c r="BA847" s="174"/>
      <c r="BB847" s="174"/>
      <c r="BC847" s="174"/>
      <c r="BD847" s="174"/>
      <c r="BE847" s="174"/>
      <c r="BF847" s="174"/>
      <c r="BG847" s="174"/>
      <c r="BH847" s="174"/>
      <c r="BI847" s="174"/>
      <c r="BJ847" s="174"/>
      <c r="BK847" s="174"/>
      <c r="BL847" s="174"/>
      <c r="BM847" s="174"/>
      <c r="BN847" s="174"/>
      <c r="BO847" s="174"/>
      <c r="BP847" s="174"/>
      <c r="BQ847" s="174"/>
      <c r="BR847" s="175"/>
      <c r="BS847" s="147"/>
    </row>
    <row r="848">
      <c r="I848" s="128"/>
      <c r="J848" s="129"/>
      <c r="K848" s="129"/>
      <c r="S848" s="170"/>
      <c r="T848" s="171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  <c r="AE848" s="172"/>
      <c r="AF848" s="172"/>
      <c r="AG848" s="172"/>
      <c r="AH848" s="172"/>
      <c r="AI848" s="172"/>
      <c r="AJ848" s="172"/>
      <c r="AK848" s="172"/>
      <c r="AL848" s="172"/>
      <c r="AM848" s="172"/>
      <c r="AN848" s="172"/>
      <c r="AO848" s="172"/>
      <c r="AP848" s="172"/>
      <c r="AQ848" s="172"/>
      <c r="AR848" s="172"/>
      <c r="AS848" s="172"/>
      <c r="AT848" s="173"/>
      <c r="AU848" s="174"/>
      <c r="AV848" s="174"/>
      <c r="AW848" s="174"/>
      <c r="AX848" s="174"/>
      <c r="AY848" s="174"/>
      <c r="AZ848" s="174"/>
      <c r="BA848" s="174"/>
      <c r="BB848" s="174"/>
      <c r="BC848" s="174"/>
      <c r="BD848" s="174"/>
      <c r="BE848" s="174"/>
      <c r="BF848" s="174"/>
      <c r="BG848" s="174"/>
      <c r="BH848" s="174"/>
      <c r="BI848" s="174"/>
      <c r="BJ848" s="174"/>
      <c r="BK848" s="174"/>
      <c r="BL848" s="174"/>
      <c r="BM848" s="174"/>
      <c r="BN848" s="174"/>
      <c r="BO848" s="174"/>
      <c r="BP848" s="174"/>
      <c r="BQ848" s="174"/>
      <c r="BR848" s="175"/>
      <c r="BS848" s="147"/>
    </row>
    <row r="849">
      <c r="I849" s="128"/>
      <c r="J849" s="129"/>
      <c r="K849" s="129"/>
      <c r="S849" s="170"/>
      <c r="T849" s="171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  <c r="AE849" s="172"/>
      <c r="AF849" s="172"/>
      <c r="AG849" s="172"/>
      <c r="AH849" s="172"/>
      <c r="AI849" s="172"/>
      <c r="AJ849" s="172"/>
      <c r="AK849" s="172"/>
      <c r="AL849" s="172"/>
      <c r="AM849" s="172"/>
      <c r="AN849" s="172"/>
      <c r="AO849" s="172"/>
      <c r="AP849" s="172"/>
      <c r="AQ849" s="172"/>
      <c r="AR849" s="172"/>
      <c r="AS849" s="172"/>
      <c r="AT849" s="173"/>
      <c r="AU849" s="174"/>
      <c r="AV849" s="174"/>
      <c r="AW849" s="174"/>
      <c r="AX849" s="174"/>
      <c r="AY849" s="174"/>
      <c r="AZ849" s="174"/>
      <c r="BA849" s="174"/>
      <c r="BB849" s="174"/>
      <c r="BC849" s="174"/>
      <c r="BD849" s="174"/>
      <c r="BE849" s="174"/>
      <c r="BF849" s="174"/>
      <c r="BG849" s="174"/>
      <c r="BH849" s="174"/>
      <c r="BI849" s="174"/>
      <c r="BJ849" s="174"/>
      <c r="BK849" s="174"/>
      <c r="BL849" s="174"/>
      <c r="BM849" s="174"/>
      <c r="BN849" s="174"/>
      <c r="BO849" s="174"/>
      <c r="BP849" s="174"/>
      <c r="BQ849" s="174"/>
      <c r="BR849" s="175"/>
      <c r="BS849" s="147"/>
    </row>
    <row r="850">
      <c r="I850" s="128"/>
      <c r="J850" s="129"/>
      <c r="K850" s="129"/>
      <c r="S850" s="170"/>
      <c r="T850" s="171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  <c r="AE850" s="172"/>
      <c r="AF850" s="172"/>
      <c r="AG850" s="172"/>
      <c r="AH850" s="172"/>
      <c r="AI850" s="172"/>
      <c r="AJ850" s="172"/>
      <c r="AK850" s="172"/>
      <c r="AL850" s="172"/>
      <c r="AM850" s="172"/>
      <c r="AN850" s="172"/>
      <c r="AO850" s="172"/>
      <c r="AP850" s="172"/>
      <c r="AQ850" s="172"/>
      <c r="AR850" s="172"/>
      <c r="AS850" s="172"/>
      <c r="AT850" s="173"/>
      <c r="AU850" s="174"/>
      <c r="AV850" s="174"/>
      <c r="AW850" s="174"/>
      <c r="AX850" s="174"/>
      <c r="AY850" s="174"/>
      <c r="AZ850" s="174"/>
      <c r="BA850" s="174"/>
      <c r="BB850" s="174"/>
      <c r="BC850" s="174"/>
      <c r="BD850" s="174"/>
      <c r="BE850" s="174"/>
      <c r="BF850" s="174"/>
      <c r="BG850" s="174"/>
      <c r="BH850" s="174"/>
      <c r="BI850" s="174"/>
      <c r="BJ850" s="174"/>
      <c r="BK850" s="174"/>
      <c r="BL850" s="174"/>
      <c r="BM850" s="174"/>
      <c r="BN850" s="174"/>
      <c r="BO850" s="174"/>
      <c r="BP850" s="174"/>
      <c r="BQ850" s="174"/>
      <c r="BR850" s="175"/>
      <c r="BS850" s="147"/>
    </row>
    <row r="851">
      <c r="I851" s="128"/>
      <c r="J851" s="129"/>
      <c r="K851" s="129"/>
      <c r="S851" s="170"/>
      <c r="T851" s="171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  <c r="AE851" s="172"/>
      <c r="AF851" s="172"/>
      <c r="AG851" s="172"/>
      <c r="AH851" s="172"/>
      <c r="AI851" s="172"/>
      <c r="AJ851" s="172"/>
      <c r="AK851" s="172"/>
      <c r="AL851" s="172"/>
      <c r="AM851" s="172"/>
      <c r="AN851" s="172"/>
      <c r="AO851" s="172"/>
      <c r="AP851" s="172"/>
      <c r="AQ851" s="172"/>
      <c r="AR851" s="172"/>
      <c r="AS851" s="172"/>
      <c r="AT851" s="173"/>
      <c r="AU851" s="174"/>
      <c r="AV851" s="174"/>
      <c r="AW851" s="174"/>
      <c r="AX851" s="174"/>
      <c r="AY851" s="174"/>
      <c r="AZ851" s="174"/>
      <c r="BA851" s="174"/>
      <c r="BB851" s="174"/>
      <c r="BC851" s="174"/>
      <c r="BD851" s="174"/>
      <c r="BE851" s="174"/>
      <c r="BF851" s="174"/>
      <c r="BG851" s="174"/>
      <c r="BH851" s="174"/>
      <c r="BI851" s="174"/>
      <c r="BJ851" s="174"/>
      <c r="BK851" s="174"/>
      <c r="BL851" s="174"/>
      <c r="BM851" s="174"/>
      <c r="BN851" s="174"/>
      <c r="BO851" s="174"/>
      <c r="BP851" s="174"/>
      <c r="BQ851" s="174"/>
      <c r="BR851" s="175"/>
      <c r="BS851" s="147"/>
    </row>
  </sheetData>
  <mergeCells count="9">
    <mergeCell ref="E15:G16"/>
    <mergeCell ref="C17:F18"/>
    <mergeCell ref="K2:L2"/>
    <mergeCell ref="U2:V2"/>
    <mergeCell ref="N6:O6"/>
    <mergeCell ref="P6:Q6"/>
    <mergeCell ref="E8:E9"/>
    <mergeCell ref="E10:E11"/>
    <mergeCell ref="E12:E14"/>
  </mergeCells>
  <conditionalFormatting sqref="O7:O626">
    <cfRule type="cellIs" dxfId="0" priority="1" operator="greaterThan">
      <formula>0</formula>
    </cfRule>
  </conditionalFormatting>
  <conditionalFormatting sqref="O7:O626">
    <cfRule type="cellIs" dxfId="1" priority="2" operator="lessThanOrEqual">
      <formula>0</formula>
    </cfRule>
  </conditionalFormatting>
  <conditionalFormatting sqref="Q7:Q626">
    <cfRule type="cellIs" dxfId="0" priority="3" operator="greaterThan">
      <formula>0</formula>
    </cfRule>
  </conditionalFormatting>
  <conditionalFormatting sqref="Q7:Q626">
    <cfRule type="cellIs" dxfId="1" priority="4" operator="lessThanOrEqual">
      <formula>0</formula>
    </cfRule>
  </conditionalFormatting>
  <dataValidations>
    <dataValidation type="list" allowBlank="1" sqref="E19:E42">
      <formula1>"Maior,Menor"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3" max="3" width="29.5"/>
  </cols>
  <sheetData>
    <row r="1">
      <c r="A1" s="82" t="s">
        <v>500</v>
      </c>
    </row>
    <row r="2">
      <c r="A2" s="82" t="str">
        <f>IFERROR(__xludf.DUMMYFUNCTION("IMPORTXML(""http://bvmf.bmfbovespa.com.br/Fundos-Listados/FundosListadosDetalhe.aspx?Sigla=""&amp;left(A1,4)&amp;""&amp;tipoFundo=Imobiliario&amp;aba=abaEventosCorporativos&amp;idioma=pt-br"",""//table[@id='ctl00_contentPlaceHolderConteudo_ucEventosCorporativos_grdDividendo_"&amp;"ctl01']//tr"")"),"#N/A")</f>
        <v>#N/A</v>
      </c>
      <c r="B2" s="117" t="str">
        <f>IFERROR(__xludf.DUMMYFUNCTION("ImportXML(""https://www.infomoney.com.br/cotacoes/taesa-taee11/"",""/html/body/div[4]/div/div[1]/div[1]/div/div[3]/div[1]/p"")"),"#N/A")</f>
        <v>#N/A</v>
      </c>
      <c r="C2" s="117" t="str">
        <f>IFERROR(__xludf.DUMMYFUNCTION("GOOGLEFINANCE(B2,""price"")"),"#N/A")</f>
        <v>#N/A</v>
      </c>
      <c r="D2" s="117" t="str">
        <f>IFERROR(__xludf.DUMMYFUNCTION("GOOGLEFINANCE(C2,""price"")"),"#N/A")</f>
        <v>#N/A</v>
      </c>
      <c r="E2" s="117" t="str">
        <f>IFERROR(__xludf.DUMMYFUNCTION("GOOGLEFINANCE(D2,""price"")"),"#N/A")</f>
        <v>#N/A</v>
      </c>
      <c r="F2" s="117" t="str">
        <f>IFERROR(__xludf.DUMMYFUNCTION("GOOGLEFINANCE(E2,""price"")"),"#N/A")</f>
        <v>#N/A</v>
      </c>
      <c r="G2" s="117" t="str">
        <f>IFERROR(__xludf.DUMMYFUNCTION("GOOGLEFINANCE(F2,""price"")"),"#N/A")</f>
        <v>#N/A</v>
      </c>
      <c r="H2" s="117" t="str">
        <f>IFERROR(__xludf.DUMMYFUNCTION("GOOGLEFINANCE(G2,""price"")"),"#N/A")</f>
        <v>#N/A</v>
      </c>
      <c r="I2" s="117" t="str">
        <f>IFERROR(__xludf.DUMMYFUNCTION("GOOGLEFINANCE(H2,""price"")"),"#N/A")</f>
        <v>#N/A</v>
      </c>
    </row>
    <row r="3">
      <c r="B3" s="189"/>
    </row>
    <row r="4">
      <c r="B4" s="95" t="s">
        <v>1749</v>
      </c>
      <c r="C4" s="95" t="s">
        <v>1750</v>
      </c>
    </row>
    <row r="5">
      <c r="A5" s="82" t="s">
        <v>1743</v>
      </c>
      <c r="B5" s="82" t="s">
        <v>1751</v>
      </c>
    </row>
    <row r="6">
      <c r="B6" s="82" t="s">
        <v>1752</v>
      </c>
      <c r="C6" s="190" t="s">
        <v>1753</v>
      </c>
    </row>
    <row r="12">
      <c r="C12" s="82">
        <v>1.0</v>
      </c>
    </row>
  </sheetData>
  <hyperlinks>
    <hyperlink r:id="rId1" ref="C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9</v>
      </c>
      <c r="B1" s="82" t="s">
        <v>46</v>
      </c>
      <c r="C1" s="82" t="s">
        <v>17</v>
      </c>
      <c r="D1" s="82" t="s">
        <v>18</v>
      </c>
      <c r="E1" s="82" t="s">
        <v>19</v>
      </c>
      <c r="F1" s="82" t="s">
        <v>20</v>
      </c>
      <c r="G1" s="82" t="s">
        <v>21</v>
      </c>
      <c r="H1" s="82" t="s">
        <v>22</v>
      </c>
      <c r="I1" s="82" t="s">
        <v>23</v>
      </c>
      <c r="J1" s="82" t="s">
        <v>24</v>
      </c>
      <c r="K1" s="82" t="s">
        <v>25</v>
      </c>
      <c r="L1" s="82" t="s">
        <v>26</v>
      </c>
      <c r="M1" s="82" t="s">
        <v>27</v>
      </c>
      <c r="N1" s="82" t="s">
        <v>28</v>
      </c>
      <c r="O1" s="82" t="s">
        <v>29</v>
      </c>
      <c r="P1" s="82" t="s">
        <v>30</v>
      </c>
      <c r="Q1" s="82" t="s">
        <v>31</v>
      </c>
      <c r="R1" s="82" t="s">
        <v>32</v>
      </c>
      <c r="S1" s="82" t="s">
        <v>33</v>
      </c>
      <c r="T1" s="82" t="s">
        <v>34</v>
      </c>
      <c r="U1" s="82" t="s">
        <v>35</v>
      </c>
      <c r="V1" s="82" t="s">
        <v>36</v>
      </c>
      <c r="W1" s="82" t="s">
        <v>37</v>
      </c>
      <c r="X1" s="82" t="s">
        <v>38</v>
      </c>
      <c r="Y1" s="82" t="s">
        <v>39</v>
      </c>
      <c r="Z1" s="82" t="s">
        <v>40</v>
      </c>
      <c r="AA1" s="82" t="s">
        <v>47</v>
      </c>
      <c r="AB1" s="82" t="s">
        <v>48</v>
      </c>
      <c r="AC1" s="82" t="s">
        <v>49</v>
      </c>
      <c r="AD1" s="82" t="s">
        <v>50</v>
      </c>
    </row>
    <row r="2">
      <c r="A2" s="82" t="s">
        <v>51</v>
      </c>
      <c r="B2" s="82">
        <v>8.33</v>
      </c>
      <c r="D2" s="82">
        <v>-3.74</v>
      </c>
      <c r="E2" s="82">
        <v>0.97</v>
      </c>
      <c r="F2" s="82">
        <v>0.36</v>
      </c>
      <c r="G2" s="82">
        <v>30.1</v>
      </c>
      <c r="H2" s="82">
        <v>1.6</v>
      </c>
      <c r="I2" s="82">
        <v>-22.81</v>
      </c>
      <c r="J2" s="82">
        <v>53.26</v>
      </c>
      <c r="K2" s="82">
        <v>95.7</v>
      </c>
      <c r="L2" s="82">
        <v>40.9</v>
      </c>
      <c r="M2" s="82">
        <v>0.75</v>
      </c>
      <c r="N2" s="82">
        <v>0.85</v>
      </c>
      <c r="O2" s="82">
        <v>-4.41</v>
      </c>
      <c r="P2" s="82">
        <v>-0.46</v>
      </c>
      <c r="Q2" s="82">
        <v>0.74</v>
      </c>
      <c r="R2" s="82">
        <v>-25.92</v>
      </c>
      <c r="S2" s="82">
        <v>-9.58</v>
      </c>
      <c r="T2" s="82">
        <v>-0.51</v>
      </c>
      <c r="U2" s="82">
        <v>0.37</v>
      </c>
      <c r="V2" s="82">
        <v>0.62</v>
      </c>
      <c r="W2" s="82">
        <v>0.42</v>
      </c>
      <c r="X2" s="82">
        <v>0.13</v>
      </c>
      <c r="Z2" s="191">
        <v>1821671.3</v>
      </c>
      <c r="AA2" s="82">
        <v>8.58</v>
      </c>
      <c r="AB2" s="82">
        <v>-2.22</v>
      </c>
      <c r="AC2" s="82">
        <v>-0.04</v>
      </c>
      <c r="AD2" s="191">
        <v>1.01376943312E9</v>
      </c>
    </row>
    <row r="3">
      <c r="A3" s="82" t="s">
        <v>52</v>
      </c>
      <c r="B3" s="82">
        <v>23.24</v>
      </c>
      <c r="C3" s="82">
        <v>3.61</v>
      </c>
      <c r="D3" s="82">
        <v>5.66</v>
      </c>
      <c r="E3" s="82">
        <v>0.96</v>
      </c>
      <c r="F3" s="82">
        <v>0.1</v>
      </c>
      <c r="G3" s="82">
        <v>25.5</v>
      </c>
      <c r="H3" s="82">
        <v>17.06</v>
      </c>
      <c r="I3" s="82">
        <v>15.5</v>
      </c>
      <c r="J3" s="82">
        <v>5.14</v>
      </c>
      <c r="K3" s="82">
        <v>5.12</v>
      </c>
      <c r="N3" s="82">
        <v>0.88</v>
      </c>
      <c r="O3" s="82">
        <v>-2.68</v>
      </c>
      <c r="P3" s="82">
        <v>-0.1</v>
      </c>
      <c r="Q3" s="82">
        <v>0.05</v>
      </c>
      <c r="R3" s="82">
        <v>16.95</v>
      </c>
      <c r="S3" s="82">
        <v>1.73</v>
      </c>
      <c r="U3" s="82">
        <v>0.1</v>
      </c>
      <c r="V3" s="82">
        <v>0.91</v>
      </c>
      <c r="W3" s="82">
        <v>0.11</v>
      </c>
      <c r="X3" s="82">
        <v>18.7</v>
      </c>
      <c r="Y3" s="82">
        <v>17.8</v>
      </c>
      <c r="Z3" s="191">
        <v>1.41497233E7</v>
      </c>
      <c r="AA3" s="82">
        <v>24.15</v>
      </c>
      <c r="AB3" s="82">
        <v>4.09</v>
      </c>
      <c r="AC3" s="82">
        <v>-0.31</v>
      </c>
      <c r="AD3" s="191">
        <v>5.4613770128E9</v>
      </c>
    </row>
    <row r="4">
      <c r="A4" s="82" t="s">
        <v>53</v>
      </c>
      <c r="B4" s="82">
        <v>13.73</v>
      </c>
      <c r="C4" s="82">
        <v>5.33</v>
      </c>
      <c r="D4" s="82">
        <v>14.32</v>
      </c>
      <c r="E4" s="82">
        <v>2.39</v>
      </c>
      <c r="F4" s="82">
        <v>1.57</v>
      </c>
      <c r="G4" s="82">
        <v>50.3</v>
      </c>
      <c r="H4" s="82">
        <v>22.59</v>
      </c>
      <c r="I4" s="82">
        <v>18.29</v>
      </c>
      <c r="J4" s="82">
        <v>11.6</v>
      </c>
      <c r="K4" s="82">
        <v>10.86</v>
      </c>
      <c r="L4" s="82">
        <v>-0.75</v>
      </c>
      <c r="M4" s="82">
        <v>-0.15</v>
      </c>
      <c r="N4" s="82">
        <v>2.62</v>
      </c>
      <c r="O4" s="82">
        <v>58.27</v>
      </c>
      <c r="P4" s="82">
        <v>-2.15</v>
      </c>
      <c r="Q4" s="82">
        <v>1.11</v>
      </c>
      <c r="R4" s="82">
        <v>16.71</v>
      </c>
      <c r="S4" s="82">
        <v>10.94</v>
      </c>
      <c r="T4" s="82">
        <v>18.63</v>
      </c>
      <c r="U4" s="82">
        <v>0.65</v>
      </c>
      <c r="V4" s="82">
        <v>0.34</v>
      </c>
      <c r="W4" s="82">
        <v>0.6</v>
      </c>
      <c r="X4" s="82">
        <v>10.72</v>
      </c>
      <c r="Y4" s="82">
        <v>15.72</v>
      </c>
      <c r="Z4" s="191">
        <v>3.1468902355E8</v>
      </c>
      <c r="AA4" s="82">
        <v>5.73</v>
      </c>
      <c r="AB4" s="82">
        <v>0.96</v>
      </c>
      <c r="AC4" s="82">
        <v>0.95</v>
      </c>
      <c r="AD4" s="191">
        <v>2.1614259265648E11</v>
      </c>
    </row>
    <row r="5">
      <c r="A5" s="82" t="s">
        <v>54</v>
      </c>
      <c r="B5" s="82">
        <v>1.56</v>
      </c>
      <c r="D5" s="82">
        <v>-4.09</v>
      </c>
      <c r="E5" s="82">
        <v>-1.29</v>
      </c>
      <c r="F5" s="82">
        <v>105.12</v>
      </c>
      <c r="G5" s="82">
        <v>100.0</v>
      </c>
      <c r="H5" s="191">
        <v>-13548.48</v>
      </c>
      <c r="I5" s="191">
        <v>-18860.61</v>
      </c>
      <c r="J5" s="82">
        <v>-5.69</v>
      </c>
      <c r="K5" s="82">
        <v>-5.69</v>
      </c>
      <c r="L5" s="82">
        <v>0.0</v>
      </c>
      <c r="N5" s="82">
        <v>770.9</v>
      </c>
      <c r="O5" s="82">
        <v>-1.43</v>
      </c>
      <c r="P5" s="82">
        <v>-116.16</v>
      </c>
      <c r="Q5" s="82">
        <v>0.0</v>
      </c>
      <c r="R5" s="82">
        <v>-31.47</v>
      </c>
      <c r="S5" s="191">
        <v>-2571.9</v>
      </c>
      <c r="T5" s="82">
        <v>22.61</v>
      </c>
      <c r="U5" s="82">
        <v>-81.72</v>
      </c>
      <c r="V5" s="82">
        <v>82.72</v>
      </c>
      <c r="W5" s="82">
        <v>0.14</v>
      </c>
      <c r="AA5" s="82">
        <v>-1.21</v>
      </c>
      <c r="AB5" s="82">
        <v>-0.38</v>
      </c>
      <c r="AC5" s="82">
        <v>-0.58</v>
      </c>
      <c r="AD5" s="191">
        <v>2.54397702E7</v>
      </c>
    </row>
    <row r="6">
      <c r="A6" s="82" t="s">
        <v>55</v>
      </c>
      <c r="B6" s="82">
        <v>0.86</v>
      </c>
      <c r="D6" s="82">
        <v>-9.88</v>
      </c>
      <c r="E6" s="82">
        <v>1.33</v>
      </c>
      <c r="F6" s="82">
        <v>0.28</v>
      </c>
      <c r="G6" s="82">
        <v>12.62</v>
      </c>
      <c r="H6" s="82">
        <v>9.03</v>
      </c>
      <c r="I6" s="82">
        <v>-3.39</v>
      </c>
      <c r="J6" s="82">
        <v>3.71</v>
      </c>
      <c r="K6" s="82">
        <v>7.18</v>
      </c>
      <c r="L6" s="82">
        <v>3.51</v>
      </c>
      <c r="M6" s="82">
        <v>1.26</v>
      </c>
      <c r="N6" s="82">
        <v>0.34</v>
      </c>
      <c r="O6" s="82">
        <v>1.32</v>
      </c>
      <c r="P6" s="82">
        <v>-0.88</v>
      </c>
      <c r="Q6" s="82">
        <v>1.46</v>
      </c>
      <c r="R6" s="82">
        <v>-13.42</v>
      </c>
      <c r="S6" s="82">
        <v>-2.86</v>
      </c>
      <c r="T6" s="82">
        <v>10.53</v>
      </c>
      <c r="U6" s="82">
        <v>0.21</v>
      </c>
      <c r="V6" s="82">
        <v>0.79</v>
      </c>
      <c r="W6" s="82">
        <v>0.84</v>
      </c>
      <c r="Z6" s="191">
        <v>5996090.3</v>
      </c>
      <c r="AA6" s="82">
        <v>0.66</v>
      </c>
      <c r="AB6" s="82">
        <v>-0.09</v>
      </c>
      <c r="AC6" s="82">
        <v>-0.05</v>
      </c>
      <c r="AD6" s="191">
        <v>1.06846738238E9</v>
      </c>
    </row>
    <row r="7">
      <c r="A7" s="82" t="s">
        <v>56</v>
      </c>
      <c r="B7" s="82">
        <v>11.93</v>
      </c>
      <c r="D7" s="82">
        <v>45.51</v>
      </c>
      <c r="E7" s="82">
        <v>1.61</v>
      </c>
      <c r="F7" s="82">
        <v>0.36</v>
      </c>
      <c r="G7" s="82">
        <v>35.54</v>
      </c>
      <c r="H7" s="82">
        <v>28.78</v>
      </c>
      <c r="I7" s="82">
        <v>4.9</v>
      </c>
      <c r="J7" s="82">
        <v>7.75</v>
      </c>
      <c r="K7" s="82">
        <v>17.68</v>
      </c>
      <c r="L7" s="82">
        <v>9.96</v>
      </c>
      <c r="M7" s="82">
        <v>2.06</v>
      </c>
      <c r="N7" s="82">
        <v>2.23</v>
      </c>
      <c r="O7" s="82">
        <v>21.99</v>
      </c>
      <c r="P7" s="82">
        <v>-0.44</v>
      </c>
      <c r="Q7" s="82">
        <v>1.11</v>
      </c>
      <c r="R7" s="82">
        <v>3.53</v>
      </c>
      <c r="S7" s="82">
        <v>0.8</v>
      </c>
      <c r="T7" s="82">
        <v>5.04</v>
      </c>
      <c r="U7" s="82">
        <v>0.23</v>
      </c>
      <c r="V7" s="82">
        <v>0.72</v>
      </c>
      <c r="W7" s="82">
        <v>0.16</v>
      </c>
      <c r="Z7" s="191">
        <v>2.37346904E7</v>
      </c>
      <c r="AA7" s="82">
        <v>7.43</v>
      </c>
      <c r="AB7" s="82">
        <v>0.26</v>
      </c>
      <c r="AC7" s="82">
        <v>-0.67</v>
      </c>
      <c r="AD7" s="191">
        <v>7.15691572779E9</v>
      </c>
    </row>
    <row r="8">
      <c r="A8" s="82" t="s">
        <v>57</v>
      </c>
      <c r="B8" s="82">
        <v>8.44</v>
      </c>
      <c r="C8" s="82">
        <v>3.11</v>
      </c>
      <c r="D8" s="82">
        <v>17.38</v>
      </c>
      <c r="E8" s="82">
        <v>2.04</v>
      </c>
      <c r="F8" s="82">
        <v>1.7</v>
      </c>
      <c r="G8" s="82">
        <v>57.31</v>
      </c>
      <c r="H8" s="82">
        <v>45.58</v>
      </c>
      <c r="I8" s="82">
        <v>44.72</v>
      </c>
      <c r="J8" s="82">
        <v>17.05</v>
      </c>
      <c r="K8" s="82">
        <v>16.67</v>
      </c>
      <c r="L8" s="82">
        <v>-0.38</v>
      </c>
      <c r="M8" s="82">
        <v>-0.05</v>
      </c>
      <c r="N8" s="82">
        <v>7.77</v>
      </c>
      <c r="O8" s="82">
        <v>17.45</v>
      </c>
      <c r="P8" s="82">
        <v>-2.12</v>
      </c>
      <c r="Q8" s="82">
        <v>1.98</v>
      </c>
      <c r="R8" s="82">
        <v>11.71</v>
      </c>
      <c r="S8" s="82">
        <v>9.8</v>
      </c>
      <c r="T8" s="82">
        <v>10.57</v>
      </c>
      <c r="U8" s="82">
        <v>0.84</v>
      </c>
      <c r="V8" s="82">
        <v>0.16</v>
      </c>
      <c r="W8" s="82">
        <v>0.22</v>
      </c>
      <c r="X8" s="82">
        <v>24.96</v>
      </c>
      <c r="Y8" s="82">
        <v>19.61</v>
      </c>
      <c r="Z8" s="191">
        <v>7725.33</v>
      </c>
      <c r="AA8" s="82">
        <v>4.15</v>
      </c>
      <c r="AB8" s="82">
        <v>0.49</v>
      </c>
      <c r="AC8" s="82">
        <v>-0.24</v>
      </c>
      <c r="AD8" s="191">
        <v>5.32434868E8</v>
      </c>
    </row>
    <row r="9">
      <c r="A9" s="82" t="s">
        <v>58</v>
      </c>
      <c r="B9" s="82">
        <v>26.0</v>
      </c>
      <c r="C9" s="82">
        <v>12.38</v>
      </c>
      <c r="D9" s="82">
        <v>10.39</v>
      </c>
      <c r="E9" s="82">
        <v>1.21</v>
      </c>
      <c r="F9" s="82">
        <v>0.76</v>
      </c>
      <c r="G9" s="82">
        <v>30.65</v>
      </c>
      <c r="H9" s="82">
        <v>20.17</v>
      </c>
      <c r="I9" s="82">
        <v>20.86</v>
      </c>
      <c r="J9" s="82">
        <v>10.74</v>
      </c>
      <c r="K9" s="82">
        <v>12.58</v>
      </c>
      <c r="L9" s="82">
        <v>1.85</v>
      </c>
      <c r="M9" s="82">
        <v>0.21</v>
      </c>
      <c r="N9" s="82">
        <v>2.17</v>
      </c>
      <c r="O9" s="82">
        <v>3.71</v>
      </c>
      <c r="P9" s="82">
        <v>-1.23</v>
      </c>
      <c r="Q9" s="82">
        <v>2.14</v>
      </c>
      <c r="R9" s="82">
        <v>11.68</v>
      </c>
      <c r="S9" s="82">
        <v>7.31</v>
      </c>
      <c r="T9" s="82">
        <v>7.59</v>
      </c>
      <c r="U9" s="82">
        <v>0.63</v>
      </c>
      <c r="V9" s="82">
        <v>0.37</v>
      </c>
      <c r="W9" s="82">
        <v>0.35</v>
      </c>
      <c r="X9" s="82">
        <v>27.22</v>
      </c>
      <c r="Y9" s="82">
        <v>15.22</v>
      </c>
      <c r="Z9" s="191">
        <v>1.028266575E7</v>
      </c>
      <c r="AA9" s="82">
        <v>21.4</v>
      </c>
      <c r="AB9" s="82">
        <v>2.5</v>
      </c>
      <c r="AC9" s="82">
        <v>-0.24</v>
      </c>
      <c r="AD9" s="191">
        <v>2.6595011996E9</v>
      </c>
    </row>
    <row r="10">
      <c r="A10" s="82" t="s">
        <v>59</v>
      </c>
      <c r="B10" s="82">
        <v>3.44</v>
      </c>
      <c r="C10" s="82">
        <v>1.14</v>
      </c>
      <c r="D10" s="82">
        <v>-2.36</v>
      </c>
      <c r="E10" s="82">
        <v>0.58</v>
      </c>
      <c r="F10" s="82">
        <v>0.08</v>
      </c>
      <c r="G10" s="82">
        <v>12.31</v>
      </c>
      <c r="H10" s="82">
        <v>3.9</v>
      </c>
      <c r="I10" s="82">
        <v>-2.43</v>
      </c>
      <c r="J10" s="82">
        <v>1.47</v>
      </c>
      <c r="K10" s="82">
        <v>4.07</v>
      </c>
      <c r="L10" s="82">
        <v>2.59</v>
      </c>
      <c r="M10" s="82">
        <v>1.03</v>
      </c>
      <c r="N10" s="82">
        <v>0.06</v>
      </c>
      <c r="O10" s="82">
        <v>2.6</v>
      </c>
      <c r="P10" s="82">
        <v>-0.35</v>
      </c>
      <c r="Q10" s="82">
        <v>1.04</v>
      </c>
      <c r="R10" s="82">
        <v>-24.61</v>
      </c>
      <c r="S10" s="82">
        <v>-3.22</v>
      </c>
      <c r="T10" s="82">
        <v>11.82</v>
      </c>
      <c r="U10" s="82">
        <v>0.13</v>
      </c>
      <c r="V10" s="82">
        <v>0.87</v>
      </c>
      <c r="W10" s="82">
        <v>1.33</v>
      </c>
      <c r="Z10" s="191">
        <v>488829.55</v>
      </c>
      <c r="AA10" s="82">
        <v>6.0</v>
      </c>
      <c r="AB10" s="82">
        <v>-1.48</v>
      </c>
      <c r="AC10" s="82">
        <v>-0.01</v>
      </c>
      <c r="AD10" s="191">
        <v>5.978874615E8</v>
      </c>
    </row>
    <row r="11">
      <c r="A11" s="82" t="s">
        <v>60</v>
      </c>
      <c r="B11" s="82">
        <v>15.5</v>
      </c>
      <c r="D11" s="82">
        <v>1.36</v>
      </c>
      <c r="E11" s="82">
        <v>7.93</v>
      </c>
      <c r="F11" s="82">
        <v>0.36</v>
      </c>
      <c r="G11" s="82">
        <v>33.84</v>
      </c>
      <c r="H11" s="82">
        <v>21.93</v>
      </c>
      <c r="I11" s="82">
        <v>17.66</v>
      </c>
      <c r="J11" s="82">
        <v>1.1</v>
      </c>
      <c r="K11" s="82">
        <v>1.07</v>
      </c>
      <c r="L11" s="82">
        <v>-0.02</v>
      </c>
      <c r="M11" s="82">
        <v>-0.17</v>
      </c>
      <c r="N11" s="82">
        <v>0.24</v>
      </c>
      <c r="O11" s="82">
        <v>2.31</v>
      </c>
      <c r="P11" s="82">
        <v>-0.63</v>
      </c>
      <c r="Q11" s="82">
        <v>1.55</v>
      </c>
      <c r="R11" s="82">
        <v>582.53</v>
      </c>
      <c r="S11" s="82">
        <v>26.18</v>
      </c>
      <c r="T11" s="82">
        <v>533.83</v>
      </c>
      <c r="U11" s="82">
        <v>0.04</v>
      </c>
      <c r="V11" s="82">
        <v>0.96</v>
      </c>
      <c r="W11" s="82">
        <v>1.48</v>
      </c>
      <c r="X11" s="82">
        <v>20.77</v>
      </c>
      <c r="Z11" s="191">
        <v>4721.33</v>
      </c>
      <c r="AA11" s="82">
        <v>1.95</v>
      </c>
      <c r="AB11" s="82">
        <v>11.39</v>
      </c>
      <c r="AC11" s="82">
        <v>0.0</v>
      </c>
      <c r="AD11" s="191">
        <v>1.3257861553E8</v>
      </c>
    </row>
    <row r="12">
      <c r="A12" s="82" t="s">
        <v>61</v>
      </c>
      <c r="B12" s="82">
        <v>16.59</v>
      </c>
      <c r="D12" s="82">
        <v>1.46</v>
      </c>
      <c r="E12" s="82">
        <v>8.49</v>
      </c>
      <c r="F12" s="82">
        <v>0.38</v>
      </c>
      <c r="G12" s="82">
        <v>33.84</v>
      </c>
      <c r="H12" s="82">
        <v>21.93</v>
      </c>
      <c r="I12" s="82">
        <v>17.66</v>
      </c>
      <c r="J12" s="82">
        <v>1.17</v>
      </c>
      <c r="K12" s="82">
        <v>1.07</v>
      </c>
      <c r="L12" s="82">
        <v>-0.02</v>
      </c>
      <c r="M12" s="82">
        <v>-0.17</v>
      </c>
      <c r="N12" s="82">
        <v>0.26</v>
      </c>
      <c r="O12" s="82">
        <v>2.48</v>
      </c>
      <c r="P12" s="82">
        <v>-0.67</v>
      </c>
      <c r="Q12" s="82">
        <v>1.55</v>
      </c>
      <c r="R12" s="82">
        <v>582.53</v>
      </c>
      <c r="S12" s="82">
        <v>26.18</v>
      </c>
      <c r="T12" s="82">
        <v>533.83</v>
      </c>
      <c r="U12" s="82">
        <v>0.04</v>
      </c>
      <c r="V12" s="82">
        <v>0.96</v>
      </c>
      <c r="W12" s="82">
        <v>1.48</v>
      </c>
      <c r="X12" s="82">
        <v>20.77</v>
      </c>
      <c r="Z12" s="191">
        <v>2203.0</v>
      </c>
      <c r="AA12" s="82">
        <v>1.95</v>
      </c>
      <c r="AB12" s="82">
        <v>11.39</v>
      </c>
      <c r="AC12" s="82">
        <v>0.0</v>
      </c>
      <c r="AD12" s="191">
        <v>1.3257861553E8</v>
      </c>
    </row>
    <row r="13">
      <c r="A13" s="82" t="s">
        <v>62</v>
      </c>
      <c r="B13" s="82">
        <v>17.02</v>
      </c>
      <c r="D13" s="82">
        <v>1.49</v>
      </c>
      <c r="E13" s="82">
        <v>8.71</v>
      </c>
      <c r="F13" s="82">
        <v>0.39</v>
      </c>
      <c r="G13" s="82">
        <v>33.84</v>
      </c>
      <c r="H13" s="82">
        <v>21.93</v>
      </c>
      <c r="I13" s="82">
        <v>17.66</v>
      </c>
      <c r="J13" s="82">
        <v>1.2</v>
      </c>
      <c r="K13" s="82">
        <v>1.07</v>
      </c>
      <c r="L13" s="82">
        <v>-0.02</v>
      </c>
      <c r="M13" s="82">
        <v>-0.17</v>
      </c>
      <c r="N13" s="82">
        <v>0.26</v>
      </c>
      <c r="O13" s="82">
        <v>2.54</v>
      </c>
      <c r="P13" s="82">
        <v>-0.69</v>
      </c>
      <c r="Q13" s="82">
        <v>1.55</v>
      </c>
      <c r="R13" s="82">
        <v>582.53</v>
      </c>
      <c r="S13" s="82">
        <v>26.18</v>
      </c>
      <c r="T13" s="82">
        <v>533.83</v>
      </c>
      <c r="U13" s="82">
        <v>0.04</v>
      </c>
      <c r="V13" s="82">
        <v>0.96</v>
      </c>
      <c r="W13" s="82">
        <v>1.48</v>
      </c>
      <c r="X13" s="82">
        <v>20.77</v>
      </c>
      <c r="Z13" s="191">
        <v>1702.0</v>
      </c>
      <c r="AA13" s="82">
        <v>1.95</v>
      </c>
      <c r="AB13" s="82">
        <v>11.39</v>
      </c>
      <c r="AC13" s="82">
        <v>0.0</v>
      </c>
      <c r="AD13" s="191">
        <v>1.3257861553E8</v>
      </c>
    </row>
    <row r="14">
      <c r="A14" s="82" t="s">
        <v>63</v>
      </c>
      <c r="B14" s="82">
        <v>7.5</v>
      </c>
      <c r="D14" s="82">
        <v>9.15</v>
      </c>
      <c r="E14" s="82">
        <v>0.45</v>
      </c>
      <c r="F14" s="82">
        <v>0.2</v>
      </c>
      <c r="G14" s="82">
        <v>12.55</v>
      </c>
      <c r="H14" s="82">
        <v>3.39</v>
      </c>
      <c r="I14" s="82">
        <v>1.31</v>
      </c>
      <c r="J14" s="82">
        <v>3.54</v>
      </c>
      <c r="K14" s="82">
        <v>4.8</v>
      </c>
      <c r="L14" s="82">
        <v>1.28</v>
      </c>
      <c r="M14" s="82">
        <v>0.16</v>
      </c>
      <c r="N14" s="82">
        <v>0.12</v>
      </c>
      <c r="O14" s="82">
        <v>0.69</v>
      </c>
      <c r="P14" s="82">
        <v>-0.65</v>
      </c>
      <c r="Q14" s="82">
        <v>1.73</v>
      </c>
      <c r="R14" s="82">
        <v>4.9</v>
      </c>
      <c r="S14" s="82">
        <v>2.2</v>
      </c>
      <c r="T14" s="82">
        <v>7.91</v>
      </c>
      <c r="U14" s="82">
        <v>0.45</v>
      </c>
      <c r="V14" s="82">
        <v>0.55</v>
      </c>
      <c r="W14" s="82">
        <v>1.67</v>
      </c>
      <c r="X14" s="82">
        <v>14.71</v>
      </c>
      <c r="Y14" s="82">
        <v>32.13</v>
      </c>
      <c r="Z14" s="191">
        <v>513978.4</v>
      </c>
      <c r="AA14" s="82">
        <v>16.66</v>
      </c>
      <c r="AB14" s="82">
        <v>0.82</v>
      </c>
      <c r="AC14" s="82">
        <v>2.99</v>
      </c>
      <c r="AD14" s="191">
        <v>6.9076451262E8</v>
      </c>
    </row>
    <row r="15">
      <c r="A15" s="82" t="s">
        <v>64</v>
      </c>
      <c r="B15" s="82">
        <v>25.73</v>
      </c>
      <c r="C15" s="82">
        <v>2.02</v>
      </c>
      <c r="D15" s="82">
        <v>4.71</v>
      </c>
      <c r="E15" s="82">
        <v>1.0</v>
      </c>
      <c r="F15" s="82">
        <v>0.53</v>
      </c>
      <c r="G15" s="82">
        <v>96.37</v>
      </c>
      <c r="H15" s="82">
        <v>264.05</v>
      </c>
      <c r="I15" s="82">
        <v>140.12</v>
      </c>
      <c r="J15" s="82">
        <v>2.5</v>
      </c>
      <c r="K15" s="82">
        <v>2.2</v>
      </c>
      <c r="L15" s="82">
        <v>-0.28</v>
      </c>
      <c r="M15" s="82">
        <v>-0.11</v>
      </c>
      <c r="N15" s="82">
        <v>6.6</v>
      </c>
      <c r="O15" s="82">
        <v>14.39</v>
      </c>
      <c r="P15" s="82">
        <v>-0.59</v>
      </c>
      <c r="Q15" s="82">
        <v>1.58</v>
      </c>
      <c r="R15" s="82">
        <v>21.32</v>
      </c>
      <c r="S15" s="82">
        <v>11.2</v>
      </c>
      <c r="T15" s="82">
        <v>27.21</v>
      </c>
      <c r="U15" s="82">
        <v>0.53</v>
      </c>
      <c r="V15" s="82">
        <v>0.43</v>
      </c>
      <c r="W15" s="82">
        <v>0.08</v>
      </c>
      <c r="X15" s="82">
        <v>25.65</v>
      </c>
      <c r="Y15" s="82">
        <v>86.64</v>
      </c>
      <c r="Z15" s="191">
        <v>9.793990645E7</v>
      </c>
      <c r="AA15" s="82">
        <v>25.62</v>
      </c>
      <c r="AB15" s="82">
        <v>5.46</v>
      </c>
      <c r="AC15" s="82">
        <v>0.0</v>
      </c>
      <c r="AD15" s="191">
        <v>1.464686991768E10</v>
      </c>
    </row>
    <row r="16">
      <c r="A16" s="82" t="s">
        <v>65</v>
      </c>
      <c r="B16" s="82">
        <v>10.0</v>
      </c>
      <c r="D16" s="82">
        <v>-24.26</v>
      </c>
      <c r="E16" s="82">
        <v>1.27</v>
      </c>
      <c r="F16" s="82">
        <v>0.86</v>
      </c>
      <c r="G16" s="82">
        <v>40.37</v>
      </c>
      <c r="H16" s="82">
        <v>-9.97</v>
      </c>
      <c r="I16" s="82">
        <v>-7.36</v>
      </c>
      <c r="J16" s="82">
        <v>-17.89</v>
      </c>
      <c r="K16" s="82">
        <v>-19.39</v>
      </c>
      <c r="L16" s="82">
        <v>-2.17</v>
      </c>
      <c r="M16" s="82">
        <v>0.15</v>
      </c>
      <c r="N16" s="82">
        <v>1.78</v>
      </c>
      <c r="O16" s="82">
        <v>3.07</v>
      </c>
      <c r="P16" s="82">
        <v>-1.42</v>
      </c>
      <c r="Q16" s="82">
        <v>3.51</v>
      </c>
      <c r="R16" s="82">
        <v>-5.22</v>
      </c>
      <c r="S16" s="82">
        <v>-3.56</v>
      </c>
      <c r="T16" s="82">
        <v>-8.0</v>
      </c>
      <c r="U16" s="82">
        <v>0.68</v>
      </c>
      <c r="V16" s="82">
        <v>0.32</v>
      </c>
      <c r="W16" s="82">
        <v>0.48</v>
      </c>
      <c r="X16" s="82">
        <v>2.36</v>
      </c>
      <c r="Z16" s="191">
        <v>51566.68</v>
      </c>
      <c r="AA16" s="82">
        <v>7.89</v>
      </c>
      <c r="AB16" s="82">
        <v>-0.41</v>
      </c>
      <c r="AC16" s="82">
        <v>0.15</v>
      </c>
      <c r="AD16" s="191">
        <v>6.57639408558E9</v>
      </c>
    </row>
    <row r="17">
      <c r="A17" s="82" t="s">
        <v>66</v>
      </c>
      <c r="B17" s="82">
        <v>9.16</v>
      </c>
      <c r="D17" s="82">
        <v>-22.2</v>
      </c>
      <c r="E17" s="82">
        <v>1.16</v>
      </c>
      <c r="F17" s="82">
        <v>0.79</v>
      </c>
      <c r="G17" s="82">
        <v>40.37</v>
      </c>
      <c r="H17" s="82">
        <v>-9.97</v>
      </c>
      <c r="I17" s="82">
        <v>-7.36</v>
      </c>
      <c r="J17" s="82">
        <v>-16.37</v>
      </c>
      <c r="K17" s="82">
        <v>-19.39</v>
      </c>
      <c r="L17" s="82">
        <v>-2.17</v>
      </c>
      <c r="M17" s="82">
        <v>0.15</v>
      </c>
      <c r="N17" s="82">
        <v>1.63</v>
      </c>
      <c r="O17" s="82">
        <v>2.81</v>
      </c>
      <c r="P17" s="82">
        <v>-1.3</v>
      </c>
      <c r="Q17" s="82">
        <v>3.51</v>
      </c>
      <c r="R17" s="82">
        <v>-5.22</v>
      </c>
      <c r="S17" s="82">
        <v>-3.56</v>
      </c>
      <c r="T17" s="82">
        <v>-8.0</v>
      </c>
      <c r="U17" s="82">
        <v>0.68</v>
      </c>
      <c r="V17" s="82">
        <v>0.32</v>
      </c>
      <c r="W17" s="82">
        <v>0.48</v>
      </c>
      <c r="X17" s="82">
        <v>2.36</v>
      </c>
      <c r="Z17" s="191">
        <v>3.666394835E7</v>
      </c>
      <c r="AA17" s="82">
        <v>7.89</v>
      </c>
      <c r="AB17" s="82">
        <v>-0.41</v>
      </c>
      <c r="AC17" s="82">
        <v>0.13</v>
      </c>
      <c r="AD17" s="191">
        <v>6.57639408558E9</v>
      </c>
    </row>
    <row r="18">
      <c r="A18" s="82" t="s">
        <v>67</v>
      </c>
      <c r="B18" s="82">
        <v>4.54</v>
      </c>
      <c r="D18" s="82">
        <v>-9.1</v>
      </c>
      <c r="E18" s="82">
        <v>2.59</v>
      </c>
      <c r="F18" s="82">
        <v>0.38</v>
      </c>
      <c r="G18" s="82">
        <v>29.9</v>
      </c>
      <c r="H18" s="82">
        <v>10.81</v>
      </c>
      <c r="I18" s="82">
        <v>-8.39</v>
      </c>
      <c r="J18" s="82">
        <v>7.06</v>
      </c>
      <c r="K18" s="82">
        <v>15.66</v>
      </c>
      <c r="L18" s="82">
        <v>8.65</v>
      </c>
      <c r="M18" s="82">
        <v>3.17</v>
      </c>
      <c r="N18" s="82">
        <v>0.76</v>
      </c>
      <c r="O18" s="82">
        <v>-3.29</v>
      </c>
      <c r="P18" s="82">
        <v>-0.45</v>
      </c>
      <c r="Q18" s="82">
        <v>0.55</v>
      </c>
      <c r="R18" s="82">
        <v>-28.46</v>
      </c>
      <c r="S18" s="82">
        <v>-4.21</v>
      </c>
      <c r="T18" s="82">
        <v>7.28</v>
      </c>
      <c r="U18" s="82">
        <v>0.15</v>
      </c>
      <c r="V18" s="82">
        <v>0.85</v>
      </c>
      <c r="W18" s="82">
        <v>0.5</v>
      </c>
      <c r="X18" s="82">
        <v>3.17</v>
      </c>
      <c r="Z18" s="191">
        <v>1015049.4</v>
      </c>
      <c r="AA18" s="82">
        <v>1.75</v>
      </c>
      <c r="AB18" s="82">
        <v>-0.5</v>
      </c>
      <c r="AC18" s="82">
        <v>0.26</v>
      </c>
      <c r="AD18" s="191">
        <v>9.7877835275E8</v>
      </c>
    </row>
    <row r="19">
      <c r="A19" s="82" t="s">
        <v>1754</v>
      </c>
      <c r="B19" s="82">
        <v>27.75</v>
      </c>
      <c r="D19" s="82">
        <v>38.57</v>
      </c>
      <c r="E19" s="82">
        <v>2.2</v>
      </c>
      <c r="F19" s="82">
        <v>1.2</v>
      </c>
      <c r="G19" s="82">
        <v>75.71</v>
      </c>
      <c r="H19" s="82">
        <v>65.32</v>
      </c>
      <c r="I19" s="82">
        <v>27.78</v>
      </c>
      <c r="J19" s="82">
        <v>16.41</v>
      </c>
      <c r="K19" s="82">
        <v>14.85</v>
      </c>
      <c r="L19" s="82">
        <v>-1.56</v>
      </c>
      <c r="M19" s="82">
        <v>-0.21</v>
      </c>
      <c r="N19" s="82">
        <v>10.72</v>
      </c>
      <c r="O19" s="82">
        <v>9.41</v>
      </c>
      <c r="P19" s="82">
        <v>-1.43</v>
      </c>
      <c r="Q19" s="82">
        <v>5.39</v>
      </c>
      <c r="R19" s="82">
        <v>5.69</v>
      </c>
      <c r="S19" s="82">
        <v>3.12</v>
      </c>
      <c r="T19" s="82">
        <v>11.21</v>
      </c>
      <c r="U19" s="82">
        <v>0.55</v>
      </c>
      <c r="V19" s="82">
        <v>0.44</v>
      </c>
      <c r="W19" s="82">
        <v>0.11</v>
      </c>
      <c r="X19" s="82">
        <v>2.54</v>
      </c>
      <c r="Y19" s="82">
        <v>19.34</v>
      </c>
      <c r="AA19" s="82">
        <v>12.64</v>
      </c>
      <c r="AB19" s="82">
        <v>0.72</v>
      </c>
      <c r="AC19" s="82">
        <v>0.58</v>
      </c>
      <c r="AD19" s="191">
        <v>5.69424230775E9</v>
      </c>
    </row>
    <row r="20">
      <c r="A20" s="82" t="s">
        <v>68</v>
      </c>
      <c r="B20" s="82">
        <v>30.5</v>
      </c>
      <c r="C20" s="82">
        <v>5.9</v>
      </c>
      <c r="D20" s="82">
        <v>12.49</v>
      </c>
      <c r="E20" s="82">
        <v>1.23</v>
      </c>
      <c r="F20" s="82">
        <v>0.33</v>
      </c>
      <c r="G20" s="82">
        <v>75.83</v>
      </c>
      <c r="H20" s="82">
        <v>71.87</v>
      </c>
      <c r="I20" s="82">
        <v>23.53</v>
      </c>
      <c r="J20" s="82">
        <v>4.09</v>
      </c>
      <c r="K20" s="82">
        <v>7.99</v>
      </c>
      <c r="L20" s="82">
        <v>3.91</v>
      </c>
      <c r="M20" s="82">
        <v>1.18</v>
      </c>
      <c r="N20" s="82">
        <v>2.94</v>
      </c>
      <c r="O20" s="82">
        <v>3.66</v>
      </c>
      <c r="P20" s="82">
        <v>-0.41</v>
      </c>
      <c r="Q20" s="82">
        <v>1.89</v>
      </c>
      <c r="R20" s="82">
        <v>9.87</v>
      </c>
      <c r="S20" s="82">
        <v>2.63</v>
      </c>
      <c r="T20" s="82">
        <v>9.39</v>
      </c>
      <c r="U20" s="82">
        <v>0.27</v>
      </c>
      <c r="V20" s="82">
        <v>0.62</v>
      </c>
      <c r="W20" s="82">
        <v>0.11</v>
      </c>
      <c r="X20" s="82">
        <v>20.04</v>
      </c>
      <c r="Y20" s="82">
        <v>17.61</v>
      </c>
      <c r="Z20" s="191">
        <v>1.69741822E7</v>
      </c>
      <c r="AA20" s="82">
        <v>24.75</v>
      </c>
      <c r="AB20" s="82">
        <v>2.44</v>
      </c>
      <c r="AC20" s="82">
        <v>-0.59</v>
      </c>
      <c r="AD20" s="191">
        <v>9.27075563856E9</v>
      </c>
    </row>
    <row r="21">
      <c r="A21" s="82" t="s">
        <v>69</v>
      </c>
      <c r="B21" s="82">
        <v>10.2</v>
      </c>
      <c r="C21" s="82">
        <v>5.88</v>
      </c>
      <c r="D21" s="82">
        <v>12.52</v>
      </c>
      <c r="E21" s="82">
        <v>1.24</v>
      </c>
      <c r="F21" s="82">
        <v>0.33</v>
      </c>
      <c r="G21" s="82">
        <v>75.83</v>
      </c>
      <c r="H21" s="82">
        <v>71.87</v>
      </c>
      <c r="I21" s="82">
        <v>23.53</v>
      </c>
      <c r="J21" s="82">
        <v>4.1</v>
      </c>
      <c r="K21" s="82">
        <v>7.99</v>
      </c>
      <c r="L21" s="82">
        <v>3.91</v>
      </c>
      <c r="M21" s="82">
        <v>1.18</v>
      </c>
      <c r="N21" s="82">
        <v>2.95</v>
      </c>
      <c r="O21" s="82">
        <v>3.67</v>
      </c>
      <c r="P21" s="82">
        <v>-0.41</v>
      </c>
      <c r="Q21" s="82">
        <v>1.89</v>
      </c>
      <c r="R21" s="82">
        <v>9.87</v>
      </c>
      <c r="S21" s="82">
        <v>2.63</v>
      </c>
      <c r="T21" s="82">
        <v>9.39</v>
      </c>
      <c r="U21" s="82">
        <v>0.27</v>
      </c>
      <c r="V21" s="82">
        <v>0.62</v>
      </c>
      <c r="W21" s="82">
        <v>0.11</v>
      </c>
      <c r="X21" s="82">
        <v>20.04</v>
      </c>
      <c r="Y21" s="82">
        <v>17.61</v>
      </c>
      <c r="Z21" s="191">
        <v>107328.9</v>
      </c>
      <c r="AA21" s="82">
        <v>8.25</v>
      </c>
      <c r="AB21" s="82">
        <v>0.81</v>
      </c>
      <c r="AC21" s="82">
        <v>-0.59</v>
      </c>
      <c r="AD21" s="191">
        <v>9.27075563856E9</v>
      </c>
    </row>
    <row r="22">
      <c r="A22" s="82" t="s">
        <v>70</v>
      </c>
      <c r="B22" s="82">
        <v>10.13</v>
      </c>
      <c r="C22" s="82">
        <v>5.92</v>
      </c>
      <c r="D22" s="82">
        <v>12.44</v>
      </c>
      <c r="E22" s="82">
        <v>1.23</v>
      </c>
      <c r="F22" s="82">
        <v>0.33</v>
      </c>
      <c r="G22" s="82">
        <v>75.83</v>
      </c>
      <c r="H22" s="82">
        <v>71.87</v>
      </c>
      <c r="I22" s="82">
        <v>23.53</v>
      </c>
      <c r="J22" s="82">
        <v>4.07</v>
      </c>
      <c r="K22" s="82">
        <v>7.99</v>
      </c>
      <c r="L22" s="82">
        <v>3.91</v>
      </c>
      <c r="M22" s="82">
        <v>1.18</v>
      </c>
      <c r="N22" s="82">
        <v>2.93</v>
      </c>
      <c r="O22" s="82">
        <v>3.65</v>
      </c>
      <c r="P22" s="82">
        <v>-0.4</v>
      </c>
      <c r="Q22" s="82">
        <v>1.89</v>
      </c>
      <c r="R22" s="82">
        <v>9.87</v>
      </c>
      <c r="S22" s="82">
        <v>2.63</v>
      </c>
      <c r="T22" s="82">
        <v>9.39</v>
      </c>
      <c r="U22" s="82">
        <v>0.27</v>
      </c>
      <c r="V22" s="82">
        <v>0.62</v>
      </c>
      <c r="W22" s="82">
        <v>0.11</v>
      </c>
      <c r="X22" s="82">
        <v>20.04</v>
      </c>
      <c r="Y22" s="82">
        <v>17.61</v>
      </c>
      <c r="Z22" s="191">
        <v>198910.55</v>
      </c>
      <c r="AA22" s="82">
        <v>8.25</v>
      </c>
      <c r="AB22" s="82">
        <v>0.81</v>
      </c>
      <c r="AC22" s="82">
        <v>-0.58</v>
      </c>
      <c r="AD22" s="191">
        <v>9.27075563856E9</v>
      </c>
    </row>
    <row r="23">
      <c r="A23" s="82" t="s">
        <v>71</v>
      </c>
      <c r="B23" s="82">
        <v>3.46</v>
      </c>
      <c r="D23" s="82">
        <v>-0.4</v>
      </c>
      <c r="E23" s="82">
        <v>2.2</v>
      </c>
      <c r="F23" s="82">
        <v>0.1</v>
      </c>
      <c r="G23" s="82">
        <v>35.54</v>
      </c>
      <c r="H23" s="82">
        <v>-16.35</v>
      </c>
      <c r="I23" s="82">
        <v>-26.68</v>
      </c>
      <c r="J23" s="82">
        <v>-0.65</v>
      </c>
      <c r="K23" s="82">
        <v>-3.69</v>
      </c>
      <c r="L23" s="82">
        <v>-3.04</v>
      </c>
      <c r="M23" s="82">
        <v>10.33</v>
      </c>
      <c r="N23" s="82">
        <v>0.11</v>
      </c>
      <c r="O23" s="82">
        <v>-0.72</v>
      </c>
      <c r="P23" s="82">
        <v>-0.16</v>
      </c>
      <c r="Q23" s="82">
        <v>0.75</v>
      </c>
      <c r="R23" s="82">
        <v>-554.09</v>
      </c>
      <c r="S23" s="82">
        <v>-24.09</v>
      </c>
      <c r="T23" s="82">
        <v>-27.15</v>
      </c>
      <c r="U23" s="82">
        <v>0.04</v>
      </c>
      <c r="V23" s="82">
        <v>0.96</v>
      </c>
      <c r="W23" s="82">
        <v>0.9</v>
      </c>
      <c r="X23" s="82">
        <v>-0.89</v>
      </c>
      <c r="Z23" s="191">
        <v>2475208.1</v>
      </c>
      <c r="AA23" s="82">
        <v>1.57</v>
      </c>
      <c r="AB23" s="82">
        <v>-8.71</v>
      </c>
      <c r="AC23" s="82">
        <v>0.0</v>
      </c>
      <c r="AD23" s="191">
        <v>2.3724729372E8</v>
      </c>
    </row>
    <row r="24">
      <c r="A24" s="82" t="s">
        <v>72</v>
      </c>
      <c r="B24" s="82">
        <v>15.32</v>
      </c>
      <c r="C24" s="82">
        <v>0.88</v>
      </c>
      <c r="D24" s="82">
        <v>-20.18</v>
      </c>
      <c r="E24" s="82">
        <v>2.59</v>
      </c>
      <c r="F24" s="82">
        <v>0.24</v>
      </c>
      <c r="G24" s="82">
        <v>23.51</v>
      </c>
      <c r="H24" s="82">
        <v>18.46</v>
      </c>
      <c r="I24" s="82">
        <v>-2.69</v>
      </c>
      <c r="J24" s="82">
        <v>2.94</v>
      </c>
      <c r="K24" s="82">
        <v>8.13</v>
      </c>
      <c r="L24" s="82">
        <v>5.19</v>
      </c>
      <c r="M24" s="82">
        <v>4.56</v>
      </c>
      <c r="N24" s="82">
        <v>0.54</v>
      </c>
      <c r="O24" s="82">
        <v>1.02</v>
      </c>
      <c r="P24" s="82">
        <v>-0.42</v>
      </c>
      <c r="Q24" s="82">
        <v>2.3</v>
      </c>
      <c r="R24" s="82">
        <v>-12.82</v>
      </c>
      <c r="S24" s="82">
        <v>-1.21</v>
      </c>
      <c r="T24" s="82">
        <v>8.16</v>
      </c>
      <c r="U24" s="82">
        <v>0.09</v>
      </c>
      <c r="V24" s="82">
        <v>0.84</v>
      </c>
      <c r="W24" s="82">
        <v>0.45</v>
      </c>
      <c r="X24" s="82">
        <v>83.52</v>
      </c>
      <c r="Z24" s="191">
        <v>1.69788497E7</v>
      </c>
      <c r="AA24" s="82">
        <v>5.92</v>
      </c>
      <c r="AB24" s="82">
        <v>-0.76</v>
      </c>
      <c r="AC24" s="82">
        <v>0.08</v>
      </c>
      <c r="AD24" s="191">
        <v>2.56242227046E9</v>
      </c>
    </row>
    <row r="25">
      <c r="A25" s="82" t="s">
        <v>73</v>
      </c>
      <c r="B25" s="82">
        <v>0.91</v>
      </c>
      <c r="D25" s="82">
        <v>-0.06</v>
      </c>
      <c r="E25" s="82">
        <v>-0.03</v>
      </c>
      <c r="F25" s="82">
        <v>0.03</v>
      </c>
      <c r="G25" s="82">
        <v>19.46</v>
      </c>
      <c r="H25" s="82">
        <v>-30.26</v>
      </c>
      <c r="I25" s="82">
        <v>-50.03</v>
      </c>
      <c r="J25" s="82">
        <v>-0.1</v>
      </c>
      <c r="K25" s="82">
        <v>-2.24</v>
      </c>
      <c r="L25" s="82">
        <v>-2.14</v>
      </c>
      <c r="N25" s="82">
        <v>0.03</v>
      </c>
      <c r="O25" s="82">
        <v>-0.02</v>
      </c>
      <c r="P25" s="82">
        <v>-0.06</v>
      </c>
      <c r="Q25" s="82">
        <v>0.34</v>
      </c>
      <c r="R25" s="82">
        <v>-48.42</v>
      </c>
      <c r="S25" s="82">
        <v>-41.26</v>
      </c>
      <c r="T25" s="82">
        <v>202.73</v>
      </c>
      <c r="U25" s="82">
        <v>-0.85</v>
      </c>
      <c r="V25" s="82">
        <v>1.85</v>
      </c>
      <c r="W25" s="82">
        <v>0.82</v>
      </c>
      <c r="X25" s="82">
        <v>32.64</v>
      </c>
      <c r="Z25" s="191">
        <v>2.05964458E7</v>
      </c>
      <c r="AA25" s="82">
        <v>-29.55</v>
      </c>
      <c r="AB25" s="82">
        <v>-14.31</v>
      </c>
      <c r="AC25" s="82">
        <v>0.0</v>
      </c>
      <c r="AD25" s="191">
        <v>8.122765527E8</v>
      </c>
    </row>
    <row r="26">
      <c r="A26" s="82" t="s">
        <v>1755</v>
      </c>
      <c r="B26" s="82">
        <v>28.82</v>
      </c>
      <c r="D26" s="82">
        <v>59.95</v>
      </c>
      <c r="E26" s="82">
        <v>2.23</v>
      </c>
      <c r="F26" s="82">
        <v>1.88</v>
      </c>
      <c r="G26" s="82">
        <v>47.12</v>
      </c>
      <c r="H26" s="82">
        <v>179.06</v>
      </c>
      <c r="I26" s="82">
        <v>45.82</v>
      </c>
      <c r="J26" s="82">
        <v>15.34</v>
      </c>
      <c r="K26" s="82">
        <v>8.6</v>
      </c>
      <c r="L26" s="82">
        <v>0.93</v>
      </c>
      <c r="M26" s="82">
        <v>0.13</v>
      </c>
      <c r="N26" s="82">
        <v>27.47</v>
      </c>
      <c r="O26" s="82">
        <v>-25.32</v>
      </c>
      <c r="P26" s="82">
        <v>-1.93</v>
      </c>
      <c r="Q26" s="82">
        <v>0.26</v>
      </c>
      <c r="R26" s="82">
        <v>3.71</v>
      </c>
      <c r="S26" s="82">
        <v>3.14</v>
      </c>
      <c r="T26" s="82">
        <v>12.68</v>
      </c>
      <c r="U26" s="82">
        <v>0.85</v>
      </c>
      <c r="V26" s="82">
        <v>0.15</v>
      </c>
      <c r="W26" s="82">
        <v>0.07</v>
      </c>
      <c r="X26" s="82">
        <v>10.22</v>
      </c>
      <c r="Y26" s="82">
        <v>-38.09</v>
      </c>
      <c r="AA26" s="82">
        <v>12.94</v>
      </c>
      <c r="AB26" s="82">
        <v>0.48</v>
      </c>
      <c r="AC26" s="82">
        <v>-0.78</v>
      </c>
      <c r="AD26" s="191">
        <v>1.65186798568E9</v>
      </c>
    </row>
    <row r="27">
      <c r="A27" s="82" t="s">
        <v>1756</v>
      </c>
      <c r="B27" s="82">
        <v>0.0</v>
      </c>
      <c r="D27" s="82">
        <v>0.0</v>
      </c>
      <c r="E27" s="82">
        <v>0.0</v>
      </c>
      <c r="F27" s="82">
        <v>0.0</v>
      </c>
      <c r="G27" s="82">
        <v>47.12</v>
      </c>
      <c r="H27" s="82">
        <v>179.06</v>
      </c>
      <c r="I27" s="82">
        <v>45.82</v>
      </c>
      <c r="J27" s="82">
        <v>0.0</v>
      </c>
      <c r="K27" s="82">
        <v>8.6</v>
      </c>
      <c r="L27" s="82">
        <v>0.93</v>
      </c>
      <c r="M27" s="82">
        <v>0.13</v>
      </c>
      <c r="N27" s="82">
        <v>0.0</v>
      </c>
      <c r="O27" s="82">
        <v>0.0</v>
      </c>
      <c r="P27" s="82">
        <v>0.0</v>
      </c>
      <c r="Q27" s="82">
        <v>0.26</v>
      </c>
      <c r="R27" s="82">
        <v>3.71</v>
      </c>
      <c r="S27" s="82">
        <v>3.14</v>
      </c>
      <c r="T27" s="82">
        <v>12.68</v>
      </c>
      <c r="U27" s="82">
        <v>0.85</v>
      </c>
      <c r="V27" s="82">
        <v>0.15</v>
      </c>
      <c r="W27" s="82">
        <v>0.07</v>
      </c>
      <c r="X27" s="82">
        <v>10.22</v>
      </c>
      <c r="Y27" s="82">
        <v>-38.09</v>
      </c>
      <c r="AA27" s="82">
        <v>12.94</v>
      </c>
      <c r="AB27" s="82">
        <v>0.48</v>
      </c>
      <c r="AC27" s="82">
        <v>0.0</v>
      </c>
      <c r="AD27" s="191">
        <v>1.65186798568E9</v>
      </c>
    </row>
    <row r="28">
      <c r="A28" s="82" t="s">
        <v>75</v>
      </c>
      <c r="B28" s="82">
        <v>4.29</v>
      </c>
      <c r="D28" s="82">
        <v>-18.61</v>
      </c>
      <c r="E28" s="82">
        <v>0.68</v>
      </c>
      <c r="F28" s="82">
        <v>0.18</v>
      </c>
      <c r="G28" s="82">
        <v>57.97</v>
      </c>
      <c r="H28" s="82">
        <v>10.96</v>
      </c>
      <c r="I28" s="82">
        <v>-2.54</v>
      </c>
      <c r="J28" s="82">
        <v>4.32</v>
      </c>
      <c r="K28" s="82">
        <v>14.22</v>
      </c>
      <c r="L28" s="82">
        <v>9.94</v>
      </c>
      <c r="M28" s="82">
        <v>1.57</v>
      </c>
      <c r="N28" s="82">
        <v>0.47</v>
      </c>
      <c r="O28" s="82">
        <v>9.93</v>
      </c>
      <c r="P28" s="82">
        <v>-0.22</v>
      </c>
      <c r="Q28" s="82">
        <v>1.1</v>
      </c>
      <c r="R28" s="82">
        <v>-3.66</v>
      </c>
      <c r="S28" s="82">
        <v>-0.94</v>
      </c>
      <c r="T28" s="82">
        <v>0.24</v>
      </c>
      <c r="U28" s="82">
        <v>0.26</v>
      </c>
      <c r="V28" s="82">
        <v>0.7</v>
      </c>
      <c r="W28" s="82">
        <v>0.37</v>
      </c>
      <c r="X28" s="82">
        <v>27.79</v>
      </c>
      <c r="Z28" s="191">
        <v>3.21226524E7</v>
      </c>
      <c r="AA28" s="82">
        <v>6.32</v>
      </c>
      <c r="AB28" s="82">
        <v>-0.23</v>
      </c>
      <c r="AC28" s="82">
        <v>0.25</v>
      </c>
      <c r="AD28" s="191">
        <v>1.7204811093E9</v>
      </c>
    </row>
    <row r="29">
      <c r="A29" s="82" t="s">
        <v>76</v>
      </c>
      <c r="B29" s="82">
        <v>43.45</v>
      </c>
      <c r="C29" s="82">
        <v>0.75</v>
      </c>
      <c r="D29" s="82">
        <v>33.5</v>
      </c>
      <c r="E29" s="82">
        <v>1.04</v>
      </c>
      <c r="F29" s="82">
        <v>0.61</v>
      </c>
      <c r="G29" s="82">
        <v>100.0</v>
      </c>
      <c r="H29" s="82">
        <v>11.0</v>
      </c>
      <c r="I29" s="82">
        <v>5.02</v>
      </c>
      <c r="J29" s="82">
        <v>15.3</v>
      </c>
      <c r="K29" s="82">
        <v>14.9</v>
      </c>
      <c r="L29" s="82">
        <v>-0.35</v>
      </c>
      <c r="M29" s="82">
        <v>-0.02</v>
      </c>
      <c r="N29" s="82">
        <v>1.68</v>
      </c>
      <c r="O29" s="82">
        <v>-27.98</v>
      </c>
      <c r="P29" s="82">
        <v>-0.76</v>
      </c>
      <c r="Q29" s="82">
        <v>0.9</v>
      </c>
      <c r="R29" s="82">
        <v>3.12</v>
      </c>
      <c r="S29" s="82">
        <v>1.82</v>
      </c>
      <c r="T29" s="82">
        <v>5.96</v>
      </c>
      <c r="U29" s="82">
        <v>0.58</v>
      </c>
      <c r="V29" s="82">
        <v>0.42</v>
      </c>
      <c r="W29" s="82">
        <v>0.36</v>
      </c>
      <c r="X29" s="82">
        <v>22.9</v>
      </c>
      <c r="Z29" s="191">
        <v>1831289.95</v>
      </c>
      <c r="AA29" s="82">
        <v>41.62</v>
      </c>
      <c r="AB29" s="82">
        <v>1.3</v>
      </c>
      <c r="AC29" s="82">
        <v>-1.37</v>
      </c>
      <c r="AD29" s="191">
        <v>4.9731940488E8</v>
      </c>
    </row>
    <row r="30">
      <c r="A30" s="82" t="s">
        <v>77</v>
      </c>
      <c r="B30" s="82">
        <v>197.64</v>
      </c>
      <c r="D30" s="82">
        <v>-0.12</v>
      </c>
      <c r="E30" s="82">
        <v>0.02</v>
      </c>
      <c r="F30" s="82">
        <v>0.01</v>
      </c>
      <c r="G30" s="82">
        <v>92.39</v>
      </c>
      <c r="H30" s="82">
        <v>-162.78</v>
      </c>
      <c r="I30" s="82">
        <v>-88.96</v>
      </c>
      <c r="J30" s="82">
        <v>-0.07</v>
      </c>
      <c r="K30" s="82">
        <v>-0.52</v>
      </c>
      <c r="L30" s="82">
        <v>0.27</v>
      </c>
      <c r="M30" s="82">
        <v>-0.07</v>
      </c>
      <c r="N30" s="82">
        <v>0.11</v>
      </c>
      <c r="O30" s="82">
        <v>0.02</v>
      </c>
      <c r="P30" s="82">
        <v>-0.01</v>
      </c>
      <c r="Q30" s="82">
        <v>9.26</v>
      </c>
      <c r="R30" s="82">
        <v>-14.45</v>
      </c>
      <c r="S30" s="82">
        <v>-6.44</v>
      </c>
      <c r="T30" s="82">
        <v>-28.38</v>
      </c>
      <c r="U30" s="82">
        <v>0.45</v>
      </c>
      <c r="V30" s="82">
        <v>0.55</v>
      </c>
      <c r="W30" s="82">
        <v>0.07</v>
      </c>
      <c r="X30" s="82">
        <v>4.07</v>
      </c>
      <c r="AA30" s="191">
        <v>11460.45</v>
      </c>
      <c r="AB30" s="191">
        <v>-1656.52</v>
      </c>
      <c r="AC30" s="82">
        <v>0.0</v>
      </c>
      <c r="AD30" s="191">
        <v>4.444275E7</v>
      </c>
    </row>
    <row r="31">
      <c r="A31" s="82" t="s">
        <v>78</v>
      </c>
      <c r="B31" s="191">
        <v>3500.0</v>
      </c>
      <c r="D31" s="82">
        <v>-2.11</v>
      </c>
      <c r="E31" s="82">
        <v>0.31</v>
      </c>
      <c r="F31" s="82">
        <v>0.14</v>
      </c>
      <c r="G31" s="82">
        <v>92.39</v>
      </c>
      <c r="H31" s="82">
        <v>-162.78</v>
      </c>
      <c r="I31" s="82">
        <v>-88.96</v>
      </c>
      <c r="J31" s="82">
        <v>-1.15</v>
      </c>
      <c r="K31" s="82">
        <v>-0.52</v>
      </c>
      <c r="L31" s="82">
        <v>0.27</v>
      </c>
      <c r="M31" s="82">
        <v>-0.07</v>
      </c>
      <c r="N31" s="82">
        <v>1.88</v>
      </c>
      <c r="O31" s="82">
        <v>0.38</v>
      </c>
      <c r="P31" s="82">
        <v>-0.23</v>
      </c>
      <c r="Q31" s="82">
        <v>9.26</v>
      </c>
      <c r="R31" s="82">
        <v>-14.45</v>
      </c>
      <c r="S31" s="82">
        <v>-6.44</v>
      </c>
      <c r="T31" s="82">
        <v>-28.38</v>
      </c>
      <c r="U31" s="82">
        <v>0.45</v>
      </c>
      <c r="V31" s="82">
        <v>0.55</v>
      </c>
      <c r="W31" s="82">
        <v>0.07</v>
      </c>
      <c r="X31" s="82">
        <v>4.07</v>
      </c>
      <c r="AA31" s="191">
        <v>11460.45</v>
      </c>
      <c r="AB31" s="191">
        <v>-1656.52</v>
      </c>
      <c r="AC31" s="82">
        <v>0.0</v>
      </c>
      <c r="AD31" s="191">
        <v>4.444275E7</v>
      </c>
    </row>
    <row r="32">
      <c r="A32" s="82" t="s">
        <v>79</v>
      </c>
      <c r="B32" s="82">
        <v>16.22</v>
      </c>
      <c r="C32" s="82">
        <v>0.21</v>
      </c>
      <c r="D32" s="82">
        <v>33.33</v>
      </c>
      <c r="E32" s="82">
        <v>4.63</v>
      </c>
      <c r="F32" s="82">
        <v>1.42</v>
      </c>
      <c r="G32" s="82">
        <v>48.07</v>
      </c>
      <c r="H32" s="82">
        <v>34.23</v>
      </c>
      <c r="I32" s="82">
        <v>13.57</v>
      </c>
      <c r="J32" s="82">
        <v>13.21</v>
      </c>
      <c r="K32" s="82">
        <v>16.22</v>
      </c>
      <c r="L32" s="82">
        <v>3.33</v>
      </c>
      <c r="M32" s="82">
        <v>1.17</v>
      </c>
      <c r="N32" s="82">
        <v>4.52</v>
      </c>
      <c r="O32" s="82">
        <v>8.32</v>
      </c>
      <c r="P32" s="82">
        <v>-2.05</v>
      </c>
      <c r="Q32" s="82">
        <v>2.22</v>
      </c>
      <c r="R32" s="82">
        <v>13.89</v>
      </c>
      <c r="S32" s="82">
        <v>4.25</v>
      </c>
      <c r="T32" s="82">
        <v>12.06</v>
      </c>
      <c r="U32" s="82">
        <v>0.31</v>
      </c>
      <c r="V32" s="82">
        <v>0.69</v>
      </c>
      <c r="W32" s="82">
        <v>0.31</v>
      </c>
      <c r="Z32" s="191">
        <v>9227890.9</v>
      </c>
      <c r="AA32" s="82">
        <v>3.51</v>
      </c>
      <c r="AB32" s="82">
        <v>0.49</v>
      </c>
      <c r="AC32" s="82">
        <v>0.98</v>
      </c>
      <c r="AD32" s="191">
        <v>5.47743392903E9</v>
      </c>
    </row>
    <row r="33">
      <c r="A33" s="82" t="s">
        <v>1708</v>
      </c>
      <c r="B33" s="82">
        <v>62.4</v>
      </c>
      <c r="C33" s="82">
        <v>3.11</v>
      </c>
      <c r="D33" s="82">
        <v>17.92</v>
      </c>
      <c r="E33" s="82">
        <v>2.38</v>
      </c>
      <c r="F33" s="82">
        <v>1.22</v>
      </c>
      <c r="G33" s="82">
        <v>53.6</v>
      </c>
      <c r="H33" s="82">
        <v>11.5</v>
      </c>
      <c r="I33" s="82">
        <v>8.13</v>
      </c>
      <c r="J33" s="82">
        <v>12.66</v>
      </c>
      <c r="K33" s="82">
        <v>13.51</v>
      </c>
      <c r="L33" s="82">
        <v>0.82</v>
      </c>
      <c r="M33" s="82">
        <v>0.16</v>
      </c>
      <c r="N33" s="82">
        <v>1.46</v>
      </c>
      <c r="O33" s="82">
        <v>13.5</v>
      </c>
      <c r="P33" s="82">
        <v>-2.34</v>
      </c>
      <c r="Q33" s="82">
        <v>1.23</v>
      </c>
      <c r="R33" s="82">
        <v>13.3</v>
      </c>
      <c r="S33" s="82">
        <v>6.83</v>
      </c>
      <c r="T33" s="82">
        <v>13.38</v>
      </c>
      <c r="U33" s="82">
        <v>0.51</v>
      </c>
      <c r="V33" s="82">
        <v>0.48</v>
      </c>
      <c r="W33" s="82">
        <v>0.84</v>
      </c>
      <c r="X33" s="82">
        <v>25.49</v>
      </c>
      <c r="Y33" s="82">
        <v>20.02</v>
      </c>
      <c r="Z33" s="191">
        <v>1.152159805E8</v>
      </c>
      <c r="AA33" s="82">
        <v>26.05</v>
      </c>
      <c r="AB33" s="82">
        <v>3.47</v>
      </c>
      <c r="AC33" s="82">
        <v>-1.19</v>
      </c>
      <c r="AD33" s="191">
        <v>6.90574839732E9</v>
      </c>
    </row>
    <row r="34">
      <c r="A34" s="82" t="s">
        <v>81</v>
      </c>
      <c r="B34" s="82">
        <v>12.87</v>
      </c>
      <c r="C34" s="82">
        <v>0.39</v>
      </c>
      <c r="D34" s="82">
        <v>18.59</v>
      </c>
      <c r="E34" s="82">
        <v>4.06</v>
      </c>
      <c r="F34" s="82">
        <v>0.42</v>
      </c>
      <c r="G34" s="82">
        <v>16.45</v>
      </c>
      <c r="H34" s="82">
        <v>5.04</v>
      </c>
      <c r="I34" s="82">
        <v>1.53</v>
      </c>
      <c r="J34" s="82">
        <v>5.62</v>
      </c>
      <c r="K34" s="82">
        <v>8.73</v>
      </c>
      <c r="L34" s="82">
        <v>3.1</v>
      </c>
      <c r="M34" s="82">
        <v>2.24</v>
      </c>
      <c r="N34" s="82">
        <v>0.28</v>
      </c>
      <c r="O34" s="82">
        <v>-5.14</v>
      </c>
      <c r="P34" s="82">
        <v>-0.62</v>
      </c>
      <c r="Q34" s="82">
        <v>0.79</v>
      </c>
      <c r="R34" s="82">
        <v>21.83</v>
      </c>
      <c r="S34" s="82">
        <v>2.28</v>
      </c>
      <c r="T34" s="82">
        <v>16.55</v>
      </c>
      <c r="U34" s="82">
        <v>0.1</v>
      </c>
      <c r="V34" s="82">
        <v>0.9</v>
      </c>
      <c r="W34" s="82">
        <v>1.5</v>
      </c>
      <c r="Z34" s="191">
        <v>1.405663013E8</v>
      </c>
      <c r="AA34" s="82">
        <v>3.2</v>
      </c>
      <c r="AB34" s="82">
        <v>0.7</v>
      </c>
      <c r="AC34" s="82">
        <v>-0.45</v>
      </c>
      <c r="AD34" s="191">
        <v>1.7587349932E10</v>
      </c>
    </row>
    <row r="35">
      <c r="A35" s="82" t="s">
        <v>1757</v>
      </c>
      <c r="B35" s="82">
        <v>4.66</v>
      </c>
      <c r="D35" s="82">
        <v>0.1</v>
      </c>
      <c r="E35" s="82">
        <v>-7.25</v>
      </c>
      <c r="F35" s="82">
        <v>0.08</v>
      </c>
      <c r="G35" s="82">
        <v>-31.36</v>
      </c>
      <c r="H35" s="82">
        <v>-45.63</v>
      </c>
      <c r="I35" s="82">
        <v>347.29</v>
      </c>
      <c r="J35" s="82">
        <v>-0.79</v>
      </c>
      <c r="K35" s="82">
        <v>-1.81</v>
      </c>
      <c r="L35" s="82">
        <v>-1.02</v>
      </c>
      <c r="N35" s="82">
        <v>0.36</v>
      </c>
      <c r="O35" s="82">
        <v>-6.97</v>
      </c>
      <c r="P35" s="82">
        <v>-0.11</v>
      </c>
      <c r="Q35" s="82">
        <v>0.96</v>
      </c>
      <c r="R35" s="191">
        <v>-6969.53</v>
      </c>
      <c r="S35" s="82">
        <v>76.61</v>
      </c>
      <c r="T35" s="82">
        <v>-72.03</v>
      </c>
      <c r="U35" s="82">
        <v>-0.01</v>
      </c>
      <c r="V35" s="82">
        <v>1.01</v>
      </c>
      <c r="W35" s="82">
        <v>0.22</v>
      </c>
      <c r="X35" s="82">
        <v>-16.95</v>
      </c>
      <c r="Z35" s="191">
        <v>185680.55</v>
      </c>
      <c r="AA35" s="82">
        <v>-0.63</v>
      </c>
      <c r="AB35" s="82">
        <v>43.76</v>
      </c>
      <c r="AC35" s="82">
        <v>0.0</v>
      </c>
      <c r="AD35" s="191">
        <v>1.215321198E8</v>
      </c>
    </row>
    <row r="36">
      <c r="A36" s="82" t="s">
        <v>1720</v>
      </c>
      <c r="B36" s="82">
        <v>2.21</v>
      </c>
      <c r="C36" s="82">
        <v>14.5</v>
      </c>
      <c r="D36" s="82">
        <v>-649.49</v>
      </c>
      <c r="E36" s="82">
        <v>2.88</v>
      </c>
      <c r="F36" s="82">
        <v>1.87</v>
      </c>
      <c r="G36" s="82">
        <v>92.38</v>
      </c>
      <c r="H36" s="82">
        <v>-4.89</v>
      </c>
      <c r="I36" s="82">
        <v>-0.35</v>
      </c>
      <c r="J36" s="82">
        <v>-45.87</v>
      </c>
      <c r="K36" s="82">
        <v>-27.3</v>
      </c>
      <c r="L36" s="82">
        <v>17.95</v>
      </c>
      <c r="M36" s="82">
        <v>-1.13</v>
      </c>
      <c r="N36" s="82">
        <v>2.24</v>
      </c>
      <c r="O36" s="82">
        <v>2.03</v>
      </c>
      <c r="P36" s="82">
        <v>-85.13</v>
      </c>
      <c r="Q36" s="82">
        <v>17.09</v>
      </c>
      <c r="R36" s="82">
        <v>-0.44</v>
      </c>
      <c r="S36" s="82">
        <v>-0.29</v>
      </c>
      <c r="T36" s="82">
        <v>-8.88</v>
      </c>
      <c r="U36" s="82">
        <v>0.65</v>
      </c>
      <c r="V36" s="82">
        <v>0.35</v>
      </c>
      <c r="W36" s="82">
        <v>0.83</v>
      </c>
      <c r="Z36" s="191">
        <v>19021.0</v>
      </c>
      <c r="AA36" s="82">
        <v>0.77</v>
      </c>
      <c r="AB36" s="82">
        <v>0.0</v>
      </c>
      <c r="AC36" s="82">
        <v>6.44</v>
      </c>
      <c r="AD36" s="191">
        <v>5.189467764E7</v>
      </c>
    </row>
    <row r="37">
      <c r="A37" s="82" t="s">
        <v>83</v>
      </c>
      <c r="B37" s="82">
        <v>34.01</v>
      </c>
      <c r="C37" s="82">
        <v>5.61</v>
      </c>
      <c r="D37" s="82">
        <v>9.44</v>
      </c>
      <c r="E37" s="82">
        <v>1.42</v>
      </c>
      <c r="F37" s="82">
        <v>0.57</v>
      </c>
      <c r="G37" s="82">
        <v>36.53</v>
      </c>
      <c r="H37" s="82">
        <v>24.61</v>
      </c>
      <c r="I37" s="82">
        <v>12.67</v>
      </c>
      <c r="J37" s="82">
        <v>4.86</v>
      </c>
      <c r="K37" s="82">
        <v>6.08</v>
      </c>
      <c r="L37" s="82">
        <v>1.21</v>
      </c>
      <c r="M37" s="82">
        <v>0.35</v>
      </c>
      <c r="N37" s="82">
        <v>1.2</v>
      </c>
      <c r="O37" s="82">
        <v>3.82</v>
      </c>
      <c r="P37" s="82">
        <v>-0.93</v>
      </c>
      <c r="Q37" s="82">
        <v>1.64</v>
      </c>
      <c r="R37" s="82">
        <v>15.08</v>
      </c>
      <c r="S37" s="82">
        <v>6.07</v>
      </c>
      <c r="T37" s="82">
        <v>12.15</v>
      </c>
      <c r="U37" s="82">
        <v>0.4</v>
      </c>
      <c r="V37" s="82">
        <v>0.6</v>
      </c>
      <c r="W37" s="82">
        <v>0.48</v>
      </c>
      <c r="X37" s="82">
        <v>32.13</v>
      </c>
      <c r="Y37" s="82">
        <v>68.75</v>
      </c>
      <c r="Z37" s="191">
        <v>1898735.35</v>
      </c>
      <c r="AA37" s="82">
        <v>24.0</v>
      </c>
      <c r="AB37" s="82">
        <v>3.62</v>
      </c>
      <c r="AC37" s="82">
        <v>-0.26</v>
      </c>
      <c r="AD37" s="191">
        <v>2.4222218304E9</v>
      </c>
    </row>
    <row r="38">
      <c r="A38" s="82" t="s">
        <v>84</v>
      </c>
      <c r="B38" s="82">
        <v>13.27</v>
      </c>
      <c r="C38" s="82">
        <v>22.59</v>
      </c>
      <c r="D38" s="82">
        <v>6.55</v>
      </c>
      <c r="E38" s="82">
        <v>0.95</v>
      </c>
      <c r="F38" s="82">
        <v>0.43</v>
      </c>
      <c r="G38" s="82">
        <v>21.1</v>
      </c>
      <c r="H38" s="82">
        <v>24.36</v>
      </c>
      <c r="I38" s="82">
        <v>34.01</v>
      </c>
      <c r="J38" s="82">
        <v>9.14</v>
      </c>
      <c r="K38" s="82">
        <v>10.04</v>
      </c>
      <c r="L38" s="82">
        <v>0.9</v>
      </c>
      <c r="M38" s="82">
        <v>0.09</v>
      </c>
      <c r="N38" s="82">
        <v>2.23</v>
      </c>
      <c r="O38" s="82">
        <v>3.57</v>
      </c>
      <c r="P38" s="82">
        <v>-0.57</v>
      </c>
      <c r="Q38" s="82">
        <v>1.92</v>
      </c>
      <c r="R38" s="82">
        <v>14.52</v>
      </c>
      <c r="S38" s="82">
        <v>6.5</v>
      </c>
      <c r="T38" s="82">
        <v>0.61</v>
      </c>
      <c r="U38" s="82">
        <v>0.45</v>
      </c>
      <c r="V38" s="82">
        <v>0.55</v>
      </c>
      <c r="W38" s="82">
        <v>0.19</v>
      </c>
      <c r="Z38" s="191">
        <v>7.2281084E7</v>
      </c>
      <c r="AA38" s="82">
        <v>13.96</v>
      </c>
      <c r="AB38" s="82">
        <v>2.03</v>
      </c>
      <c r="AC38" s="82">
        <v>0.01</v>
      </c>
      <c r="AD38" s="191">
        <v>1.328E10</v>
      </c>
    </row>
    <row r="39">
      <c r="A39" s="82" t="s">
        <v>85</v>
      </c>
      <c r="B39" s="82">
        <v>5.0</v>
      </c>
      <c r="D39" s="82">
        <v>-0.31</v>
      </c>
      <c r="E39" s="82">
        <v>-0.22</v>
      </c>
      <c r="F39" s="82">
        <v>0.11</v>
      </c>
      <c r="G39" s="82">
        <v>32.9</v>
      </c>
      <c r="H39" s="82">
        <v>-54.45</v>
      </c>
      <c r="I39" s="82">
        <v>-118.56</v>
      </c>
      <c r="J39" s="82">
        <v>-0.68</v>
      </c>
      <c r="K39" s="82">
        <v>-5.53</v>
      </c>
      <c r="L39" s="82">
        <v>-4.85</v>
      </c>
      <c r="N39" s="82">
        <v>0.37</v>
      </c>
      <c r="O39" s="82">
        <v>-0.15</v>
      </c>
      <c r="P39" s="82">
        <v>-0.14</v>
      </c>
      <c r="Q39" s="82">
        <v>0.28</v>
      </c>
      <c r="R39" s="82">
        <v>-71.88</v>
      </c>
      <c r="S39" s="82">
        <v>-34.0</v>
      </c>
      <c r="T39" s="82">
        <v>-43.28</v>
      </c>
      <c r="U39" s="82">
        <v>-0.47</v>
      </c>
      <c r="V39" s="82">
        <v>1.47</v>
      </c>
      <c r="W39" s="82">
        <v>0.29</v>
      </c>
      <c r="X39" s="82">
        <v>19.61</v>
      </c>
      <c r="Z39" s="191">
        <v>28139.05</v>
      </c>
      <c r="AA39" s="82">
        <v>-22.24</v>
      </c>
      <c r="AB39" s="82">
        <v>-15.99</v>
      </c>
      <c r="AC39" s="82">
        <v>-0.05</v>
      </c>
      <c r="AD39" s="191">
        <v>1.43076065E8</v>
      </c>
    </row>
    <row r="40">
      <c r="A40" s="82" t="s">
        <v>90</v>
      </c>
      <c r="B40" s="82">
        <v>1.95</v>
      </c>
      <c r="D40" s="82">
        <v>-7.82</v>
      </c>
      <c r="E40" s="82">
        <v>2.35</v>
      </c>
      <c r="F40" s="82">
        <v>0.55</v>
      </c>
      <c r="G40" s="82">
        <v>11.5</v>
      </c>
      <c r="H40" s="82">
        <v>-8.21</v>
      </c>
      <c r="I40" s="82">
        <v>-8.58</v>
      </c>
      <c r="J40" s="82">
        <v>-8.16</v>
      </c>
      <c r="K40" s="82">
        <v>-9.02</v>
      </c>
      <c r="L40" s="82">
        <v>-1.02</v>
      </c>
      <c r="M40" s="82">
        <v>0.29</v>
      </c>
      <c r="N40" s="82">
        <v>0.67</v>
      </c>
      <c r="O40" s="82">
        <v>-8.46</v>
      </c>
      <c r="P40" s="82">
        <v>-0.92</v>
      </c>
      <c r="Q40" s="82">
        <v>0.86</v>
      </c>
      <c r="R40" s="82">
        <v>-30.05</v>
      </c>
      <c r="S40" s="82">
        <v>-6.99</v>
      </c>
      <c r="T40" s="82">
        <v>-43.18</v>
      </c>
      <c r="U40" s="82">
        <v>0.23</v>
      </c>
      <c r="V40" s="82">
        <v>0.77</v>
      </c>
      <c r="W40" s="82">
        <v>0.82</v>
      </c>
      <c r="X40" s="82">
        <v>43.23</v>
      </c>
      <c r="Z40" s="191">
        <v>1348622.8</v>
      </c>
      <c r="AA40" s="82">
        <v>0.83</v>
      </c>
      <c r="AB40" s="82">
        <v>-0.25</v>
      </c>
      <c r="AC40" s="82">
        <v>0.02</v>
      </c>
      <c r="AD40" s="191">
        <v>3.2224002838E8</v>
      </c>
    </row>
    <row r="41">
      <c r="A41" s="82" t="s">
        <v>91</v>
      </c>
      <c r="B41" s="82">
        <v>1.93</v>
      </c>
      <c r="D41" s="82">
        <v>-7.66</v>
      </c>
      <c r="E41" s="82">
        <v>2.3</v>
      </c>
      <c r="F41" s="82">
        <v>0.54</v>
      </c>
      <c r="G41" s="82">
        <v>11.5</v>
      </c>
      <c r="H41" s="82">
        <v>-8.21</v>
      </c>
      <c r="I41" s="82">
        <v>-8.58</v>
      </c>
      <c r="J41" s="82">
        <v>-8.0</v>
      </c>
      <c r="K41" s="82">
        <v>-9.02</v>
      </c>
      <c r="L41" s="82">
        <v>-1.02</v>
      </c>
      <c r="M41" s="82">
        <v>0.29</v>
      </c>
      <c r="N41" s="82">
        <v>0.66</v>
      </c>
      <c r="O41" s="82">
        <v>-8.29</v>
      </c>
      <c r="P41" s="82">
        <v>-0.9</v>
      </c>
      <c r="Q41" s="82">
        <v>0.86</v>
      </c>
      <c r="R41" s="82">
        <v>-30.05</v>
      </c>
      <c r="S41" s="82">
        <v>-6.99</v>
      </c>
      <c r="T41" s="82">
        <v>-43.18</v>
      </c>
      <c r="U41" s="82">
        <v>0.23</v>
      </c>
      <c r="V41" s="82">
        <v>0.77</v>
      </c>
      <c r="W41" s="82">
        <v>0.82</v>
      </c>
      <c r="X41" s="82">
        <v>43.23</v>
      </c>
      <c r="Z41" s="191">
        <v>5722697.4</v>
      </c>
      <c r="AA41" s="82">
        <v>0.83</v>
      </c>
      <c r="AB41" s="82">
        <v>-0.25</v>
      </c>
      <c r="AC41" s="82">
        <v>0.02</v>
      </c>
      <c r="AD41" s="191">
        <v>3.2224002838E8</v>
      </c>
    </row>
    <row r="42">
      <c r="A42" s="82" t="s">
        <v>1694</v>
      </c>
      <c r="B42" s="82">
        <v>14.56</v>
      </c>
      <c r="D42" s="82">
        <v>-15.21</v>
      </c>
      <c r="E42" s="82">
        <v>-0.87</v>
      </c>
      <c r="F42" s="82">
        <v>0.95</v>
      </c>
      <c r="G42" s="82">
        <v>21.1</v>
      </c>
      <c r="H42" s="82">
        <v>12.33</v>
      </c>
      <c r="I42" s="82">
        <v>-6.75</v>
      </c>
      <c r="J42" s="82">
        <v>8.32</v>
      </c>
      <c r="K42" s="82">
        <v>13.56</v>
      </c>
      <c r="L42" s="82">
        <v>11.28</v>
      </c>
      <c r="N42" s="82">
        <v>1.03</v>
      </c>
      <c r="O42" s="82">
        <v>-2.28</v>
      </c>
      <c r="P42" s="82">
        <v>-1.36</v>
      </c>
      <c r="Q42" s="82">
        <v>0.42</v>
      </c>
      <c r="R42" s="82">
        <v>-5.74</v>
      </c>
      <c r="S42" s="82">
        <v>-6.23</v>
      </c>
      <c r="T42" s="82">
        <v>42.22</v>
      </c>
      <c r="U42" s="82">
        <v>-1.09</v>
      </c>
      <c r="V42" s="82">
        <v>2.09</v>
      </c>
      <c r="W42" s="82">
        <v>0.92</v>
      </c>
      <c r="X42" s="82">
        <v>15.41</v>
      </c>
      <c r="Z42" s="191">
        <v>1.922011246E8</v>
      </c>
      <c r="AA42" s="82">
        <v>-16.83</v>
      </c>
      <c r="AB42" s="82">
        <v>-0.97</v>
      </c>
      <c r="AC42" s="82">
        <v>0.34</v>
      </c>
      <c r="AD42" s="191">
        <v>5.10986737679E9</v>
      </c>
    </row>
    <row r="43">
      <c r="A43" s="82" t="s">
        <v>96</v>
      </c>
      <c r="B43" s="82">
        <v>14.21</v>
      </c>
      <c r="C43" s="82">
        <v>2.23</v>
      </c>
      <c r="D43" s="82">
        <v>19.08</v>
      </c>
      <c r="E43" s="82">
        <v>3.98</v>
      </c>
      <c r="F43" s="82">
        <v>1.68</v>
      </c>
      <c r="G43" s="82">
        <v>85.66</v>
      </c>
      <c r="H43" s="82">
        <v>51.52</v>
      </c>
      <c r="I43" s="82">
        <v>40.19</v>
      </c>
      <c r="J43" s="82">
        <v>14.88</v>
      </c>
      <c r="K43" s="82">
        <v>14.17</v>
      </c>
      <c r="L43" s="82">
        <v>-0.62</v>
      </c>
      <c r="M43" s="82">
        <v>-0.17</v>
      </c>
      <c r="N43" s="82">
        <v>7.67</v>
      </c>
      <c r="O43" s="82">
        <v>14.76</v>
      </c>
      <c r="P43" s="82">
        <v>-2.63</v>
      </c>
      <c r="Q43" s="82">
        <v>1.46</v>
      </c>
      <c r="R43" s="82">
        <v>20.86</v>
      </c>
      <c r="S43" s="82">
        <v>8.82</v>
      </c>
      <c r="T43" s="82">
        <v>12.22</v>
      </c>
      <c r="U43" s="82">
        <v>0.42</v>
      </c>
      <c r="V43" s="82">
        <v>0.58</v>
      </c>
      <c r="W43" s="82">
        <v>0.22</v>
      </c>
      <c r="X43" s="82">
        <v>22.44</v>
      </c>
      <c r="Y43" s="82">
        <v>26.63</v>
      </c>
      <c r="Z43" s="191">
        <v>4.810513873E8</v>
      </c>
      <c r="AA43" s="82">
        <v>3.58</v>
      </c>
      <c r="AB43" s="82">
        <v>0.75</v>
      </c>
      <c r="AC43" s="82">
        <v>-8.79</v>
      </c>
      <c r="AD43" s="191">
        <v>8.0010905E10</v>
      </c>
    </row>
    <row r="44">
      <c r="A44" s="82" t="s">
        <v>97</v>
      </c>
      <c r="B44" s="82">
        <v>7.96</v>
      </c>
      <c r="D44" s="82">
        <v>-2.59</v>
      </c>
      <c r="E44" s="82">
        <v>4.87</v>
      </c>
      <c r="F44" s="82">
        <v>0.34</v>
      </c>
      <c r="G44" s="82">
        <v>43.42</v>
      </c>
      <c r="H44" s="82">
        <v>-6.44</v>
      </c>
      <c r="I44" s="82">
        <v>-21.49</v>
      </c>
      <c r="J44" s="82">
        <v>-8.64</v>
      </c>
      <c r="K44" s="82">
        <v>-15.98</v>
      </c>
      <c r="L44" s="82">
        <v>-7.34</v>
      </c>
      <c r="M44" s="82">
        <v>4.14</v>
      </c>
      <c r="N44" s="82">
        <v>0.56</v>
      </c>
      <c r="O44" s="82">
        <v>-0.9</v>
      </c>
      <c r="P44" s="82">
        <v>-0.36</v>
      </c>
      <c r="Q44" s="82">
        <v>0.13</v>
      </c>
      <c r="R44" s="82">
        <v>-188.32</v>
      </c>
      <c r="S44" s="82">
        <v>-13.0</v>
      </c>
      <c r="T44" s="82">
        <v>-10.59</v>
      </c>
      <c r="U44" s="82">
        <v>0.07</v>
      </c>
      <c r="V44" s="82">
        <v>0.91</v>
      </c>
      <c r="W44" s="82">
        <v>0.6</v>
      </c>
      <c r="X44" s="82">
        <v>56.84</v>
      </c>
      <c r="Z44" s="191">
        <v>46068.33</v>
      </c>
      <c r="AA44" s="82">
        <v>1.63</v>
      </c>
      <c r="AB44" s="82">
        <v>-3.07</v>
      </c>
      <c r="AC44" s="82">
        <v>0.22</v>
      </c>
      <c r="AD44" s="191">
        <v>2.1006903272E8</v>
      </c>
    </row>
    <row r="45">
      <c r="A45" s="82" t="s">
        <v>98</v>
      </c>
      <c r="B45" s="82">
        <v>11.0</v>
      </c>
      <c r="C45" s="82">
        <v>1.96</v>
      </c>
      <c r="D45" s="82">
        <v>-29.56</v>
      </c>
      <c r="E45" s="82">
        <v>0.73</v>
      </c>
      <c r="F45" s="82">
        <v>0.43</v>
      </c>
      <c r="G45" s="82">
        <v>60.04</v>
      </c>
      <c r="H45" s="82">
        <v>10.7</v>
      </c>
      <c r="I45" s="82">
        <v>-1.99</v>
      </c>
      <c r="J45" s="82">
        <v>5.5</v>
      </c>
      <c r="K45" s="82">
        <v>3.6</v>
      </c>
      <c r="L45" s="82">
        <v>-1.66</v>
      </c>
      <c r="M45" s="82">
        <v>-0.22</v>
      </c>
      <c r="N45" s="82">
        <v>0.59</v>
      </c>
      <c r="O45" s="82">
        <v>0.91</v>
      </c>
      <c r="P45" s="82">
        <v>-1.47</v>
      </c>
      <c r="Q45" s="82">
        <v>3.08</v>
      </c>
      <c r="R45" s="82">
        <v>-2.48</v>
      </c>
      <c r="S45" s="82">
        <v>-1.46</v>
      </c>
      <c r="T45" s="82">
        <v>7.19</v>
      </c>
      <c r="U45" s="82">
        <v>0.59</v>
      </c>
      <c r="V45" s="82">
        <v>0.41</v>
      </c>
      <c r="W45" s="82">
        <v>0.73</v>
      </c>
      <c r="X45" s="82">
        <v>8.44</v>
      </c>
      <c r="Z45" s="191">
        <v>8100.0</v>
      </c>
      <c r="AA45" s="82">
        <v>15.0</v>
      </c>
      <c r="AB45" s="82">
        <v>-0.37</v>
      </c>
      <c r="AC45" s="82">
        <v>0.26</v>
      </c>
      <c r="AD45" s="191">
        <v>1.02949E8</v>
      </c>
    </row>
    <row r="46">
      <c r="A46" s="82" t="s">
        <v>99</v>
      </c>
      <c r="B46" s="82">
        <v>10.01</v>
      </c>
      <c r="C46" s="82">
        <v>2.16</v>
      </c>
      <c r="D46" s="82">
        <v>-26.9</v>
      </c>
      <c r="E46" s="82">
        <v>0.67</v>
      </c>
      <c r="F46" s="82">
        <v>0.39</v>
      </c>
      <c r="G46" s="82">
        <v>60.04</v>
      </c>
      <c r="H46" s="82">
        <v>10.7</v>
      </c>
      <c r="I46" s="82">
        <v>-1.99</v>
      </c>
      <c r="J46" s="82">
        <v>5.01</v>
      </c>
      <c r="K46" s="82">
        <v>3.6</v>
      </c>
      <c r="L46" s="82">
        <v>-1.66</v>
      </c>
      <c r="M46" s="82">
        <v>-0.22</v>
      </c>
      <c r="N46" s="82">
        <v>0.54</v>
      </c>
      <c r="O46" s="82">
        <v>0.82</v>
      </c>
      <c r="P46" s="82">
        <v>-1.34</v>
      </c>
      <c r="Q46" s="82">
        <v>3.08</v>
      </c>
      <c r="R46" s="82">
        <v>-2.48</v>
      </c>
      <c r="S46" s="82">
        <v>-1.46</v>
      </c>
      <c r="T46" s="82">
        <v>7.19</v>
      </c>
      <c r="U46" s="82">
        <v>0.59</v>
      </c>
      <c r="V46" s="82">
        <v>0.41</v>
      </c>
      <c r="W46" s="82">
        <v>0.73</v>
      </c>
      <c r="X46" s="82">
        <v>8.44</v>
      </c>
      <c r="Z46" s="191">
        <v>14212.43</v>
      </c>
      <c r="AA46" s="82">
        <v>15.0</v>
      </c>
      <c r="AB46" s="82">
        <v>-0.37</v>
      </c>
      <c r="AC46" s="82">
        <v>0.24</v>
      </c>
      <c r="AD46" s="191">
        <v>1.02949E8</v>
      </c>
    </row>
    <row r="47">
      <c r="A47" s="82" t="s">
        <v>101</v>
      </c>
      <c r="B47" s="82">
        <v>81.87</v>
      </c>
      <c r="C47" s="82">
        <v>1.48</v>
      </c>
      <c r="D47" s="82">
        <v>-150.7</v>
      </c>
      <c r="E47" s="82">
        <v>4.33</v>
      </c>
      <c r="F47" s="82">
        <v>2.62</v>
      </c>
      <c r="G47" s="82">
        <v>21.97</v>
      </c>
      <c r="H47" s="82">
        <v>4.34</v>
      </c>
      <c r="I47" s="82">
        <v>-1.3</v>
      </c>
      <c r="J47" s="82">
        <v>45.15</v>
      </c>
      <c r="K47" s="82">
        <v>42.82</v>
      </c>
      <c r="L47" s="82">
        <v>-2.33</v>
      </c>
      <c r="M47" s="82">
        <v>-0.22</v>
      </c>
      <c r="N47" s="82">
        <v>1.96</v>
      </c>
      <c r="O47" s="82">
        <v>30.37</v>
      </c>
      <c r="P47" s="82">
        <v>-4.81</v>
      </c>
      <c r="Q47" s="82">
        <v>1.23</v>
      </c>
      <c r="R47" s="82">
        <v>-2.87</v>
      </c>
      <c r="S47" s="82">
        <v>-1.74</v>
      </c>
      <c r="T47" s="82">
        <v>-2.68</v>
      </c>
      <c r="U47" s="82">
        <v>0.6</v>
      </c>
      <c r="V47" s="82">
        <v>0.4</v>
      </c>
      <c r="W47" s="82">
        <v>1.33</v>
      </c>
      <c r="X47" s="82">
        <v>3.33</v>
      </c>
      <c r="Z47" s="191">
        <v>30600.4</v>
      </c>
      <c r="AA47" s="82">
        <v>18.93</v>
      </c>
      <c r="AB47" s="82">
        <v>-0.54</v>
      </c>
      <c r="AC47" s="82">
        <v>1.15</v>
      </c>
      <c r="AD47" s="191">
        <v>4.2754331514E8</v>
      </c>
    </row>
    <row r="48">
      <c r="A48" s="82" t="s">
        <v>102</v>
      </c>
      <c r="B48" s="82">
        <v>95.31</v>
      </c>
      <c r="C48" s="82">
        <v>5.59</v>
      </c>
      <c r="D48" s="82">
        <v>4.47</v>
      </c>
      <c r="E48" s="82">
        <v>0.92</v>
      </c>
      <c r="F48" s="82">
        <v>0.13</v>
      </c>
      <c r="G48" s="82">
        <v>26.11</v>
      </c>
      <c r="H48" s="82">
        <v>45.99</v>
      </c>
      <c r="I48" s="82">
        <v>30.61</v>
      </c>
      <c r="J48" s="82">
        <v>2.98</v>
      </c>
      <c r="K48" s="82">
        <v>2.96</v>
      </c>
      <c r="N48" s="82">
        <v>1.37</v>
      </c>
      <c r="O48" s="82">
        <v>4.3</v>
      </c>
      <c r="P48" s="82">
        <v>-0.13</v>
      </c>
      <c r="R48" s="82">
        <v>20.56</v>
      </c>
      <c r="S48" s="82">
        <v>2.8</v>
      </c>
      <c r="U48" s="82">
        <v>0.14</v>
      </c>
      <c r="V48" s="82">
        <v>0.86</v>
      </c>
      <c r="W48" s="82">
        <v>0.09</v>
      </c>
      <c r="X48" s="82">
        <v>17.64</v>
      </c>
      <c r="Y48" s="82">
        <v>79.28</v>
      </c>
      <c r="Z48" s="191">
        <v>216202.35</v>
      </c>
      <c r="AA48" s="82">
        <v>103.67</v>
      </c>
      <c r="AB48" s="82">
        <v>21.31</v>
      </c>
      <c r="AC48" s="82">
        <v>0.94</v>
      </c>
      <c r="AD48" s="191">
        <v>5.3199340935E9</v>
      </c>
    </row>
    <row r="49">
      <c r="A49" s="82" t="s">
        <v>103</v>
      </c>
      <c r="B49" s="82">
        <v>55.04</v>
      </c>
      <c r="C49" s="82">
        <v>8.32</v>
      </c>
      <c r="D49" s="82">
        <v>4.73</v>
      </c>
      <c r="E49" s="82">
        <v>0.95</v>
      </c>
      <c r="F49" s="82">
        <v>0.07</v>
      </c>
      <c r="G49" s="82">
        <v>32.66</v>
      </c>
      <c r="H49" s="82">
        <v>15.94</v>
      </c>
      <c r="I49" s="82">
        <v>12.4</v>
      </c>
      <c r="J49" s="82">
        <v>3.68</v>
      </c>
      <c r="K49" s="82">
        <v>3.66</v>
      </c>
      <c r="N49" s="82">
        <v>0.59</v>
      </c>
      <c r="O49" s="82">
        <v>2.75</v>
      </c>
      <c r="P49" s="82">
        <v>-0.07</v>
      </c>
      <c r="Q49" s="82">
        <v>14.76</v>
      </c>
      <c r="R49" s="82">
        <v>20.1</v>
      </c>
      <c r="S49" s="82">
        <v>1.5</v>
      </c>
      <c r="U49" s="82">
        <v>0.07</v>
      </c>
      <c r="V49" s="82">
        <v>0.92</v>
      </c>
      <c r="W49" s="82">
        <v>0.12</v>
      </c>
      <c r="X49" s="82">
        <v>9.97</v>
      </c>
      <c r="Y49" s="82">
        <v>25.65</v>
      </c>
      <c r="Z49" s="191">
        <v>4.7391058685E8</v>
      </c>
      <c r="AA49" s="82">
        <v>57.82</v>
      </c>
      <c r="AB49" s="82">
        <v>11.62</v>
      </c>
      <c r="AC49" s="82">
        <v>0.21</v>
      </c>
      <c r="AD49" s="191">
        <v>1.565377318026E11</v>
      </c>
    </row>
    <row r="50">
      <c r="A50" s="82" t="s">
        <v>104</v>
      </c>
      <c r="B50" s="82">
        <v>15.13</v>
      </c>
      <c r="C50" s="82">
        <v>10.22</v>
      </c>
      <c r="D50" s="82">
        <v>11.6</v>
      </c>
      <c r="E50" s="82">
        <v>0.97</v>
      </c>
      <c r="F50" s="82">
        <v>0.08</v>
      </c>
      <c r="G50" s="82">
        <v>30.94</v>
      </c>
      <c r="H50" s="82">
        <v>3.95</v>
      </c>
      <c r="I50" s="82">
        <v>6.18</v>
      </c>
      <c r="J50" s="82">
        <v>18.16</v>
      </c>
      <c r="K50" s="82">
        <v>19.09</v>
      </c>
      <c r="N50" s="82">
        <v>0.72</v>
      </c>
      <c r="O50" s="82">
        <v>0.7</v>
      </c>
      <c r="P50" s="82">
        <v>-0.1</v>
      </c>
      <c r="Q50" s="82">
        <v>11.4</v>
      </c>
      <c r="R50" s="82">
        <v>8.33</v>
      </c>
      <c r="S50" s="82">
        <v>0.73</v>
      </c>
      <c r="U50" s="82">
        <v>0.09</v>
      </c>
      <c r="V50" s="82">
        <v>0.91</v>
      </c>
      <c r="W50" s="82">
        <v>0.12</v>
      </c>
      <c r="X50" s="82">
        <v>8.37</v>
      </c>
      <c r="Y50" s="82">
        <v>-4.12</v>
      </c>
      <c r="Z50" s="191">
        <v>8.92676085E7</v>
      </c>
      <c r="AA50" s="82">
        <v>15.62</v>
      </c>
      <c r="AB50" s="82">
        <v>1.3</v>
      </c>
      <c r="AC50" s="82">
        <v>-0.27</v>
      </c>
      <c r="AD50" s="191">
        <v>1.6882300277301E11</v>
      </c>
    </row>
    <row r="51">
      <c r="A51" s="82" t="s">
        <v>105</v>
      </c>
      <c r="B51" s="82">
        <v>16.81</v>
      </c>
      <c r="C51" s="82">
        <v>10.12</v>
      </c>
      <c r="D51" s="82">
        <v>12.89</v>
      </c>
      <c r="E51" s="82">
        <v>1.07</v>
      </c>
      <c r="F51" s="82">
        <v>0.09</v>
      </c>
      <c r="G51" s="82">
        <v>30.94</v>
      </c>
      <c r="H51" s="82">
        <v>3.95</v>
      </c>
      <c r="I51" s="82">
        <v>6.18</v>
      </c>
      <c r="J51" s="82">
        <v>20.19</v>
      </c>
      <c r="K51" s="82">
        <v>19.09</v>
      </c>
      <c r="N51" s="82">
        <v>0.8</v>
      </c>
      <c r="O51" s="82">
        <v>0.78</v>
      </c>
      <c r="P51" s="82">
        <v>-0.11</v>
      </c>
      <c r="Q51" s="82">
        <v>11.4</v>
      </c>
      <c r="R51" s="82">
        <v>8.33</v>
      </c>
      <c r="S51" s="82">
        <v>0.73</v>
      </c>
      <c r="U51" s="82">
        <v>0.09</v>
      </c>
      <c r="V51" s="82">
        <v>0.91</v>
      </c>
      <c r="W51" s="82">
        <v>0.12</v>
      </c>
      <c r="X51" s="82">
        <v>8.37</v>
      </c>
      <c r="Y51" s="82">
        <v>-4.12</v>
      </c>
      <c r="Z51" s="191">
        <v>6.515497764E8</v>
      </c>
      <c r="AA51" s="82">
        <v>15.62</v>
      </c>
      <c r="AB51" s="82">
        <v>1.3</v>
      </c>
      <c r="AC51" s="82">
        <v>-0.3</v>
      </c>
      <c r="AD51" s="191">
        <v>1.6882300277301E11</v>
      </c>
    </row>
    <row r="52">
      <c r="A52" s="82" t="s">
        <v>106</v>
      </c>
      <c r="B52" s="191">
        <v>3936.42</v>
      </c>
      <c r="D52" s="191">
        <v>48754.69</v>
      </c>
      <c r="E52" s="191">
        <v>149535.6</v>
      </c>
      <c r="F52" s="82">
        <v>154.1</v>
      </c>
      <c r="G52" s="82">
        <v>6.84</v>
      </c>
      <c r="H52" s="82">
        <v>2.69</v>
      </c>
      <c r="I52" s="82">
        <v>0.2</v>
      </c>
      <c r="J52" s="191">
        <v>3576.72</v>
      </c>
      <c r="K52" s="191">
        <v>3586.4</v>
      </c>
      <c r="L52" s="82">
        <v>9.67</v>
      </c>
      <c r="M52" s="82">
        <v>404.48</v>
      </c>
      <c r="N52" s="82">
        <v>96.25</v>
      </c>
      <c r="O52" s="82">
        <v>-869.12</v>
      </c>
      <c r="P52" s="82">
        <v>-250.59</v>
      </c>
      <c r="Q52" s="82">
        <v>0.68</v>
      </c>
      <c r="R52" s="82">
        <v>306.71</v>
      </c>
      <c r="S52" s="82">
        <v>0.32</v>
      </c>
      <c r="T52" s="82">
        <v>5.37</v>
      </c>
      <c r="U52" s="82">
        <v>0.0</v>
      </c>
      <c r="V52" s="82">
        <v>1.0</v>
      </c>
      <c r="W52" s="82">
        <v>1.6</v>
      </c>
      <c r="X52" s="82">
        <v>41.29</v>
      </c>
      <c r="Y52" s="82">
        <v>1.17</v>
      </c>
      <c r="AA52" s="82">
        <v>0.03</v>
      </c>
      <c r="AB52" s="82">
        <v>0.08</v>
      </c>
      <c r="AC52" s="82">
        <v>-384.83</v>
      </c>
      <c r="AD52" s="191">
        <v>1.6045169919156E11</v>
      </c>
    </row>
    <row r="53">
      <c r="A53" s="82" t="s">
        <v>107</v>
      </c>
      <c r="B53" s="82">
        <v>34.07</v>
      </c>
      <c r="C53" s="82">
        <v>10.24</v>
      </c>
      <c r="D53" s="82">
        <v>8.9</v>
      </c>
      <c r="E53" s="82">
        <v>6.39</v>
      </c>
      <c r="F53" s="82">
        <v>4.2</v>
      </c>
      <c r="J53" s="82">
        <v>7.84</v>
      </c>
      <c r="K53" s="82">
        <v>7.8</v>
      </c>
      <c r="O53" s="82">
        <v>39.38</v>
      </c>
      <c r="P53" s="82">
        <v>-5.83</v>
      </c>
      <c r="Q53" s="82">
        <v>1.61</v>
      </c>
      <c r="R53" s="82">
        <v>71.8</v>
      </c>
      <c r="S53" s="82">
        <v>47.15</v>
      </c>
      <c r="U53" s="82">
        <v>0.66</v>
      </c>
      <c r="V53" s="82">
        <v>0.34</v>
      </c>
      <c r="W53" s="82">
        <v>0.0</v>
      </c>
      <c r="Y53" s="82">
        <v>13.59</v>
      </c>
      <c r="Z53" s="191">
        <v>1.724676756E8</v>
      </c>
      <c r="AA53" s="82">
        <v>5.33</v>
      </c>
      <c r="AB53" s="82">
        <v>3.83</v>
      </c>
      <c r="AC53" s="82">
        <v>0.25</v>
      </c>
      <c r="AD53" s="191">
        <v>6.778E10</v>
      </c>
    </row>
    <row r="54">
      <c r="A54" s="82" t="s">
        <v>108</v>
      </c>
      <c r="B54" s="82">
        <v>11.0</v>
      </c>
      <c r="D54" s="82">
        <v>1.25</v>
      </c>
      <c r="E54" s="82">
        <v>-0.11</v>
      </c>
      <c r="F54" s="82">
        <v>0.03</v>
      </c>
      <c r="G54" s="82">
        <v>-28.71</v>
      </c>
      <c r="H54" s="82">
        <v>-67.71</v>
      </c>
      <c r="I54" s="82">
        <v>30.27</v>
      </c>
      <c r="J54" s="82">
        <v>-0.56</v>
      </c>
      <c r="K54" s="82">
        <v>-5.53</v>
      </c>
      <c r="L54" s="82">
        <v>-5.06</v>
      </c>
      <c r="N54" s="82">
        <v>0.38</v>
      </c>
      <c r="O54" s="82">
        <v>-1.26</v>
      </c>
      <c r="P54" s="82">
        <v>-0.05</v>
      </c>
      <c r="Q54" s="82">
        <v>0.96</v>
      </c>
      <c r="R54" s="82">
        <v>-9.03</v>
      </c>
      <c r="S54" s="82">
        <v>2.24</v>
      </c>
      <c r="T54" s="82">
        <v>-345.45</v>
      </c>
      <c r="U54" s="82">
        <v>-0.25</v>
      </c>
      <c r="V54" s="82">
        <v>1.25</v>
      </c>
      <c r="W54" s="82">
        <v>0.07</v>
      </c>
      <c r="X54" s="82">
        <v>-27.58</v>
      </c>
      <c r="Z54" s="191">
        <v>1100.0</v>
      </c>
      <c r="AA54" s="82">
        <v>-97.25</v>
      </c>
      <c r="AB54" s="82">
        <v>8.78</v>
      </c>
      <c r="AC54" s="82">
        <v>0.01</v>
      </c>
      <c r="AD54" s="191">
        <v>1.49194184E7</v>
      </c>
    </row>
    <row r="55">
      <c r="A55" s="82" t="s">
        <v>109</v>
      </c>
      <c r="B55" s="82">
        <v>8.2</v>
      </c>
      <c r="D55" s="82">
        <v>0.93</v>
      </c>
      <c r="E55" s="82">
        <v>-0.08</v>
      </c>
      <c r="F55" s="82">
        <v>0.02</v>
      </c>
      <c r="G55" s="82">
        <v>-28.71</v>
      </c>
      <c r="H55" s="82">
        <v>-67.71</v>
      </c>
      <c r="I55" s="82">
        <v>30.27</v>
      </c>
      <c r="J55" s="82">
        <v>-0.42</v>
      </c>
      <c r="K55" s="82">
        <v>-5.53</v>
      </c>
      <c r="L55" s="82">
        <v>-5.06</v>
      </c>
      <c r="N55" s="82">
        <v>0.28</v>
      </c>
      <c r="O55" s="82">
        <v>-0.94</v>
      </c>
      <c r="P55" s="82">
        <v>-0.04</v>
      </c>
      <c r="Q55" s="82">
        <v>0.96</v>
      </c>
      <c r="R55" s="82">
        <v>-9.03</v>
      </c>
      <c r="S55" s="82">
        <v>2.24</v>
      </c>
      <c r="T55" s="82">
        <v>-345.45</v>
      </c>
      <c r="U55" s="82">
        <v>-0.25</v>
      </c>
      <c r="V55" s="82">
        <v>1.25</v>
      </c>
      <c r="W55" s="82">
        <v>0.07</v>
      </c>
      <c r="X55" s="82">
        <v>-27.58</v>
      </c>
      <c r="Z55" s="191">
        <v>2180.63</v>
      </c>
      <c r="AA55" s="82">
        <v>-97.25</v>
      </c>
      <c r="AB55" s="82">
        <v>8.78</v>
      </c>
      <c r="AC55" s="82">
        <v>0.01</v>
      </c>
      <c r="AD55" s="191">
        <v>1.49194184E7</v>
      </c>
    </row>
    <row r="56">
      <c r="A56" s="82" t="s">
        <v>1758</v>
      </c>
      <c r="B56" s="82">
        <v>3.62</v>
      </c>
      <c r="D56" s="82">
        <v>6.02</v>
      </c>
      <c r="E56" s="82">
        <v>3.5</v>
      </c>
      <c r="F56" s="82">
        <v>0.08</v>
      </c>
      <c r="G56" s="82">
        <v>19.88</v>
      </c>
      <c r="H56" s="82">
        <v>7.42</v>
      </c>
      <c r="I56" s="82">
        <v>1.32</v>
      </c>
      <c r="J56" s="82">
        <v>1.08</v>
      </c>
      <c r="K56" s="82">
        <v>6.54</v>
      </c>
      <c r="L56" s="82">
        <v>4.38</v>
      </c>
      <c r="M56" s="82">
        <v>14.28</v>
      </c>
      <c r="N56" s="82">
        <v>0.08</v>
      </c>
      <c r="O56" s="82">
        <v>0.31</v>
      </c>
      <c r="P56" s="82">
        <v>-0.2</v>
      </c>
      <c r="Q56" s="82">
        <v>1.87</v>
      </c>
      <c r="R56" s="82">
        <v>58.14</v>
      </c>
      <c r="S56" s="82">
        <v>1.41</v>
      </c>
      <c r="T56" s="82">
        <v>9.4</v>
      </c>
      <c r="U56" s="82">
        <v>0.02</v>
      </c>
      <c r="V56" s="82">
        <v>0.96</v>
      </c>
      <c r="W56" s="82">
        <v>1.06</v>
      </c>
      <c r="X56" s="82">
        <v>20.68</v>
      </c>
      <c r="AA56" s="82">
        <v>1.03</v>
      </c>
      <c r="AB56" s="82">
        <v>0.6</v>
      </c>
      <c r="AC56" s="82">
        <v>-0.11</v>
      </c>
      <c r="AD56" s="191">
        <v>4.41495036889E9</v>
      </c>
    </row>
    <row r="57">
      <c r="A57" s="82" t="s">
        <v>110</v>
      </c>
      <c r="B57" s="82">
        <v>7.29</v>
      </c>
      <c r="C57" s="82">
        <v>7.57</v>
      </c>
      <c r="D57" s="82">
        <v>12.11</v>
      </c>
      <c r="E57" s="82">
        <v>7.04</v>
      </c>
      <c r="F57" s="82">
        <v>0.17</v>
      </c>
      <c r="G57" s="82">
        <v>19.88</v>
      </c>
      <c r="H57" s="82">
        <v>7.42</v>
      </c>
      <c r="I57" s="82">
        <v>1.32</v>
      </c>
      <c r="J57" s="82">
        <v>2.16</v>
      </c>
      <c r="K57" s="82">
        <v>6.54</v>
      </c>
      <c r="L57" s="82">
        <v>4.38</v>
      </c>
      <c r="M57" s="82">
        <v>14.28</v>
      </c>
      <c r="N57" s="82">
        <v>0.16</v>
      </c>
      <c r="O57" s="82">
        <v>0.63</v>
      </c>
      <c r="P57" s="82">
        <v>-0.41</v>
      </c>
      <c r="Q57" s="82">
        <v>1.87</v>
      </c>
      <c r="R57" s="82">
        <v>58.14</v>
      </c>
      <c r="S57" s="82">
        <v>1.41</v>
      </c>
      <c r="T57" s="82">
        <v>9.4</v>
      </c>
      <c r="U57" s="82">
        <v>0.02</v>
      </c>
      <c r="V57" s="82">
        <v>0.96</v>
      </c>
      <c r="W57" s="82">
        <v>1.06</v>
      </c>
      <c r="X57" s="82">
        <v>20.68</v>
      </c>
      <c r="Z57" s="191">
        <v>7.51637932E7</v>
      </c>
      <c r="AA57" s="82">
        <v>1.03</v>
      </c>
      <c r="AB57" s="82">
        <v>0.6</v>
      </c>
      <c r="AC57" s="82">
        <v>-0.22</v>
      </c>
      <c r="AD57" s="191">
        <v>4.41495036889E9</v>
      </c>
    </row>
    <row r="58">
      <c r="A58" s="82" t="s">
        <v>111</v>
      </c>
      <c r="B58" s="82">
        <v>9.67</v>
      </c>
      <c r="C58" s="82">
        <v>5.66</v>
      </c>
      <c r="D58" s="82">
        <v>8.89</v>
      </c>
      <c r="E58" s="82">
        <v>1.45</v>
      </c>
      <c r="F58" s="82">
        <v>0.07</v>
      </c>
      <c r="G58" s="82">
        <v>27.82</v>
      </c>
      <c r="H58" s="82">
        <v>9.27</v>
      </c>
      <c r="I58" s="82">
        <v>6.64</v>
      </c>
      <c r="J58" s="82">
        <v>6.37</v>
      </c>
      <c r="K58" s="82">
        <v>6.46</v>
      </c>
      <c r="N58" s="82">
        <v>0.59</v>
      </c>
      <c r="O58" s="82">
        <v>0.95</v>
      </c>
      <c r="P58" s="82">
        <v>-0.08</v>
      </c>
      <c r="R58" s="82">
        <v>16.33</v>
      </c>
      <c r="S58" s="82">
        <v>0.83</v>
      </c>
      <c r="U58" s="82">
        <v>0.05</v>
      </c>
      <c r="V58" s="82">
        <v>0.95</v>
      </c>
      <c r="W58" s="82">
        <v>0.12</v>
      </c>
      <c r="X58" s="82">
        <v>12.53</v>
      </c>
      <c r="Y58" s="82">
        <v>15.49</v>
      </c>
      <c r="Z58" s="191">
        <v>108869.4</v>
      </c>
      <c r="AA58" s="82">
        <v>6.67</v>
      </c>
      <c r="AB58" s="82">
        <v>1.09</v>
      </c>
      <c r="AC58" s="82">
        <v>7.47</v>
      </c>
      <c r="AD58" s="191">
        <v>3.099877992E9</v>
      </c>
    </row>
    <row r="59">
      <c r="A59" s="82" t="s">
        <v>112</v>
      </c>
      <c r="B59" s="82">
        <v>10.15</v>
      </c>
      <c r="C59" s="82">
        <v>5.38</v>
      </c>
      <c r="D59" s="82">
        <v>9.37</v>
      </c>
      <c r="E59" s="82">
        <v>1.53</v>
      </c>
      <c r="F59" s="82">
        <v>0.08</v>
      </c>
      <c r="G59" s="82">
        <v>27.82</v>
      </c>
      <c r="H59" s="82">
        <v>9.27</v>
      </c>
      <c r="I59" s="82">
        <v>6.64</v>
      </c>
      <c r="J59" s="82">
        <v>6.71</v>
      </c>
      <c r="K59" s="82">
        <v>6.46</v>
      </c>
      <c r="N59" s="82">
        <v>0.62</v>
      </c>
      <c r="O59" s="82">
        <v>1.01</v>
      </c>
      <c r="P59" s="82">
        <v>-0.08</v>
      </c>
      <c r="R59" s="82">
        <v>16.33</v>
      </c>
      <c r="S59" s="82">
        <v>0.83</v>
      </c>
      <c r="U59" s="82">
        <v>0.05</v>
      </c>
      <c r="V59" s="82">
        <v>0.95</v>
      </c>
      <c r="W59" s="82">
        <v>0.12</v>
      </c>
      <c r="X59" s="82">
        <v>12.53</v>
      </c>
      <c r="Y59" s="82">
        <v>15.49</v>
      </c>
      <c r="Z59" s="191">
        <v>44381.6</v>
      </c>
      <c r="AA59" s="82">
        <v>6.67</v>
      </c>
      <c r="AB59" s="82">
        <v>1.09</v>
      </c>
      <c r="AC59" s="82">
        <v>7.87</v>
      </c>
      <c r="AD59" s="191">
        <v>3.099877992E9</v>
      </c>
    </row>
    <row r="60">
      <c r="A60" s="82" t="s">
        <v>113</v>
      </c>
      <c r="B60" s="82">
        <v>0.0</v>
      </c>
      <c r="D60" s="82">
        <v>0.0</v>
      </c>
      <c r="E60" s="82">
        <v>0.0</v>
      </c>
      <c r="F60" s="82">
        <v>0.0</v>
      </c>
      <c r="G60" s="82">
        <v>31.58</v>
      </c>
      <c r="H60" s="82">
        <v>170.29</v>
      </c>
      <c r="I60" s="82">
        <v>145.51</v>
      </c>
      <c r="J60" s="82">
        <v>0.0</v>
      </c>
      <c r="N60" s="82">
        <v>0.0</v>
      </c>
      <c r="O60" s="82">
        <v>0.0</v>
      </c>
      <c r="P60" s="82">
        <v>0.0</v>
      </c>
      <c r="R60" s="82">
        <v>9.21</v>
      </c>
      <c r="S60" s="82">
        <v>8.19</v>
      </c>
      <c r="U60" s="82">
        <v>0.89</v>
      </c>
      <c r="V60" s="82">
        <v>0.1</v>
      </c>
      <c r="W60" s="82">
        <v>0.06</v>
      </c>
      <c r="Y60" s="82">
        <v>13.07</v>
      </c>
      <c r="AA60" s="191">
        <v>302450.49</v>
      </c>
      <c r="AB60" s="191">
        <v>27857.74</v>
      </c>
      <c r="AC60" s="82">
        <v>0.0</v>
      </c>
    </row>
    <row r="61">
      <c r="A61" s="82" t="s">
        <v>114</v>
      </c>
      <c r="B61" s="82">
        <v>0.0</v>
      </c>
      <c r="D61" s="82">
        <v>0.0</v>
      </c>
      <c r="E61" s="82">
        <v>0.0</v>
      </c>
      <c r="F61" s="82">
        <v>0.0</v>
      </c>
      <c r="G61" s="82">
        <v>31.58</v>
      </c>
      <c r="H61" s="82">
        <v>170.29</v>
      </c>
      <c r="I61" s="82">
        <v>145.51</v>
      </c>
      <c r="J61" s="82">
        <v>0.0</v>
      </c>
      <c r="N61" s="82">
        <v>0.0</v>
      </c>
      <c r="O61" s="82">
        <v>0.0</v>
      </c>
      <c r="P61" s="82">
        <v>0.0</v>
      </c>
      <c r="R61" s="82">
        <v>9.21</v>
      </c>
      <c r="S61" s="82">
        <v>8.19</v>
      </c>
      <c r="U61" s="82">
        <v>0.89</v>
      </c>
      <c r="V61" s="82">
        <v>0.1</v>
      </c>
      <c r="W61" s="82">
        <v>0.06</v>
      </c>
      <c r="Y61" s="82">
        <v>13.07</v>
      </c>
      <c r="AA61" s="191">
        <v>302450.49</v>
      </c>
      <c r="AB61" s="191">
        <v>27857.74</v>
      </c>
      <c r="AC61" s="82">
        <v>0.0</v>
      </c>
    </row>
    <row r="62">
      <c r="A62" s="82" t="s">
        <v>115</v>
      </c>
      <c r="B62" s="82">
        <v>26.99</v>
      </c>
      <c r="C62" s="82">
        <v>8.31</v>
      </c>
      <c r="D62" s="82">
        <v>7.72</v>
      </c>
      <c r="E62" s="82">
        <v>0.78</v>
      </c>
      <c r="F62" s="82">
        <v>0.05</v>
      </c>
      <c r="G62" s="82">
        <v>35.73</v>
      </c>
      <c r="H62" s="82">
        <v>5.88</v>
      </c>
      <c r="I62" s="82">
        <v>5.19</v>
      </c>
      <c r="J62" s="82">
        <v>6.81</v>
      </c>
      <c r="K62" s="82">
        <v>6.26</v>
      </c>
      <c r="N62" s="82">
        <v>0.4</v>
      </c>
      <c r="O62" s="82">
        <v>-0.38</v>
      </c>
      <c r="P62" s="82">
        <v>-0.1</v>
      </c>
      <c r="Q62" s="82">
        <v>0.77</v>
      </c>
      <c r="R62" s="82">
        <v>10.09</v>
      </c>
      <c r="S62" s="82">
        <v>0.7</v>
      </c>
      <c r="U62" s="82">
        <v>0.07</v>
      </c>
      <c r="V62" s="82">
        <v>0.93</v>
      </c>
      <c r="W62" s="82">
        <v>0.13</v>
      </c>
      <c r="X62" s="82">
        <v>8.79</v>
      </c>
      <c r="Y62" s="82">
        <v>-6.2</v>
      </c>
      <c r="Z62" s="191">
        <v>14357.0</v>
      </c>
      <c r="AA62" s="82">
        <v>34.66</v>
      </c>
      <c r="AB62" s="82">
        <v>3.5</v>
      </c>
      <c r="AC62" s="82">
        <v>0.08</v>
      </c>
      <c r="AD62" s="191">
        <v>4.4092421856E8</v>
      </c>
    </row>
    <row r="63">
      <c r="A63" s="82" t="s">
        <v>116</v>
      </c>
      <c r="B63" s="82">
        <v>22.6</v>
      </c>
      <c r="C63" s="82">
        <v>10.93</v>
      </c>
      <c r="D63" s="82">
        <v>6.46</v>
      </c>
      <c r="E63" s="82">
        <v>0.65</v>
      </c>
      <c r="F63" s="82">
        <v>0.05</v>
      </c>
      <c r="G63" s="82">
        <v>35.73</v>
      </c>
      <c r="H63" s="82">
        <v>5.88</v>
      </c>
      <c r="I63" s="82">
        <v>5.19</v>
      </c>
      <c r="J63" s="82">
        <v>5.7</v>
      </c>
      <c r="K63" s="82">
        <v>6.26</v>
      </c>
      <c r="N63" s="82">
        <v>0.34</v>
      </c>
      <c r="O63" s="82">
        <v>-0.32</v>
      </c>
      <c r="P63" s="82">
        <v>-0.09</v>
      </c>
      <c r="Q63" s="82">
        <v>0.77</v>
      </c>
      <c r="R63" s="82">
        <v>10.09</v>
      </c>
      <c r="S63" s="82">
        <v>0.7</v>
      </c>
      <c r="U63" s="82">
        <v>0.07</v>
      </c>
      <c r="V63" s="82">
        <v>0.93</v>
      </c>
      <c r="W63" s="82">
        <v>0.13</v>
      </c>
      <c r="X63" s="82">
        <v>8.79</v>
      </c>
      <c r="Y63" s="82">
        <v>-6.2</v>
      </c>
      <c r="Z63" s="191">
        <v>35187.55</v>
      </c>
      <c r="AA63" s="82">
        <v>34.66</v>
      </c>
      <c r="AB63" s="82">
        <v>3.5</v>
      </c>
      <c r="AC63" s="82">
        <v>0.06</v>
      </c>
      <c r="AD63" s="191">
        <v>4.4092421856E8</v>
      </c>
    </row>
    <row r="64">
      <c r="A64" s="82" t="s">
        <v>117</v>
      </c>
      <c r="B64" s="82">
        <v>11.07</v>
      </c>
      <c r="D64" s="82">
        <v>-0.59</v>
      </c>
      <c r="E64" s="82">
        <v>0.24</v>
      </c>
      <c r="F64" s="82">
        <v>0.03</v>
      </c>
      <c r="G64" s="82">
        <v>28.99</v>
      </c>
      <c r="H64" s="82">
        <v>-0.55</v>
      </c>
      <c r="I64" s="82">
        <v>-5.91</v>
      </c>
      <c r="J64" s="82">
        <v>-6.32</v>
      </c>
      <c r="K64" s="82">
        <v>-48.25</v>
      </c>
      <c r="L64" s="82">
        <v>-41.99</v>
      </c>
      <c r="M64" s="82">
        <v>1.58</v>
      </c>
      <c r="N64" s="82">
        <v>0.03</v>
      </c>
      <c r="O64" s="82">
        <v>-0.22</v>
      </c>
      <c r="P64" s="82">
        <v>-0.06</v>
      </c>
      <c r="Q64" s="82">
        <v>0.74</v>
      </c>
      <c r="R64" s="82">
        <v>-40.32</v>
      </c>
      <c r="S64" s="82">
        <v>-5.54</v>
      </c>
      <c r="T64" s="82">
        <v>-11.42</v>
      </c>
      <c r="U64" s="82">
        <v>0.14</v>
      </c>
      <c r="V64" s="82">
        <v>0.86</v>
      </c>
      <c r="W64" s="82">
        <v>0.94</v>
      </c>
      <c r="X64" s="82">
        <v>3.76</v>
      </c>
      <c r="Z64" s="191">
        <v>5.76565369E7</v>
      </c>
      <c r="AA64" s="82">
        <v>46.63</v>
      </c>
      <c r="AB64" s="82">
        <v>-18.8</v>
      </c>
      <c r="AC64" s="82">
        <v>0.0</v>
      </c>
      <c r="AD64" s="191">
        <v>1.045915541E9</v>
      </c>
    </row>
    <row r="65">
      <c r="A65" s="82" t="s">
        <v>118</v>
      </c>
      <c r="B65" s="82">
        <v>10.4</v>
      </c>
      <c r="D65" s="82">
        <v>-238.07</v>
      </c>
      <c r="E65" s="82">
        <v>1.08</v>
      </c>
      <c r="F65" s="82">
        <v>0.23</v>
      </c>
      <c r="G65" s="82">
        <v>50.04</v>
      </c>
      <c r="H65" s="82">
        <v>-13.62</v>
      </c>
      <c r="I65" s="82">
        <v>-5.22</v>
      </c>
      <c r="J65" s="82">
        <v>-91.21</v>
      </c>
      <c r="K65" s="82">
        <v>-91.21</v>
      </c>
      <c r="N65" s="82">
        <v>12.42</v>
      </c>
      <c r="P65" s="82">
        <v>-0.24</v>
      </c>
      <c r="R65" s="82">
        <v>-0.45</v>
      </c>
      <c r="S65" s="82">
        <v>-0.1</v>
      </c>
      <c r="U65" s="82">
        <v>0.22</v>
      </c>
      <c r="V65" s="82">
        <v>0.78</v>
      </c>
      <c r="W65" s="82">
        <v>0.02</v>
      </c>
      <c r="X65" s="82">
        <v>5.8</v>
      </c>
      <c r="AA65" s="82">
        <v>9.67</v>
      </c>
      <c r="AB65" s="82">
        <v>-0.04</v>
      </c>
      <c r="AC65" s="82">
        <v>0.13</v>
      </c>
      <c r="AD65" s="191">
        <v>8.99113976453E9</v>
      </c>
    </row>
    <row r="66">
      <c r="A66" s="82" t="s">
        <v>119</v>
      </c>
      <c r="B66" s="82">
        <v>3.4</v>
      </c>
      <c r="D66" s="82">
        <v>-233.49</v>
      </c>
      <c r="E66" s="82">
        <v>1.06</v>
      </c>
      <c r="F66" s="82">
        <v>0.23</v>
      </c>
      <c r="G66" s="82">
        <v>50.04</v>
      </c>
      <c r="H66" s="82">
        <v>-13.62</v>
      </c>
      <c r="I66" s="82">
        <v>-5.22</v>
      </c>
      <c r="J66" s="82">
        <v>-89.46</v>
      </c>
      <c r="K66" s="82">
        <v>-91.21</v>
      </c>
      <c r="N66" s="82">
        <v>12.19</v>
      </c>
      <c r="P66" s="82">
        <v>-0.24</v>
      </c>
      <c r="R66" s="82">
        <v>-0.45</v>
      </c>
      <c r="S66" s="82">
        <v>-0.1</v>
      </c>
      <c r="U66" s="82">
        <v>0.22</v>
      </c>
      <c r="V66" s="82">
        <v>0.78</v>
      </c>
      <c r="W66" s="82">
        <v>0.02</v>
      </c>
      <c r="X66" s="82">
        <v>5.8</v>
      </c>
      <c r="AA66" s="82">
        <v>3.22</v>
      </c>
      <c r="AB66" s="82">
        <v>-0.01</v>
      </c>
      <c r="AC66" s="82">
        <v>0.12</v>
      </c>
      <c r="AD66" s="191">
        <v>8.99113976453E9</v>
      </c>
    </row>
    <row r="67">
      <c r="A67" s="82" t="s">
        <v>120</v>
      </c>
      <c r="B67" s="82">
        <v>3.41</v>
      </c>
      <c r="D67" s="82">
        <v>-234.18</v>
      </c>
      <c r="E67" s="82">
        <v>1.06</v>
      </c>
      <c r="F67" s="82">
        <v>0.23</v>
      </c>
      <c r="G67" s="82">
        <v>50.04</v>
      </c>
      <c r="H67" s="82">
        <v>-13.62</v>
      </c>
      <c r="I67" s="82">
        <v>-5.22</v>
      </c>
      <c r="J67" s="82">
        <v>-89.72</v>
      </c>
      <c r="K67" s="82">
        <v>-91.21</v>
      </c>
      <c r="N67" s="82">
        <v>12.22</v>
      </c>
      <c r="P67" s="82">
        <v>-0.24</v>
      </c>
      <c r="R67" s="82">
        <v>-0.45</v>
      </c>
      <c r="S67" s="82">
        <v>-0.1</v>
      </c>
      <c r="U67" s="82">
        <v>0.22</v>
      </c>
      <c r="V67" s="82">
        <v>0.78</v>
      </c>
      <c r="W67" s="82">
        <v>0.02</v>
      </c>
      <c r="X67" s="82">
        <v>5.8</v>
      </c>
      <c r="AA67" s="82">
        <v>3.22</v>
      </c>
      <c r="AB67" s="82">
        <v>-0.01</v>
      </c>
      <c r="AC67" s="82">
        <v>0.12</v>
      </c>
      <c r="AD67" s="191">
        <v>8.99113976453E9</v>
      </c>
    </row>
    <row r="68">
      <c r="A68" s="82" t="s">
        <v>121</v>
      </c>
      <c r="B68" s="82">
        <v>5.75</v>
      </c>
      <c r="D68" s="82">
        <v>-6.0</v>
      </c>
      <c r="E68" s="82">
        <v>5.17</v>
      </c>
      <c r="F68" s="82">
        <v>1.51</v>
      </c>
      <c r="G68" s="82">
        <v>18.28</v>
      </c>
      <c r="H68" s="82">
        <v>-60.4</v>
      </c>
      <c r="I68" s="82">
        <v>-68.6</v>
      </c>
      <c r="J68" s="82">
        <v>-6.81</v>
      </c>
      <c r="K68" s="82">
        <v>-8.27</v>
      </c>
      <c r="L68" s="82">
        <v>-1.46</v>
      </c>
      <c r="M68" s="82">
        <v>1.11</v>
      </c>
      <c r="N68" s="82">
        <v>4.11</v>
      </c>
      <c r="O68" s="82">
        <v>14.74</v>
      </c>
      <c r="P68" s="82">
        <v>-2.35</v>
      </c>
      <c r="Q68" s="82">
        <v>1.4</v>
      </c>
      <c r="R68" s="82">
        <v>-86.26</v>
      </c>
      <c r="S68" s="82">
        <v>-25.16</v>
      </c>
      <c r="T68" s="82">
        <v>-29.62</v>
      </c>
      <c r="U68" s="82">
        <v>0.29</v>
      </c>
      <c r="V68" s="82">
        <v>0.71</v>
      </c>
      <c r="W68" s="82">
        <v>0.37</v>
      </c>
      <c r="X68" s="82">
        <v>299.61</v>
      </c>
      <c r="Z68" s="191">
        <v>58605.32</v>
      </c>
      <c r="AA68" s="82">
        <v>1.11</v>
      </c>
      <c r="AB68" s="82">
        <v>-0.96</v>
      </c>
      <c r="AC68" s="82">
        <v>0.39</v>
      </c>
      <c r="AD68" s="191">
        <v>5.12326863E8</v>
      </c>
    </row>
    <row r="69">
      <c r="A69" s="82" t="s">
        <v>122</v>
      </c>
      <c r="B69" s="82">
        <v>15.56</v>
      </c>
      <c r="C69" s="82">
        <v>2.71</v>
      </c>
      <c r="D69" s="82">
        <v>8.85</v>
      </c>
      <c r="E69" s="82">
        <v>1.42</v>
      </c>
      <c r="F69" s="82">
        <v>0.91</v>
      </c>
      <c r="G69" s="82">
        <v>39.36</v>
      </c>
      <c r="H69" s="82">
        <v>29.85</v>
      </c>
      <c r="I69" s="82">
        <v>23.41</v>
      </c>
      <c r="J69" s="82">
        <v>6.94</v>
      </c>
      <c r="K69" s="82">
        <v>7.21</v>
      </c>
      <c r="L69" s="82">
        <v>0.32</v>
      </c>
      <c r="M69" s="82">
        <v>0.07</v>
      </c>
      <c r="N69" s="82">
        <v>2.07</v>
      </c>
      <c r="O69" s="82">
        <v>2.43</v>
      </c>
      <c r="P69" s="82">
        <v>-1.93</v>
      </c>
      <c r="Q69" s="82">
        <v>3.44</v>
      </c>
      <c r="R69" s="82">
        <v>16.03</v>
      </c>
      <c r="S69" s="82">
        <v>10.3</v>
      </c>
      <c r="T69" s="82">
        <v>11.8</v>
      </c>
      <c r="U69" s="82">
        <v>0.64</v>
      </c>
      <c r="V69" s="82">
        <v>0.36</v>
      </c>
      <c r="W69" s="82">
        <v>0.44</v>
      </c>
      <c r="Z69" s="191">
        <v>5267076.45</v>
      </c>
      <c r="AA69" s="82">
        <v>11.01</v>
      </c>
      <c r="AB69" s="82">
        <v>1.76</v>
      </c>
      <c r="AC69" s="82">
        <v>9.43</v>
      </c>
      <c r="AD69" s="191">
        <v>2.7806060545E9</v>
      </c>
    </row>
    <row r="70">
      <c r="A70" s="82" t="s">
        <v>123</v>
      </c>
      <c r="B70" s="82">
        <v>5.14</v>
      </c>
      <c r="D70" s="82">
        <v>-5.63</v>
      </c>
      <c r="E70" s="82">
        <v>0.46</v>
      </c>
      <c r="F70" s="82">
        <v>0.14</v>
      </c>
      <c r="J70" s="82">
        <v>-6.17</v>
      </c>
      <c r="K70" s="82">
        <v>-4.91</v>
      </c>
      <c r="L70" s="82">
        <v>-1.59</v>
      </c>
      <c r="M70" s="82">
        <v>0.12</v>
      </c>
      <c r="O70" s="82">
        <v>-1.08</v>
      </c>
      <c r="P70" s="82">
        <v>-0.14</v>
      </c>
      <c r="Q70" s="82">
        <v>0.0</v>
      </c>
      <c r="R70" s="82">
        <v>-8.15</v>
      </c>
      <c r="S70" s="82">
        <v>-2.46</v>
      </c>
      <c r="T70" s="82">
        <v>-6.65</v>
      </c>
      <c r="U70" s="82">
        <v>0.3</v>
      </c>
      <c r="V70" s="82">
        <v>0.7</v>
      </c>
      <c r="W70" s="82">
        <v>0.0</v>
      </c>
      <c r="AA70" s="82">
        <v>11.21</v>
      </c>
      <c r="AB70" s="82">
        <v>-0.91</v>
      </c>
      <c r="AC70" s="82">
        <v>0.2</v>
      </c>
      <c r="AD70" s="191">
        <v>1.411560006E7</v>
      </c>
    </row>
    <row r="71">
      <c r="A71" s="82" t="s">
        <v>124</v>
      </c>
      <c r="B71" s="82">
        <v>1.52</v>
      </c>
      <c r="D71" s="82">
        <v>-1.66</v>
      </c>
      <c r="E71" s="82">
        <v>0.14</v>
      </c>
      <c r="F71" s="82">
        <v>0.04</v>
      </c>
      <c r="J71" s="82">
        <v>-1.82</v>
      </c>
      <c r="K71" s="82">
        <v>-4.91</v>
      </c>
      <c r="L71" s="82">
        <v>-1.59</v>
      </c>
      <c r="M71" s="82">
        <v>0.12</v>
      </c>
      <c r="O71" s="82">
        <v>-0.32</v>
      </c>
      <c r="P71" s="82">
        <v>-0.04</v>
      </c>
      <c r="Q71" s="82">
        <v>0.0</v>
      </c>
      <c r="R71" s="82">
        <v>-8.15</v>
      </c>
      <c r="S71" s="82">
        <v>-2.46</v>
      </c>
      <c r="T71" s="82">
        <v>-6.65</v>
      </c>
      <c r="U71" s="82">
        <v>0.3</v>
      </c>
      <c r="V71" s="82">
        <v>0.7</v>
      </c>
      <c r="W71" s="82">
        <v>0.0</v>
      </c>
      <c r="AA71" s="82">
        <v>11.21</v>
      </c>
      <c r="AB71" s="82">
        <v>-0.91</v>
      </c>
      <c r="AC71" s="82">
        <v>0.06</v>
      </c>
      <c r="AD71" s="191">
        <v>1.411560006E7</v>
      </c>
    </row>
    <row r="72">
      <c r="A72" s="82" t="s">
        <v>125</v>
      </c>
      <c r="B72" s="82">
        <v>20.22</v>
      </c>
      <c r="C72" s="82">
        <v>3.4</v>
      </c>
      <c r="D72" s="82">
        <v>7.37</v>
      </c>
      <c r="E72" s="82">
        <v>1.45</v>
      </c>
      <c r="F72" s="82">
        <v>0.12</v>
      </c>
      <c r="G72" s="82">
        <v>52.09</v>
      </c>
      <c r="H72" s="82">
        <v>7.94</v>
      </c>
      <c r="I72" s="82">
        <v>6.39</v>
      </c>
      <c r="J72" s="82">
        <v>5.93</v>
      </c>
      <c r="K72" s="82">
        <v>5.52</v>
      </c>
      <c r="N72" s="82">
        <v>0.47</v>
      </c>
      <c r="O72" s="82">
        <v>1.06</v>
      </c>
      <c r="P72" s="82">
        <v>-0.13</v>
      </c>
      <c r="R72" s="82">
        <v>19.66</v>
      </c>
      <c r="S72" s="82">
        <v>1.59</v>
      </c>
      <c r="U72" s="82">
        <v>0.08</v>
      </c>
      <c r="V72" s="82">
        <v>0.92</v>
      </c>
      <c r="W72" s="82">
        <v>0.25</v>
      </c>
      <c r="X72" s="82">
        <v>5.94</v>
      </c>
      <c r="Y72" s="82">
        <v>31.72</v>
      </c>
      <c r="Z72" s="191">
        <v>33857.33</v>
      </c>
      <c r="AA72" s="82">
        <v>13.96</v>
      </c>
      <c r="AB72" s="82">
        <v>2.74</v>
      </c>
      <c r="AC72" s="82">
        <v>0.15</v>
      </c>
      <c r="AD72" s="191">
        <v>1.97210043768E9</v>
      </c>
    </row>
    <row r="73">
      <c r="A73" s="82" t="s">
        <v>126</v>
      </c>
      <c r="B73" s="82">
        <v>16.48</v>
      </c>
      <c r="C73" s="82">
        <v>4.63</v>
      </c>
      <c r="D73" s="82">
        <v>5.94</v>
      </c>
      <c r="E73" s="82">
        <v>1.17</v>
      </c>
      <c r="F73" s="82">
        <v>0.09</v>
      </c>
      <c r="G73" s="82">
        <v>52.09</v>
      </c>
      <c r="H73" s="82">
        <v>7.94</v>
      </c>
      <c r="I73" s="82">
        <v>6.39</v>
      </c>
      <c r="J73" s="82">
        <v>4.78</v>
      </c>
      <c r="K73" s="82">
        <v>5.52</v>
      </c>
      <c r="N73" s="82">
        <v>0.38</v>
      </c>
      <c r="O73" s="82">
        <v>0.86</v>
      </c>
      <c r="P73" s="82">
        <v>-0.11</v>
      </c>
      <c r="R73" s="82">
        <v>19.66</v>
      </c>
      <c r="S73" s="82">
        <v>1.59</v>
      </c>
      <c r="U73" s="82">
        <v>0.08</v>
      </c>
      <c r="V73" s="82">
        <v>0.92</v>
      </c>
      <c r="W73" s="82">
        <v>0.25</v>
      </c>
      <c r="X73" s="82">
        <v>5.94</v>
      </c>
      <c r="Y73" s="82">
        <v>31.72</v>
      </c>
      <c r="Z73" s="191">
        <v>482608.3</v>
      </c>
      <c r="AA73" s="82">
        <v>13.96</v>
      </c>
      <c r="AB73" s="82">
        <v>2.74</v>
      </c>
      <c r="AC73" s="82">
        <v>0.12</v>
      </c>
      <c r="AD73" s="191">
        <v>1.97210043768E9</v>
      </c>
    </row>
    <row r="74">
      <c r="A74" s="82" t="s">
        <v>127</v>
      </c>
      <c r="B74" s="82">
        <v>3.18</v>
      </c>
      <c r="C74" s="82">
        <v>1.26</v>
      </c>
      <c r="D74" s="82">
        <v>8.42</v>
      </c>
      <c r="E74" s="82">
        <v>0.45</v>
      </c>
      <c r="F74" s="82">
        <v>0.04</v>
      </c>
      <c r="G74" s="82">
        <v>35.71</v>
      </c>
      <c r="H74" s="82">
        <v>0.71</v>
      </c>
      <c r="I74" s="82">
        <v>3.05</v>
      </c>
      <c r="J74" s="82">
        <v>36.46</v>
      </c>
      <c r="K74" s="82">
        <v>36.23</v>
      </c>
      <c r="N74" s="82">
        <v>0.26</v>
      </c>
      <c r="P74" s="82">
        <v>-0.04</v>
      </c>
      <c r="R74" s="82">
        <v>5.32</v>
      </c>
      <c r="S74" s="82">
        <v>0.5</v>
      </c>
      <c r="U74" s="82">
        <v>0.09</v>
      </c>
      <c r="V74" s="82">
        <v>0.91</v>
      </c>
      <c r="W74" s="82">
        <v>0.16</v>
      </c>
      <c r="X74" s="82">
        <v>19.34</v>
      </c>
      <c r="Y74" s="82">
        <v>78.0</v>
      </c>
      <c r="Z74" s="191">
        <v>5731036.7</v>
      </c>
      <c r="AA74" s="82">
        <v>7.1</v>
      </c>
      <c r="AB74" s="82">
        <v>0.38</v>
      </c>
      <c r="AC74" s="82">
        <v>0.04</v>
      </c>
      <c r="AD74" s="191">
        <v>1.84301441876E9</v>
      </c>
    </row>
    <row r="75">
      <c r="A75" s="82" t="s">
        <v>128</v>
      </c>
      <c r="B75" s="82">
        <v>20.0</v>
      </c>
      <c r="C75" s="82">
        <v>6.04</v>
      </c>
      <c r="D75" s="82">
        <v>10.06</v>
      </c>
      <c r="E75" s="82">
        <v>0.7</v>
      </c>
      <c r="F75" s="82">
        <v>0.37</v>
      </c>
      <c r="G75" s="82">
        <v>59.27</v>
      </c>
      <c r="H75" s="82">
        <v>33.24</v>
      </c>
      <c r="I75" s="82">
        <v>26.08</v>
      </c>
      <c r="J75" s="82">
        <v>7.89</v>
      </c>
      <c r="K75" s="82">
        <v>7.69</v>
      </c>
      <c r="N75" s="82">
        <v>2.62</v>
      </c>
      <c r="O75" s="82">
        <v>81.3</v>
      </c>
      <c r="P75" s="82">
        <v>-0.37</v>
      </c>
      <c r="R75" s="82">
        <v>7.0</v>
      </c>
      <c r="S75" s="82">
        <v>3.71</v>
      </c>
      <c r="U75" s="82">
        <v>0.53</v>
      </c>
      <c r="V75" s="82">
        <v>0.47</v>
      </c>
      <c r="W75" s="82">
        <v>0.14</v>
      </c>
      <c r="X75" s="82">
        <v>16.78</v>
      </c>
      <c r="Z75" s="191">
        <v>5110.0</v>
      </c>
      <c r="AA75" s="82">
        <v>28.39</v>
      </c>
      <c r="AB75" s="82">
        <v>1.99</v>
      </c>
      <c r="AC75" s="82">
        <v>0.22</v>
      </c>
      <c r="AD75" s="191">
        <v>9.396878949E7</v>
      </c>
    </row>
    <row r="76">
      <c r="A76" s="82" t="s">
        <v>129</v>
      </c>
      <c r="B76" s="82">
        <v>16.43</v>
      </c>
      <c r="C76" s="82">
        <v>7.35</v>
      </c>
      <c r="D76" s="82">
        <v>8.27</v>
      </c>
      <c r="E76" s="82">
        <v>0.58</v>
      </c>
      <c r="F76" s="82">
        <v>0.31</v>
      </c>
      <c r="G76" s="82">
        <v>59.27</v>
      </c>
      <c r="H76" s="82">
        <v>33.24</v>
      </c>
      <c r="I76" s="82">
        <v>26.08</v>
      </c>
      <c r="J76" s="82">
        <v>6.49</v>
      </c>
      <c r="K76" s="82">
        <v>7.69</v>
      </c>
      <c r="N76" s="82">
        <v>2.16</v>
      </c>
      <c r="O76" s="82">
        <v>66.79</v>
      </c>
      <c r="P76" s="82">
        <v>-0.31</v>
      </c>
      <c r="R76" s="82">
        <v>7.0</v>
      </c>
      <c r="S76" s="82">
        <v>3.71</v>
      </c>
      <c r="U76" s="82">
        <v>0.53</v>
      </c>
      <c r="V76" s="82">
        <v>0.47</v>
      </c>
      <c r="W76" s="82">
        <v>0.14</v>
      </c>
      <c r="X76" s="82">
        <v>16.78</v>
      </c>
      <c r="Z76" s="191">
        <v>7723.55</v>
      </c>
      <c r="AA76" s="82">
        <v>28.39</v>
      </c>
      <c r="AB76" s="82">
        <v>1.99</v>
      </c>
      <c r="AC76" s="82">
        <v>0.18</v>
      </c>
      <c r="AD76" s="191">
        <v>9.396878949E7</v>
      </c>
    </row>
    <row r="77">
      <c r="A77" s="82" t="s">
        <v>130</v>
      </c>
      <c r="B77" s="82">
        <v>350.0</v>
      </c>
      <c r="C77" s="82">
        <v>16.05</v>
      </c>
      <c r="D77" s="82">
        <v>7.51</v>
      </c>
      <c r="E77" s="82">
        <v>0.8</v>
      </c>
      <c r="F77" s="82">
        <v>0.7</v>
      </c>
      <c r="G77" s="82">
        <v>28.02</v>
      </c>
      <c r="H77" s="82">
        <v>25.71</v>
      </c>
      <c r="I77" s="82">
        <v>136.17</v>
      </c>
      <c r="J77" s="82">
        <v>39.75</v>
      </c>
      <c r="K77" s="82">
        <v>1.55</v>
      </c>
      <c r="L77" s="82">
        <v>-38.2</v>
      </c>
      <c r="M77" s="82">
        <v>-0.77</v>
      </c>
      <c r="N77" s="82">
        <v>10.22</v>
      </c>
      <c r="O77" s="82">
        <v>0.95</v>
      </c>
      <c r="P77" s="82">
        <v>-2.85</v>
      </c>
      <c r="Q77" s="82">
        <v>36.3</v>
      </c>
      <c r="R77" s="82">
        <v>10.66</v>
      </c>
      <c r="S77" s="82">
        <v>9.28</v>
      </c>
      <c r="T77" s="82">
        <v>-1.63</v>
      </c>
      <c r="U77" s="82">
        <v>0.87</v>
      </c>
      <c r="V77" s="82">
        <v>0.13</v>
      </c>
      <c r="W77" s="82">
        <v>0.07</v>
      </c>
      <c r="X77" s="82">
        <v>2.51</v>
      </c>
      <c r="Y77" s="82">
        <v>22.12</v>
      </c>
      <c r="Z77" s="191">
        <v>12995.6</v>
      </c>
      <c r="AA77" s="82">
        <v>450.03</v>
      </c>
      <c r="AB77" s="82">
        <v>47.95</v>
      </c>
      <c r="AC77" s="82">
        <v>-1.78</v>
      </c>
      <c r="AD77" s="191">
        <v>1.636963575E8</v>
      </c>
    </row>
    <row r="78">
      <c r="A78" s="82" t="s">
        <v>131</v>
      </c>
      <c r="B78" s="82">
        <v>13.52</v>
      </c>
      <c r="C78" s="82">
        <v>1.65</v>
      </c>
      <c r="D78" s="82">
        <v>17.18</v>
      </c>
      <c r="E78" s="82">
        <v>1.09</v>
      </c>
      <c r="F78" s="82">
        <v>0.84</v>
      </c>
      <c r="G78" s="82">
        <v>24.0</v>
      </c>
      <c r="H78" s="82">
        <v>7.5</v>
      </c>
      <c r="I78" s="82">
        <v>5.24</v>
      </c>
      <c r="J78" s="82">
        <v>12.01</v>
      </c>
      <c r="K78" s="82">
        <v>6.49</v>
      </c>
      <c r="L78" s="82">
        <v>-5.46</v>
      </c>
      <c r="M78" s="82">
        <v>-0.5</v>
      </c>
      <c r="N78" s="82">
        <v>0.9</v>
      </c>
      <c r="O78" s="82">
        <v>1.81</v>
      </c>
      <c r="P78" s="82">
        <v>-2.52</v>
      </c>
      <c r="Q78" s="82">
        <v>3.35</v>
      </c>
      <c r="R78" s="82">
        <v>6.35</v>
      </c>
      <c r="S78" s="82">
        <v>4.92</v>
      </c>
      <c r="T78" s="82">
        <v>4.52</v>
      </c>
      <c r="U78" s="82">
        <v>0.78</v>
      </c>
      <c r="V78" s="82">
        <v>0.22</v>
      </c>
      <c r="W78" s="82">
        <v>0.94</v>
      </c>
      <c r="Z78" s="191">
        <v>3495105.6</v>
      </c>
      <c r="AA78" s="82">
        <v>12.41</v>
      </c>
      <c r="AB78" s="82">
        <v>0.79</v>
      </c>
      <c r="AC78" s="82">
        <v>-0.8</v>
      </c>
      <c r="AD78" s="191">
        <v>1.17106969432E9</v>
      </c>
    </row>
    <row r="79">
      <c r="A79" s="82" t="s">
        <v>132</v>
      </c>
      <c r="B79" s="82">
        <v>112.0</v>
      </c>
      <c r="C79" s="82">
        <v>3.16</v>
      </c>
      <c r="D79" s="82">
        <v>4.28</v>
      </c>
      <c r="E79" s="82">
        <v>0.94</v>
      </c>
      <c r="F79" s="82">
        <v>0.15</v>
      </c>
      <c r="G79" s="82">
        <v>47.54</v>
      </c>
      <c r="H79" s="82">
        <v>42.45</v>
      </c>
      <c r="I79" s="82">
        <v>25.39</v>
      </c>
      <c r="J79" s="82">
        <v>2.56</v>
      </c>
      <c r="K79" s="82">
        <v>2.56</v>
      </c>
      <c r="N79" s="82">
        <v>1.09</v>
      </c>
      <c r="O79" s="82">
        <v>3.82</v>
      </c>
      <c r="P79" s="82">
        <v>-0.16</v>
      </c>
      <c r="R79" s="82">
        <v>22.0</v>
      </c>
      <c r="S79" s="82">
        <v>3.48</v>
      </c>
      <c r="U79" s="82">
        <v>0.16</v>
      </c>
      <c r="V79" s="82">
        <v>0.84</v>
      </c>
      <c r="W79" s="82">
        <v>0.14</v>
      </c>
      <c r="X79" s="82">
        <v>8.76</v>
      </c>
      <c r="Y79" s="82">
        <v>25.82</v>
      </c>
      <c r="Z79" s="191">
        <v>20002.64</v>
      </c>
      <c r="AA79" s="82">
        <v>118.87</v>
      </c>
      <c r="AB79" s="82">
        <v>26.16</v>
      </c>
      <c r="AC79" s="82">
        <v>0.32</v>
      </c>
      <c r="AD79" s="191">
        <v>9.673603968E9</v>
      </c>
    </row>
    <row r="80">
      <c r="A80" s="82" t="s">
        <v>133</v>
      </c>
      <c r="B80" s="82">
        <v>7.95</v>
      </c>
      <c r="D80" s="82">
        <v>15.22</v>
      </c>
      <c r="E80" s="82">
        <v>1.83</v>
      </c>
      <c r="F80" s="82">
        <v>1.7</v>
      </c>
      <c r="G80" s="82">
        <v>56.53</v>
      </c>
      <c r="H80" s="82">
        <v>19.25</v>
      </c>
      <c r="I80" s="82">
        <v>32.39</v>
      </c>
      <c r="J80" s="82">
        <v>25.6</v>
      </c>
      <c r="K80" s="82">
        <v>18.69</v>
      </c>
      <c r="L80" s="82">
        <v>-6.92</v>
      </c>
      <c r="M80" s="82">
        <v>-0.5</v>
      </c>
      <c r="N80" s="82">
        <v>4.93</v>
      </c>
      <c r="O80" s="82">
        <v>3.34</v>
      </c>
      <c r="P80" s="82">
        <v>-3.8</v>
      </c>
      <c r="Q80" s="82">
        <v>12.37</v>
      </c>
      <c r="R80" s="82">
        <v>12.04</v>
      </c>
      <c r="S80" s="82">
        <v>11.16</v>
      </c>
      <c r="T80" s="82">
        <v>4.65</v>
      </c>
      <c r="U80" s="82">
        <v>0.93</v>
      </c>
      <c r="V80" s="82">
        <v>0.07</v>
      </c>
      <c r="W80" s="82">
        <v>0.34</v>
      </c>
      <c r="X80" s="82">
        <v>8.81</v>
      </c>
      <c r="Y80" s="82">
        <v>74.34</v>
      </c>
      <c r="Z80" s="191">
        <v>5.33102765E7</v>
      </c>
      <c r="AA80" s="82">
        <v>4.34</v>
      </c>
      <c r="AB80" s="82">
        <v>0.52</v>
      </c>
      <c r="AC80" s="82">
        <v>5.59</v>
      </c>
      <c r="AD80" s="191">
        <v>4.21225061775E9</v>
      </c>
    </row>
    <row r="81">
      <c r="A81" s="82" t="s">
        <v>134</v>
      </c>
      <c r="B81" s="82">
        <v>0.0</v>
      </c>
      <c r="D81" s="82">
        <v>0.0</v>
      </c>
      <c r="E81" s="82">
        <v>0.0</v>
      </c>
      <c r="F81" s="82">
        <v>0.0</v>
      </c>
      <c r="G81" s="82">
        <v>39.6</v>
      </c>
      <c r="H81" s="82">
        <v>15.89</v>
      </c>
      <c r="I81" s="82">
        <v>7.28</v>
      </c>
      <c r="J81" s="82">
        <v>0.0</v>
      </c>
      <c r="K81" s="82">
        <v>2.6</v>
      </c>
      <c r="L81" s="82">
        <v>1.55</v>
      </c>
      <c r="N81" s="82">
        <v>0.0</v>
      </c>
      <c r="O81" s="82">
        <v>0.0</v>
      </c>
      <c r="P81" s="82">
        <v>0.0</v>
      </c>
      <c r="Q81" s="82">
        <v>0.84</v>
      </c>
      <c r="R81" s="82">
        <v>-149.2</v>
      </c>
      <c r="S81" s="82">
        <v>11.92</v>
      </c>
      <c r="T81" s="82">
        <v>59.94</v>
      </c>
      <c r="U81" s="82">
        <v>-0.08</v>
      </c>
      <c r="V81" s="82">
        <v>1.08</v>
      </c>
      <c r="W81" s="82">
        <v>1.64</v>
      </c>
      <c r="X81" s="82">
        <v>6.05</v>
      </c>
      <c r="Y81" s="82">
        <v>-3.28</v>
      </c>
      <c r="AA81" s="82">
        <v>-0.28</v>
      </c>
      <c r="AB81" s="82">
        <v>0.41</v>
      </c>
      <c r="AC81" s="82">
        <v>0.0</v>
      </c>
      <c r="AD81" s="191">
        <v>2.45788924E8</v>
      </c>
    </row>
    <row r="82">
      <c r="A82" s="82" t="s">
        <v>135</v>
      </c>
      <c r="B82" s="82">
        <v>2.04</v>
      </c>
      <c r="D82" s="82">
        <v>4.9</v>
      </c>
      <c r="E82" s="82">
        <v>-7.31</v>
      </c>
      <c r="F82" s="82">
        <v>0.58</v>
      </c>
      <c r="G82" s="82">
        <v>39.6</v>
      </c>
      <c r="H82" s="82">
        <v>15.89</v>
      </c>
      <c r="I82" s="82">
        <v>7.28</v>
      </c>
      <c r="J82" s="82">
        <v>2.25</v>
      </c>
      <c r="K82" s="82">
        <v>2.6</v>
      </c>
      <c r="L82" s="82">
        <v>1.55</v>
      </c>
      <c r="N82" s="82">
        <v>0.36</v>
      </c>
      <c r="O82" s="82">
        <v>-6.1</v>
      </c>
      <c r="P82" s="82">
        <v>-1.14</v>
      </c>
      <c r="Q82" s="82">
        <v>0.84</v>
      </c>
      <c r="R82" s="82">
        <v>-149.2</v>
      </c>
      <c r="S82" s="82">
        <v>11.92</v>
      </c>
      <c r="T82" s="82">
        <v>59.94</v>
      </c>
      <c r="U82" s="82">
        <v>-0.08</v>
      </c>
      <c r="V82" s="82">
        <v>1.08</v>
      </c>
      <c r="W82" s="82">
        <v>1.64</v>
      </c>
      <c r="X82" s="82">
        <v>6.05</v>
      </c>
      <c r="Y82" s="82">
        <v>-3.28</v>
      </c>
      <c r="Z82" s="191">
        <v>67494.55</v>
      </c>
      <c r="AA82" s="82">
        <v>-0.28</v>
      </c>
      <c r="AB82" s="82">
        <v>0.41</v>
      </c>
      <c r="AC82" s="82">
        <v>-0.02</v>
      </c>
      <c r="AD82" s="191">
        <v>2.45788924E8</v>
      </c>
    </row>
    <row r="83">
      <c r="A83" s="82" t="s">
        <v>136</v>
      </c>
      <c r="B83" s="82">
        <v>37.12</v>
      </c>
      <c r="C83" s="82">
        <v>2.1</v>
      </c>
      <c r="D83" s="82">
        <v>16.12</v>
      </c>
      <c r="E83" s="82">
        <v>2.98</v>
      </c>
      <c r="F83" s="82">
        <v>0.33</v>
      </c>
      <c r="G83" s="82">
        <v>19.88</v>
      </c>
      <c r="H83" s="82">
        <v>23.13</v>
      </c>
      <c r="I83" s="82">
        <v>19.91</v>
      </c>
      <c r="J83" s="82">
        <v>13.88</v>
      </c>
      <c r="K83" s="82">
        <v>13.8</v>
      </c>
      <c r="N83" s="82">
        <v>3.21</v>
      </c>
      <c r="O83" s="82">
        <v>23.14</v>
      </c>
      <c r="P83" s="82">
        <v>-3.43</v>
      </c>
      <c r="Q83" s="82">
        <v>1.02</v>
      </c>
      <c r="R83" s="82">
        <v>18.51</v>
      </c>
      <c r="S83" s="82">
        <v>2.07</v>
      </c>
      <c r="U83" s="82">
        <v>0.11</v>
      </c>
      <c r="V83" s="82">
        <v>0.89</v>
      </c>
      <c r="W83" s="82">
        <v>0.1</v>
      </c>
      <c r="X83" s="82">
        <v>46.0</v>
      </c>
      <c r="Y83" s="82">
        <v>33.74</v>
      </c>
      <c r="Z83" s="191">
        <v>2.0771844395E8</v>
      </c>
      <c r="AA83" s="82">
        <v>12.46</v>
      </c>
      <c r="AB83" s="82">
        <v>2.31</v>
      </c>
      <c r="AC83" s="82">
        <v>0.68</v>
      </c>
      <c r="AD83" s="191">
        <v>1.4179375124605E11</v>
      </c>
    </row>
    <row r="84">
      <c r="A84" s="82" t="s">
        <v>137</v>
      </c>
      <c r="B84" s="82">
        <v>17.36</v>
      </c>
      <c r="C84" s="82">
        <v>1.5</v>
      </c>
      <c r="D84" s="82">
        <v>22.59</v>
      </c>
      <c r="E84" s="82">
        <v>4.18</v>
      </c>
      <c r="F84" s="82">
        <v>0.47</v>
      </c>
      <c r="G84" s="82">
        <v>19.88</v>
      </c>
      <c r="H84" s="82">
        <v>23.13</v>
      </c>
      <c r="I84" s="82">
        <v>19.91</v>
      </c>
      <c r="J84" s="82">
        <v>19.45</v>
      </c>
      <c r="K84" s="82">
        <v>13.8</v>
      </c>
      <c r="N84" s="82">
        <v>4.5</v>
      </c>
      <c r="O84" s="82">
        <v>32.43</v>
      </c>
      <c r="P84" s="82">
        <v>-4.8</v>
      </c>
      <c r="Q84" s="82">
        <v>1.02</v>
      </c>
      <c r="R84" s="82">
        <v>18.51</v>
      </c>
      <c r="S84" s="82">
        <v>2.07</v>
      </c>
      <c r="U84" s="82">
        <v>0.11</v>
      </c>
      <c r="V84" s="82">
        <v>0.89</v>
      </c>
      <c r="W84" s="82">
        <v>0.1</v>
      </c>
      <c r="X84" s="82">
        <v>46.0</v>
      </c>
      <c r="Y84" s="82">
        <v>33.74</v>
      </c>
      <c r="Z84" s="191">
        <v>93947.21</v>
      </c>
      <c r="AA84" s="82">
        <v>4.15</v>
      </c>
      <c r="AB84" s="82">
        <v>0.77</v>
      </c>
      <c r="AC84" s="82">
        <v>0.96</v>
      </c>
      <c r="AD84" s="191">
        <v>1.4179375124605E11</v>
      </c>
    </row>
    <row r="85">
      <c r="A85" s="82" t="s">
        <v>138</v>
      </c>
      <c r="B85" s="82">
        <v>9.87</v>
      </c>
      <c r="C85" s="82">
        <v>2.63</v>
      </c>
      <c r="D85" s="82">
        <v>12.84</v>
      </c>
      <c r="E85" s="82">
        <v>2.38</v>
      </c>
      <c r="F85" s="82">
        <v>0.27</v>
      </c>
      <c r="G85" s="82">
        <v>19.88</v>
      </c>
      <c r="H85" s="82">
        <v>23.13</v>
      </c>
      <c r="I85" s="82">
        <v>19.91</v>
      </c>
      <c r="J85" s="82">
        <v>11.06</v>
      </c>
      <c r="K85" s="82">
        <v>13.8</v>
      </c>
      <c r="N85" s="82">
        <v>2.56</v>
      </c>
      <c r="O85" s="82">
        <v>18.44</v>
      </c>
      <c r="P85" s="82">
        <v>-2.73</v>
      </c>
      <c r="Q85" s="82">
        <v>1.02</v>
      </c>
      <c r="R85" s="82">
        <v>18.51</v>
      </c>
      <c r="S85" s="82">
        <v>2.07</v>
      </c>
      <c r="U85" s="82">
        <v>0.11</v>
      </c>
      <c r="V85" s="82">
        <v>0.89</v>
      </c>
      <c r="W85" s="82">
        <v>0.1</v>
      </c>
      <c r="X85" s="82">
        <v>46.0</v>
      </c>
      <c r="Y85" s="82">
        <v>33.74</v>
      </c>
      <c r="Z85" s="191">
        <v>75117.95</v>
      </c>
      <c r="AA85" s="82">
        <v>4.15</v>
      </c>
      <c r="AB85" s="82">
        <v>0.77</v>
      </c>
      <c r="AC85" s="82">
        <v>0.54</v>
      </c>
      <c r="AD85" s="191">
        <v>1.4179375124605E11</v>
      </c>
    </row>
    <row r="86">
      <c r="A86" s="82" t="s">
        <v>139</v>
      </c>
      <c r="B86" s="82">
        <v>8.28</v>
      </c>
      <c r="D86" s="82">
        <v>16.97</v>
      </c>
      <c r="E86" s="82">
        <v>1.44</v>
      </c>
      <c r="F86" s="82">
        <v>0.2</v>
      </c>
      <c r="G86" s="82">
        <v>49.84</v>
      </c>
      <c r="H86" s="82">
        <v>4.88</v>
      </c>
      <c r="I86" s="82">
        <v>4.32</v>
      </c>
      <c r="J86" s="82">
        <v>15.0</v>
      </c>
      <c r="K86" s="82">
        <v>14.95</v>
      </c>
      <c r="N86" s="82">
        <v>0.73</v>
      </c>
      <c r="P86" s="82">
        <v>-0.2</v>
      </c>
      <c r="R86" s="82">
        <v>8.47</v>
      </c>
      <c r="S86" s="82">
        <v>1.16</v>
      </c>
      <c r="U86" s="82">
        <v>0.14</v>
      </c>
      <c r="V86" s="82">
        <v>0.86</v>
      </c>
      <c r="W86" s="82">
        <v>0.27</v>
      </c>
      <c r="X86" s="82">
        <v>8.24</v>
      </c>
      <c r="Y86" s="82">
        <v>41.4</v>
      </c>
      <c r="Z86" s="191">
        <v>1.558976915E7</v>
      </c>
      <c r="AA86" s="82">
        <v>5.79</v>
      </c>
      <c r="AB86" s="82">
        <v>0.49</v>
      </c>
      <c r="AC86" s="82">
        <v>-2.01</v>
      </c>
      <c r="AD86" s="191">
        <v>1.05205910461E10</v>
      </c>
    </row>
    <row r="87">
      <c r="A87" s="82" t="s">
        <v>140</v>
      </c>
      <c r="B87" s="82">
        <v>182.07</v>
      </c>
      <c r="D87" s="82">
        <v>7.65</v>
      </c>
      <c r="E87" s="82">
        <v>0.94</v>
      </c>
      <c r="F87" s="82">
        <v>0.1</v>
      </c>
      <c r="G87" s="82">
        <v>48.75</v>
      </c>
      <c r="H87" s="82">
        <v>13.16</v>
      </c>
      <c r="I87" s="82">
        <v>7.91</v>
      </c>
      <c r="J87" s="82">
        <v>4.59</v>
      </c>
      <c r="K87" s="82">
        <v>4.59</v>
      </c>
      <c r="N87" s="82">
        <v>0.6</v>
      </c>
      <c r="O87" s="82">
        <v>6.24</v>
      </c>
      <c r="P87" s="82">
        <v>-0.11</v>
      </c>
      <c r="R87" s="82">
        <v>12.3</v>
      </c>
      <c r="S87" s="82">
        <v>1.36</v>
      </c>
      <c r="U87" s="82">
        <v>0.11</v>
      </c>
      <c r="V87" s="82">
        <v>0.89</v>
      </c>
      <c r="W87" s="82">
        <v>0.17</v>
      </c>
      <c r="X87" s="82">
        <v>4.66</v>
      </c>
      <c r="Y87" s="82">
        <v>-0.41</v>
      </c>
      <c r="AA87" s="82">
        <v>193.58</v>
      </c>
      <c r="AB87" s="82">
        <v>23.82</v>
      </c>
      <c r="AC87" s="82">
        <v>-0.44</v>
      </c>
      <c r="AD87" s="191">
        <v>1.73360663343E9</v>
      </c>
    </row>
    <row r="88">
      <c r="A88" s="82" t="s">
        <v>141</v>
      </c>
      <c r="B88" s="82">
        <v>44.05</v>
      </c>
      <c r="D88" s="82">
        <v>6.98</v>
      </c>
      <c r="E88" s="82">
        <v>0.66</v>
      </c>
      <c r="F88" s="82">
        <v>0.09</v>
      </c>
      <c r="G88" s="82">
        <v>51.56</v>
      </c>
      <c r="H88" s="82">
        <v>21.77</v>
      </c>
      <c r="I88" s="82">
        <v>5.61</v>
      </c>
      <c r="J88" s="82">
        <v>1.8</v>
      </c>
      <c r="K88" s="82">
        <v>1.8</v>
      </c>
      <c r="N88" s="82">
        <v>0.39</v>
      </c>
      <c r="P88" s="82">
        <v>-0.12</v>
      </c>
      <c r="R88" s="82">
        <v>9.46</v>
      </c>
      <c r="S88" s="82">
        <v>1.35</v>
      </c>
      <c r="U88" s="82">
        <v>0.14</v>
      </c>
      <c r="V88" s="82">
        <v>0.86</v>
      </c>
      <c r="W88" s="82">
        <v>0.24</v>
      </c>
      <c r="X88" s="82">
        <v>14.99</v>
      </c>
      <c r="Y88" s="82">
        <v>-18.89</v>
      </c>
      <c r="AA88" s="82">
        <v>66.71</v>
      </c>
      <c r="AB88" s="82">
        <v>6.31</v>
      </c>
      <c r="AC88" s="82">
        <v>-0.11</v>
      </c>
      <c r="AD88" s="191">
        <v>1.533769021E9</v>
      </c>
    </row>
    <row r="89">
      <c r="A89" s="82" t="s">
        <v>142</v>
      </c>
      <c r="B89" s="82">
        <v>0.62</v>
      </c>
      <c r="D89" s="82">
        <v>0.06</v>
      </c>
      <c r="E89" s="82">
        <v>-0.24</v>
      </c>
      <c r="F89" s="82">
        <v>0.99</v>
      </c>
      <c r="G89" s="82">
        <v>98.02</v>
      </c>
      <c r="H89" s="191">
        <v>1029.99</v>
      </c>
      <c r="I89" s="191">
        <v>13896.67</v>
      </c>
      <c r="J89" s="82">
        <v>0.8</v>
      </c>
      <c r="K89" s="82">
        <v>1.66</v>
      </c>
      <c r="L89" s="82">
        <v>0.85</v>
      </c>
      <c r="N89" s="82">
        <v>8.28</v>
      </c>
      <c r="O89" s="82">
        <v>-0.38</v>
      </c>
      <c r="P89" s="82">
        <v>-1.18</v>
      </c>
      <c r="Q89" s="82">
        <v>0.06</v>
      </c>
      <c r="R89" s="82">
        <v>-402.5</v>
      </c>
      <c r="S89" s="191">
        <v>1669.02</v>
      </c>
      <c r="T89" s="82">
        <v>-36.75</v>
      </c>
      <c r="U89" s="82">
        <v>-4.15</v>
      </c>
      <c r="V89" s="82">
        <v>5.15</v>
      </c>
      <c r="W89" s="82">
        <v>0.12</v>
      </c>
      <c r="X89" s="82">
        <v>-68.85</v>
      </c>
      <c r="AA89" s="82">
        <v>-2.58</v>
      </c>
      <c r="AB89" s="82">
        <v>10.4</v>
      </c>
      <c r="AC89" s="82">
        <v>0.0</v>
      </c>
      <c r="AD89" s="191">
        <v>7.011029874E7</v>
      </c>
    </row>
    <row r="90">
      <c r="A90" s="82" t="s">
        <v>143</v>
      </c>
      <c r="B90" s="82">
        <v>23.21</v>
      </c>
      <c r="C90" s="82">
        <v>11.86</v>
      </c>
      <c r="D90" s="82">
        <v>4.29</v>
      </c>
      <c r="E90" s="82">
        <v>1.14</v>
      </c>
      <c r="F90" s="82">
        <v>1.12</v>
      </c>
      <c r="J90" s="82">
        <v>4.43</v>
      </c>
      <c r="K90" s="82">
        <v>4.45</v>
      </c>
      <c r="L90" s="82">
        <v>-0.24</v>
      </c>
      <c r="M90" s="82">
        <v>-0.06</v>
      </c>
      <c r="O90" s="82">
        <v>19.83</v>
      </c>
      <c r="P90" s="82">
        <v>-1.2</v>
      </c>
      <c r="Q90" s="82">
        <v>5.31</v>
      </c>
      <c r="R90" s="82">
        <v>26.44</v>
      </c>
      <c r="S90" s="82">
        <v>26.09</v>
      </c>
      <c r="T90" s="82">
        <v>25.51</v>
      </c>
      <c r="U90" s="82">
        <v>0.99</v>
      </c>
      <c r="V90" s="82">
        <v>0.01</v>
      </c>
      <c r="W90" s="82">
        <v>0.0</v>
      </c>
      <c r="Y90" s="82">
        <v>-1.84</v>
      </c>
      <c r="Z90" s="191">
        <v>1308158.2</v>
      </c>
      <c r="AA90" s="82">
        <v>20.41</v>
      </c>
      <c r="AB90" s="82">
        <v>5.4</v>
      </c>
      <c r="AC90" s="82">
        <v>-0.07</v>
      </c>
      <c r="AD90" s="191">
        <v>9.65983265808E9</v>
      </c>
    </row>
    <row r="91">
      <c r="A91" s="82" t="s">
        <v>144</v>
      </c>
      <c r="B91" s="82">
        <v>25.38</v>
      </c>
      <c r="C91" s="82">
        <v>11.9</v>
      </c>
      <c r="D91" s="82">
        <v>4.7</v>
      </c>
      <c r="E91" s="82">
        <v>1.24</v>
      </c>
      <c r="F91" s="82">
        <v>1.23</v>
      </c>
      <c r="J91" s="82">
        <v>4.85</v>
      </c>
      <c r="K91" s="82">
        <v>4.45</v>
      </c>
      <c r="L91" s="82">
        <v>-0.24</v>
      </c>
      <c r="M91" s="82">
        <v>-0.06</v>
      </c>
      <c r="O91" s="82">
        <v>21.73</v>
      </c>
      <c r="P91" s="82">
        <v>-1.32</v>
      </c>
      <c r="Q91" s="82">
        <v>5.31</v>
      </c>
      <c r="R91" s="82">
        <v>26.44</v>
      </c>
      <c r="S91" s="82">
        <v>26.09</v>
      </c>
      <c r="T91" s="82">
        <v>25.51</v>
      </c>
      <c r="U91" s="82">
        <v>0.99</v>
      </c>
      <c r="V91" s="82">
        <v>0.01</v>
      </c>
      <c r="W91" s="82">
        <v>0.0</v>
      </c>
      <c r="Y91" s="82">
        <v>-1.84</v>
      </c>
      <c r="Z91" s="191">
        <v>6.17535513E7</v>
      </c>
      <c r="AA91" s="82">
        <v>20.41</v>
      </c>
      <c r="AB91" s="82">
        <v>5.4</v>
      </c>
      <c r="AC91" s="82">
        <v>-0.07</v>
      </c>
      <c r="AD91" s="191">
        <v>9.65983265808E9</v>
      </c>
    </row>
    <row r="92">
      <c r="A92" s="82" t="s">
        <v>146</v>
      </c>
      <c r="B92" s="82">
        <v>15.0</v>
      </c>
      <c r="C92" s="82">
        <v>8.68</v>
      </c>
      <c r="D92" s="82">
        <v>10.96</v>
      </c>
      <c r="E92" s="82">
        <v>2.06</v>
      </c>
      <c r="F92" s="82">
        <v>0.17</v>
      </c>
      <c r="G92" s="82">
        <v>17.13</v>
      </c>
      <c r="H92" s="82">
        <v>2.9</v>
      </c>
      <c r="I92" s="82">
        <v>9.24</v>
      </c>
      <c r="J92" s="82">
        <v>34.95</v>
      </c>
      <c r="K92" s="82">
        <v>29.9</v>
      </c>
      <c r="L92" s="82">
        <v>-4.55</v>
      </c>
      <c r="M92" s="82">
        <v>-0.27</v>
      </c>
      <c r="N92" s="82">
        <v>1.01</v>
      </c>
      <c r="P92" s="82">
        <v>-0.17</v>
      </c>
      <c r="R92" s="82">
        <v>18.78</v>
      </c>
      <c r="S92" s="82">
        <v>1.55</v>
      </c>
      <c r="T92" s="82">
        <v>-2.15</v>
      </c>
      <c r="U92" s="82">
        <v>0.08</v>
      </c>
      <c r="V92" s="82">
        <v>0.92</v>
      </c>
      <c r="W92" s="82">
        <v>0.17</v>
      </c>
      <c r="Z92" s="191">
        <v>4027448.0</v>
      </c>
      <c r="AA92" s="82">
        <v>7.39</v>
      </c>
      <c r="AB92" s="82">
        <v>1.39</v>
      </c>
      <c r="AC92" s="82">
        <v>10.53</v>
      </c>
      <c r="AD92" s="191">
        <v>1.57388560296E9</v>
      </c>
    </row>
    <row r="93">
      <c r="A93" s="82" t="s">
        <v>147</v>
      </c>
      <c r="B93" s="82">
        <v>0.0</v>
      </c>
      <c r="D93" s="82">
        <v>0.0</v>
      </c>
      <c r="E93" s="82">
        <v>0.0</v>
      </c>
      <c r="F93" s="82">
        <v>0.0</v>
      </c>
      <c r="G93" s="82">
        <v>17.13</v>
      </c>
      <c r="H93" s="82">
        <v>2.9</v>
      </c>
      <c r="I93" s="82">
        <v>9.24</v>
      </c>
      <c r="J93" s="82">
        <v>0.0</v>
      </c>
      <c r="K93" s="82">
        <v>29.9</v>
      </c>
      <c r="L93" s="82">
        <v>-4.55</v>
      </c>
      <c r="M93" s="82">
        <v>-0.27</v>
      </c>
      <c r="N93" s="82">
        <v>0.0</v>
      </c>
      <c r="P93" s="82">
        <v>0.0</v>
      </c>
      <c r="R93" s="82">
        <v>18.78</v>
      </c>
      <c r="S93" s="82">
        <v>1.55</v>
      </c>
      <c r="T93" s="82">
        <v>-2.15</v>
      </c>
      <c r="U93" s="82">
        <v>0.08</v>
      </c>
      <c r="V93" s="82">
        <v>0.92</v>
      </c>
      <c r="W93" s="82">
        <v>0.17</v>
      </c>
      <c r="AA93" s="82">
        <v>2.46</v>
      </c>
      <c r="AB93" s="82">
        <v>0.46</v>
      </c>
      <c r="AC93" s="82">
        <v>0.0</v>
      </c>
      <c r="AD93" s="191">
        <v>1.57388560296E9</v>
      </c>
    </row>
    <row r="94">
      <c r="A94" s="82" t="s">
        <v>148</v>
      </c>
      <c r="B94" s="82">
        <v>0.0</v>
      </c>
      <c r="D94" s="82">
        <v>0.0</v>
      </c>
      <c r="E94" s="82">
        <v>0.0</v>
      </c>
      <c r="F94" s="82">
        <v>0.0</v>
      </c>
      <c r="G94" s="82">
        <v>17.13</v>
      </c>
      <c r="H94" s="82">
        <v>2.9</v>
      </c>
      <c r="I94" s="82">
        <v>9.24</v>
      </c>
      <c r="J94" s="82">
        <v>0.0</v>
      </c>
      <c r="K94" s="82">
        <v>29.9</v>
      </c>
      <c r="L94" s="82">
        <v>-4.55</v>
      </c>
      <c r="M94" s="82">
        <v>-0.27</v>
      </c>
      <c r="N94" s="82">
        <v>0.0</v>
      </c>
      <c r="P94" s="82">
        <v>0.0</v>
      </c>
      <c r="R94" s="82">
        <v>18.78</v>
      </c>
      <c r="S94" s="82">
        <v>1.55</v>
      </c>
      <c r="T94" s="82">
        <v>-2.15</v>
      </c>
      <c r="U94" s="82">
        <v>0.08</v>
      </c>
      <c r="V94" s="82">
        <v>0.92</v>
      </c>
      <c r="W94" s="82">
        <v>0.17</v>
      </c>
      <c r="AA94" s="82">
        <v>2.46</v>
      </c>
      <c r="AB94" s="82">
        <v>0.46</v>
      </c>
      <c r="AC94" s="82">
        <v>0.0</v>
      </c>
      <c r="AD94" s="191">
        <v>1.57388560296E9</v>
      </c>
    </row>
    <row r="95">
      <c r="A95" s="82" t="s">
        <v>149</v>
      </c>
      <c r="B95" s="82">
        <v>13.12</v>
      </c>
      <c r="D95" s="82">
        <v>-5.97</v>
      </c>
      <c r="E95" s="82">
        <v>1.56</v>
      </c>
      <c r="F95" s="82">
        <v>0.37</v>
      </c>
      <c r="G95" s="82">
        <v>14.97</v>
      </c>
      <c r="H95" s="82">
        <v>-0.74</v>
      </c>
      <c r="I95" s="82">
        <v>-6.84</v>
      </c>
      <c r="J95" s="82">
        <v>-54.96</v>
      </c>
      <c r="K95" s="82">
        <v>-82.37</v>
      </c>
      <c r="L95" s="82">
        <v>-27.2</v>
      </c>
      <c r="M95" s="82">
        <v>0.77</v>
      </c>
      <c r="N95" s="82">
        <v>0.41</v>
      </c>
      <c r="O95" s="82">
        <v>3.48</v>
      </c>
      <c r="P95" s="82">
        <v>-0.72</v>
      </c>
      <c r="Q95" s="82">
        <v>1.29</v>
      </c>
      <c r="R95" s="82">
        <v>-26.15</v>
      </c>
      <c r="S95" s="82">
        <v>-6.23</v>
      </c>
      <c r="T95" s="82">
        <v>-1.23</v>
      </c>
      <c r="U95" s="82">
        <v>0.24</v>
      </c>
      <c r="V95" s="82">
        <v>0.75</v>
      </c>
      <c r="W95" s="82">
        <v>0.91</v>
      </c>
      <c r="X95" s="82">
        <v>13.7</v>
      </c>
      <c r="Z95" s="191">
        <v>1.027839571E8</v>
      </c>
      <c r="AA95" s="82">
        <v>8.39</v>
      </c>
      <c r="AB95" s="82">
        <v>-2.19</v>
      </c>
      <c r="AC95" s="82">
        <v>-0.03</v>
      </c>
      <c r="AD95" s="191">
        <v>2.214134791736E10</v>
      </c>
    </row>
    <row r="96">
      <c r="A96" s="82" t="s">
        <v>150</v>
      </c>
      <c r="B96" s="82">
        <v>11.0</v>
      </c>
      <c r="C96" s="82">
        <v>2.4</v>
      </c>
      <c r="D96" s="82">
        <v>17.03</v>
      </c>
      <c r="E96" s="82">
        <v>0.61</v>
      </c>
      <c r="F96" s="82">
        <v>0.27</v>
      </c>
      <c r="G96" s="191">
        <v>-4173.02</v>
      </c>
      <c r="H96" s="82">
        <v>-192.28</v>
      </c>
      <c r="I96" s="191">
        <v>1340.82</v>
      </c>
      <c r="J96" s="82">
        <v>-118.78</v>
      </c>
      <c r="K96" s="82">
        <v>105.83</v>
      </c>
      <c r="L96" s="82">
        <v>225.39</v>
      </c>
      <c r="M96" s="82">
        <v>-1.15</v>
      </c>
      <c r="N96" s="82">
        <v>228.39</v>
      </c>
      <c r="O96" s="82">
        <v>0.73</v>
      </c>
      <c r="P96" s="82">
        <v>-0.61</v>
      </c>
      <c r="Q96" s="82">
        <v>3.13</v>
      </c>
      <c r="R96" s="82">
        <v>3.56</v>
      </c>
      <c r="S96" s="82">
        <v>1.61</v>
      </c>
      <c r="T96" s="82">
        <v>-1.43</v>
      </c>
      <c r="U96" s="82">
        <v>0.45</v>
      </c>
      <c r="V96" s="82">
        <v>0.36</v>
      </c>
      <c r="W96" s="82">
        <v>0.0</v>
      </c>
      <c r="X96" s="82">
        <v>-31.54</v>
      </c>
      <c r="Y96" s="82">
        <v>-1.46</v>
      </c>
      <c r="Z96" s="191">
        <v>1091.0</v>
      </c>
      <c r="AA96" s="82">
        <v>18.16</v>
      </c>
      <c r="AB96" s="82">
        <v>0.65</v>
      </c>
      <c r="AC96" s="82">
        <v>-0.43</v>
      </c>
      <c r="AD96" s="191">
        <v>8.1543558688E8</v>
      </c>
    </row>
    <row r="97">
      <c r="A97" s="82" t="s">
        <v>151</v>
      </c>
      <c r="B97" s="82">
        <v>11.0</v>
      </c>
      <c r="D97" s="82">
        <v>17.03</v>
      </c>
      <c r="E97" s="82">
        <v>0.61</v>
      </c>
      <c r="F97" s="82">
        <v>0.27</v>
      </c>
      <c r="G97" s="191">
        <v>-4173.02</v>
      </c>
      <c r="H97" s="82">
        <v>-192.28</v>
      </c>
      <c r="I97" s="191">
        <v>1340.82</v>
      </c>
      <c r="J97" s="82">
        <v>-118.78</v>
      </c>
      <c r="K97" s="82">
        <v>105.83</v>
      </c>
      <c r="L97" s="82">
        <v>225.39</v>
      </c>
      <c r="M97" s="82">
        <v>-1.15</v>
      </c>
      <c r="N97" s="82">
        <v>228.39</v>
      </c>
      <c r="O97" s="82">
        <v>0.73</v>
      </c>
      <c r="P97" s="82">
        <v>-0.61</v>
      </c>
      <c r="Q97" s="82">
        <v>3.13</v>
      </c>
      <c r="R97" s="82">
        <v>3.56</v>
      </c>
      <c r="S97" s="82">
        <v>1.61</v>
      </c>
      <c r="T97" s="82">
        <v>-1.43</v>
      </c>
      <c r="U97" s="82">
        <v>0.45</v>
      </c>
      <c r="V97" s="82">
        <v>0.36</v>
      </c>
      <c r="W97" s="82">
        <v>0.0</v>
      </c>
      <c r="X97" s="82">
        <v>-31.54</v>
      </c>
      <c r="Y97" s="82">
        <v>-1.46</v>
      </c>
      <c r="Z97" s="191">
        <v>3852.8</v>
      </c>
      <c r="AA97" s="82">
        <v>18.16</v>
      </c>
      <c r="AB97" s="82">
        <v>0.65</v>
      </c>
      <c r="AC97" s="82">
        <v>-0.43</v>
      </c>
      <c r="AD97" s="191">
        <v>8.1543558688E8</v>
      </c>
    </row>
    <row r="98">
      <c r="A98" s="82" t="s">
        <v>152</v>
      </c>
      <c r="B98" s="82">
        <v>11.28</v>
      </c>
      <c r="D98" s="82">
        <v>17.47</v>
      </c>
      <c r="E98" s="82">
        <v>0.62</v>
      </c>
      <c r="F98" s="82">
        <v>0.28</v>
      </c>
      <c r="G98" s="191">
        <v>-4173.02</v>
      </c>
      <c r="H98" s="82">
        <v>-192.28</v>
      </c>
      <c r="I98" s="191">
        <v>1340.82</v>
      </c>
      <c r="J98" s="82">
        <v>-121.81</v>
      </c>
      <c r="K98" s="82">
        <v>105.83</v>
      </c>
      <c r="L98" s="82">
        <v>225.39</v>
      </c>
      <c r="M98" s="82">
        <v>-1.15</v>
      </c>
      <c r="N98" s="82">
        <v>234.21</v>
      </c>
      <c r="O98" s="82">
        <v>0.75</v>
      </c>
      <c r="P98" s="82">
        <v>-0.63</v>
      </c>
      <c r="Q98" s="82">
        <v>3.13</v>
      </c>
      <c r="R98" s="82">
        <v>3.56</v>
      </c>
      <c r="S98" s="82">
        <v>1.61</v>
      </c>
      <c r="T98" s="82">
        <v>-1.43</v>
      </c>
      <c r="U98" s="82">
        <v>0.45</v>
      </c>
      <c r="V98" s="82">
        <v>0.36</v>
      </c>
      <c r="W98" s="82">
        <v>0.0</v>
      </c>
      <c r="X98" s="82">
        <v>-31.54</v>
      </c>
      <c r="Y98" s="82">
        <v>-1.46</v>
      </c>
      <c r="Z98" s="191">
        <v>2819.25</v>
      </c>
      <c r="AA98" s="82">
        <v>18.16</v>
      </c>
      <c r="AB98" s="82">
        <v>0.65</v>
      </c>
      <c r="AC98" s="82">
        <v>-0.44</v>
      </c>
      <c r="AD98" s="191">
        <v>8.1543558688E8</v>
      </c>
    </row>
    <row r="99">
      <c r="A99" s="82" t="s">
        <v>153</v>
      </c>
      <c r="B99" s="82">
        <v>10.82</v>
      </c>
      <c r="C99" s="82">
        <v>2.03</v>
      </c>
      <c r="D99" s="82">
        <v>16.76</v>
      </c>
      <c r="E99" s="82">
        <v>0.6</v>
      </c>
      <c r="F99" s="82">
        <v>0.27</v>
      </c>
      <c r="G99" s="191">
        <v>-4173.02</v>
      </c>
      <c r="H99" s="82">
        <v>-192.28</v>
      </c>
      <c r="I99" s="191">
        <v>1340.82</v>
      </c>
      <c r="J99" s="82">
        <v>-116.84</v>
      </c>
      <c r="K99" s="82">
        <v>105.83</v>
      </c>
      <c r="L99" s="82">
        <v>225.39</v>
      </c>
      <c r="M99" s="82">
        <v>-1.15</v>
      </c>
      <c r="N99" s="82">
        <v>224.66</v>
      </c>
      <c r="O99" s="82">
        <v>0.72</v>
      </c>
      <c r="P99" s="82">
        <v>-0.6</v>
      </c>
      <c r="Q99" s="82">
        <v>3.13</v>
      </c>
      <c r="R99" s="82">
        <v>3.56</v>
      </c>
      <c r="S99" s="82">
        <v>1.61</v>
      </c>
      <c r="T99" s="82">
        <v>-1.43</v>
      </c>
      <c r="U99" s="82">
        <v>0.45</v>
      </c>
      <c r="V99" s="82">
        <v>0.36</v>
      </c>
      <c r="W99" s="82">
        <v>0.0</v>
      </c>
      <c r="X99" s="82">
        <v>-31.54</v>
      </c>
      <c r="Y99" s="82">
        <v>-1.46</v>
      </c>
      <c r="Z99" s="191">
        <v>7574.0</v>
      </c>
      <c r="AA99" s="82">
        <v>18.16</v>
      </c>
      <c r="AB99" s="82">
        <v>0.65</v>
      </c>
      <c r="AC99" s="82">
        <v>-0.42</v>
      </c>
      <c r="AD99" s="191">
        <v>8.1543558688E8</v>
      </c>
    </row>
    <row r="100">
      <c r="A100" s="82" t="s">
        <v>154</v>
      </c>
      <c r="B100" s="82">
        <v>11.49</v>
      </c>
      <c r="C100" s="82">
        <v>4.59</v>
      </c>
      <c r="D100" s="82">
        <v>17.79</v>
      </c>
      <c r="E100" s="82">
        <v>0.63</v>
      </c>
      <c r="F100" s="82">
        <v>0.29</v>
      </c>
      <c r="G100" s="191">
        <v>-4173.02</v>
      </c>
      <c r="H100" s="82">
        <v>-192.28</v>
      </c>
      <c r="I100" s="191">
        <v>1340.82</v>
      </c>
      <c r="J100" s="82">
        <v>-124.08</v>
      </c>
      <c r="K100" s="82">
        <v>105.83</v>
      </c>
      <c r="L100" s="82">
        <v>225.39</v>
      </c>
      <c r="M100" s="82">
        <v>-1.15</v>
      </c>
      <c r="N100" s="82">
        <v>238.57</v>
      </c>
      <c r="O100" s="82">
        <v>0.76</v>
      </c>
      <c r="P100" s="82">
        <v>-0.64</v>
      </c>
      <c r="Q100" s="82">
        <v>3.13</v>
      </c>
      <c r="R100" s="82">
        <v>3.56</v>
      </c>
      <c r="S100" s="82">
        <v>1.61</v>
      </c>
      <c r="T100" s="82">
        <v>-1.43</v>
      </c>
      <c r="U100" s="82">
        <v>0.45</v>
      </c>
      <c r="V100" s="82">
        <v>0.36</v>
      </c>
      <c r="W100" s="82">
        <v>0.0</v>
      </c>
      <c r="X100" s="82">
        <v>-31.54</v>
      </c>
      <c r="Y100" s="82">
        <v>-1.46</v>
      </c>
      <c r="Z100" s="191">
        <v>6791.8</v>
      </c>
      <c r="AA100" s="82">
        <v>18.16</v>
      </c>
      <c r="AB100" s="82">
        <v>0.65</v>
      </c>
      <c r="AC100" s="82">
        <v>-0.45</v>
      </c>
      <c r="AD100" s="191">
        <v>8.1543558688E8</v>
      </c>
    </row>
    <row r="101">
      <c r="A101" s="82" t="s">
        <v>155</v>
      </c>
      <c r="B101" s="82">
        <v>10.82</v>
      </c>
      <c r="C101" s="82">
        <v>2.84</v>
      </c>
      <c r="D101" s="82">
        <v>16.76</v>
      </c>
      <c r="E101" s="82">
        <v>0.6</v>
      </c>
      <c r="F101" s="82">
        <v>0.27</v>
      </c>
      <c r="G101" s="191">
        <v>-4173.02</v>
      </c>
      <c r="H101" s="82">
        <v>-192.28</v>
      </c>
      <c r="I101" s="191">
        <v>1340.82</v>
      </c>
      <c r="J101" s="82">
        <v>-116.84</v>
      </c>
      <c r="K101" s="82">
        <v>105.83</v>
      </c>
      <c r="L101" s="82">
        <v>225.39</v>
      </c>
      <c r="M101" s="82">
        <v>-1.15</v>
      </c>
      <c r="N101" s="82">
        <v>224.66</v>
      </c>
      <c r="O101" s="82">
        <v>0.72</v>
      </c>
      <c r="P101" s="82">
        <v>-0.6</v>
      </c>
      <c r="Q101" s="82">
        <v>3.13</v>
      </c>
      <c r="R101" s="82">
        <v>3.56</v>
      </c>
      <c r="S101" s="82">
        <v>1.61</v>
      </c>
      <c r="T101" s="82">
        <v>-1.43</v>
      </c>
      <c r="U101" s="82">
        <v>0.45</v>
      </c>
      <c r="V101" s="82">
        <v>0.36</v>
      </c>
      <c r="W101" s="82">
        <v>0.0</v>
      </c>
      <c r="X101" s="82">
        <v>-31.54</v>
      </c>
      <c r="Y101" s="82">
        <v>-1.46</v>
      </c>
      <c r="Z101" s="191">
        <v>8656.0</v>
      </c>
      <c r="AA101" s="82">
        <v>18.16</v>
      </c>
      <c r="AB101" s="82">
        <v>0.65</v>
      </c>
      <c r="AC101" s="82">
        <v>-0.42</v>
      </c>
      <c r="AD101" s="191">
        <v>8.1543558688E8</v>
      </c>
    </row>
    <row r="102">
      <c r="A102" s="82" t="s">
        <v>156</v>
      </c>
      <c r="B102" s="82">
        <v>10.95</v>
      </c>
      <c r="C102" s="82">
        <v>2.01</v>
      </c>
      <c r="D102" s="82">
        <v>16.96</v>
      </c>
      <c r="E102" s="82">
        <v>0.6</v>
      </c>
      <c r="F102" s="82">
        <v>0.27</v>
      </c>
      <c r="G102" s="191">
        <v>-4173.02</v>
      </c>
      <c r="H102" s="82">
        <v>-192.28</v>
      </c>
      <c r="I102" s="191">
        <v>1340.82</v>
      </c>
      <c r="J102" s="82">
        <v>-118.24</v>
      </c>
      <c r="K102" s="82">
        <v>105.83</v>
      </c>
      <c r="L102" s="82">
        <v>225.39</v>
      </c>
      <c r="M102" s="82">
        <v>-1.15</v>
      </c>
      <c r="N102" s="82">
        <v>227.35</v>
      </c>
      <c r="O102" s="82">
        <v>0.72</v>
      </c>
      <c r="P102" s="82">
        <v>-0.61</v>
      </c>
      <c r="Q102" s="82">
        <v>3.13</v>
      </c>
      <c r="R102" s="82">
        <v>3.56</v>
      </c>
      <c r="S102" s="82">
        <v>1.61</v>
      </c>
      <c r="T102" s="82">
        <v>-1.43</v>
      </c>
      <c r="U102" s="82">
        <v>0.45</v>
      </c>
      <c r="V102" s="82">
        <v>0.36</v>
      </c>
      <c r="W102" s="82">
        <v>0.0</v>
      </c>
      <c r="X102" s="82">
        <v>-31.54</v>
      </c>
      <c r="Y102" s="82">
        <v>-1.46</v>
      </c>
      <c r="Z102" s="191">
        <v>13674.0</v>
      </c>
      <c r="AA102" s="82">
        <v>18.16</v>
      </c>
      <c r="AB102" s="82">
        <v>0.65</v>
      </c>
      <c r="AC102" s="82">
        <v>-0.43</v>
      </c>
      <c r="AD102" s="191">
        <v>8.1543558688E8</v>
      </c>
    </row>
    <row r="103">
      <c r="A103" s="82" t="s">
        <v>1759</v>
      </c>
      <c r="B103" s="82">
        <v>39.15</v>
      </c>
      <c r="C103" s="82">
        <v>0.83</v>
      </c>
      <c r="D103" s="82">
        <v>51.43</v>
      </c>
      <c r="E103" s="82">
        <v>1.6</v>
      </c>
      <c r="F103" s="82">
        <v>0.93</v>
      </c>
      <c r="G103" s="82">
        <v>100.0</v>
      </c>
      <c r="H103" s="82">
        <v>11.0</v>
      </c>
      <c r="I103" s="82">
        <v>5.02</v>
      </c>
      <c r="J103" s="82">
        <v>23.49</v>
      </c>
      <c r="K103" s="82">
        <v>23.14</v>
      </c>
      <c r="L103" s="82">
        <v>-0.35</v>
      </c>
      <c r="M103" s="82">
        <v>-0.02</v>
      </c>
      <c r="N103" s="82">
        <v>2.58</v>
      </c>
      <c r="O103" s="82">
        <v>-42.96</v>
      </c>
      <c r="P103" s="82">
        <v>-1.17</v>
      </c>
      <c r="Q103" s="82">
        <v>0.9</v>
      </c>
      <c r="R103" s="82">
        <v>3.12</v>
      </c>
      <c r="S103" s="82">
        <v>1.82</v>
      </c>
      <c r="T103" s="82">
        <v>5.96</v>
      </c>
      <c r="U103" s="82">
        <v>0.58</v>
      </c>
      <c r="V103" s="82">
        <v>0.42</v>
      </c>
      <c r="W103" s="82">
        <v>0.36</v>
      </c>
      <c r="X103" s="82">
        <v>21.03</v>
      </c>
      <c r="AA103" s="82">
        <v>24.43</v>
      </c>
      <c r="AB103" s="82">
        <v>0.76</v>
      </c>
      <c r="AC103" s="82">
        <v>-2.11</v>
      </c>
      <c r="AD103" s="191">
        <v>7.658407116E8</v>
      </c>
    </row>
    <row r="104">
      <c r="A104" s="82" t="s">
        <v>1760</v>
      </c>
      <c r="B104" s="82">
        <v>3.54</v>
      </c>
      <c r="C104" s="82">
        <v>0.91</v>
      </c>
      <c r="D104" s="82">
        <v>12.15</v>
      </c>
      <c r="E104" s="82">
        <v>1.08</v>
      </c>
      <c r="F104" s="82">
        <v>0.51</v>
      </c>
      <c r="G104" s="82">
        <v>46.79</v>
      </c>
      <c r="H104" s="82">
        <v>21.28</v>
      </c>
      <c r="I104" s="82">
        <v>11.15</v>
      </c>
      <c r="J104" s="82">
        <v>6.37</v>
      </c>
      <c r="K104" s="82">
        <v>9.36</v>
      </c>
      <c r="L104" s="82">
        <v>2.92</v>
      </c>
      <c r="M104" s="82">
        <v>0.5</v>
      </c>
      <c r="N104" s="82">
        <v>1.35</v>
      </c>
      <c r="O104" s="82">
        <v>3.95</v>
      </c>
      <c r="P104" s="82">
        <v>-0.66</v>
      </c>
      <c r="Q104" s="82">
        <v>2.3</v>
      </c>
      <c r="R104" s="82">
        <v>8.88</v>
      </c>
      <c r="S104" s="82">
        <v>4.2</v>
      </c>
      <c r="T104" s="82">
        <v>7.7</v>
      </c>
      <c r="U104" s="82">
        <v>0.47</v>
      </c>
      <c r="V104" s="82">
        <v>0.53</v>
      </c>
      <c r="W104" s="82">
        <v>0.38</v>
      </c>
      <c r="Z104" s="191">
        <v>1279043.45</v>
      </c>
      <c r="AA104" s="82">
        <v>3.3</v>
      </c>
      <c r="AB104" s="82">
        <v>0.29</v>
      </c>
      <c r="AC104" s="82">
        <v>0.04</v>
      </c>
      <c r="AD104" s="191">
        <v>1.6167416976E9</v>
      </c>
    </row>
    <row r="105">
      <c r="A105" s="82" t="s">
        <v>157</v>
      </c>
      <c r="B105" s="82">
        <v>10.76</v>
      </c>
      <c r="C105" s="82">
        <v>1.47</v>
      </c>
      <c r="D105" s="82">
        <v>17.36</v>
      </c>
      <c r="E105" s="82">
        <v>0.55</v>
      </c>
      <c r="F105" s="82">
        <v>0.04</v>
      </c>
      <c r="G105" s="82">
        <v>15.61</v>
      </c>
      <c r="H105" s="82">
        <v>2.39</v>
      </c>
      <c r="I105" s="82">
        <v>1.58</v>
      </c>
      <c r="J105" s="82">
        <v>11.45</v>
      </c>
      <c r="K105" s="82">
        <v>11.5</v>
      </c>
      <c r="N105" s="82">
        <v>0.27</v>
      </c>
      <c r="O105" s="82">
        <v>0.51</v>
      </c>
      <c r="P105" s="82">
        <v>-0.04</v>
      </c>
      <c r="Q105" s="82">
        <v>7.22</v>
      </c>
      <c r="R105" s="82">
        <v>3.2</v>
      </c>
      <c r="S105" s="82">
        <v>0.22</v>
      </c>
      <c r="U105" s="82">
        <v>0.07</v>
      </c>
      <c r="V105" s="82">
        <v>0.93</v>
      </c>
      <c r="W105" s="82">
        <v>0.14</v>
      </c>
      <c r="X105" s="82">
        <v>20.48</v>
      </c>
      <c r="Y105" s="82">
        <v>2.02</v>
      </c>
      <c r="Z105" s="191">
        <v>6459.8</v>
      </c>
      <c r="AA105" s="82">
        <v>19.39</v>
      </c>
      <c r="AB105" s="82">
        <v>0.62</v>
      </c>
      <c r="AC105" s="82">
        <v>0.9</v>
      </c>
      <c r="AD105" s="191">
        <v>9.5720531389E8</v>
      </c>
    </row>
    <row r="106">
      <c r="A106" s="82" t="s">
        <v>158</v>
      </c>
      <c r="B106" s="82">
        <v>10.9</v>
      </c>
      <c r="C106" s="82">
        <v>2.85</v>
      </c>
      <c r="D106" s="82">
        <v>17.58</v>
      </c>
      <c r="E106" s="82">
        <v>0.56</v>
      </c>
      <c r="F106" s="82">
        <v>0.04</v>
      </c>
      <c r="G106" s="82">
        <v>15.61</v>
      </c>
      <c r="H106" s="82">
        <v>2.39</v>
      </c>
      <c r="I106" s="82">
        <v>1.58</v>
      </c>
      <c r="J106" s="82">
        <v>11.6</v>
      </c>
      <c r="K106" s="82">
        <v>11.5</v>
      </c>
      <c r="N106" s="82">
        <v>0.28</v>
      </c>
      <c r="O106" s="82">
        <v>0.51</v>
      </c>
      <c r="P106" s="82">
        <v>-0.04</v>
      </c>
      <c r="Q106" s="82">
        <v>7.22</v>
      </c>
      <c r="R106" s="82">
        <v>3.2</v>
      </c>
      <c r="S106" s="82">
        <v>0.22</v>
      </c>
      <c r="U106" s="82">
        <v>0.07</v>
      </c>
      <c r="V106" s="82">
        <v>0.93</v>
      </c>
      <c r="W106" s="82">
        <v>0.14</v>
      </c>
      <c r="X106" s="82">
        <v>20.48</v>
      </c>
      <c r="Y106" s="82">
        <v>2.02</v>
      </c>
      <c r="Z106" s="191">
        <v>18473.0</v>
      </c>
      <c r="AA106" s="82">
        <v>19.39</v>
      </c>
      <c r="AB106" s="82">
        <v>0.62</v>
      </c>
      <c r="AC106" s="82">
        <v>0.91</v>
      </c>
      <c r="AD106" s="191">
        <v>9.5720531389E8</v>
      </c>
    </row>
    <row r="107">
      <c r="A107" s="82" t="s">
        <v>159</v>
      </c>
      <c r="B107" s="82">
        <v>20.91</v>
      </c>
      <c r="D107" s="82">
        <v>-3.54</v>
      </c>
      <c r="E107" s="82">
        <v>3.32</v>
      </c>
      <c r="F107" s="82">
        <v>0.18</v>
      </c>
      <c r="G107" s="82">
        <v>2.65</v>
      </c>
      <c r="H107" s="82">
        <v>-4.95</v>
      </c>
      <c r="I107" s="82">
        <v>-6.47</v>
      </c>
      <c r="J107" s="82">
        <v>-4.63</v>
      </c>
      <c r="K107" s="82">
        <v>-11.27</v>
      </c>
      <c r="L107" s="82">
        <v>-6.61</v>
      </c>
      <c r="M107" s="82">
        <v>4.75</v>
      </c>
      <c r="N107" s="82">
        <v>0.23</v>
      </c>
      <c r="O107" s="82">
        <v>1.27</v>
      </c>
      <c r="P107" s="82">
        <v>-0.3</v>
      </c>
      <c r="Q107" s="82">
        <v>1.54</v>
      </c>
      <c r="R107" s="82">
        <v>-93.87</v>
      </c>
      <c r="S107" s="82">
        <v>-5.12</v>
      </c>
      <c r="T107" s="82">
        <v>-11.04</v>
      </c>
      <c r="U107" s="82">
        <v>0.05</v>
      </c>
      <c r="V107" s="82">
        <v>0.95</v>
      </c>
      <c r="W107" s="82">
        <v>0.79</v>
      </c>
      <c r="X107" s="82">
        <v>14.4</v>
      </c>
      <c r="Z107" s="191">
        <v>989848.8</v>
      </c>
      <c r="AA107" s="82">
        <v>6.3</v>
      </c>
      <c r="AB107" s="82">
        <v>-5.91</v>
      </c>
      <c r="AC107" s="82">
        <v>0.01</v>
      </c>
      <c r="AD107" s="191">
        <v>1.67904803141E10</v>
      </c>
    </row>
    <row r="108">
      <c r="A108" s="82" t="s">
        <v>160</v>
      </c>
      <c r="B108" s="82">
        <v>20.68</v>
      </c>
      <c r="D108" s="82">
        <v>-3.49</v>
      </c>
      <c r="E108" s="82">
        <v>3.28</v>
      </c>
      <c r="F108" s="82">
        <v>0.18</v>
      </c>
      <c r="G108" s="82">
        <v>2.65</v>
      </c>
      <c r="H108" s="82">
        <v>-4.95</v>
      </c>
      <c r="I108" s="82">
        <v>-6.47</v>
      </c>
      <c r="J108" s="82">
        <v>-4.57</v>
      </c>
      <c r="K108" s="82">
        <v>-11.27</v>
      </c>
      <c r="L108" s="82">
        <v>-6.61</v>
      </c>
      <c r="M108" s="82">
        <v>4.75</v>
      </c>
      <c r="N108" s="82">
        <v>0.23</v>
      </c>
      <c r="O108" s="82">
        <v>1.26</v>
      </c>
      <c r="P108" s="82">
        <v>-0.3</v>
      </c>
      <c r="Q108" s="82">
        <v>1.54</v>
      </c>
      <c r="R108" s="82">
        <v>-93.87</v>
      </c>
      <c r="S108" s="82">
        <v>-5.12</v>
      </c>
      <c r="T108" s="82">
        <v>-11.04</v>
      </c>
      <c r="U108" s="82">
        <v>0.05</v>
      </c>
      <c r="V108" s="82">
        <v>0.95</v>
      </c>
      <c r="W108" s="82">
        <v>0.79</v>
      </c>
      <c r="X108" s="82">
        <v>14.4</v>
      </c>
      <c r="Z108" s="191">
        <v>1.0794987555E8</v>
      </c>
      <c r="AA108" s="82">
        <v>6.3</v>
      </c>
      <c r="AB108" s="82">
        <v>-5.91</v>
      </c>
      <c r="AC108" s="82">
        <v>0.01</v>
      </c>
      <c r="AD108" s="191">
        <v>1.67904803141E10</v>
      </c>
    </row>
    <row r="109">
      <c r="A109" s="82" t="s">
        <v>161</v>
      </c>
      <c r="B109" s="82">
        <v>15.51</v>
      </c>
      <c r="D109" s="82">
        <v>-2.62</v>
      </c>
      <c r="E109" s="82">
        <v>2.46</v>
      </c>
      <c r="F109" s="82">
        <v>0.13</v>
      </c>
      <c r="G109" s="82">
        <v>2.65</v>
      </c>
      <c r="H109" s="82">
        <v>-4.95</v>
      </c>
      <c r="I109" s="82">
        <v>-6.47</v>
      </c>
      <c r="J109" s="82">
        <v>-3.43</v>
      </c>
      <c r="K109" s="82">
        <v>-11.27</v>
      </c>
      <c r="L109" s="82">
        <v>-6.61</v>
      </c>
      <c r="M109" s="82">
        <v>4.75</v>
      </c>
      <c r="N109" s="82">
        <v>0.17</v>
      </c>
      <c r="O109" s="82">
        <v>0.94</v>
      </c>
      <c r="P109" s="82">
        <v>-0.23</v>
      </c>
      <c r="Q109" s="82">
        <v>1.54</v>
      </c>
      <c r="R109" s="82">
        <v>-93.87</v>
      </c>
      <c r="S109" s="82">
        <v>-5.12</v>
      </c>
      <c r="T109" s="82">
        <v>-11.04</v>
      </c>
      <c r="U109" s="82">
        <v>0.05</v>
      </c>
      <c r="V109" s="82">
        <v>0.95</v>
      </c>
      <c r="W109" s="82">
        <v>0.79</v>
      </c>
      <c r="X109" s="82">
        <v>14.4</v>
      </c>
      <c r="Z109" s="191">
        <v>2390.0</v>
      </c>
      <c r="AA109" s="82">
        <v>6.3</v>
      </c>
      <c r="AB109" s="82">
        <v>-5.91</v>
      </c>
      <c r="AC109" s="82">
        <v>0.01</v>
      </c>
      <c r="AD109" s="191">
        <v>1.67904803141E10</v>
      </c>
    </row>
    <row r="110">
      <c r="A110" s="82" t="s">
        <v>162</v>
      </c>
      <c r="B110" s="82">
        <v>8.26</v>
      </c>
      <c r="D110" s="82">
        <v>12.72</v>
      </c>
      <c r="E110" s="82">
        <v>0.6</v>
      </c>
      <c r="F110" s="82">
        <v>0.38</v>
      </c>
      <c r="G110" s="82">
        <v>89.11</v>
      </c>
      <c r="H110" s="82">
        <v>67.22</v>
      </c>
      <c r="I110" s="82">
        <v>34.91</v>
      </c>
      <c r="J110" s="82">
        <v>6.61</v>
      </c>
      <c r="K110" s="82">
        <v>8.19</v>
      </c>
      <c r="L110" s="82">
        <v>1.59</v>
      </c>
      <c r="M110" s="82">
        <v>0.14</v>
      </c>
      <c r="N110" s="82">
        <v>4.44</v>
      </c>
      <c r="O110" s="82">
        <v>-332.15</v>
      </c>
      <c r="P110" s="82">
        <v>-0.41</v>
      </c>
      <c r="Q110" s="82">
        <v>0.99</v>
      </c>
      <c r="R110" s="82">
        <v>4.7</v>
      </c>
      <c r="S110" s="82">
        <v>3.01</v>
      </c>
      <c r="T110" s="82">
        <v>6.57</v>
      </c>
      <c r="U110" s="82">
        <v>0.64</v>
      </c>
      <c r="V110" s="82">
        <v>0.35</v>
      </c>
      <c r="W110" s="82">
        <v>0.09</v>
      </c>
      <c r="X110" s="82">
        <v>2.7</v>
      </c>
      <c r="Z110" s="191">
        <v>1.13095545E8</v>
      </c>
      <c r="AA110" s="82">
        <v>13.82</v>
      </c>
      <c r="AB110" s="82">
        <v>0.65</v>
      </c>
      <c r="AC110" s="82">
        <v>-15.71</v>
      </c>
      <c r="AD110" s="191">
        <v>6.84154228184E9</v>
      </c>
    </row>
    <row r="111">
      <c r="A111" s="82" t="s">
        <v>163</v>
      </c>
      <c r="B111" s="82">
        <v>131.17</v>
      </c>
      <c r="D111" s="82">
        <v>-0.56</v>
      </c>
      <c r="E111" s="82">
        <v>0.05</v>
      </c>
      <c r="F111" s="82">
        <v>0.04</v>
      </c>
      <c r="G111" s="82">
        <v>100.0</v>
      </c>
      <c r="H111" s="82">
        <v>-336.36</v>
      </c>
      <c r="I111" s="82">
        <v>-123.98</v>
      </c>
      <c r="J111" s="82">
        <v>-0.21</v>
      </c>
      <c r="K111" s="82">
        <v>0.06</v>
      </c>
      <c r="L111" s="82">
        <v>0.27</v>
      </c>
      <c r="M111" s="82">
        <v>-0.07</v>
      </c>
      <c r="N111" s="82">
        <v>0.7</v>
      </c>
      <c r="O111" s="82">
        <v>1.73</v>
      </c>
      <c r="P111" s="82">
        <v>-0.05</v>
      </c>
      <c r="Q111" s="82">
        <v>1.12</v>
      </c>
      <c r="R111" s="82">
        <v>-9.55</v>
      </c>
      <c r="S111" s="82">
        <v>-6.86</v>
      </c>
      <c r="T111" s="82">
        <v>-29.1</v>
      </c>
      <c r="U111" s="82">
        <v>0.72</v>
      </c>
      <c r="V111" s="82">
        <v>0.28</v>
      </c>
      <c r="W111" s="82">
        <v>0.06</v>
      </c>
      <c r="X111" s="82">
        <v>-7.12</v>
      </c>
      <c r="Z111" s="191">
        <v>2066991.77</v>
      </c>
      <c r="AA111" s="191">
        <v>2447.95</v>
      </c>
      <c r="AB111" s="82">
        <v>-233.75</v>
      </c>
      <c r="AC111" s="82">
        <v>0.01</v>
      </c>
      <c r="AD111" s="191">
        <v>6.091954544E7</v>
      </c>
    </row>
    <row r="112">
      <c r="A112" s="82" t="s">
        <v>164</v>
      </c>
      <c r="B112" s="82">
        <v>0.0</v>
      </c>
      <c r="D112" s="82">
        <v>0.0</v>
      </c>
      <c r="E112" s="82">
        <v>0.0</v>
      </c>
      <c r="F112" s="82">
        <v>0.0</v>
      </c>
      <c r="G112" s="82">
        <v>36.57</v>
      </c>
      <c r="H112" s="82">
        <v>16.79</v>
      </c>
      <c r="I112" s="82">
        <v>10.76</v>
      </c>
      <c r="J112" s="82">
        <v>0.0</v>
      </c>
      <c r="K112" s="82">
        <v>-0.85</v>
      </c>
      <c r="L112" s="82">
        <v>-0.85</v>
      </c>
      <c r="M112" s="82">
        <v>-0.48</v>
      </c>
      <c r="N112" s="82">
        <v>0.0</v>
      </c>
      <c r="O112" s="82">
        <v>0.0</v>
      </c>
      <c r="P112" s="82">
        <v>0.0</v>
      </c>
      <c r="Q112" s="82">
        <v>2.53</v>
      </c>
      <c r="R112" s="82">
        <v>36.62</v>
      </c>
      <c r="S112" s="82">
        <v>20.08</v>
      </c>
      <c r="T112" s="82">
        <v>33.56</v>
      </c>
      <c r="U112" s="82">
        <v>0.55</v>
      </c>
      <c r="V112" s="82">
        <v>0.44</v>
      </c>
      <c r="W112" s="82">
        <v>1.87</v>
      </c>
      <c r="X112" s="82">
        <v>19.62</v>
      </c>
      <c r="Y112" s="82">
        <v>108.83</v>
      </c>
      <c r="AA112" s="82">
        <v>1.56</v>
      </c>
      <c r="AB112" s="82">
        <v>0.57</v>
      </c>
      <c r="AC112" s="82">
        <v>0.0</v>
      </c>
      <c r="AD112" s="82">
        <v>0.0</v>
      </c>
    </row>
    <row r="113">
      <c r="A113" s="82" t="s">
        <v>165</v>
      </c>
      <c r="B113" s="82">
        <v>13.21</v>
      </c>
      <c r="C113" s="82">
        <v>6.99</v>
      </c>
      <c r="D113" s="82">
        <v>5.72</v>
      </c>
      <c r="E113" s="82">
        <v>0.55</v>
      </c>
      <c r="F113" s="82">
        <v>0.04</v>
      </c>
      <c r="G113" s="82">
        <v>33.16</v>
      </c>
      <c r="H113" s="82">
        <v>7.22</v>
      </c>
      <c r="I113" s="82">
        <v>6.38</v>
      </c>
      <c r="J113" s="82">
        <v>5.06</v>
      </c>
      <c r="K113" s="82">
        <v>5.0</v>
      </c>
      <c r="N113" s="82">
        <v>0.37</v>
      </c>
      <c r="O113" s="82">
        <v>0.95</v>
      </c>
      <c r="P113" s="82">
        <v>-0.05</v>
      </c>
      <c r="Q113" s="82">
        <v>4.22</v>
      </c>
      <c r="R113" s="82">
        <v>9.69</v>
      </c>
      <c r="S113" s="82">
        <v>0.76</v>
      </c>
      <c r="U113" s="82">
        <v>0.08</v>
      </c>
      <c r="V113" s="82">
        <v>0.92</v>
      </c>
      <c r="W113" s="82">
        <v>0.12</v>
      </c>
      <c r="X113" s="82">
        <v>6.91</v>
      </c>
      <c r="Y113" s="82">
        <v>-3.06</v>
      </c>
      <c r="Z113" s="191">
        <v>110110.55</v>
      </c>
      <c r="AA113" s="82">
        <v>23.66</v>
      </c>
      <c r="AB113" s="82">
        <v>2.29</v>
      </c>
      <c r="AC113" s="82">
        <v>0.39</v>
      </c>
      <c r="AD113" s="191">
        <v>5.30464155974E9</v>
      </c>
    </row>
    <row r="114">
      <c r="A114" s="82" t="s">
        <v>166</v>
      </c>
      <c r="B114" s="82">
        <v>17.9</v>
      </c>
      <c r="C114" s="82">
        <v>5.21</v>
      </c>
      <c r="D114" s="82">
        <v>7.81</v>
      </c>
      <c r="E114" s="82">
        <v>0.76</v>
      </c>
      <c r="F114" s="82">
        <v>0.06</v>
      </c>
      <c r="G114" s="82">
        <v>33.16</v>
      </c>
      <c r="H114" s="82">
        <v>7.22</v>
      </c>
      <c r="I114" s="82">
        <v>6.38</v>
      </c>
      <c r="J114" s="82">
        <v>6.9</v>
      </c>
      <c r="K114" s="82">
        <v>5.0</v>
      </c>
      <c r="N114" s="82">
        <v>0.5</v>
      </c>
      <c r="O114" s="82">
        <v>1.29</v>
      </c>
      <c r="P114" s="82">
        <v>-0.06</v>
      </c>
      <c r="Q114" s="82">
        <v>4.22</v>
      </c>
      <c r="R114" s="82">
        <v>9.69</v>
      </c>
      <c r="S114" s="82">
        <v>0.76</v>
      </c>
      <c r="U114" s="82">
        <v>0.08</v>
      </c>
      <c r="V114" s="82">
        <v>0.92</v>
      </c>
      <c r="W114" s="82">
        <v>0.12</v>
      </c>
      <c r="X114" s="82">
        <v>6.91</v>
      </c>
      <c r="Y114" s="82">
        <v>-3.06</v>
      </c>
      <c r="Z114" s="191">
        <v>2419.5</v>
      </c>
      <c r="AA114" s="82">
        <v>23.66</v>
      </c>
      <c r="AB114" s="82">
        <v>2.29</v>
      </c>
      <c r="AC114" s="82">
        <v>0.53</v>
      </c>
      <c r="AD114" s="191">
        <v>5.30464155974E9</v>
      </c>
    </row>
    <row r="115">
      <c r="A115" s="82" t="s">
        <v>167</v>
      </c>
      <c r="B115" s="82">
        <v>12.84</v>
      </c>
      <c r="C115" s="82">
        <v>7.18</v>
      </c>
      <c r="D115" s="82">
        <v>5.57</v>
      </c>
      <c r="E115" s="82">
        <v>0.54</v>
      </c>
      <c r="F115" s="82">
        <v>0.04</v>
      </c>
      <c r="G115" s="82">
        <v>33.16</v>
      </c>
      <c r="H115" s="82">
        <v>7.22</v>
      </c>
      <c r="I115" s="82">
        <v>6.38</v>
      </c>
      <c r="J115" s="82">
        <v>4.92</v>
      </c>
      <c r="K115" s="82">
        <v>5.0</v>
      </c>
      <c r="N115" s="82">
        <v>0.36</v>
      </c>
      <c r="O115" s="82">
        <v>0.92</v>
      </c>
      <c r="P115" s="82">
        <v>-0.04</v>
      </c>
      <c r="Q115" s="82">
        <v>4.22</v>
      </c>
      <c r="R115" s="82">
        <v>9.69</v>
      </c>
      <c r="S115" s="82">
        <v>0.76</v>
      </c>
      <c r="U115" s="82">
        <v>0.08</v>
      </c>
      <c r="V115" s="82">
        <v>0.92</v>
      </c>
      <c r="W115" s="82">
        <v>0.12</v>
      </c>
      <c r="X115" s="82">
        <v>6.91</v>
      </c>
      <c r="Y115" s="82">
        <v>-3.06</v>
      </c>
      <c r="Z115" s="191">
        <v>1.676911235E7</v>
      </c>
      <c r="AA115" s="82">
        <v>23.66</v>
      </c>
      <c r="AB115" s="82">
        <v>2.29</v>
      </c>
      <c r="AC115" s="82">
        <v>0.38</v>
      </c>
      <c r="AD115" s="191">
        <v>5.30464155974E9</v>
      </c>
    </row>
    <row r="116">
      <c r="A116" s="82" t="s">
        <v>169</v>
      </c>
      <c r="B116" s="82">
        <v>9.0</v>
      </c>
      <c r="D116" s="82">
        <v>10.22</v>
      </c>
      <c r="E116" s="82">
        <v>-10.84</v>
      </c>
      <c r="F116" s="82">
        <v>0.78</v>
      </c>
      <c r="G116" s="82">
        <v>26.77</v>
      </c>
      <c r="H116" s="82">
        <v>17.92</v>
      </c>
      <c r="I116" s="82">
        <v>5.55</v>
      </c>
      <c r="J116" s="82">
        <v>3.17</v>
      </c>
      <c r="K116" s="82">
        <v>5.46</v>
      </c>
      <c r="L116" s="82">
        <v>2.3</v>
      </c>
      <c r="N116" s="82">
        <v>0.57</v>
      </c>
      <c r="O116" s="82">
        <v>-1.59</v>
      </c>
      <c r="P116" s="82">
        <v>-1.13</v>
      </c>
      <c r="Q116" s="82">
        <v>0.39</v>
      </c>
      <c r="R116" s="82">
        <v>-106.05</v>
      </c>
      <c r="S116" s="82">
        <v>7.59</v>
      </c>
      <c r="T116" s="82">
        <v>30.9</v>
      </c>
      <c r="U116" s="82">
        <v>-0.07</v>
      </c>
      <c r="V116" s="82">
        <v>1.07</v>
      </c>
      <c r="W116" s="82">
        <v>1.37</v>
      </c>
      <c r="X116" s="82">
        <v>10.88</v>
      </c>
      <c r="AA116" s="82">
        <v>-0.83</v>
      </c>
      <c r="AB116" s="82">
        <v>0.88</v>
      </c>
      <c r="AC116" s="82">
        <v>-0.06</v>
      </c>
      <c r="AD116" s="191">
        <v>9.183864834E9</v>
      </c>
    </row>
    <row r="117">
      <c r="A117" s="82" t="s">
        <v>170</v>
      </c>
      <c r="B117" s="82">
        <v>13.32</v>
      </c>
      <c r="C117" s="82">
        <v>0.34</v>
      </c>
      <c r="D117" s="82">
        <v>14.54</v>
      </c>
      <c r="E117" s="82">
        <v>1.96</v>
      </c>
      <c r="F117" s="82">
        <v>0.1</v>
      </c>
      <c r="G117" s="82">
        <v>30.1</v>
      </c>
      <c r="H117" s="82">
        <v>4.3</v>
      </c>
      <c r="I117" s="82">
        <v>5.31</v>
      </c>
      <c r="J117" s="82">
        <v>17.96</v>
      </c>
      <c r="K117" s="82">
        <v>17.64</v>
      </c>
      <c r="N117" s="82">
        <v>0.77</v>
      </c>
      <c r="O117" s="82">
        <v>-0.41</v>
      </c>
      <c r="P117" s="82">
        <v>-0.11</v>
      </c>
      <c r="Q117" s="82">
        <v>0.28</v>
      </c>
      <c r="R117" s="82">
        <v>13.48</v>
      </c>
      <c r="S117" s="82">
        <v>0.7</v>
      </c>
      <c r="U117" s="82">
        <v>0.05</v>
      </c>
      <c r="V117" s="82">
        <v>0.95</v>
      </c>
      <c r="W117" s="82">
        <v>0.13</v>
      </c>
      <c r="X117" s="82">
        <v>20.22</v>
      </c>
      <c r="Y117" s="82">
        <v>5.52</v>
      </c>
      <c r="Z117" s="191">
        <v>6326.36</v>
      </c>
      <c r="AA117" s="82">
        <v>6.8</v>
      </c>
      <c r="AB117" s="82">
        <v>0.92</v>
      </c>
      <c r="AC117" s="82">
        <v>0.98</v>
      </c>
      <c r="AD117" s="191">
        <v>4.75039238E9</v>
      </c>
    </row>
    <row r="118">
      <c r="A118" s="82" t="s">
        <v>171</v>
      </c>
      <c r="B118" s="82">
        <v>12.29</v>
      </c>
      <c r="C118" s="82">
        <v>0.41</v>
      </c>
      <c r="D118" s="82">
        <v>13.42</v>
      </c>
      <c r="E118" s="82">
        <v>1.81</v>
      </c>
      <c r="F118" s="82">
        <v>0.09</v>
      </c>
      <c r="G118" s="82">
        <v>30.1</v>
      </c>
      <c r="H118" s="82">
        <v>4.3</v>
      </c>
      <c r="I118" s="82">
        <v>5.31</v>
      </c>
      <c r="J118" s="82">
        <v>16.57</v>
      </c>
      <c r="K118" s="82">
        <v>17.64</v>
      </c>
      <c r="N118" s="82">
        <v>0.71</v>
      </c>
      <c r="O118" s="82">
        <v>-0.38</v>
      </c>
      <c r="P118" s="82">
        <v>-0.1</v>
      </c>
      <c r="Q118" s="82">
        <v>0.28</v>
      </c>
      <c r="R118" s="82">
        <v>13.48</v>
      </c>
      <c r="S118" s="82">
        <v>0.7</v>
      </c>
      <c r="U118" s="82">
        <v>0.05</v>
      </c>
      <c r="V118" s="82">
        <v>0.95</v>
      </c>
      <c r="W118" s="82">
        <v>0.13</v>
      </c>
      <c r="X118" s="82">
        <v>20.22</v>
      </c>
      <c r="Y118" s="82">
        <v>5.52</v>
      </c>
      <c r="Z118" s="191">
        <v>6426.58</v>
      </c>
      <c r="AA118" s="82">
        <v>6.8</v>
      </c>
      <c r="AB118" s="82">
        <v>0.92</v>
      </c>
      <c r="AC118" s="82">
        <v>0.9</v>
      </c>
      <c r="AD118" s="191">
        <v>4.75039238E9</v>
      </c>
    </row>
    <row r="119">
      <c r="A119" s="82" t="s">
        <v>172</v>
      </c>
      <c r="B119" s="191">
        <v>11091.73</v>
      </c>
      <c r="D119" s="191">
        <v>5203.28</v>
      </c>
      <c r="E119" s="191">
        <v>1330.77</v>
      </c>
      <c r="F119" s="191">
        <v>1161.79</v>
      </c>
      <c r="G119" s="82">
        <v>13.55</v>
      </c>
      <c r="H119" s="82">
        <v>12.07</v>
      </c>
      <c r="I119" s="82">
        <v>6.58</v>
      </c>
      <c r="J119" s="191">
        <v>2835.92</v>
      </c>
      <c r="K119" s="82">
        <v>2.5</v>
      </c>
      <c r="L119" s="82">
        <v>-0.31</v>
      </c>
      <c r="M119" s="82">
        <v>-0.15</v>
      </c>
      <c r="N119" s="82">
        <v>342.24</v>
      </c>
      <c r="O119" s="191">
        <v>2554.35</v>
      </c>
      <c r="P119" s="191">
        <v>-2237.49</v>
      </c>
      <c r="Q119" s="82">
        <v>18.54</v>
      </c>
      <c r="R119" s="82">
        <v>25.58</v>
      </c>
      <c r="S119" s="82">
        <v>22.33</v>
      </c>
      <c r="T119" s="82">
        <v>34.5</v>
      </c>
      <c r="U119" s="82">
        <v>0.87</v>
      </c>
      <c r="V119" s="82">
        <v>0.13</v>
      </c>
      <c r="W119" s="82">
        <v>3.39</v>
      </c>
      <c r="X119" s="82">
        <v>38.18</v>
      </c>
      <c r="AA119" s="82">
        <v>8.33</v>
      </c>
      <c r="AB119" s="82">
        <v>2.13</v>
      </c>
      <c r="AC119" s="82">
        <v>-109.63</v>
      </c>
      <c r="AD119" s="191">
        <v>1.6376345936E8</v>
      </c>
    </row>
    <row r="120">
      <c r="A120" s="82" t="s">
        <v>173</v>
      </c>
      <c r="B120" s="82">
        <v>20.0</v>
      </c>
      <c r="C120" s="82">
        <v>2.23</v>
      </c>
      <c r="D120" s="82">
        <v>5.29</v>
      </c>
      <c r="E120" s="82">
        <v>2.32</v>
      </c>
      <c r="F120" s="82">
        <v>0.37</v>
      </c>
      <c r="G120" s="82">
        <v>25.75</v>
      </c>
      <c r="H120" s="82">
        <v>13.41</v>
      </c>
      <c r="I120" s="82">
        <v>8.96</v>
      </c>
      <c r="J120" s="82">
        <v>3.53</v>
      </c>
      <c r="K120" s="82">
        <v>5.35</v>
      </c>
      <c r="L120" s="82">
        <v>1.82</v>
      </c>
      <c r="M120" s="82">
        <v>1.19</v>
      </c>
      <c r="N120" s="82">
        <v>0.47</v>
      </c>
      <c r="O120" s="82">
        <v>3.26</v>
      </c>
      <c r="P120" s="82">
        <v>-0.51</v>
      </c>
      <c r="Q120" s="82">
        <v>1.69</v>
      </c>
      <c r="R120" s="82">
        <v>43.82</v>
      </c>
      <c r="S120" s="82">
        <v>6.98</v>
      </c>
      <c r="T120" s="82">
        <v>20.66</v>
      </c>
      <c r="U120" s="82">
        <v>0.16</v>
      </c>
      <c r="V120" s="82">
        <v>0.84</v>
      </c>
      <c r="W120" s="82">
        <v>0.78</v>
      </c>
      <c r="X120" s="82">
        <v>65.29</v>
      </c>
      <c r="Y120" s="82">
        <v>25.04</v>
      </c>
      <c r="Z120" s="191">
        <v>4950.0</v>
      </c>
      <c r="AA120" s="82">
        <v>8.63</v>
      </c>
      <c r="AB120" s="82">
        <v>3.78</v>
      </c>
      <c r="AC120" s="82">
        <v>0.03</v>
      </c>
      <c r="AD120" s="191">
        <v>7.441942E7</v>
      </c>
    </row>
    <row r="121">
      <c r="A121" s="82" t="s">
        <v>174</v>
      </c>
      <c r="B121" s="82">
        <v>50.0</v>
      </c>
      <c r="D121" s="82">
        <v>13.22</v>
      </c>
      <c r="E121" s="82">
        <v>5.79</v>
      </c>
      <c r="F121" s="82">
        <v>0.92</v>
      </c>
      <c r="G121" s="82">
        <v>25.75</v>
      </c>
      <c r="H121" s="82">
        <v>13.41</v>
      </c>
      <c r="I121" s="82">
        <v>8.96</v>
      </c>
      <c r="J121" s="82">
        <v>8.83</v>
      </c>
      <c r="K121" s="82">
        <v>5.35</v>
      </c>
      <c r="L121" s="82">
        <v>1.82</v>
      </c>
      <c r="M121" s="82">
        <v>1.19</v>
      </c>
      <c r="N121" s="82">
        <v>1.18</v>
      </c>
      <c r="O121" s="82">
        <v>8.14</v>
      </c>
      <c r="P121" s="82">
        <v>-1.28</v>
      </c>
      <c r="Q121" s="82">
        <v>1.69</v>
      </c>
      <c r="R121" s="82">
        <v>43.82</v>
      </c>
      <c r="S121" s="82">
        <v>6.98</v>
      </c>
      <c r="T121" s="82">
        <v>20.66</v>
      </c>
      <c r="U121" s="82">
        <v>0.16</v>
      </c>
      <c r="V121" s="82">
        <v>0.84</v>
      </c>
      <c r="W121" s="82">
        <v>0.78</v>
      </c>
      <c r="X121" s="82">
        <v>65.29</v>
      </c>
      <c r="Y121" s="82">
        <v>25.04</v>
      </c>
      <c r="AA121" s="82">
        <v>8.63</v>
      </c>
      <c r="AB121" s="82">
        <v>3.78</v>
      </c>
      <c r="AC121" s="82">
        <v>0.07</v>
      </c>
      <c r="AD121" s="191">
        <v>7.441942E7</v>
      </c>
    </row>
    <row r="122">
      <c r="A122" s="82" t="s">
        <v>175</v>
      </c>
      <c r="B122" s="82">
        <v>10.06</v>
      </c>
      <c r="C122" s="82">
        <v>1.38</v>
      </c>
      <c r="D122" s="82">
        <v>5.53</v>
      </c>
      <c r="E122" s="82">
        <v>1.94</v>
      </c>
      <c r="F122" s="82">
        <v>1.2</v>
      </c>
      <c r="G122" s="82">
        <v>47.78</v>
      </c>
      <c r="H122" s="82">
        <v>22.12</v>
      </c>
      <c r="I122" s="82">
        <v>16.05</v>
      </c>
      <c r="J122" s="82">
        <v>4.01</v>
      </c>
      <c r="K122" s="82">
        <v>4.22</v>
      </c>
      <c r="L122" s="82">
        <v>0.25</v>
      </c>
      <c r="M122" s="82">
        <v>0.12</v>
      </c>
      <c r="N122" s="82">
        <v>0.89</v>
      </c>
      <c r="O122" s="82">
        <v>5.14</v>
      </c>
      <c r="P122" s="82">
        <v>-2.32</v>
      </c>
      <c r="Q122" s="82">
        <v>1.93</v>
      </c>
      <c r="R122" s="82">
        <v>35.03</v>
      </c>
      <c r="S122" s="82">
        <v>21.68</v>
      </c>
      <c r="T122" s="82">
        <v>42.22</v>
      </c>
      <c r="U122" s="82">
        <v>0.62</v>
      </c>
      <c r="V122" s="82">
        <v>0.38</v>
      </c>
      <c r="W122" s="82">
        <v>1.35</v>
      </c>
      <c r="X122" s="82">
        <v>11.16</v>
      </c>
      <c r="Y122" s="82">
        <v>11.41</v>
      </c>
      <c r="Z122" s="191">
        <v>1560024.1</v>
      </c>
      <c r="AA122" s="82">
        <v>5.19</v>
      </c>
      <c r="AB122" s="82">
        <v>1.82</v>
      </c>
      <c r="AC122" s="82">
        <v>0.25</v>
      </c>
      <c r="AD122" s="191">
        <v>4.202142952E8</v>
      </c>
    </row>
    <row r="123">
      <c r="A123" s="82" t="s">
        <v>176</v>
      </c>
      <c r="B123" s="82">
        <v>6.25</v>
      </c>
      <c r="C123" s="82">
        <v>2.21</v>
      </c>
      <c r="D123" s="82">
        <v>3.44</v>
      </c>
      <c r="E123" s="82">
        <v>1.21</v>
      </c>
      <c r="F123" s="82">
        <v>0.75</v>
      </c>
      <c r="G123" s="82">
        <v>47.78</v>
      </c>
      <c r="H123" s="82">
        <v>22.12</v>
      </c>
      <c r="I123" s="82">
        <v>16.05</v>
      </c>
      <c r="J123" s="82">
        <v>2.5</v>
      </c>
      <c r="K123" s="82">
        <v>4.22</v>
      </c>
      <c r="L123" s="82">
        <v>0.25</v>
      </c>
      <c r="M123" s="82">
        <v>0.12</v>
      </c>
      <c r="N123" s="82">
        <v>0.55</v>
      </c>
      <c r="O123" s="82">
        <v>3.2</v>
      </c>
      <c r="P123" s="82">
        <v>-1.45</v>
      </c>
      <c r="Q123" s="82">
        <v>1.93</v>
      </c>
      <c r="R123" s="82">
        <v>35.03</v>
      </c>
      <c r="S123" s="82">
        <v>21.68</v>
      </c>
      <c r="T123" s="82">
        <v>42.22</v>
      </c>
      <c r="U123" s="82">
        <v>0.62</v>
      </c>
      <c r="V123" s="82">
        <v>0.38</v>
      </c>
      <c r="W123" s="82">
        <v>1.35</v>
      </c>
      <c r="X123" s="82">
        <v>11.16</v>
      </c>
      <c r="Y123" s="82">
        <v>11.41</v>
      </c>
      <c r="AA123" s="82">
        <v>5.19</v>
      </c>
      <c r="AB123" s="82">
        <v>1.82</v>
      </c>
      <c r="AC123" s="82">
        <v>0.15</v>
      </c>
      <c r="AD123" s="191">
        <v>4.202142952E8</v>
      </c>
    </row>
    <row r="124">
      <c r="A124" s="82" t="s">
        <v>177</v>
      </c>
      <c r="B124" s="82">
        <v>7.75</v>
      </c>
      <c r="C124" s="82">
        <v>3.72</v>
      </c>
      <c r="D124" s="82">
        <v>5.6</v>
      </c>
      <c r="E124" s="82">
        <v>0.91</v>
      </c>
      <c r="F124" s="82">
        <v>0.29</v>
      </c>
      <c r="G124" s="82">
        <v>20.98</v>
      </c>
      <c r="H124" s="82">
        <v>8.22</v>
      </c>
      <c r="I124" s="82">
        <v>4.71</v>
      </c>
      <c r="J124" s="82">
        <v>3.21</v>
      </c>
      <c r="K124" s="82">
        <v>6.68</v>
      </c>
      <c r="L124" s="82">
        <v>3.49</v>
      </c>
      <c r="M124" s="82">
        <v>0.98</v>
      </c>
      <c r="N124" s="82">
        <v>0.26</v>
      </c>
      <c r="O124" s="82">
        <v>1.07</v>
      </c>
      <c r="P124" s="82">
        <v>-0.66</v>
      </c>
      <c r="Q124" s="82">
        <v>1.99</v>
      </c>
      <c r="R124" s="82">
        <v>16.16</v>
      </c>
      <c r="S124" s="82">
        <v>5.26</v>
      </c>
      <c r="T124" s="82">
        <v>10.72</v>
      </c>
      <c r="U124" s="82">
        <v>0.33</v>
      </c>
      <c r="V124" s="82">
        <v>0.67</v>
      </c>
      <c r="W124" s="82">
        <v>1.12</v>
      </c>
      <c r="X124" s="82">
        <v>16.96</v>
      </c>
      <c r="Y124" s="82">
        <v>14.1</v>
      </c>
      <c r="Z124" s="191">
        <v>6681969.0</v>
      </c>
      <c r="AA124" s="82">
        <v>8.57</v>
      </c>
      <c r="AB124" s="82">
        <v>1.38</v>
      </c>
      <c r="AC124" s="82">
        <v>0.02</v>
      </c>
      <c r="AD124" s="191">
        <v>2.7055E9</v>
      </c>
    </row>
    <row r="125">
      <c r="A125" s="82" t="s">
        <v>178</v>
      </c>
      <c r="B125" s="82">
        <v>7.72</v>
      </c>
      <c r="D125" s="82">
        <v>-17.17</v>
      </c>
      <c r="E125" s="82">
        <v>0.86</v>
      </c>
      <c r="F125" s="82">
        <v>0.56</v>
      </c>
      <c r="G125" s="82">
        <v>-22.15</v>
      </c>
      <c r="H125" s="82">
        <v>-22.16</v>
      </c>
      <c r="I125" s="82">
        <v>-11.35</v>
      </c>
      <c r="J125" s="82">
        <v>-8.8</v>
      </c>
      <c r="K125" s="82">
        <v>-3.23</v>
      </c>
      <c r="L125" s="82">
        <v>5.51</v>
      </c>
      <c r="M125" s="82">
        <v>-0.54</v>
      </c>
      <c r="N125" s="82">
        <v>1.95</v>
      </c>
      <c r="O125" s="82">
        <v>1.13</v>
      </c>
      <c r="P125" s="82">
        <v>-2.62</v>
      </c>
      <c r="Q125" s="82">
        <v>2.65</v>
      </c>
      <c r="R125" s="82">
        <v>-4.98</v>
      </c>
      <c r="S125" s="82">
        <v>-3.24</v>
      </c>
      <c r="T125" s="82">
        <v>-10.47</v>
      </c>
      <c r="U125" s="82">
        <v>0.65</v>
      </c>
      <c r="V125" s="82">
        <v>0.34</v>
      </c>
      <c r="W125" s="82">
        <v>0.29</v>
      </c>
      <c r="X125" s="82">
        <v>70.01</v>
      </c>
      <c r="Z125" s="191">
        <v>1.14881444E7</v>
      </c>
      <c r="AA125" s="82">
        <v>9.02</v>
      </c>
      <c r="AB125" s="82">
        <v>-0.45</v>
      </c>
      <c r="AC125" s="82">
        <v>0.42</v>
      </c>
      <c r="AD125" s="191">
        <v>6.632044469E8</v>
      </c>
    </row>
    <row r="126">
      <c r="A126" s="82" t="s">
        <v>179</v>
      </c>
      <c r="B126" s="82">
        <v>9.61</v>
      </c>
      <c r="C126" s="82">
        <v>0.23</v>
      </c>
      <c r="D126" s="82">
        <v>164.59</v>
      </c>
      <c r="E126" s="82">
        <v>4.97</v>
      </c>
      <c r="F126" s="82">
        <v>2.19</v>
      </c>
      <c r="G126" s="82">
        <v>43.12</v>
      </c>
      <c r="H126" s="82">
        <v>16.91</v>
      </c>
      <c r="I126" s="82">
        <v>3.81</v>
      </c>
      <c r="J126" s="82">
        <v>37.09</v>
      </c>
      <c r="K126" s="82">
        <v>40.91</v>
      </c>
      <c r="L126" s="82">
        <v>6.22</v>
      </c>
      <c r="M126" s="82">
        <v>0.83</v>
      </c>
      <c r="N126" s="82">
        <v>6.27</v>
      </c>
      <c r="O126" s="82">
        <v>-31.74</v>
      </c>
      <c r="P126" s="82">
        <v>-2.48</v>
      </c>
      <c r="Q126" s="82">
        <v>0.63</v>
      </c>
      <c r="R126" s="82">
        <v>3.02</v>
      </c>
      <c r="S126" s="82">
        <v>1.33</v>
      </c>
      <c r="T126" s="82">
        <v>6.32</v>
      </c>
      <c r="U126" s="82">
        <v>0.44</v>
      </c>
      <c r="V126" s="82">
        <v>0.56</v>
      </c>
      <c r="W126" s="82">
        <v>0.35</v>
      </c>
      <c r="X126" s="82">
        <v>6.67</v>
      </c>
      <c r="AA126" s="82">
        <v>1.93</v>
      </c>
      <c r="AB126" s="82">
        <v>0.06</v>
      </c>
      <c r="AC126" s="82">
        <v>-4.36</v>
      </c>
      <c r="AD126" s="191">
        <v>9.3434508865E9</v>
      </c>
    </row>
    <row r="127">
      <c r="A127" s="82" t="s">
        <v>180</v>
      </c>
      <c r="B127" s="82">
        <v>8.37</v>
      </c>
      <c r="C127" s="82">
        <v>0.29</v>
      </c>
      <c r="D127" s="82">
        <v>143.35</v>
      </c>
      <c r="E127" s="82">
        <v>4.33</v>
      </c>
      <c r="F127" s="82">
        <v>1.91</v>
      </c>
      <c r="G127" s="82">
        <v>43.12</v>
      </c>
      <c r="H127" s="82">
        <v>16.91</v>
      </c>
      <c r="I127" s="82">
        <v>3.81</v>
      </c>
      <c r="J127" s="82">
        <v>32.31</v>
      </c>
      <c r="K127" s="82">
        <v>40.91</v>
      </c>
      <c r="L127" s="82">
        <v>6.22</v>
      </c>
      <c r="M127" s="82">
        <v>0.83</v>
      </c>
      <c r="N127" s="82">
        <v>5.46</v>
      </c>
      <c r="O127" s="82">
        <v>-27.64</v>
      </c>
      <c r="P127" s="82">
        <v>-2.16</v>
      </c>
      <c r="Q127" s="82">
        <v>0.63</v>
      </c>
      <c r="R127" s="82">
        <v>3.02</v>
      </c>
      <c r="S127" s="82">
        <v>1.33</v>
      </c>
      <c r="T127" s="82">
        <v>6.32</v>
      </c>
      <c r="U127" s="82">
        <v>0.44</v>
      </c>
      <c r="V127" s="82">
        <v>0.56</v>
      </c>
      <c r="W127" s="82">
        <v>0.35</v>
      </c>
      <c r="X127" s="82">
        <v>6.67</v>
      </c>
      <c r="AA127" s="82">
        <v>1.93</v>
      </c>
      <c r="AB127" s="82">
        <v>0.06</v>
      </c>
      <c r="AC127" s="82">
        <v>-3.8</v>
      </c>
      <c r="AD127" s="191">
        <v>9.3434508865E9</v>
      </c>
    </row>
    <row r="128">
      <c r="A128" s="82" t="s">
        <v>181</v>
      </c>
      <c r="B128" s="82">
        <v>103.61</v>
      </c>
      <c r="C128" s="82">
        <v>19.05</v>
      </c>
      <c r="D128" s="82">
        <v>0.72</v>
      </c>
      <c r="E128" s="82">
        <v>0.08</v>
      </c>
      <c r="F128" s="82">
        <v>0.04</v>
      </c>
      <c r="G128" s="82">
        <v>26.77</v>
      </c>
      <c r="H128" s="82">
        <v>6.6</v>
      </c>
      <c r="I128" s="82">
        <v>6.77</v>
      </c>
      <c r="J128" s="82">
        <v>0.73</v>
      </c>
      <c r="K128" s="82">
        <v>3.39</v>
      </c>
      <c r="L128" s="82">
        <v>2.66</v>
      </c>
      <c r="M128" s="82">
        <v>0.3</v>
      </c>
      <c r="N128" s="82">
        <v>0.05</v>
      </c>
      <c r="O128" s="82">
        <v>0.12</v>
      </c>
      <c r="P128" s="82">
        <v>-0.1</v>
      </c>
      <c r="Q128" s="82">
        <v>1.93</v>
      </c>
      <c r="R128" s="82">
        <v>11.53</v>
      </c>
      <c r="S128" s="82">
        <v>5.28</v>
      </c>
      <c r="T128" s="82">
        <v>4.25</v>
      </c>
      <c r="U128" s="82">
        <v>0.46</v>
      </c>
      <c r="V128" s="82">
        <v>0.54</v>
      </c>
      <c r="W128" s="82">
        <v>0.78</v>
      </c>
      <c r="X128" s="82">
        <v>12.66</v>
      </c>
      <c r="AA128" s="191">
        <v>1257.08</v>
      </c>
      <c r="AB128" s="82">
        <v>144.89</v>
      </c>
      <c r="AC128" s="82">
        <v>-0.02</v>
      </c>
      <c r="AD128" s="191">
        <v>1.494035478E7</v>
      </c>
    </row>
    <row r="129">
      <c r="A129" s="82" t="s">
        <v>182</v>
      </c>
      <c r="B129" s="82">
        <v>0.0</v>
      </c>
      <c r="D129" s="82">
        <v>0.0</v>
      </c>
      <c r="E129" s="82">
        <v>0.0</v>
      </c>
      <c r="F129" s="82">
        <v>0.0</v>
      </c>
      <c r="G129" s="82">
        <v>26.77</v>
      </c>
      <c r="H129" s="82">
        <v>6.6</v>
      </c>
      <c r="I129" s="82">
        <v>6.77</v>
      </c>
      <c r="J129" s="82">
        <v>0.0</v>
      </c>
      <c r="K129" s="82">
        <v>3.39</v>
      </c>
      <c r="L129" s="82">
        <v>2.66</v>
      </c>
      <c r="M129" s="82">
        <v>0.3</v>
      </c>
      <c r="N129" s="82">
        <v>0.0</v>
      </c>
      <c r="O129" s="82">
        <v>0.0</v>
      </c>
      <c r="P129" s="82">
        <v>0.0</v>
      </c>
      <c r="Q129" s="82">
        <v>1.93</v>
      </c>
      <c r="R129" s="82">
        <v>11.53</v>
      </c>
      <c r="S129" s="82">
        <v>5.28</v>
      </c>
      <c r="T129" s="82">
        <v>4.25</v>
      </c>
      <c r="U129" s="82">
        <v>0.46</v>
      </c>
      <c r="V129" s="82">
        <v>0.54</v>
      </c>
      <c r="W129" s="82">
        <v>0.78</v>
      </c>
      <c r="X129" s="82">
        <v>12.66</v>
      </c>
      <c r="AA129" s="191">
        <v>1257.08</v>
      </c>
      <c r="AB129" s="82">
        <v>144.89</v>
      </c>
      <c r="AC129" s="82">
        <v>0.0</v>
      </c>
      <c r="AD129" s="191">
        <v>1.494035478E7</v>
      </c>
    </row>
    <row r="130">
      <c r="A130" s="82" t="s">
        <v>183</v>
      </c>
      <c r="B130" s="82">
        <v>5.06</v>
      </c>
      <c r="C130" s="82">
        <v>6.86</v>
      </c>
      <c r="D130" s="82">
        <v>-2.39</v>
      </c>
      <c r="E130" s="82">
        <v>0.63</v>
      </c>
      <c r="F130" s="82">
        <v>0.22</v>
      </c>
      <c r="G130" s="82">
        <v>-12.43</v>
      </c>
      <c r="H130" s="82">
        <v>-12.73</v>
      </c>
      <c r="I130" s="82">
        <v>-11.59</v>
      </c>
      <c r="J130" s="82">
        <v>-2.17</v>
      </c>
      <c r="K130" s="82">
        <v>-4.45</v>
      </c>
      <c r="L130" s="82">
        <v>-2.28</v>
      </c>
      <c r="M130" s="82">
        <v>0.66</v>
      </c>
      <c r="N130" s="82">
        <v>0.28</v>
      </c>
      <c r="O130" s="82">
        <v>1.1</v>
      </c>
      <c r="P130" s="82">
        <v>-0.35</v>
      </c>
      <c r="Q130" s="82">
        <v>2.26</v>
      </c>
      <c r="R130" s="82">
        <v>-26.28</v>
      </c>
      <c r="S130" s="82">
        <v>-9.32</v>
      </c>
      <c r="T130" s="82">
        <v>-18.02</v>
      </c>
      <c r="U130" s="82">
        <v>0.35</v>
      </c>
      <c r="V130" s="82">
        <v>0.63</v>
      </c>
      <c r="W130" s="82">
        <v>0.8</v>
      </c>
      <c r="Z130" s="191">
        <v>2.049969805E7</v>
      </c>
      <c r="AA130" s="82">
        <v>8.03</v>
      </c>
      <c r="AB130" s="82">
        <v>-2.11</v>
      </c>
      <c r="AC130" s="82">
        <v>0.01</v>
      </c>
      <c r="AD130" s="191">
        <v>3.00895833165E9</v>
      </c>
    </row>
    <row r="131">
      <c r="A131" s="82" t="s">
        <v>184</v>
      </c>
      <c r="B131" s="82">
        <v>14.8</v>
      </c>
      <c r="D131" s="82">
        <v>-20.43</v>
      </c>
      <c r="E131" s="82">
        <v>0.7</v>
      </c>
      <c r="F131" s="82">
        <v>0.21</v>
      </c>
      <c r="G131" s="82">
        <v>17.0</v>
      </c>
      <c r="H131" s="82">
        <v>10.48</v>
      </c>
      <c r="I131" s="82">
        <v>-2.39</v>
      </c>
      <c r="J131" s="82">
        <v>4.67</v>
      </c>
      <c r="K131" s="82">
        <v>11.14</v>
      </c>
      <c r="L131" s="82">
        <v>6.47</v>
      </c>
      <c r="M131" s="82">
        <v>0.97</v>
      </c>
      <c r="N131" s="82">
        <v>0.49</v>
      </c>
      <c r="O131" s="82">
        <v>-0.97</v>
      </c>
      <c r="P131" s="82">
        <v>-0.26</v>
      </c>
      <c r="Q131" s="82">
        <v>0.46</v>
      </c>
      <c r="R131" s="82">
        <v>-3.43</v>
      </c>
      <c r="S131" s="82">
        <v>-1.04</v>
      </c>
      <c r="T131" s="82">
        <v>7.07</v>
      </c>
      <c r="U131" s="82">
        <v>0.3</v>
      </c>
      <c r="V131" s="82">
        <v>0.7</v>
      </c>
      <c r="W131" s="82">
        <v>0.44</v>
      </c>
      <c r="X131" s="82">
        <v>7.69</v>
      </c>
      <c r="Z131" s="191">
        <v>1973.33</v>
      </c>
      <c r="AA131" s="82">
        <v>21.13</v>
      </c>
      <c r="AB131" s="82">
        <v>-0.72</v>
      </c>
      <c r="AC131" s="82">
        <v>0.04</v>
      </c>
      <c r="AD131" s="191">
        <v>3.7597151288E9</v>
      </c>
    </row>
    <row r="132">
      <c r="A132" s="82" t="s">
        <v>1701</v>
      </c>
      <c r="B132" s="82">
        <v>13.96</v>
      </c>
      <c r="C132" s="82">
        <v>1.39</v>
      </c>
      <c r="D132" s="82">
        <v>30.15</v>
      </c>
      <c r="E132" s="82">
        <v>2.22</v>
      </c>
      <c r="F132" s="82">
        <v>0.53</v>
      </c>
      <c r="G132" s="82">
        <v>42.94</v>
      </c>
      <c r="H132" s="82">
        <v>30.38</v>
      </c>
      <c r="I132" s="82">
        <v>5.64</v>
      </c>
      <c r="J132" s="82">
        <v>5.59</v>
      </c>
      <c r="K132" s="82">
        <v>10.1</v>
      </c>
      <c r="L132" s="82">
        <v>4.5</v>
      </c>
      <c r="M132" s="82">
        <v>1.79</v>
      </c>
      <c r="N132" s="82">
        <v>1.7</v>
      </c>
      <c r="O132" s="82">
        <v>21.81</v>
      </c>
      <c r="P132" s="82">
        <v>-0.68</v>
      </c>
      <c r="Q132" s="82">
        <v>1.13</v>
      </c>
      <c r="R132" s="82">
        <v>7.37</v>
      </c>
      <c r="S132" s="82">
        <v>1.77</v>
      </c>
      <c r="T132" s="82">
        <v>9.69</v>
      </c>
      <c r="U132" s="82">
        <v>0.24</v>
      </c>
      <c r="V132" s="82">
        <v>0.75</v>
      </c>
      <c r="W132" s="82">
        <v>0.31</v>
      </c>
      <c r="X132" s="82">
        <v>12.68</v>
      </c>
      <c r="Y132" s="82">
        <v>-12.27</v>
      </c>
      <c r="Z132" s="191">
        <v>7.41961879E7</v>
      </c>
      <c r="AA132" s="82">
        <v>6.28</v>
      </c>
      <c r="AB132" s="82">
        <v>0.46</v>
      </c>
      <c r="AC132" s="82">
        <v>-0.39</v>
      </c>
      <c r="AD132" s="191">
        <v>2.81588E10</v>
      </c>
    </row>
    <row r="133">
      <c r="A133" s="82" t="s">
        <v>185</v>
      </c>
      <c r="B133" s="82">
        <v>1.16</v>
      </c>
      <c r="D133" s="82">
        <v>-0.18</v>
      </c>
      <c r="E133" s="82">
        <v>-0.03</v>
      </c>
      <c r="F133" s="82">
        <v>2.38</v>
      </c>
      <c r="J133" s="82">
        <v>-2.43</v>
      </c>
      <c r="K133" s="82">
        <v>-2.39</v>
      </c>
      <c r="L133" s="82">
        <v>0.04</v>
      </c>
      <c r="O133" s="82">
        <v>-0.03</v>
      </c>
      <c r="Q133" s="82">
        <v>0.01</v>
      </c>
      <c r="R133" s="82">
        <v>-14.81</v>
      </c>
      <c r="S133" s="191">
        <v>-1353.02</v>
      </c>
      <c r="T133" s="82">
        <v>1.07</v>
      </c>
      <c r="U133" s="82">
        <v>-91.35</v>
      </c>
      <c r="V133" s="82">
        <v>92.46</v>
      </c>
      <c r="W133" s="82">
        <v>0.0</v>
      </c>
      <c r="AA133" s="82">
        <v>-44.46</v>
      </c>
      <c r="AB133" s="82">
        <v>-6.59</v>
      </c>
      <c r="AC133" s="82">
        <v>0.0</v>
      </c>
      <c r="AD133" s="191">
        <v>1973425.64</v>
      </c>
    </row>
    <row r="134">
      <c r="A134" s="82" t="s">
        <v>186</v>
      </c>
      <c r="B134" s="82">
        <v>7.48</v>
      </c>
      <c r="D134" s="82">
        <v>49.32</v>
      </c>
      <c r="E134" s="82">
        <v>0.81</v>
      </c>
      <c r="F134" s="82">
        <v>0.26</v>
      </c>
      <c r="G134" s="82">
        <v>51.91</v>
      </c>
      <c r="H134" s="82">
        <v>6.1</v>
      </c>
      <c r="I134" s="82">
        <v>0.73</v>
      </c>
      <c r="J134" s="82">
        <v>5.89</v>
      </c>
      <c r="K134" s="82">
        <v>7.51</v>
      </c>
      <c r="L134" s="82">
        <v>1.55</v>
      </c>
      <c r="M134" s="82">
        <v>0.21</v>
      </c>
      <c r="N134" s="82">
        <v>0.36</v>
      </c>
      <c r="O134" s="82">
        <v>1.47</v>
      </c>
      <c r="P134" s="82">
        <v>-0.5</v>
      </c>
      <c r="Q134" s="82">
        <v>1.59</v>
      </c>
      <c r="R134" s="82">
        <v>1.64</v>
      </c>
      <c r="S134" s="82">
        <v>0.53</v>
      </c>
      <c r="T134" s="82">
        <v>8.09</v>
      </c>
      <c r="U134" s="82">
        <v>0.32</v>
      </c>
      <c r="V134" s="82">
        <v>0.68</v>
      </c>
      <c r="W134" s="82">
        <v>0.73</v>
      </c>
      <c r="X134" s="82">
        <v>4.19</v>
      </c>
      <c r="Y134" s="82">
        <v>-13.65</v>
      </c>
      <c r="Z134" s="191">
        <v>2.269104555E7</v>
      </c>
      <c r="AA134" s="82">
        <v>9.22</v>
      </c>
      <c r="AB134" s="82">
        <v>0.15</v>
      </c>
      <c r="AC134" s="82">
        <v>-0.27</v>
      </c>
      <c r="AD134" s="191">
        <v>2.31800291136E9</v>
      </c>
    </row>
    <row r="135">
      <c r="A135" s="82" t="s">
        <v>187</v>
      </c>
      <c r="B135" s="82">
        <v>17.79</v>
      </c>
      <c r="C135" s="82">
        <v>14.91</v>
      </c>
      <c r="D135" s="82">
        <v>6.58</v>
      </c>
      <c r="E135" s="82">
        <v>1.23</v>
      </c>
      <c r="F135" s="82">
        <v>0.88</v>
      </c>
      <c r="G135" s="82">
        <v>42.78</v>
      </c>
      <c r="H135" s="82">
        <v>84.57</v>
      </c>
      <c r="I135" s="82">
        <v>67.3</v>
      </c>
      <c r="J135" s="82">
        <v>5.24</v>
      </c>
      <c r="K135" s="82">
        <v>2.44</v>
      </c>
      <c r="L135" s="82">
        <v>-2.76</v>
      </c>
      <c r="M135" s="82">
        <v>-0.65</v>
      </c>
      <c r="N135" s="82">
        <v>4.43</v>
      </c>
      <c r="O135" s="82">
        <v>2.0</v>
      </c>
      <c r="P135" s="82">
        <v>-1.85</v>
      </c>
      <c r="Q135" s="82">
        <v>6.09</v>
      </c>
      <c r="R135" s="82">
        <v>18.63</v>
      </c>
      <c r="S135" s="82">
        <v>13.32</v>
      </c>
      <c r="T135" s="82">
        <v>12.9</v>
      </c>
      <c r="U135" s="82">
        <v>0.71</v>
      </c>
      <c r="V135" s="82">
        <v>0.11</v>
      </c>
      <c r="W135" s="82">
        <v>0.2</v>
      </c>
      <c r="X135" s="82">
        <v>-34.71</v>
      </c>
      <c r="Y135" s="82">
        <v>8.36</v>
      </c>
      <c r="Z135" s="191">
        <v>186684.6</v>
      </c>
      <c r="AA135" s="82">
        <v>14.5</v>
      </c>
      <c r="AB135" s="82">
        <v>2.7</v>
      </c>
      <c r="AC135" s="82">
        <v>-22.29</v>
      </c>
      <c r="AD135" s="191">
        <v>1.2736994448E9</v>
      </c>
    </row>
    <row r="136">
      <c r="A136" s="82" t="s">
        <v>188</v>
      </c>
      <c r="B136" s="82">
        <v>16.24</v>
      </c>
      <c r="C136" s="82">
        <v>16.34</v>
      </c>
      <c r="D136" s="82">
        <v>6.01</v>
      </c>
      <c r="E136" s="82">
        <v>1.12</v>
      </c>
      <c r="F136" s="82">
        <v>0.8</v>
      </c>
      <c r="G136" s="82">
        <v>42.78</v>
      </c>
      <c r="H136" s="82">
        <v>84.57</v>
      </c>
      <c r="I136" s="82">
        <v>67.3</v>
      </c>
      <c r="J136" s="82">
        <v>4.78</v>
      </c>
      <c r="K136" s="82">
        <v>2.44</v>
      </c>
      <c r="L136" s="82">
        <v>-2.76</v>
      </c>
      <c r="M136" s="82">
        <v>-0.65</v>
      </c>
      <c r="N136" s="82">
        <v>4.04</v>
      </c>
      <c r="O136" s="82">
        <v>1.82</v>
      </c>
      <c r="P136" s="82">
        <v>-1.69</v>
      </c>
      <c r="Q136" s="82">
        <v>6.09</v>
      </c>
      <c r="R136" s="82">
        <v>18.63</v>
      </c>
      <c r="S136" s="82">
        <v>13.32</v>
      </c>
      <c r="T136" s="82">
        <v>12.9</v>
      </c>
      <c r="U136" s="82">
        <v>0.71</v>
      </c>
      <c r="V136" s="82">
        <v>0.11</v>
      </c>
      <c r="W136" s="82">
        <v>0.2</v>
      </c>
      <c r="X136" s="82">
        <v>-34.71</v>
      </c>
      <c r="Y136" s="82">
        <v>8.36</v>
      </c>
      <c r="Z136" s="191">
        <v>174665.9</v>
      </c>
      <c r="AA136" s="82">
        <v>14.5</v>
      </c>
      <c r="AB136" s="82">
        <v>2.7</v>
      </c>
      <c r="AC136" s="82">
        <v>-20.34</v>
      </c>
      <c r="AD136" s="191">
        <v>1.2736994448E9</v>
      </c>
    </row>
    <row r="137">
      <c r="A137" s="82" t="s">
        <v>189</v>
      </c>
      <c r="B137" s="82">
        <v>18.1</v>
      </c>
      <c r="C137" s="82">
        <v>16.12</v>
      </c>
      <c r="D137" s="82">
        <v>6.7</v>
      </c>
      <c r="E137" s="82">
        <v>1.25</v>
      </c>
      <c r="F137" s="82">
        <v>0.89</v>
      </c>
      <c r="G137" s="82">
        <v>42.78</v>
      </c>
      <c r="H137" s="82">
        <v>84.57</v>
      </c>
      <c r="I137" s="82">
        <v>67.3</v>
      </c>
      <c r="J137" s="82">
        <v>5.33</v>
      </c>
      <c r="K137" s="82">
        <v>2.44</v>
      </c>
      <c r="L137" s="82">
        <v>-2.76</v>
      </c>
      <c r="M137" s="82">
        <v>-0.65</v>
      </c>
      <c r="N137" s="82">
        <v>4.51</v>
      </c>
      <c r="O137" s="82">
        <v>2.03</v>
      </c>
      <c r="P137" s="82">
        <v>-1.88</v>
      </c>
      <c r="Q137" s="82">
        <v>6.09</v>
      </c>
      <c r="R137" s="82">
        <v>18.63</v>
      </c>
      <c r="S137" s="82">
        <v>13.32</v>
      </c>
      <c r="T137" s="82">
        <v>12.9</v>
      </c>
      <c r="U137" s="82">
        <v>0.71</v>
      </c>
      <c r="V137" s="82">
        <v>0.11</v>
      </c>
      <c r="W137" s="82">
        <v>0.2</v>
      </c>
      <c r="X137" s="82">
        <v>-34.71</v>
      </c>
      <c r="Y137" s="82">
        <v>8.36</v>
      </c>
      <c r="Z137" s="191">
        <v>244371.5</v>
      </c>
      <c r="AA137" s="82">
        <v>14.5</v>
      </c>
      <c r="AB137" s="82">
        <v>2.7</v>
      </c>
      <c r="AC137" s="82">
        <v>-22.68</v>
      </c>
      <c r="AD137" s="191">
        <v>1.2736994448E9</v>
      </c>
    </row>
    <row r="138">
      <c r="A138" s="82" t="s">
        <v>190</v>
      </c>
      <c r="B138" s="82">
        <v>28.0</v>
      </c>
      <c r="D138" s="82">
        <v>4.37</v>
      </c>
      <c r="E138" s="82">
        <v>1.51</v>
      </c>
      <c r="F138" s="82">
        <v>0.33</v>
      </c>
      <c r="G138" s="82">
        <v>28.22</v>
      </c>
      <c r="H138" s="82">
        <v>15.02</v>
      </c>
      <c r="I138" s="82">
        <v>5.48</v>
      </c>
      <c r="J138" s="82">
        <v>1.6</v>
      </c>
      <c r="K138" s="82">
        <v>2.77</v>
      </c>
      <c r="L138" s="82">
        <v>1.21</v>
      </c>
      <c r="M138" s="82">
        <v>1.15</v>
      </c>
      <c r="N138" s="82">
        <v>0.24</v>
      </c>
      <c r="O138" s="82">
        <v>4.73</v>
      </c>
      <c r="P138" s="82">
        <v>-0.73</v>
      </c>
      <c r="Q138" s="82">
        <v>1.15</v>
      </c>
      <c r="R138" s="82">
        <v>34.57</v>
      </c>
      <c r="S138" s="82">
        <v>7.62</v>
      </c>
      <c r="T138" s="82">
        <v>35.72</v>
      </c>
      <c r="U138" s="82">
        <v>0.22</v>
      </c>
      <c r="V138" s="82">
        <v>0.78</v>
      </c>
      <c r="W138" s="82">
        <v>1.39</v>
      </c>
      <c r="X138" s="82">
        <v>14.09</v>
      </c>
      <c r="Y138" s="82">
        <v>-5.0</v>
      </c>
      <c r="Z138" s="191">
        <v>12780.36</v>
      </c>
      <c r="AA138" s="82">
        <v>18.52</v>
      </c>
      <c r="AB138" s="82">
        <v>6.4</v>
      </c>
      <c r="AC138" s="82">
        <v>-0.01</v>
      </c>
      <c r="AD138" s="191">
        <v>2.7446216416E8</v>
      </c>
    </row>
    <row r="139">
      <c r="A139" s="82" t="s">
        <v>191</v>
      </c>
      <c r="B139" s="82">
        <v>26.71</v>
      </c>
      <c r="D139" s="82">
        <v>4.17</v>
      </c>
      <c r="E139" s="82">
        <v>1.44</v>
      </c>
      <c r="F139" s="82">
        <v>0.32</v>
      </c>
      <c r="G139" s="82">
        <v>28.22</v>
      </c>
      <c r="H139" s="82">
        <v>15.02</v>
      </c>
      <c r="I139" s="82">
        <v>5.48</v>
      </c>
      <c r="J139" s="82">
        <v>1.52</v>
      </c>
      <c r="K139" s="82">
        <v>2.77</v>
      </c>
      <c r="L139" s="82">
        <v>1.21</v>
      </c>
      <c r="M139" s="82">
        <v>1.15</v>
      </c>
      <c r="N139" s="82">
        <v>0.23</v>
      </c>
      <c r="O139" s="82">
        <v>4.51</v>
      </c>
      <c r="P139" s="82">
        <v>-0.69</v>
      </c>
      <c r="Q139" s="82">
        <v>1.15</v>
      </c>
      <c r="R139" s="82">
        <v>34.57</v>
      </c>
      <c r="S139" s="82">
        <v>7.62</v>
      </c>
      <c r="T139" s="82">
        <v>35.72</v>
      </c>
      <c r="U139" s="82">
        <v>0.22</v>
      </c>
      <c r="V139" s="82">
        <v>0.78</v>
      </c>
      <c r="W139" s="82">
        <v>1.39</v>
      </c>
      <c r="X139" s="82">
        <v>14.09</v>
      </c>
      <c r="Y139" s="82">
        <v>-5.0</v>
      </c>
      <c r="Z139" s="191">
        <v>87732.11</v>
      </c>
      <c r="AA139" s="82">
        <v>18.52</v>
      </c>
      <c r="AB139" s="82">
        <v>6.4</v>
      </c>
      <c r="AC139" s="82">
        <v>-0.01</v>
      </c>
      <c r="AD139" s="191">
        <v>2.7446216416E8</v>
      </c>
    </row>
    <row r="140">
      <c r="A140" s="82" t="s">
        <v>192</v>
      </c>
      <c r="B140" s="82">
        <v>39.9</v>
      </c>
      <c r="C140" s="82">
        <v>4.08</v>
      </c>
      <c r="D140" s="82">
        <v>7.35</v>
      </c>
      <c r="E140" s="82">
        <v>1.77</v>
      </c>
      <c r="F140" s="82">
        <v>0.38</v>
      </c>
      <c r="G140" s="82">
        <v>28.66</v>
      </c>
      <c r="H140" s="82">
        <v>22.4</v>
      </c>
      <c r="I140" s="82">
        <v>9.86</v>
      </c>
      <c r="J140" s="82">
        <v>3.24</v>
      </c>
      <c r="K140" s="82">
        <v>7.99</v>
      </c>
      <c r="L140" s="82">
        <v>4.04</v>
      </c>
      <c r="M140" s="82">
        <v>2.2</v>
      </c>
      <c r="N140" s="82">
        <v>0.72</v>
      </c>
      <c r="O140" s="82">
        <v>-6.33</v>
      </c>
      <c r="P140" s="82">
        <v>-0.48</v>
      </c>
      <c r="Q140" s="82">
        <v>0.79</v>
      </c>
      <c r="R140" s="82">
        <v>24.0</v>
      </c>
      <c r="S140" s="82">
        <v>5.12</v>
      </c>
      <c r="T140" s="82">
        <v>14.62</v>
      </c>
      <c r="U140" s="82">
        <v>0.21</v>
      </c>
      <c r="V140" s="82">
        <v>0.79</v>
      </c>
      <c r="W140" s="82">
        <v>0.52</v>
      </c>
      <c r="X140" s="82">
        <v>11.42</v>
      </c>
      <c r="Y140" s="82">
        <v>51.69</v>
      </c>
      <c r="Z140" s="191">
        <v>46085.22</v>
      </c>
      <c r="AA140" s="82">
        <v>22.61</v>
      </c>
      <c r="AB140" s="82">
        <v>5.43</v>
      </c>
      <c r="AC140" s="82">
        <v>-0.29</v>
      </c>
      <c r="AD140" s="191">
        <v>1.274548024414E10</v>
      </c>
    </row>
    <row r="141">
      <c r="A141" s="82" t="s">
        <v>193</v>
      </c>
      <c r="B141" s="82">
        <v>39.01</v>
      </c>
      <c r="C141" s="82">
        <v>4.18</v>
      </c>
      <c r="D141" s="82">
        <v>7.19</v>
      </c>
      <c r="E141" s="82">
        <v>1.73</v>
      </c>
      <c r="F141" s="82">
        <v>0.37</v>
      </c>
      <c r="G141" s="82">
        <v>28.66</v>
      </c>
      <c r="H141" s="82">
        <v>22.4</v>
      </c>
      <c r="I141" s="82">
        <v>9.86</v>
      </c>
      <c r="J141" s="82">
        <v>3.16</v>
      </c>
      <c r="K141" s="82">
        <v>7.99</v>
      </c>
      <c r="L141" s="82">
        <v>4.04</v>
      </c>
      <c r="M141" s="82">
        <v>2.2</v>
      </c>
      <c r="N141" s="82">
        <v>0.71</v>
      </c>
      <c r="O141" s="82">
        <v>-6.19</v>
      </c>
      <c r="P141" s="82">
        <v>-0.47</v>
      </c>
      <c r="Q141" s="82">
        <v>0.79</v>
      </c>
      <c r="R141" s="82">
        <v>24.0</v>
      </c>
      <c r="S141" s="82">
        <v>5.12</v>
      </c>
      <c r="T141" s="82">
        <v>14.62</v>
      </c>
      <c r="U141" s="82">
        <v>0.21</v>
      </c>
      <c r="V141" s="82">
        <v>0.79</v>
      </c>
      <c r="W141" s="82">
        <v>0.52</v>
      </c>
      <c r="X141" s="82">
        <v>11.42</v>
      </c>
      <c r="Y141" s="82">
        <v>51.69</v>
      </c>
      <c r="Z141" s="191">
        <v>3901.0</v>
      </c>
      <c r="AA141" s="82">
        <v>22.61</v>
      </c>
      <c r="AB141" s="82">
        <v>5.43</v>
      </c>
      <c r="AC141" s="82">
        <v>-0.29</v>
      </c>
      <c r="AD141" s="191">
        <v>1.274548024414E10</v>
      </c>
    </row>
    <row r="142">
      <c r="A142" s="82" t="s">
        <v>194</v>
      </c>
      <c r="B142" s="82">
        <v>60.68</v>
      </c>
      <c r="C142" s="82">
        <v>2.95</v>
      </c>
      <c r="D142" s="82">
        <v>11.18</v>
      </c>
      <c r="E142" s="82">
        <v>2.68</v>
      </c>
      <c r="F142" s="82">
        <v>0.57</v>
      </c>
      <c r="G142" s="82">
        <v>28.66</v>
      </c>
      <c r="H142" s="82">
        <v>22.4</v>
      </c>
      <c r="I142" s="82">
        <v>9.86</v>
      </c>
      <c r="J142" s="82">
        <v>4.92</v>
      </c>
      <c r="K142" s="82">
        <v>7.99</v>
      </c>
      <c r="L142" s="82">
        <v>4.04</v>
      </c>
      <c r="M142" s="82">
        <v>2.2</v>
      </c>
      <c r="N142" s="82">
        <v>1.1</v>
      </c>
      <c r="O142" s="82">
        <v>-9.62</v>
      </c>
      <c r="P142" s="82">
        <v>-0.74</v>
      </c>
      <c r="Q142" s="82">
        <v>0.79</v>
      </c>
      <c r="R142" s="82">
        <v>24.0</v>
      </c>
      <c r="S142" s="82">
        <v>5.12</v>
      </c>
      <c r="T142" s="82">
        <v>14.62</v>
      </c>
      <c r="U142" s="82">
        <v>0.21</v>
      </c>
      <c r="V142" s="82">
        <v>0.79</v>
      </c>
      <c r="W142" s="82">
        <v>0.52</v>
      </c>
      <c r="X142" s="82">
        <v>11.42</v>
      </c>
      <c r="Y142" s="82">
        <v>51.69</v>
      </c>
      <c r="AA142" s="82">
        <v>22.61</v>
      </c>
      <c r="AB142" s="82">
        <v>5.43</v>
      </c>
      <c r="AC142" s="82">
        <v>-0.45</v>
      </c>
      <c r="AD142" s="191">
        <v>1.274548024414E10</v>
      </c>
    </row>
    <row r="143">
      <c r="A143" s="82" t="s">
        <v>195</v>
      </c>
      <c r="B143" s="82">
        <v>24.28</v>
      </c>
      <c r="D143" s="82">
        <v>-4.21</v>
      </c>
      <c r="E143" s="82">
        <v>-0.56</v>
      </c>
      <c r="F143" s="82">
        <v>0.22</v>
      </c>
      <c r="G143" s="82">
        <v>19.39</v>
      </c>
      <c r="H143" s="82">
        <v>8.58</v>
      </c>
      <c r="I143" s="82">
        <v>-8.03</v>
      </c>
      <c r="J143" s="82">
        <v>3.94</v>
      </c>
      <c r="K143" s="82">
        <v>10.56</v>
      </c>
      <c r="L143" s="82">
        <v>6.62</v>
      </c>
      <c r="N143" s="82">
        <v>0.34</v>
      </c>
      <c r="O143" s="82">
        <v>-5.88</v>
      </c>
      <c r="P143" s="82">
        <v>-0.36</v>
      </c>
      <c r="Q143" s="82">
        <v>0.91</v>
      </c>
      <c r="R143" s="82">
        <v>-13.27</v>
      </c>
      <c r="S143" s="82">
        <v>-5.29</v>
      </c>
      <c r="T143" s="82">
        <v>37.73</v>
      </c>
      <c r="U143" s="82">
        <v>-0.4</v>
      </c>
      <c r="V143" s="82">
        <v>1.4</v>
      </c>
      <c r="W143" s="82">
        <v>0.66</v>
      </c>
      <c r="X143" s="82">
        <v>7.74</v>
      </c>
      <c r="Z143" s="191">
        <v>6135.0</v>
      </c>
      <c r="AA143" s="82">
        <v>-43.45</v>
      </c>
      <c r="AB143" s="82">
        <v>-5.76</v>
      </c>
      <c r="AC143" s="82">
        <v>0.02</v>
      </c>
      <c r="AD143" s="191">
        <v>1.65685574848E9</v>
      </c>
    </row>
    <row r="144">
      <c r="A144" s="82" t="s">
        <v>196</v>
      </c>
      <c r="B144" s="82">
        <v>22.0</v>
      </c>
      <c r="D144" s="82">
        <v>-3.82</v>
      </c>
      <c r="E144" s="82">
        <v>-0.51</v>
      </c>
      <c r="F144" s="82">
        <v>0.2</v>
      </c>
      <c r="G144" s="82">
        <v>19.39</v>
      </c>
      <c r="H144" s="82">
        <v>8.58</v>
      </c>
      <c r="I144" s="82">
        <v>-8.03</v>
      </c>
      <c r="J144" s="82">
        <v>3.57</v>
      </c>
      <c r="K144" s="82">
        <v>10.56</v>
      </c>
      <c r="L144" s="82">
        <v>6.62</v>
      </c>
      <c r="N144" s="82">
        <v>0.31</v>
      </c>
      <c r="O144" s="82">
        <v>-5.33</v>
      </c>
      <c r="P144" s="82">
        <v>-0.32</v>
      </c>
      <c r="Q144" s="82">
        <v>0.91</v>
      </c>
      <c r="R144" s="82">
        <v>-13.27</v>
      </c>
      <c r="S144" s="82">
        <v>-5.29</v>
      </c>
      <c r="T144" s="82">
        <v>37.73</v>
      </c>
      <c r="U144" s="82">
        <v>-0.4</v>
      </c>
      <c r="V144" s="82">
        <v>1.4</v>
      </c>
      <c r="W144" s="82">
        <v>0.66</v>
      </c>
      <c r="X144" s="82">
        <v>7.74</v>
      </c>
      <c r="Z144" s="191">
        <v>15640.0</v>
      </c>
      <c r="AA144" s="82">
        <v>-43.45</v>
      </c>
      <c r="AB144" s="82">
        <v>-5.76</v>
      </c>
      <c r="AC144" s="82">
        <v>0.02</v>
      </c>
      <c r="AD144" s="191">
        <v>1.65685574848E9</v>
      </c>
    </row>
    <row r="145">
      <c r="A145" s="82" t="s">
        <v>197</v>
      </c>
      <c r="B145" s="82">
        <v>88.32</v>
      </c>
      <c r="C145" s="82">
        <v>0.86</v>
      </c>
      <c r="D145" s="82">
        <v>59.53</v>
      </c>
      <c r="E145" s="82">
        <v>16.36</v>
      </c>
      <c r="F145" s="82">
        <v>5.1</v>
      </c>
      <c r="G145" s="82">
        <v>26.97</v>
      </c>
      <c r="H145" s="82">
        <v>16.7</v>
      </c>
      <c r="I145" s="82">
        <v>6.55</v>
      </c>
      <c r="J145" s="82">
        <v>23.35</v>
      </c>
      <c r="K145" s="82">
        <v>24.1</v>
      </c>
      <c r="L145" s="82">
        <v>0.75</v>
      </c>
      <c r="M145" s="82">
        <v>0.53</v>
      </c>
      <c r="N145" s="82">
        <v>3.9</v>
      </c>
      <c r="O145" s="82">
        <v>-234.32</v>
      </c>
      <c r="P145" s="82">
        <v>-7.01</v>
      </c>
      <c r="Q145" s="82">
        <v>0.93</v>
      </c>
      <c r="R145" s="82">
        <v>27.48</v>
      </c>
      <c r="S145" s="82">
        <v>8.57</v>
      </c>
      <c r="T145" s="82">
        <v>30.44</v>
      </c>
      <c r="U145" s="82">
        <v>0.31</v>
      </c>
      <c r="V145" s="82">
        <v>0.69</v>
      </c>
      <c r="W145" s="82">
        <v>1.31</v>
      </c>
      <c r="X145" s="82">
        <v>9.87</v>
      </c>
      <c r="Y145" s="82">
        <v>2.6</v>
      </c>
      <c r="AA145" s="82">
        <v>5.4</v>
      </c>
      <c r="AB145" s="82">
        <v>1.48</v>
      </c>
      <c r="AC145" s="82">
        <v>-2.91</v>
      </c>
      <c r="AD145" s="191">
        <v>2.293120449024E10</v>
      </c>
    </row>
    <row r="146">
      <c r="A146" s="82" t="s">
        <v>198</v>
      </c>
      <c r="B146" s="82">
        <v>125.26</v>
      </c>
      <c r="C146" s="82">
        <v>0.43</v>
      </c>
      <c r="D146" s="82">
        <v>194.71</v>
      </c>
      <c r="E146" s="82">
        <v>6.27</v>
      </c>
      <c r="F146" s="82">
        <v>0.7</v>
      </c>
      <c r="G146" s="82">
        <v>18.71</v>
      </c>
      <c r="H146" s="82">
        <v>11.07</v>
      </c>
      <c r="I146" s="82">
        <v>0.58</v>
      </c>
      <c r="J146" s="82">
        <v>10.25</v>
      </c>
      <c r="K146" s="82">
        <v>17.49</v>
      </c>
      <c r="L146" s="82">
        <v>7.99</v>
      </c>
      <c r="M146" s="82">
        <v>4.89</v>
      </c>
      <c r="N146" s="82">
        <v>1.13</v>
      </c>
      <c r="O146" s="82">
        <v>-39.1</v>
      </c>
      <c r="P146" s="82">
        <v>-0.93</v>
      </c>
      <c r="Q146" s="82">
        <v>0.93</v>
      </c>
      <c r="R146" s="82">
        <v>3.22</v>
      </c>
      <c r="S146" s="82">
        <v>0.36</v>
      </c>
      <c r="T146" s="82">
        <v>9.82</v>
      </c>
      <c r="U146" s="82">
        <v>0.11</v>
      </c>
      <c r="V146" s="82">
        <v>0.89</v>
      </c>
      <c r="W146" s="82">
        <v>0.62</v>
      </c>
      <c r="X146" s="82">
        <v>8.38</v>
      </c>
      <c r="Y146" s="82">
        <v>-3.17</v>
      </c>
      <c r="AA146" s="82">
        <v>19.97</v>
      </c>
      <c r="AB146" s="82">
        <v>0.64</v>
      </c>
      <c r="AC146" s="82">
        <v>-2.5</v>
      </c>
      <c r="AD146" s="191">
        <v>8.66239221018E9</v>
      </c>
    </row>
    <row r="147">
      <c r="A147" s="82" t="s">
        <v>199</v>
      </c>
      <c r="B147" s="82">
        <v>40.12</v>
      </c>
      <c r="C147" s="82">
        <v>1.35</v>
      </c>
      <c r="D147" s="82">
        <v>62.36</v>
      </c>
      <c r="E147" s="82">
        <v>2.01</v>
      </c>
      <c r="F147" s="82">
        <v>0.22</v>
      </c>
      <c r="G147" s="82">
        <v>18.71</v>
      </c>
      <c r="H147" s="82">
        <v>11.07</v>
      </c>
      <c r="I147" s="82">
        <v>0.58</v>
      </c>
      <c r="J147" s="82">
        <v>3.28</v>
      </c>
      <c r="K147" s="82">
        <v>17.49</v>
      </c>
      <c r="L147" s="82">
        <v>7.99</v>
      </c>
      <c r="M147" s="82">
        <v>4.89</v>
      </c>
      <c r="N147" s="82">
        <v>0.36</v>
      </c>
      <c r="O147" s="82">
        <v>-12.52</v>
      </c>
      <c r="P147" s="82">
        <v>-0.3</v>
      </c>
      <c r="Q147" s="82">
        <v>0.93</v>
      </c>
      <c r="R147" s="82">
        <v>3.22</v>
      </c>
      <c r="S147" s="82">
        <v>0.36</v>
      </c>
      <c r="T147" s="82">
        <v>9.82</v>
      </c>
      <c r="U147" s="82">
        <v>0.11</v>
      </c>
      <c r="V147" s="82">
        <v>0.89</v>
      </c>
      <c r="W147" s="82">
        <v>0.62</v>
      </c>
      <c r="X147" s="82">
        <v>8.38</v>
      </c>
      <c r="Y147" s="82">
        <v>-3.17</v>
      </c>
      <c r="AA147" s="82">
        <v>19.97</v>
      </c>
      <c r="AB147" s="82">
        <v>0.64</v>
      </c>
      <c r="AC147" s="82">
        <v>-0.8</v>
      </c>
      <c r="AD147" s="191">
        <v>8.66239221018E9</v>
      </c>
    </row>
    <row r="148">
      <c r="A148" s="82" t="s">
        <v>200</v>
      </c>
      <c r="B148" s="82">
        <v>43.0</v>
      </c>
      <c r="C148" s="82">
        <v>1.39</v>
      </c>
      <c r="D148" s="82">
        <v>66.84</v>
      </c>
      <c r="E148" s="82">
        <v>2.15</v>
      </c>
      <c r="F148" s="82">
        <v>0.24</v>
      </c>
      <c r="G148" s="82">
        <v>18.71</v>
      </c>
      <c r="H148" s="82">
        <v>11.07</v>
      </c>
      <c r="I148" s="82">
        <v>0.58</v>
      </c>
      <c r="J148" s="82">
        <v>3.52</v>
      </c>
      <c r="K148" s="82">
        <v>17.49</v>
      </c>
      <c r="L148" s="82">
        <v>7.99</v>
      </c>
      <c r="M148" s="82">
        <v>4.89</v>
      </c>
      <c r="N148" s="82">
        <v>0.39</v>
      </c>
      <c r="O148" s="82">
        <v>-13.42</v>
      </c>
      <c r="P148" s="82">
        <v>-0.32</v>
      </c>
      <c r="Q148" s="82">
        <v>0.93</v>
      </c>
      <c r="R148" s="82">
        <v>3.22</v>
      </c>
      <c r="S148" s="82">
        <v>0.36</v>
      </c>
      <c r="T148" s="82">
        <v>9.82</v>
      </c>
      <c r="U148" s="82">
        <v>0.11</v>
      </c>
      <c r="V148" s="82">
        <v>0.89</v>
      </c>
      <c r="W148" s="82">
        <v>0.62</v>
      </c>
      <c r="X148" s="82">
        <v>8.38</v>
      </c>
      <c r="Y148" s="82">
        <v>-3.17</v>
      </c>
      <c r="AA148" s="82">
        <v>19.97</v>
      </c>
      <c r="AB148" s="82">
        <v>0.64</v>
      </c>
      <c r="AC148" s="82">
        <v>-0.86</v>
      </c>
      <c r="AD148" s="191">
        <v>8.66239221018E9</v>
      </c>
    </row>
    <row r="149">
      <c r="A149" s="82" t="s">
        <v>201</v>
      </c>
      <c r="B149" s="82">
        <v>25.55</v>
      </c>
      <c r="D149" s="82">
        <v>4.45</v>
      </c>
      <c r="E149" s="82">
        <v>1.03</v>
      </c>
      <c r="F149" s="82">
        <v>0.56</v>
      </c>
      <c r="G149" s="82">
        <v>37.46</v>
      </c>
      <c r="H149" s="82">
        <v>64.14</v>
      </c>
      <c r="I149" s="82">
        <v>117.96</v>
      </c>
      <c r="J149" s="82">
        <v>8.18</v>
      </c>
      <c r="K149" s="82">
        <v>7.45</v>
      </c>
      <c r="L149" s="82">
        <v>-0.67</v>
      </c>
      <c r="M149" s="82">
        <v>-0.08</v>
      </c>
      <c r="N149" s="82">
        <v>5.25</v>
      </c>
      <c r="O149" s="82">
        <v>8.08</v>
      </c>
      <c r="P149" s="82">
        <v>-0.71</v>
      </c>
      <c r="Q149" s="82">
        <v>1.46</v>
      </c>
      <c r="R149" s="82">
        <v>23.2</v>
      </c>
      <c r="S149" s="82">
        <v>12.53</v>
      </c>
      <c r="T149" s="82">
        <v>0.67</v>
      </c>
      <c r="U149" s="82">
        <v>0.54</v>
      </c>
      <c r="V149" s="82">
        <v>0.46</v>
      </c>
      <c r="W149" s="82">
        <v>0.11</v>
      </c>
      <c r="X149" s="82">
        <v>8.84</v>
      </c>
      <c r="AA149" s="82">
        <v>24.76</v>
      </c>
      <c r="AB149" s="82">
        <v>5.74</v>
      </c>
      <c r="AC149" s="82">
        <v>0.0</v>
      </c>
      <c r="AD149" s="191">
        <v>8.30219283355E9</v>
      </c>
    </row>
    <row r="150">
      <c r="A150" s="82" t="s">
        <v>202</v>
      </c>
      <c r="B150" s="82">
        <v>25.0</v>
      </c>
      <c r="D150" s="82">
        <v>4.35</v>
      </c>
      <c r="E150" s="82">
        <v>1.01</v>
      </c>
      <c r="F150" s="82">
        <v>0.55</v>
      </c>
      <c r="G150" s="82">
        <v>37.46</v>
      </c>
      <c r="H150" s="82">
        <v>64.14</v>
      </c>
      <c r="I150" s="82">
        <v>117.96</v>
      </c>
      <c r="J150" s="82">
        <v>8.0</v>
      </c>
      <c r="K150" s="82">
        <v>7.45</v>
      </c>
      <c r="L150" s="82">
        <v>-0.67</v>
      </c>
      <c r="M150" s="82">
        <v>-0.08</v>
      </c>
      <c r="N150" s="82">
        <v>5.13</v>
      </c>
      <c r="O150" s="82">
        <v>7.9</v>
      </c>
      <c r="P150" s="82">
        <v>-0.7</v>
      </c>
      <c r="Q150" s="82">
        <v>1.46</v>
      </c>
      <c r="R150" s="82">
        <v>23.2</v>
      </c>
      <c r="S150" s="82">
        <v>12.53</v>
      </c>
      <c r="T150" s="82">
        <v>0.67</v>
      </c>
      <c r="U150" s="82">
        <v>0.54</v>
      </c>
      <c r="V150" s="82">
        <v>0.46</v>
      </c>
      <c r="W150" s="82">
        <v>0.11</v>
      </c>
      <c r="X150" s="82">
        <v>8.84</v>
      </c>
      <c r="AA150" s="82">
        <v>24.76</v>
      </c>
      <c r="AB150" s="82">
        <v>5.74</v>
      </c>
      <c r="AC150" s="82">
        <v>0.0</v>
      </c>
      <c r="AD150" s="191">
        <v>8.30219283355E9</v>
      </c>
    </row>
    <row r="151">
      <c r="A151" s="82" t="s">
        <v>203</v>
      </c>
      <c r="B151" s="82">
        <v>25.25</v>
      </c>
      <c r="D151" s="82">
        <v>4.4</v>
      </c>
      <c r="E151" s="82">
        <v>1.02</v>
      </c>
      <c r="F151" s="82">
        <v>0.55</v>
      </c>
      <c r="G151" s="82">
        <v>37.46</v>
      </c>
      <c r="H151" s="82">
        <v>64.14</v>
      </c>
      <c r="I151" s="82">
        <v>117.96</v>
      </c>
      <c r="J151" s="82">
        <v>8.08</v>
      </c>
      <c r="K151" s="82">
        <v>7.45</v>
      </c>
      <c r="L151" s="82">
        <v>-0.67</v>
      </c>
      <c r="M151" s="82">
        <v>-0.08</v>
      </c>
      <c r="N151" s="82">
        <v>5.18</v>
      </c>
      <c r="O151" s="82">
        <v>7.98</v>
      </c>
      <c r="P151" s="82">
        <v>-0.71</v>
      </c>
      <c r="Q151" s="82">
        <v>1.46</v>
      </c>
      <c r="R151" s="82">
        <v>23.2</v>
      </c>
      <c r="S151" s="82">
        <v>12.53</v>
      </c>
      <c r="T151" s="82">
        <v>0.67</v>
      </c>
      <c r="U151" s="82">
        <v>0.54</v>
      </c>
      <c r="V151" s="82">
        <v>0.46</v>
      </c>
      <c r="W151" s="82">
        <v>0.11</v>
      </c>
      <c r="X151" s="82">
        <v>8.84</v>
      </c>
      <c r="AA151" s="82">
        <v>24.76</v>
      </c>
      <c r="AB151" s="82">
        <v>5.74</v>
      </c>
      <c r="AC151" s="82">
        <v>0.0</v>
      </c>
      <c r="AD151" s="191">
        <v>8.30219283355E9</v>
      </c>
    </row>
    <row r="152">
      <c r="A152" s="82" t="s">
        <v>204</v>
      </c>
      <c r="B152" s="82">
        <v>121.18</v>
      </c>
      <c r="C152" s="82">
        <v>2.54</v>
      </c>
      <c r="D152" s="82">
        <v>45.65</v>
      </c>
      <c r="E152" s="82">
        <v>36.14</v>
      </c>
      <c r="F152" s="82">
        <v>1.15</v>
      </c>
      <c r="G152" s="82">
        <v>22.25</v>
      </c>
      <c r="H152" s="82">
        <v>18.15</v>
      </c>
      <c r="I152" s="82">
        <v>2.21</v>
      </c>
      <c r="J152" s="82">
        <v>5.56</v>
      </c>
      <c r="K152" s="82">
        <v>7.41</v>
      </c>
      <c r="L152" s="82">
        <v>1.86</v>
      </c>
      <c r="M152" s="82">
        <v>12.07</v>
      </c>
      <c r="N152" s="82">
        <v>1.01</v>
      </c>
      <c r="O152" s="82">
        <v>65.15</v>
      </c>
      <c r="P152" s="82">
        <v>-1.86</v>
      </c>
      <c r="Q152" s="82">
        <v>1.05</v>
      </c>
      <c r="R152" s="82">
        <v>79.18</v>
      </c>
      <c r="S152" s="82">
        <v>2.51</v>
      </c>
      <c r="T152" s="82">
        <v>17.62</v>
      </c>
      <c r="U152" s="82">
        <v>0.03</v>
      </c>
      <c r="V152" s="82">
        <v>0.97</v>
      </c>
      <c r="W152" s="82">
        <v>1.14</v>
      </c>
      <c r="X152" s="82">
        <v>25.75</v>
      </c>
      <c r="Y152" s="82">
        <v>-11.28</v>
      </c>
      <c r="Z152" s="191">
        <v>38204.0</v>
      </c>
      <c r="AA152" s="82">
        <v>3.35</v>
      </c>
      <c r="AB152" s="82">
        <v>2.65</v>
      </c>
      <c r="AC152" s="82">
        <v>-0.57</v>
      </c>
      <c r="AD152" s="191">
        <v>1.605884473266E10</v>
      </c>
    </row>
    <row r="153">
      <c r="A153" s="82" t="s">
        <v>205</v>
      </c>
      <c r="B153" s="82">
        <v>124.11</v>
      </c>
      <c r="C153" s="82">
        <v>2.73</v>
      </c>
      <c r="D153" s="82">
        <v>46.75</v>
      </c>
      <c r="E153" s="82">
        <v>37.02</v>
      </c>
      <c r="F153" s="82">
        <v>1.17</v>
      </c>
      <c r="G153" s="82">
        <v>22.25</v>
      </c>
      <c r="H153" s="82">
        <v>18.15</v>
      </c>
      <c r="I153" s="82">
        <v>2.21</v>
      </c>
      <c r="J153" s="82">
        <v>5.69</v>
      </c>
      <c r="K153" s="82">
        <v>7.41</v>
      </c>
      <c r="L153" s="82">
        <v>1.86</v>
      </c>
      <c r="M153" s="82">
        <v>12.07</v>
      </c>
      <c r="N153" s="82">
        <v>1.03</v>
      </c>
      <c r="O153" s="82">
        <v>66.72</v>
      </c>
      <c r="P153" s="82">
        <v>-1.9</v>
      </c>
      <c r="Q153" s="82">
        <v>1.05</v>
      </c>
      <c r="R153" s="82">
        <v>79.18</v>
      </c>
      <c r="S153" s="82">
        <v>2.51</v>
      </c>
      <c r="T153" s="82">
        <v>17.62</v>
      </c>
      <c r="U153" s="82">
        <v>0.03</v>
      </c>
      <c r="V153" s="82">
        <v>0.97</v>
      </c>
      <c r="W153" s="82">
        <v>1.14</v>
      </c>
      <c r="X153" s="82">
        <v>25.75</v>
      </c>
      <c r="Y153" s="82">
        <v>-11.28</v>
      </c>
      <c r="Z153" s="191">
        <v>223196.58</v>
      </c>
      <c r="AA153" s="82">
        <v>3.35</v>
      </c>
      <c r="AB153" s="82">
        <v>2.65</v>
      </c>
      <c r="AC153" s="82">
        <v>-0.59</v>
      </c>
      <c r="AD153" s="191">
        <v>1.605884473266E10</v>
      </c>
    </row>
    <row r="154">
      <c r="A154" s="82" t="s">
        <v>206</v>
      </c>
      <c r="B154" s="82">
        <v>26.26</v>
      </c>
      <c r="C154" s="82">
        <v>5.44</v>
      </c>
      <c r="D154" s="82">
        <v>6.14</v>
      </c>
      <c r="E154" s="82">
        <v>0.6</v>
      </c>
      <c r="F154" s="82">
        <v>0.44</v>
      </c>
      <c r="G154" s="82">
        <v>53.77</v>
      </c>
      <c r="H154" s="82">
        <v>6.83</v>
      </c>
      <c r="I154" s="82">
        <v>12.81</v>
      </c>
      <c r="J154" s="82">
        <v>11.51</v>
      </c>
      <c r="K154" s="82">
        <v>8.64</v>
      </c>
      <c r="L154" s="82">
        <v>-3.05</v>
      </c>
      <c r="M154" s="82">
        <v>-0.16</v>
      </c>
      <c r="N154" s="82">
        <v>0.79</v>
      </c>
      <c r="O154" s="82">
        <v>1.62</v>
      </c>
      <c r="P154" s="82">
        <v>-0.77</v>
      </c>
      <c r="Q154" s="82">
        <v>2.66</v>
      </c>
      <c r="R154" s="82">
        <v>9.8</v>
      </c>
      <c r="S154" s="82">
        <v>7.1</v>
      </c>
      <c r="T154" s="82">
        <v>3.78</v>
      </c>
      <c r="U154" s="82">
        <v>0.72</v>
      </c>
      <c r="V154" s="82">
        <v>0.28</v>
      </c>
      <c r="W154" s="82">
        <v>0.55</v>
      </c>
      <c r="X154" s="82">
        <v>9.76</v>
      </c>
      <c r="Y154" s="82">
        <v>6.93</v>
      </c>
      <c r="Z154" s="191">
        <v>141006.8</v>
      </c>
      <c r="AA154" s="82">
        <v>43.61</v>
      </c>
      <c r="AB154" s="82">
        <v>4.27</v>
      </c>
      <c r="AC154" s="82">
        <v>-0.24</v>
      </c>
      <c r="AD154" s="191">
        <v>5.3559262266E8</v>
      </c>
    </row>
    <row r="155">
      <c r="A155" s="82" t="s">
        <v>207</v>
      </c>
      <c r="B155" s="82">
        <v>26.79</v>
      </c>
      <c r="C155" s="82">
        <v>5.33</v>
      </c>
      <c r="D155" s="82">
        <v>6.27</v>
      </c>
      <c r="E155" s="82">
        <v>0.61</v>
      </c>
      <c r="F155" s="82">
        <v>0.44</v>
      </c>
      <c r="G155" s="82">
        <v>53.77</v>
      </c>
      <c r="H155" s="82">
        <v>6.83</v>
      </c>
      <c r="I155" s="82">
        <v>12.81</v>
      </c>
      <c r="J155" s="82">
        <v>11.75</v>
      </c>
      <c r="K155" s="82">
        <v>8.64</v>
      </c>
      <c r="L155" s="82">
        <v>-3.05</v>
      </c>
      <c r="M155" s="82">
        <v>-0.16</v>
      </c>
      <c r="N155" s="82">
        <v>0.8</v>
      </c>
      <c r="O155" s="82">
        <v>1.65</v>
      </c>
      <c r="P155" s="82">
        <v>-0.78</v>
      </c>
      <c r="Q155" s="82">
        <v>2.66</v>
      </c>
      <c r="R155" s="82">
        <v>9.8</v>
      </c>
      <c r="S155" s="82">
        <v>7.1</v>
      </c>
      <c r="T155" s="82">
        <v>3.78</v>
      </c>
      <c r="U155" s="82">
        <v>0.72</v>
      </c>
      <c r="V155" s="82">
        <v>0.28</v>
      </c>
      <c r="W155" s="82">
        <v>0.55</v>
      </c>
      <c r="X155" s="82">
        <v>9.76</v>
      </c>
      <c r="Y155" s="82">
        <v>6.93</v>
      </c>
      <c r="Z155" s="191">
        <v>215222.65</v>
      </c>
      <c r="AA155" s="82">
        <v>43.61</v>
      </c>
      <c r="AB155" s="82">
        <v>4.27</v>
      </c>
      <c r="AC155" s="82">
        <v>-0.24</v>
      </c>
      <c r="AD155" s="191">
        <v>5.3559262266E8</v>
      </c>
    </row>
    <row r="156">
      <c r="A156" s="82" t="s">
        <v>208</v>
      </c>
      <c r="B156" s="82">
        <v>4.61</v>
      </c>
      <c r="C156" s="82">
        <v>4.71</v>
      </c>
      <c r="D156" s="82">
        <v>6.48</v>
      </c>
      <c r="E156" s="82">
        <v>1.05</v>
      </c>
      <c r="F156" s="82">
        <v>0.13</v>
      </c>
      <c r="G156" s="82">
        <v>46.49</v>
      </c>
      <c r="H156" s="82">
        <v>32.18</v>
      </c>
      <c r="I156" s="82">
        <v>18.27</v>
      </c>
      <c r="J156" s="82">
        <v>3.68</v>
      </c>
      <c r="K156" s="82">
        <v>5.25</v>
      </c>
      <c r="L156" s="82">
        <v>1.63</v>
      </c>
      <c r="M156" s="82">
        <v>0.46</v>
      </c>
      <c r="N156" s="82">
        <v>1.18</v>
      </c>
      <c r="O156" s="82">
        <v>1.01</v>
      </c>
      <c r="P156" s="82">
        <v>-1.12</v>
      </c>
      <c r="Q156" s="82">
        <v>1.17</v>
      </c>
      <c r="R156" s="82">
        <v>16.16</v>
      </c>
      <c r="S156" s="82">
        <v>2.0</v>
      </c>
      <c r="T156" s="82">
        <v>12.1</v>
      </c>
      <c r="U156" s="82">
        <v>0.12</v>
      </c>
      <c r="V156" s="82">
        <v>0.85</v>
      </c>
      <c r="W156" s="82">
        <v>0.11</v>
      </c>
      <c r="X156" s="82">
        <v>-1.62</v>
      </c>
      <c r="Y156" s="82">
        <v>-13.77</v>
      </c>
      <c r="Z156" s="191">
        <v>9.31650109E7</v>
      </c>
      <c r="AA156" s="82">
        <v>4.41</v>
      </c>
      <c r="AB156" s="82">
        <v>0.71</v>
      </c>
      <c r="AC156" s="82">
        <v>0.18</v>
      </c>
      <c r="AD156" s="191">
        <v>1.233434037694E10</v>
      </c>
    </row>
    <row r="157">
      <c r="A157" s="82" t="s">
        <v>209</v>
      </c>
      <c r="B157" s="82">
        <v>3.47</v>
      </c>
      <c r="D157" s="82">
        <v>-23.25</v>
      </c>
      <c r="E157" s="82">
        <v>0.91</v>
      </c>
      <c r="F157" s="82">
        <v>0.73</v>
      </c>
      <c r="G157" s="82">
        <v>34.44</v>
      </c>
      <c r="H157" s="82">
        <v>-16.03</v>
      </c>
      <c r="I157" s="82">
        <v>-5.38</v>
      </c>
      <c r="J157" s="82">
        <v>-7.8</v>
      </c>
      <c r="K157" s="82">
        <v>-3.38</v>
      </c>
      <c r="L157" s="82">
        <v>4.47</v>
      </c>
      <c r="M157" s="82">
        <v>-0.52</v>
      </c>
      <c r="N157" s="82">
        <v>1.25</v>
      </c>
      <c r="O157" s="82">
        <v>1.53</v>
      </c>
      <c r="P157" s="82">
        <v>-2.12</v>
      </c>
      <c r="Q157" s="82">
        <v>3.59</v>
      </c>
      <c r="R157" s="82">
        <v>-3.92</v>
      </c>
      <c r="S157" s="82">
        <v>-3.12</v>
      </c>
      <c r="T157" s="82">
        <v>-12.16</v>
      </c>
      <c r="U157" s="82">
        <v>0.8</v>
      </c>
      <c r="V157" s="82">
        <v>0.2</v>
      </c>
      <c r="W157" s="82">
        <v>0.58</v>
      </c>
      <c r="Z157" s="191">
        <v>2460151.5</v>
      </c>
      <c r="AA157" s="82">
        <v>3.81</v>
      </c>
      <c r="AB157" s="82">
        <v>-0.15</v>
      </c>
      <c r="AC157" s="82">
        <v>0.34</v>
      </c>
      <c r="AD157" s="191">
        <v>6.558619494E8</v>
      </c>
    </row>
    <row r="158">
      <c r="A158" s="82" t="s">
        <v>210</v>
      </c>
      <c r="B158" s="82">
        <v>61.54</v>
      </c>
      <c r="C158" s="82">
        <v>2.73</v>
      </c>
      <c r="D158" s="82">
        <v>4.15</v>
      </c>
      <c r="E158" s="82">
        <v>0.74</v>
      </c>
      <c r="F158" s="82">
        <v>0.2</v>
      </c>
      <c r="G158" s="82">
        <v>15.15</v>
      </c>
      <c r="H158" s="82">
        <v>9.04</v>
      </c>
      <c r="I158" s="82">
        <v>5.5</v>
      </c>
      <c r="J158" s="82">
        <v>2.53</v>
      </c>
      <c r="K158" s="82">
        <v>4.53</v>
      </c>
      <c r="L158" s="82">
        <v>1.9</v>
      </c>
      <c r="M158" s="82">
        <v>0.56</v>
      </c>
      <c r="N158" s="82">
        <v>0.23</v>
      </c>
      <c r="O158" s="82">
        <v>-3.28</v>
      </c>
      <c r="P158" s="82">
        <v>-0.29</v>
      </c>
      <c r="Q158" s="82">
        <v>0.83</v>
      </c>
      <c r="R158" s="82">
        <v>17.93</v>
      </c>
      <c r="S158" s="82">
        <v>4.93</v>
      </c>
      <c r="T158" s="82">
        <v>13.59</v>
      </c>
      <c r="U158" s="82">
        <v>0.27</v>
      </c>
      <c r="V158" s="82">
        <v>0.73</v>
      </c>
      <c r="W158" s="82">
        <v>0.9</v>
      </c>
      <c r="X158" s="82">
        <v>7.34</v>
      </c>
      <c r="Y158" s="82">
        <v>53.76</v>
      </c>
      <c r="Z158" s="191">
        <v>14921.93</v>
      </c>
      <c r="AA158" s="82">
        <v>82.64</v>
      </c>
      <c r="AB158" s="82">
        <v>14.82</v>
      </c>
      <c r="AC158" s="82">
        <v>0.06</v>
      </c>
      <c r="AD158" s="191">
        <v>2.47071286148E9</v>
      </c>
    </row>
    <row r="159">
      <c r="A159" s="82" t="s">
        <v>211</v>
      </c>
      <c r="B159" s="82">
        <v>65.75</v>
      </c>
      <c r="C159" s="82">
        <v>2.81</v>
      </c>
      <c r="D159" s="82">
        <v>4.44</v>
      </c>
      <c r="E159" s="82">
        <v>0.8</v>
      </c>
      <c r="F159" s="82">
        <v>0.22</v>
      </c>
      <c r="G159" s="82">
        <v>15.15</v>
      </c>
      <c r="H159" s="82">
        <v>9.04</v>
      </c>
      <c r="I159" s="82">
        <v>5.5</v>
      </c>
      <c r="J159" s="82">
        <v>2.7</v>
      </c>
      <c r="K159" s="82">
        <v>4.53</v>
      </c>
      <c r="L159" s="82">
        <v>1.9</v>
      </c>
      <c r="M159" s="82">
        <v>0.56</v>
      </c>
      <c r="N159" s="82">
        <v>0.24</v>
      </c>
      <c r="O159" s="82">
        <v>-3.5</v>
      </c>
      <c r="P159" s="82">
        <v>-0.31</v>
      </c>
      <c r="Q159" s="82">
        <v>0.83</v>
      </c>
      <c r="R159" s="82">
        <v>17.93</v>
      </c>
      <c r="S159" s="82">
        <v>4.93</v>
      </c>
      <c r="T159" s="82">
        <v>13.59</v>
      </c>
      <c r="U159" s="82">
        <v>0.27</v>
      </c>
      <c r="V159" s="82">
        <v>0.73</v>
      </c>
      <c r="W159" s="82">
        <v>0.9</v>
      </c>
      <c r="X159" s="82">
        <v>7.34</v>
      </c>
      <c r="Y159" s="82">
        <v>53.76</v>
      </c>
      <c r="Z159" s="191">
        <v>818484.35</v>
      </c>
      <c r="AA159" s="82">
        <v>82.64</v>
      </c>
      <c r="AB159" s="82">
        <v>14.82</v>
      </c>
      <c r="AC159" s="82">
        <v>0.06</v>
      </c>
      <c r="AD159" s="191">
        <v>2.47071286148E9</v>
      </c>
    </row>
    <row r="160">
      <c r="A160" s="82" t="s">
        <v>212</v>
      </c>
      <c r="B160" s="82">
        <v>15.1</v>
      </c>
      <c r="C160" s="82">
        <v>4.57</v>
      </c>
      <c r="D160" s="82">
        <v>4.97</v>
      </c>
      <c r="E160" s="82">
        <v>1.36</v>
      </c>
      <c r="F160" s="82">
        <v>0.59</v>
      </c>
      <c r="G160" s="82">
        <v>24.73</v>
      </c>
      <c r="H160" s="82">
        <v>21.11</v>
      </c>
      <c r="I160" s="82">
        <v>18.52</v>
      </c>
      <c r="J160" s="82">
        <v>4.36</v>
      </c>
      <c r="K160" s="82">
        <v>4.68</v>
      </c>
      <c r="L160" s="82">
        <v>1.04</v>
      </c>
      <c r="M160" s="82">
        <v>0.32</v>
      </c>
      <c r="N160" s="82">
        <v>0.92</v>
      </c>
      <c r="O160" s="82">
        <v>10.36</v>
      </c>
      <c r="P160" s="82">
        <v>-0.79</v>
      </c>
      <c r="Q160" s="82">
        <v>1.3</v>
      </c>
      <c r="R160" s="82">
        <v>27.35</v>
      </c>
      <c r="S160" s="82">
        <v>11.9</v>
      </c>
      <c r="T160" s="82">
        <v>17.7</v>
      </c>
      <c r="U160" s="82">
        <v>0.43</v>
      </c>
      <c r="V160" s="82">
        <v>0.56</v>
      </c>
      <c r="W160" s="82">
        <v>0.64</v>
      </c>
      <c r="X160" s="82">
        <v>9.68</v>
      </c>
      <c r="Y160" s="82">
        <v>46.18</v>
      </c>
      <c r="Z160" s="191">
        <v>1.829899165E7</v>
      </c>
      <c r="AA160" s="82">
        <v>11.1</v>
      </c>
      <c r="AB160" s="82">
        <v>3.04</v>
      </c>
      <c r="AC160" s="82">
        <v>17.01</v>
      </c>
      <c r="AD160" s="191">
        <v>2.768605636704E10</v>
      </c>
    </row>
    <row r="161">
      <c r="A161" s="82" t="s">
        <v>213</v>
      </c>
      <c r="B161" s="82">
        <v>11.37</v>
      </c>
      <c r="C161" s="82">
        <v>6.07</v>
      </c>
      <c r="D161" s="82">
        <v>3.74</v>
      </c>
      <c r="E161" s="82">
        <v>1.02</v>
      </c>
      <c r="F161" s="82">
        <v>0.45</v>
      </c>
      <c r="G161" s="82">
        <v>24.73</v>
      </c>
      <c r="H161" s="82">
        <v>21.11</v>
      </c>
      <c r="I161" s="82">
        <v>18.52</v>
      </c>
      <c r="J161" s="82">
        <v>3.28</v>
      </c>
      <c r="K161" s="82">
        <v>4.68</v>
      </c>
      <c r="L161" s="82">
        <v>1.04</v>
      </c>
      <c r="M161" s="82">
        <v>0.32</v>
      </c>
      <c r="N161" s="82">
        <v>0.69</v>
      </c>
      <c r="O161" s="82">
        <v>7.81</v>
      </c>
      <c r="P161" s="82">
        <v>-0.59</v>
      </c>
      <c r="Q161" s="82">
        <v>1.3</v>
      </c>
      <c r="R161" s="82">
        <v>27.35</v>
      </c>
      <c r="S161" s="82">
        <v>11.9</v>
      </c>
      <c r="T161" s="82">
        <v>17.7</v>
      </c>
      <c r="U161" s="82">
        <v>0.43</v>
      </c>
      <c r="V161" s="82">
        <v>0.56</v>
      </c>
      <c r="W161" s="82">
        <v>0.64</v>
      </c>
      <c r="X161" s="82">
        <v>9.68</v>
      </c>
      <c r="Y161" s="82">
        <v>46.18</v>
      </c>
      <c r="Z161" s="191">
        <v>1.744748449E8</v>
      </c>
      <c r="AA161" s="82">
        <v>11.1</v>
      </c>
      <c r="AB161" s="82">
        <v>3.04</v>
      </c>
      <c r="AC161" s="82">
        <v>12.81</v>
      </c>
      <c r="AD161" s="191">
        <v>2.768605636704E10</v>
      </c>
    </row>
    <row r="162">
      <c r="A162" s="82" t="s">
        <v>214</v>
      </c>
      <c r="B162" s="82">
        <v>7.83</v>
      </c>
      <c r="C162" s="82">
        <v>8.91</v>
      </c>
      <c r="D162" s="82">
        <v>13.94</v>
      </c>
      <c r="E162" s="82">
        <v>3.75</v>
      </c>
      <c r="F162" s="82">
        <v>1.45</v>
      </c>
      <c r="G162" s="82">
        <v>46.73</v>
      </c>
      <c r="H162" s="82">
        <v>30.79</v>
      </c>
      <c r="I162" s="82">
        <v>17.76</v>
      </c>
      <c r="J162" s="82">
        <v>8.04</v>
      </c>
      <c r="K162" s="82">
        <v>7.64</v>
      </c>
      <c r="L162" s="82">
        <v>-0.41</v>
      </c>
      <c r="M162" s="82">
        <v>-0.19</v>
      </c>
      <c r="N162" s="82">
        <v>2.48</v>
      </c>
      <c r="O162" s="82">
        <v>4.81</v>
      </c>
      <c r="P162" s="82">
        <v>-2.66</v>
      </c>
      <c r="Q162" s="82">
        <v>2.96</v>
      </c>
      <c r="R162" s="82">
        <v>26.92</v>
      </c>
      <c r="S162" s="82">
        <v>10.4</v>
      </c>
      <c r="T162" s="82">
        <v>22.14</v>
      </c>
      <c r="U162" s="82">
        <v>0.39</v>
      </c>
      <c r="V162" s="82">
        <v>0.61</v>
      </c>
      <c r="W162" s="82">
        <v>0.59</v>
      </c>
      <c r="X162" s="82">
        <v>19.26</v>
      </c>
      <c r="Y162" s="82">
        <v>28.57</v>
      </c>
      <c r="Z162" s="191">
        <v>4.90287033E7</v>
      </c>
      <c r="AA162" s="82">
        <v>2.09</v>
      </c>
      <c r="AB162" s="82">
        <v>0.56</v>
      </c>
      <c r="AC162" s="82">
        <v>1.3</v>
      </c>
      <c r="AD162" s="191">
        <v>4.300505648992E10</v>
      </c>
    </row>
    <row r="163">
      <c r="A163" s="82" t="s">
        <v>215</v>
      </c>
      <c r="B163" s="82">
        <v>0.0</v>
      </c>
      <c r="D163" s="82">
        <v>0.0</v>
      </c>
      <c r="E163" s="82">
        <v>0.0</v>
      </c>
      <c r="F163" s="82">
        <v>0.0</v>
      </c>
      <c r="J163" s="82">
        <v>0.0</v>
      </c>
      <c r="K163" s="82">
        <v>0.23</v>
      </c>
      <c r="L163" s="82">
        <v>0.23</v>
      </c>
      <c r="M163" s="82">
        <v>-0.96</v>
      </c>
      <c r="O163" s="82">
        <v>0.0</v>
      </c>
      <c r="P163" s="82">
        <v>0.0</v>
      </c>
      <c r="Q163" s="82">
        <v>111.51</v>
      </c>
      <c r="R163" s="82">
        <v>-421.62</v>
      </c>
      <c r="S163" s="82">
        <v>-418.01</v>
      </c>
      <c r="T163" s="82">
        <v>-415.76</v>
      </c>
      <c r="U163" s="82">
        <v>0.99</v>
      </c>
      <c r="V163" s="82">
        <v>0.01</v>
      </c>
      <c r="W163" s="82">
        <v>0.0</v>
      </c>
      <c r="AA163" s="82">
        <v>0.0</v>
      </c>
      <c r="AB163" s="82">
        <v>0.0</v>
      </c>
      <c r="AC163" s="82">
        <v>0.0</v>
      </c>
      <c r="AD163" s="82">
        <v>0.0</v>
      </c>
    </row>
    <row r="164">
      <c r="A164" s="82" t="s">
        <v>216</v>
      </c>
      <c r="B164" s="82">
        <v>0.0</v>
      </c>
      <c r="D164" s="82">
        <v>0.0</v>
      </c>
      <c r="E164" s="82">
        <v>0.0</v>
      </c>
      <c r="F164" s="82">
        <v>0.0</v>
      </c>
      <c r="J164" s="82">
        <v>0.0</v>
      </c>
      <c r="K164" s="82">
        <v>0.23</v>
      </c>
      <c r="L164" s="82">
        <v>0.23</v>
      </c>
      <c r="M164" s="82">
        <v>-0.96</v>
      </c>
      <c r="O164" s="82">
        <v>0.0</v>
      </c>
      <c r="P164" s="82">
        <v>0.0</v>
      </c>
      <c r="Q164" s="82">
        <v>111.51</v>
      </c>
      <c r="R164" s="82">
        <v>-421.62</v>
      </c>
      <c r="S164" s="82">
        <v>-418.01</v>
      </c>
      <c r="T164" s="82">
        <v>-415.76</v>
      </c>
      <c r="U164" s="82">
        <v>0.99</v>
      </c>
      <c r="V164" s="82">
        <v>0.01</v>
      </c>
      <c r="W164" s="82">
        <v>0.0</v>
      </c>
      <c r="AA164" s="82">
        <v>0.0</v>
      </c>
      <c r="AB164" s="82">
        <v>0.0</v>
      </c>
      <c r="AC164" s="82">
        <v>0.0</v>
      </c>
      <c r="AD164" s="82">
        <v>0.0</v>
      </c>
    </row>
    <row r="165">
      <c r="A165" s="82" t="s">
        <v>217</v>
      </c>
      <c r="B165" s="82">
        <v>30.22</v>
      </c>
      <c r="D165" s="82">
        <v>-86.19</v>
      </c>
      <c r="E165" s="82">
        <v>-23.75</v>
      </c>
      <c r="F165" s="82">
        <v>5.37</v>
      </c>
      <c r="G165" s="82">
        <v>18.72</v>
      </c>
      <c r="H165" s="82">
        <v>7.08</v>
      </c>
      <c r="I165" s="82">
        <v>-7.71</v>
      </c>
      <c r="J165" s="82">
        <v>93.87</v>
      </c>
      <c r="K165" s="82">
        <v>109.95</v>
      </c>
      <c r="L165" s="82">
        <v>16.08</v>
      </c>
      <c r="N165" s="82">
        <v>6.65</v>
      </c>
      <c r="O165" s="82">
        <v>-28.61</v>
      </c>
      <c r="P165" s="82">
        <v>-6.18</v>
      </c>
      <c r="Q165" s="82">
        <v>0.41</v>
      </c>
      <c r="R165" s="82">
        <v>-27.56</v>
      </c>
      <c r="S165" s="82">
        <v>-6.23</v>
      </c>
      <c r="T165" s="82">
        <v>4.37</v>
      </c>
      <c r="U165" s="82">
        <v>-0.23</v>
      </c>
      <c r="V165" s="82">
        <v>1.23</v>
      </c>
      <c r="W165" s="82">
        <v>0.81</v>
      </c>
      <c r="X165" s="82">
        <v>2.97</v>
      </c>
      <c r="AA165" s="82">
        <v>-1.27</v>
      </c>
      <c r="AB165" s="82">
        <v>-0.35</v>
      </c>
      <c r="AC165" s="82">
        <v>0.14</v>
      </c>
      <c r="AD165" s="191">
        <v>9.3588508386E8</v>
      </c>
    </row>
    <row r="166">
      <c r="A166" s="82" t="s">
        <v>218</v>
      </c>
      <c r="B166" s="82">
        <v>50.01</v>
      </c>
      <c r="C166" s="82">
        <v>0.62</v>
      </c>
      <c r="D166" s="82">
        <v>7.1</v>
      </c>
      <c r="E166" s="82">
        <v>0.92</v>
      </c>
      <c r="F166" s="82">
        <v>0.3</v>
      </c>
      <c r="G166" s="82">
        <v>17.53</v>
      </c>
      <c r="H166" s="82">
        <v>14.52</v>
      </c>
      <c r="I166" s="82">
        <v>6.27</v>
      </c>
      <c r="J166" s="82">
        <v>3.06</v>
      </c>
      <c r="K166" s="82">
        <v>6.65</v>
      </c>
      <c r="L166" s="82">
        <v>4.31</v>
      </c>
      <c r="M166" s="82">
        <v>1.29</v>
      </c>
      <c r="N166" s="82">
        <v>0.44</v>
      </c>
      <c r="O166" s="82">
        <v>-2.26</v>
      </c>
      <c r="P166" s="82">
        <v>-0.39</v>
      </c>
      <c r="Q166" s="82">
        <v>0.64</v>
      </c>
      <c r="R166" s="82">
        <v>12.93</v>
      </c>
      <c r="S166" s="82">
        <v>4.18</v>
      </c>
      <c r="T166" s="82">
        <v>10.92</v>
      </c>
      <c r="U166" s="82">
        <v>0.32</v>
      </c>
      <c r="V166" s="82">
        <v>0.68</v>
      </c>
      <c r="W166" s="82">
        <v>0.67</v>
      </c>
      <c r="X166" s="82">
        <v>13.27</v>
      </c>
      <c r="Y166" s="82">
        <v>4.72</v>
      </c>
      <c r="Z166" s="191">
        <v>10002.0</v>
      </c>
      <c r="AA166" s="82">
        <v>54.49</v>
      </c>
      <c r="AB166" s="82">
        <v>7.05</v>
      </c>
      <c r="AC166" s="82">
        <v>1.36</v>
      </c>
      <c r="AD166" s="191">
        <v>2.97490125891E9</v>
      </c>
    </row>
    <row r="167">
      <c r="A167" s="82" t="s">
        <v>219</v>
      </c>
      <c r="B167" s="82">
        <v>41.8</v>
      </c>
      <c r="C167" s="82">
        <v>0.74</v>
      </c>
      <c r="D167" s="82">
        <v>5.93</v>
      </c>
      <c r="E167" s="82">
        <v>0.77</v>
      </c>
      <c r="F167" s="82">
        <v>0.25</v>
      </c>
      <c r="G167" s="82">
        <v>17.53</v>
      </c>
      <c r="H167" s="82">
        <v>14.52</v>
      </c>
      <c r="I167" s="82">
        <v>6.27</v>
      </c>
      <c r="J167" s="82">
        <v>2.56</v>
      </c>
      <c r="K167" s="82">
        <v>6.65</v>
      </c>
      <c r="L167" s="82">
        <v>4.31</v>
      </c>
      <c r="M167" s="82">
        <v>1.29</v>
      </c>
      <c r="N167" s="82">
        <v>0.37</v>
      </c>
      <c r="O167" s="82">
        <v>-1.89</v>
      </c>
      <c r="P167" s="82">
        <v>-0.32</v>
      </c>
      <c r="Q167" s="82">
        <v>0.64</v>
      </c>
      <c r="R167" s="82">
        <v>12.93</v>
      </c>
      <c r="S167" s="82">
        <v>4.18</v>
      </c>
      <c r="T167" s="82">
        <v>10.92</v>
      </c>
      <c r="U167" s="82">
        <v>0.32</v>
      </c>
      <c r="V167" s="82">
        <v>0.68</v>
      </c>
      <c r="W167" s="82">
        <v>0.67</v>
      </c>
      <c r="X167" s="82">
        <v>13.27</v>
      </c>
      <c r="Y167" s="82">
        <v>4.72</v>
      </c>
      <c r="Z167" s="191">
        <v>836054.35</v>
      </c>
      <c r="AA167" s="82">
        <v>54.49</v>
      </c>
      <c r="AB167" s="82">
        <v>7.05</v>
      </c>
      <c r="AC167" s="82">
        <v>1.14</v>
      </c>
      <c r="AD167" s="191">
        <v>2.97490125891E9</v>
      </c>
    </row>
    <row r="168">
      <c r="A168" s="82" t="s">
        <v>220</v>
      </c>
      <c r="B168" s="82">
        <v>19.17</v>
      </c>
      <c r="C168" s="82">
        <v>1.61</v>
      </c>
      <c r="D168" s="82">
        <v>2.72</v>
      </c>
      <c r="E168" s="82">
        <v>0.35</v>
      </c>
      <c r="F168" s="82">
        <v>0.11</v>
      </c>
      <c r="G168" s="82">
        <v>17.53</v>
      </c>
      <c r="H168" s="82">
        <v>14.52</v>
      </c>
      <c r="I168" s="82">
        <v>6.27</v>
      </c>
      <c r="J168" s="82">
        <v>1.17</v>
      </c>
      <c r="K168" s="82">
        <v>6.65</v>
      </c>
      <c r="L168" s="82">
        <v>4.31</v>
      </c>
      <c r="M168" s="82">
        <v>1.29</v>
      </c>
      <c r="N168" s="82">
        <v>0.17</v>
      </c>
      <c r="O168" s="82">
        <v>-0.87</v>
      </c>
      <c r="P168" s="82">
        <v>-0.15</v>
      </c>
      <c r="Q168" s="82">
        <v>0.64</v>
      </c>
      <c r="R168" s="82">
        <v>12.93</v>
      </c>
      <c r="S168" s="82">
        <v>4.18</v>
      </c>
      <c r="T168" s="82">
        <v>10.92</v>
      </c>
      <c r="U168" s="82">
        <v>0.32</v>
      </c>
      <c r="V168" s="82">
        <v>0.68</v>
      </c>
      <c r="W168" s="82">
        <v>0.67</v>
      </c>
      <c r="X168" s="82">
        <v>13.27</v>
      </c>
      <c r="Y168" s="82">
        <v>4.72</v>
      </c>
      <c r="AA168" s="82">
        <v>54.49</v>
      </c>
      <c r="AB168" s="82">
        <v>7.05</v>
      </c>
      <c r="AC168" s="82">
        <v>0.52</v>
      </c>
      <c r="AD168" s="191">
        <v>2.97490125891E9</v>
      </c>
    </row>
    <row r="169">
      <c r="A169" s="82" t="s">
        <v>221</v>
      </c>
      <c r="B169" s="82">
        <v>3.35</v>
      </c>
      <c r="D169" s="82">
        <v>-21.08</v>
      </c>
      <c r="E169" s="82">
        <v>0.52</v>
      </c>
      <c r="F169" s="82">
        <v>0.25</v>
      </c>
      <c r="G169" s="82">
        <v>64.83</v>
      </c>
      <c r="H169" s="82">
        <v>9.61</v>
      </c>
      <c r="I169" s="82">
        <v>-5.26</v>
      </c>
      <c r="J169" s="82">
        <v>11.54</v>
      </c>
      <c r="K169" s="82">
        <v>22.67</v>
      </c>
      <c r="L169" s="82">
        <v>11.13</v>
      </c>
      <c r="M169" s="82">
        <v>0.5</v>
      </c>
      <c r="N169" s="82">
        <v>1.11</v>
      </c>
      <c r="O169" s="82">
        <v>8.14</v>
      </c>
      <c r="P169" s="82">
        <v>-0.3</v>
      </c>
      <c r="Q169" s="82">
        <v>1.21</v>
      </c>
      <c r="R169" s="82">
        <v>-2.47</v>
      </c>
      <c r="S169" s="82">
        <v>-1.19</v>
      </c>
      <c r="T169" s="82">
        <v>2.42</v>
      </c>
      <c r="U169" s="82">
        <v>0.48</v>
      </c>
      <c r="V169" s="82">
        <v>0.48</v>
      </c>
      <c r="W169" s="82">
        <v>0.23</v>
      </c>
      <c r="X169" s="82">
        <v>-1.73</v>
      </c>
      <c r="Z169" s="191">
        <v>6.748110865E7</v>
      </c>
      <c r="AA169" s="82">
        <v>6.44</v>
      </c>
      <c r="AB169" s="82">
        <v>-0.16</v>
      </c>
      <c r="AC169" s="82">
        <v>-1.42</v>
      </c>
      <c r="AD169" s="191">
        <v>6.3053968656E9</v>
      </c>
    </row>
    <row r="170">
      <c r="A170" s="82" t="s">
        <v>222</v>
      </c>
      <c r="B170" s="82">
        <v>2.71</v>
      </c>
      <c r="C170" s="191">
        <v>2762.62</v>
      </c>
      <c r="D170" s="82">
        <v>0.01</v>
      </c>
      <c r="E170" s="82">
        <v>0.01</v>
      </c>
      <c r="F170" s="82">
        <v>0.0</v>
      </c>
      <c r="G170" s="82">
        <v>100.0</v>
      </c>
      <c r="H170" s="191">
        <v>2689.16</v>
      </c>
      <c r="I170" s="191">
        <v>2211.14</v>
      </c>
      <c r="J170" s="82">
        <v>0.01</v>
      </c>
      <c r="K170" s="82">
        <v>-1.2</v>
      </c>
      <c r="L170" s="82">
        <v>-1.35</v>
      </c>
      <c r="M170" s="82">
        <v>-2.58</v>
      </c>
      <c r="N170" s="82">
        <v>0.19</v>
      </c>
      <c r="O170" s="82">
        <v>0.01</v>
      </c>
      <c r="P170" s="82">
        <v>-0.02</v>
      </c>
      <c r="Q170" s="82">
        <v>4.25</v>
      </c>
      <c r="R170" s="82">
        <v>157.36</v>
      </c>
      <c r="S170" s="82">
        <v>45.49</v>
      </c>
      <c r="T170" s="82">
        <v>138.37</v>
      </c>
      <c r="U170" s="82">
        <v>0.29</v>
      </c>
      <c r="V170" s="82">
        <v>0.71</v>
      </c>
      <c r="W170" s="82">
        <v>0.02</v>
      </c>
      <c r="X170" s="82">
        <v>-16.36</v>
      </c>
      <c r="AA170" s="82">
        <v>201.49</v>
      </c>
      <c r="AB170" s="82">
        <v>317.06</v>
      </c>
      <c r="AC170" s="82">
        <v>0.0</v>
      </c>
      <c r="AD170" s="191">
        <v>1278894.65</v>
      </c>
    </row>
    <row r="171">
      <c r="A171" s="82" t="s">
        <v>223</v>
      </c>
      <c r="B171" s="82">
        <v>82.0</v>
      </c>
      <c r="C171" s="82">
        <v>91.3</v>
      </c>
      <c r="D171" s="82">
        <v>0.26</v>
      </c>
      <c r="E171" s="82">
        <v>0.41</v>
      </c>
      <c r="F171" s="82">
        <v>0.12</v>
      </c>
      <c r="G171" s="82">
        <v>100.0</v>
      </c>
      <c r="H171" s="191">
        <v>2689.16</v>
      </c>
      <c r="I171" s="191">
        <v>2211.14</v>
      </c>
      <c r="J171" s="82">
        <v>0.21</v>
      </c>
      <c r="K171" s="82">
        <v>-1.2</v>
      </c>
      <c r="L171" s="82">
        <v>-1.35</v>
      </c>
      <c r="M171" s="82">
        <v>-2.58</v>
      </c>
      <c r="N171" s="82">
        <v>5.72</v>
      </c>
      <c r="O171" s="82">
        <v>0.2</v>
      </c>
      <c r="P171" s="82">
        <v>-0.48</v>
      </c>
      <c r="Q171" s="82">
        <v>4.25</v>
      </c>
      <c r="R171" s="82">
        <v>157.36</v>
      </c>
      <c r="S171" s="82">
        <v>45.49</v>
      </c>
      <c r="T171" s="82">
        <v>138.37</v>
      </c>
      <c r="U171" s="82">
        <v>0.29</v>
      </c>
      <c r="V171" s="82">
        <v>0.71</v>
      </c>
      <c r="W171" s="82">
        <v>0.02</v>
      </c>
      <c r="X171" s="82">
        <v>-16.36</v>
      </c>
      <c r="AA171" s="82">
        <v>201.49</v>
      </c>
      <c r="AB171" s="82">
        <v>317.06</v>
      </c>
      <c r="AC171" s="82">
        <v>0.0</v>
      </c>
      <c r="AD171" s="191">
        <v>1278894.65</v>
      </c>
    </row>
    <row r="172">
      <c r="A172" s="82" t="s">
        <v>224</v>
      </c>
      <c r="B172" s="82">
        <v>38.47</v>
      </c>
      <c r="C172" s="82">
        <v>7.5</v>
      </c>
      <c r="D172" s="82">
        <v>8.26</v>
      </c>
      <c r="E172" s="82">
        <v>2.44</v>
      </c>
      <c r="F172" s="82">
        <v>0.6</v>
      </c>
      <c r="G172" s="82">
        <v>33.17</v>
      </c>
      <c r="H172" s="82">
        <v>28.29</v>
      </c>
      <c r="I172" s="82">
        <v>13.44</v>
      </c>
      <c r="J172" s="82">
        <v>3.92</v>
      </c>
      <c r="K172" s="82">
        <v>5.63</v>
      </c>
      <c r="L172" s="82">
        <v>1.72</v>
      </c>
      <c r="M172" s="82">
        <v>1.07</v>
      </c>
      <c r="N172" s="82">
        <v>1.11</v>
      </c>
      <c r="O172" s="82">
        <v>-14.46</v>
      </c>
      <c r="P172" s="82">
        <v>-0.78</v>
      </c>
      <c r="Q172" s="82">
        <v>0.85</v>
      </c>
      <c r="R172" s="82">
        <v>29.54</v>
      </c>
      <c r="S172" s="82">
        <v>7.28</v>
      </c>
      <c r="T172" s="82">
        <v>19.86</v>
      </c>
      <c r="U172" s="82">
        <v>0.25</v>
      </c>
      <c r="V172" s="82">
        <v>0.74</v>
      </c>
      <c r="W172" s="82">
        <v>0.54</v>
      </c>
      <c r="X172" s="82">
        <v>8.03</v>
      </c>
      <c r="Y172" s="82">
        <v>35.39</v>
      </c>
      <c r="Z172" s="191">
        <v>5.140023665E7</v>
      </c>
      <c r="AA172" s="82">
        <v>15.77</v>
      </c>
      <c r="AB172" s="82">
        <v>4.66</v>
      </c>
      <c r="AC172" s="82">
        <v>1.34</v>
      </c>
      <c r="AD172" s="191">
        <v>4.42004803184E10</v>
      </c>
    </row>
    <row r="173">
      <c r="A173" s="82" t="s">
        <v>1761</v>
      </c>
      <c r="B173" s="82">
        <v>50.12</v>
      </c>
      <c r="C173" s="82">
        <v>3.28</v>
      </c>
      <c r="D173" s="82">
        <v>14.94</v>
      </c>
      <c r="E173" s="82">
        <v>1.29</v>
      </c>
      <c r="F173" s="82">
        <v>0.54</v>
      </c>
      <c r="G173" s="82">
        <v>21.02</v>
      </c>
      <c r="H173" s="82">
        <v>13.52</v>
      </c>
      <c r="I173" s="82">
        <v>9.07</v>
      </c>
      <c r="J173" s="82">
        <v>10.03</v>
      </c>
      <c r="K173" s="82">
        <v>13.24</v>
      </c>
      <c r="L173" s="82">
        <v>3.21</v>
      </c>
      <c r="M173" s="82">
        <v>0.41</v>
      </c>
      <c r="N173" s="82">
        <v>1.36</v>
      </c>
      <c r="O173" s="82">
        <v>6.92</v>
      </c>
      <c r="P173" s="82">
        <v>-0.71</v>
      </c>
      <c r="Q173" s="82">
        <v>1.48</v>
      </c>
      <c r="R173" s="82">
        <v>8.61</v>
      </c>
      <c r="S173" s="82">
        <v>3.59</v>
      </c>
      <c r="T173" s="82">
        <v>7.22</v>
      </c>
      <c r="U173" s="82">
        <v>0.42</v>
      </c>
      <c r="V173" s="82">
        <v>0.58</v>
      </c>
      <c r="W173" s="82">
        <v>0.4</v>
      </c>
      <c r="X173" s="82">
        <v>9.35</v>
      </c>
      <c r="Y173" s="82">
        <v>14.12</v>
      </c>
      <c r="Z173" s="191">
        <v>1.27620046E7</v>
      </c>
      <c r="AA173" s="82">
        <v>38.98</v>
      </c>
      <c r="AB173" s="82">
        <v>3.35</v>
      </c>
      <c r="AC173" s="82">
        <v>0.12</v>
      </c>
      <c r="AD173" s="191">
        <v>2.989969336418E10</v>
      </c>
    </row>
    <row r="174">
      <c r="A174" s="82" t="s">
        <v>225</v>
      </c>
      <c r="B174" s="82">
        <v>9.29</v>
      </c>
      <c r="C174" s="82">
        <v>3.27</v>
      </c>
      <c r="D174" s="82">
        <v>13.86</v>
      </c>
      <c r="E174" s="82">
        <v>1.19</v>
      </c>
      <c r="F174" s="82">
        <v>0.5</v>
      </c>
      <c r="G174" s="82">
        <v>21.02</v>
      </c>
      <c r="H174" s="82">
        <v>13.52</v>
      </c>
      <c r="I174" s="82">
        <v>9.07</v>
      </c>
      <c r="J174" s="82">
        <v>9.3</v>
      </c>
      <c r="K174" s="82">
        <v>13.24</v>
      </c>
      <c r="L174" s="82">
        <v>3.21</v>
      </c>
      <c r="M174" s="82">
        <v>0.41</v>
      </c>
      <c r="N174" s="82">
        <v>1.26</v>
      </c>
      <c r="O174" s="82">
        <v>6.42</v>
      </c>
      <c r="P174" s="82">
        <v>-0.65</v>
      </c>
      <c r="Q174" s="82">
        <v>1.48</v>
      </c>
      <c r="R174" s="82">
        <v>8.61</v>
      </c>
      <c r="S174" s="82">
        <v>3.59</v>
      </c>
      <c r="T174" s="82">
        <v>7.22</v>
      </c>
      <c r="U174" s="82">
        <v>0.42</v>
      </c>
      <c r="V174" s="82">
        <v>0.58</v>
      </c>
      <c r="W174" s="82">
        <v>0.4</v>
      </c>
      <c r="X174" s="82">
        <v>9.35</v>
      </c>
      <c r="Y174" s="82">
        <v>14.12</v>
      </c>
      <c r="Z174" s="191">
        <v>5.706479075E7</v>
      </c>
      <c r="AA174" s="82">
        <v>7.8</v>
      </c>
      <c r="AB174" s="82">
        <v>0.67</v>
      </c>
      <c r="AC174" s="82">
        <v>0.11</v>
      </c>
      <c r="AD174" s="191">
        <v>2.989969336418E10</v>
      </c>
    </row>
    <row r="175">
      <c r="A175" s="82" t="s">
        <v>226</v>
      </c>
      <c r="B175" s="82">
        <v>22.78</v>
      </c>
      <c r="C175" s="82">
        <v>1.83</v>
      </c>
      <c r="D175" s="82">
        <v>33.96</v>
      </c>
      <c r="E175" s="82">
        <v>2.92</v>
      </c>
      <c r="F175" s="82">
        <v>1.22</v>
      </c>
      <c r="G175" s="82">
        <v>21.02</v>
      </c>
      <c r="H175" s="82">
        <v>13.52</v>
      </c>
      <c r="I175" s="82">
        <v>9.07</v>
      </c>
      <c r="J175" s="82">
        <v>22.78</v>
      </c>
      <c r="K175" s="82">
        <v>13.24</v>
      </c>
      <c r="L175" s="82">
        <v>3.21</v>
      </c>
      <c r="M175" s="82">
        <v>0.41</v>
      </c>
      <c r="N175" s="82">
        <v>3.08</v>
      </c>
      <c r="O175" s="82">
        <v>15.73</v>
      </c>
      <c r="P175" s="82">
        <v>-1.6</v>
      </c>
      <c r="Q175" s="82">
        <v>1.48</v>
      </c>
      <c r="R175" s="82">
        <v>8.61</v>
      </c>
      <c r="S175" s="82">
        <v>3.59</v>
      </c>
      <c r="T175" s="82">
        <v>7.22</v>
      </c>
      <c r="U175" s="82">
        <v>0.42</v>
      </c>
      <c r="V175" s="82">
        <v>0.58</v>
      </c>
      <c r="W175" s="82">
        <v>0.4</v>
      </c>
      <c r="X175" s="82">
        <v>9.35</v>
      </c>
      <c r="Y175" s="82">
        <v>14.12</v>
      </c>
      <c r="Z175" s="191">
        <v>7360.5</v>
      </c>
      <c r="AA175" s="82">
        <v>7.8</v>
      </c>
      <c r="AB175" s="82">
        <v>0.67</v>
      </c>
      <c r="AC175" s="82">
        <v>0.27</v>
      </c>
      <c r="AD175" s="191">
        <v>2.989969336418E10</v>
      </c>
    </row>
    <row r="176">
      <c r="A176" s="82" t="s">
        <v>227</v>
      </c>
      <c r="B176" s="82">
        <v>10.18</v>
      </c>
      <c r="C176" s="82">
        <v>3.28</v>
      </c>
      <c r="D176" s="82">
        <v>15.19</v>
      </c>
      <c r="E176" s="82">
        <v>1.31</v>
      </c>
      <c r="F176" s="82">
        <v>0.55</v>
      </c>
      <c r="G176" s="82">
        <v>21.02</v>
      </c>
      <c r="H176" s="82">
        <v>13.52</v>
      </c>
      <c r="I176" s="82">
        <v>9.07</v>
      </c>
      <c r="J176" s="82">
        <v>10.19</v>
      </c>
      <c r="K176" s="82">
        <v>13.24</v>
      </c>
      <c r="L176" s="82">
        <v>3.21</v>
      </c>
      <c r="M176" s="82">
        <v>0.41</v>
      </c>
      <c r="N176" s="82">
        <v>1.38</v>
      </c>
      <c r="O176" s="82">
        <v>7.04</v>
      </c>
      <c r="P176" s="82">
        <v>-0.72</v>
      </c>
      <c r="Q176" s="82">
        <v>1.48</v>
      </c>
      <c r="R176" s="82">
        <v>8.61</v>
      </c>
      <c r="S176" s="82">
        <v>3.59</v>
      </c>
      <c r="T176" s="82">
        <v>7.22</v>
      </c>
      <c r="U176" s="82">
        <v>0.42</v>
      </c>
      <c r="V176" s="82">
        <v>0.58</v>
      </c>
      <c r="W176" s="82">
        <v>0.4</v>
      </c>
      <c r="X176" s="82">
        <v>9.35</v>
      </c>
      <c r="Y176" s="82">
        <v>14.12</v>
      </c>
      <c r="Z176" s="191">
        <v>1.5701802815E8</v>
      </c>
      <c r="AA176" s="82">
        <v>7.8</v>
      </c>
      <c r="AB176" s="82">
        <v>0.67</v>
      </c>
      <c r="AC176" s="82">
        <v>0.12</v>
      </c>
      <c r="AD176" s="191">
        <v>2.989969336418E10</v>
      </c>
    </row>
    <row r="177">
      <c r="A177" s="82" t="s">
        <v>228</v>
      </c>
      <c r="B177" s="82">
        <v>18.23</v>
      </c>
      <c r="D177" s="82">
        <v>8.36</v>
      </c>
      <c r="E177" s="82">
        <v>1.81</v>
      </c>
      <c r="F177" s="82">
        <v>0.89</v>
      </c>
      <c r="G177" s="82">
        <v>54.95</v>
      </c>
      <c r="H177" s="82">
        <v>40.56</v>
      </c>
      <c r="I177" s="82">
        <v>44.52</v>
      </c>
      <c r="J177" s="82">
        <v>9.18</v>
      </c>
      <c r="K177" s="82">
        <v>8.84</v>
      </c>
      <c r="L177" s="82">
        <v>-0.34</v>
      </c>
      <c r="M177" s="82">
        <v>-0.07</v>
      </c>
      <c r="N177" s="82">
        <v>3.72</v>
      </c>
      <c r="O177" s="82">
        <v>-4.97</v>
      </c>
      <c r="P177" s="82">
        <v>-1.09</v>
      </c>
      <c r="Q177" s="82">
        <v>0.5</v>
      </c>
      <c r="R177" s="82">
        <v>21.64</v>
      </c>
      <c r="S177" s="82">
        <v>10.67</v>
      </c>
      <c r="T177" s="82">
        <v>13.12</v>
      </c>
      <c r="U177" s="82">
        <v>0.49</v>
      </c>
      <c r="V177" s="82">
        <v>0.5</v>
      </c>
      <c r="W177" s="82">
        <v>0.24</v>
      </c>
      <c r="X177" s="82">
        <v>12.91</v>
      </c>
      <c r="Y177" s="82">
        <v>157.26</v>
      </c>
      <c r="AA177" s="82">
        <v>10.07</v>
      </c>
      <c r="AB177" s="82">
        <v>2.18</v>
      </c>
      <c r="AC177" s="82">
        <v>6.11</v>
      </c>
      <c r="AD177" s="191">
        <v>1.082465504792E10</v>
      </c>
    </row>
    <row r="178">
      <c r="A178" s="82" t="s">
        <v>229</v>
      </c>
      <c r="B178" s="82">
        <v>14.5</v>
      </c>
      <c r="D178" s="82">
        <v>32.7</v>
      </c>
      <c r="E178" s="82">
        <v>2.45</v>
      </c>
      <c r="F178" s="82">
        <v>0.67</v>
      </c>
      <c r="G178" s="82">
        <v>30.3</v>
      </c>
      <c r="H178" s="82">
        <v>7.39</v>
      </c>
      <c r="I178" s="82">
        <v>2.1</v>
      </c>
      <c r="J178" s="82">
        <v>9.28</v>
      </c>
      <c r="K178" s="82">
        <v>13.11</v>
      </c>
      <c r="L178" s="82">
        <v>3.84</v>
      </c>
      <c r="M178" s="82">
        <v>1.01</v>
      </c>
      <c r="N178" s="82">
        <v>0.69</v>
      </c>
      <c r="O178" s="82">
        <v>4.89</v>
      </c>
      <c r="P178" s="82">
        <v>-1.69</v>
      </c>
      <c r="Q178" s="82">
        <v>1.29</v>
      </c>
      <c r="R178" s="82">
        <v>7.5</v>
      </c>
      <c r="S178" s="82">
        <v>2.05</v>
      </c>
      <c r="T178" s="82">
        <v>9.29</v>
      </c>
      <c r="U178" s="82">
        <v>0.27</v>
      </c>
      <c r="V178" s="82">
        <v>0.73</v>
      </c>
      <c r="W178" s="82">
        <v>0.98</v>
      </c>
      <c r="X178" s="82">
        <v>1.09</v>
      </c>
      <c r="AA178" s="82">
        <v>5.91</v>
      </c>
      <c r="AB178" s="82">
        <v>0.44</v>
      </c>
      <c r="AC178" s="82">
        <v>22.14</v>
      </c>
      <c r="AD178" s="191">
        <v>4.65122474E8</v>
      </c>
    </row>
    <row r="179">
      <c r="A179" s="82" t="s">
        <v>230</v>
      </c>
      <c r="B179" s="82">
        <v>11.88</v>
      </c>
      <c r="C179" s="82">
        <v>1.24</v>
      </c>
      <c r="D179" s="82">
        <v>32.78</v>
      </c>
      <c r="E179" s="82">
        <v>1.27</v>
      </c>
      <c r="F179" s="82">
        <v>0.29</v>
      </c>
      <c r="G179" s="82">
        <v>19.28</v>
      </c>
      <c r="H179" s="82">
        <v>4.13</v>
      </c>
      <c r="I179" s="82">
        <v>0.7</v>
      </c>
      <c r="J179" s="82">
        <v>5.53</v>
      </c>
      <c r="K179" s="82">
        <v>9.23</v>
      </c>
      <c r="L179" s="82">
        <v>3.69</v>
      </c>
      <c r="M179" s="82">
        <v>0.85</v>
      </c>
      <c r="N179" s="82">
        <v>0.23</v>
      </c>
      <c r="O179" s="82">
        <v>-6.46</v>
      </c>
      <c r="P179" s="82">
        <v>-0.51</v>
      </c>
      <c r="Q179" s="82">
        <v>0.91</v>
      </c>
      <c r="R179" s="82">
        <v>3.88</v>
      </c>
      <c r="S179" s="82">
        <v>0.88</v>
      </c>
      <c r="T179" s="82">
        <v>9.16</v>
      </c>
      <c r="U179" s="82">
        <v>0.23</v>
      </c>
      <c r="V179" s="82">
        <v>0.76</v>
      </c>
      <c r="W179" s="82">
        <v>1.26</v>
      </c>
      <c r="X179" s="82">
        <v>15.4</v>
      </c>
      <c r="Y179" s="82">
        <v>-13.64</v>
      </c>
      <c r="Z179" s="191">
        <v>1.0353547495E8</v>
      </c>
      <c r="AA179" s="82">
        <v>9.38</v>
      </c>
      <c r="AB179" s="82">
        <v>0.36</v>
      </c>
      <c r="AC179" s="82">
        <v>-0.46</v>
      </c>
      <c r="AD179" s="191">
        <v>2.519411821145E10</v>
      </c>
    </row>
    <row r="180">
      <c r="A180" s="82" t="s">
        <v>231</v>
      </c>
      <c r="B180" s="82">
        <v>5.9</v>
      </c>
      <c r="D180" s="82">
        <v>21.93</v>
      </c>
      <c r="E180" s="82">
        <v>0.57</v>
      </c>
      <c r="F180" s="82">
        <v>0.04</v>
      </c>
      <c r="G180" s="82">
        <v>23.64</v>
      </c>
      <c r="H180" s="82">
        <v>0.82</v>
      </c>
      <c r="I180" s="82">
        <v>1.29</v>
      </c>
      <c r="J180" s="82">
        <v>34.65</v>
      </c>
      <c r="K180" s="82">
        <v>34.62</v>
      </c>
      <c r="N180" s="82">
        <v>0.28</v>
      </c>
      <c r="O180" s="82">
        <v>0.09</v>
      </c>
      <c r="P180" s="82">
        <v>-0.08</v>
      </c>
      <c r="Q180" s="82">
        <v>86.37</v>
      </c>
      <c r="R180" s="82">
        <v>2.6</v>
      </c>
      <c r="S180" s="82">
        <v>0.19</v>
      </c>
      <c r="U180" s="82">
        <v>0.07</v>
      </c>
      <c r="V180" s="82">
        <v>0.92</v>
      </c>
      <c r="W180" s="82">
        <v>0.15</v>
      </c>
      <c r="X180" s="82">
        <v>18.33</v>
      </c>
      <c r="Y180" s="82">
        <v>-15.68</v>
      </c>
      <c r="Z180" s="191">
        <v>8378.5</v>
      </c>
      <c r="AA180" s="82">
        <v>10.35</v>
      </c>
      <c r="AB180" s="82">
        <v>0.27</v>
      </c>
      <c r="AC180" s="82">
        <v>-0.1</v>
      </c>
      <c r="AD180" s="191">
        <v>6.0677371771E8</v>
      </c>
    </row>
    <row r="181">
      <c r="A181" s="82" t="s">
        <v>232</v>
      </c>
      <c r="B181" s="82">
        <v>5.87</v>
      </c>
      <c r="C181" s="82">
        <v>4.04</v>
      </c>
      <c r="D181" s="82">
        <v>21.82</v>
      </c>
      <c r="E181" s="82">
        <v>0.57</v>
      </c>
      <c r="F181" s="82">
        <v>0.04</v>
      </c>
      <c r="G181" s="82">
        <v>23.64</v>
      </c>
      <c r="H181" s="82">
        <v>0.82</v>
      </c>
      <c r="I181" s="82">
        <v>1.29</v>
      </c>
      <c r="J181" s="82">
        <v>34.47</v>
      </c>
      <c r="K181" s="82">
        <v>34.62</v>
      </c>
      <c r="N181" s="82">
        <v>0.28</v>
      </c>
      <c r="O181" s="82">
        <v>0.09</v>
      </c>
      <c r="P181" s="82">
        <v>-0.08</v>
      </c>
      <c r="Q181" s="82">
        <v>86.37</v>
      </c>
      <c r="R181" s="82">
        <v>2.6</v>
      </c>
      <c r="S181" s="82">
        <v>0.19</v>
      </c>
      <c r="U181" s="82">
        <v>0.07</v>
      </c>
      <c r="V181" s="82">
        <v>0.92</v>
      </c>
      <c r="W181" s="82">
        <v>0.15</v>
      </c>
      <c r="X181" s="82">
        <v>18.33</v>
      </c>
      <c r="Y181" s="82">
        <v>-15.68</v>
      </c>
      <c r="Z181" s="191">
        <v>89342.08</v>
      </c>
      <c r="AA181" s="82">
        <v>10.35</v>
      </c>
      <c r="AB181" s="82">
        <v>0.27</v>
      </c>
      <c r="AC181" s="82">
        <v>-0.1</v>
      </c>
      <c r="AD181" s="191">
        <v>6.0677371771E8</v>
      </c>
    </row>
    <row r="182">
      <c r="A182" s="82" t="s">
        <v>233</v>
      </c>
      <c r="B182" s="82">
        <v>39.95</v>
      </c>
      <c r="C182" s="82">
        <v>13.14</v>
      </c>
      <c r="D182" s="82">
        <v>17.42</v>
      </c>
      <c r="E182" s="82">
        <v>1.67</v>
      </c>
      <c r="F182" s="82">
        <v>1.24</v>
      </c>
      <c r="G182" s="82">
        <v>7.03</v>
      </c>
      <c r="H182" s="82">
        <v>3.33</v>
      </c>
      <c r="I182" s="82">
        <v>11.13</v>
      </c>
      <c r="J182" s="82">
        <v>58.24</v>
      </c>
      <c r="K182" s="82">
        <v>51.24</v>
      </c>
      <c r="L182" s="82">
        <v>-4.76</v>
      </c>
      <c r="M182" s="82">
        <v>-0.14</v>
      </c>
      <c r="N182" s="82">
        <v>1.94</v>
      </c>
      <c r="O182" s="82">
        <v>2.28</v>
      </c>
      <c r="P182" s="82">
        <v>-3.95</v>
      </c>
      <c r="Q182" s="82">
        <v>4.8</v>
      </c>
      <c r="R182" s="82">
        <v>9.6</v>
      </c>
      <c r="S182" s="82">
        <v>7.1</v>
      </c>
      <c r="T182" s="82">
        <v>0.75</v>
      </c>
      <c r="U182" s="82">
        <v>0.74</v>
      </c>
      <c r="V182" s="82">
        <v>0.26</v>
      </c>
      <c r="W182" s="82">
        <v>0.64</v>
      </c>
      <c r="X182" s="82">
        <v>7.16</v>
      </c>
      <c r="Y182" s="82">
        <v>-3.38</v>
      </c>
      <c r="Z182" s="191">
        <v>3995.0</v>
      </c>
      <c r="AA182" s="82">
        <v>23.88</v>
      </c>
      <c r="AB182" s="82">
        <v>2.29</v>
      </c>
      <c r="AC182" s="82">
        <v>-0.47</v>
      </c>
      <c r="AD182" s="191">
        <v>1.11478851901E9</v>
      </c>
    </row>
    <row r="183">
      <c r="A183" s="82" t="s">
        <v>234</v>
      </c>
      <c r="B183" s="82">
        <v>37.59</v>
      </c>
      <c r="C183" s="82">
        <v>13.96</v>
      </c>
      <c r="D183" s="82">
        <v>16.4</v>
      </c>
      <c r="E183" s="82">
        <v>1.57</v>
      </c>
      <c r="F183" s="82">
        <v>1.16</v>
      </c>
      <c r="G183" s="82">
        <v>7.03</v>
      </c>
      <c r="H183" s="82">
        <v>3.33</v>
      </c>
      <c r="I183" s="82">
        <v>11.13</v>
      </c>
      <c r="J183" s="82">
        <v>54.8</v>
      </c>
      <c r="K183" s="82">
        <v>51.24</v>
      </c>
      <c r="L183" s="82">
        <v>-4.76</v>
      </c>
      <c r="M183" s="82">
        <v>-0.14</v>
      </c>
      <c r="N183" s="82">
        <v>1.83</v>
      </c>
      <c r="O183" s="82">
        <v>2.14</v>
      </c>
      <c r="P183" s="82">
        <v>-3.72</v>
      </c>
      <c r="Q183" s="82">
        <v>4.8</v>
      </c>
      <c r="R183" s="82">
        <v>9.6</v>
      </c>
      <c r="S183" s="82">
        <v>7.1</v>
      </c>
      <c r="T183" s="82">
        <v>0.75</v>
      </c>
      <c r="U183" s="82">
        <v>0.74</v>
      </c>
      <c r="V183" s="82">
        <v>0.26</v>
      </c>
      <c r="W183" s="82">
        <v>0.64</v>
      </c>
      <c r="X183" s="82">
        <v>7.16</v>
      </c>
      <c r="Y183" s="82">
        <v>-3.38</v>
      </c>
      <c r="Z183" s="191">
        <v>112347.0</v>
      </c>
      <c r="AA183" s="82">
        <v>23.88</v>
      </c>
      <c r="AB183" s="82">
        <v>2.29</v>
      </c>
      <c r="AC183" s="82">
        <v>-0.44</v>
      </c>
      <c r="AD183" s="191">
        <v>1.11478851901E9</v>
      </c>
    </row>
    <row r="184">
      <c r="A184" s="82" t="s">
        <v>235</v>
      </c>
      <c r="B184" s="82">
        <v>36.75</v>
      </c>
      <c r="C184" s="82">
        <v>14.28</v>
      </c>
      <c r="D184" s="82">
        <v>16.03</v>
      </c>
      <c r="E184" s="82">
        <v>1.54</v>
      </c>
      <c r="F184" s="82">
        <v>1.14</v>
      </c>
      <c r="G184" s="82">
        <v>7.03</v>
      </c>
      <c r="H184" s="82">
        <v>3.33</v>
      </c>
      <c r="I184" s="82">
        <v>11.13</v>
      </c>
      <c r="J184" s="82">
        <v>53.57</v>
      </c>
      <c r="K184" s="82">
        <v>51.24</v>
      </c>
      <c r="L184" s="82">
        <v>-4.76</v>
      </c>
      <c r="M184" s="82">
        <v>-0.14</v>
      </c>
      <c r="N184" s="82">
        <v>1.78</v>
      </c>
      <c r="O184" s="82">
        <v>2.09</v>
      </c>
      <c r="P184" s="82">
        <v>-3.63</v>
      </c>
      <c r="Q184" s="82">
        <v>4.8</v>
      </c>
      <c r="R184" s="82">
        <v>9.6</v>
      </c>
      <c r="S184" s="82">
        <v>7.1</v>
      </c>
      <c r="T184" s="82">
        <v>0.75</v>
      </c>
      <c r="U184" s="82">
        <v>0.74</v>
      </c>
      <c r="V184" s="82">
        <v>0.26</v>
      </c>
      <c r="W184" s="82">
        <v>0.64</v>
      </c>
      <c r="X184" s="82">
        <v>7.16</v>
      </c>
      <c r="Y184" s="82">
        <v>-3.38</v>
      </c>
      <c r="Z184" s="191">
        <v>39524.17</v>
      </c>
      <c r="AA184" s="82">
        <v>23.88</v>
      </c>
      <c r="AB184" s="82">
        <v>2.29</v>
      </c>
      <c r="AC184" s="82">
        <v>-0.43</v>
      </c>
      <c r="AD184" s="191">
        <v>1.11478851901E9</v>
      </c>
    </row>
    <row r="185">
      <c r="A185" s="82" t="s">
        <v>236</v>
      </c>
      <c r="B185" s="82">
        <v>30.6</v>
      </c>
      <c r="C185" s="82">
        <v>1.97</v>
      </c>
      <c r="D185" s="82">
        <v>12.43</v>
      </c>
      <c r="E185" s="82">
        <v>1.11</v>
      </c>
      <c r="F185" s="82">
        <v>0.57</v>
      </c>
      <c r="G185" s="82">
        <v>-124.0</v>
      </c>
      <c r="H185" s="191">
        <v>1656.27</v>
      </c>
      <c r="I185" s="191">
        <v>2521.73</v>
      </c>
      <c r="J185" s="82">
        <v>18.92</v>
      </c>
      <c r="K185" s="82">
        <v>24.6</v>
      </c>
      <c r="N185" s="82">
        <v>313.34</v>
      </c>
      <c r="O185" s="82">
        <v>3.55</v>
      </c>
      <c r="P185" s="82">
        <v>-0.72</v>
      </c>
      <c r="Q185" s="82">
        <v>4.45</v>
      </c>
      <c r="R185" s="82">
        <v>8.94</v>
      </c>
      <c r="S185" s="82">
        <v>4.57</v>
      </c>
      <c r="U185" s="82">
        <v>0.51</v>
      </c>
      <c r="V185" s="82">
        <v>0.49</v>
      </c>
      <c r="W185" s="82">
        <v>0.0</v>
      </c>
      <c r="X185" s="82">
        <v>-33.4</v>
      </c>
      <c r="Y185" s="82">
        <v>-1.31</v>
      </c>
      <c r="Z185" s="191">
        <v>31066.0</v>
      </c>
      <c r="AA185" s="82">
        <v>27.56</v>
      </c>
      <c r="AB185" s="82">
        <v>2.46</v>
      </c>
      <c r="AC185" s="82">
        <v>-0.02</v>
      </c>
      <c r="AD185" s="191">
        <v>3.055488E8</v>
      </c>
    </row>
    <row r="186">
      <c r="A186" s="82" t="s">
        <v>237</v>
      </c>
      <c r="B186" s="82">
        <v>48.97</v>
      </c>
      <c r="C186" s="82">
        <v>1.35</v>
      </c>
      <c r="D186" s="82">
        <v>19.89</v>
      </c>
      <c r="E186" s="82">
        <v>1.78</v>
      </c>
      <c r="F186" s="82">
        <v>0.91</v>
      </c>
      <c r="G186" s="82">
        <v>-124.0</v>
      </c>
      <c r="H186" s="191">
        <v>1656.27</v>
      </c>
      <c r="I186" s="191">
        <v>2521.73</v>
      </c>
      <c r="J186" s="82">
        <v>30.28</v>
      </c>
      <c r="K186" s="82">
        <v>24.6</v>
      </c>
      <c r="N186" s="82">
        <v>501.45</v>
      </c>
      <c r="O186" s="82">
        <v>5.68</v>
      </c>
      <c r="P186" s="82">
        <v>-1.15</v>
      </c>
      <c r="Q186" s="82">
        <v>4.45</v>
      </c>
      <c r="R186" s="82">
        <v>8.94</v>
      </c>
      <c r="S186" s="82">
        <v>4.57</v>
      </c>
      <c r="U186" s="82">
        <v>0.51</v>
      </c>
      <c r="V186" s="82">
        <v>0.49</v>
      </c>
      <c r="W186" s="82">
        <v>0.0</v>
      </c>
      <c r="X186" s="82">
        <v>-33.4</v>
      </c>
      <c r="Y186" s="82">
        <v>-1.31</v>
      </c>
      <c r="Z186" s="191">
        <v>60668.75</v>
      </c>
      <c r="AA186" s="82">
        <v>27.56</v>
      </c>
      <c r="AB186" s="82">
        <v>2.46</v>
      </c>
      <c r="AC186" s="82">
        <v>-0.03</v>
      </c>
      <c r="AD186" s="191">
        <v>3.055488E8</v>
      </c>
    </row>
    <row r="187">
      <c r="A187" s="82" t="s">
        <v>238</v>
      </c>
      <c r="B187" s="82">
        <v>19.25</v>
      </c>
      <c r="C187" s="82">
        <v>2.23</v>
      </c>
      <c r="D187" s="82">
        <v>-78.0</v>
      </c>
      <c r="E187" s="82">
        <v>1.95</v>
      </c>
      <c r="F187" s="82">
        <v>0.26</v>
      </c>
      <c r="G187" s="82">
        <v>26.67</v>
      </c>
      <c r="H187" s="82">
        <v>30.14</v>
      </c>
      <c r="I187" s="82">
        <v>-1.14</v>
      </c>
      <c r="J187" s="82">
        <v>2.94</v>
      </c>
      <c r="K187" s="82">
        <v>6.78</v>
      </c>
      <c r="L187" s="82">
        <v>3.85</v>
      </c>
      <c r="M187" s="82">
        <v>2.55</v>
      </c>
      <c r="N187" s="82">
        <v>0.89</v>
      </c>
      <c r="O187" s="82">
        <v>3.35</v>
      </c>
      <c r="P187" s="82">
        <v>-0.33</v>
      </c>
      <c r="Q187" s="82">
        <v>1.62</v>
      </c>
      <c r="R187" s="82">
        <v>-2.5</v>
      </c>
      <c r="S187" s="82">
        <v>-0.34</v>
      </c>
      <c r="T187" s="82">
        <v>10.29</v>
      </c>
      <c r="U187" s="82">
        <v>0.13</v>
      </c>
      <c r="V187" s="82">
        <v>0.65</v>
      </c>
      <c r="W187" s="82">
        <v>0.29</v>
      </c>
      <c r="X187" s="82">
        <v>38.95</v>
      </c>
      <c r="Z187" s="191">
        <v>1.121760479E8</v>
      </c>
      <c r="AA187" s="82">
        <v>9.86</v>
      </c>
      <c r="AB187" s="82">
        <v>-0.25</v>
      </c>
      <c r="AC187" s="82">
        <v>0.61</v>
      </c>
      <c r="AD187" s="191">
        <v>3.594468047576E10</v>
      </c>
    </row>
    <row r="188">
      <c r="A188" s="82" t="s">
        <v>239</v>
      </c>
      <c r="B188" s="82">
        <v>5.06</v>
      </c>
      <c r="C188" s="82">
        <v>1.35</v>
      </c>
      <c r="D188" s="82">
        <v>23.78</v>
      </c>
      <c r="E188" s="82">
        <v>1.29</v>
      </c>
      <c r="F188" s="82">
        <v>0.39</v>
      </c>
      <c r="G188" s="82">
        <v>46.83</v>
      </c>
      <c r="H188" s="82">
        <v>17.37</v>
      </c>
      <c r="I188" s="82">
        <v>3.51</v>
      </c>
      <c r="J188" s="82">
        <v>4.81</v>
      </c>
      <c r="K188" s="82">
        <v>5.17</v>
      </c>
      <c r="L188" s="82">
        <v>0.41</v>
      </c>
      <c r="M188" s="82">
        <v>0.11</v>
      </c>
      <c r="N188" s="82">
        <v>0.84</v>
      </c>
      <c r="O188" s="82">
        <v>16.14</v>
      </c>
      <c r="P188" s="82">
        <v>-0.5</v>
      </c>
      <c r="Q188" s="82">
        <v>1.12</v>
      </c>
      <c r="R188" s="82">
        <v>5.42</v>
      </c>
      <c r="S188" s="82">
        <v>1.65</v>
      </c>
      <c r="T188" s="82">
        <v>16.5</v>
      </c>
      <c r="U188" s="82">
        <v>0.3</v>
      </c>
      <c r="V188" s="82">
        <v>0.7</v>
      </c>
      <c r="W188" s="82">
        <v>0.47</v>
      </c>
      <c r="X188" s="82">
        <v>15.05</v>
      </c>
      <c r="Y188" s="82">
        <v>-2.13</v>
      </c>
      <c r="Z188" s="191">
        <v>2932480.65</v>
      </c>
      <c r="AA188" s="82">
        <v>3.95</v>
      </c>
      <c r="AB188" s="82">
        <v>0.21</v>
      </c>
      <c r="AC188" s="82">
        <v>0.36</v>
      </c>
      <c r="AD188" s="191">
        <v>1.83364903656E9</v>
      </c>
    </row>
    <row r="189">
      <c r="A189" s="82" t="s">
        <v>240</v>
      </c>
      <c r="B189" s="82">
        <v>20.39</v>
      </c>
      <c r="C189" s="82">
        <v>14.2</v>
      </c>
      <c r="D189" s="82">
        <v>5.99</v>
      </c>
      <c r="E189" s="82">
        <v>0.98</v>
      </c>
      <c r="F189" s="82">
        <v>0.55</v>
      </c>
      <c r="G189" s="82">
        <v>40.21</v>
      </c>
      <c r="H189" s="82">
        <v>23.61</v>
      </c>
      <c r="I189" s="82">
        <v>18.47</v>
      </c>
      <c r="J189" s="82">
        <v>4.69</v>
      </c>
      <c r="K189" s="82">
        <v>6.7</v>
      </c>
      <c r="L189" s="82">
        <v>2.03</v>
      </c>
      <c r="M189" s="82">
        <v>0.42</v>
      </c>
      <c r="N189" s="82">
        <v>1.11</v>
      </c>
      <c r="O189" s="82">
        <v>7.74</v>
      </c>
      <c r="P189" s="82">
        <v>-0.69</v>
      </c>
      <c r="Q189" s="82">
        <v>1.58</v>
      </c>
      <c r="R189" s="82">
        <v>16.38</v>
      </c>
      <c r="S189" s="82">
        <v>9.22</v>
      </c>
      <c r="T189" s="82">
        <v>10.82</v>
      </c>
      <c r="U189" s="82">
        <v>0.56</v>
      </c>
      <c r="V189" s="82">
        <v>0.44</v>
      </c>
      <c r="W189" s="82">
        <v>0.5</v>
      </c>
      <c r="X189" s="82">
        <v>7.38</v>
      </c>
      <c r="Y189" s="82">
        <v>18.19</v>
      </c>
      <c r="Z189" s="191">
        <v>2.83817616E7</v>
      </c>
      <c r="AA189" s="82">
        <v>20.75</v>
      </c>
      <c r="AB189" s="82">
        <v>3.4</v>
      </c>
      <c r="AC189" s="82">
        <v>0.06</v>
      </c>
      <c r="AD189" s="191">
        <v>7.71533477001E9</v>
      </c>
    </row>
    <row r="190">
      <c r="A190" s="82" t="s">
        <v>241</v>
      </c>
      <c r="B190" s="82">
        <v>19.36</v>
      </c>
      <c r="C190" s="82">
        <v>10.15</v>
      </c>
      <c r="D190" s="82">
        <v>-29.09</v>
      </c>
      <c r="E190" s="82">
        <v>1.44</v>
      </c>
      <c r="F190" s="82">
        <v>0.29</v>
      </c>
      <c r="G190" s="82">
        <v>25.98</v>
      </c>
      <c r="H190" s="82">
        <v>10.23</v>
      </c>
      <c r="I190" s="82">
        <v>-1.98</v>
      </c>
      <c r="J190" s="82">
        <v>5.62</v>
      </c>
      <c r="K190" s="82">
        <v>11.57</v>
      </c>
      <c r="L190" s="82">
        <v>5.95</v>
      </c>
      <c r="M190" s="82">
        <v>1.53</v>
      </c>
      <c r="N190" s="82">
        <v>0.57</v>
      </c>
      <c r="O190" s="82">
        <v>2.32</v>
      </c>
      <c r="P190" s="82">
        <v>-0.45</v>
      </c>
      <c r="Q190" s="82">
        <v>1.53</v>
      </c>
      <c r="R190" s="82">
        <v>-4.96</v>
      </c>
      <c r="S190" s="82">
        <v>-1.0</v>
      </c>
      <c r="T190" s="82">
        <v>7.11</v>
      </c>
      <c r="U190" s="82">
        <v>0.2</v>
      </c>
      <c r="V190" s="82">
        <v>0.77</v>
      </c>
      <c r="W190" s="82">
        <v>0.5</v>
      </c>
      <c r="X190" s="82">
        <v>19.08</v>
      </c>
      <c r="Z190" s="191">
        <v>1.0327617E8</v>
      </c>
      <c r="AA190" s="82">
        <v>13.39</v>
      </c>
      <c r="AB190" s="82">
        <v>-0.66</v>
      </c>
      <c r="AC190" s="82">
        <v>0.21</v>
      </c>
      <c r="AD190" s="191">
        <v>2.560687411657E10</v>
      </c>
    </row>
    <row r="191">
      <c r="A191" s="82" t="s">
        <v>242</v>
      </c>
      <c r="B191" s="82">
        <v>27.0</v>
      </c>
      <c r="C191" s="82">
        <v>4.44</v>
      </c>
      <c r="D191" s="82">
        <v>8.04</v>
      </c>
      <c r="E191" s="82">
        <v>3.28</v>
      </c>
      <c r="F191" s="82">
        <v>0.81</v>
      </c>
      <c r="G191" s="82">
        <v>31.55</v>
      </c>
      <c r="H191" s="82">
        <v>26.27</v>
      </c>
      <c r="I191" s="82">
        <v>16.02</v>
      </c>
      <c r="J191" s="82">
        <v>4.91</v>
      </c>
      <c r="K191" s="82">
        <v>7.46</v>
      </c>
      <c r="L191" s="82">
        <v>2.59</v>
      </c>
      <c r="M191" s="82">
        <v>1.73</v>
      </c>
      <c r="N191" s="82">
        <v>1.29</v>
      </c>
      <c r="O191" s="82">
        <v>-142.1</v>
      </c>
      <c r="P191" s="82">
        <v>-1.09</v>
      </c>
      <c r="Q191" s="82">
        <v>0.98</v>
      </c>
      <c r="R191" s="82">
        <v>40.77</v>
      </c>
      <c r="S191" s="82">
        <v>10.1</v>
      </c>
      <c r="T191" s="82">
        <v>18.81</v>
      </c>
      <c r="U191" s="82">
        <v>0.25</v>
      </c>
      <c r="V191" s="82">
        <v>0.75</v>
      </c>
      <c r="W191" s="82">
        <v>0.63</v>
      </c>
      <c r="X191" s="82">
        <v>10.3</v>
      </c>
      <c r="Y191" s="82">
        <v>25.36</v>
      </c>
      <c r="Z191" s="191">
        <v>6268.75</v>
      </c>
      <c r="AA191" s="82">
        <v>8.51</v>
      </c>
      <c r="AB191" s="82">
        <v>3.47</v>
      </c>
      <c r="AC191" s="82">
        <v>2.05</v>
      </c>
      <c r="AD191" s="191">
        <v>4.6547703531E9</v>
      </c>
    </row>
    <row r="192">
      <c r="A192" s="82" t="s">
        <v>243</v>
      </c>
      <c r="B192" s="82">
        <v>28.0</v>
      </c>
      <c r="C192" s="82">
        <v>4.87</v>
      </c>
      <c r="D192" s="82">
        <v>8.07</v>
      </c>
      <c r="E192" s="82">
        <v>3.29</v>
      </c>
      <c r="F192" s="82">
        <v>0.82</v>
      </c>
      <c r="G192" s="82">
        <v>31.55</v>
      </c>
      <c r="H192" s="82">
        <v>26.27</v>
      </c>
      <c r="I192" s="82">
        <v>16.02</v>
      </c>
      <c r="J192" s="82">
        <v>4.92</v>
      </c>
      <c r="K192" s="82">
        <v>7.46</v>
      </c>
      <c r="L192" s="82">
        <v>2.59</v>
      </c>
      <c r="M192" s="82">
        <v>1.73</v>
      </c>
      <c r="N192" s="82">
        <v>1.29</v>
      </c>
      <c r="O192" s="82">
        <v>-142.61</v>
      </c>
      <c r="P192" s="82">
        <v>-1.09</v>
      </c>
      <c r="Q192" s="82">
        <v>0.98</v>
      </c>
      <c r="R192" s="82">
        <v>40.77</v>
      </c>
      <c r="S192" s="82">
        <v>10.1</v>
      </c>
      <c r="T192" s="82">
        <v>18.81</v>
      </c>
      <c r="U192" s="82">
        <v>0.25</v>
      </c>
      <c r="V192" s="82">
        <v>0.75</v>
      </c>
      <c r="W192" s="82">
        <v>0.63</v>
      </c>
      <c r="X192" s="82">
        <v>10.3</v>
      </c>
      <c r="Y192" s="82">
        <v>25.36</v>
      </c>
      <c r="Z192" s="191">
        <v>2737.0</v>
      </c>
      <c r="AA192" s="82">
        <v>8.51</v>
      </c>
      <c r="AB192" s="82">
        <v>3.47</v>
      </c>
      <c r="AC192" s="82">
        <v>2.06</v>
      </c>
      <c r="AD192" s="191">
        <v>4.6547703531E9</v>
      </c>
    </row>
    <row r="193">
      <c r="A193" s="82" t="s">
        <v>244</v>
      </c>
      <c r="B193" s="82">
        <v>25.51</v>
      </c>
      <c r="C193" s="82">
        <v>5.05</v>
      </c>
      <c r="D193" s="82">
        <v>7.78</v>
      </c>
      <c r="E193" s="82">
        <v>3.17</v>
      </c>
      <c r="F193" s="82">
        <v>0.79</v>
      </c>
      <c r="G193" s="82">
        <v>31.55</v>
      </c>
      <c r="H193" s="82">
        <v>26.27</v>
      </c>
      <c r="I193" s="82">
        <v>16.02</v>
      </c>
      <c r="J193" s="82">
        <v>4.75</v>
      </c>
      <c r="K193" s="82">
        <v>7.46</v>
      </c>
      <c r="L193" s="82">
        <v>2.59</v>
      </c>
      <c r="M193" s="82">
        <v>1.73</v>
      </c>
      <c r="N193" s="82">
        <v>1.25</v>
      </c>
      <c r="O193" s="82">
        <v>-137.52</v>
      </c>
      <c r="P193" s="82">
        <v>-1.05</v>
      </c>
      <c r="Q193" s="82">
        <v>0.98</v>
      </c>
      <c r="R193" s="82">
        <v>40.77</v>
      </c>
      <c r="S193" s="82">
        <v>10.1</v>
      </c>
      <c r="T193" s="82">
        <v>18.81</v>
      </c>
      <c r="U193" s="82">
        <v>0.25</v>
      </c>
      <c r="V193" s="82">
        <v>0.75</v>
      </c>
      <c r="W193" s="82">
        <v>0.63</v>
      </c>
      <c r="X193" s="82">
        <v>10.3</v>
      </c>
      <c r="Y193" s="82">
        <v>25.36</v>
      </c>
      <c r="Z193" s="191">
        <v>3550.33</v>
      </c>
      <c r="AA193" s="82">
        <v>8.51</v>
      </c>
      <c r="AB193" s="82">
        <v>3.47</v>
      </c>
      <c r="AC193" s="82">
        <v>1.98</v>
      </c>
      <c r="AD193" s="191">
        <v>4.6547703531E9</v>
      </c>
    </row>
    <row r="194">
      <c r="A194" s="82" t="s">
        <v>245</v>
      </c>
      <c r="B194" s="82">
        <v>18.81</v>
      </c>
      <c r="C194" s="82">
        <v>5.35</v>
      </c>
      <c r="D194" s="82">
        <v>9.1</v>
      </c>
      <c r="E194" s="82">
        <v>1.9</v>
      </c>
      <c r="F194" s="82">
        <v>1.29</v>
      </c>
      <c r="G194" s="82">
        <v>39.2</v>
      </c>
      <c r="H194" s="82">
        <v>21.27</v>
      </c>
      <c r="I194" s="82">
        <v>16.2</v>
      </c>
      <c r="J194" s="82">
        <v>6.93</v>
      </c>
      <c r="K194" s="82">
        <v>6.86</v>
      </c>
      <c r="L194" s="82">
        <v>-0.05</v>
      </c>
      <c r="M194" s="82">
        <v>-0.01</v>
      </c>
      <c r="N194" s="82">
        <v>1.47</v>
      </c>
      <c r="O194" s="82">
        <v>20.14</v>
      </c>
      <c r="P194" s="82">
        <v>-1.79</v>
      </c>
      <c r="Q194" s="82">
        <v>1.29</v>
      </c>
      <c r="R194" s="82">
        <v>20.92</v>
      </c>
      <c r="S194" s="82">
        <v>14.16</v>
      </c>
      <c r="T194" s="82">
        <v>17.83</v>
      </c>
      <c r="U194" s="82">
        <v>0.68</v>
      </c>
      <c r="V194" s="82">
        <v>0.32</v>
      </c>
      <c r="W194" s="82">
        <v>0.87</v>
      </c>
      <c r="X194" s="82">
        <v>1.99</v>
      </c>
      <c r="Y194" s="82">
        <v>13.82</v>
      </c>
      <c r="Z194" s="191">
        <v>1119388.8</v>
      </c>
      <c r="AA194" s="82">
        <v>9.87</v>
      </c>
      <c r="AB194" s="82">
        <v>2.07</v>
      </c>
      <c r="AC194" s="82">
        <v>0.34</v>
      </c>
      <c r="AD194" s="191">
        <v>7.84168E8</v>
      </c>
    </row>
    <row r="195">
      <c r="A195" s="82" t="s">
        <v>247</v>
      </c>
      <c r="B195" s="82">
        <v>0.0</v>
      </c>
      <c r="D195" s="82">
        <v>0.0</v>
      </c>
      <c r="E195" s="82">
        <v>0.0</v>
      </c>
      <c r="F195" s="82">
        <v>0.0</v>
      </c>
      <c r="G195" s="82">
        <v>57.29</v>
      </c>
      <c r="H195" s="82">
        <v>23.31</v>
      </c>
      <c r="I195" s="82">
        <v>29.83</v>
      </c>
      <c r="J195" s="82">
        <v>0.0</v>
      </c>
      <c r="K195" s="82">
        <v>-4.02</v>
      </c>
      <c r="L195" s="82">
        <v>-4.02</v>
      </c>
      <c r="M195" s="82">
        <v>-0.39</v>
      </c>
      <c r="N195" s="82">
        <v>0.0</v>
      </c>
      <c r="O195" s="82">
        <v>0.0</v>
      </c>
      <c r="P195" s="82">
        <v>0.0</v>
      </c>
      <c r="Q195" s="82">
        <v>4.66</v>
      </c>
      <c r="R195" s="82">
        <v>12.5</v>
      </c>
      <c r="S195" s="82">
        <v>10.96</v>
      </c>
      <c r="T195" s="82">
        <v>5.58</v>
      </c>
      <c r="U195" s="82">
        <v>0.88</v>
      </c>
      <c r="V195" s="82">
        <v>0.12</v>
      </c>
      <c r="W195" s="82">
        <v>0.37</v>
      </c>
      <c r="X195" s="82">
        <v>20.53</v>
      </c>
      <c r="Y195" s="82">
        <v>49.76</v>
      </c>
      <c r="AA195" s="82">
        <v>2.69</v>
      </c>
      <c r="AB195" s="82">
        <v>0.34</v>
      </c>
      <c r="AC195" s="82">
        <v>0.0</v>
      </c>
      <c r="AD195" s="82">
        <v>0.0</v>
      </c>
    </row>
    <row r="196">
      <c r="A196" s="82" t="s">
        <v>248</v>
      </c>
      <c r="B196" s="82">
        <v>15.0</v>
      </c>
      <c r="D196" s="82">
        <v>2.42</v>
      </c>
      <c r="E196" s="82">
        <v>-0.75</v>
      </c>
      <c r="F196" s="82">
        <v>0.15</v>
      </c>
      <c r="G196" s="82">
        <v>40.51</v>
      </c>
      <c r="H196" s="82">
        <v>10.29</v>
      </c>
      <c r="I196" s="82">
        <v>6.12</v>
      </c>
      <c r="J196" s="82">
        <v>1.44</v>
      </c>
      <c r="K196" s="82">
        <v>8.67</v>
      </c>
      <c r="L196" s="82">
        <v>7.05</v>
      </c>
      <c r="N196" s="82">
        <v>0.15</v>
      </c>
      <c r="O196" s="82">
        <v>0.51</v>
      </c>
      <c r="P196" s="82">
        <v>-0.47</v>
      </c>
      <c r="Q196" s="82">
        <v>1.75</v>
      </c>
      <c r="R196" s="82">
        <v>-30.92</v>
      </c>
      <c r="S196" s="82">
        <v>6.18</v>
      </c>
      <c r="T196" s="82">
        <v>15.47</v>
      </c>
      <c r="U196" s="82">
        <v>-0.2</v>
      </c>
      <c r="V196" s="82">
        <v>1.2</v>
      </c>
      <c r="W196" s="82">
        <v>1.01</v>
      </c>
      <c r="X196" s="82">
        <v>14.61</v>
      </c>
      <c r="Z196" s="191">
        <v>1500.0</v>
      </c>
      <c r="AA196" s="82">
        <v>-20.01</v>
      </c>
      <c r="AB196" s="82">
        <v>6.19</v>
      </c>
      <c r="AC196" s="82">
        <v>-0.01</v>
      </c>
      <c r="AD196" s="191">
        <v>1.0435905669E8</v>
      </c>
    </row>
    <row r="197">
      <c r="A197" s="82" t="s">
        <v>249</v>
      </c>
      <c r="B197" s="82">
        <v>18.39</v>
      </c>
      <c r="D197" s="82">
        <v>2.97</v>
      </c>
      <c r="E197" s="82">
        <v>-0.92</v>
      </c>
      <c r="F197" s="82">
        <v>0.18</v>
      </c>
      <c r="G197" s="82">
        <v>40.51</v>
      </c>
      <c r="H197" s="82">
        <v>10.29</v>
      </c>
      <c r="I197" s="82">
        <v>6.12</v>
      </c>
      <c r="J197" s="82">
        <v>1.77</v>
      </c>
      <c r="K197" s="82">
        <v>8.67</v>
      </c>
      <c r="L197" s="82">
        <v>7.05</v>
      </c>
      <c r="N197" s="82">
        <v>0.18</v>
      </c>
      <c r="O197" s="82">
        <v>0.63</v>
      </c>
      <c r="P197" s="82">
        <v>-0.58</v>
      </c>
      <c r="Q197" s="82">
        <v>1.75</v>
      </c>
      <c r="R197" s="82">
        <v>-30.92</v>
      </c>
      <c r="S197" s="82">
        <v>6.18</v>
      </c>
      <c r="T197" s="82">
        <v>15.47</v>
      </c>
      <c r="U197" s="82">
        <v>-0.2</v>
      </c>
      <c r="V197" s="82">
        <v>1.2</v>
      </c>
      <c r="W197" s="82">
        <v>1.01</v>
      </c>
      <c r="X197" s="82">
        <v>14.61</v>
      </c>
      <c r="Z197" s="191">
        <v>17951.53</v>
      </c>
      <c r="AA197" s="82">
        <v>-20.01</v>
      </c>
      <c r="AB197" s="82">
        <v>6.19</v>
      </c>
      <c r="AC197" s="82">
        <v>-0.01</v>
      </c>
      <c r="AD197" s="191">
        <v>1.0435905669E8</v>
      </c>
    </row>
    <row r="198">
      <c r="A198" s="82" t="s">
        <v>250</v>
      </c>
      <c r="B198" s="82">
        <v>8.0</v>
      </c>
      <c r="D198" s="82">
        <v>-0.58</v>
      </c>
      <c r="E198" s="82">
        <v>1.02</v>
      </c>
      <c r="F198" s="82">
        <v>0.07</v>
      </c>
      <c r="G198" s="82">
        <v>14.02</v>
      </c>
      <c r="H198" s="82">
        <v>-22.47</v>
      </c>
      <c r="I198" s="82">
        <v>-29.57</v>
      </c>
      <c r="J198" s="82">
        <v>-0.76</v>
      </c>
      <c r="K198" s="82">
        <v>-3.84</v>
      </c>
      <c r="L198" s="82">
        <v>-3.41</v>
      </c>
      <c r="M198" s="82">
        <v>4.56</v>
      </c>
      <c r="N198" s="82">
        <v>0.17</v>
      </c>
      <c r="O198" s="82">
        <v>-0.24</v>
      </c>
      <c r="P198" s="82">
        <v>-0.11</v>
      </c>
      <c r="Q198" s="82">
        <v>0.49</v>
      </c>
      <c r="R198" s="82">
        <v>-175.93</v>
      </c>
      <c r="S198" s="82">
        <v>-12.81</v>
      </c>
      <c r="T198" s="82">
        <v>-18.67</v>
      </c>
      <c r="U198" s="82">
        <v>0.07</v>
      </c>
      <c r="V198" s="82">
        <v>0.86</v>
      </c>
      <c r="W198" s="82">
        <v>0.43</v>
      </c>
      <c r="X198" s="82">
        <v>-3.61</v>
      </c>
      <c r="Z198" s="191">
        <v>15477.5</v>
      </c>
      <c r="AA198" s="82">
        <v>7.84</v>
      </c>
      <c r="AB198" s="82">
        <v>-13.8</v>
      </c>
      <c r="AC198" s="82">
        <v>0.0</v>
      </c>
      <c r="AD198" s="191">
        <v>1.3755854149E8</v>
      </c>
    </row>
    <row r="199">
      <c r="A199" s="82" t="s">
        <v>251</v>
      </c>
      <c r="B199" s="82">
        <v>1.59</v>
      </c>
      <c r="D199" s="82">
        <v>-0.12</v>
      </c>
      <c r="E199" s="82">
        <v>0.2</v>
      </c>
      <c r="F199" s="82">
        <v>0.01</v>
      </c>
      <c r="G199" s="82">
        <v>14.02</v>
      </c>
      <c r="H199" s="82">
        <v>-22.47</v>
      </c>
      <c r="I199" s="82">
        <v>-29.57</v>
      </c>
      <c r="J199" s="82">
        <v>-0.15</v>
      </c>
      <c r="K199" s="82">
        <v>-3.84</v>
      </c>
      <c r="L199" s="82">
        <v>-3.41</v>
      </c>
      <c r="M199" s="82">
        <v>4.56</v>
      </c>
      <c r="N199" s="82">
        <v>0.03</v>
      </c>
      <c r="O199" s="82">
        <v>-0.05</v>
      </c>
      <c r="P199" s="82">
        <v>-0.02</v>
      </c>
      <c r="Q199" s="82">
        <v>0.49</v>
      </c>
      <c r="R199" s="82">
        <v>-175.93</v>
      </c>
      <c r="S199" s="82">
        <v>-12.81</v>
      </c>
      <c r="T199" s="82">
        <v>-18.67</v>
      </c>
      <c r="U199" s="82">
        <v>0.07</v>
      </c>
      <c r="V199" s="82">
        <v>0.86</v>
      </c>
      <c r="W199" s="82">
        <v>0.43</v>
      </c>
      <c r="X199" s="82">
        <v>-3.61</v>
      </c>
      <c r="Z199" s="191">
        <v>815928.55</v>
      </c>
      <c r="AA199" s="82">
        <v>7.84</v>
      </c>
      <c r="AB199" s="82">
        <v>-13.8</v>
      </c>
      <c r="AC199" s="82">
        <v>0.0</v>
      </c>
      <c r="AD199" s="191">
        <v>1.3755854149E8</v>
      </c>
    </row>
    <row r="200">
      <c r="A200" s="82" t="s">
        <v>252</v>
      </c>
      <c r="B200" s="82">
        <v>4.89</v>
      </c>
      <c r="D200" s="82">
        <v>-2.76</v>
      </c>
      <c r="E200" s="82">
        <v>0.59</v>
      </c>
      <c r="F200" s="82">
        <v>0.22</v>
      </c>
      <c r="G200" s="82">
        <v>-22.39</v>
      </c>
      <c r="H200" s="82">
        <v>-15.56</v>
      </c>
      <c r="I200" s="82">
        <v>-45.69</v>
      </c>
      <c r="J200" s="82">
        <v>-8.12</v>
      </c>
      <c r="K200" s="82">
        <v>-18.59</v>
      </c>
      <c r="L200" s="82">
        <v>-10.51</v>
      </c>
      <c r="M200" s="82">
        <v>0.76</v>
      </c>
      <c r="N200" s="82">
        <v>1.26</v>
      </c>
      <c r="O200" s="82">
        <v>2.64</v>
      </c>
      <c r="P200" s="82">
        <v>-0.31</v>
      </c>
      <c r="Q200" s="82">
        <v>1.37</v>
      </c>
      <c r="R200" s="82">
        <v>-21.36</v>
      </c>
      <c r="S200" s="82">
        <v>-7.79</v>
      </c>
      <c r="T200" s="82">
        <v>-4.49</v>
      </c>
      <c r="U200" s="82">
        <v>0.36</v>
      </c>
      <c r="V200" s="82">
        <v>0.64</v>
      </c>
      <c r="W200" s="82">
        <v>0.17</v>
      </c>
      <c r="X200" s="82">
        <v>-0.42</v>
      </c>
      <c r="Z200" s="191">
        <v>648637.65</v>
      </c>
      <c r="AA200" s="82">
        <v>8.28</v>
      </c>
      <c r="AB200" s="82">
        <v>-1.77</v>
      </c>
      <c r="AC200" s="82">
        <v>-0.06</v>
      </c>
      <c r="AD200" s="191">
        <v>1.3550668347E8</v>
      </c>
    </row>
    <row r="201">
      <c r="A201" s="82" t="s">
        <v>253</v>
      </c>
      <c r="B201" s="82">
        <v>2.11</v>
      </c>
      <c r="D201" s="82">
        <v>-1.16</v>
      </c>
      <c r="E201" s="82">
        <v>0.25</v>
      </c>
      <c r="F201" s="82">
        <v>0.09</v>
      </c>
      <c r="G201" s="82">
        <v>-22.39</v>
      </c>
      <c r="H201" s="82">
        <v>-15.56</v>
      </c>
      <c r="I201" s="82">
        <v>-45.69</v>
      </c>
      <c r="J201" s="82">
        <v>-3.4</v>
      </c>
      <c r="K201" s="82">
        <v>-18.59</v>
      </c>
      <c r="L201" s="82">
        <v>-10.51</v>
      </c>
      <c r="M201" s="82">
        <v>0.76</v>
      </c>
      <c r="N201" s="82">
        <v>0.53</v>
      </c>
      <c r="O201" s="82">
        <v>1.11</v>
      </c>
      <c r="P201" s="82">
        <v>-0.13</v>
      </c>
      <c r="Q201" s="82">
        <v>1.37</v>
      </c>
      <c r="R201" s="82">
        <v>-21.36</v>
      </c>
      <c r="S201" s="82">
        <v>-7.79</v>
      </c>
      <c r="T201" s="82">
        <v>-4.49</v>
      </c>
      <c r="U201" s="82">
        <v>0.36</v>
      </c>
      <c r="V201" s="82">
        <v>0.64</v>
      </c>
      <c r="W201" s="82">
        <v>0.17</v>
      </c>
      <c r="X201" s="82">
        <v>-0.42</v>
      </c>
      <c r="Z201" s="191">
        <v>389356.95</v>
      </c>
      <c r="AA201" s="82">
        <v>8.28</v>
      </c>
      <c r="AB201" s="82">
        <v>-1.77</v>
      </c>
      <c r="AC201" s="82">
        <v>-0.03</v>
      </c>
      <c r="AD201" s="191">
        <v>1.3550668347E8</v>
      </c>
    </row>
    <row r="202">
      <c r="A202" s="82" t="s">
        <v>254</v>
      </c>
      <c r="B202" s="82">
        <v>0.0</v>
      </c>
      <c r="D202" s="82">
        <v>0.0</v>
      </c>
      <c r="E202" s="82">
        <v>0.0</v>
      </c>
      <c r="F202" s="82">
        <v>0.0</v>
      </c>
      <c r="G202" s="82">
        <v>-22.39</v>
      </c>
      <c r="H202" s="82">
        <v>-15.56</v>
      </c>
      <c r="I202" s="82">
        <v>-45.69</v>
      </c>
      <c r="J202" s="82">
        <v>0.0</v>
      </c>
      <c r="K202" s="82">
        <v>-18.59</v>
      </c>
      <c r="L202" s="82">
        <v>-10.51</v>
      </c>
      <c r="M202" s="82">
        <v>0.76</v>
      </c>
      <c r="N202" s="82">
        <v>0.0</v>
      </c>
      <c r="O202" s="82">
        <v>0.0</v>
      </c>
      <c r="P202" s="82">
        <v>0.0</v>
      </c>
      <c r="Q202" s="82">
        <v>1.37</v>
      </c>
      <c r="R202" s="82">
        <v>-21.36</v>
      </c>
      <c r="S202" s="82">
        <v>-7.79</v>
      </c>
      <c r="T202" s="82">
        <v>-4.49</v>
      </c>
      <c r="U202" s="82">
        <v>0.36</v>
      </c>
      <c r="V202" s="82">
        <v>0.64</v>
      </c>
      <c r="W202" s="82">
        <v>0.17</v>
      </c>
      <c r="X202" s="82">
        <v>-0.42</v>
      </c>
      <c r="AA202" s="82">
        <v>8.28</v>
      </c>
      <c r="AB202" s="82">
        <v>-1.77</v>
      </c>
      <c r="AC202" s="82">
        <v>0.0</v>
      </c>
      <c r="AD202" s="191">
        <v>1.3550668347E8</v>
      </c>
    </row>
    <row r="203">
      <c r="A203" s="82" t="s">
        <v>255</v>
      </c>
      <c r="B203" s="82">
        <v>17.39</v>
      </c>
      <c r="C203" s="82">
        <v>4.53</v>
      </c>
      <c r="D203" s="82">
        <v>12.29</v>
      </c>
      <c r="E203" s="82">
        <v>5.5</v>
      </c>
      <c r="F203" s="82">
        <v>1.61</v>
      </c>
      <c r="G203" s="82">
        <v>37.81</v>
      </c>
      <c r="H203" s="82">
        <v>19.69</v>
      </c>
      <c r="I203" s="82">
        <v>15.56</v>
      </c>
      <c r="J203" s="82">
        <v>9.72</v>
      </c>
      <c r="K203" s="82">
        <v>8.73</v>
      </c>
      <c r="L203" s="82">
        <v>-0.89</v>
      </c>
      <c r="M203" s="82">
        <v>-0.5</v>
      </c>
      <c r="N203" s="82">
        <v>1.91</v>
      </c>
      <c r="O203" s="82">
        <v>3.83</v>
      </c>
      <c r="P203" s="82">
        <v>-6.09</v>
      </c>
      <c r="Q203" s="82">
        <v>2.34</v>
      </c>
      <c r="R203" s="82">
        <v>44.76</v>
      </c>
      <c r="S203" s="82">
        <v>13.12</v>
      </c>
      <c r="T203" s="82">
        <v>26.74</v>
      </c>
      <c r="U203" s="82">
        <v>0.29</v>
      </c>
      <c r="V203" s="82">
        <v>0.66</v>
      </c>
      <c r="W203" s="82">
        <v>0.84</v>
      </c>
      <c r="X203" s="82">
        <v>22.62</v>
      </c>
      <c r="Y203" s="82">
        <v>29.64</v>
      </c>
      <c r="Z203" s="191">
        <v>2.939922335E7</v>
      </c>
      <c r="AA203" s="82">
        <v>3.16</v>
      </c>
      <c r="AB203" s="82">
        <v>1.42</v>
      </c>
      <c r="AC203" s="82">
        <v>0.59</v>
      </c>
      <c r="AD203" s="191">
        <v>5.02900776624E9</v>
      </c>
    </row>
    <row r="204">
      <c r="A204" s="82" t="s">
        <v>256</v>
      </c>
      <c r="B204" s="82">
        <v>3.34</v>
      </c>
      <c r="D204" s="82">
        <v>-3.66</v>
      </c>
      <c r="E204" s="82">
        <v>4.02</v>
      </c>
      <c r="F204" s="82">
        <v>0.44</v>
      </c>
      <c r="G204" s="82">
        <v>100.0</v>
      </c>
      <c r="H204" s="82">
        <v>-7.43</v>
      </c>
      <c r="I204" s="82">
        <v>-37.97</v>
      </c>
      <c r="J204" s="82">
        <v>-18.72</v>
      </c>
      <c r="K204" s="82">
        <v>-22.66</v>
      </c>
      <c r="L204" s="82">
        <v>-4.16</v>
      </c>
      <c r="M204" s="82">
        <v>0.9</v>
      </c>
      <c r="N204" s="82">
        <v>1.39</v>
      </c>
      <c r="O204" s="82">
        <v>-4.24</v>
      </c>
      <c r="P204" s="82">
        <v>-0.97</v>
      </c>
      <c r="Q204" s="82">
        <v>0.84</v>
      </c>
      <c r="R204" s="82">
        <v>-109.8</v>
      </c>
      <c r="S204" s="82">
        <v>-11.9</v>
      </c>
      <c r="T204" s="82">
        <v>-7.9</v>
      </c>
      <c r="U204" s="82">
        <v>0.11</v>
      </c>
      <c r="V204" s="82">
        <v>0.89</v>
      </c>
      <c r="W204" s="82">
        <v>0.31</v>
      </c>
      <c r="X204" s="82">
        <v>0.61</v>
      </c>
      <c r="Z204" s="191">
        <v>7.628016E7</v>
      </c>
      <c r="AA204" s="82">
        <v>0.83</v>
      </c>
      <c r="AB204" s="82">
        <v>-0.91</v>
      </c>
      <c r="AC204" s="82">
        <v>3.75</v>
      </c>
      <c r="AD204" s="191">
        <v>1.7344506201E9</v>
      </c>
    </row>
    <row r="205">
      <c r="A205" s="82" t="s">
        <v>257</v>
      </c>
      <c r="B205" s="82">
        <v>12.92</v>
      </c>
      <c r="C205" s="82">
        <v>7.82</v>
      </c>
      <c r="D205" s="82">
        <v>10.99</v>
      </c>
      <c r="E205" s="82">
        <v>3.04</v>
      </c>
      <c r="F205" s="82">
        <v>3.01</v>
      </c>
      <c r="J205" s="82">
        <v>9.88</v>
      </c>
      <c r="K205" s="82">
        <v>9.37</v>
      </c>
      <c r="L205" s="82">
        <v>-0.48</v>
      </c>
      <c r="M205" s="82">
        <v>-0.15</v>
      </c>
      <c r="O205" s="82">
        <v>20.28</v>
      </c>
      <c r="P205" s="82">
        <v>-3.57</v>
      </c>
      <c r="Q205" s="82">
        <v>17.58</v>
      </c>
      <c r="R205" s="82">
        <v>27.65</v>
      </c>
      <c r="S205" s="82">
        <v>27.4</v>
      </c>
      <c r="T205" s="82">
        <v>26.4</v>
      </c>
      <c r="U205" s="82">
        <v>0.99</v>
      </c>
      <c r="V205" s="82">
        <v>0.01</v>
      </c>
      <c r="W205" s="82">
        <v>0.0</v>
      </c>
      <c r="Y205" s="82">
        <v>22.12</v>
      </c>
      <c r="Z205" s="191">
        <v>2.61761176E7</v>
      </c>
      <c r="AA205" s="82">
        <v>4.25</v>
      </c>
      <c r="AB205" s="82">
        <v>1.18</v>
      </c>
      <c r="AC205" s="82">
        <v>0.29</v>
      </c>
      <c r="AD205" s="191">
        <v>3.864E10</v>
      </c>
    </row>
    <row r="206">
      <c r="A206" s="82" t="s">
        <v>258</v>
      </c>
      <c r="B206" s="82">
        <v>22.92</v>
      </c>
      <c r="C206" s="82">
        <v>3.68</v>
      </c>
      <c r="D206" s="82">
        <v>10.17</v>
      </c>
      <c r="E206" s="82">
        <v>1.18</v>
      </c>
      <c r="F206" s="82">
        <v>0.54</v>
      </c>
      <c r="G206" s="82">
        <v>32.09</v>
      </c>
      <c r="H206" s="82">
        <v>17.55</v>
      </c>
      <c r="I206" s="82">
        <v>15.25</v>
      </c>
      <c r="J206" s="82">
        <v>8.84</v>
      </c>
      <c r="K206" s="82">
        <v>10.99</v>
      </c>
      <c r="L206" s="82">
        <v>2.19</v>
      </c>
      <c r="M206" s="82">
        <v>0.29</v>
      </c>
      <c r="N206" s="82">
        <v>1.55</v>
      </c>
      <c r="O206" s="82">
        <v>1.58</v>
      </c>
      <c r="P206" s="82">
        <v>-1.12</v>
      </c>
      <c r="Q206" s="82">
        <v>2.93</v>
      </c>
      <c r="R206" s="82">
        <v>11.59</v>
      </c>
      <c r="S206" s="82">
        <v>5.3</v>
      </c>
      <c r="T206" s="82">
        <v>6.62</v>
      </c>
      <c r="U206" s="82">
        <v>0.46</v>
      </c>
      <c r="V206" s="82">
        <v>0.5</v>
      </c>
      <c r="W206" s="82">
        <v>0.35</v>
      </c>
      <c r="X206" s="82">
        <v>15.15</v>
      </c>
      <c r="Z206" s="191">
        <v>1.230032723E8</v>
      </c>
      <c r="AA206" s="82">
        <v>19.47</v>
      </c>
      <c r="AB206" s="82">
        <v>2.26</v>
      </c>
      <c r="AC206" s="82">
        <v>1.0</v>
      </c>
      <c r="AD206" s="191">
        <v>9.13012552916E9</v>
      </c>
    </row>
    <row r="207">
      <c r="A207" s="82" t="s">
        <v>260</v>
      </c>
      <c r="B207" s="82">
        <v>9.08</v>
      </c>
      <c r="D207" s="82">
        <v>-8.1</v>
      </c>
      <c r="E207" s="82">
        <v>0.86</v>
      </c>
      <c r="F207" s="82">
        <v>0.25</v>
      </c>
      <c r="G207" s="82">
        <v>28.78</v>
      </c>
      <c r="H207" s="82">
        <v>7.35</v>
      </c>
      <c r="I207" s="82">
        <v>-5.93</v>
      </c>
      <c r="J207" s="82">
        <v>6.53</v>
      </c>
      <c r="K207" s="82">
        <v>15.13</v>
      </c>
      <c r="L207" s="82">
        <v>8.58</v>
      </c>
      <c r="M207" s="82">
        <v>1.13</v>
      </c>
      <c r="N207" s="82">
        <v>0.48</v>
      </c>
      <c r="O207" s="82">
        <v>3.94</v>
      </c>
      <c r="P207" s="82">
        <v>-0.36</v>
      </c>
      <c r="Q207" s="82">
        <v>1.27</v>
      </c>
      <c r="R207" s="82">
        <v>-10.61</v>
      </c>
      <c r="S207" s="82">
        <v>-3.11</v>
      </c>
      <c r="T207" s="82">
        <v>4.96</v>
      </c>
      <c r="U207" s="82">
        <v>0.29</v>
      </c>
      <c r="V207" s="82">
        <v>0.71</v>
      </c>
      <c r="W207" s="82">
        <v>0.52</v>
      </c>
      <c r="X207" s="82">
        <v>31.03</v>
      </c>
      <c r="Z207" s="191">
        <v>2530166.75</v>
      </c>
      <c r="AA207" s="82">
        <v>10.55</v>
      </c>
      <c r="AB207" s="82">
        <v>-1.12</v>
      </c>
      <c r="AC207" s="82">
        <v>-0.05</v>
      </c>
      <c r="AD207" s="191">
        <v>6.8504785804E9</v>
      </c>
    </row>
    <row r="208">
      <c r="A208" s="82" t="s">
        <v>261</v>
      </c>
      <c r="B208" s="82">
        <v>13.33</v>
      </c>
      <c r="C208" s="82">
        <v>0.15</v>
      </c>
      <c r="D208" s="82">
        <v>17.33</v>
      </c>
      <c r="E208" s="82">
        <v>1.23</v>
      </c>
      <c r="F208" s="82">
        <v>0.53</v>
      </c>
      <c r="G208" s="82">
        <v>63.04</v>
      </c>
      <c r="H208" s="82">
        <v>33.72</v>
      </c>
      <c r="I208" s="82">
        <v>9.69</v>
      </c>
      <c r="J208" s="82">
        <v>4.98</v>
      </c>
      <c r="K208" s="82">
        <v>7.12</v>
      </c>
      <c r="L208" s="82">
        <v>2.22</v>
      </c>
      <c r="M208" s="82">
        <v>0.55</v>
      </c>
      <c r="N208" s="82">
        <v>1.68</v>
      </c>
      <c r="O208" s="82">
        <v>-22.01</v>
      </c>
      <c r="P208" s="82">
        <v>-0.6</v>
      </c>
      <c r="Q208" s="82">
        <v>0.84</v>
      </c>
      <c r="R208" s="82">
        <v>7.08</v>
      </c>
      <c r="S208" s="82">
        <v>3.03</v>
      </c>
      <c r="T208" s="82">
        <v>13.7</v>
      </c>
      <c r="U208" s="82">
        <v>0.43</v>
      </c>
      <c r="V208" s="82">
        <v>0.56</v>
      </c>
      <c r="W208" s="82">
        <v>0.31</v>
      </c>
      <c r="Z208" s="191">
        <v>2895480.0</v>
      </c>
      <c r="AA208" s="82">
        <v>10.94</v>
      </c>
      <c r="AB208" s="82">
        <v>0.77</v>
      </c>
      <c r="AC208" s="82">
        <v>0.19</v>
      </c>
      <c r="AD208" s="191">
        <v>1.521502554E9</v>
      </c>
    </row>
    <row r="209">
      <c r="A209" s="82" t="s">
        <v>262</v>
      </c>
      <c r="B209" s="82">
        <v>11.32</v>
      </c>
      <c r="C209" s="82">
        <v>2.34</v>
      </c>
      <c r="D209" s="82">
        <v>6.77</v>
      </c>
      <c r="E209" s="82">
        <v>1.56</v>
      </c>
      <c r="F209" s="82">
        <v>0.76</v>
      </c>
      <c r="G209" s="82">
        <v>20.55</v>
      </c>
      <c r="H209" s="82">
        <v>15.24</v>
      </c>
      <c r="I209" s="82">
        <v>8.86</v>
      </c>
      <c r="J209" s="82">
        <v>3.94</v>
      </c>
      <c r="K209" s="82">
        <v>3.48</v>
      </c>
      <c r="L209" s="82">
        <v>-0.45</v>
      </c>
      <c r="M209" s="82">
        <v>-0.18</v>
      </c>
      <c r="N209" s="82">
        <v>0.6</v>
      </c>
      <c r="O209" s="82">
        <v>1.7</v>
      </c>
      <c r="P209" s="82">
        <v>-2.2</v>
      </c>
      <c r="Q209" s="82">
        <v>3.17</v>
      </c>
      <c r="R209" s="82">
        <v>23.11</v>
      </c>
      <c r="S209" s="82">
        <v>11.23</v>
      </c>
      <c r="T209" s="82">
        <v>19.07</v>
      </c>
      <c r="U209" s="82">
        <v>0.49</v>
      </c>
      <c r="V209" s="82">
        <v>0.42</v>
      </c>
      <c r="W209" s="82">
        <v>1.27</v>
      </c>
      <c r="X209" s="82">
        <v>34.1</v>
      </c>
      <c r="Y209" s="82">
        <v>14.48</v>
      </c>
      <c r="Z209" s="191">
        <v>2599604.6</v>
      </c>
      <c r="AA209" s="82">
        <v>7.34</v>
      </c>
      <c r="AB209" s="82">
        <v>1.7</v>
      </c>
      <c r="AC209" s="82">
        <v>0.35</v>
      </c>
      <c r="AD209" s="191">
        <v>1.07910222765E9</v>
      </c>
    </row>
    <row r="210">
      <c r="A210" s="82" t="s">
        <v>263</v>
      </c>
      <c r="B210" s="82">
        <v>11.45</v>
      </c>
      <c r="C210" s="82">
        <v>2.39</v>
      </c>
      <c r="D210" s="82">
        <v>6.75</v>
      </c>
      <c r="E210" s="82">
        <v>1.56</v>
      </c>
      <c r="F210" s="82">
        <v>0.76</v>
      </c>
      <c r="G210" s="82">
        <v>20.55</v>
      </c>
      <c r="H210" s="82">
        <v>15.24</v>
      </c>
      <c r="I210" s="82">
        <v>8.86</v>
      </c>
      <c r="J210" s="82">
        <v>3.92</v>
      </c>
      <c r="K210" s="82">
        <v>3.48</v>
      </c>
      <c r="L210" s="82">
        <v>-0.45</v>
      </c>
      <c r="M210" s="82">
        <v>-0.18</v>
      </c>
      <c r="N210" s="82">
        <v>0.6</v>
      </c>
      <c r="O210" s="82">
        <v>1.69</v>
      </c>
      <c r="P210" s="82">
        <v>-2.19</v>
      </c>
      <c r="Q210" s="82">
        <v>3.17</v>
      </c>
      <c r="R210" s="82">
        <v>23.11</v>
      </c>
      <c r="S210" s="82">
        <v>11.23</v>
      </c>
      <c r="T210" s="82">
        <v>19.07</v>
      </c>
      <c r="U210" s="82">
        <v>0.49</v>
      </c>
      <c r="V210" s="82">
        <v>0.42</v>
      </c>
      <c r="W210" s="82">
        <v>1.27</v>
      </c>
      <c r="X210" s="82">
        <v>34.1</v>
      </c>
      <c r="Y210" s="82">
        <v>14.48</v>
      </c>
      <c r="Z210" s="191">
        <v>47096.67</v>
      </c>
      <c r="AA210" s="82">
        <v>7.34</v>
      </c>
      <c r="AB210" s="82">
        <v>1.7</v>
      </c>
      <c r="AC210" s="82">
        <v>0.35</v>
      </c>
      <c r="AD210" s="191">
        <v>1.07910222765E9</v>
      </c>
    </row>
    <row r="211">
      <c r="A211" s="82" t="s">
        <v>264</v>
      </c>
      <c r="B211" s="82">
        <v>21.61</v>
      </c>
      <c r="D211" s="82">
        <v>12.15</v>
      </c>
      <c r="E211" s="82">
        <v>1.94</v>
      </c>
      <c r="F211" s="82">
        <v>0.52</v>
      </c>
      <c r="G211" s="82">
        <v>34.87</v>
      </c>
      <c r="H211" s="82">
        <v>20.76</v>
      </c>
      <c r="I211" s="82">
        <v>13.7</v>
      </c>
      <c r="J211" s="82">
        <v>8.02</v>
      </c>
      <c r="K211" s="82">
        <v>7.97</v>
      </c>
      <c r="L211" s="82">
        <v>-0.05</v>
      </c>
      <c r="M211" s="82">
        <v>-0.01</v>
      </c>
      <c r="N211" s="82">
        <v>1.66</v>
      </c>
      <c r="O211" s="82">
        <v>1.55</v>
      </c>
      <c r="P211" s="82">
        <v>-0.98</v>
      </c>
      <c r="Q211" s="82">
        <v>3.56</v>
      </c>
      <c r="R211" s="82">
        <v>15.96</v>
      </c>
      <c r="S211" s="82">
        <v>4.3</v>
      </c>
      <c r="T211" s="82">
        <v>12.34</v>
      </c>
      <c r="U211" s="82">
        <v>0.27</v>
      </c>
      <c r="V211" s="82">
        <v>0.71</v>
      </c>
      <c r="W211" s="82">
        <v>0.31</v>
      </c>
      <c r="X211" s="82">
        <v>23.53</v>
      </c>
      <c r="Z211" s="191">
        <v>4.110664755E7</v>
      </c>
      <c r="AA211" s="82">
        <v>11.15</v>
      </c>
      <c r="AB211" s="82">
        <v>1.78</v>
      </c>
      <c r="AC211" s="82">
        <v>0.12</v>
      </c>
      <c r="AD211" s="191">
        <v>3.752805E9</v>
      </c>
    </row>
    <row r="212">
      <c r="A212" s="82" t="s">
        <v>1762</v>
      </c>
      <c r="B212" s="82">
        <v>0.34</v>
      </c>
      <c r="D212" s="82">
        <v>-49.97</v>
      </c>
      <c r="E212" s="82">
        <v>-0.36</v>
      </c>
      <c r="F212" s="82">
        <v>0.53</v>
      </c>
      <c r="G212" s="82">
        <v>54.54</v>
      </c>
      <c r="H212" s="82">
        <v>8.16</v>
      </c>
      <c r="I212" s="82">
        <v>-1.1</v>
      </c>
      <c r="J212" s="82">
        <v>6.75</v>
      </c>
      <c r="K212" s="82">
        <v>32.11</v>
      </c>
      <c r="L212" s="82">
        <v>-2.85</v>
      </c>
      <c r="N212" s="82">
        <v>0.55</v>
      </c>
      <c r="O212" s="82">
        <v>1.78</v>
      </c>
      <c r="P212" s="82">
        <v>-1.29</v>
      </c>
      <c r="Q212" s="82">
        <v>2.04</v>
      </c>
      <c r="R212" s="82">
        <v>-0.73</v>
      </c>
      <c r="S212" s="82">
        <v>-1.07</v>
      </c>
      <c r="T212" s="82">
        <v>-5.39</v>
      </c>
      <c r="U212" s="82">
        <v>-1.47</v>
      </c>
      <c r="V212" s="82">
        <v>2.47</v>
      </c>
      <c r="W212" s="82">
        <v>0.97</v>
      </c>
      <c r="X212" s="82">
        <v>-1.34</v>
      </c>
      <c r="Z212" s="191">
        <v>16904.2</v>
      </c>
      <c r="AA212" s="82">
        <v>-0.93</v>
      </c>
      <c r="AB212" s="82">
        <v>-0.01</v>
      </c>
      <c r="AC212" s="82">
        <v>0.49</v>
      </c>
      <c r="AD212" s="191">
        <v>9.4925473104E8</v>
      </c>
    </row>
    <row r="213">
      <c r="A213" s="82" t="s">
        <v>265</v>
      </c>
      <c r="B213" s="82">
        <v>1.76</v>
      </c>
      <c r="D213" s="82">
        <v>-258.65</v>
      </c>
      <c r="E213" s="82">
        <v>-1.88</v>
      </c>
      <c r="F213" s="82">
        <v>2.76</v>
      </c>
      <c r="G213" s="82">
        <v>54.54</v>
      </c>
      <c r="H213" s="82">
        <v>8.16</v>
      </c>
      <c r="I213" s="82">
        <v>-1.1</v>
      </c>
      <c r="J213" s="82">
        <v>34.96</v>
      </c>
      <c r="K213" s="82">
        <v>32.11</v>
      </c>
      <c r="L213" s="82">
        <v>-2.85</v>
      </c>
      <c r="N213" s="82">
        <v>2.85</v>
      </c>
      <c r="O213" s="82">
        <v>9.24</v>
      </c>
      <c r="P213" s="82">
        <v>-6.66</v>
      </c>
      <c r="Q213" s="82">
        <v>2.04</v>
      </c>
      <c r="R213" s="82">
        <v>-0.73</v>
      </c>
      <c r="S213" s="82">
        <v>-1.07</v>
      </c>
      <c r="T213" s="82">
        <v>-5.39</v>
      </c>
      <c r="U213" s="82">
        <v>-1.47</v>
      </c>
      <c r="V213" s="82">
        <v>2.47</v>
      </c>
      <c r="W213" s="82">
        <v>0.97</v>
      </c>
      <c r="X213" s="82">
        <v>-1.34</v>
      </c>
      <c r="Z213" s="191">
        <v>4084154.8</v>
      </c>
      <c r="AA213" s="82">
        <v>-0.93</v>
      </c>
      <c r="AB213" s="82">
        <v>-0.01</v>
      </c>
      <c r="AC213" s="82">
        <v>2.52</v>
      </c>
      <c r="AD213" s="191">
        <v>9.4925473104E8</v>
      </c>
    </row>
    <row r="214">
      <c r="A214" s="82" t="s">
        <v>266</v>
      </c>
      <c r="B214" s="82">
        <v>5.84</v>
      </c>
      <c r="D214" s="82">
        <v>19.65</v>
      </c>
      <c r="E214" s="82">
        <v>0.34</v>
      </c>
      <c r="F214" s="82">
        <v>0.2</v>
      </c>
      <c r="G214" s="82">
        <v>31.9</v>
      </c>
      <c r="H214" s="82">
        <v>2.47</v>
      </c>
      <c r="I214" s="82">
        <v>0.9</v>
      </c>
      <c r="J214" s="82">
        <v>7.18</v>
      </c>
      <c r="K214" s="82">
        <v>6.63</v>
      </c>
      <c r="L214" s="82">
        <v>-0.61</v>
      </c>
      <c r="M214" s="82">
        <v>-0.03</v>
      </c>
      <c r="N214" s="82">
        <v>0.18</v>
      </c>
      <c r="O214" s="82">
        <v>4.18</v>
      </c>
      <c r="P214" s="82">
        <v>-0.28</v>
      </c>
      <c r="Q214" s="82">
        <v>1.19</v>
      </c>
      <c r="R214" s="82">
        <v>1.75</v>
      </c>
      <c r="S214" s="82">
        <v>0.99</v>
      </c>
      <c r="T214" s="82">
        <v>4.49</v>
      </c>
      <c r="U214" s="82">
        <v>0.57</v>
      </c>
      <c r="V214" s="82">
        <v>0.43</v>
      </c>
      <c r="W214" s="82">
        <v>1.1</v>
      </c>
      <c r="X214" s="82">
        <v>319.38</v>
      </c>
      <c r="Z214" s="191">
        <v>367559.55</v>
      </c>
      <c r="AA214" s="82">
        <v>17.03</v>
      </c>
      <c r="AB214" s="82">
        <v>0.3</v>
      </c>
      <c r="AC214" s="82">
        <v>-0.75</v>
      </c>
      <c r="AD214" s="191">
        <v>2.985567678E8</v>
      </c>
    </row>
    <row r="215">
      <c r="A215" s="82" t="s">
        <v>267</v>
      </c>
      <c r="B215" s="82">
        <v>7.0</v>
      </c>
      <c r="D215" s="82">
        <v>-56.76</v>
      </c>
      <c r="E215" s="82">
        <v>0.76</v>
      </c>
      <c r="F215" s="82">
        <v>0.53</v>
      </c>
      <c r="G215" s="82">
        <v>19.2</v>
      </c>
      <c r="H215" s="82">
        <v>-1.75</v>
      </c>
      <c r="I215" s="82">
        <v>-1.53</v>
      </c>
      <c r="J215" s="82">
        <v>-49.58</v>
      </c>
      <c r="K215" s="82">
        <v>-51.11</v>
      </c>
      <c r="L215" s="82">
        <v>-4.98</v>
      </c>
      <c r="M215" s="82">
        <v>0.08</v>
      </c>
      <c r="N215" s="82">
        <v>0.87</v>
      </c>
      <c r="O215" s="82">
        <v>1.19</v>
      </c>
      <c r="P215" s="82">
        <v>-1.2</v>
      </c>
      <c r="Q215" s="82">
        <v>5.15</v>
      </c>
      <c r="R215" s="82">
        <v>-1.33</v>
      </c>
      <c r="S215" s="82">
        <v>-0.94</v>
      </c>
      <c r="T215" s="82">
        <v>-1.75</v>
      </c>
      <c r="U215" s="82">
        <v>0.7</v>
      </c>
      <c r="V215" s="82">
        <v>0.3</v>
      </c>
      <c r="W215" s="82">
        <v>0.61</v>
      </c>
      <c r="X215" s="82">
        <v>6.68</v>
      </c>
      <c r="Z215" s="82">
        <v>677.5</v>
      </c>
      <c r="AA215" s="82">
        <v>9.24</v>
      </c>
      <c r="AB215" s="82">
        <v>-0.12</v>
      </c>
      <c r="AC215" s="82">
        <v>0.4</v>
      </c>
      <c r="AD215" s="191">
        <v>4.926682059E8</v>
      </c>
    </row>
    <row r="216">
      <c r="A216" s="82" t="s">
        <v>268</v>
      </c>
      <c r="B216" s="82">
        <v>5.26</v>
      </c>
      <c r="D216" s="82">
        <v>-42.65</v>
      </c>
      <c r="E216" s="82">
        <v>0.57</v>
      </c>
      <c r="F216" s="82">
        <v>0.4</v>
      </c>
      <c r="G216" s="82">
        <v>19.2</v>
      </c>
      <c r="H216" s="82">
        <v>-1.75</v>
      </c>
      <c r="I216" s="82">
        <v>-1.53</v>
      </c>
      <c r="J216" s="82">
        <v>-37.26</v>
      </c>
      <c r="K216" s="82">
        <v>-51.11</v>
      </c>
      <c r="L216" s="82">
        <v>-4.98</v>
      </c>
      <c r="M216" s="82">
        <v>0.08</v>
      </c>
      <c r="N216" s="82">
        <v>0.65</v>
      </c>
      <c r="O216" s="82">
        <v>0.89</v>
      </c>
      <c r="P216" s="82">
        <v>-0.9</v>
      </c>
      <c r="Q216" s="82">
        <v>5.15</v>
      </c>
      <c r="R216" s="82">
        <v>-1.33</v>
      </c>
      <c r="S216" s="82">
        <v>-0.94</v>
      </c>
      <c r="T216" s="82">
        <v>-1.75</v>
      </c>
      <c r="U216" s="82">
        <v>0.7</v>
      </c>
      <c r="V216" s="82">
        <v>0.3</v>
      </c>
      <c r="W216" s="82">
        <v>0.61</v>
      </c>
      <c r="X216" s="82">
        <v>6.68</v>
      </c>
      <c r="Z216" s="191">
        <v>16942.47</v>
      </c>
      <c r="AA216" s="82">
        <v>9.24</v>
      </c>
      <c r="AB216" s="82">
        <v>-0.12</v>
      </c>
      <c r="AC216" s="82">
        <v>0.3</v>
      </c>
      <c r="AD216" s="191">
        <v>4.926682059E8</v>
      </c>
    </row>
    <row r="217">
      <c r="A217" s="82" t="s">
        <v>269</v>
      </c>
      <c r="B217" s="82">
        <v>7.83</v>
      </c>
      <c r="D217" s="82">
        <v>-1.27</v>
      </c>
      <c r="E217" s="82">
        <v>-0.48</v>
      </c>
      <c r="F217" s="82">
        <v>0.35</v>
      </c>
      <c r="G217" s="82">
        <v>86.0</v>
      </c>
      <c r="H217" s="82">
        <v>-61.23</v>
      </c>
      <c r="I217" s="82">
        <v>-59.93</v>
      </c>
      <c r="J217" s="82">
        <v>-1.24</v>
      </c>
      <c r="K217" s="82">
        <v>-1.22</v>
      </c>
      <c r="L217" s="82">
        <v>-0.01</v>
      </c>
      <c r="N217" s="82">
        <v>0.76</v>
      </c>
      <c r="O217" s="82">
        <v>-0.57</v>
      </c>
      <c r="P217" s="82">
        <v>-0.69</v>
      </c>
      <c r="Q217" s="82">
        <v>0.44</v>
      </c>
      <c r="R217" s="82">
        <v>-37.49</v>
      </c>
      <c r="S217" s="82">
        <v>-27.83</v>
      </c>
      <c r="T217" s="82">
        <v>73.51</v>
      </c>
      <c r="U217" s="82">
        <v>-0.74</v>
      </c>
      <c r="V217" s="82">
        <v>1.74</v>
      </c>
      <c r="W217" s="82">
        <v>0.46</v>
      </c>
      <c r="X217" s="82">
        <v>3.79</v>
      </c>
      <c r="Z217" s="191">
        <v>106514.25</v>
      </c>
      <c r="AA217" s="82">
        <v>-16.78</v>
      </c>
      <c r="AB217" s="82">
        <v>-6.29</v>
      </c>
      <c r="AC217" s="82">
        <v>0.2</v>
      </c>
      <c r="AD217" s="191">
        <v>1.03303629E8</v>
      </c>
    </row>
    <row r="218">
      <c r="A218" s="82" t="s">
        <v>270</v>
      </c>
      <c r="B218" s="82">
        <v>4.5</v>
      </c>
      <c r="D218" s="82">
        <v>73.55</v>
      </c>
      <c r="E218" s="82">
        <v>-30.27</v>
      </c>
      <c r="F218" s="82">
        <v>7.13</v>
      </c>
      <c r="G218" s="82">
        <v>2.55</v>
      </c>
      <c r="H218" s="82">
        <v>-3.77</v>
      </c>
      <c r="I218" s="82">
        <v>8.68</v>
      </c>
      <c r="J218" s="82">
        <v>-169.22</v>
      </c>
      <c r="K218" s="82">
        <v>-259.75</v>
      </c>
      <c r="L218" s="82">
        <v>-2.07</v>
      </c>
      <c r="N218" s="82">
        <v>6.39</v>
      </c>
      <c r="O218" s="82">
        <v>-37.58</v>
      </c>
      <c r="P218" s="82">
        <v>-9.54</v>
      </c>
      <c r="Q218" s="82">
        <v>0.57</v>
      </c>
      <c r="R218" s="82">
        <v>-41.15</v>
      </c>
      <c r="S218" s="82">
        <v>9.69</v>
      </c>
      <c r="T218" s="82">
        <v>45.96</v>
      </c>
      <c r="U218" s="82">
        <v>-0.24</v>
      </c>
      <c r="V218" s="82">
        <v>1.24</v>
      </c>
      <c r="W218" s="82">
        <v>1.12</v>
      </c>
      <c r="X218" s="82">
        <v>-9.85</v>
      </c>
      <c r="Y218" s="82">
        <v>-26.48</v>
      </c>
      <c r="Z218" s="191">
        <v>1182.0</v>
      </c>
      <c r="AA218" s="82">
        <v>-0.15</v>
      </c>
      <c r="AB218" s="82">
        <v>0.06</v>
      </c>
      <c r="AC218" s="82">
        <v>-0.63</v>
      </c>
      <c r="AD218" s="191">
        <v>7.6273145E7</v>
      </c>
    </row>
    <row r="219">
      <c r="A219" s="82" t="s">
        <v>271</v>
      </c>
      <c r="B219" s="82">
        <v>62.6</v>
      </c>
      <c r="D219" s="191">
        <v>1023.21</v>
      </c>
      <c r="E219" s="82">
        <v>-421.03</v>
      </c>
      <c r="F219" s="82">
        <v>99.15</v>
      </c>
      <c r="G219" s="82">
        <v>2.55</v>
      </c>
      <c r="H219" s="82">
        <v>-3.77</v>
      </c>
      <c r="I219" s="82">
        <v>8.68</v>
      </c>
      <c r="J219" s="191">
        <v>-2354.08</v>
      </c>
      <c r="K219" s="82">
        <v>-259.75</v>
      </c>
      <c r="L219" s="82">
        <v>-2.07</v>
      </c>
      <c r="N219" s="82">
        <v>88.82</v>
      </c>
      <c r="O219" s="82">
        <v>-522.74</v>
      </c>
      <c r="P219" s="82">
        <v>-132.7</v>
      </c>
      <c r="Q219" s="82">
        <v>0.57</v>
      </c>
      <c r="R219" s="82">
        <v>-41.15</v>
      </c>
      <c r="S219" s="82">
        <v>9.69</v>
      </c>
      <c r="T219" s="82">
        <v>45.96</v>
      </c>
      <c r="U219" s="82">
        <v>-0.24</v>
      </c>
      <c r="V219" s="82">
        <v>1.24</v>
      </c>
      <c r="W219" s="82">
        <v>1.12</v>
      </c>
      <c r="X219" s="82">
        <v>-9.85</v>
      </c>
      <c r="Y219" s="82">
        <v>-26.48</v>
      </c>
      <c r="AA219" s="82">
        <v>-0.15</v>
      </c>
      <c r="AB219" s="82">
        <v>0.06</v>
      </c>
      <c r="AC219" s="82">
        <v>-8.71</v>
      </c>
      <c r="AD219" s="191">
        <v>7.6273145E7</v>
      </c>
    </row>
    <row r="220">
      <c r="A220" s="82" t="s">
        <v>272</v>
      </c>
      <c r="B220" s="82">
        <v>7.73</v>
      </c>
      <c r="D220" s="82">
        <v>7.78</v>
      </c>
      <c r="E220" s="82">
        <v>0.99</v>
      </c>
      <c r="F220" s="82">
        <v>0.38</v>
      </c>
      <c r="G220" s="82">
        <v>33.51</v>
      </c>
      <c r="H220" s="82">
        <v>18.39</v>
      </c>
      <c r="I220" s="82">
        <v>10.95</v>
      </c>
      <c r="J220" s="82">
        <v>4.63</v>
      </c>
      <c r="K220" s="82">
        <v>7.89</v>
      </c>
      <c r="L220" s="82">
        <v>3.27</v>
      </c>
      <c r="M220" s="82">
        <v>0.7</v>
      </c>
      <c r="N220" s="82">
        <v>0.85</v>
      </c>
      <c r="O220" s="82">
        <v>5.24</v>
      </c>
      <c r="P220" s="82">
        <v>-0.54</v>
      </c>
      <c r="Q220" s="82">
        <v>1.34</v>
      </c>
      <c r="R220" s="82">
        <v>12.66</v>
      </c>
      <c r="S220" s="82">
        <v>4.91</v>
      </c>
      <c r="T220" s="82">
        <v>10.71</v>
      </c>
      <c r="U220" s="82">
        <v>0.39</v>
      </c>
      <c r="V220" s="82">
        <v>0.61</v>
      </c>
      <c r="W220" s="82">
        <v>0.45</v>
      </c>
      <c r="X220" s="82">
        <v>16.29</v>
      </c>
      <c r="Y220" s="82">
        <v>34.44</v>
      </c>
      <c r="Z220" s="191">
        <v>2.337780145E7</v>
      </c>
      <c r="AA220" s="82">
        <v>7.81</v>
      </c>
      <c r="AB220" s="82">
        <v>0.99</v>
      </c>
      <c r="AC220" s="82">
        <v>-0.28</v>
      </c>
      <c r="AD220" s="191">
        <v>6.30194876928E9</v>
      </c>
    </row>
    <row r="221">
      <c r="A221" s="82" t="s">
        <v>273</v>
      </c>
      <c r="B221" s="82">
        <v>9.78</v>
      </c>
      <c r="C221" s="82">
        <v>2.2</v>
      </c>
      <c r="D221" s="82">
        <v>6.51</v>
      </c>
      <c r="E221" s="82">
        <v>0.95</v>
      </c>
      <c r="F221" s="82">
        <v>0.4</v>
      </c>
      <c r="G221" s="82">
        <v>22.37</v>
      </c>
      <c r="H221" s="82">
        <v>10.77</v>
      </c>
      <c r="I221" s="82">
        <v>7.08</v>
      </c>
      <c r="J221" s="82">
        <v>4.28</v>
      </c>
      <c r="K221" s="82">
        <v>6.41</v>
      </c>
      <c r="L221" s="82">
        <v>2.19</v>
      </c>
      <c r="M221" s="82">
        <v>0.49</v>
      </c>
      <c r="N221" s="82">
        <v>0.46</v>
      </c>
      <c r="O221" s="82">
        <v>20.74</v>
      </c>
      <c r="P221" s="82">
        <v>-0.64</v>
      </c>
      <c r="Q221" s="82">
        <v>1.05</v>
      </c>
      <c r="R221" s="82">
        <v>14.61</v>
      </c>
      <c r="S221" s="82">
        <v>6.15</v>
      </c>
      <c r="T221" s="82">
        <v>13.65</v>
      </c>
      <c r="U221" s="82">
        <v>0.42</v>
      </c>
      <c r="V221" s="82">
        <v>0.58</v>
      </c>
      <c r="W221" s="82">
        <v>0.87</v>
      </c>
      <c r="X221" s="82">
        <v>23.92</v>
      </c>
      <c r="Y221" s="82">
        <v>1.96</v>
      </c>
      <c r="Z221" s="191">
        <v>5108.55</v>
      </c>
      <c r="AA221" s="82">
        <v>10.28</v>
      </c>
      <c r="AB221" s="82">
        <v>1.5</v>
      </c>
      <c r="AC221" s="82">
        <v>-0.3</v>
      </c>
      <c r="AD221" s="191">
        <v>2.168625E8</v>
      </c>
    </row>
    <row r="222">
      <c r="A222" s="82" t="s">
        <v>274</v>
      </c>
      <c r="B222" s="82">
        <v>9.53</v>
      </c>
      <c r="C222" s="82">
        <v>2.48</v>
      </c>
      <c r="D222" s="82">
        <v>6.35</v>
      </c>
      <c r="E222" s="82">
        <v>0.93</v>
      </c>
      <c r="F222" s="82">
        <v>0.39</v>
      </c>
      <c r="G222" s="82">
        <v>22.37</v>
      </c>
      <c r="H222" s="82">
        <v>10.77</v>
      </c>
      <c r="I222" s="82">
        <v>7.08</v>
      </c>
      <c r="J222" s="82">
        <v>4.17</v>
      </c>
      <c r="K222" s="82">
        <v>6.41</v>
      </c>
      <c r="L222" s="82">
        <v>2.19</v>
      </c>
      <c r="M222" s="82">
        <v>0.49</v>
      </c>
      <c r="N222" s="82">
        <v>0.45</v>
      </c>
      <c r="O222" s="82">
        <v>20.21</v>
      </c>
      <c r="P222" s="82">
        <v>-0.62</v>
      </c>
      <c r="Q222" s="82">
        <v>1.05</v>
      </c>
      <c r="R222" s="82">
        <v>14.61</v>
      </c>
      <c r="S222" s="82">
        <v>6.15</v>
      </c>
      <c r="T222" s="82">
        <v>13.65</v>
      </c>
      <c r="U222" s="82">
        <v>0.42</v>
      </c>
      <c r="V222" s="82">
        <v>0.58</v>
      </c>
      <c r="W222" s="82">
        <v>0.87</v>
      </c>
      <c r="X222" s="82">
        <v>23.92</v>
      </c>
      <c r="Y222" s="82">
        <v>1.96</v>
      </c>
      <c r="Z222" s="191">
        <v>140342.2</v>
      </c>
      <c r="AA222" s="82">
        <v>10.28</v>
      </c>
      <c r="AB222" s="82">
        <v>1.5</v>
      </c>
      <c r="AC222" s="82">
        <v>-0.29</v>
      </c>
      <c r="AD222" s="191">
        <v>2.168625E8</v>
      </c>
    </row>
    <row r="223">
      <c r="A223" s="82" t="s">
        <v>275</v>
      </c>
      <c r="B223" s="82">
        <v>9.52</v>
      </c>
      <c r="C223" s="82">
        <v>0.88</v>
      </c>
      <c r="D223" s="82">
        <v>11.79</v>
      </c>
      <c r="E223" s="82">
        <v>2.4</v>
      </c>
      <c r="F223" s="82">
        <v>0.28</v>
      </c>
      <c r="G223" s="82">
        <v>37.28</v>
      </c>
      <c r="H223" s="82">
        <v>32.78</v>
      </c>
      <c r="I223" s="82">
        <v>6.92</v>
      </c>
      <c r="J223" s="82">
        <v>2.49</v>
      </c>
      <c r="K223" s="82">
        <v>7.33</v>
      </c>
      <c r="L223" s="82">
        <v>4.86</v>
      </c>
      <c r="M223" s="82">
        <v>4.68</v>
      </c>
      <c r="N223" s="82">
        <v>0.82</v>
      </c>
      <c r="O223" s="82">
        <v>-6.84</v>
      </c>
      <c r="P223" s="82">
        <v>-0.34</v>
      </c>
      <c r="Q223" s="82">
        <v>0.81</v>
      </c>
      <c r="R223" s="82">
        <v>20.34</v>
      </c>
      <c r="S223" s="82">
        <v>2.36</v>
      </c>
      <c r="T223" s="82">
        <v>10.51</v>
      </c>
      <c r="U223" s="82">
        <v>0.12</v>
      </c>
      <c r="V223" s="82">
        <v>0.87</v>
      </c>
      <c r="W223" s="82">
        <v>0.34</v>
      </c>
      <c r="X223" s="82">
        <v>14.6</v>
      </c>
      <c r="Y223" s="82">
        <v>7.38</v>
      </c>
      <c r="Z223" s="191">
        <v>3.17507994E7</v>
      </c>
      <c r="AA223" s="82">
        <v>3.96</v>
      </c>
      <c r="AB223" s="82">
        <v>0.8</v>
      </c>
      <c r="AC223" s="82">
        <v>0.04</v>
      </c>
      <c r="AD223" s="191">
        <v>6.53857836336E9</v>
      </c>
    </row>
    <row r="224">
      <c r="A224" s="82" t="s">
        <v>276</v>
      </c>
      <c r="B224" s="82">
        <v>90.25</v>
      </c>
      <c r="D224" s="82">
        <v>-9.87</v>
      </c>
      <c r="E224" s="82">
        <v>1.21</v>
      </c>
      <c r="F224" s="82">
        <v>0.62</v>
      </c>
      <c r="J224" s="82">
        <v>-17.12</v>
      </c>
      <c r="K224" s="82">
        <v>-17.09</v>
      </c>
      <c r="L224" s="82">
        <v>0.08</v>
      </c>
      <c r="M224" s="82">
        <v>-0.01</v>
      </c>
      <c r="O224" s="82">
        <v>174.62</v>
      </c>
      <c r="P224" s="82">
        <v>-0.62</v>
      </c>
      <c r="Q224" s="82">
        <v>2.97</v>
      </c>
      <c r="R224" s="82">
        <v>-12.28</v>
      </c>
      <c r="S224" s="82">
        <v>-6.29</v>
      </c>
      <c r="T224" s="82">
        <v>-7.36</v>
      </c>
      <c r="U224" s="82">
        <v>0.51</v>
      </c>
      <c r="V224" s="82">
        <v>0.49</v>
      </c>
      <c r="W224" s="82">
        <v>0.0</v>
      </c>
      <c r="AA224" s="82">
        <v>74.46</v>
      </c>
      <c r="AB224" s="82">
        <v>-9.14</v>
      </c>
      <c r="AC224" s="82">
        <v>0.14</v>
      </c>
      <c r="AD224" s="191">
        <v>1.7190894731E8</v>
      </c>
    </row>
    <row r="225">
      <c r="A225" s="82" t="s">
        <v>277</v>
      </c>
      <c r="B225" s="82">
        <v>90.74</v>
      </c>
      <c r="D225" s="82">
        <v>-9.92</v>
      </c>
      <c r="E225" s="82">
        <v>1.22</v>
      </c>
      <c r="F225" s="82">
        <v>0.62</v>
      </c>
      <c r="J225" s="82">
        <v>-17.21</v>
      </c>
      <c r="K225" s="82">
        <v>-17.09</v>
      </c>
      <c r="L225" s="82">
        <v>0.08</v>
      </c>
      <c r="M225" s="82">
        <v>-0.01</v>
      </c>
      <c r="O225" s="82">
        <v>175.57</v>
      </c>
      <c r="P225" s="82">
        <v>-0.63</v>
      </c>
      <c r="Q225" s="82">
        <v>2.97</v>
      </c>
      <c r="R225" s="82">
        <v>-12.28</v>
      </c>
      <c r="S225" s="82">
        <v>-6.29</v>
      </c>
      <c r="T225" s="82">
        <v>-7.36</v>
      </c>
      <c r="U225" s="82">
        <v>0.51</v>
      </c>
      <c r="V225" s="82">
        <v>0.49</v>
      </c>
      <c r="W225" s="82">
        <v>0.0</v>
      </c>
      <c r="AA225" s="82">
        <v>74.46</v>
      </c>
      <c r="AB225" s="82">
        <v>-9.14</v>
      </c>
      <c r="AC225" s="82">
        <v>0.14</v>
      </c>
      <c r="AD225" s="191">
        <v>1.7190894731E8</v>
      </c>
    </row>
    <row r="226">
      <c r="A226" s="82" t="s">
        <v>278</v>
      </c>
      <c r="B226" s="82">
        <v>294.77</v>
      </c>
      <c r="D226" s="82">
        <v>3.62</v>
      </c>
      <c r="E226" s="82">
        <v>1.87</v>
      </c>
      <c r="F226" s="82">
        <v>0.53</v>
      </c>
      <c r="G226" s="82">
        <v>51.75</v>
      </c>
      <c r="H226" s="82">
        <v>70.35</v>
      </c>
      <c r="I226" s="82">
        <v>52.14</v>
      </c>
      <c r="J226" s="82">
        <v>2.69</v>
      </c>
      <c r="K226" s="82">
        <v>3.96</v>
      </c>
      <c r="L226" s="82">
        <v>1.26</v>
      </c>
      <c r="M226" s="82">
        <v>0.88</v>
      </c>
      <c r="N226" s="82">
        <v>1.89</v>
      </c>
      <c r="O226" s="82">
        <v>5.17</v>
      </c>
      <c r="P226" s="82">
        <v>-0.69</v>
      </c>
      <c r="Q226" s="82">
        <v>1.74</v>
      </c>
      <c r="R226" s="82">
        <v>51.67</v>
      </c>
      <c r="S226" s="82">
        <v>14.56</v>
      </c>
      <c r="T226" s="82">
        <v>23.54</v>
      </c>
      <c r="U226" s="82">
        <v>0.28</v>
      </c>
      <c r="V226" s="82">
        <v>0.72</v>
      </c>
      <c r="W226" s="82">
        <v>0.28</v>
      </c>
      <c r="X226" s="82">
        <v>6.73</v>
      </c>
      <c r="Y226" s="82">
        <v>14.58</v>
      </c>
      <c r="AA226" s="82">
        <v>157.45</v>
      </c>
      <c r="AB226" s="82">
        <v>81.35</v>
      </c>
      <c r="AC226" s="82">
        <v>0.01</v>
      </c>
      <c r="AD226" s="191">
        <v>2.84051149976E9</v>
      </c>
    </row>
    <row r="227">
      <c r="A227" s="82" t="s">
        <v>279</v>
      </c>
      <c r="B227" s="82">
        <v>410.0</v>
      </c>
      <c r="D227" s="82">
        <v>5.04</v>
      </c>
      <c r="E227" s="82">
        <v>2.6</v>
      </c>
      <c r="F227" s="82">
        <v>0.73</v>
      </c>
      <c r="G227" s="82">
        <v>51.75</v>
      </c>
      <c r="H227" s="82">
        <v>70.35</v>
      </c>
      <c r="I227" s="82">
        <v>52.14</v>
      </c>
      <c r="J227" s="82">
        <v>3.74</v>
      </c>
      <c r="K227" s="82">
        <v>3.96</v>
      </c>
      <c r="L227" s="82">
        <v>1.26</v>
      </c>
      <c r="M227" s="82">
        <v>0.88</v>
      </c>
      <c r="N227" s="82">
        <v>2.63</v>
      </c>
      <c r="O227" s="82">
        <v>7.19</v>
      </c>
      <c r="P227" s="82">
        <v>-0.96</v>
      </c>
      <c r="Q227" s="82">
        <v>1.74</v>
      </c>
      <c r="R227" s="82">
        <v>51.67</v>
      </c>
      <c r="S227" s="82">
        <v>14.56</v>
      </c>
      <c r="T227" s="82">
        <v>23.54</v>
      </c>
      <c r="U227" s="82">
        <v>0.28</v>
      </c>
      <c r="V227" s="82">
        <v>0.72</v>
      </c>
      <c r="W227" s="82">
        <v>0.28</v>
      </c>
      <c r="X227" s="82">
        <v>6.73</v>
      </c>
      <c r="Y227" s="82">
        <v>14.58</v>
      </c>
      <c r="AA227" s="82">
        <v>157.45</v>
      </c>
      <c r="AB227" s="82">
        <v>81.35</v>
      </c>
      <c r="AC227" s="82">
        <v>0.01</v>
      </c>
      <c r="AD227" s="191">
        <v>2.84051149976E9</v>
      </c>
    </row>
    <row r="228">
      <c r="A228" s="82" t="s">
        <v>280</v>
      </c>
      <c r="B228" s="82">
        <v>44.58</v>
      </c>
      <c r="C228" s="82">
        <v>6.51</v>
      </c>
      <c r="D228" s="82">
        <v>10.79</v>
      </c>
      <c r="E228" s="82">
        <v>4.31</v>
      </c>
      <c r="F228" s="82">
        <v>0.92</v>
      </c>
      <c r="G228" s="82">
        <v>53.44</v>
      </c>
      <c r="H228" s="82">
        <v>56.36</v>
      </c>
      <c r="I228" s="82">
        <v>30.27</v>
      </c>
      <c r="J228" s="82">
        <v>5.79</v>
      </c>
      <c r="K228" s="82">
        <v>8.15</v>
      </c>
      <c r="L228" s="82">
        <v>2.35</v>
      </c>
      <c r="M228" s="82">
        <v>1.75</v>
      </c>
      <c r="N228" s="82">
        <v>3.27</v>
      </c>
      <c r="O228" s="82">
        <v>70.36</v>
      </c>
      <c r="P228" s="82">
        <v>-1.1</v>
      </c>
      <c r="Q228" s="82">
        <v>1.09</v>
      </c>
      <c r="R228" s="82">
        <v>39.97</v>
      </c>
      <c r="S228" s="82">
        <v>8.56</v>
      </c>
      <c r="T228" s="82">
        <v>19.59</v>
      </c>
      <c r="U228" s="82">
        <v>0.21</v>
      </c>
      <c r="V228" s="82">
        <v>0.76</v>
      </c>
      <c r="W228" s="82">
        <v>0.28</v>
      </c>
      <c r="X228" s="82">
        <v>11.18</v>
      </c>
      <c r="Y228" s="82">
        <v>10.97</v>
      </c>
      <c r="Z228" s="191">
        <v>6.705999065E7</v>
      </c>
      <c r="AA228" s="82">
        <v>10.34</v>
      </c>
      <c r="AB228" s="82">
        <v>4.13</v>
      </c>
      <c r="AC228" s="82">
        <v>0.13</v>
      </c>
      <c r="AD228" s="191">
        <v>3.63577400944E10</v>
      </c>
    </row>
    <row r="229">
      <c r="A229" s="82" t="s">
        <v>281</v>
      </c>
      <c r="B229" s="82">
        <v>33.5</v>
      </c>
      <c r="C229" s="82">
        <v>4.15</v>
      </c>
      <c r="D229" s="82">
        <v>7.45</v>
      </c>
      <c r="E229" s="82">
        <v>2.38</v>
      </c>
      <c r="F229" s="82">
        <v>0.59</v>
      </c>
      <c r="G229" s="82">
        <v>26.01</v>
      </c>
      <c r="H229" s="82">
        <v>20.57</v>
      </c>
      <c r="I229" s="82">
        <v>10.08</v>
      </c>
      <c r="J229" s="82">
        <v>3.65</v>
      </c>
      <c r="K229" s="82">
        <v>6.52</v>
      </c>
      <c r="L229" s="82">
        <v>2.61</v>
      </c>
      <c r="M229" s="82">
        <v>1.7</v>
      </c>
      <c r="N229" s="82">
        <v>0.75</v>
      </c>
      <c r="O229" s="82">
        <v>14.42</v>
      </c>
      <c r="P229" s="82">
        <v>-0.85</v>
      </c>
      <c r="Q229" s="82">
        <v>1.15</v>
      </c>
      <c r="R229" s="82">
        <v>31.95</v>
      </c>
      <c r="S229" s="82">
        <v>7.88</v>
      </c>
      <c r="T229" s="82">
        <v>16.7</v>
      </c>
      <c r="U229" s="82">
        <v>0.25</v>
      </c>
      <c r="V229" s="82">
        <v>0.75</v>
      </c>
      <c r="W229" s="82">
        <v>0.78</v>
      </c>
      <c r="X229" s="82">
        <v>7.62</v>
      </c>
      <c r="Y229" s="82">
        <v>18.39</v>
      </c>
      <c r="Z229" s="191">
        <v>5025.5</v>
      </c>
      <c r="AA229" s="82">
        <v>14.07</v>
      </c>
      <c r="AB229" s="82">
        <v>4.5</v>
      </c>
      <c r="AC229" s="82">
        <v>-0.36</v>
      </c>
      <c r="AD229" s="191">
        <v>6.96059430823E9</v>
      </c>
    </row>
    <row r="230">
      <c r="A230" s="82" t="s">
        <v>282</v>
      </c>
      <c r="B230" s="82">
        <v>38.11</v>
      </c>
      <c r="C230" s="82">
        <v>4.01</v>
      </c>
      <c r="D230" s="82">
        <v>8.48</v>
      </c>
      <c r="E230" s="82">
        <v>2.71</v>
      </c>
      <c r="F230" s="82">
        <v>0.67</v>
      </c>
      <c r="G230" s="82">
        <v>26.01</v>
      </c>
      <c r="H230" s="82">
        <v>20.57</v>
      </c>
      <c r="I230" s="82">
        <v>10.08</v>
      </c>
      <c r="J230" s="82">
        <v>4.15</v>
      </c>
      <c r="K230" s="82">
        <v>6.52</v>
      </c>
      <c r="L230" s="82">
        <v>2.61</v>
      </c>
      <c r="M230" s="82">
        <v>1.7</v>
      </c>
      <c r="N230" s="82">
        <v>0.85</v>
      </c>
      <c r="O230" s="82">
        <v>16.41</v>
      </c>
      <c r="P230" s="82">
        <v>-0.97</v>
      </c>
      <c r="Q230" s="82">
        <v>1.15</v>
      </c>
      <c r="R230" s="82">
        <v>31.95</v>
      </c>
      <c r="S230" s="82">
        <v>7.88</v>
      </c>
      <c r="T230" s="82">
        <v>16.7</v>
      </c>
      <c r="U230" s="82">
        <v>0.25</v>
      </c>
      <c r="V230" s="82">
        <v>0.75</v>
      </c>
      <c r="W230" s="82">
        <v>0.78</v>
      </c>
      <c r="X230" s="82">
        <v>7.62</v>
      </c>
      <c r="Y230" s="82">
        <v>18.39</v>
      </c>
      <c r="Z230" s="191">
        <v>19349.92</v>
      </c>
      <c r="AA230" s="82">
        <v>14.07</v>
      </c>
      <c r="AB230" s="82">
        <v>4.5</v>
      </c>
      <c r="AC230" s="82">
        <v>-0.41</v>
      </c>
      <c r="AD230" s="191">
        <v>6.96059430823E9</v>
      </c>
    </row>
    <row r="231">
      <c r="A231" s="82" t="s">
        <v>283</v>
      </c>
      <c r="B231" s="82">
        <v>19.11</v>
      </c>
      <c r="D231" s="82">
        <v>24.46</v>
      </c>
      <c r="E231" s="82">
        <v>2.66</v>
      </c>
      <c r="F231" s="82">
        <v>1.07</v>
      </c>
      <c r="G231" s="82">
        <v>11.39</v>
      </c>
      <c r="H231" s="82">
        <v>2.82</v>
      </c>
      <c r="I231" s="82">
        <v>2.53</v>
      </c>
      <c r="J231" s="82">
        <v>21.94</v>
      </c>
      <c r="K231" s="82">
        <v>38.76</v>
      </c>
      <c r="L231" s="82">
        <v>5.75</v>
      </c>
      <c r="M231" s="82">
        <v>0.7</v>
      </c>
      <c r="N231" s="82">
        <v>0.62</v>
      </c>
      <c r="O231" s="82">
        <v>3.75</v>
      </c>
      <c r="P231" s="82">
        <v>-2.6</v>
      </c>
      <c r="Q231" s="82">
        <v>1.94</v>
      </c>
      <c r="R231" s="82">
        <v>10.87</v>
      </c>
      <c r="S231" s="82">
        <v>4.36</v>
      </c>
      <c r="T231" s="82">
        <v>4.38</v>
      </c>
      <c r="U231" s="82">
        <v>0.4</v>
      </c>
      <c r="V231" s="82">
        <v>0.6</v>
      </c>
      <c r="W231" s="82">
        <v>1.72</v>
      </c>
      <c r="X231" s="82">
        <v>1.48</v>
      </c>
      <c r="AA231" s="82">
        <v>7.19</v>
      </c>
      <c r="AB231" s="82">
        <v>0.78</v>
      </c>
      <c r="AC231" s="82">
        <v>-0.35</v>
      </c>
      <c r="AD231" s="191">
        <v>9.050519163E8</v>
      </c>
    </row>
    <row r="232">
      <c r="A232" s="82" t="s">
        <v>284</v>
      </c>
      <c r="B232" s="82">
        <v>36.99</v>
      </c>
      <c r="D232" s="82">
        <v>47.34</v>
      </c>
      <c r="E232" s="82">
        <v>5.15</v>
      </c>
      <c r="F232" s="82">
        <v>2.07</v>
      </c>
      <c r="G232" s="82">
        <v>11.39</v>
      </c>
      <c r="H232" s="82">
        <v>2.82</v>
      </c>
      <c r="I232" s="82">
        <v>2.53</v>
      </c>
      <c r="J232" s="82">
        <v>42.48</v>
      </c>
      <c r="K232" s="82">
        <v>38.76</v>
      </c>
      <c r="L232" s="82">
        <v>5.75</v>
      </c>
      <c r="M232" s="82">
        <v>0.7</v>
      </c>
      <c r="N232" s="82">
        <v>1.2</v>
      </c>
      <c r="O232" s="82">
        <v>7.26</v>
      </c>
      <c r="P232" s="82">
        <v>-5.02</v>
      </c>
      <c r="Q232" s="82">
        <v>1.94</v>
      </c>
      <c r="R232" s="82">
        <v>10.87</v>
      </c>
      <c r="S232" s="82">
        <v>4.36</v>
      </c>
      <c r="T232" s="82">
        <v>4.38</v>
      </c>
      <c r="U232" s="82">
        <v>0.4</v>
      </c>
      <c r="V232" s="82">
        <v>0.6</v>
      </c>
      <c r="W232" s="82">
        <v>1.72</v>
      </c>
      <c r="X232" s="82">
        <v>1.48</v>
      </c>
      <c r="AA232" s="82">
        <v>7.19</v>
      </c>
      <c r="AB232" s="82">
        <v>0.78</v>
      </c>
      <c r="AC232" s="82">
        <v>-0.68</v>
      </c>
      <c r="AD232" s="191">
        <v>9.050519163E8</v>
      </c>
    </row>
    <row r="233">
      <c r="A233" s="82" t="s">
        <v>1698</v>
      </c>
      <c r="B233" s="82">
        <v>41.9</v>
      </c>
      <c r="C233" s="82">
        <v>0.53</v>
      </c>
      <c r="D233" s="82">
        <v>30.24</v>
      </c>
      <c r="E233" s="82">
        <v>0.86</v>
      </c>
      <c r="F233" s="82">
        <v>0.35</v>
      </c>
      <c r="G233" s="82">
        <v>49.99</v>
      </c>
      <c r="H233" s="82">
        <v>39.25</v>
      </c>
      <c r="I233" s="82">
        <v>9.09</v>
      </c>
      <c r="J233" s="82">
        <v>7.0</v>
      </c>
      <c r="K233" s="82">
        <v>9.89</v>
      </c>
      <c r="L233" s="82">
        <v>2.83</v>
      </c>
      <c r="M233" s="82">
        <v>0.35</v>
      </c>
      <c r="N233" s="82">
        <v>2.75</v>
      </c>
      <c r="O233" s="82">
        <v>3.57</v>
      </c>
      <c r="P233" s="82">
        <v>-0.44</v>
      </c>
      <c r="Q233" s="82">
        <v>1.88</v>
      </c>
      <c r="R233" s="82">
        <v>2.83</v>
      </c>
      <c r="S233" s="82">
        <v>1.16</v>
      </c>
      <c r="T233" s="82">
        <v>7.24</v>
      </c>
      <c r="U233" s="82">
        <v>0.41</v>
      </c>
      <c r="V233" s="82">
        <v>0.59</v>
      </c>
      <c r="W233" s="82">
        <v>0.13</v>
      </c>
      <c r="X233" s="82">
        <v>2.97</v>
      </c>
      <c r="Z233" s="191">
        <v>2.0974044535E8</v>
      </c>
      <c r="AA233" s="82">
        <v>49.03</v>
      </c>
      <c r="AB233" s="82">
        <v>1.39</v>
      </c>
      <c r="AC233" s="82">
        <v>-0.95</v>
      </c>
      <c r="AD233" s="191">
        <v>9.761675302768E10</v>
      </c>
    </row>
    <row r="234">
      <c r="A234" s="82" t="s">
        <v>1726</v>
      </c>
      <c r="B234" s="82">
        <v>85.0</v>
      </c>
      <c r="C234" s="82">
        <v>2.41</v>
      </c>
      <c r="D234" s="82">
        <v>61.25</v>
      </c>
      <c r="E234" s="82">
        <v>1.73</v>
      </c>
      <c r="F234" s="82">
        <v>0.71</v>
      </c>
      <c r="G234" s="82">
        <v>49.99</v>
      </c>
      <c r="H234" s="82">
        <v>39.25</v>
      </c>
      <c r="I234" s="82">
        <v>9.09</v>
      </c>
      <c r="J234" s="82">
        <v>14.18</v>
      </c>
      <c r="K234" s="82">
        <v>9.89</v>
      </c>
      <c r="L234" s="82">
        <v>2.83</v>
      </c>
      <c r="M234" s="82">
        <v>0.35</v>
      </c>
      <c r="N234" s="82">
        <v>5.56</v>
      </c>
      <c r="O234" s="82">
        <v>7.23</v>
      </c>
      <c r="P234" s="82">
        <v>-0.9</v>
      </c>
      <c r="Q234" s="82">
        <v>1.88</v>
      </c>
      <c r="R234" s="82">
        <v>2.83</v>
      </c>
      <c r="S234" s="82">
        <v>1.16</v>
      </c>
      <c r="T234" s="82">
        <v>7.24</v>
      </c>
      <c r="U234" s="82">
        <v>0.41</v>
      </c>
      <c r="V234" s="82">
        <v>0.59</v>
      </c>
      <c r="W234" s="82">
        <v>0.13</v>
      </c>
      <c r="X234" s="82">
        <v>2.97</v>
      </c>
      <c r="Z234" s="191">
        <v>8500.0</v>
      </c>
      <c r="AA234" s="82">
        <v>49.03</v>
      </c>
      <c r="AB234" s="82">
        <v>1.39</v>
      </c>
      <c r="AC234" s="82">
        <v>-1.93</v>
      </c>
      <c r="AD234" s="191">
        <v>9.761675302768E10</v>
      </c>
    </row>
    <row r="235">
      <c r="A235" s="82" t="s">
        <v>1702</v>
      </c>
      <c r="B235" s="82">
        <v>46.32</v>
      </c>
      <c r="C235" s="82">
        <v>3.22</v>
      </c>
      <c r="D235" s="82">
        <v>33.4</v>
      </c>
      <c r="E235" s="82">
        <v>0.95</v>
      </c>
      <c r="F235" s="82">
        <v>0.39</v>
      </c>
      <c r="G235" s="82">
        <v>49.99</v>
      </c>
      <c r="H235" s="82">
        <v>39.25</v>
      </c>
      <c r="I235" s="82">
        <v>9.09</v>
      </c>
      <c r="J235" s="82">
        <v>7.73</v>
      </c>
      <c r="K235" s="82">
        <v>9.89</v>
      </c>
      <c r="L235" s="82">
        <v>2.83</v>
      </c>
      <c r="M235" s="82">
        <v>0.35</v>
      </c>
      <c r="N235" s="82">
        <v>3.03</v>
      </c>
      <c r="O235" s="82">
        <v>3.94</v>
      </c>
      <c r="P235" s="82">
        <v>-0.49</v>
      </c>
      <c r="Q235" s="82">
        <v>1.88</v>
      </c>
      <c r="R235" s="82">
        <v>2.83</v>
      </c>
      <c r="S235" s="82">
        <v>1.16</v>
      </c>
      <c r="T235" s="82">
        <v>7.24</v>
      </c>
      <c r="U235" s="82">
        <v>0.41</v>
      </c>
      <c r="V235" s="82">
        <v>0.59</v>
      </c>
      <c r="W235" s="82">
        <v>0.13</v>
      </c>
      <c r="X235" s="82">
        <v>2.97</v>
      </c>
      <c r="Z235" s="191">
        <v>4.274007235E7</v>
      </c>
      <c r="AA235" s="82">
        <v>49.03</v>
      </c>
      <c r="AB235" s="82">
        <v>1.39</v>
      </c>
      <c r="AC235" s="82">
        <v>-1.05</v>
      </c>
      <c r="AD235" s="191">
        <v>9.761675302768E10</v>
      </c>
    </row>
    <row r="236">
      <c r="A236" s="82" t="s">
        <v>285</v>
      </c>
      <c r="B236" s="82">
        <v>14.75</v>
      </c>
      <c r="D236" s="82">
        <v>35.65</v>
      </c>
      <c r="E236" s="82">
        <v>2.59</v>
      </c>
      <c r="F236" s="82">
        <v>0.88</v>
      </c>
      <c r="G236" s="82">
        <v>45.4</v>
      </c>
      <c r="H236" s="82">
        <v>20.78</v>
      </c>
      <c r="I236" s="82">
        <v>6.65</v>
      </c>
      <c r="J236" s="82">
        <v>11.41</v>
      </c>
      <c r="K236" s="82">
        <v>14.58</v>
      </c>
      <c r="L236" s="82">
        <v>3.17</v>
      </c>
      <c r="M236" s="82">
        <v>0.72</v>
      </c>
      <c r="N236" s="82">
        <v>2.37</v>
      </c>
      <c r="O236" s="82">
        <v>73.4</v>
      </c>
      <c r="P236" s="82">
        <v>-1.21</v>
      </c>
      <c r="Q236" s="82">
        <v>1.05</v>
      </c>
      <c r="R236" s="82">
        <v>7.28</v>
      </c>
      <c r="S236" s="82">
        <v>2.48</v>
      </c>
      <c r="T236" s="82">
        <v>8.73</v>
      </c>
      <c r="U236" s="82">
        <v>0.34</v>
      </c>
      <c r="V236" s="82">
        <v>0.58</v>
      </c>
      <c r="W236" s="82">
        <v>0.37</v>
      </c>
      <c r="X236" s="82">
        <v>37.68</v>
      </c>
      <c r="Z236" s="191">
        <v>890383.75</v>
      </c>
      <c r="AA236" s="82">
        <v>5.72</v>
      </c>
      <c r="AB236" s="82">
        <v>0.42</v>
      </c>
      <c r="AC236" s="82">
        <v>-0.04</v>
      </c>
      <c r="AD236" s="191">
        <v>2.07595905699E9</v>
      </c>
    </row>
    <row r="237">
      <c r="A237" s="82" t="s">
        <v>286</v>
      </c>
      <c r="B237" s="82">
        <v>8.31</v>
      </c>
      <c r="D237" s="82">
        <v>1.04</v>
      </c>
      <c r="E237" s="82">
        <v>0.68</v>
      </c>
      <c r="F237" s="82">
        <v>0.06</v>
      </c>
      <c r="G237" s="82">
        <v>24.93</v>
      </c>
      <c r="H237" s="82">
        <v>19.27</v>
      </c>
      <c r="I237" s="82">
        <v>8.07</v>
      </c>
      <c r="J237" s="82">
        <v>0.43</v>
      </c>
      <c r="K237" s="82">
        <v>2.03</v>
      </c>
      <c r="L237" s="82">
        <v>1.6</v>
      </c>
      <c r="M237" s="82">
        <v>2.51</v>
      </c>
      <c r="N237" s="82">
        <v>0.08</v>
      </c>
      <c r="O237" s="82">
        <v>-0.95</v>
      </c>
      <c r="P237" s="82">
        <v>-0.08</v>
      </c>
      <c r="Q237" s="82">
        <v>0.81</v>
      </c>
      <c r="R237" s="82">
        <v>65.85</v>
      </c>
      <c r="S237" s="82">
        <v>5.41</v>
      </c>
      <c r="T237" s="82">
        <v>33.14</v>
      </c>
      <c r="U237" s="82">
        <v>0.08</v>
      </c>
      <c r="V237" s="82">
        <v>0.92</v>
      </c>
      <c r="W237" s="82">
        <v>0.67</v>
      </c>
      <c r="X237" s="82">
        <v>7.49</v>
      </c>
      <c r="AA237" s="82">
        <v>12.16</v>
      </c>
      <c r="AB237" s="82">
        <v>8.0</v>
      </c>
      <c r="AC237" s="82">
        <v>0.07</v>
      </c>
      <c r="AD237" s="191">
        <v>1.64094962322E9</v>
      </c>
    </row>
    <row r="238">
      <c r="A238" s="82" t="s">
        <v>287</v>
      </c>
      <c r="B238" s="82">
        <v>25.35</v>
      </c>
      <c r="C238" s="82">
        <v>7.12</v>
      </c>
      <c r="D238" s="82">
        <v>10.14</v>
      </c>
      <c r="E238" s="82">
        <v>0.81</v>
      </c>
      <c r="F238" s="82">
        <v>0.46</v>
      </c>
      <c r="G238" s="82">
        <v>17.63</v>
      </c>
      <c r="H238" s="82">
        <v>2.25</v>
      </c>
      <c r="I238" s="82">
        <v>15.31</v>
      </c>
      <c r="J238" s="82">
        <v>69.0</v>
      </c>
      <c r="K238" s="82">
        <v>90.33</v>
      </c>
      <c r="L238" s="82">
        <v>-33.67</v>
      </c>
      <c r="M238" s="82">
        <v>-0.39</v>
      </c>
      <c r="N238" s="82">
        <v>1.55</v>
      </c>
      <c r="O238" s="82">
        <v>1.19</v>
      </c>
      <c r="P238" s="82">
        <v>-0.83</v>
      </c>
      <c r="Q238" s="82">
        <v>7.07</v>
      </c>
      <c r="R238" s="82">
        <v>7.97</v>
      </c>
      <c r="S238" s="82">
        <v>4.51</v>
      </c>
      <c r="T238" s="82">
        <v>1.06</v>
      </c>
      <c r="U238" s="82">
        <v>0.57</v>
      </c>
      <c r="V238" s="82">
        <v>0.43</v>
      </c>
      <c r="W238" s="82">
        <v>0.29</v>
      </c>
      <c r="X238" s="82">
        <v>20.52</v>
      </c>
      <c r="Y238" s="82">
        <v>-4.97</v>
      </c>
      <c r="AA238" s="82">
        <v>31.37</v>
      </c>
      <c r="AB238" s="82">
        <v>2.5</v>
      </c>
      <c r="AC238" s="82">
        <v>-0.9</v>
      </c>
      <c r="AD238" s="191">
        <v>1.68326291838E9</v>
      </c>
    </row>
    <row r="239">
      <c r="A239" s="82" t="s">
        <v>288</v>
      </c>
      <c r="B239" s="82">
        <v>58.92</v>
      </c>
      <c r="C239" s="82">
        <v>3.37</v>
      </c>
      <c r="D239" s="82">
        <v>23.57</v>
      </c>
      <c r="E239" s="82">
        <v>1.88</v>
      </c>
      <c r="F239" s="82">
        <v>1.06</v>
      </c>
      <c r="G239" s="82">
        <v>17.63</v>
      </c>
      <c r="H239" s="82">
        <v>2.25</v>
      </c>
      <c r="I239" s="82">
        <v>15.31</v>
      </c>
      <c r="J239" s="82">
        <v>160.36</v>
      </c>
      <c r="K239" s="82">
        <v>90.33</v>
      </c>
      <c r="L239" s="82">
        <v>-33.67</v>
      </c>
      <c r="M239" s="82">
        <v>-0.39</v>
      </c>
      <c r="N239" s="82">
        <v>3.61</v>
      </c>
      <c r="O239" s="82">
        <v>2.76</v>
      </c>
      <c r="P239" s="82">
        <v>-1.93</v>
      </c>
      <c r="Q239" s="82">
        <v>7.07</v>
      </c>
      <c r="R239" s="82">
        <v>7.97</v>
      </c>
      <c r="S239" s="82">
        <v>4.51</v>
      </c>
      <c r="T239" s="82">
        <v>1.06</v>
      </c>
      <c r="U239" s="82">
        <v>0.57</v>
      </c>
      <c r="V239" s="82">
        <v>0.43</v>
      </c>
      <c r="W239" s="82">
        <v>0.29</v>
      </c>
      <c r="X239" s="82">
        <v>20.52</v>
      </c>
      <c r="Y239" s="82">
        <v>-4.97</v>
      </c>
      <c r="Z239" s="191">
        <v>247851.4</v>
      </c>
      <c r="AA239" s="82">
        <v>31.37</v>
      </c>
      <c r="AB239" s="82">
        <v>2.5</v>
      </c>
      <c r="AC239" s="82">
        <v>-2.08</v>
      </c>
      <c r="AD239" s="191">
        <v>1.68326291838E9</v>
      </c>
    </row>
    <row r="240">
      <c r="A240" s="82" t="s">
        <v>1704</v>
      </c>
      <c r="B240" s="82">
        <v>21.84</v>
      </c>
      <c r="D240" s="82">
        <v>-395.42</v>
      </c>
      <c r="E240" s="82">
        <v>1.27</v>
      </c>
      <c r="F240" s="82">
        <v>0.31</v>
      </c>
      <c r="G240" s="82">
        <v>18.0</v>
      </c>
      <c r="H240" s="82">
        <v>4.64</v>
      </c>
      <c r="I240" s="82">
        <v>-0.15</v>
      </c>
      <c r="J240" s="82">
        <v>12.98</v>
      </c>
      <c r="K240" s="82">
        <v>18.03</v>
      </c>
      <c r="L240" s="82">
        <v>5.16</v>
      </c>
      <c r="M240" s="82">
        <v>0.5</v>
      </c>
      <c r="N240" s="82">
        <v>0.6</v>
      </c>
      <c r="O240" s="82">
        <v>1.39</v>
      </c>
      <c r="P240" s="82">
        <v>-0.71</v>
      </c>
      <c r="Q240" s="82">
        <v>1.65</v>
      </c>
      <c r="R240" s="82">
        <v>-0.32</v>
      </c>
      <c r="S240" s="82">
        <v>-0.08</v>
      </c>
      <c r="T240" s="82">
        <v>3.22</v>
      </c>
      <c r="U240" s="82">
        <v>0.24</v>
      </c>
      <c r="V240" s="82">
        <v>0.73</v>
      </c>
      <c r="W240" s="82">
        <v>0.51</v>
      </c>
      <c r="X240" s="82">
        <v>4.54</v>
      </c>
      <c r="Z240" s="191">
        <v>1.8748478735E8</v>
      </c>
      <c r="AA240" s="82">
        <v>17.23</v>
      </c>
      <c r="AB240" s="82">
        <v>-0.06</v>
      </c>
      <c r="AC240" s="82">
        <v>4.11</v>
      </c>
      <c r="AD240" s="191">
        <v>1.601625890172E10</v>
      </c>
    </row>
    <row r="241">
      <c r="A241" s="82" t="s">
        <v>290</v>
      </c>
      <c r="B241" s="82">
        <v>18.96</v>
      </c>
      <c r="C241" s="82">
        <v>0.79</v>
      </c>
      <c r="D241" s="82">
        <v>73.11</v>
      </c>
      <c r="E241" s="82">
        <v>1.3</v>
      </c>
      <c r="F241" s="82">
        <v>0.62</v>
      </c>
      <c r="G241" s="82">
        <v>36.94</v>
      </c>
      <c r="H241" s="82">
        <v>15.75</v>
      </c>
      <c r="I241" s="82">
        <v>4.27</v>
      </c>
      <c r="J241" s="82">
        <v>19.83</v>
      </c>
      <c r="K241" s="82">
        <v>22.3</v>
      </c>
      <c r="L241" s="82">
        <v>2.49</v>
      </c>
      <c r="M241" s="82">
        <v>0.16</v>
      </c>
      <c r="N241" s="82">
        <v>3.12</v>
      </c>
      <c r="O241" s="82">
        <v>4.87</v>
      </c>
      <c r="P241" s="82">
        <v>-0.88</v>
      </c>
      <c r="Q241" s="82">
        <v>1.77</v>
      </c>
      <c r="R241" s="82">
        <v>1.78</v>
      </c>
      <c r="S241" s="82">
        <v>0.85</v>
      </c>
      <c r="T241" s="82">
        <v>3.15</v>
      </c>
      <c r="U241" s="82">
        <v>0.47</v>
      </c>
      <c r="V241" s="82">
        <v>0.53</v>
      </c>
      <c r="W241" s="82">
        <v>0.2</v>
      </c>
      <c r="X241" s="82">
        <v>34.1</v>
      </c>
      <c r="Y241" s="82">
        <v>-28.0</v>
      </c>
      <c r="Z241" s="191">
        <v>4.369231985E7</v>
      </c>
      <c r="AA241" s="82">
        <v>14.58</v>
      </c>
      <c r="AB241" s="82">
        <v>0.26</v>
      </c>
      <c r="AC241" s="82">
        <v>-0.79</v>
      </c>
      <c r="AD241" s="191">
        <v>5.050331195E9</v>
      </c>
    </row>
    <row r="242">
      <c r="A242" s="82" t="s">
        <v>291</v>
      </c>
      <c r="B242" s="82">
        <v>24.08</v>
      </c>
      <c r="C242" s="82">
        <v>1.12</v>
      </c>
      <c r="D242" s="82">
        <v>11.69</v>
      </c>
      <c r="E242" s="82">
        <v>1.29</v>
      </c>
      <c r="F242" s="82">
        <v>0.38</v>
      </c>
      <c r="G242" s="82">
        <v>30.72</v>
      </c>
      <c r="H242" s="82">
        <v>20.25</v>
      </c>
      <c r="I242" s="82">
        <v>6.59</v>
      </c>
      <c r="J242" s="82">
        <v>3.81</v>
      </c>
      <c r="K242" s="82">
        <v>6.4</v>
      </c>
      <c r="L242" s="82">
        <v>2.6</v>
      </c>
      <c r="M242" s="82">
        <v>0.88</v>
      </c>
      <c r="N242" s="82">
        <v>0.77</v>
      </c>
      <c r="O242" s="82">
        <v>-9.12</v>
      </c>
      <c r="P242" s="82">
        <v>-0.57</v>
      </c>
      <c r="Q242" s="82">
        <v>0.89</v>
      </c>
      <c r="R242" s="82">
        <v>11.05</v>
      </c>
      <c r="S242" s="82">
        <v>3.27</v>
      </c>
      <c r="T242" s="82">
        <v>12.29</v>
      </c>
      <c r="U242" s="82">
        <v>0.3</v>
      </c>
      <c r="V242" s="82">
        <v>0.67</v>
      </c>
      <c r="W242" s="82">
        <v>0.5</v>
      </c>
      <c r="X242" s="82">
        <v>6.98</v>
      </c>
      <c r="Y242" s="82">
        <v>14.37</v>
      </c>
      <c r="Z242" s="191">
        <v>2.766615779E7</v>
      </c>
      <c r="AA242" s="82">
        <v>18.65</v>
      </c>
      <c r="AB242" s="82">
        <v>2.06</v>
      </c>
      <c r="AC242" s="82">
        <v>-0.25</v>
      </c>
      <c r="AD242" s="191">
        <v>1.399445965344E10</v>
      </c>
    </row>
    <row r="243">
      <c r="A243" s="82" t="s">
        <v>292</v>
      </c>
      <c r="B243" s="82">
        <v>13.32</v>
      </c>
      <c r="D243" s="82">
        <v>63.47</v>
      </c>
      <c r="E243" s="82">
        <v>1.63</v>
      </c>
      <c r="F243" s="82">
        <v>0.43</v>
      </c>
      <c r="G243" s="82">
        <v>35.96</v>
      </c>
      <c r="H243" s="82">
        <v>23.06</v>
      </c>
      <c r="I243" s="82">
        <v>3.43</v>
      </c>
      <c r="J243" s="82">
        <v>9.44</v>
      </c>
      <c r="K243" s="82">
        <v>16.63</v>
      </c>
      <c r="L243" s="82">
        <v>7.2</v>
      </c>
      <c r="M243" s="82">
        <v>1.24</v>
      </c>
      <c r="N243" s="82">
        <v>2.18</v>
      </c>
      <c r="O243" s="82">
        <v>11.97</v>
      </c>
      <c r="P243" s="82">
        <v>-0.56</v>
      </c>
      <c r="Q243" s="82">
        <v>1.18</v>
      </c>
      <c r="R243" s="82">
        <v>2.56</v>
      </c>
      <c r="S243" s="82">
        <v>0.68</v>
      </c>
      <c r="T243" s="82">
        <v>5.45</v>
      </c>
      <c r="U243" s="82">
        <v>0.26</v>
      </c>
      <c r="V243" s="82">
        <v>0.69</v>
      </c>
      <c r="W243" s="82">
        <v>0.2</v>
      </c>
      <c r="X243" s="82">
        <v>17.63</v>
      </c>
      <c r="Y243" s="82">
        <v>28.28</v>
      </c>
      <c r="Z243" s="191">
        <v>8.18930291E7</v>
      </c>
      <c r="AA243" s="82">
        <v>8.17</v>
      </c>
      <c r="AB243" s="82">
        <v>0.21</v>
      </c>
      <c r="AC243" s="82">
        <v>-0.92</v>
      </c>
      <c r="AD243" s="191">
        <v>2.104312117984E10</v>
      </c>
    </row>
    <row r="244">
      <c r="A244" s="82" t="s">
        <v>293</v>
      </c>
      <c r="B244" s="82">
        <v>52.3</v>
      </c>
      <c r="C244" s="82">
        <v>2.86</v>
      </c>
      <c r="D244" s="82">
        <v>12.65</v>
      </c>
      <c r="E244" s="82">
        <v>1.77</v>
      </c>
      <c r="F244" s="82">
        <v>0.33</v>
      </c>
      <c r="G244" s="82">
        <v>27.18</v>
      </c>
      <c r="H244" s="82">
        <v>21.15</v>
      </c>
      <c r="I244" s="82">
        <v>6.23</v>
      </c>
      <c r="J244" s="82">
        <v>3.72</v>
      </c>
      <c r="K244" s="82">
        <v>8.17</v>
      </c>
      <c r="L244" s="82">
        <v>4.44</v>
      </c>
      <c r="M244" s="82">
        <v>2.11</v>
      </c>
      <c r="N244" s="82">
        <v>0.79</v>
      </c>
      <c r="O244" s="82">
        <v>-56.97</v>
      </c>
      <c r="P244" s="82">
        <v>-0.43</v>
      </c>
      <c r="Q244" s="82">
        <v>0.98</v>
      </c>
      <c r="R244" s="82">
        <v>14.02</v>
      </c>
      <c r="S244" s="82">
        <v>2.59</v>
      </c>
      <c r="T244" s="82">
        <v>11.08</v>
      </c>
      <c r="U244" s="82">
        <v>0.18</v>
      </c>
      <c r="V244" s="82">
        <v>0.77</v>
      </c>
      <c r="W244" s="82">
        <v>0.42</v>
      </c>
      <c r="X244" s="82">
        <v>14.21</v>
      </c>
      <c r="Y244" s="82">
        <v>24.77</v>
      </c>
      <c r="Z244" s="191">
        <v>1.281088304E8</v>
      </c>
      <c r="AA244" s="82">
        <v>29.54</v>
      </c>
      <c r="AB244" s="82">
        <v>4.14</v>
      </c>
      <c r="AC244" s="82">
        <v>-0.5</v>
      </c>
      <c r="AD244" s="191">
        <v>2.13900178046E10</v>
      </c>
    </row>
    <row r="245">
      <c r="A245" s="82" t="s">
        <v>294</v>
      </c>
      <c r="B245" s="82">
        <v>17.72</v>
      </c>
      <c r="C245" s="82">
        <v>1.69</v>
      </c>
      <c r="D245" s="82">
        <v>21.39</v>
      </c>
      <c r="E245" s="82">
        <v>3.0</v>
      </c>
      <c r="F245" s="82">
        <v>0.55</v>
      </c>
      <c r="G245" s="82">
        <v>27.18</v>
      </c>
      <c r="H245" s="82">
        <v>21.15</v>
      </c>
      <c r="I245" s="82">
        <v>6.23</v>
      </c>
      <c r="J245" s="82">
        <v>6.3</v>
      </c>
      <c r="K245" s="82">
        <v>8.17</v>
      </c>
      <c r="L245" s="82">
        <v>4.44</v>
      </c>
      <c r="M245" s="82">
        <v>2.11</v>
      </c>
      <c r="N245" s="82">
        <v>1.33</v>
      </c>
      <c r="O245" s="82">
        <v>-96.34</v>
      </c>
      <c r="P245" s="82">
        <v>-0.72</v>
      </c>
      <c r="Q245" s="82">
        <v>0.98</v>
      </c>
      <c r="R245" s="82">
        <v>14.02</v>
      </c>
      <c r="S245" s="82">
        <v>2.59</v>
      </c>
      <c r="T245" s="82">
        <v>11.08</v>
      </c>
      <c r="U245" s="82">
        <v>0.18</v>
      </c>
      <c r="V245" s="82">
        <v>0.77</v>
      </c>
      <c r="W245" s="82">
        <v>0.42</v>
      </c>
      <c r="X245" s="82">
        <v>14.21</v>
      </c>
      <c r="Y245" s="82">
        <v>24.77</v>
      </c>
      <c r="Z245" s="191">
        <v>81017.35</v>
      </c>
      <c r="AA245" s="82">
        <v>5.91</v>
      </c>
      <c r="AB245" s="82">
        <v>0.83</v>
      </c>
      <c r="AC245" s="82">
        <v>-0.85</v>
      </c>
      <c r="AD245" s="191">
        <v>2.13900178046E10</v>
      </c>
    </row>
    <row r="246">
      <c r="A246" s="82" t="s">
        <v>295</v>
      </c>
      <c r="B246" s="82">
        <v>8.59</v>
      </c>
      <c r="C246" s="82">
        <v>3.49</v>
      </c>
      <c r="D246" s="82">
        <v>10.37</v>
      </c>
      <c r="E246" s="82">
        <v>1.45</v>
      </c>
      <c r="F246" s="82">
        <v>0.27</v>
      </c>
      <c r="G246" s="82">
        <v>27.18</v>
      </c>
      <c r="H246" s="82">
        <v>21.15</v>
      </c>
      <c r="I246" s="82">
        <v>6.23</v>
      </c>
      <c r="J246" s="82">
        <v>3.05</v>
      </c>
      <c r="K246" s="82">
        <v>8.17</v>
      </c>
      <c r="L246" s="82">
        <v>4.44</v>
      </c>
      <c r="M246" s="82">
        <v>2.11</v>
      </c>
      <c r="N246" s="82">
        <v>0.65</v>
      </c>
      <c r="O246" s="82">
        <v>-46.7</v>
      </c>
      <c r="P246" s="82">
        <v>-0.35</v>
      </c>
      <c r="Q246" s="82">
        <v>0.98</v>
      </c>
      <c r="R246" s="82">
        <v>14.02</v>
      </c>
      <c r="S246" s="82">
        <v>2.59</v>
      </c>
      <c r="T246" s="82">
        <v>11.08</v>
      </c>
      <c r="U246" s="82">
        <v>0.18</v>
      </c>
      <c r="V246" s="82">
        <v>0.77</v>
      </c>
      <c r="W246" s="82">
        <v>0.42</v>
      </c>
      <c r="X246" s="82">
        <v>14.21</v>
      </c>
      <c r="Y246" s="82">
        <v>24.77</v>
      </c>
      <c r="Z246" s="191">
        <v>106689.5</v>
      </c>
      <c r="AA246" s="82">
        <v>5.91</v>
      </c>
      <c r="AB246" s="82">
        <v>0.83</v>
      </c>
      <c r="AC246" s="82">
        <v>-0.41</v>
      </c>
      <c r="AD246" s="191">
        <v>2.13900178046E10</v>
      </c>
    </row>
    <row r="247">
      <c r="A247" s="82" t="s">
        <v>296</v>
      </c>
      <c r="B247" s="82">
        <v>1.62</v>
      </c>
      <c r="D247" s="82">
        <v>-7.45</v>
      </c>
      <c r="E247" s="82">
        <v>0.93</v>
      </c>
      <c r="F247" s="82">
        <v>0.76</v>
      </c>
      <c r="G247" s="82">
        <v>46.15</v>
      </c>
      <c r="H247" s="82">
        <v>-41.92</v>
      </c>
      <c r="I247" s="82">
        <v>-26.7</v>
      </c>
      <c r="J247" s="82">
        <v>-4.74</v>
      </c>
      <c r="K247" s="82">
        <v>-0.77</v>
      </c>
      <c r="L247" s="82">
        <v>3.95</v>
      </c>
      <c r="M247" s="82">
        <v>-0.77</v>
      </c>
      <c r="N247" s="82">
        <v>1.99</v>
      </c>
      <c r="O247" s="82">
        <v>1.27</v>
      </c>
      <c r="P247" s="82">
        <v>-2.91</v>
      </c>
      <c r="Q247" s="82">
        <v>5.06</v>
      </c>
      <c r="R247" s="82">
        <v>-12.45</v>
      </c>
      <c r="S247" s="82">
        <v>-10.15</v>
      </c>
      <c r="T247" s="82">
        <v>-19.55</v>
      </c>
      <c r="U247" s="82">
        <v>0.82</v>
      </c>
      <c r="V247" s="82">
        <v>0.18</v>
      </c>
      <c r="W247" s="82">
        <v>0.38</v>
      </c>
      <c r="X247" s="82">
        <v>32.86</v>
      </c>
      <c r="Z247" s="191">
        <v>1440016.55</v>
      </c>
      <c r="AA247" s="82">
        <v>1.75</v>
      </c>
      <c r="AB247" s="82">
        <v>-0.22</v>
      </c>
      <c r="AC247" s="82">
        <v>0.14</v>
      </c>
      <c r="AD247" s="191">
        <v>3.2623524668E8</v>
      </c>
    </row>
    <row r="248">
      <c r="A248" s="82" t="s">
        <v>297</v>
      </c>
      <c r="B248" s="82">
        <v>50.49</v>
      </c>
      <c r="C248" s="82">
        <v>5.53</v>
      </c>
      <c r="D248" s="82">
        <v>8.96</v>
      </c>
      <c r="E248" s="82">
        <v>2.27</v>
      </c>
      <c r="F248" s="82">
        <v>0.92</v>
      </c>
      <c r="G248" s="82">
        <v>30.83</v>
      </c>
      <c r="H248" s="82">
        <v>21.4</v>
      </c>
      <c r="I248" s="82">
        <v>16.86</v>
      </c>
      <c r="J248" s="82">
        <v>7.06</v>
      </c>
      <c r="L248" s="82">
        <v>1.53</v>
      </c>
      <c r="M248" s="82">
        <v>0.49</v>
      </c>
      <c r="N248" s="82">
        <v>1.51</v>
      </c>
      <c r="O248" s="82">
        <v>24.4</v>
      </c>
      <c r="P248" s="82">
        <v>-1.29</v>
      </c>
      <c r="Q248" s="82">
        <v>1.15</v>
      </c>
      <c r="R248" s="82">
        <v>25.31</v>
      </c>
      <c r="S248" s="82">
        <v>10.26</v>
      </c>
      <c r="T248" s="82">
        <v>16.44</v>
      </c>
      <c r="U248" s="82">
        <v>0.41</v>
      </c>
      <c r="V248" s="82">
        <v>0.59</v>
      </c>
      <c r="W248" s="82">
        <v>0.61</v>
      </c>
      <c r="X248" s="82">
        <v>7.52</v>
      </c>
      <c r="Y248" s="82">
        <v>13.58</v>
      </c>
      <c r="AA248" s="82">
        <v>22.28</v>
      </c>
      <c r="AB248" s="82">
        <v>5.64</v>
      </c>
      <c r="AC248" s="82">
        <v>0.16</v>
      </c>
    </row>
    <row r="249">
      <c r="A249" s="82" t="s">
        <v>298</v>
      </c>
      <c r="B249" s="82">
        <v>83.99</v>
      </c>
      <c r="C249" s="82">
        <v>3.32</v>
      </c>
      <c r="D249" s="82">
        <v>14.9</v>
      </c>
      <c r="E249" s="82">
        <v>3.77</v>
      </c>
      <c r="F249" s="82">
        <v>1.53</v>
      </c>
      <c r="G249" s="82">
        <v>30.83</v>
      </c>
      <c r="H249" s="82">
        <v>21.4</v>
      </c>
      <c r="I249" s="82">
        <v>16.86</v>
      </c>
      <c r="J249" s="82">
        <v>11.74</v>
      </c>
      <c r="L249" s="82">
        <v>1.53</v>
      </c>
      <c r="M249" s="82">
        <v>0.49</v>
      </c>
      <c r="N249" s="82">
        <v>2.51</v>
      </c>
      <c r="O249" s="82">
        <v>40.59</v>
      </c>
      <c r="P249" s="82">
        <v>-2.15</v>
      </c>
      <c r="Q249" s="82">
        <v>1.15</v>
      </c>
      <c r="R249" s="82">
        <v>25.31</v>
      </c>
      <c r="S249" s="82">
        <v>10.26</v>
      </c>
      <c r="T249" s="82">
        <v>16.44</v>
      </c>
      <c r="U249" s="82">
        <v>0.41</v>
      </c>
      <c r="V249" s="82">
        <v>0.59</v>
      </c>
      <c r="W249" s="82">
        <v>0.61</v>
      </c>
      <c r="X249" s="82">
        <v>7.52</v>
      </c>
      <c r="Y249" s="82">
        <v>13.58</v>
      </c>
      <c r="AA249" s="82">
        <v>22.28</v>
      </c>
      <c r="AB249" s="82">
        <v>5.64</v>
      </c>
      <c r="AC249" s="82">
        <v>0.27</v>
      </c>
    </row>
    <row r="250">
      <c r="A250" s="82" t="s">
        <v>299</v>
      </c>
      <c r="B250" s="82">
        <v>68.55</v>
      </c>
      <c r="C250" s="82">
        <v>2.44</v>
      </c>
      <c r="D250" s="82">
        <v>13.01</v>
      </c>
      <c r="E250" s="82">
        <v>4.23</v>
      </c>
      <c r="F250" s="82">
        <v>1.19</v>
      </c>
      <c r="G250" s="82">
        <v>32.78</v>
      </c>
      <c r="H250" s="82">
        <v>26.98</v>
      </c>
      <c r="I250" s="82">
        <v>16.02</v>
      </c>
      <c r="J250" s="82">
        <v>7.73</v>
      </c>
      <c r="K250" s="82">
        <v>10.03</v>
      </c>
      <c r="L250" s="82">
        <v>2.34</v>
      </c>
      <c r="M250" s="82">
        <v>1.28</v>
      </c>
      <c r="N250" s="82">
        <v>2.08</v>
      </c>
      <c r="O250" s="82">
        <v>46.09</v>
      </c>
      <c r="P250" s="82">
        <v>-1.65</v>
      </c>
      <c r="Q250" s="82">
        <v>1.1</v>
      </c>
      <c r="R250" s="82">
        <v>32.5</v>
      </c>
      <c r="S250" s="82">
        <v>9.13</v>
      </c>
      <c r="T250" s="82">
        <v>19.51</v>
      </c>
      <c r="U250" s="82">
        <v>0.28</v>
      </c>
      <c r="V250" s="82">
        <v>0.72</v>
      </c>
      <c r="W250" s="82">
        <v>0.57</v>
      </c>
      <c r="X250" s="82">
        <v>13.11</v>
      </c>
      <c r="Y250" s="82">
        <v>199.68</v>
      </c>
      <c r="Z250" s="191">
        <v>97648.14</v>
      </c>
      <c r="AA250" s="82">
        <v>16.21</v>
      </c>
      <c r="AB250" s="82">
        <v>5.27</v>
      </c>
      <c r="AC250" s="82">
        <v>-64.82</v>
      </c>
      <c r="AD250" s="191">
        <v>1.49295932277E10</v>
      </c>
    </row>
    <row r="251">
      <c r="A251" s="82" t="s">
        <v>300</v>
      </c>
      <c r="B251" s="82">
        <v>68.0</v>
      </c>
      <c r="C251" s="82">
        <v>2.46</v>
      </c>
      <c r="D251" s="82">
        <v>12.91</v>
      </c>
      <c r="E251" s="82">
        <v>4.19</v>
      </c>
      <c r="F251" s="82">
        <v>1.18</v>
      </c>
      <c r="G251" s="82">
        <v>32.78</v>
      </c>
      <c r="H251" s="82">
        <v>26.98</v>
      </c>
      <c r="I251" s="82">
        <v>16.02</v>
      </c>
      <c r="J251" s="82">
        <v>7.67</v>
      </c>
      <c r="K251" s="82">
        <v>10.03</v>
      </c>
      <c r="L251" s="82">
        <v>2.34</v>
      </c>
      <c r="M251" s="82">
        <v>1.28</v>
      </c>
      <c r="N251" s="82">
        <v>2.07</v>
      </c>
      <c r="O251" s="82">
        <v>45.72</v>
      </c>
      <c r="P251" s="82">
        <v>-1.63</v>
      </c>
      <c r="Q251" s="82">
        <v>1.1</v>
      </c>
      <c r="R251" s="82">
        <v>32.5</v>
      </c>
      <c r="S251" s="82">
        <v>9.13</v>
      </c>
      <c r="T251" s="82">
        <v>19.51</v>
      </c>
      <c r="U251" s="82">
        <v>0.28</v>
      </c>
      <c r="V251" s="82">
        <v>0.72</v>
      </c>
      <c r="W251" s="82">
        <v>0.57</v>
      </c>
      <c r="X251" s="82">
        <v>13.11</v>
      </c>
      <c r="Y251" s="82">
        <v>199.68</v>
      </c>
      <c r="Z251" s="191">
        <v>23800.0</v>
      </c>
      <c r="AA251" s="82">
        <v>16.21</v>
      </c>
      <c r="AB251" s="82">
        <v>5.27</v>
      </c>
      <c r="AC251" s="82">
        <v>-64.3</v>
      </c>
      <c r="AD251" s="191">
        <v>1.49295932277E10</v>
      </c>
    </row>
    <row r="252">
      <c r="A252" s="82" t="s">
        <v>301</v>
      </c>
      <c r="B252" s="82">
        <v>11.1</v>
      </c>
      <c r="D252" s="82">
        <v>5.17</v>
      </c>
      <c r="E252" s="82">
        <v>1.32</v>
      </c>
      <c r="F252" s="82">
        <v>1.16</v>
      </c>
      <c r="G252" s="82">
        <v>13.55</v>
      </c>
      <c r="H252" s="82">
        <v>12.07</v>
      </c>
      <c r="I252" s="82">
        <v>6.58</v>
      </c>
      <c r="J252" s="82">
        <v>2.82</v>
      </c>
      <c r="K252" s="82">
        <v>2.5</v>
      </c>
      <c r="L252" s="82">
        <v>-0.31</v>
      </c>
      <c r="M252" s="82">
        <v>-0.15</v>
      </c>
      <c r="N252" s="82">
        <v>0.34</v>
      </c>
      <c r="O252" s="82">
        <v>2.54</v>
      </c>
      <c r="P252" s="82">
        <v>-2.23</v>
      </c>
      <c r="Q252" s="82">
        <v>18.54</v>
      </c>
      <c r="R252" s="82">
        <v>25.58</v>
      </c>
      <c r="S252" s="82">
        <v>22.33</v>
      </c>
      <c r="T252" s="82">
        <v>34.5</v>
      </c>
      <c r="U252" s="82">
        <v>0.87</v>
      </c>
      <c r="V252" s="82">
        <v>0.13</v>
      </c>
      <c r="W252" s="82">
        <v>3.39</v>
      </c>
      <c r="X252" s="82">
        <v>38.18</v>
      </c>
      <c r="Z252" s="191">
        <v>540344.8</v>
      </c>
      <c r="AA252" s="82">
        <v>8.33</v>
      </c>
      <c r="AB252" s="82">
        <v>2.13</v>
      </c>
      <c r="AC252" s="82">
        <v>-0.11</v>
      </c>
      <c r="AD252" s="191">
        <v>1.6376345936E8</v>
      </c>
    </row>
    <row r="253">
      <c r="A253" s="82" t="s">
        <v>302</v>
      </c>
      <c r="B253" s="82">
        <v>7.63</v>
      </c>
      <c r="C253" s="82">
        <v>1.93</v>
      </c>
      <c r="D253" s="82">
        <v>7.99</v>
      </c>
      <c r="E253" s="82">
        <v>3.79</v>
      </c>
      <c r="F253" s="82">
        <v>1.18</v>
      </c>
      <c r="G253" s="82">
        <v>35.11</v>
      </c>
      <c r="H253" s="82">
        <v>27.61</v>
      </c>
      <c r="I253" s="82">
        <v>21.18</v>
      </c>
      <c r="J253" s="82">
        <v>6.13</v>
      </c>
      <c r="K253" s="82">
        <v>7.42</v>
      </c>
      <c r="L253" s="82">
        <v>1.3</v>
      </c>
      <c r="M253" s="82">
        <v>0.8</v>
      </c>
      <c r="N253" s="82">
        <v>1.69</v>
      </c>
      <c r="O253" s="82">
        <v>10.82</v>
      </c>
      <c r="P253" s="82">
        <v>-1.78</v>
      </c>
      <c r="Q253" s="82">
        <v>1.47</v>
      </c>
      <c r="R253" s="82">
        <v>47.39</v>
      </c>
      <c r="S253" s="82">
        <v>14.71</v>
      </c>
      <c r="T253" s="82">
        <v>25.26</v>
      </c>
      <c r="U253" s="82">
        <v>0.31</v>
      </c>
      <c r="V253" s="82">
        <v>0.69</v>
      </c>
      <c r="W253" s="82">
        <v>0.69</v>
      </c>
      <c r="X253" s="82">
        <v>10.57</v>
      </c>
      <c r="Y253" s="82">
        <v>28.02</v>
      </c>
      <c r="Z253" s="191">
        <v>107554.58</v>
      </c>
      <c r="AA253" s="82">
        <v>2.02</v>
      </c>
      <c r="AB253" s="82">
        <v>0.96</v>
      </c>
      <c r="AC253" s="82">
        <v>0.15</v>
      </c>
      <c r="AD253" s="191">
        <v>1.686129134909E10</v>
      </c>
    </row>
    <row r="254">
      <c r="A254" s="82" t="s">
        <v>303</v>
      </c>
      <c r="B254" s="82">
        <v>8.99</v>
      </c>
      <c r="C254" s="82">
        <v>1.64</v>
      </c>
      <c r="D254" s="82">
        <v>9.41</v>
      </c>
      <c r="E254" s="82">
        <v>4.46</v>
      </c>
      <c r="F254" s="82">
        <v>1.38</v>
      </c>
      <c r="G254" s="82">
        <v>35.11</v>
      </c>
      <c r="H254" s="82">
        <v>27.61</v>
      </c>
      <c r="I254" s="82">
        <v>21.18</v>
      </c>
      <c r="J254" s="82">
        <v>7.22</v>
      </c>
      <c r="K254" s="82">
        <v>7.42</v>
      </c>
      <c r="L254" s="82">
        <v>1.3</v>
      </c>
      <c r="M254" s="82">
        <v>0.8</v>
      </c>
      <c r="N254" s="82">
        <v>1.99</v>
      </c>
      <c r="O254" s="82">
        <v>12.75</v>
      </c>
      <c r="P254" s="82">
        <v>-2.1</v>
      </c>
      <c r="Q254" s="82">
        <v>1.47</v>
      </c>
      <c r="R254" s="82">
        <v>47.39</v>
      </c>
      <c r="S254" s="82">
        <v>14.71</v>
      </c>
      <c r="T254" s="82">
        <v>25.26</v>
      </c>
      <c r="U254" s="82">
        <v>0.31</v>
      </c>
      <c r="V254" s="82">
        <v>0.69</v>
      </c>
      <c r="W254" s="82">
        <v>0.69</v>
      </c>
      <c r="X254" s="82">
        <v>10.57</v>
      </c>
      <c r="Y254" s="82">
        <v>28.02</v>
      </c>
      <c r="Z254" s="191">
        <v>6326.0</v>
      </c>
      <c r="AA254" s="82">
        <v>2.02</v>
      </c>
      <c r="AB254" s="82">
        <v>0.96</v>
      </c>
      <c r="AC254" s="82">
        <v>0.18</v>
      </c>
      <c r="AD254" s="191">
        <v>1.686129134909E10</v>
      </c>
    </row>
    <row r="255">
      <c r="A255" s="82" t="s">
        <v>304</v>
      </c>
      <c r="B255" s="82">
        <v>10.05</v>
      </c>
      <c r="C255" s="82">
        <v>1.47</v>
      </c>
      <c r="D255" s="82">
        <v>10.52</v>
      </c>
      <c r="E255" s="82">
        <v>4.99</v>
      </c>
      <c r="F255" s="82">
        <v>1.55</v>
      </c>
      <c r="G255" s="82">
        <v>35.11</v>
      </c>
      <c r="H255" s="82">
        <v>27.61</v>
      </c>
      <c r="I255" s="82">
        <v>21.18</v>
      </c>
      <c r="J255" s="82">
        <v>8.07</v>
      </c>
      <c r="K255" s="82">
        <v>7.42</v>
      </c>
      <c r="L255" s="82">
        <v>1.3</v>
      </c>
      <c r="M255" s="82">
        <v>0.8</v>
      </c>
      <c r="N255" s="82">
        <v>2.23</v>
      </c>
      <c r="O255" s="82">
        <v>14.25</v>
      </c>
      <c r="P255" s="82">
        <v>-2.35</v>
      </c>
      <c r="Q255" s="82">
        <v>1.47</v>
      </c>
      <c r="R255" s="82">
        <v>47.39</v>
      </c>
      <c r="S255" s="82">
        <v>14.71</v>
      </c>
      <c r="T255" s="82">
        <v>25.26</v>
      </c>
      <c r="U255" s="82">
        <v>0.31</v>
      </c>
      <c r="V255" s="82">
        <v>0.69</v>
      </c>
      <c r="W255" s="82">
        <v>0.69</v>
      </c>
      <c r="X255" s="82">
        <v>10.57</v>
      </c>
      <c r="Y255" s="82">
        <v>28.02</v>
      </c>
      <c r="Z255" s="191">
        <v>1005.0</v>
      </c>
      <c r="AA255" s="82">
        <v>2.02</v>
      </c>
      <c r="AB255" s="82">
        <v>0.96</v>
      </c>
      <c r="AC255" s="82">
        <v>0.2</v>
      </c>
      <c r="AD255" s="191">
        <v>1.686129134909E10</v>
      </c>
    </row>
    <row r="256">
      <c r="A256" s="82" t="s">
        <v>305</v>
      </c>
      <c r="B256" s="82">
        <v>8.99</v>
      </c>
      <c r="C256" s="82">
        <v>1.64</v>
      </c>
      <c r="D256" s="82">
        <v>9.41</v>
      </c>
      <c r="E256" s="82">
        <v>4.46</v>
      </c>
      <c r="F256" s="82">
        <v>1.38</v>
      </c>
      <c r="G256" s="82">
        <v>35.11</v>
      </c>
      <c r="H256" s="82">
        <v>27.61</v>
      </c>
      <c r="I256" s="82">
        <v>21.18</v>
      </c>
      <c r="J256" s="82">
        <v>7.22</v>
      </c>
      <c r="K256" s="82">
        <v>7.42</v>
      </c>
      <c r="L256" s="82">
        <v>1.3</v>
      </c>
      <c r="M256" s="82">
        <v>0.8</v>
      </c>
      <c r="N256" s="82">
        <v>1.99</v>
      </c>
      <c r="O256" s="82">
        <v>12.75</v>
      </c>
      <c r="P256" s="82">
        <v>-2.1</v>
      </c>
      <c r="Q256" s="82">
        <v>1.47</v>
      </c>
      <c r="R256" s="82">
        <v>47.39</v>
      </c>
      <c r="S256" s="82">
        <v>14.71</v>
      </c>
      <c r="T256" s="82">
        <v>25.26</v>
      </c>
      <c r="U256" s="82">
        <v>0.31</v>
      </c>
      <c r="V256" s="82">
        <v>0.69</v>
      </c>
      <c r="W256" s="82">
        <v>0.69</v>
      </c>
      <c r="X256" s="82">
        <v>10.57</v>
      </c>
      <c r="Y256" s="82">
        <v>28.02</v>
      </c>
      <c r="Z256" s="191">
        <v>98890.0</v>
      </c>
      <c r="AA256" s="82">
        <v>2.02</v>
      </c>
      <c r="AB256" s="82">
        <v>0.96</v>
      </c>
      <c r="AC256" s="82">
        <v>0.18</v>
      </c>
      <c r="AD256" s="191">
        <v>1.686129134909E10</v>
      </c>
    </row>
    <row r="257">
      <c r="A257" s="82" t="s">
        <v>306</v>
      </c>
      <c r="B257" s="82">
        <v>35.23</v>
      </c>
      <c r="C257" s="82">
        <v>0.99</v>
      </c>
      <c r="D257" s="82">
        <v>21.68</v>
      </c>
      <c r="E257" s="82">
        <v>2.06</v>
      </c>
      <c r="F257" s="82">
        <v>0.41</v>
      </c>
      <c r="G257" s="82">
        <v>30.07</v>
      </c>
      <c r="H257" s="82">
        <v>19.86</v>
      </c>
      <c r="I257" s="82">
        <v>4.94</v>
      </c>
      <c r="J257" s="82">
        <v>5.4</v>
      </c>
      <c r="K257" s="82">
        <v>10.19</v>
      </c>
      <c r="L257" s="82">
        <v>4.8</v>
      </c>
      <c r="M257" s="82">
        <v>1.83</v>
      </c>
      <c r="N257" s="82">
        <v>1.07</v>
      </c>
      <c r="O257" s="82">
        <v>10.64</v>
      </c>
      <c r="P257" s="82">
        <v>-0.54</v>
      </c>
      <c r="Q257" s="82">
        <v>1.19</v>
      </c>
      <c r="R257" s="82">
        <v>9.51</v>
      </c>
      <c r="S257" s="82">
        <v>1.88</v>
      </c>
      <c r="T257" s="82">
        <v>10.16</v>
      </c>
      <c r="U257" s="82">
        <v>0.2</v>
      </c>
      <c r="V257" s="82">
        <v>0.77</v>
      </c>
      <c r="W257" s="82">
        <v>0.38</v>
      </c>
      <c r="X257" s="82">
        <v>24.5</v>
      </c>
      <c r="Y257" s="82">
        <v>13.29</v>
      </c>
      <c r="Z257" s="191">
        <v>2.4739384655E8</v>
      </c>
      <c r="AA257" s="82">
        <v>17.09</v>
      </c>
      <c r="AB257" s="82">
        <v>1.63</v>
      </c>
      <c r="AC257" s="82">
        <v>-1.07</v>
      </c>
      <c r="AD257" s="191">
        <v>4.0316221088E10</v>
      </c>
    </row>
    <row r="258">
      <c r="A258" s="82" t="s">
        <v>307</v>
      </c>
      <c r="B258" s="82">
        <v>1.14</v>
      </c>
      <c r="D258" s="82">
        <v>-20.61</v>
      </c>
      <c r="E258" s="82">
        <v>0.47</v>
      </c>
      <c r="F258" s="82">
        <v>0.18</v>
      </c>
      <c r="G258" s="82">
        <v>36.92</v>
      </c>
      <c r="H258" s="82">
        <v>13.07</v>
      </c>
      <c r="I258" s="82">
        <v>-2.03</v>
      </c>
      <c r="J258" s="82">
        <v>3.2</v>
      </c>
      <c r="K258" s="82">
        <v>8.45</v>
      </c>
      <c r="L258" s="82">
        <v>5.31</v>
      </c>
      <c r="M258" s="82">
        <v>0.79</v>
      </c>
      <c r="N258" s="82">
        <v>0.42</v>
      </c>
      <c r="O258" s="82">
        <v>3.12</v>
      </c>
      <c r="P258" s="82">
        <v>-0.31</v>
      </c>
      <c r="Q258" s="82">
        <v>1.16</v>
      </c>
      <c r="R258" s="82">
        <v>-2.3</v>
      </c>
      <c r="S258" s="82">
        <v>-0.88</v>
      </c>
      <c r="T258" s="82">
        <v>5.68</v>
      </c>
      <c r="U258" s="82">
        <v>0.38</v>
      </c>
      <c r="V258" s="82">
        <v>0.61</v>
      </c>
      <c r="W258" s="82">
        <v>0.44</v>
      </c>
      <c r="X258" s="82">
        <v>36.16</v>
      </c>
      <c r="Z258" s="191">
        <v>2103017.05</v>
      </c>
      <c r="AA258" s="82">
        <v>2.43</v>
      </c>
      <c r="AB258" s="82">
        <v>-0.06</v>
      </c>
      <c r="AC258" s="82">
        <v>-0.2</v>
      </c>
      <c r="AD258" s="191">
        <v>4.0840806458E8</v>
      </c>
    </row>
    <row r="259">
      <c r="A259" s="82" t="s">
        <v>308</v>
      </c>
      <c r="B259" s="82">
        <v>12.0</v>
      </c>
      <c r="D259" s="82">
        <v>-1.42</v>
      </c>
      <c r="E259" s="82">
        <v>-0.18</v>
      </c>
      <c r="F259" s="82">
        <v>0.33</v>
      </c>
      <c r="G259" s="82">
        <v>44.02</v>
      </c>
      <c r="H259" s="82">
        <v>0.36</v>
      </c>
      <c r="I259" s="82">
        <v>-42.6</v>
      </c>
      <c r="J259" s="82">
        <v>167.53</v>
      </c>
      <c r="K259" s="82">
        <v>240.25</v>
      </c>
      <c r="L259" s="82">
        <v>145.5</v>
      </c>
      <c r="N259" s="82">
        <v>0.61</v>
      </c>
      <c r="O259" s="82">
        <v>-0.17</v>
      </c>
      <c r="P259" s="82">
        <v>-0.75</v>
      </c>
      <c r="Q259" s="82">
        <v>0.22</v>
      </c>
      <c r="R259" s="82">
        <v>-12.38</v>
      </c>
      <c r="S259" s="82">
        <v>-23.29</v>
      </c>
      <c r="T259" s="82">
        <v>-0.12</v>
      </c>
      <c r="U259" s="82">
        <v>-1.88</v>
      </c>
      <c r="V259" s="82">
        <v>2.88</v>
      </c>
      <c r="W259" s="82">
        <v>0.55</v>
      </c>
      <c r="X259" s="82">
        <v>4.32</v>
      </c>
      <c r="Z259" s="191">
        <v>1200.0</v>
      </c>
      <c r="AA259" s="82">
        <v>-68.03</v>
      </c>
      <c r="AB259" s="82">
        <v>-8.42</v>
      </c>
      <c r="AC259" s="82">
        <v>-0.02</v>
      </c>
      <c r="AD259" s="191">
        <v>5.486002E7</v>
      </c>
    </row>
    <row r="260">
      <c r="A260" s="82" t="s">
        <v>309</v>
      </c>
      <c r="B260" s="82">
        <v>4.18</v>
      </c>
      <c r="D260" s="82">
        <v>-0.5</v>
      </c>
      <c r="E260" s="82">
        <v>-0.06</v>
      </c>
      <c r="F260" s="82">
        <v>0.12</v>
      </c>
      <c r="G260" s="82">
        <v>44.02</v>
      </c>
      <c r="H260" s="82">
        <v>0.36</v>
      </c>
      <c r="I260" s="82">
        <v>-42.6</v>
      </c>
      <c r="J260" s="82">
        <v>58.36</v>
      </c>
      <c r="K260" s="82">
        <v>240.25</v>
      </c>
      <c r="L260" s="82">
        <v>145.5</v>
      </c>
      <c r="N260" s="82">
        <v>0.21</v>
      </c>
      <c r="O260" s="82">
        <v>-0.06</v>
      </c>
      <c r="P260" s="82">
        <v>-0.26</v>
      </c>
      <c r="Q260" s="82">
        <v>0.22</v>
      </c>
      <c r="R260" s="82">
        <v>-12.38</v>
      </c>
      <c r="S260" s="82">
        <v>-23.29</v>
      </c>
      <c r="T260" s="82">
        <v>-0.12</v>
      </c>
      <c r="U260" s="82">
        <v>-1.88</v>
      </c>
      <c r="V260" s="82">
        <v>2.88</v>
      </c>
      <c r="W260" s="82">
        <v>0.55</v>
      </c>
      <c r="X260" s="82">
        <v>4.32</v>
      </c>
      <c r="Z260" s="191">
        <v>11425.8</v>
      </c>
      <c r="AA260" s="82">
        <v>-68.03</v>
      </c>
      <c r="AB260" s="82">
        <v>-8.42</v>
      </c>
      <c r="AC260" s="82">
        <v>-0.01</v>
      </c>
      <c r="AD260" s="191">
        <v>5.486002E7</v>
      </c>
    </row>
    <row r="261">
      <c r="A261" s="82" t="s">
        <v>310</v>
      </c>
      <c r="B261" s="82">
        <v>8.23</v>
      </c>
      <c r="C261" s="82">
        <v>0.94</v>
      </c>
      <c r="D261" s="82">
        <v>8.77</v>
      </c>
      <c r="E261" s="82">
        <v>0.72</v>
      </c>
      <c r="F261" s="82">
        <v>0.41</v>
      </c>
      <c r="G261" s="82">
        <v>26.5</v>
      </c>
      <c r="H261" s="82">
        <v>6.94</v>
      </c>
      <c r="I261" s="82">
        <v>5.02</v>
      </c>
      <c r="J261" s="82">
        <v>6.34</v>
      </c>
      <c r="K261" s="82">
        <v>7.66</v>
      </c>
      <c r="L261" s="82">
        <v>1.32</v>
      </c>
      <c r="M261" s="82">
        <v>0.15</v>
      </c>
      <c r="N261" s="82">
        <v>0.44</v>
      </c>
      <c r="O261" s="82">
        <v>1.63</v>
      </c>
      <c r="P261" s="82">
        <v>-0.79</v>
      </c>
      <c r="Q261" s="82">
        <v>2.07</v>
      </c>
      <c r="R261" s="82">
        <v>8.19</v>
      </c>
      <c r="S261" s="82">
        <v>4.66</v>
      </c>
      <c r="T261" s="82">
        <v>8.4</v>
      </c>
      <c r="U261" s="82">
        <v>0.57</v>
      </c>
      <c r="V261" s="82">
        <v>0.43</v>
      </c>
      <c r="W261" s="82">
        <v>0.93</v>
      </c>
      <c r="X261" s="82">
        <v>12.27</v>
      </c>
      <c r="Z261" s="191">
        <v>2253880.9</v>
      </c>
      <c r="AA261" s="82">
        <v>11.5</v>
      </c>
      <c r="AB261" s="82">
        <v>0.94</v>
      </c>
      <c r="AC261" s="82">
        <v>-0.13</v>
      </c>
      <c r="AD261" s="191">
        <v>5.102745095E8</v>
      </c>
    </row>
    <row r="262">
      <c r="A262" s="82" t="s">
        <v>311</v>
      </c>
      <c r="B262" s="82">
        <v>16.5</v>
      </c>
      <c r="D262" s="82">
        <v>5.56</v>
      </c>
      <c r="E262" s="82">
        <v>0.69</v>
      </c>
      <c r="F262" s="82">
        <v>0.38</v>
      </c>
      <c r="G262" s="82">
        <v>32.81</v>
      </c>
      <c r="H262" s="82">
        <v>12.52</v>
      </c>
      <c r="I262" s="82">
        <v>10.36</v>
      </c>
      <c r="J262" s="82">
        <v>4.6</v>
      </c>
      <c r="K262" s="82">
        <v>6.01</v>
      </c>
      <c r="L262" s="82">
        <v>1.55</v>
      </c>
      <c r="M262" s="82">
        <v>0.23</v>
      </c>
      <c r="N262" s="82">
        <v>0.58</v>
      </c>
      <c r="O262" s="82">
        <v>2.44</v>
      </c>
      <c r="P262" s="82">
        <v>-0.62</v>
      </c>
      <c r="Q262" s="82">
        <v>1.71</v>
      </c>
      <c r="R262" s="82">
        <v>12.46</v>
      </c>
      <c r="S262" s="82">
        <v>6.91</v>
      </c>
      <c r="T262" s="82">
        <v>10.66</v>
      </c>
      <c r="U262" s="82">
        <v>0.55</v>
      </c>
      <c r="V262" s="82">
        <v>0.45</v>
      </c>
      <c r="W262" s="82">
        <v>0.67</v>
      </c>
      <c r="X262" s="82">
        <v>15.81</v>
      </c>
      <c r="Y262" s="82">
        <v>45.65</v>
      </c>
      <c r="Z262" s="191">
        <v>34278.58</v>
      </c>
      <c r="AA262" s="82">
        <v>23.81</v>
      </c>
      <c r="AB262" s="82">
        <v>2.97</v>
      </c>
      <c r="AC262" s="82">
        <v>-0.22</v>
      </c>
      <c r="AD262" s="191">
        <v>1.48035571032E9</v>
      </c>
    </row>
    <row r="263">
      <c r="A263" s="82" t="s">
        <v>312</v>
      </c>
      <c r="B263" s="82">
        <v>15.9</v>
      </c>
      <c r="D263" s="82">
        <v>5.32</v>
      </c>
      <c r="E263" s="82">
        <v>0.66</v>
      </c>
      <c r="F263" s="82">
        <v>0.37</v>
      </c>
      <c r="G263" s="82">
        <v>32.81</v>
      </c>
      <c r="H263" s="82">
        <v>12.52</v>
      </c>
      <c r="I263" s="82">
        <v>10.36</v>
      </c>
      <c r="J263" s="82">
        <v>4.4</v>
      </c>
      <c r="K263" s="82">
        <v>6.01</v>
      </c>
      <c r="L263" s="82">
        <v>1.55</v>
      </c>
      <c r="M263" s="82">
        <v>0.23</v>
      </c>
      <c r="N263" s="82">
        <v>0.55</v>
      </c>
      <c r="O263" s="82">
        <v>2.34</v>
      </c>
      <c r="P263" s="82">
        <v>-0.59</v>
      </c>
      <c r="Q263" s="82">
        <v>1.71</v>
      </c>
      <c r="R263" s="82">
        <v>12.46</v>
      </c>
      <c r="S263" s="82">
        <v>6.91</v>
      </c>
      <c r="T263" s="82">
        <v>10.66</v>
      </c>
      <c r="U263" s="82">
        <v>0.55</v>
      </c>
      <c r="V263" s="82">
        <v>0.45</v>
      </c>
      <c r="W263" s="82">
        <v>0.67</v>
      </c>
      <c r="X263" s="82">
        <v>15.81</v>
      </c>
      <c r="Y263" s="82">
        <v>45.65</v>
      </c>
      <c r="Z263" s="191">
        <v>955131.85</v>
      </c>
      <c r="AA263" s="82">
        <v>23.81</v>
      </c>
      <c r="AB263" s="82">
        <v>2.97</v>
      </c>
      <c r="AC263" s="82">
        <v>-0.21</v>
      </c>
      <c r="AD263" s="191">
        <v>1.48035571032E9</v>
      </c>
    </row>
    <row r="264">
      <c r="A264" s="82" t="s">
        <v>313</v>
      </c>
      <c r="B264" s="82">
        <v>7.5</v>
      </c>
      <c r="C264" s="82">
        <v>3.37</v>
      </c>
      <c r="D264" s="82">
        <v>9.39</v>
      </c>
      <c r="E264" s="82">
        <v>0.77</v>
      </c>
      <c r="F264" s="82">
        <v>0.21</v>
      </c>
      <c r="G264" s="82">
        <v>20.53</v>
      </c>
      <c r="H264" s="82">
        <v>6.8</v>
      </c>
      <c r="I264" s="82">
        <v>6.28</v>
      </c>
      <c r="J264" s="82">
        <v>8.67</v>
      </c>
      <c r="K264" s="82">
        <v>9.85</v>
      </c>
      <c r="L264" s="82">
        <v>1.06</v>
      </c>
      <c r="M264" s="82">
        <v>0.09</v>
      </c>
      <c r="N264" s="82">
        <v>0.59</v>
      </c>
      <c r="O264" s="82">
        <v>0.38</v>
      </c>
      <c r="P264" s="82">
        <v>-0.93</v>
      </c>
      <c r="Q264" s="82">
        <v>3.51</v>
      </c>
      <c r="R264" s="82">
        <v>8.2</v>
      </c>
      <c r="S264" s="82">
        <v>2.25</v>
      </c>
      <c r="T264" s="82">
        <v>2.68</v>
      </c>
      <c r="U264" s="82">
        <v>0.27</v>
      </c>
      <c r="V264" s="82">
        <v>0.6</v>
      </c>
      <c r="W264" s="82">
        <v>0.36</v>
      </c>
      <c r="X264" s="82">
        <v>10.85</v>
      </c>
      <c r="Z264" s="191">
        <v>6847134.6</v>
      </c>
      <c r="AA264" s="82">
        <v>9.69</v>
      </c>
      <c r="AB264" s="82">
        <v>0.79</v>
      </c>
      <c r="AC264" s="82">
        <v>1.06</v>
      </c>
      <c r="AD264" s="191">
        <v>1.512E9</v>
      </c>
    </row>
    <row r="265">
      <c r="A265" s="82" t="s">
        <v>314</v>
      </c>
      <c r="B265" s="82">
        <v>17.23</v>
      </c>
      <c r="C265" s="82">
        <v>1.19</v>
      </c>
      <c r="D265" s="82">
        <v>20.22</v>
      </c>
      <c r="E265" s="82">
        <v>0.83</v>
      </c>
      <c r="F265" s="82">
        <v>0.65</v>
      </c>
      <c r="G265" s="82">
        <v>29.18</v>
      </c>
      <c r="H265" s="82">
        <v>13.62</v>
      </c>
      <c r="I265" s="82">
        <v>17.82</v>
      </c>
      <c r="J265" s="82">
        <v>26.46</v>
      </c>
      <c r="K265" s="82">
        <v>26.81</v>
      </c>
      <c r="L265" s="82">
        <v>0.13</v>
      </c>
      <c r="M265" s="82">
        <v>0.0</v>
      </c>
      <c r="N265" s="82">
        <v>3.6</v>
      </c>
      <c r="O265" s="82">
        <v>1.81</v>
      </c>
      <c r="P265" s="82">
        <v>-1.18</v>
      </c>
      <c r="Q265" s="82">
        <v>5.19</v>
      </c>
      <c r="R265" s="82">
        <v>4.09</v>
      </c>
      <c r="S265" s="82">
        <v>3.22</v>
      </c>
      <c r="T265" s="82">
        <v>2.08</v>
      </c>
      <c r="U265" s="82">
        <v>0.79</v>
      </c>
      <c r="V265" s="82">
        <v>0.2</v>
      </c>
      <c r="W265" s="82">
        <v>0.18</v>
      </c>
      <c r="X265" s="82">
        <v>2.72</v>
      </c>
      <c r="Y265" s="82">
        <v>-12.11</v>
      </c>
      <c r="Z265" s="191">
        <v>3.421082905E7</v>
      </c>
      <c r="AA265" s="82">
        <v>20.81</v>
      </c>
      <c r="AB265" s="82">
        <v>0.85</v>
      </c>
      <c r="AC265" s="82">
        <v>-0.42</v>
      </c>
      <c r="AD265" s="191">
        <v>3.83637082808E9</v>
      </c>
    </row>
    <row r="266">
      <c r="A266" s="82" t="s">
        <v>315</v>
      </c>
      <c r="B266" s="82">
        <v>0.0</v>
      </c>
      <c r="D266" s="82">
        <v>0.0</v>
      </c>
      <c r="E266" s="82">
        <v>0.0</v>
      </c>
      <c r="F266" s="82">
        <v>0.0</v>
      </c>
      <c r="G266" s="82">
        <v>-60.76</v>
      </c>
      <c r="H266" s="82">
        <v>-92.67</v>
      </c>
      <c r="I266" s="82">
        <v>-101.97</v>
      </c>
      <c r="J266" s="82">
        <v>0.0</v>
      </c>
      <c r="K266" s="82">
        <v>-0.74</v>
      </c>
      <c r="L266" s="82">
        <v>-0.67</v>
      </c>
      <c r="N266" s="82">
        <v>0.0</v>
      </c>
      <c r="O266" s="82">
        <v>0.0</v>
      </c>
      <c r="P266" s="82">
        <v>0.0</v>
      </c>
      <c r="Q266" s="82">
        <v>0.31</v>
      </c>
      <c r="R266" s="82">
        <v>-24.19</v>
      </c>
      <c r="S266" s="82">
        <v>-36.57</v>
      </c>
      <c r="T266" s="82">
        <v>25.82</v>
      </c>
      <c r="U266" s="82">
        <v>-1.51</v>
      </c>
      <c r="V266" s="82">
        <v>2.51</v>
      </c>
      <c r="W266" s="82">
        <v>0.36</v>
      </c>
      <c r="X266" s="82">
        <v>-18.14</v>
      </c>
      <c r="AA266" s="82">
        <v>-87.48</v>
      </c>
      <c r="AB266" s="82">
        <v>-21.16</v>
      </c>
      <c r="AC266" s="82">
        <v>0.0</v>
      </c>
      <c r="AD266" s="191">
        <v>904253.84</v>
      </c>
    </row>
    <row r="267">
      <c r="A267" s="82" t="s">
        <v>316</v>
      </c>
      <c r="B267" s="82">
        <v>1.96</v>
      </c>
      <c r="D267" s="82">
        <v>-0.09</v>
      </c>
      <c r="E267" s="82">
        <v>-0.02</v>
      </c>
      <c r="F267" s="82">
        <v>0.03</v>
      </c>
      <c r="G267" s="82">
        <v>-60.76</v>
      </c>
      <c r="H267" s="82">
        <v>-92.67</v>
      </c>
      <c r="I267" s="82">
        <v>-101.97</v>
      </c>
      <c r="J267" s="82">
        <v>-0.1</v>
      </c>
      <c r="K267" s="82">
        <v>-0.74</v>
      </c>
      <c r="L267" s="82">
        <v>-0.67</v>
      </c>
      <c r="N267" s="82">
        <v>0.09</v>
      </c>
      <c r="O267" s="82">
        <v>-0.04</v>
      </c>
      <c r="P267" s="82">
        <v>-0.05</v>
      </c>
      <c r="Q267" s="82">
        <v>0.31</v>
      </c>
      <c r="R267" s="82">
        <v>-24.19</v>
      </c>
      <c r="S267" s="82">
        <v>-36.57</v>
      </c>
      <c r="T267" s="82">
        <v>25.82</v>
      </c>
      <c r="U267" s="82">
        <v>-1.51</v>
      </c>
      <c r="V267" s="82">
        <v>2.51</v>
      </c>
      <c r="W267" s="82">
        <v>0.36</v>
      </c>
      <c r="X267" s="82">
        <v>-18.14</v>
      </c>
      <c r="AA267" s="82">
        <v>-87.48</v>
      </c>
      <c r="AB267" s="82">
        <v>-21.16</v>
      </c>
      <c r="AC267" s="82">
        <v>0.0</v>
      </c>
      <c r="AD267" s="191">
        <v>904253.84</v>
      </c>
    </row>
    <row r="268">
      <c r="A268" s="82" t="s">
        <v>317</v>
      </c>
      <c r="B268" s="82">
        <v>62.25</v>
      </c>
      <c r="C268" s="82">
        <v>2.77</v>
      </c>
      <c r="D268" s="82">
        <v>11.46</v>
      </c>
      <c r="E268" s="82">
        <v>1.69</v>
      </c>
      <c r="F268" s="82">
        <v>1.33</v>
      </c>
      <c r="G268" s="82">
        <v>28.8</v>
      </c>
      <c r="H268" s="82">
        <v>16.65</v>
      </c>
      <c r="I268" s="82">
        <v>18.39</v>
      </c>
      <c r="J268" s="82">
        <v>12.66</v>
      </c>
      <c r="K268" s="82">
        <v>8.67</v>
      </c>
      <c r="L268" s="82">
        <v>-1.58</v>
      </c>
      <c r="M268" s="82">
        <v>-0.21</v>
      </c>
      <c r="N268" s="82">
        <v>2.11</v>
      </c>
      <c r="O268" s="82">
        <v>4.51</v>
      </c>
      <c r="P268" s="82">
        <v>-2.24</v>
      </c>
      <c r="Q268" s="82">
        <v>3.6</v>
      </c>
      <c r="R268" s="82">
        <v>14.76</v>
      </c>
      <c r="S268" s="82">
        <v>11.59</v>
      </c>
      <c r="T268" s="82">
        <v>10.08</v>
      </c>
      <c r="U268" s="82">
        <v>0.79</v>
      </c>
      <c r="V268" s="82">
        <v>0.21</v>
      </c>
      <c r="W268" s="82">
        <v>0.63</v>
      </c>
      <c r="X268" s="82">
        <v>23.14</v>
      </c>
      <c r="Y268" s="82">
        <v>12.19</v>
      </c>
      <c r="Z268" s="191">
        <v>8416.0</v>
      </c>
      <c r="AA268" s="82">
        <v>36.78</v>
      </c>
      <c r="AB268" s="82">
        <v>5.43</v>
      </c>
      <c r="AC268" s="82">
        <v>-0.2</v>
      </c>
      <c r="AD268" s="191">
        <v>4.4533888E9</v>
      </c>
    </row>
    <row r="269">
      <c r="A269" s="82" t="s">
        <v>318</v>
      </c>
      <c r="B269" s="82">
        <v>44.78</v>
      </c>
      <c r="C269" s="82">
        <v>4.21</v>
      </c>
      <c r="D269" s="82">
        <v>8.28</v>
      </c>
      <c r="E269" s="82">
        <v>1.22</v>
      </c>
      <c r="F269" s="82">
        <v>0.96</v>
      </c>
      <c r="G269" s="82">
        <v>28.8</v>
      </c>
      <c r="H269" s="82">
        <v>16.65</v>
      </c>
      <c r="I269" s="82">
        <v>18.39</v>
      </c>
      <c r="J269" s="82">
        <v>9.15</v>
      </c>
      <c r="K269" s="82">
        <v>8.67</v>
      </c>
      <c r="L269" s="82">
        <v>-1.58</v>
      </c>
      <c r="M269" s="82">
        <v>-0.21</v>
      </c>
      <c r="N269" s="82">
        <v>1.52</v>
      </c>
      <c r="O269" s="82">
        <v>3.26</v>
      </c>
      <c r="P269" s="82">
        <v>-1.62</v>
      </c>
      <c r="Q269" s="82">
        <v>3.6</v>
      </c>
      <c r="R269" s="82">
        <v>14.76</v>
      </c>
      <c r="S269" s="82">
        <v>11.59</v>
      </c>
      <c r="T269" s="82">
        <v>10.08</v>
      </c>
      <c r="U269" s="82">
        <v>0.79</v>
      </c>
      <c r="V269" s="82">
        <v>0.21</v>
      </c>
      <c r="W269" s="82">
        <v>0.63</v>
      </c>
      <c r="X269" s="82">
        <v>23.14</v>
      </c>
      <c r="Y269" s="82">
        <v>12.19</v>
      </c>
      <c r="Z269" s="191">
        <v>7558533.2</v>
      </c>
      <c r="AA269" s="82">
        <v>36.78</v>
      </c>
      <c r="AB269" s="82">
        <v>5.43</v>
      </c>
      <c r="AC269" s="82">
        <v>-0.14</v>
      </c>
      <c r="AD269" s="191">
        <v>4.4533888E9</v>
      </c>
    </row>
    <row r="270">
      <c r="A270" s="82" t="s">
        <v>319</v>
      </c>
      <c r="B270" s="82">
        <v>7.5</v>
      </c>
      <c r="D270" s="82">
        <v>-1.0</v>
      </c>
      <c r="E270" s="82">
        <v>10.36</v>
      </c>
      <c r="F270" s="82">
        <v>0.14</v>
      </c>
      <c r="G270" s="82">
        <v>-0.2</v>
      </c>
      <c r="H270" s="82">
        <v>-7.55</v>
      </c>
      <c r="I270" s="82">
        <v>-7.38</v>
      </c>
      <c r="J270" s="82">
        <v>-0.98</v>
      </c>
      <c r="K270" s="82">
        <v>-0.88</v>
      </c>
      <c r="L270" s="82">
        <v>0.11</v>
      </c>
      <c r="M270" s="82">
        <v>-1.12</v>
      </c>
      <c r="N270" s="82">
        <v>0.07</v>
      </c>
      <c r="O270" s="82">
        <v>0.99</v>
      </c>
      <c r="P270" s="82">
        <v>-0.55</v>
      </c>
      <c r="Q270" s="82">
        <v>1.24</v>
      </c>
      <c r="R270" s="191">
        <v>-1033.75</v>
      </c>
      <c r="S270" s="82">
        <v>-14.18</v>
      </c>
      <c r="T270" s="191">
        <v>-1194.93</v>
      </c>
      <c r="U270" s="82">
        <v>0.01</v>
      </c>
      <c r="V270" s="82">
        <v>0.99</v>
      </c>
      <c r="W270" s="82">
        <v>1.92</v>
      </c>
      <c r="X270" s="82">
        <v>3.45</v>
      </c>
      <c r="Z270" s="191">
        <v>77463.1</v>
      </c>
      <c r="AA270" s="82">
        <v>0.72</v>
      </c>
      <c r="AB270" s="82">
        <v>-7.48</v>
      </c>
      <c r="AC270" s="82">
        <v>0.0</v>
      </c>
      <c r="AD270" s="191">
        <v>4.0608392136E8</v>
      </c>
    </row>
    <row r="271">
      <c r="A271" s="82" t="s">
        <v>1763</v>
      </c>
      <c r="B271" s="82">
        <v>66.3</v>
      </c>
      <c r="D271" s="82">
        <v>12.03</v>
      </c>
      <c r="E271" s="82">
        <v>2.59</v>
      </c>
      <c r="F271" s="82">
        <v>0.9</v>
      </c>
      <c r="G271" s="82">
        <v>45.77</v>
      </c>
      <c r="H271" s="82">
        <v>36.8</v>
      </c>
      <c r="I271" s="82">
        <v>16.71</v>
      </c>
      <c r="J271" s="82">
        <v>5.46</v>
      </c>
      <c r="K271" s="82">
        <v>7.63</v>
      </c>
      <c r="L271" s="82">
        <v>2.17</v>
      </c>
      <c r="M271" s="82">
        <v>1.03</v>
      </c>
      <c r="N271" s="82">
        <v>2.01</v>
      </c>
      <c r="O271" s="82">
        <v>9.59</v>
      </c>
      <c r="P271" s="82">
        <v>-1.28</v>
      </c>
      <c r="Q271" s="82">
        <v>1.46</v>
      </c>
      <c r="R271" s="82">
        <v>21.57</v>
      </c>
      <c r="S271" s="82">
        <v>7.48</v>
      </c>
      <c r="T271" s="82">
        <v>17.1</v>
      </c>
      <c r="U271" s="82">
        <v>0.35</v>
      </c>
      <c r="V271" s="82">
        <v>0.65</v>
      </c>
      <c r="W271" s="82">
        <v>0.45</v>
      </c>
      <c r="X271" s="82">
        <v>21.43</v>
      </c>
      <c r="AA271" s="82">
        <v>25.55</v>
      </c>
      <c r="AB271" s="82">
        <v>5.51</v>
      </c>
      <c r="AC271" s="82">
        <v>0.07</v>
      </c>
      <c r="AD271" s="191">
        <v>3.67125563103E10</v>
      </c>
    </row>
    <row r="272">
      <c r="A272" s="82" t="s">
        <v>321</v>
      </c>
      <c r="B272" s="82">
        <v>12.0</v>
      </c>
      <c r="D272" s="82">
        <v>13.34</v>
      </c>
      <c r="E272" s="82">
        <v>0.35</v>
      </c>
      <c r="F272" s="82">
        <v>0.3</v>
      </c>
      <c r="G272" s="82">
        <v>-8.72</v>
      </c>
      <c r="H272" s="82">
        <v>-376.05</v>
      </c>
      <c r="I272" s="82">
        <v>78.84</v>
      </c>
      <c r="J272" s="82">
        <v>-2.8</v>
      </c>
      <c r="K272" s="82">
        <v>-2.45</v>
      </c>
      <c r="L272" s="82">
        <v>0.34</v>
      </c>
      <c r="M272" s="82">
        <v>-0.04</v>
      </c>
      <c r="N272" s="82">
        <v>10.52</v>
      </c>
      <c r="O272" s="82">
        <v>-9.24</v>
      </c>
      <c r="P272" s="82">
        <v>-0.32</v>
      </c>
      <c r="Q272" s="82">
        <v>0.73</v>
      </c>
      <c r="R272" s="82">
        <v>2.63</v>
      </c>
      <c r="S272" s="82">
        <v>2.21</v>
      </c>
      <c r="T272" s="82">
        <v>-12.57</v>
      </c>
      <c r="U272" s="82">
        <v>0.84</v>
      </c>
      <c r="V272" s="82">
        <v>0.16</v>
      </c>
      <c r="W272" s="82">
        <v>0.03</v>
      </c>
      <c r="X272" s="82">
        <v>-18.7</v>
      </c>
      <c r="Z272" s="191">
        <v>12000.0</v>
      </c>
      <c r="AA272" s="82">
        <v>34.21</v>
      </c>
      <c r="AB272" s="82">
        <v>0.9</v>
      </c>
      <c r="AC272" s="82">
        <v>-0.11</v>
      </c>
      <c r="AD272" s="191">
        <v>2.9065836E7</v>
      </c>
    </row>
    <row r="273">
      <c r="A273" s="82" t="s">
        <v>322</v>
      </c>
      <c r="B273" s="82">
        <v>11.99</v>
      </c>
      <c r="C273" s="82">
        <v>0.33</v>
      </c>
      <c r="D273" s="82">
        <v>3.15</v>
      </c>
      <c r="E273" s="82">
        <v>0.18</v>
      </c>
      <c r="F273" s="82">
        <v>0.17</v>
      </c>
      <c r="G273" s="82">
        <v>100.0</v>
      </c>
      <c r="H273" s="82">
        <v>93.63</v>
      </c>
      <c r="I273" s="82">
        <v>45.81</v>
      </c>
      <c r="J273" s="82">
        <v>1.54</v>
      </c>
      <c r="K273" s="82">
        <v>0.52</v>
      </c>
      <c r="N273" s="82">
        <v>1.44</v>
      </c>
      <c r="O273" s="191">
        <v>14171.8</v>
      </c>
      <c r="P273" s="82">
        <v>-0.17</v>
      </c>
      <c r="R273" s="82">
        <v>5.71</v>
      </c>
      <c r="S273" s="82">
        <v>5.54</v>
      </c>
      <c r="U273" s="82">
        <v>0.97</v>
      </c>
      <c r="V273" s="82">
        <v>0.03</v>
      </c>
      <c r="W273" s="82">
        <v>0.12</v>
      </c>
      <c r="X273" s="82">
        <v>1.92</v>
      </c>
      <c r="Y273" s="82">
        <v>-5.73</v>
      </c>
      <c r="AA273" s="82">
        <v>66.67</v>
      </c>
      <c r="AB273" s="82">
        <v>3.81</v>
      </c>
      <c r="AC273" s="82">
        <v>-0.09</v>
      </c>
      <c r="AD273" s="191">
        <v>9497566.76</v>
      </c>
    </row>
    <row r="274">
      <c r="A274" s="82" t="s">
        <v>323</v>
      </c>
      <c r="B274" s="82">
        <v>0.0</v>
      </c>
      <c r="D274" s="82">
        <v>0.0</v>
      </c>
      <c r="E274" s="82">
        <v>0.0</v>
      </c>
      <c r="F274" s="82">
        <v>0.0</v>
      </c>
      <c r="G274" s="82">
        <v>100.0</v>
      </c>
      <c r="H274" s="82">
        <v>93.63</v>
      </c>
      <c r="I274" s="82">
        <v>45.81</v>
      </c>
      <c r="J274" s="82">
        <v>0.0</v>
      </c>
      <c r="K274" s="82">
        <v>0.52</v>
      </c>
      <c r="N274" s="82">
        <v>0.0</v>
      </c>
      <c r="O274" s="82">
        <v>0.0</v>
      </c>
      <c r="P274" s="82">
        <v>0.0</v>
      </c>
      <c r="R274" s="82">
        <v>5.71</v>
      </c>
      <c r="S274" s="82">
        <v>5.54</v>
      </c>
      <c r="U274" s="82">
        <v>0.97</v>
      </c>
      <c r="V274" s="82">
        <v>0.03</v>
      </c>
      <c r="W274" s="82">
        <v>0.12</v>
      </c>
      <c r="X274" s="82">
        <v>1.92</v>
      </c>
      <c r="Y274" s="82">
        <v>-5.73</v>
      </c>
      <c r="AA274" s="82">
        <v>66.67</v>
      </c>
      <c r="AB274" s="82">
        <v>3.81</v>
      </c>
      <c r="AC274" s="82">
        <v>0.0</v>
      </c>
      <c r="AD274" s="191">
        <v>9497566.76</v>
      </c>
    </row>
    <row r="275">
      <c r="A275" s="82" t="s">
        <v>324</v>
      </c>
      <c r="B275" s="82">
        <v>3.93</v>
      </c>
      <c r="C275" s="82">
        <v>3.98</v>
      </c>
      <c r="D275" s="82">
        <v>10.97</v>
      </c>
      <c r="E275" s="82">
        <v>1.3</v>
      </c>
      <c r="F275" s="82">
        <v>0.71</v>
      </c>
      <c r="G275" s="82">
        <v>44.7</v>
      </c>
      <c r="H275" s="82">
        <v>24.84</v>
      </c>
      <c r="I275" s="82">
        <v>15.27</v>
      </c>
      <c r="J275" s="82">
        <v>6.74</v>
      </c>
      <c r="K275" s="82">
        <v>6.33</v>
      </c>
      <c r="L275" s="82">
        <v>-0.41</v>
      </c>
      <c r="M275" s="82">
        <v>-0.08</v>
      </c>
      <c r="N275" s="82">
        <v>1.67</v>
      </c>
      <c r="O275" s="82">
        <v>6.99</v>
      </c>
      <c r="P275" s="82">
        <v>-1.01</v>
      </c>
      <c r="Q275" s="82">
        <v>1.53</v>
      </c>
      <c r="R275" s="82">
        <v>11.9</v>
      </c>
      <c r="S275" s="82">
        <v>6.51</v>
      </c>
      <c r="T275" s="82">
        <v>11.68</v>
      </c>
      <c r="U275" s="82">
        <v>0.55</v>
      </c>
      <c r="V275" s="82">
        <v>0.45</v>
      </c>
      <c r="W275" s="82">
        <v>0.43</v>
      </c>
      <c r="Z275" s="191">
        <v>1061979.8</v>
      </c>
      <c r="AA275" s="82">
        <v>2.98</v>
      </c>
      <c r="AB275" s="82">
        <v>0.35</v>
      </c>
      <c r="AC275" s="82">
        <v>1.73</v>
      </c>
      <c r="AD275" s="191">
        <v>1.40837297901E9</v>
      </c>
    </row>
    <row r="276">
      <c r="A276" s="82" t="s">
        <v>325</v>
      </c>
      <c r="B276" s="82">
        <v>0.0</v>
      </c>
      <c r="D276" s="82">
        <v>0.0</v>
      </c>
      <c r="E276" s="82">
        <v>0.0</v>
      </c>
      <c r="F276" s="82">
        <v>0.0</v>
      </c>
      <c r="G276" s="82">
        <v>22.25</v>
      </c>
      <c r="H276" s="82">
        <v>-72.5</v>
      </c>
      <c r="I276" s="82">
        <v>-102.95</v>
      </c>
      <c r="J276" s="82">
        <v>0.0</v>
      </c>
      <c r="K276" s="82">
        <v>-0.44</v>
      </c>
      <c r="L276" s="82">
        <v>-0.44</v>
      </c>
      <c r="N276" s="82">
        <v>0.0</v>
      </c>
      <c r="O276" s="82">
        <v>0.0</v>
      </c>
      <c r="P276" s="82">
        <v>0.0</v>
      </c>
      <c r="Q276" s="82">
        <v>0.15</v>
      </c>
      <c r="R276" s="82">
        <v>-94.35</v>
      </c>
      <c r="S276" s="82">
        <v>-223.42</v>
      </c>
      <c r="T276" s="82">
        <v>100.17</v>
      </c>
      <c r="U276" s="82">
        <v>-2.37</v>
      </c>
      <c r="V276" s="82">
        <v>3.37</v>
      </c>
      <c r="W276" s="82">
        <v>2.17</v>
      </c>
      <c r="X276" s="82">
        <v>-5.08</v>
      </c>
      <c r="AA276" s="82">
        <v>-112.78</v>
      </c>
      <c r="AB276" s="82">
        <v>-106.4</v>
      </c>
      <c r="AC276" s="82">
        <v>0.0</v>
      </c>
      <c r="AD276" s="82">
        <v>0.0</v>
      </c>
    </row>
    <row r="277">
      <c r="A277" s="82" t="s">
        <v>326</v>
      </c>
      <c r="B277" s="82">
        <v>17.72</v>
      </c>
      <c r="C277" s="82">
        <v>2.46</v>
      </c>
      <c r="D277" s="82">
        <v>25.92</v>
      </c>
      <c r="E277" s="82">
        <v>1.87</v>
      </c>
      <c r="F277" s="82">
        <v>0.84</v>
      </c>
      <c r="G277" s="82">
        <v>27.02</v>
      </c>
      <c r="H277" s="82">
        <v>14.26</v>
      </c>
      <c r="I277" s="82">
        <v>6.35</v>
      </c>
      <c r="J277" s="82">
        <v>11.54</v>
      </c>
      <c r="K277" s="82">
        <v>15.28</v>
      </c>
      <c r="L277" s="82">
        <v>3.7</v>
      </c>
      <c r="M277" s="82">
        <v>0.6</v>
      </c>
      <c r="N277" s="82">
        <v>1.65</v>
      </c>
      <c r="O277" s="82">
        <v>10.52</v>
      </c>
      <c r="P277" s="82">
        <v>-1.11</v>
      </c>
      <c r="Q277" s="82">
        <v>1.48</v>
      </c>
      <c r="R277" s="82">
        <v>7.21</v>
      </c>
      <c r="S277" s="82">
        <v>3.24</v>
      </c>
      <c r="T277" s="82">
        <v>7.99</v>
      </c>
      <c r="U277" s="82">
        <v>0.45</v>
      </c>
      <c r="V277" s="82">
        <v>0.55</v>
      </c>
      <c r="W277" s="82">
        <v>0.51</v>
      </c>
      <c r="X277" s="82">
        <v>13.37</v>
      </c>
      <c r="Y277" s="82">
        <v>3.1</v>
      </c>
      <c r="Z277" s="191">
        <v>4.66294561E7</v>
      </c>
      <c r="AA277" s="82">
        <v>9.46</v>
      </c>
      <c r="AB277" s="82">
        <v>0.68</v>
      </c>
      <c r="AC277" s="82">
        <v>3.51</v>
      </c>
      <c r="AD277" s="191">
        <v>9.7126407115E9</v>
      </c>
    </row>
    <row r="278">
      <c r="A278" s="82" t="s">
        <v>327</v>
      </c>
      <c r="B278" s="82">
        <v>14.25</v>
      </c>
      <c r="C278" s="82">
        <v>3.75</v>
      </c>
      <c r="D278" s="82">
        <v>19.82</v>
      </c>
      <c r="E278" s="82">
        <v>0.92</v>
      </c>
      <c r="F278" s="82">
        <v>0.73</v>
      </c>
      <c r="G278" s="82">
        <v>90.74</v>
      </c>
      <c r="H278" s="82">
        <v>31.87</v>
      </c>
      <c r="I278" s="82">
        <v>15.6</v>
      </c>
      <c r="J278" s="82">
        <v>9.7</v>
      </c>
      <c r="K278" s="82">
        <v>9.7</v>
      </c>
      <c r="N278" s="82">
        <v>3.09</v>
      </c>
      <c r="O278" s="82">
        <v>1.16</v>
      </c>
      <c r="P278" s="82">
        <v>-2.42</v>
      </c>
      <c r="Q278" s="82">
        <v>9.25</v>
      </c>
      <c r="R278" s="82">
        <v>4.66</v>
      </c>
      <c r="S278" s="82">
        <v>3.66</v>
      </c>
      <c r="U278" s="82">
        <v>0.79</v>
      </c>
      <c r="V278" s="82">
        <v>0.21</v>
      </c>
      <c r="W278" s="82">
        <v>0.23</v>
      </c>
      <c r="X278" s="82">
        <v>-12.29</v>
      </c>
      <c r="Y278" s="82">
        <v>11.87</v>
      </c>
      <c r="AA278" s="82">
        <v>15.44</v>
      </c>
      <c r="AB278" s="82">
        <v>0.72</v>
      </c>
      <c r="AC278" s="82">
        <v>-0.24</v>
      </c>
      <c r="AD278" s="191">
        <v>1.30213365E7</v>
      </c>
    </row>
    <row r="279">
      <c r="A279" s="82" t="s">
        <v>328</v>
      </c>
      <c r="B279" s="82">
        <v>16.39</v>
      </c>
      <c r="C279" s="82">
        <v>1.48</v>
      </c>
      <c r="D279" s="82">
        <v>13.59</v>
      </c>
      <c r="E279" s="82">
        <v>2.29</v>
      </c>
      <c r="F279" s="82">
        <v>1.12</v>
      </c>
      <c r="G279" s="82">
        <v>34.03</v>
      </c>
      <c r="H279" s="82">
        <v>15.05</v>
      </c>
      <c r="I279" s="82">
        <v>9.57</v>
      </c>
      <c r="J279" s="82">
        <v>8.64</v>
      </c>
      <c r="K279" s="82">
        <v>8.37</v>
      </c>
      <c r="L279" s="82">
        <v>-0.27</v>
      </c>
      <c r="M279" s="82">
        <v>-0.07</v>
      </c>
      <c r="N279" s="82">
        <v>1.3</v>
      </c>
      <c r="O279" s="82">
        <v>3.16</v>
      </c>
      <c r="P279" s="82">
        <v>-2.79</v>
      </c>
      <c r="Q279" s="82">
        <v>2.44</v>
      </c>
      <c r="R279" s="82">
        <v>16.86</v>
      </c>
      <c r="S279" s="82">
        <v>8.23</v>
      </c>
      <c r="T279" s="82">
        <v>14.5</v>
      </c>
      <c r="U279" s="82">
        <v>0.49</v>
      </c>
      <c r="V279" s="82">
        <v>0.51</v>
      </c>
      <c r="W279" s="82">
        <v>0.86</v>
      </c>
      <c r="X279" s="82">
        <v>29.71</v>
      </c>
      <c r="Y279" s="82">
        <v>38.35</v>
      </c>
      <c r="Z279" s="191">
        <v>6716311.35</v>
      </c>
      <c r="AA279" s="82">
        <v>7.14</v>
      </c>
      <c r="AB279" s="82">
        <v>1.2</v>
      </c>
      <c r="AC279" s="82">
        <v>0.2</v>
      </c>
      <c r="AD279" s="191">
        <v>4.41206704462E9</v>
      </c>
    </row>
    <row r="280">
      <c r="A280" s="82" t="s">
        <v>329</v>
      </c>
      <c r="B280" s="82">
        <v>239.0</v>
      </c>
      <c r="D280" s="82">
        <v>-9.22</v>
      </c>
      <c r="E280" s="82">
        <v>-2.23</v>
      </c>
      <c r="F280" s="82">
        <v>0.57</v>
      </c>
      <c r="G280" s="82">
        <v>16.9</v>
      </c>
      <c r="H280" s="82">
        <v>6.84</v>
      </c>
      <c r="I280" s="82">
        <v>-5.72</v>
      </c>
      <c r="J280" s="82">
        <v>7.7</v>
      </c>
      <c r="K280" s="82">
        <v>18.54</v>
      </c>
      <c r="L280" s="82">
        <v>10.84</v>
      </c>
      <c r="N280" s="82">
        <v>0.53</v>
      </c>
      <c r="O280" s="82">
        <v>-1.59</v>
      </c>
      <c r="P280" s="82">
        <v>-1.99</v>
      </c>
      <c r="Q280" s="82">
        <v>0.67</v>
      </c>
      <c r="R280" s="82">
        <v>-24.21</v>
      </c>
      <c r="S280" s="82">
        <v>-6.15</v>
      </c>
      <c r="T280" s="82">
        <v>9.74</v>
      </c>
      <c r="U280" s="82">
        <v>-0.25</v>
      </c>
      <c r="V280" s="82">
        <v>1.21</v>
      </c>
      <c r="W280" s="82">
        <v>1.08</v>
      </c>
      <c r="X280" s="82">
        <v>15.09</v>
      </c>
      <c r="Z280" s="191">
        <v>214538.63</v>
      </c>
      <c r="AA280" s="82">
        <v>-107.11</v>
      </c>
      <c r="AB280" s="82">
        <v>-25.93</v>
      </c>
      <c r="AC280" s="82">
        <v>0.22</v>
      </c>
      <c r="AD280" s="191">
        <v>9.81514206E8</v>
      </c>
    </row>
    <row r="281">
      <c r="A281" s="82" t="s">
        <v>330</v>
      </c>
      <c r="B281" s="82">
        <v>1.9</v>
      </c>
      <c r="D281" s="82">
        <v>-0.69</v>
      </c>
      <c r="E281" s="82">
        <v>-0.05</v>
      </c>
      <c r="F281" s="82">
        <v>0.13</v>
      </c>
      <c r="G281" s="82">
        <v>16.44</v>
      </c>
      <c r="H281" s="82">
        <v>-20.02</v>
      </c>
      <c r="I281" s="82">
        <v>-75.7</v>
      </c>
      <c r="J281" s="82">
        <v>-2.59</v>
      </c>
      <c r="K281" s="82">
        <v>-45.76</v>
      </c>
      <c r="L281" s="82">
        <v>-43.16</v>
      </c>
      <c r="N281" s="82">
        <v>0.52</v>
      </c>
      <c r="O281" s="82">
        <v>-0.04</v>
      </c>
      <c r="P281" s="82">
        <v>-0.14</v>
      </c>
      <c r="Q281" s="82">
        <v>0.03</v>
      </c>
      <c r="R281" s="82">
        <v>-7.67</v>
      </c>
      <c r="S281" s="82">
        <v>-18.86</v>
      </c>
      <c r="T281" s="82">
        <v>20.62</v>
      </c>
      <c r="U281" s="82">
        <v>-2.46</v>
      </c>
      <c r="V281" s="82">
        <v>3.46</v>
      </c>
      <c r="W281" s="82">
        <v>0.25</v>
      </c>
      <c r="X281" s="82">
        <v>-33.74</v>
      </c>
      <c r="Z281" s="191">
        <v>18552.42</v>
      </c>
      <c r="AA281" s="82">
        <v>-36.14</v>
      </c>
      <c r="AB281" s="82">
        <v>-2.77</v>
      </c>
      <c r="AC281" s="82">
        <v>0.0</v>
      </c>
      <c r="AD281" s="191">
        <v>3901851.4</v>
      </c>
    </row>
    <row r="282">
      <c r="A282" s="82" t="s">
        <v>331</v>
      </c>
      <c r="B282" s="82">
        <v>0.0</v>
      </c>
      <c r="D282" s="82">
        <v>0.0</v>
      </c>
      <c r="E282" s="82">
        <v>0.0</v>
      </c>
      <c r="F282" s="82">
        <v>0.0</v>
      </c>
      <c r="J282" s="82">
        <v>0.0</v>
      </c>
      <c r="K282" s="82">
        <v>0.0</v>
      </c>
      <c r="L282" s="82">
        <v>0.0</v>
      </c>
      <c r="M282" s="82">
        <v>0.0</v>
      </c>
      <c r="O282" s="82">
        <v>0.0</v>
      </c>
      <c r="P282" s="82">
        <v>0.0</v>
      </c>
      <c r="Q282" s="82">
        <v>0.0</v>
      </c>
      <c r="R282" s="82">
        <v>-0.95</v>
      </c>
      <c r="S282" s="82">
        <v>-0.9</v>
      </c>
      <c r="T282" s="82">
        <v>-2.42</v>
      </c>
      <c r="U282" s="82">
        <v>0.95</v>
      </c>
      <c r="V282" s="82">
        <v>0.05</v>
      </c>
      <c r="W282" s="82">
        <v>0.0</v>
      </c>
      <c r="AA282" s="82">
        <v>0.01</v>
      </c>
      <c r="AB282" s="82">
        <v>0.0</v>
      </c>
      <c r="AC282" s="82">
        <v>0.0</v>
      </c>
      <c r="AD282" s="82">
        <v>0.0</v>
      </c>
    </row>
    <row r="283">
      <c r="A283" s="82" t="s">
        <v>332</v>
      </c>
      <c r="B283" s="82">
        <v>2.05</v>
      </c>
      <c r="D283" s="82">
        <v>3.44</v>
      </c>
      <c r="E283" s="82">
        <v>0.28</v>
      </c>
      <c r="F283" s="82">
        <v>0.25</v>
      </c>
      <c r="G283" s="82">
        <v>100.0</v>
      </c>
      <c r="H283" s="82">
        <v>82.45</v>
      </c>
      <c r="I283" s="82">
        <v>77.51</v>
      </c>
      <c r="J283" s="82">
        <v>3.23</v>
      </c>
      <c r="K283" s="82">
        <v>4.18</v>
      </c>
      <c r="L283" s="82">
        <v>0.96</v>
      </c>
      <c r="M283" s="82">
        <v>0.08</v>
      </c>
      <c r="N283" s="82">
        <v>2.67</v>
      </c>
      <c r="O283" s="82">
        <v>-9.67</v>
      </c>
      <c r="P283" s="82">
        <v>-0.26</v>
      </c>
      <c r="Q283" s="82">
        <v>0.46</v>
      </c>
      <c r="R283" s="82">
        <v>8.22</v>
      </c>
      <c r="S283" s="82">
        <v>7.38</v>
      </c>
      <c r="T283" s="82">
        <v>7.89</v>
      </c>
      <c r="U283" s="82">
        <v>0.9</v>
      </c>
      <c r="V283" s="82">
        <v>0.1</v>
      </c>
      <c r="W283" s="82">
        <v>0.1</v>
      </c>
      <c r="Z283" s="191">
        <v>84467.8</v>
      </c>
      <c r="AA283" s="82">
        <v>7.25</v>
      </c>
      <c r="AB283" s="82">
        <v>0.6</v>
      </c>
      <c r="AC283" s="82">
        <v>-0.03</v>
      </c>
      <c r="AD283" s="191">
        <v>2.3471503152E8</v>
      </c>
    </row>
    <row r="284">
      <c r="A284" s="82" t="s">
        <v>333</v>
      </c>
      <c r="B284" s="82">
        <v>10.4</v>
      </c>
      <c r="D284" s="82">
        <v>-14.97</v>
      </c>
      <c r="E284" s="82">
        <v>1.32</v>
      </c>
      <c r="F284" s="82">
        <v>0.79</v>
      </c>
      <c r="G284" s="82">
        <v>43.48</v>
      </c>
      <c r="H284" s="82">
        <v>3.79</v>
      </c>
      <c r="I284" s="82">
        <v>-10.14</v>
      </c>
      <c r="J284" s="82">
        <v>40.09</v>
      </c>
      <c r="K284" s="82">
        <v>47.57</v>
      </c>
      <c r="L284" s="82">
        <v>7.48</v>
      </c>
      <c r="M284" s="82">
        <v>0.25</v>
      </c>
      <c r="N284" s="82">
        <v>1.52</v>
      </c>
      <c r="O284" s="82">
        <v>7.57</v>
      </c>
      <c r="P284" s="82">
        <v>-1.43</v>
      </c>
      <c r="Q284" s="82">
        <v>1.31</v>
      </c>
      <c r="R284" s="82">
        <v>-8.83</v>
      </c>
      <c r="S284" s="82">
        <v>-5.29</v>
      </c>
      <c r="T284" s="82">
        <v>-0.1</v>
      </c>
      <c r="U284" s="82">
        <v>0.6</v>
      </c>
      <c r="V284" s="82">
        <v>0.4</v>
      </c>
      <c r="W284" s="82">
        <v>0.52</v>
      </c>
      <c r="X284" s="82">
        <v>12.83</v>
      </c>
      <c r="AA284" s="82">
        <v>7.86</v>
      </c>
      <c r="AB284" s="82">
        <v>-0.69</v>
      </c>
      <c r="AC284" s="82">
        <v>0.06</v>
      </c>
      <c r="AD284" s="191">
        <v>1.1088719824E9</v>
      </c>
    </row>
    <row r="285">
      <c r="A285" s="82" t="s">
        <v>334</v>
      </c>
      <c r="B285" s="82">
        <v>27.24</v>
      </c>
      <c r="C285" s="82">
        <v>6.87</v>
      </c>
      <c r="D285" s="82">
        <v>7.54</v>
      </c>
      <c r="E285" s="82">
        <v>1.21</v>
      </c>
      <c r="F285" s="82">
        <v>0.72</v>
      </c>
      <c r="G285" s="82">
        <v>42.67</v>
      </c>
      <c r="H285" s="82">
        <v>37.35</v>
      </c>
      <c r="I285" s="82">
        <v>24.44</v>
      </c>
      <c r="J285" s="82">
        <v>4.94</v>
      </c>
      <c r="K285" s="82">
        <v>5.69</v>
      </c>
      <c r="L285" s="82">
        <v>0.89</v>
      </c>
      <c r="M285" s="82">
        <v>0.22</v>
      </c>
      <c r="N285" s="82">
        <v>1.84</v>
      </c>
      <c r="O285" s="82">
        <v>-6.45</v>
      </c>
      <c r="P285" s="82">
        <v>-0.83</v>
      </c>
      <c r="Q285" s="82">
        <v>0.54</v>
      </c>
      <c r="R285" s="82">
        <v>16.06</v>
      </c>
      <c r="S285" s="82">
        <v>9.61</v>
      </c>
      <c r="T285" s="82">
        <v>13.62</v>
      </c>
      <c r="U285" s="82">
        <v>0.6</v>
      </c>
      <c r="V285" s="82">
        <v>0.4</v>
      </c>
      <c r="W285" s="82">
        <v>0.39</v>
      </c>
      <c r="X285" s="82">
        <v>-1.18</v>
      </c>
      <c r="Y285" s="82">
        <v>6.94</v>
      </c>
      <c r="Z285" s="191">
        <v>16021.86</v>
      </c>
      <c r="AA285" s="82">
        <v>22.48</v>
      </c>
      <c r="AB285" s="82">
        <v>3.61</v>
      </c>
      <c r="AC285" s="82">
        <v>0.06</v>
      </c>
      <c r="AD285" s="191">
        <v>2.50059333384E9</v>
      </c>
    </row>
    <row r="286">
      <c r="A286" s="82" t="s">
        <v>335</v>
      </c>
      <c r="B286" s="82">
        <v>26.1</v>
      </c>
      <c r="C286" s="82">
        <v>7.17</v>
      </c>
      <c r="D286" s="82">
        <v>7.23</v>
      </c>
      <c r="E286" s="82">
        <v>1.16</v>
      </c>
      <c r="F286" s="82">
        <v>0.69</v>
      </c>
      <c r="G286" s="82">
        <v>42.67</v>
      </c>
      <c r="H286" s="82">
        <v>37.35</v>
      </c>
      <c r="I286" s="82">
        <v>24.44</v>
      </c>
      <c r="J286" s="82">
        <v>4.73</v>
      </c>
      <c r="K286" s="82">
        <v>5.69</v>
      </c>
      <c r="L286" s="82">
        <v>0.89</v>
      </c>
      <c r="M286" s="82">
        <v>0.22</v>
      </c>
      <c r="N286" s="82">
        <v>1.77</v>
      </c>
      <c r="O286" s="82">
        <v>-6.18</v>
      </c>
      <c r="P286" s="82">
        <v>-0.8</v>
      </c>
      <c r="Q286" s="82">
        <v>0.54</v>
      </c>
      <c r="R286" s="82">
        <v>16.06</v>
      </c>
      <c r="S286" s="82">
        <v>9.61</v>
      </c>
      <c r="T286" s="82">
        <v>13.62</v>
      </c>
      <c r="U286" s="82">
        <v>0.6</v>
      </c>
      <c r="V286" s="82">
        <v>0.4</v>
      </c>
      <c r="W286" s="82">
        <v>0.39</v>
      </c>
      <c r="X286" s="82">
        <v>-1.18</v>
      </c>
      <c r="Y286" s="82">
        <v>6.94</v>
      </c>
      <c r="Z286" s="191">
        <v>60428.32</v>
      </c>
      <c r="AA286" s="82">
        <v>22.48</v>
      </c>
      <c r="AB286" s="82">
        <v>3.61</v>
      </c>
      <c r="AC286" s="82">
        <v>0.06</v>
      </c>
      <c r="AD286" s="191">
        <v>2.50059333384E9</v>
      </c>
    </row>
    <row r="287">
      <c r="A287" s="82" t="s">
        <v>336</v>
      </c>
      <c r="B287" s="82">
        <v>4.81</v>
      </c>
      <c r="D287" s="82">
        <v>15.12</v>
      </c>
      <c r="E287" s="82">
        <v>2.48</v>
      </c>
      <c r="F287" s="82">
        <v>0.16</v>
      </c>
      <c r="G287" s="82">
        <v>41.43</v>
      </c>
      <c r="H287" s="82">
        <v>18.41</v>
      </c>
      <c r="I287" s="82">
        <v>17.71</v>
      </c>
      <c r="J287" s="82">
        <v>14.55</v>
      </c>
      <c r="L287" s="82">
        <v>0.99</v>
      </c>
      <c r="M287" s="82">
        <v>0.17</v>
      </c>
      <c r="N287" s="82">
        <v>2.68</v>
      </c>
      <c r="O287" s="82">
        <v>6.28</v>
      </c>
      <c r="P287" s="82">
        <v>-3.92</v>
      </c>
      <c r="Q287" s="82">
        <v>1.03</v>
      </c>
      <c r="R287" s="82">
        <v>16.41</v>
      </c>
      <c r="S287" s="82">
        <v>1.07</v>
      </c>
      <c r="T287" s="82">
        <v>10.57</v>
      </c>
      <c r="U287" s="82">
        <v>0.07</v>
      </c>
      <c r="V287" s="82">
        <v>0.93</v>
      </c>
      <c r="W287" s="82">
        <v>0.06</v>
      </c>
      <c r="AA287" s="82">
        <v>1.94</v>
      </c>
      <c r="AB287" s="82">
        <v>0.32</v>
      </c>
      <c r="AC287" s="82">
        <v>0.13</v>
      </c>
    </row>
    <row r="288">
      <c r="A288" s="82" t="s">
        <v>337</v>
      </c>
      <c r="B288" s="82">
        <v>2.4</v>
      </c>
      <c r="D288" s="82">
        <v>7.55</v>
      </c>
      <c r="E288" s="82">
        <v>1.24</v>
      </c>
      <c r="F288" s="82">
        <v>0.08</v>
      </c>
      <c r="G288" s="82">
        <v>41.43</v>
      </c>
      <c r="H288" s="82">
        <v>18.41</v>
      </c>
      <c r="I288" s="82">
        <v>17.71</v>
      </c>
      <c r="J288" s="82">
        <v>7.26</v>
      </c>
      <c r="L288" s="82">
        <v>0.99</v>
      </c>
      <c r="M288" s="82">
        <v>0.17</v>
      </c>
      <c r="N288" s="82">
        <v>1.34</v>
      </c>
      <c r="O288" s="82">
        <v>3.13</v>
      </c>
      <c r="P288" s="82">
        <v>-1.96</v>
      </c>
      <c r="Q288" s="82">
        <v>1.03</v>
      </c>
      <c r="R288" s="82">
        <v>16.41</v>
      </c>
      <c r="S288" s="82">
        <v>1.07</v>
      </c>
      <c r="T288" s="82">
        <v>10.57</v>
      </c>
      <c r="U288" s="82">
        <v>0.07</v>
      </c>
      <c r="V288" s="82">
        <v>0.93</v>
      </c>
      <c r="W288" s="82">
        <v>0.06</v>
      </c>
      <c r="AA288" s="82">
        <v>1.94</v>
      </c>
      <c r="AB288" s="82">
        <v>0.32</v>
      </c>
      <c r="AC288" s="82">
        <v>0.07</v>
      </c>
    </row>
    <row r="289">
      <c r="A289" s="82" t="s">
        <v>338</v>
      </c>
      <c r="B289" s="82">
        <v>2.4</v>
      </c>
      <c r="D289" s="82">
        <v>7.55</v>
      </c>
      <c r="E289" s="82">
        <v>1.24</v>
      </c>
      <c r="F289" s="82">
        <v>0.08</v>
      </c>
      <c r="G289" s="82">
        <v>41.43</v>
      </c>
      <c r="H289" s="82">
        <v>18.41</v>
      </c>
      <c r="I289" s="82">
        <v>17.71</v>
      </c>
      <c r="J289" s="82">
        <v>7.26</v>
      </c>
      <c r="L289" s="82">
        <v>0.99</v>
      </c>
      <c r="M289" s="82">
        <v>0.17</v>
      </c>
      <c r="N289" s="82">
        <v>1.34</v>
      </c>
      <c r="O289" s="82">
        <v>3.13</v>
      </c>
      <c r="P289" s="82">
        <v>-1.96</v>
      </c>
      <c r="Q289" s="82">
        <v>1.03</v>
      </c>
      <c r="R289" s="82">
        <v>16.41</v>
      </c>
      <c r="S289" s="82">
        <v>1.07</v>
      </c>
      <c r="T289" s="82">
        <v>10.57</v>
      </c>
      <c r="U289" s="82">
        <v>0.07</v>
      </c>
      <c r="V289" s="82">
        <v>0.93</v>
      </c>
      <c r="W289" s="82">
        <v>0.06</v>
      </c>
      <c r="AA289" s="82">
        <v>1.94</v>
      </c>
      <c r="AB289" s="82">
        <v>0.32</v>
      </c>
      <c r="AC289" s="82">
        <v>0.07</v>
      </c>
    </row>
    <row r="290">
      <c r="A290" s="82" t="s">
        <v>339</v>
      </c>
      <c r="B290" s="82">
        <v>8.93</v>
      </c>
      <c r="D290" s="82">
        <v>-2.66</v>
      </c>
      <c r="E290" s="82">
        <v>0.34</v>
      </c>
      <c r="F290" s="82">
        <v>0.11</v>
      </c>
      <c r="G290" s="82">
        <v>3.46</v>
      </c>
      <c r="H290" s="82">
        <v>-23.01</v>
      </c>
      <c r="I290" s="82">
        <v>-18.28</v>
      </c>
      <c r="J290" s="82">
        <v>-2.11</v>
      </c>
      <c r="K290" s="82">
        <v>-8.41</v>
      </c>
      <c r="L290" s="82">
        <v>-6.19</v>
      </c>
      <c r="M290" s="82">
        <v>1.0</v>
      </c>
      <c r="N290" s="82">
        <v>0.49</v>
      </c>
      <c r="O290" s="82">
        <v>0.31</v>
      </c>
      <c r="P290" s="82">
        <v>-0.36</v>
      </c>
      <c r="Q290" s="82">
        <v>2.03</v>
      </c>
      <c r="R290" s="82">
        <v>-12.88</v>
      </c>
      <c r="S290" s="82">
        <v>-4.13</v>
      </c>
      <c r="T290" s="82">
        <v>-8.1</v>
      </c>
      <c r="U290" s="82">
        <v>0.32</v>
      </c>
      <c r="V290" s="82">
        <v>0.68</v>
      </c>
      <c r="W290" s="82">
        <v>0.23</v>
      </c>
      <c r="X290" s="82">
        <v>7.64</v>
      </c>
      <c r="Z290" s="191">
        <v>3.135284815E7</v>
      </c>
      <c r="AA290" s="82">
        <v>26.68</v>
      </c>
      <c r="AB290" s="82">
        <v>-3.44</v>
      </c>
      <c r="AC290" s="82">
        <v>0.0</v>
      </c>
      <c r="AD290" s="191">
        <v>6.07365216E8</v>
      </c>
    </row>
    <row r="291">
      <c r="A291" s="82" t="s">
        <v>340</v>
      </c>
      <c r="B291" s="82">
        <v>21.1</v>
      </c>
      <c r="C291" s="82">
        <v>7.64</v>
      </c>
      <c r="D291" s="82">
        <v>4.56</v>
      </c>
      <c r="E291" s="82">
        <v>0.73</v>
      </c>
      <c r="F291" s="82">
        <v>0.48</v>
      </c>
      <c r="G291" s="82">
        <v>17.5</v>
      </c>
      <c r="H291" s="82">
        <v>16.69</v>
      </c>
      <c r="I291" s="82">
        <v>11.27</v>
      </c>
      <c r="J291" s="82">
        <v>3.07</v>
      </c>
      <c r="K291" s="82">
        <v>3.74</v>
      </c>
      <c r="L291" s="82">
        <v>0.45</v>
      </c>
      <c r="M291" s="82">
        <v>0.11</v>
      </c>
      <c r="N291" s="82">
        <v>0.51</v>
      </c>
      <c r="O291" s="82">
        <v>1.82</v>
      </c>
      <c r="P291" s="82">
        <v>-0.81</v>
      </c>
      <c r="Q291" s="82">
        <v>2.93</v>
      </c>
      <c r="R291" s="82">
        <v>16.07</v>
      </c>
      <c r="S291" s="82">
        <v>10.64</v>
      </c>
      <c r="T291" s="82">
        <v>15.45</v>
      </c>
      <c r="U291" s="82">
        <v>0.66</v>
      </c>
      <c r="V291" s="82">
        <v>0.34</v>
      </c>
      <c r="W291" s="82">
        <v>0.94</v>
      </c>
      <c r="X291" s="82">
        <v>17.42</v>
      </c>
      <c r="Z291" s="191">
        <v>1299914.55</v>
      </c>
      <c r="AA291" s="82">
        <v>28.8</v>
      </c>
      <c r="AB291" s="82">
        <v>4.63</v>
      </c>
      <c r="AC291" s="82">
        <v>-0.11</v>
      </c>
      <c r="AD291" s="191">
        <v>3.962784388488E10</v>
      </c>
    </row>
    <row r="292">
      <c r="A292" s="82" t="s">
        <v>341</v>
      </c>
      <c r="B292" s="82">
        <v>23.54</v>
      </c>
      <c r="C292" s="82">
        <v>6.87</v>
      </c>
      <c r="D292" s="82">
        <v>5.07</v>
      </c>
      <c r="E292" s="82">
        <v>0.81</v>
      </c>
      <c r="F292" s="82">
        <v>0.54</v>
      </c>
      <c r="G292" s="82">
        <v>17.5</v>
      </c>
      <c r="H292" s="82">
        <v>16.69</v>
      </c>
      <c r="I292" s="82">
        <v>11.27</v>
      </c>
      <c r="J292" s="82">
        <v>3.42</v>
      </c>
      <c r="K292" s="82">
        <v>3.74</v>
      </c>
      <c r="L292" s="82">
        <v>0.45</v>
      </c>
      <c r="M292" s="82">
        <v>0.11</v>
      </c>
      <c r="N292" s="82">
        <v>0.57</v>
      </c>
      <c r="O292" s="82">
        <v>2.02</v>
      </c>
      <c r="P292" s="82">
        <v>-0.9</v>
      </c>
      <c r="Q292" s="82">
        <v>2.93</v>
      </c>
      <c r="R292" s="82">
        <v>16.07</v>
      </c>
      <c r="S292" s="82">
        <v>10.64</v>
      </c>
      <c r="T292" s="82">
        <v>15.45</v>
      </c>
      <c r="U292" s="82">
        <v>0.66</v>
      </c>
      <c r="V292" s="82">
        <v>0.34</v>
      </c>
      <c r="W292" s="82">
        <v>0.94</v>
      </c>
      <c r="X292" s="82">
        <v>17.42</v>
      </c>
      <c r="Z292" s="191">
        <v>1.834847602E8</v>
      </c>
      <c r="AA292" s="82">
        <v>28.8</v>
      </c>
      <c r="AB292" s="82">
        <v>4.63</v>
      </c>
      <c r="AC292" s="82">
        <v>-0.12</v>
      </c>
      <c r="AD292" s="191">
        <v>3.962784388488E10</v>
      </c>
    </row>
    <row r="293">
      <c r="A293" s="82" t="s">
        <v>342</v>
      </c>
      <c r="B293" s="82">
        <v>18.54</v>
      </c>
      <c r="C293" s="82">
        <v>1.4</v>
      </c>
      <c r="D293" s="82">
        <v>20.89</v>
      </c>
      <c r="E293" s="82">
        <v>4.21</v>
      </c>
      <c r="F293" s="82">
        <v>1.28</v>
      </c>
      <c r="G293" s="82">
        <v>17.38</v>
      </c>
      <c r="H293" s="82">
        <v>10.75</v>
      </c>
      <c r="I293" s="82">
        <v>5.8</v>
      </c>
      <c r="J293" s="82">
        <v>11.27</v>
      </c>
      <c r="K293" s="82">
        <v>11.64</v>
      </c>
      <c r="L293" s="82">
        <v>0.46</v>
      </c>
      <c r="M293" s="82">
        <v>0.17</v>
      </c>
      <c r="N293" s="82">
        <v>1.21</v>
      </c>
      <c r="O293" s="82">
        <v>3.82</v>
      </c>
      <c r="P293" s="82">
        <v>-2.97</v>
      </c>
      <c r="Q293" s="82">
        <v>2.45</v>
      </c>
      <c r="R293" s="82">
        <v>20.15</v>
      </c>
      <c r="S293" s="82">
        <v>6.15</v>
      </c>
      <c r="T293" s="82">
        <v>13.59</v>
      </c>
      <c r="U293" s="82">
        <v>0.3</v>
      </c>
      <c r="V293" s="82">
        <v>0.69</v>
      </c>
      <c r="W293" s="82">
        <v>1.06</v>
      </c>
      <c r="Z293" s="191">
        <v>3.05749141E7</v>
      </c>
      <c r="AA293" s="82">
        <v>4.39</v>
      </c>
      <c r="AB293" s="82">
        <v>0.88</v>
      </c>
      <c r="AC293" s="82">
        <v>0.7</v>
      </c>
      <c r="AD293" s="191">
        <v>1.232088099411E10</v>
      </c>
    </row>
    <row r="294">
      <c r="A294" s="82" t="s">
        <v>343</v>
      </c>
      <c r="B294" s="82">
        <v>6.9</v>
      </c>
      <c r="D294" s="82">
        <v>13.33</v>
      </c>
      <c r="E294" s="82">
        <v>1.84</v>
      </c>
      <c r="F294" s="82">
        <v>1.01</v>
      </c>
      <c r="G294" s="82">
        <v>21.56</v>
      </c>
      <c r="H294" s="82">
        <v>6.17</v>
      </c>
      <c r="I294" s="82">
        <v>4.52</v>
      </c>
      <c r="J294" s="82">
        <v>9.76</v>
      </c>
      <c r="K294" s="82">
        <v>11.34</v>
      </c>
      <c r="L294" s="82">
        <v>1.62</v>
      </c>
      <c r="M294" s="82">
        <v>0.31</v>
      </c>
      <c r="N294" s="82">
        <v>0.6</v>
      </c>
      <c r="O294" s="82">
        <v>2.5</v>
      </c>
      <c r="P294" s="82">
        <v>-2.65</v>
      </c>
      <c r="Q294" s="82">
        <v>2.9</v>
      </c>
      <c r="R294" s="82">
        <v>13.8</v>
      </c>
      <c r="S294" s="82">
        <v>7.59</v>
      </c>
      <c r="T294" s="82">
        <v>12.73</v>
      </c>
      <c r="U294" s="82">
        <v>0.55</v>
      </c>
      <c r="V294" s="82">
        <v>0.44</v>
      </c>
      <c r="W294" s="82">
        <v>1.68</v>
      </c>
      <c r="X294" s="82">
        <v>30.71</v>
      </c>
      <c r="Y294" s="82">
        <v>48.33</v>
      </c>
      <c r="Z294" s="191">
        <v>3.71642699E7</v>
      </c>
      <c r="AA294" s="82">
        <v>3.75</v>
      </c>
      <c r="AB294" s="82">
        <v>0.52</v>
      </c>
      <c r="AC294" s="82">
        <v>0.65</v>
      </c>
      <c r="AD294" s="191">
        <v>1.517820756273E10</v>
      </c>
    </row>
    <row r="295">
      <c r="A295" s="82" t="s">
        <v>344</v>
      </c>
      <c r="B295" s="82">
        <v>66.95</v>
      </c>
      <c r="D295" s="191">
        <v>-3584.81</v>
      </c>
      <c r="E295" s="82">
        <v>5.84</v>
      </c>
      <c r="F295" s="82">
        <v>2.38</v>
      </c>
      <c r="G295" s="82">
        <v>18.55</v>
      </c>
      <c r="H295" s="82">
        <v>3.28</v>
      </c>
      <c r="I295" s="82">
        <v>-0.1</v>
      </c>
      <c r="J295" s="82">
        <v>104.45</v>
      </c>
      <c r="K295" s="82">
        <v>109.34</v>
      </c>
      <c r="L295" s="82">
        <v>4.9</v>
      </c>
      <c r="M295" s="82">
        <v>0.27</v>
      </c>
      <c r="N295" s="82">
        <v>3.42</v>
      </c>
      <c r="O295" s="82">
        <v>79.65</v>
      </c>
      <c r="P295" s="82">
        <v>-3.01</v>
      </c>
      <c r="Q295" s="82">
        <v>1.17</v>
      </c>
      <c r="R295" s="82">
        <v>-0.16</v>
      </c>
      <c r="S295" s="82">
        <v>-0.07</v>
      </c>
      <c r="T295" s="82">
        <v>2.22</v>
      </c>
      <c r="U295" s="82">
        <v>0.41</v>
      </c>
      <c r="V295" s="82">
        <v>0.59</v>
      </c>
      <c r="W295" s="82">
        <v>0.69</v>
      </c>
      <c r="X295" s="82">
        <v>29.03</v>
      </c>
      <c r="AA295" s="82">
        <v>11.47</v>
      </c>
      <c r="AB295" s="82">
        <v>-0.02</v>
      </c>
      <c r="AC295" s="82">
        <v>35.34</v>
      </c>
      <c r="AD295" s="191">
        <v>4.152644308605E10</v>
      </c>
    </row>
    <row r="296">
      <c r="A296" s="82" t="s">
        <v>345</v>
      </c>
      <c r="B296" s="82">
        <v>11.06</v>
      </c>
      <c r="C296" s="82">
        <v>14.35</v>
      </c>
      <c r="D296" s="82">
        <v>4.17</v>
      </c>
      <c r="E296" s="82">
        <v>0.64</v>
      </c>
      <c r="F296" s="82">
        <v>0.15</v>
      </c>
      <c r="G296" s="82">
        <v>17.5</v>
      </c>
      <c r="H296" s="82">
        <v>16.6</v>
      </c>
      <c r="I296" s="82">
        <v>3.8</v>
      </c>
      <c r="J296" s="82">
        <v>0.96</v>
      </c>
      <c r="K296" s="82">
        <v>1.31</v>
      </c>
      <c r="L296" s="82">
        <v>0.38</v>
      </c>
      <c r="M296" s="82">
        <v>0.25</v>
      </c>
      <c r="N296" s="82">
        <v>0.16</v>
      </c>
      <c r="O296" s="82">
        <v>0.54</v>
      </c>
      <c r="P296" s="82">
        <v>-0.25</v>
      </c>
      <c r="Q296" s="82">
        <v>3.02</v>
      </c>
      <c r="R296" s="82">
        <v>15.29</v>
      </c>
      <c r="S296" s="82">
        <v>3.54</v>
      </c>
      <c r="T296" s="82">
        <v>15.06</v>
      </c>
      <c r="U296" s="82">
        <v>0.23</v>
      </c>
      <c r="V296" s="82">
        <v>0.33</v>
      </c>
      <c r="W296" s="82">
        <v>0.93</v>
      </c>
      <c r="X296" s="82">
        <v>17.42</v>
      </c>
      <c r="Z296" s="191">
        <v>693130.4</v>
      </c>
      <c r="AA296" s="82">
        <v>17.38</v>
      </c>
      <c r="AB296" s="82">
        <v>2.66</v>
      </c>
      <c r="AC296" s="82">
        <v>-0.1</v>
      </c>
      <c r="AD296" s="191">
        <v>1.117951330119E10</v>
      </c>
    </row>
    <row r="297">
      <c r="A297" s="82" t="s">
        <v>346</v>
      </c>
      <c r="B297" s="82">
        <v>10.8</v>
      </c>
      <c r="C297" s="82">
        <v>14.75</v>
      </c>
      <c r="D297" s="82">
        <v>4.06</v>
      </c>
      <c r="E297" s="82">
        <v>0.62</v>
      </c>
      <c r="F297" s="82">
        <v>0.14</v>
      </c>
      <c r="G297" s="82">
        <v>17.5</v>
      </c>
      <c r="H297" s="82">
        <v>16.6</v>
      </c>
      <c r="I297" s="82">
        <v>3.8</v>
      </c>
      <c r="J297" s="82">
        <v>0.93</v>
      </c>
      <c r="K297" s="82">
        <v>1.31</v>
      </c>
      <c r="L297" s="82">
        <v>0.38</v>
      </c>
      <c r="M297" s="82">
        <v>0.25</v>
      </c>
      <c r="N297" s="82">
        <v>0.15</v>
      </c>
      <c r="O297" s="82">
        <v>0.52</v>
      </c>
      <c r="P297" s="82">
        <v>-0.24</v>
      </c>
      <c r="Q297" s="82">
        <v>3.02</v>
      </c>
      <c r="R297" s="82">
        <v>15.29</v>
      </c>
      <c r="S297" s="82">
        <v>3.54</v>
      </c>
      <c r="T297" s="82">
        <v>15.06</v>
      </c>
      <c r="U297" s="82">
        <v>0.23</v>
      </c>
      <c r="V297" s="82">
        <v>0.33</v>
      </c>
      <c r="W297" s="82">
        <v>0.93</v>
      </c>
      <c r="X297" s="82">
        <v>17.42</v>
      </c>
      <c r="Z297" s="191">
        <v>8.930232055E7</v>
      </c>
      <c r="AA297" s="82">
        <v>17.38</v>
      </c>
      <c r="AB297" s="82">
        <v>2.66</v>
      </c>
      <c r="AC297" s="82">
        <v>-0.1</v>
      </c>
      <c r="AD297" s="191">
        <v>1.117951330119E10</v>
      </c>
    </row>
    <row r="298">
      <c r="A298" s="82" t="s">
        <v>1699</v>
      </c>
      <c r="B298" s="82">
        <v>8.29</v>
      </c>
      <c r="D298" s="82">
        <v>250.37</v>
      </c>
      <c r="E298" s="82">
        <v>-1.21</v>
      </c>
      <c r="F298" s="82">
        <v>1.55</v>
      </c>
      <c r="G298" s="82">
        <v>29.03</v>
      </c>
      <c r="H298" s="82">
        <v>15.11</v>
      </c>
      <c r="I298" s="82">
        <v>0.58</v>
      </c>
      <c r="J298" s="82">
        <v>9.54</v>
      </c>
      <c r="K298" s="82">
        <v>4.66</v>
      </c>
      <c r="L298" s="82">
        <v>3.41</v>
      </c>
      <c r="N298" s="82">
        <v>1.44</v>
      </c>
      <c r="O298" s="82">
        <v>-2.55</v>
      </c>
      <c r="P298" s="82">
        <v>-1.95</v>
      </c>
      <c r="Q298" s="82">
        <v>0.25</v>
      </c>
      <c r="R298" s="82">
        <v>-0.48</v>
      </c>
      <c r="S298" s="82">
        <v>0.62</v>
      </c>
      <c r="T298" s="82">
        <v>-23.52</v>
      </c>
      <c r="U298" s="82">
        <v>-1.28</v>
      </c>
      <c r="V298" s="82">
        <v>2.28</v>
      </c>
      <c r="W298" s="82">
        <v>1.07</v>
      </c>
      <c r="X298" s="82">
        <v>8.03</v>
      </c>
      <c r="Y298" s="82">
        <v>41.44</v>
      </c>
      <c r="Z298" s="191">
        <v>5.869531235E7</v>
      </c>
      <c r="AA298" s="82">
        <v>-6.88</v>
      </c>
      <c r="AB298" s="82">
        <v>0.03</v>
      </c>
      <c r="AC298" s="82">
        <v>-2.45</v>
      </c>
      <c r="AD298" s="191">
        <v>3.48809507032E9</v>
      </c>
    </row>
    <row r="299">
      <c r="A299" s="82" t="s">
        <v>348</v>
      </c>
      <c r="B299" s="82">
        <v>50.0</v>
      </c>
      <c r="D299" s="82">
        <v>91.48</v>
      </c>
      <c r="E299" s="82">
        <v>5.48</v>
      </c>
      <c r="F299" s="82">
        <v>5.24</v>
      </c>
      <c r="G299" s="82">
        <v>-23.58</v>
      </c>
      <c r="H299" s="82">
        <v>-1.12</v>
      </c>
      <c r="I299" s="82">
        <v>602.31</v>
      </c>
      <c r="J299" s="191">
        <v>-49183.03</v>
      </c>
      <c r="K299" s="191">
        <v>-46913.4</v>
      </c>
      <c r="L299" s="191">
        <v>2269.63</v>
      </c>
      <c r="M299" s="82">
        <v>-0.25</v>
      </c>
      <c r="N299" s="82">
        <v>551.01</v>
      </c>
      <c r="O299" s="82">
        <v>18.65</v>
      </c>
      <c r="P299" s="82">
        <v>-7.39</v>
      </c>
      <c r="Q299" s="82">
        <v>30.83</v>
      </c>
      <c r="R299" s="82">
        <v>5.99</v>
      </c>
      <c r="S299" s="82">
        <v>5.73</v>
      </c>
      <c r="T299" s="82">
        <v>-1.18</v>
      </c>
      <c r="U299" s="82">
        <v>0.96</v>
      </c>
      <c r="V299" s="82">
        <v>0.04</v>
      </c>
      <c r="W299" s="82">
        <v>0.01</v>
      </c>
      <c r="X299" s="82">
        <v>-9.31</v>
      </c>
      <c r="Y299" s="82">
        <v>-50.35</v>
      </c>
      <c r="Z299" s="191">
        <v>5000.0</v>
      </c>
      <c r="AA299" s="82">
        <v>9.13</v>
      </c>
      <c r="AB299" s="82">
        <v>0.55</v>
      </c>
      <c r="AC299" s="82">
        <v>-0.96</v>
      </c>
      <c r="AD299" s="191">
        <v>3.9838251E9</v>
      </c>
    </row>
    <row r="300">
      <c r="A300" s="82" t="s">
        <v>349</v>
      </c>
      <c r="B300" s="82">
        <v>2.75</v>
      </c>
      <c r="D300" s="82">
        <v>-0.23</v>
      </c>
      <c r="E300" s="82">
        <v>0.12</v>
      </c>
      <c r="F300" s="82">
        <v>0.04</v>
      </c>
      <c r="G300" s="82">
        <v>100.0</v>
      </c>
      <c r="H300" s="82">
        <v>124.93</v>
      </c>
      <c r="I300" s="82">
        <v>113.1</v>
      </c>
      <c r="J300" s="82">
        <v>-0.2</v>
      </c>
      <c r="K300" s="82">
        <v>0.25</v>
      </c>
      <c r="L300" s="82">
        <v>0.46</v>
      </c>
      <c r="M300" s="82">
        <v>-0.28</v>
      </c>
      <c r="O300" s="82">
        <v>0.38</v>
      </c>
      <c r="P300" s="82">
        <v>-0.07</v>
      </c>
      <c r="Q300" s="82">
        <v>1.38</v>
      </c>
      <c r="R300" s="82">
        <v>-54.77</v>
      </c>
      <c r="S300" s="82">
        <v>-17.67</v>
      </c>
      <c r="T300" s="82">
        <v>-23.53</v>
      </c>
      <c r="U300" s="82">
        <v>0.32</v>
      </c>
      <c r="V300" s="82">
        <v>0.46</v>
      </c>
      <c r="W300" s="82">
        <v>-0.16</v>
      </c>
      <c r="Z300" s="191">
        <v>388849.35</v>
      </c>
      <c r="AA300" s="82">
        <v>22.21</v>
      </c>
      <c r="AB300" s="82">
        <v>-12.16</v>
      </c>
      <c r="AC300" s="82">
        <v>-0.01</v>
      </c>
      <c r="AD300" s="191">
        <v>1.1892621125E8</v>
      </c>
    </row>
    <row r="301">
      <c r="A301" s="82" t="s">
        <v>350</v>
      </c>
      <c r="B301" s="82">
        <v>0.0</v>
      </c>
      <c r="D301" s="82">
        <v>0.0</v>
      </c>
      <c r="E301" s="82">
        <v>0.0</v>
      </c>
      <c r="F301" s="82">
        <v>0.0</v>
      </c>
      <c r="G301" s="82">
        <v>3.46</v>
      </c>
      <c r="H301" s="82">
        <v>1.21</v>
      </c>
      <c r="I301" s="82">
        <v>1.33</v>
      </c>
      <c r="J301" s="82">
        <v>0.0</v>
      </c>
      <c r="K301" s="82">
        <v>3.54</v>
      </c>
      <c r="L301" s="82">
        <v>3.54</v>
      </c>
      <c r="M301" s="82">
        <v>0.78</v>
      </c>
      <c r="N301" s="82">
        <v>0.0</v>
      </c>
      <c r="O301" s="82">
        <v>0.0</v>
      </c>
      <c r="P301" s="82">
        <v>0.0</v>
      </c>
      <c r="Q301" s="82">
        <v>0.87</v>
      </c>
      <c r="R301" s="82">
        <v>24.4</v>
      </c>
      <c r="S301" s="82">
        <v>3.85</v>
      </c>
      <c r="T301" s="82">
        <v>0.24</v>
      </c>
      <c r="U301" s="82">
        <v>0.16</v>
      </c>
      <c r="V301" s="82">
        <v>0.75</v>
      </c>
      <c r="W301" s="82">
        <v>2.89</v>
      </c>
      <c r="AA301" s="82">
        <v>1.3</v>
      </c>
      <c r="AB301" s="82">
        <v>0.32</v>
      </c>
      <c r="AC301" s="82">
        <v>0.0</v>
      </c>
      <c r="AD301" s="82">
        <v>0.0</v>
      </c>
    </row>
    <row r="302">
      <c r="A302" s="82" t="s">
        <v>351</v>
      </c>
      <c r="B302" s="82">
        <v>6.85</v>
      </c>
      <c r="C302" s="82">
        <v>20.34</v>
      </c>
      <c r="D302" s="82">
        <v>11.9</v>
      </c>
      <c r="E302" s="82">
        <v>1.77</v>
      </c>
      <c r="F302" s="82">
        <v>1.59</v>
      </c>
      <c r="G302" s="82">
        <v>43.97</v>
      </c>
      <c r="H302" s="82">
        <v>10.49</v>
      </c>
      <c r="I302" s="82">
        <v>21.23</v>
      </c>
      <c r="J302" s="82">
        <v>24.08</v>
      </c>
      <c r="K302" s="82">
        <v>21.38</v>
      </c>
      <c r="L302" s="82">
        <v>-2.74</v>
      </c>
      <c r="M302" s="82">
        <v>-0.2</v>
      </c>
      <c r="N302" s="82">
        <v>2.53</v>
      </c>
      <c r="O302" s="82">
        <v>2.88</v>
      </c>
      <c r="P302" s="82">
        <v>-4.45</v>
      </c>
      <c r="Q302" s="82">
        <v>7.09</v>
      </c>
      <c r="R302" s="82">
        <v>14.85</v>
      </c>
      <c r="S302" s="82">
        <v>13.38</v>
      </c>
      <c r="T302" s="82">
        <v>6.59</v>
      </c>
      <c r="U302" s="82">
        <v>0.9</v>
      </c>
      <c r="V302" s="82">
        <v>0.1</v>
      </c>
      <c r="W302" s="82">
        <v>0.63</v>
      </c>
      <c r="X302" s="82">
        <v>2.21</v>
      </c>
      <c r="Y302" s="82">
        <v>-4.78</v>
      </c>
      <c r="Z302" s="191">
        <v>7048724.55</v>
      </c>
      <c r="AA302" s="82">
        <v>3.86</v>
      </c>
      <c r="AB302" s="82">
        <v>0.57</v>
      </c>
      <c r="AC302" s="82">
        <v>-0.9</v>
      </c>
      <c r="AD302" s="191">
        <v>6.1617528E9</v>
      </c>
    </row>
    <row r="303">
      <c r="A303" s="82" t="s">
        <v>352</v>
      </c>
      <c r="B303" s="82">
        <v>15.0</v>
      </c>
      <c r="D303" s="82">
        <v>-1.72</v>
      </c>
      <c r="E303" s="82">
        <v>-0.03</v>
      </c>
      <c r="F303" s="82">
        <v>0.02</v>
      </c>
      <c r="G303" s="82">
        <v>68.37</v>
      </c>
      <c r="H303" s="82">
        <v>26.36</v>
      </c>
      <c r="I303" s="82">
        <v>-10.72</v>
      </c>
      <c r="J303" s="82">
        <v>0.7</v>
      </c>
      <c r="K303" s="82">
        <v>43.19</v>
      </c>
      <c r="L303" s="82">
        <v>42.5</v>
      </c>
      <c r="N303" s="82">
        <v>0.18</v>
      </c>
      <c r="O303" s="82">
        <v>-0.48</v>
      </c>
      <c r="P303" s="82">
        <v>-0.02</v>
      </c>
      <c r="Q303" s="82">
        <v>0.81</v>
      </c>
      <c r="R303" s="82">
        <v>-2.01</v>
      </c>
      <c r="S303" s="82">
        <v>-1.08</v>
      </c>
      <c r="T303" s="82">
        <v>2.87</v>
      </c>
      <c r="U303" s="82">
        <v>-0.54</v>
      </c>
      <c r="V303" s="82">
        <v>1.54</v>
      </c>
      <c r="W303" s="82">
        <v>0.1</v>
      </c>
      <c r="X303" s="82">
        <v>-9.39</v>
      </c>
      <c r="Z303" s="191">
        <v>11178.5</v>
      </c>
      <c r="AA303" s="82">
        <v>-435.81</v>
      </c>
      <c r="AB303" s="82">
        <v>-8.74</v>
      </c>
      <c r="AC303" s="82">
        <v>0.02</v>
      </c>
      <c r="AD303" s="191">
        <v>2.8931535E7</v>
      </c>
    </row>
    <row r="304">
      <c r="A304" s="82" t="s">
        <v>1709</v>
      </c>
      <c r="B304" s="82">
        <v>5.8</v>
      </c>
      <c r="D304" s="82">
        <v>-17.93</v>
      </c>
      <c r="E304" s="82">
        <v>0.58</v>
      </c>
      <c r="F304" s="82">
        <v>0.21</v>
      </c>
      <c r="G304" s="82">
        <v>58.32</v>
      </c>
      <c r="H304" s="82">
        <v>3.34</v>
      </c>
      <c r="I304" s="82">
        <v>-1.87</v>
      </c>
      <c r="J304" s="82">
        <v>10.02</v>
      </c>
      <c r="K304" s="82">
        <v>15.96</v>
      </c>
      <c r="L304" s="82">
        <v>5.93</v>
      </c>
      <c r="M304" s="82">
        <v>0.34</v>
      </c>
      <c r="N304" s="82">
        <v>0.34</v>
      </c>
      <c r="O304" s="82">
        <v>0.87</v>
      </c>
      <c r="P304" s="82">
        <v>-0.57</v>
      </c>
      <c r="Q304" s="82">
        <v>1.62</v>
      </c>
      <c r="R304" s="82">
        <v>-3.24</v>
      </c>
      <c r="S304" s="82">
        <v>-1.17</v>
      </c>
      <c r="T304" s="82">
        <v>3.29</v>
      </c>
      <c r="U304" s="82">
        <v>0.36</v>
      </c>
      <c r="V304" s="82">
        <v>0.64</v>
      </c>
      <c r="W304" s="82">
        <v>0.63</v>
      </c>
      <c r="X304" s="82">
        <v>5.59</v>
      </c>
      <c r="Z304" s="191">
        <v>1.137902095E7</v>
      </c>
      <c r="AA304" s="82">
        <v>9.99</v>
      </c>
      <c r="AB304" s="82">
        <v>-0.32</v>
      </c>
      <c r="AC304" s="82">
        <v>0.11</v>
      </c>
      <c r="AD304" s="191">
        <v>2.900352E9</v>
      </c>
    </row>
    <row r="305">
      <c r="A305" s="82" t="s">
        <v>1764</v>
      </c>
      <c r="B305" s="82">
        <v>151.0</v>
      </c>
      <c r="D305" s="82">
        <v>-465.97</v>
      </c>
      <c r="E305" s="82">
        <v>15.12</v>
      </c>
      <c r="F305" s="82">
        <v>5.47</v>
      </c>
      <c r="G305" s="82">
        <v>58.32</v>
      </c>
      <c r="H305" s="82">
        <v>3.34</v>
      </c>
      <c r="I305" s="82">
        <v>-1.87</v>
      </c>
      <c r="J305" s="82">
        <v>260.46</v>
      </c>
      <c r="K305" s="82">
        <v>15.96</v>
      </c>
      <c r="L305" s="82">
        <v>5.93</v>
      </c>
      <c r="M305" s="82">
        <v>0.34</v>
      </c>
      <c r="N305" s="82">
        <v>8.71</v>
      </c>
      <c r="O305" s="82">
        <v>22.57</v>
      </c>
      <c r="P305" s="82">
        <v>-14.82</v>
      </c>
      <c r="Q305" s="82">
        <v>1.62</v>
      </c>
      <c r="R305" s="82">
        <v>-3.24</v>
      </c>
      <c r="S305" s="82">
        <v>-1.17</v>
      </c>
      <c r="T305" s="82">
        <v>3.29</v>
      </c>
      <c r="U305" s="82">
        <v>0.36</v>
      </c>
      <c r="V305" s="82">
        <v>0.64</v>
      </c>
      <c r="W305" s="82">
        <v>0.63</v>
      </c>
      <c r="X305" s="82">
        <v>5.59</v>
      </c>
      <c r="AA305" s="82">
        <v>9.99</v>
      </c>
      <c r="AB305" s="82">
        <v>-0.32</v>
      </c>
      <c r="AC305" s="82">
        <v>2.85</v>
      </c>
      <c r="AD305" s="191">
        <v>2.900352E9</v>
      </c>
    </row>
    <row r="306">
      <c r="A306" s="82" t="s">
        <v>353</v>
      </c>
      <c r="B306" s="82">
        <v>2.75</v>
      </c>
      <c r="D306" s="82">
        <v>4.52</v>
      </c>
      <c r="E306" s="82">
        <v>-0.59</v>
      </c>
      <c r="F306" s="82">
        <v>0.55</v>
      </c>
      <c r="G306" s="82">
        <v>25.37</v>
      </c>
      <c r="H306" s="82">
        <v>20.32</v>
      </c>
      <c r="I306" s="82">
        <v>24.98</v>
      </c>
      <c r="J306" s="82">
        <v>5.56</v>
      </c>
      <c r="K306" s="82">
        <v>0.1</v>
      </c>
      <c r="L306" s="82">
        <v>-3.41</v>
      </c>
      <c r="N306" s="82">
        <v>1.13</v>
      </c>
      <c r="O306" s="82">
        <v>1.31</v>
      </c>
      <c r="P306" s="82">
        <v>-3.65</v>
      </c>
      <c r="Q306" s="82">
        <v>1.97</v>
      </c>
      <c r="R306" s="82">
        <v>-13.04</v>
      </c>
      <c r="S306" s="82">
        <v>12.15</v>
      </c>
      <c r="T306" s="82">
        <v>-15.44</v>
      </c>
      <c r="U306" s="82">
        <v>-0.93</v>
      </c>
      <c r="V306" s="82">
        <v>1.93</v>
      </c>
      <c r="W306" s="82">
        <v>0.49</v>
      </c>
      <c r="X306" s="82">
        <v>2.91</v>
      </c>
      <c r="Z306" s="191">
        <v>12796.22</v>
      </c>
      <c r="AA306" s="82">
        <v>-4.67</v>
      </c>
      <c r="AB306" s="82">
        <v>0.61</v>
      </c>
      <c r="AC306" s="82">
        <v>0.04</v>
      </c>
      <c r="AD306" s="191">
        <v>2.066633389E7</v>
      </c>
    </row>
    <row r="307">
      <c r="A307" s="82" t="s">
        <v>354</v>
      </c>
      <c r="B307" s="82">
        <v>1.18</v>
      </c>
      <c r="D307" s="82">
        <v>1.94</v>
      </c>
      <c r="E307" s="82">
        <v>-0.25</v>
      </c>
      <c r="F307" s="82">
        <v>0.24</v>
      </c>
      <c r="G307" s="82">
        <v>25.37</v>
      </c>
      <c r="H307" s="82">
        <v>20.32</v>
      </c>
      <c r="I307" s="82">
        <v>24.98</v>
      </c>
      <c r="J307" s="82">
        <v>2.39</v>
      </c>
      <c r="K307" s="82">
        <v>0.1</v>
      </c>
      <c r="L307" s="82">
        <v>-3.41</v>
      </c>
      <c r="N307" s="82">
        <v>0.48</v>
      </c>
      <c r="O307" s="82">
        <v>0.56</v>
      </c>
      <c r="P307" s="82">
        <v>-1.56</v>
      </c>
      <c r="Q307" s="82">
        <v>1.97</v>
      </c>
      <c r="R307" s="82">
        <v>-13.04</v>
      </c>
      <c r="S307" s="82">
        <v>12.15</v>
      </c>
      <c r="T307" s="82">
        <v>-15.44</v>
      </c>
      <c r="U307" s="82">
        <v>-0.93</v>
      </c>
      <c r="V307" s="82">
        <v>1.93</v>
      </c>
      <c r="W307" s="82">
        <v>0.49</v>
      </c>
      <c r="X307" s="82">
        <v>2.91</v>
      </c>
      <c r="Z307" s="191">
        <v>16097.35</v>
      </c>
      <c r="AA307" s="82">
        <v>-4.67</v>
      </c>
      <c r="AB307" s="82">
        <v>0.61</v>
      </c>
      <c r="AC307" s="82">
        <v>0.02</v>
      </c>
      <c r="AD307" s="191">
        <v>2.066633389E7</v>
      </c>
    </row>
    <row r="308">
      <c r="A308" s="82" t="s">
        <v>355</v>
      </c>
      <c r="B308" s="82">
        <v>4.27</v>
      </c>
      <c r="D308" s="82">
        <v>-31.57</v>
      </c>
      <c r="E308" s="82">
        <v>0.66</v>
      </c>
      <c r="F308" s="82">
        <v>0.43</v>
      </c>
      <c r="G308" s="82">
        <v>24.41</v>
      </c>
      <c r="H308" s="82">
        <v>0.59</v>
      </c>
      <c r="I308" s="82">
        <v>-3.8</v>
      </c>
      <c r="J308" s="82">
        <v>202.65</v>
      </c>
      <c r="K308" s="82">
        <v>236.97</v>
      </c>
      <c r="L308" s="82">
        <v>34.32</v>
      </c>
      <c r="M308" s="82">
        <v>0.11</v>
      </c>
      <c r="N308" s="82">
        <v>1.2</v>
      </c>
      <c r="O308" s="82">
        <v>75.96</v>
      </c>
      <c r="P308" s="82">
        <v>-0.49</v>
      </c>
      <c r="Q308" s="82">
        <v>1.05</v>
      </c>
      <c r="R308" s="82">
        <v>-2.09</v>
      </c>
      <c r="S308" s="82">
        <v>-1.37</v>
      </c>
      <c r="T308" s="82">
        <v>-0.36</v>
      </c>
      <c r="U308" s="82">
        <v>0.66</v>
      </c>
      <c r="V308" s="82">
        <v>0.34</v>
      </c>
      <c r="W308" s="82">
        <v>0.36</v>
      </c>
      <c r="X308" s="82">
        <v>43.91</v>
      </c>
      <c r="Z308" s="191">
        <v>2.5099638265E8</v>
      </c>
      <c r="AA308" s="82">
        <v>6.51</v>
      </c>
      <c r="AB308" s="82">
        <v>-0.14</v>
      </c>
      <c r="AC308" s="82">
        <v>-0.11</v>
      </c>
      <c r="AD308" s="191">
        <v>3.234429739827E10</v>
      </c>
    </row>
    <row r="309">
      <c r="A309" s="82" t="s">
        <v>356</v>
      </c>
      <c r="B309" s="82">
        <v>3.25</v>
      </c>
      <c r="C309" s="82">
        <v>2.81</v>
      </c>
      <c r="D309" s="82">
        <v>10.74</v>
      </c>
      <c r="E309" s="82">
        <v>0.31</v>
      </c>
      <c r="F309" s="82">
        <v>0.08</v>
      </c>
      <c r="G309" s="82">
        <v>28.28</v>
      </c>
      <c r="H309" s="82">
        <v>17.76</v>
      </c>
      <c r="I309" s="82">
        <v>3.54</v>
      </c>
      <c r="J309" s="82">
        <v>2.14</v>
      </c>
      <c r="K309" s="82">
        <v>10.35</v>
      </c>
      <c r="L309" s="82">
        <v>8.22</v>
      </c>
      <c r="M309" s="82">
        <v>1.2</v>
      </c>
      <c r="N309" s="82">
        <v>0.38</v>
      </c>
      <c r="O309" s="82">
        <v>0.19</v>
      </c>
      <c r="P309" s="82">
        <v>-0.18</v>
      </c>
      <c r="Q309" s="82">
        <v>3.03</v>
      </c>
      <c r="R309" s="82">
        <v>2.9</v>
      </c>
      <c r="S309" s="82">
        <v>0.7</v>
      </c>
      <c r="T309" s="82">
        <v>4.2</v>
      </c>
      <c r="U309" s="82">
        <v>0.24</v>
      </c>
      <c r="V309" s="82">
        <v>0.6</v>
      </c>
      <c r="W309" s="82">
        <v>0.2</v>
      </c>
      <c r="X309" s="82">
        <v>11.84</v>
      </c>
      <c r="Z309" s="191">
        <v>2132459.15</v>
      </c>
      <c r="AA309" s="82">
        <v>10.42</v>
      </c>
      <c r="AB309" s="82">
        <v>0.3</v>
      </c>
      <c r="AC309" s="82">
        <v>-0.43</v>
      </c>
      <c r="AD309" s="191">
        <v>4.3233896256E8</v>
      </c>
    </row>
    <row r="310">
      <c r="A310" s="82" t="s">
        <v>357</v>
      </c>
      <c r="B310" s="82">
        <v>5.65</v>
      </c>
      <c r="D310" s="82">
        <v>11.02</v>
      </c>
      <c r="E310" s="82">
        <v>0.3</v>
      </c>
      <c r="F310" s="82">
        <v>0.13</v>
      </c>
      <c r="G310" s="82">
        <v>82.3</v>
      </c>
      <c r="H310" s="82">
        <v>160.69</v>
      </c>
      <c r="I310" s="82">
        <v>34.6</v>
      </c>
      <c r="J310" s="82">
        <v>2.37</v>
      </c>
      <c r="K310" s="82">
        <v>6.41</v>
      </c>
      <c r="L310" s="82">
        <v>4.05</v>
      </c>
      <c r="M310" s="82">
        <v>0.52</v>
      </c>
      <c r="N310" s="82">
        <v>3.81</v>
      </c>
      <c r="O310" s="82">
        <v>138.52</v>
      </c>
      <c r="P310" s="82">
        <v>-0.14</v>
      </c>
      <c r="Q310" s="82">
        <v>1.02</v>
      </c>
      <c r="R310" s="82">
        <v>2.76</v>
      </c>
      <c r="S310" s="82">
        <v>1.22</v>
      </c>
      <c r="T310" s="82">
        <v>5.85</v>
      </c>
      <c r="U310" s="82">
        <v>0.44</v>
      </c>
      <c r="V310" s="82">
        <v>0.42</v>
      </c>
      <c r="W310" s="82">
        <v>0.04</v>
      </c>
      <c r="X310" s="82">
        <v>21.74</v>
      </c>
      <c r="Y310" s="82">
        <v>-8.7</v>
      </c>
      <c r="Z310" s="191">
        <v>3263485.25</v>
      </c>
      <c r="AA310" s="82">
        <v>18.5</v>
      </c>
      <c r="AB310" s="82">
        <v>0.51</v>
      </c>
      <c r="AC310" s="82">
        <v>-0.16</v>
      </c>
      <c r="AD310" s="191">
        <v>5.7889018341E8</v>
      </c>
    </row>
    <row r="311">
      <c r="A311" s="82" t="s">
        <v>358</v>
      </c>
      <c r="B311" s="82">
        <v>3.66</v>
      </c>
      <c r="D311" s="82">
        <v>52.55</v>
      </c>
      <c r="E311" s="82">
        <v>1.76</v>
      </c>
      <c r="F311" s="82">
        <v>0.44</v>
      </c>
      <c r="G311" s="82">
        <v>38.61</v>
      </c>
      <c r="H311" s="82">
        <v>23.12</v>
      </c>
      <c r="I311" s="82">
        <v>2.64</v>
      </c>
      <c r="J311" s="82">
        <v>6.01</v>
      </c>
      <c r="K311" s="82">
        <v>13.61</v>
      </c>
      <c r="L311" s="82">
        <v>7.67</v>
      </c>
      <c r="M311" s="82">
        <v>2.25</v>
      </c>
      <c r="N311" s="82">
        <v>1.39</v>
      </c>
      <c r="O311" s="82">
        <v>3.39</v>
      </c>
      <c r="P311" s="82">
        <v>-0.56</v>
      </c>
      <c r="Q311" s="82">
        <v>2.44</v>
      </c>
      <c r="R311" s="82">
        <v>3.35</v>
      </c>
      <c r="S311" s="82">
        <v>0.83</v>
      </c>
      <c r="T311" s="82">
        <v>6.62</v>
      </c>
      <c r="U311" s="82">
        <v>0.25</v>
      </c>
      <c r="V311" s="82">
        <v>0.75</v>
      </c>
      <c r="W311" s="82">
        <v>0.31</v>
      </c>
      <c r="X311" s="82">
        <v>17.46</v>
      </c>
      <c r="Y311" s="82">
        <v>35.34</v>
      </c>
      <c r="Z311" s="191">
        <v>1.946772315E7</v>
      </c>
      <c r="AA311" s="82">
        <v>2.09</v>
      </c>
      <c r="AB311" s="82">
        <v>0.07</v>
      </c>
      <c r="AC311" s="82">
        <v>-0.22</v>
      </c>
      <c r="AD311" s="191">
        <v>2.76018899409E9</v>
      </c>
    </row>
    <row r="312">
      <c r="A312" s="82" t="s">
        <v>360</v>
      </c>
      <c r="B312" s="82">
        <v>47.22</v>
      </c>
      <c r="C312" s="82">
        <v>6.14</v>
      </c>
      <c r="D312" s="82">
        <v>4.04</v>
      </c>
      <c r="E312" s="82">
        <v>0.75</v>
      </c>
      <c r="F312" s="82">
        <v>0.3</v>
      </c>
      <c r="G312" s="82">
        <v>85.98</v>
      </c>
      <c r="H312" s="82">
        <v>163.47</v>
      </c>
      <c r="I312" s="82">
        <v>144.77</v>
      </c>
      <c r="J312" s="82">
        <v>3.58</v>
      </c>
      <c r="K312" s="82">
        <v>5.12</v>
      </c>
      <c r="L312" s="82">
        <v>1.54</v>
      </c>
      <c r="M312" s="82">
        <v>0.32</v>
      </c>
      <c r="N312" s="82">
        <v>5.85</v>
      </c>
      <c r="O312" s="82">
        <v>8.67</v>
      </c>
      <c r="P312" s="82">
        <v>-0.33</v>
      </c>
      <c r="Q312" s="82">
        <v>1.67</v>
      </c>
      <c r="R312" s="82">
        <v>18.44</v>
      </c>
      <c r="S312" s="82">
        <v>7.54</v>
      </c>
      <c r="T312" s="82">
        <v>14.92</v>
      </c>
      <c r="U312" s="82">
        <v>0.41</v>
      </c>
      <c r="V312" s="82">
        <v>0.59</v>
      </c>
      <c r="W312" s="82">
        <v>0.05</v>
      </c>
      <c r="X312" s="82">
        <v>49.55</v>
      </c>
      <c r="Z312" s="191">
        <v>14567.0</v>
      </c>
      <c r="AA312" s="82">
        <v>63.34</v>
      </c>
      <c r="AB312" s="82">
        <v>11.68</v>
      </c>
      <c r="AC312" s="82">
        <v>0.0</v>
      </c>
      <c r="AD312" s="191">
        <v>4.3129270014E8</v>
      </c>
    </row>
    <row r="313">
      <c r="A313" s="82" t="s">
        <v>362</v>
      </c>
      <c r="B313" s="82">
        <v>96.0</v>
      </c>
      <c r="D313" s="82">
        <v>0.24</v>
      </c>
      <c r="E313" s="82">
        <v>-0.14</v>
      </c>
      <c r="F313" s="82">
        <v>3.85</v>
      </c>
      <c r="G313" s="82">
        <v>100.0</v>
      </c>
      <c r="H313" s="82">
        <v>51.79</v>
      </c>
      <c r="I313" s="191">
        <v>6253.57</v>
      </c>
      <c r="J313" s="82">
        <v>28.61</v>
      </c>
      <c r="K313" s="82">
        <v>200.63</v>
      </c>
      <c r="L313" s="82">
        <v>189.7</v>
      </c>
      <c r="N313" s="82">
        <v>14.82</v>
      </c>
      <c r="O313" s="82">
        <v>-15.71</v>
      </c>
      <c r="P313" s="82">
        <v>-4.79</v>
      </c>
      <c r="Q313" s="82">
        <v>0.44</v>
      </c>
      <c r="R313" s="82">
        <v>-58.7</v>
      </c>
      <c r="S313" s="191">
        <v>1625.38</v>
      </c>
      <c r="T313" s="82">
        <v>385.0</v>
      </c>
      <c r="U313" s="82">
        <v>-27.69</v>
      </c>
      <c r="V313" s="82">
        <v>28.69</v>
      </c>
      <c r="W313" s="82">
        <v>0.26</v>
      </c>
      <c r="X313" s="82">
        <v>3.27</v>
      </c>
      <c r="AA313" s="82">
        <v>-690.16</v>
      </c>
      <c r="AB313" s="82">
        <v>405.13</v>
      </c>
      <c r="AC313" s="82">
        <v>0.0</v>
      </c>
      <c r="AD313" s="191">
        <v>1.870158669E7</v>
      </c>
    </row>
    <row r="314">
      <c r="A314" s="82" t="s">
        <v>363</v>
      </c>
      <c r="B314" s="82">
        <v>6.69</v>
      </c>
      <c r="D314" s="82">
        <v>0.02</v>
      </c>
      <c r="E314" s="82">
        <v>-0.01</v>
      </c>
      <c r="F314" s="82">
        <v>0.27</v>
      </c>
      <c r="G314" s="82">
        <v>100.0</v>
      </c>
      <c r="H314" s="82">
        <v>51.79</v>
      </c>
      <c r="I314" s="191">
        <v>6253.57</v>
      </c>
      <c r="J314" s="82">
        <v>1.99</v>
      </c>
      <c r="K314" s="82">
        <v>200.63</v>
      </c>
      <c r="L314" s="82">
        <v>189.7</v>
      </c>
      <c r="N314" s="82">
        <v>1.03</v>
      </c>
      <c r="O314" s="82">
        <v>-1.09</v>
      </c>
      <c r="P314" s="82">
        <v>-0.33</v>
      </c>
      <c r="Q314" s="82">
        <v>0.44</v>
      </c>
      <c r="R314" s="82">
        <v>-58.7</v>
      </c>
      <c r="S314" s="191">
        <v>1625.38</v>
      </c>
      <c r="T314" s="82">
        <v>385.0</v>
      </c>
      <c r="U314" s="82">
        <v>-27.69</v>
      </c>
      <c r="V314" s="82">
        <v>28.69</v>
      </c>
      <c r="W314" s="82">
        <v>0.26</v>
      </c>
      <c r="X314" s="82">
        <v>3.27</v>
      </c>
      <c r="Z314" s="191">
        <v>2874.36</v>
      </c>
      <c r="AA314" s="82">
        <v>-690.16</v>
      </c>
      <c r="AB314" s="82">
        <v>405.13</v>
      </c>
      <c r="AC314" s="82">
        <v>0.0</v>
      </c>
      <c r="AD314" s="191">
        <v>1.870158669E7</v>
      </c>
    </row>
    <row r="315">
      <c r="A315" s="82" t="s">
        <v>364</v>
      </c>
      <c r="B315" s="82">
        <v>37.5</v>
      </c>
      <c r="D315" s="82">
        <v>101.99</v>
      </c>
      <c r="E315" s="82">
        <v>3.57</v>
      </c>
      <c r="F315" s="82">
        <v>2.48</v>
      </c>
      <c r="G315" s="82">
        <v>40.58</v>
      </c>
      <c r="H315" s="82">
        <v>-0.59</v>
      </c>
      <c r="I315" s="82">
        <v>4.1</v>
      </c>
      <c r="J315" s="82">
        <v>-707.65</v>
      </c>
      <c r="K315" s="82">
        <v>-713.65</v>
      </c>
      <c r="L315" s="82">
        <v>-5.99</v>
      </c>
      <c r="M315" s="82">
        <v>0.03</v>
      </c>
      <c r="N315" s="82">
        <v>4.18</v>
      </c>
      <c r="O315" s="82">
        <v>7.5</v>
      </c>
      <c r="P315" s="82">
        <v>-5.59</v>
      </c>
      <c r="Q315" s="82">
        <v>2.47</v>
      </c>
      <c r="R315" s="82">
        <v>3.51</v>
      </c>
      <c r="S315" s="82">
        <v>2.43</v>
      </c>
      <c r="T315" s="82">
        <v>-7.32</v>
      </c>
      <c r="U315" s="82">
        <v>0.69</v>
      </c>
      <c r="V315" s="82">
        <v>0.31</v>
      </c>
      <c r="W315" s="82">
        <v>0.59</v>
      </c>
      <c r="X315" s="82">
        <v>-7.54</v>
      </c>
      <c r="Y315" s="82">
        <v>-26.63</v>
      </c>
      <c r="AA315" s="82">
        <v>10.49</v>
      </c>
      <c r="AB315" s="82">
        <v>0.37</v>
      </c>
      <c r="AC315" s="82">
        <v>-1.23</v>
      </c>
      <c r="AD315" s="191">
        <v>6.0950226375E9</v>
      </c>
    </row>
    <row r="316">
      <c r="A316" s="82" t="s">
        <v>365</v>
      </c>
      <c r="B316" s="82">
        <v>0.0</v>
      </c>
      <c r="D316" s="82">
        <v>0.0</v>
      </c>
      <c r="E316" s="82">
        <v>0.0</v>
      </c>
      <c r="F316" s="82">
        <v>0.0</v>
      </c>
      <c r="G316" s="82">
        <v>69.54</v>
      </c>
      <c r="H316" s="82">
        <v>112.13</v>
      </c>
      <c r="I316" s="82">
        <v>92.4</v>
      </c>
      <c r="J316" s="82">
        <v>0.0</v>
      </c>
      <c r="K316" s="82">
        <v>0.07</v>
      </c>
      <c r="L316" s="82">
        <v>-0.07</v>
      </c>
      <c r="N316" s="82">
        <v>0.0</v>
      </c>
      <c r="O316" s="82">
        <v>0.0</v>
      </c>
      <c r="P316" s="82">
        <v>0.0</v>
      </c>
      <c r="Q316" s="82">
        <v>0.12</v>
      </c>
      <c r="R316" s="82">
        <v>-60.53</v>
      </c>
      <c r="S316" s="82">
        <v>25.13</v>
      </c>
      <c r="T316" s="82">
        <v>-62.58</v>
      </c>
      <c r="U316" s="82">
        <v>-0.42</v>
      </c>
      <c r="V316" s="82">
        <v>1.48</v>
      </c>
      <c r="W316" s="82">
        <v>0.27</v>
      </c>
      <c r="X316" s="82">
        <v>-3.08</v>
      </c>
      <c r="AA316" s="82">
        <v>-11.37</v>
      </c>
      <c r="AB316" s="82">
        <v>6.88</v>
      </c>
      <c r="AC316" s="82">
        <v>0.0</v>
      </c>
      <c r="AD316" s="191">
        <v>2.202563826E7</v>
      </c>
    </row>
    <row r="317">
      <c r="A317" s="82" t="s">
        <v>366</v>
      </c>
      <c r="B317" s="82">
        <v>2.78</v>
      </c>
      <c r="D317" s="82">
        <v>0.41</v>
      </c>
      <c r="E317" s="82">
        <v>-0.25</v>
      </c>
      <c r="F317" s="82">
        <v>0.1</v>
      </c>
      <c r="G317" s="82">
        <v>69.54</v>
      </c>
      <c r="H317" s="82">
        <v>112.13</v>
      </c>
      <c r="I317" s="82">
        <v>92.4</v>
      </c>
      <c r="J317" s="82">
        <v>0.33</v>
      </c>
      <c r="K317" s="82">
        <v>0.07</v>
      </c>
      <c r="L317" s="82">
        <v>-0.07</v>
      </c>
      <c r="N317" s="82">
        <v>0.37</v>
      </c>
      <c r="O317" s="82">
        <v>-0.16</v>
      </c>
      <c r="P317" s="82">
        <v>-0.11</v>
      </c>
      <c r="Q317" s="82">
        <v>0.12</v>
      </c>
      <c r="R317" s="82">
        <v>-60.53</v>
      </c>
      <c r="S317" s="82">
        <v>25.13</v>
      </c>
      <c r="T317" s="82">
        <v>-62.58</v>
      </c>
      <c r="U317" s="82">
        <v>-0.42</v>
      </c>
      <c r="V317" s="82">
        <v>1.48</v>
      </c>
      <c r="W317" s="82">
        <v>0.27</v>
      </c>
      <c r="X317" s="82">
        <v>-3.08</v>
      </c>
      <c r="Z317" s="191">
        <v>12503.58</v>
      </c>
      <c r="AA317" s="82">
        <v>-11.37</v>
      </c>
      <c r="AB317" s="82">
        <v>6.88</v>
      </c>
      <c r="AC317" s="82">
        <v>0.03</v>
      </c>
      <c r="AD317" s="191">
        <v>2.202563826E7</v>
      </c>
    </row>
    <row r="318">
      <c r="A318" s="82" t="s">
        <v>367</v>
      </c>
      <c r="B318" s="82">
        <v>35.0</v>
      </c>
      <c r="C318" s="82">
        <v>3.51</v>
      </c>
      <c r="D318" s="82">
        <v>12.56</v>
      </c>
      <c r="E318" s="82">
        <v>1.95</v>
      </c>
      <c r="F318" s="82">
        <v>0.92</v>
      </c>
      <c r="G318" s="82">
        <v>63.15</v>
      </c>
      <c r="H318" s="82">
        <v>32.88</v>
      </c>
      <c r="I318" s="82">
        <v>21.6</v>
      </c>
      <c r="J318" s="82">
        <v>8.25</v>
      </c>
      <c r="K318" s="82">
        <v>11.09</v>
      </c>
      <c r="L318" s="82">
        <v>2.83</v>
      </c>
      <c r="M318" s="82">
        <v>0.67</v>
      </c>
      <c r="N318" s="82">
        <v>2.71</v>
      </c>
      <c r="O318" s="82">
        <v>5.82</v>
      </c>
      <c r="P318" s="82">
        <v>-1.37</v>
      </c>
      <c r="Q318" s="82">
        <v>1.89</v>
      </c>
      <c r="R318" s="82">
        <v>15.53</v>
      </c>
      <c r="S318" s="82">
        <v>7.29</v>
      </c>
      <c r="T318" s="82">
        <v>12.12</v>
      </c>
      <c r="U318" s="82">
        <v>0.47</v>
      </c>
      <c r="V318" s="82">
        <v>0.53</v>
      </c>
      <c r="W318" s="82">
        <v>0.34</v>
      </c>
      <c r="X318" s="82">
        <v>16.61</v>
      </c>
      <c r="Y318" s="82">
        <v>12.88</v>
      </c>
      <c r="Z318" s="191">
        <v>7.98366151E7</v>
      </c>
      <c r="AA318" s="82">
        <v>17.98</v>
      </c>
      <c r="AB318" s="82">
        <v>2.79</v>
      </c>
      <c r="AC318" s="82">
        <v>1.38</v>
      </c>
      <c r="AD318" s="191">
        <v>2.222673667907E10</v>
      </c>
    </row>
    <row r="319">
      <c r="A319" s="82" t="s">
        <v>368</v>
      </c>
      <c r="B319" s="82">
        <v>2.16</v>
      </c>
      <c r="D319" s="82">
        <v>-0.99</v>
      </c>
      <c r="E319" s="82">
        <v>0.93</v>
      </c>
      <c r="F319" s="82">
        <v>0.06</v>
      </c>
      <c r="G319" s="82">
        <v>-18.91</v>
      </c>
      <c r="H319" s="82">
        <v>-40.19</v>
      </c>
      <c r="I319" s="82">
        <v>-154.6</v>
      </c>
      <c r="J319" s="82">
        <v>-3.81</v>
      </c>
      <c r="K319" s="82">
        <v>-3.84</v>
      </c>
      <c r="N319" s="82">
        <v>1.53</v>
      </c>
      <c r="O319" s="82">
        <v>0.48</v>
      </c>
      <c r="P319" s="82">
        <v>-0.13</v>
      </c>
      <c r="Q319" s="82">
        <v>1.26</v>
      </c>
      <c r="R319" s="82">
        <v>-94.38</v>
      </c>
      <c r="S319" s="82">
        <v>-5.67</v>
      </c>
      <c r="U319" s="82">
        <v>0.06</v>
      </c>
      <c r="V319" s="82">
        <v>0.94</v>
      </c>
      <c r="W319" s="82">
        <v>0.04</v>
      </c>
      <c r="X319" s="82">
        <v>-32.17</v>
      </c>
      <c r="AA319" s="82">
        <v>2.31</v>
      </c>
      <c r="AB319" s="82">
        <v>-2.18</v>
      </c>
      <c r="AC319" s="82">
        <v>0.0</v>
      </c>
      <c r="AD319" s="191">
        <v>2.2400757438E8</v>
      </c>
    </row>
    <row r="320">
      <c r="A320" s="82" t="s">
        <v>369</v>
      </c>
      <c r="B320" s="82">
        <v>2.67</v>
      </c>
      <c r="D320" s="82">
        <v>-1.22</v>
      </c>
      <c r="E320" s="82">
        <v>1.16</v>
      </c>
      <c r="F320" s="82">
        <v>0.07</v>
      </c>
      <c r="G320" s="82">
        <v>-18.91</v>
      </c>
      <c r="H320" s="82">
        <v>-40.19</v>
      </c>
      <c r="I320" s="82">
        <v>-154.6</v>
      </c>
      <c r="J320" s="82">
        <v>-4.71</v>
      </c>
      <c r="K320" s="82">
        <v>-3.84</v>
      </c>
      <c r="N320" s="82">
        <v>1.89</v>
      </c>
      <c r="O320" s="82">
        <v>0.59</v>
      </c>
      <c r="P320" s="82">
        <v>-0.16</v>
      </c>
      <c r="Q320" s="82">
        <v>1.26</v>
      </c>
      <c r="R320" s="82">
        <v>-94.38</v>
      </c>
      <c r="S320" s="82">
        <v>-5.67</v>
      </c>
      <c r="U320" s="82">
        <v>0.06</v>
      </c>
      <c r="V320" s="82">
        <v>0.94</v>
      </c>
      <c r="W320" s="82">
        <v>0.04</v>
      </c>
      <c r="X320" s="82">
        <v>-32.17</v>
      </c>
      <c r="AA320" s="82">
        <v>2.31</v>
      </c>
      <c r="AB320" s="82">
        <v>-2.18</v>
      </c>
      <c r="AC320" s="82">
        <v>0.0</v>
      </c>
      <c r="AD320" s="191">
        <v>2.2400757438E8</v>
      </c>
    </row>
    <row r="321">
      <c r="A321" s="82" t="s">
        <v>370</v>
      </c>
      <c r="B321" s="82">
        <v>1.72</v>
      </c>
      <c r="D321" s="82">
        <v>-4.3</v>
      </c>
      <c r="E321" s="82">
        <v>0.81</v>
      </c>
      <c r="F321" s="82">
        <v>0.34</v>
      </c>
      <c r="G321" s="82">
        <v>43.4</v>
      </c>
      <c r="H321" s="82">
        <v>-3.27</v>
      </c>
      <c r="I321" s="82">
        <v>-24.04</v>
      </c>
      <c r="J321" s="82">
        <v>-31.62</v>
      </c>
      <c r="K321" s="82">
        <v>-47.54</v>
      </c>
      <c r="L321" s="82">
        <v>-15.93</v>
      </c>
      <c r="M321" s="82">
        <v>0.41</v>
      </c>
      <c r="N321" s="82">
        <v>1.03</v>
      </c>
      <c r="O321" s="82">
        <v>-42.38</v>
      </c>
      <c r="P321" s="82">
        <v>-0.47</v>
      </c>
      <c r="Q321" s="82">
        <v>0.97</v>
      </c>
      <c r="R321" s="82">
        <v>-18.75</v>
      </c>
      <c r="S321" s="82">
        <v>-7.99</v>
      </c>
      <c r="T321" s="82">
        <v>-1.72</v>
      </c>
      <c r="U321" s="82">
        <v>0.43</v>
      </c>
      <c r="V321" s="82">
        <v>0.57</v>
      </c>
      <c r="W321" s="82">
        <v>0.33</v>
      </c>
      <c r="Z321" s="191">
        <v>1.73109174E7</v>
      </c>
      <c r="AA321" s="82">
        <v>2.14</v>
      </c>
      <c r="AB321" s="82">
        <v>-0.4</v>
      </c>
      <c r="AC321" s="82">
        <v>-0.25</v>
      </c>
      <c r="AD321" s="191">
        <v>1.10259043749E9</v>
      </c>
    </row>
    <row r="322">
      <c r="A322" s="82" t="s">
        <v>371</v>
      </c>
      <c r="B322" s="82">
        <v>175.99</v>
      </c>
      <c r="D322" s="82">
        <v>0.56</v>
      </c>
      <c r="E322" s="82">
        <v>-0.34</v>
      </c>
      <c r="F322" s="82">
        <v>1.04</v>
      </c>
      <c r="G322" s="82">
        <v>100.0</v>
      </c>
      <c r="H322" s="191">
        <v>6032.01</v>
      </c>
      <c r="I322" s="191">
        <v>5379.32</v>
      </c>
      <c r="J322" s="82">
        <v>0.5</v>
      </c>
      <c r="K322" s="82">
        <v>1.06</v>
      </c>
      <c r="L322" s="82">
        <v>0.56</v>
      </c>
      <c r="N322" s="82">
        <v>30.26</v>
      </c>
      <c r="O322" s="82">
        <v>-0.99</v>
      </c>
      <c r="P322" s="82">
        <v>-2.15</v>
      </c>
      <c r="Q322" s="82">
        <v>0.33</v>
      </c>
      <c r="R322" s="82">
        <v>-60.1</v>
      </c>
      <c r="S322" s="82">
        <v>184.1</v>
      </c>
      <c r="T322" s="82">
        <v>-146.75</v>
      </c>
      <c r="U322" s="82">
        <v>-3.06</v>
      </c>
      <c r="V322" s="82">
        <v>4.06</v>
      </c>
      <c r="W322" s="82">
        <v>0.03</v>
      </c>
      <c r="X322" s="82">
        <v>-7.98</v>
      </c>
      <c r="Z322" s="191">
        <v>250175.33</v>
      </c>
      <c r="AA322" s="82">
        <v>-520.56</v>
      </c>
      <c r="AB322" s="82">
        <v>312.87</v>
      </c>
      <c r="AC322" s="82">
        <v>0.0</v>
      </c>
      <c r="AD322" s="191">
        <v>2.2007479104E8</v>
      </c>
    </row>
    <row r="323">
      <c r="A323" s="82" t="s">
        <v>372</v>
      </c>
      <c r="B323" s="82">
        <v>0.0</v>
      </c>
      <c r="D323" s="82">
        <v>0.0</v>
      </c>
      <c r="E323" s="82">
        <v>0.0</v>
      </c>
      <c r="F323" s="82">
        <v>0.0</v>
      </c>
      <c r="G323" s="82">
        <v>32.05</v>
      </c>
      <c r="H323" s="82">
        <v>12.01</v>
      </c>
      <c r="I323" s="82">
        <v>-21.54</v>
      </c>
      <c r="J323" s="82">
        <v>0.0</v>
      </c>
      <c r="K323" s="82">
        <v>23.19</v>
      </c>
      <c r="L323" s="82">
        <v>23.19</v>
      </c>
      <c r="M323" s="82">
        <v>2.31</v>
      </c>
      <c r="N323" s="82">
        <v>0.0</v>
      </c>
      <c r="O323" s="82">
        <v>0.0</v>
      </c>
      <c r="P323" s="82">
        <v>0.0</v>
      </c>
      <c r="Q323" s="82">
        <v>2.85</v>
      </c>
      <c r="R323" s="82">
        <v>-17.85</v>
      </c>
      <c r="S323" s="82">
        <v>-4.02</v>
      </c>
      <c r="T323" s="82">
        <v>0.38</v>
      </c>
      <c r="U323" s="82">
        <v>0.23</v>
      </c>
      <c r="V323" s="82">
        <v>0.77</v>
      </c>
      <c r="W323" s="82">
        <v>0.19</v>
      </c>
      <c r="X323" s="82">
        <v>29.48</v>
      </c>
      <c r="AA323" s="82">
        <v>6.26</v>
      </c>
      <c r="AB323" s="82">
        <v>-1.12</v>
      </c>
      <c r="AC323" s="82">
        <v>0.0</v>
      </c>
      <c r="AD323" s="82">
        <v>0.0</v>
      </c>
    </row>
    <row r="324">
      <c r="A324" s="82" t="s">
        <v>373</v>
      </c>
      <c r="B324" s="82">
        <v>33.0</v>
      </c>
      <c r="D324" s="82">
        <v>68.93</v>
      </c>
      <c r="E324" s="82">
        <v>1.88</v>
      </c>
      <c r="F324" s="82">
        <v>0.97</v>
      </c>
      <c r="G324" s="82">
        <v>62.04</v>
      </c>
      <c r="H324" s="82">
        <v>54.08</v>
      </c>
      <c r="I324" s="82">
        <v>8.01</v>
      </c>
      <c r="J324" s="82">
        <v>10.21</v>
      </c>
      <c r="K324" s="82">
        <v>12.36</v>
      </c>
      <c r="L324" s="82">
        <v>2.16</v>
      </c>
      <c r="M324" s="82">
        <v>0.4</v>
      </c>
      <c r="N324" s="82">
        <v>5.52</v>
      </c>
      <c r="O324" s="82">
        <v>81.71</v>
      </c>
      <c r="P324" s="82">
        <v>-1.24</v>
      </c>
      <c r="Q324" s="82">
        <v>1.06</v>
      </c>
      <c r="R324" s="82">
        <v>2.73</v>
      </c>
      <c r="S324" s="82">
        <v>1.4</v>
      </c>
      <c r="T324" s="82">
        <v>9.68</v>
      </c>
      <c r="U324" s="82">
        <v>0.51</v>
      </c>
      <c r="V324" s="82">
        <v>0.48</v>
      </c>
      <c r="W324" s="82">
        <v>0.18</v>
      </c>
      <c r="X324" s="82">
        <v>7.55</v>
      </c>
      <c r="Y324" s="82">
        <v>-17.47</v>
      </c>
      <c r="AA324" s="82">
        <v>17.55</v>
      </c>
      <c r="AB324" s="82">
        <v>0.48</v>
      </c>
      <c r="AC324" s="82">
        <v>0.31</v>
      </c>
      <c r="AD324" s="191">
        <v>5.758073079E9</v>
      </c>
    </row>
    <row r="325">
      <c r="A325" s="82" t="s">
        <v>374</v>
      </c>
      <c r="B325" s="82">
        <v>23.95</v>
      </c>
      <c r="C325" s="82">
        <v>1.53</v>
      </c>
      <c r="D325" s="82">
        <v>35.15</v>
      </c>
      <c r="E325" s="82">
        <v>2.36</v>
      </c>
      <c r="F325" s="82">
        <v>1.35</v>
      </c>
      <c r="G325" s="82">
        <v>61.96</v>
      </c>
      <c r="H325" s="82">
        <v>51.62</v>
      </c>
      <c r="I325" s="82">
        <v>24.53</v>
      </c>
      <c r="J325" s="82">
        <v>16.7</v>
      </c>
      <c r="K325" s="82">
        <v>13.88</v>
      </c>
      <c r="L325" s="82">
        <v>3.14</v>
      </c>
      <c r="M325" s="82">
        <v>0.44</v>
      </c>
      <c r="N325" s="82">
        <v>8.62</v>
      </c>
      <c r="O325" s="82">
        <v>16.7</v>
      </c>
      <c r="P325" s="82">
        <v>-1.67</v>
      </c>
      <c r="Q325" s="82">
        <v>1.71</v>
      </c>
      <c r="R325" s="82">
        <v>6.7</v>
      </c>
      <c r="S325" s="82">
        <v>3.83</v>
      </c>
      <c r="T325" s="82">
        <v>8.12</v>
      </c>
      <c r="U325" s="82">
        <v>0.57</v>
      </c>
      <c r="V325" s="82">
        <v>0.43</v>
      </c>
      <c r="W325" s="82">
        <v>0.16</v>
      </c>
      <c r="X325" s="82">
        <v>7.95</v>
      </c>
      <c r="Y325" s="82">
        <v>28.92</v>
      </c>
      <c r="Z325" s="191">
        <v>5.48544247E7</v>
      </c>
      <c r="AA325" s="82">
        <v>10.17</v>
      </c>
      <c r="AB325" s="82">
        <v>0.68</v>
      </c>
      <c r="AC325" s="82">
        <v>0.02</v>
      </c>
      <c r="AD325" s="191">
        <v>6.2884360043E9</v>
      </c>
    </row>
    <row r="326">
      <c r="A326" s="82" t="s">
        <v>375</v>
      </c>
      <c r="B326" s="82">
        <v>2.94</v>
      </c>
      <c r="C326" s="82">
        <v>1.78</v>
      </c>
      <c r="D326" s="82">
        <v>12.94</v>
      </c>
      <c r="E326" s="82">
        <v>0.87</v>
      </c>
      <c r="F326" s="82">
        <v>0.5</v>
      </c>
      <c r="G326" s="82">
        <v>61.96</v>
      </c>
      <c r="H326" s="82">
        <v>51.62</v>
      </c>
      <c r="I326" s="82">
        <v>24.53</v>
      </c>
      <c r="J326" s="82">
        <v>6.15</v>
      </c>
      <c r="K326" s="82">
        <v>13.88</v>
      </c>
      <c r="L326" s="82">
        <v>3.14</v>
      </c>
      <c r="M326" s="82">
        <v>0.44</v>
      </c>
      <c r="N326" s="82">
        <v>3.17</v>
      </c>
      <c r="O326" s="82">
        <v>6.15</v>
      </c>
      <c r="P326" s="82">
        <v>-0.61</v>
      </c>
      <c r="Q326" s="82">
        <v>1.71</v>
      </c>
      <c r="R326" s="82">
        <v>6.7</v>
      </c>
      <c r="S326" s="82">
        <v>3.83</v>
      </c>
      <c r="T326" s="82">
        <v>8.12</v>
      </c>
      <c r="U326" s="82">
        <v>0.57</v>
      </c>
      <c r="V326" s="82">
        <v>0.43</v>
      </c>
      <c r="W326" s="82">
        <v>0.16</v>
      </c>
      <c r="X326" s="82">
        <v>7.95</v>
      </c>
      <c r="Y326" s="82">
        <v>28.92</v>
      </c>
      <c r="Z326" s="191">
        <v>378235.75</v>
      </c>
      <c r="AA326" s="82">
        <v>3.39</v>
      </c>
      <c r="AB326" s="82">
        <v>0.23</v>
      </c>
      <c r="AC326" s="82">
        <v>0.01</v>
      </c>
      <c r="AD326" s="191">
        <v>6.2884360043E9</v>
      </c>
    </row>
    <row r="327">
      <c r="A327" s="82" t="s">
        <v>376</v>
      </c>
      <c r="B327" s="82">
        <v>10.48</v>
      </c>
      <c r="C327" s="82">
        <v>1.5</v>
      </c>
      <c r="D327" s="82">
        <v>46.12</v>
      </c>
      <c r="E327" s="82">
        <v>3.09</v>
      </c>
      <c r="F327" s="82">
        <v>1.77</v>
      </c>
      <c r="G327" s="82">
        <v>61.96</v>
      </c>
      <c r="H327" s="82">
        <v>51.62</v>
      </c>
      <c r="I327" s="82">
        <v>24.53</v>
      </c>
      <c r="J327" s="82">
        <v>21.91</v>
      </c>
      <c r="K327" s="82">
        <v>13.88</v>
      </c>
      <c r="L327" s="82">
        <v>3.14</v>
      </c>
      <c r="M327" s="82">
        <v>0.44</v>
      </c>
      <c r="N327" s="82">
        <v>11.31</v>
      </c>
      <c r="O327" s="82">
        <v>21.92</v>
      </c>
      <c r="P327" s="82">
        <v>-2.19</v>
      </c>
      <c r="Q327" s="82">
        <v>1.71</v>
      </c>
      <c r="R327" s="82">
        <v>6.7</v>
      </c>
      <c r="S327" s="82">
        <v>3.83</v>
      </c>
      <c r="T327" s="82">
        <v>8.12</v>
      </c>
      <c r="U327" s="82">
        <v>0.57</v>
      </c>
      <c r="V327" s="82">
        <v>0.43</v>
      </c>
      <c r="W327" s="82">
        <v>0.16</v>
      </c>
      <c r="X327" s="82">
        <v>7.95</v>
      </c>
      <c r="Y327" s="82">
        <v>28.92</v>
      </c>
      <c r="Z327" s="191">
        <v>48988.5</v>
      </c>
      <c r="AA327" s="82">
        <v>3.39</v>
      </c>
      <c r="AB327" s="82">
        <v>0.23</v>
      </c>
      <c r="AC327" s="82">
        <v>0.03</v>
      </c>
      <c r="AD327" s="191">
        <v>6.2884360043E9</v>
      </c>
    </row>
    <row r="328">
      <c r="A328" s="82" t="s">
        <v>377</v>
      </c>
      <c r="B328" s="82">
        <v>4.02</v>
      </c>
      <c r="D328" s="82">
        <v>-0.49</v>
      </c>
      <c r="E328" s="82">
        <v>-0.1</v>
      </c>
      <c r="F328" s="82">
        <v>0.14</v>
      </c>
      <c r="G328" s="82">
        <v>-81.15</v>
      </c>
      <c r="H328" s="191">
        <v>-1248.74</v>
      </c>
      <c r="I328" s="191">
        <v>-3918.33</v>
      </c>
      <c r="J328" s="82">
        <v>-1.52</v>
      </c>
      <c r="K328" s="82">
        <v>-9.1</v>
      </c>
      <c r="L328" s="82">
        <v>-7.69</v>
      </c>
      <c r="N328" s="82">
        <v>19.02</v>
      </c>
      <c r="O328" s="82">
        <v>-0.14</v>
      </c>
      <c r="P328" s="82">
        <v>-0.16</v>
      </c>
      <c r="Q328" s="82">
        <v>0.08</v>
      </c>
      <c r="R328" s="82">
        <v>-20.32</v>
      </c>
      <c r="S328" s="82">
        <v>-29.52</v>
      </c>
      <c r="T328" s="82">
        <v>15.1</v>
      </c>
      <c r="U328" s="82">
        <v>-1.45</v>
      </c>
      <c r="V328" s="82">
        <v>2.45</v>
      </c>
      <c r="W328" s="82">
        <v>0.01</v>
      </c>
      <c r="X328" s="82">
        <v>-23.07</v>
      </c>
      <c r="Z328" s="191">
        <v>304646.42</v>
      </c>
      <c r="AA328" s="82">
        <v>-40.76</v>
      </c>
      <c r="AB328" s="82">
        <v>-8.28</v>
      </c>
      <c r="AC328" s="82">
        <v>0.0</v>
      </c>
      <c r="AD328" s="191">
        <v>1.6525760298E8</v>
      </c>
    </row>
    <row r="329">
      <c r="A329" s="82" t="s">
        <v>378</v>
      </c>
      <c r="B329" s="82">
        <v>3.0</v>
      </c>
      <c r="D329" s="82">
        <v>-0.36</v>
      </c>
      <c r="E329" s="82">
        <v>-0.07</v>
      </c>
      <c r="F329" s="82">
        <v>0.11</v>
      </c>
      <c r="G329" s="82">
        <v>-81.15</v>
      </c>
      <c r="H329" s="191">
        <v>-1248.74</v>
      </c>
      <c r="I329" s="191">
        <v>-3918.33</v>
      </c>
      <c r="J329" s="82">
        <v>-1.14</v>
      </c>
      <c r="K329" s="82">
        <v>-9.1</v>
      </c>
      <c r="L329" s="82">
        <v>-7.69</v>
      </c>
      <c r="N329" s="82">
        <v>14.19</v>
      </c>
      <c r="O329" s="82">
        <v>-0.1</v>
      </c>
      <c r="P329" s="82">
        <v>-0.12</v>
      </c>
      <c r="Q329" s="82">
        <v>0.08</v>
      </c>
      <c r="R329" s="82">
        <v>-20.32</v>
      </c>
      <c r="S329" s="82">
        <v>-29.52</v>
      </c>
      <c r="T329" s="82">
        <v>15.1</v>
      </c>
      <c r="U329" s="82">
        <v>-1.45</v>
      </c>
      <c r="V329" s="82">
        <v>2.45</v>
      </c>
      <c r="W329" s="82">
        <v>0.01</v>
      </c>
      <c r="X329" s="82">
        <v>-23.07</v>
      </c>
      <c r="Z329" s="191">
        <v>154756.74</v>
      </c>
      <c r="AA329" s="82">
        <v>-40.76</v>
      </c>
      <c r="AB329" s="82">
        <v>-8.28</v>
      </c>
      <c r="AC329" s="82">
        <v>0.0</v>
      </c>
      <c r="AD329" s="191">
        <v>1.6525760298E8</v>
      </c>
    </row>
    <row r="330">
      <c r="A330" s="82" t="s">
        <v>379</v>
      </c>
      <c r="B330" s="82">
        <v>0.0</v>
      </c>
      <c r="D330" s="82">
        <v>0.0</v>
      </c>
      <c r="E330" s="82">
        <v>0.0</v>
      </c>
      <c r="F330" s="82">
        <v>0.0</v>
      </c>
      <c r="G330" s="82">
        <v>26.13</v>
      </c>
      <c r="H330" s="82">
        <v>11.28</v>
      </c>
      <c r="I330" s="82">
        <v>9.78</v>
      </c>
      <c r="J330" s="82">
        <v>0.0</v>
      </c>
      <c r="K330" s="82">
        <v>5.13</v>
      </c>
      <c r="L330" s="82">
        <v>5.13</v>
      </c>
      <c r="M330" s="82">
        <v>1.45</v>
      </c>
      <c r="N330" s="82">
        <v>0.0</v>
      </c>
      <c r="O330" s="82">
        <v>0.0</v>
      </c>
      <c r="P330" s="82">
        <v>0.0</v>
      </c>
      <c r="Q330" s="82">
        <v>0.83</v>
      </c>
      <c r="R330" s="82">
        <v>24.48</v>
      </c>
      <c r="S330" s="82">
        <v>3.82</v>
      </c>
      <c r="T330" s="82">
        <v>8.98</v>
      </c>
      <c r="U330" s="82">
        <v>0.16</v>
      </c>
      <c r="V330" s="82">
        <v>0.84</v>
      </c>
      <c r="W330" s="82">
        <v>0.39</v>
      </c>
      <c r="X330" s="82">
        <v>30.4</v>
      </c>
      <c r="Y330" s="82">
        <v>13.32</v>
      </c>
      <c r="AA330" s="82">
        <v>1.94</v>
      </c>
      <c r="AB330" s="82">
        <v>0.48</v>
      </c>
      <c r="AC330" s="82">
        <v>0.0</v>
      </c>
      <c r="AD330" s="82">
        <v>0.0</v>
      </c>
    </row>
    <row r="331">
      <c r="A331" s="82" t="s">
        <v>380</v>
      </c>
      <c r="B331" s="82">
        <v>20.97</v>
      </c>
      <c r="C331" s="82">
        <v>0.99</v>
      </c>
      <c r="D331" s="82">
        <v>13.18</v>
      </c>
      <c r="E331" s="82">
        <v>2.78</v>
      </c>
      <c r="F331" s="82">
        <v>1.45</v>
      </c>
      <c r="G331" s="82">
        <v>31.46</v>
      </c>
      <c r="H331" s="82">
        <v>11.78</v>
      </c>
      <c r="I331" s="82">
        <v>12.53</v>
      </c>
      <c r="J331" s="82">
        <v>14.02</v>
      </c>
      <c r="K331" s="82">
        <v>13.47</v>
      </c>
      <c r="L331" s="82">
        <v>-0.54</v>
      </c>
      <c r="M331" s="82">
        <v>-0.11</v>
      </c>
      <c r="N331" s="82">
        <v>1.65</v>
      </c>
      <c r="O331" s="82">
        <v>3.2</v>
      </c>
      <c r="P331" s="82">
        <v>-5.33</v>
      </c>
      <c r="Q331" s="82">
        <v>2.68</v>
      </c>
      <c r="R331" s="82">
        <v>21.1</v>
      </c>
      <c r="S331" s="82">
        <v>11.04</v>
      </c>
      <c r="T331" s="82">
        <v>13.25</v>
      </c>
      <c r="U331" s="82">
        <v>0.52</v>
      </c>
      <c r="V331" s="82">
        <v>0.47</v>
      </c>
      <c r="W331" s="82">
        <v>0.88</v>
      </c>
      <c r="X331" s="82">
        <v>23.09</v>
      </c>
      <c r="Y331" s="82">
        <v>23.17</v>
      </c>
      <c r="Z331" s="191">
        <v>1.97732022E7</v>
      </c>
      <c r="AA331" s="82">
        <v>7.53</v>
      </c>
      <c r="AB331" s="82">
        <v>1.59</v>
      </c>
      <c r="AC331" s="82">
        <v>0.55</v>
      </c>
      <c r="AD331" s="191">
        <v>6.8667288656E9</v>
      </c>
    </row>
    <row r="332">
      <c r="A332" s="82" t="s">
        <v>381</v>
      </c>
      <c r="B332" s="82">
        <v>41.96</v>
      </c>
      <c r="D332" s="82">
        <v>91.43</v>
      </c>
      <c r="E332" s="82">
        <v>0.83</v>
      </c>
      <c r="F332" s="82">
        <v>0.16</v>
      </c>
      <c r="G332" s="82">
        <v>-1.79</v>
      </c>
      <c r="H332" s="82">
        <v>-8.51</v>
      </c>
      <c r="I332" s="82">
        <v>0.58</v>
      </c>
      <c r="J332" s="82">
        <v>-6.24</v>
      </c>
      <c r="K332" s="82">
        <v>-6.28</v>
      </c>
      <c r="N332" s="82">
        <v>0.53</v>
      </c>
      <c r="O332" s="82">
        <v>-1.29</v>
      </c>
      <c r="P332" s="82">
        <v>-0.41</v>
      </c>
      <c r="Q332" s="82">
        <v>0.83</v>
      </c>
      <c r="R332" s="82">
        <v>0.9</v>
      </c>
      <c r="S332" s="82">
        <v>0.17</v>
      </c>
      <c r="U332" s="82">
        <v>0.19</v>
      </c>
      <c r="V332" s="82">
        <v>0.81</v>
      </c>
      <c r="W332" s="82">
        <v>0.3</v>
      </c>
      <c r="X332" s="82">
        <v>8.26</v>
      </c>
      <c r="Y332" s="82">
        <v>-47.29</v>
      </c>
      <c r="Z332" s="191">
        <v>9.12771515E7</v>
      </c>
      <c r="AA332" s="82">
        <v>50.69</v>
      </c>
      <c r="AB332" s="82">
        <v>0.46</v>
      </c>
      <c r="AC332" s="82">
        <v>-0.88</v>
      </c>
      <c r="AD332" s="191">
        <v>3.46245017508E9</v>
      </c>
    </row>
    <row r="333">
      <c r="A333" s="82" t="s">
        <v>384</v>
      </c>
      <c r="B333" s="82">
        <v>40.1</v>
      </c>
      <c r="D333" s="82">
        <v>-35.12</v>
      </c>
      <c r="E333" s="82">
        <v>22.04</v>
      </c>
      <c r="F333" s="82">
        <v>9.22</v>
      </c>
      <c r="G333" s="82">
        <v>-121.18</v>
      </c>
      <c r="H333" s="191">
        <v>-18852.94</v>
      </c>
      <c r="I333" s="191">
        <v>-7435.88</v>
      </c>
      <c r="J333" s="82">
        <v>-13.85</v>
      </c>
      <c r="K333" s="82">
        <v>-13.21</v>
      </c>
      <c r="L333" s="82">
        <v>0.64</v>
      </c>
      <c r="M333" s="82">
        <v>-1.02</v>
      </c>
      <c r="N333" s="191">
        <v>2611.73</v>
      </c>
      <c r="O333" s="82">
        <v>25.42</v>
      </c>
      <c r="P333" s="82">
        <v>-16.7</v>
      </c>
      <c r="Q333" s="82">
        <v>5.23</v>
      </c>
      <c r="R333" s="82">
        <v>-62.76</v>
      </c>
      <c r="S333" s="82">
        <v>-26.24</v>
      </c>
      <c r="T333" s="82">
        <v>-174.07</v>
      </c>
      <c r="U333" s="82">
        <v>0.42</v>
      </c>
      <c r="V333" s="82">
        <v>0.58</v>
      </c>
      <c r="W333" s="82">
        <v>0.0</v>
      </c>
      <c r="X333" s="82">
        <v>-75.29</v>
      </c>
      <c r="AA333" s="82">
        <v>1.82</v>
      </c>
      <c r="AB333" s="82">
        <v>-1.14</v>
      </c>
      <c r="AC333" s="82">
        <v>1.36</v>
      </c>
      <c r="AD333" s="191">
        <v>4.439946586E8</v>
      </c>
    </row>
    <row r="334">
      <c r="A334" s="82" t="s">
        <v>385</v>
      </c>
      <c r="B334" s="82">
        <v>10.26</v>
      </c>
      <c r="C334" s="82">
        <v>5.72</v>
      </c>
      <c r="D334" s="82">
        <v>7.65</v>
      </c>
      <c r="E334" s="82">
        <v>1.33</v>
      </c>
      <c r="F334" s="82">
        <v>1.03</v>
      </c>
      <c r="G334" s="82">
        <v>33.55</v>
      </c>
      <c r="H334" s="82">
        <v>205.76</v>
      </c>
      <c r="I334" s="82">
        <v>186.19</v>
      </c>
      <c r="J334" s="82">
        <v>6.93</v>
      </c>
      <c r="K334" s="82">
        <v>7.06</v>
      </c>
      <c r="L334" s="82">
        <v>0.19</v>
      </c>
      <c r="M334" s="82">
        <v>0.04</v>
      </c>
      <c r="N334" s="82">
        <v>14.25</v>
      </c>
      <c r="O334" s="82">
        <v>21.21</v>
      </c>
      <c r="P334" s="82">
        <v>-1.17</v>
      </c>
      <c r="Q334" s="82">
        <v>1.65</v>
      </c>
      <c r="R334" s="82">
        <v>17.31</v>
      </c>
      <c r="S334" s="82">
        <v>13.43</v>
      </c>
      <c r="T334" s="82">
        <v>15.74</v>
      </c>
      <c r="U334" s="82">
        <v>0.78</v>
      </c>
      <c r="V334" s="82">
        <v>0.18</v>
      </c>
      <c r="W334" s="82">
        <v>0.07</v>
      </c>
      <c r="X334" s="82">
        <v>11.3</v>
      </c>
      <c r="Y334" s="82">
        <v>11.13</v>
      </c>
      <c r="Z334" s="191">
        <v>2407951.6</v>
      </c>
      <c r="AA334" s="82">
        <v>7.72</v>
      </c>
      <c r="AB334" s="82">
        <v>1.34</v>
      </c>
      <c r="AC334" s="82">
        <v>-1.67</v>
      </c>
      <c r="AD334" s="191">
        <v>1.0493719579194E11</v>
      </c>
    </row>
    <row r="335">
      <c r="A335" s="82" t="s">
        <v>386</v>
      </c>
      <c r="B335" s="82">
        <v>10.24</v>
      </c>
      <c r="C335" s="82">
        <v>5.72</v>
      </c>
      <c r="D335" s="82">
        <v>7.65</v>
      </c>
      <c r="E335" s="82">
        <v>1.32</v>
      </c>
      <c r="F335" s="82">
        <v>1.03</v>
      </c>
      <c r="G335" s="82">
        <v>33.55</v>
      </c>
      <c r="H335" s="82">
        <v>205.76</v>
      </c>
      <c r="I335" s="82">
        <v>186.19</v>
      </c>
      <c r="J335" s="82">
        <v>6.92</v>
      </c>
      <c r="K335" s="82">
        <v>7.06</v>
      </c>
      <c r="L335" s="82">
        <v>0.19</v>
      </c>
      <c r="M335" s="82">
        <v>0.04</v>
      </c>
      <c r="N335" s="82">
        <v>14.24</v>
      </c>
      <c r="O335" s="82">
        <v>21.19</v>
      </c>
      <c r="P335" s="82">
        <v>-1.17</v>
      </c>
      <c r="Q335" s="82">
        <v>1.65</v>
      </c>
      <c r="R335" s="82">
        <v>17.31</v>
      </c>
      <c r="S335" s="82">
        <v>13.43</v>
      </c>
      <c r="T335" s="82">
        <v>15.74</v>
      </c>
      <c r="U335" s="82">
        <v>0.78</v>
      </c>
      <c r="V335" s="82">
        <v>0.18</v>
      </c>
      <c r="W335" s="82">
        <v>0.07</v>
      </c>
      <c r="X335" s="82">
        <v>11.3</v>
      </c>
      <c r="Y335" s="82">
        <v>11.13</v>
      </c>
      <c r="Z335" s="191">
        <v>1.938029787E8</v>
      </c>
      <c r="AA335" s="82">
        <v>7.72</v>
      </c>
      <c r="AB335" s="82">
        <v>1.34</v>
      </c>
      <c r="AC335" s="82">
        <v>-1.67</v>
      </c>
      <c r="AD335" s="191">
        <v>1.0493719579194E11</v>
      </c>
    </row>
    <row r="336">
      <c r="A336" s="82" t="s">
        <v>387</v>
      </c>
      <c r="B336" s="82">
        <v>28.59</v>
      </c>
      <c r="C336" s="82">
        <v>4.4</v>
      </c>
      <c r="D336" s="82">
        <v>8.79</v>
      </c>
      <c r="E336" s="82">
        <v>1.52</v>
      </c>
      <c r="F336" s="82">
        <v>0.11</v>
      </c>
      <c r="G336" s="82">
        <v>30.03</v>
      </c>
      <c r="H336" s="82">
        <v>9.92</v>
      </c>
      <c r="I336" s="82">
        <v>8.3</v>
      </c>
      <c r="J336" s="82">
        <v>7.35</v>
      </c>
      <c r="K336" s="82">
        <v>7.97</v>
      </c>
      <c r="N336" s="82">
        <v>0.73</v>
      </c>
      <c r="P336" s="82">
        <v>-0.11</v>
      </c>
      <c r="R336" s="82">
        <v>17.34</v>
      </c>
      <c r="S336" s="82">
        <v>1.27</v>
      </c>
      <c r="U336" s="82">
        <v>0.07</v>
      </c>
      <c r="V336" s="82">
        <v>0.92</v>
      </c>
      <c r="W336" s="82">
        <v>0.15</v>
      </c>
      <c r="X336" s="82">
        <v>13.63</v>
      </c>
      <c r="Y336" s="82">
        <v>6.54</v>
      </c>
      <c r="Z336" s="191">
        <v>1.58471878E7</v>
      </c>
      <c r="AA336" s="82">
        <v>18.73</v>
      </c>
      <c r="AB336" s="82">
        <v>3.25</v>
      </c>
      <c r="AC336" s="82">
        <v>0.75</v>
      </c>
      <c r="AD336" s="191">
        <v>3.0324817022688E11</v>
      </c>
    </row>
    <row r="337">
      <c r="A337" s="82" t="s">
        <v>388</v>
      </c>
      <c r="B337" s="82">
        <v>33.74</v>
      </c>
      <c r="C337" s="82">
        <v>3.74</v>
      </c>
      <c r="D337" s="82">
        <v>10.36</v>
      </c>
      <c r="E337" s="82">
        <v>1.8</v>
      </c>
      <c r="F337" s="82">
        <v>0.13</v>
      </c>
      <c r="G337" s="82">
        <v>30.03</v>
      </c>
      <c r="H337" s="82">
        <v>9.92</v>
      </c>
      <c r="I337" s="82">
        <v>8.3</v>
      </c>
      <c r="J337" s="82">
        <v>8.67</v>
      </c>
      <c r="K337" s="82">
        <v>7.97</v>
      </c>
      <c r="N337" s="82">
        <v>0.86</v>
      </c>
      <c r="P337" s="82">
        <v>-0.13</v>
      </c>
      <c r="R337" s="82">
        <v>17.34</v>
      </c>
      <c r="S337" s="82">
        <v>1.27</v>
      </c>
      <c r="U337" s="82">
        <v>0.07</v>
      </c>
      <c r="V337" s="82">
        <v>0.92</v>
      </c>
      <c r="W337" s="82">
        <v>0.15</v>
      </c>
      <c r="X337" s="82">
        <v>13.63</v>
      </c>
      <c r="Y337" s="82">
        <v>6.54</v>
      </c>
      <c r="Z337" s="191">
        <v>7.441537605E8</v>
      </c>
      <c r="AA337" s="82">
        <v>18.73</v>
      </c>
      <c r="AB337" s="82">
        <v>3.25</v>
      </c>
      <c r="AC337" s="82">
        <v>0.89</v>
      </c>
      <c r="AD337" s="191">
        <v>3.0324817022688E11</v>
      </c>
    </row>
    <row r="338">
      <c r="A338" s="82" t="s">
        <v>389</v>
      </c>
      <c r="B338" s="82">
        <v>7.68</v>
      </c>
      <c r="C338" s="82">
        <v>5.77</v>
      </c>
      <c r="D338" s="82">
        <v>3.69</v>
      </c>
      <c r="E338" s="82">
        <v>1.17</v>
      </c>
      <c r="F338" s="82">
        <v>0.36</v>
      </c>
      <c r="G338" s="82">
        <v>30.06</v>
      </c>
      <c r="H338" s="82">
        <v>49.3</v>
      </c>
      <c r="I338" s="82">
        <v>33.06</v>
      </c>
      <c r="J338" s="82">
        <v>2.48</v>
      </c>
      <c r="K338" s="82">
        <v>5.4</v>
      </c>
      <c r="L338" s="82">
        <v>2.93</v>
      </c>
      <c r="M338" s="82">
        <v>1.38</v>
      </c>
      <c r="N338" s="82">
        <v>1.22</v>
      </c>
      <c r="O338" s="82">
        <v>1.39</v>
      </c>
      <c r="P338" s="82">
        <v>-0.58</v>
      </c>
      <c r="Q338" s="82">
        <v>2.96</v>
      </c>
      <c r="R338" s="82">
        <v>31.57</v>
      </c>
      <c r="S338" s="82">
        <v>9.61</v>
      </c>
      <c r="T338" s="82">
        <v>15.97</v>
      </c>
      <c r="U338" s="82">
        <v>0.3</v>
      </c>
      <c r="V338" s="82">
        <v>0.7</v>
      </c>
      <c r="W338" s="82">
        <v>0.29</v>
      </c>
      <c r="Z338" s="191">
        <v>6931694.75</v>
      </c>
      <c r="AA338" s="82">
        <v>6.58</v>
      </c>
      <c r="AB338" s="82">
        <v>2.08</v>
      </c>
      <c r="AC338" s="82">
        <v>0.0</v>
      </c>
      <c r="AD338" s="191">
        <v>2.3220952596E9</v>
      </c>
    </row>
    <row r="339">
      <c r="A339" s="82" t="s">
        <v>390</v>
      </c>
      <c r="B339" s="82">
        <v>25.22</v>
      </c>
      <c r="C339" s="82">
        <v>3.96</v>
      </c>
      <c r="D339" s="82">
        <v>46.4</v>
      </c>
      <c r="E339" s="82">
        <v>1.33</v>
      </c>
      <c r="F339" s="82">
        <v>0.26</v>
      </c>
      <c r="G339" s="82">
        <v>-5.62</v>
      </c>
      <c r="H339" s="82">
        <v>-5.15</v>
      </c>
      <c r="I339" s="82">
        <v>0.33</v>
      </c>
      <c r="J339" s="82">
        <v>-3.01</v>
      </c>
      <c r="K339" s="82">
        <v>-7.34</v>
      </c>
      <c r="L339" s="82">
        <v>-4.33</v>
      </c>
      <c r="M339" s="82">
        <v>1.92</v>
      </c>
      <c r="N339" s="82">
        <v>0.16</v>
      </c>
      <c r="O339" s="82">
        <v>1.58</v>
      </c>
      <c r="P339" s="82">
        <v>-0.44</v>
      </c>
      <c r="Q339" s="82">
        <v>1.7</v>
      </c>
      <c r="R339" s="82">
        <v>2.87</v>
      </c>
      <c r="S339" s="82">
        <v>0.56</v>
      </c>
      <c r="T339" s="82">
        <v>-15.01</v>
      </c>
      <c r="U339" s="82">
        <v>0.2</v>
      </c>
      <c r="V339" s="82">
        <v>0.79</v>
      </c>
      <c r="W339" s="82">
        <v>1.68</v>
      </c>
      <c r="X339" s="82">
        <v>18.1</v>
      </c>
      <c r="Y339" s="82">
        <v>17.69</v>
      </c>
      <c r="Z339" s="191">
        <v>1.486476755E8</v>
      </c>
      <c r="AA339" s="82">
        <v>18.92</v>
      </c>
      <c r="AB339" s="82">
        <v>0.54</v>
      </c>
      <c r="AC339" s="82">
        <v>-0.49</v>
      </c>
      <c r="AD339" s="191">
        <v>5.58743513603E10</v>
      </c>
    </row>
    <row r="340">
      <c r="A340" s="82" t="s">
        <v>391</v>
      </c>
      <c r="B340" s="82">
        <v>2.17</v>
      </c>
      <c r="D340" s="82">
        <v>-1.01</v>
      </c>
      <c r="E340" s="82">
        <v>-0.06</v>
      </c>
      <c r="F340" s="82">
        <v>0.04</v>
      </c>
      <c r="G340" s="82">
        <v>-5.72</v>
      </c>
      <c r="H340" s="82">
        <v>-93.39</v>
      </c>
      <c r="I340" s="82">
        <v>-52.51</v>
      </c>
      <c r="J340" s="82">
        <v>-0.57</v>
      </c>
      <c r="K340" s="82">
        <v>-7.95</v>
      </c>
      <c r="L340" s="82">
        <v>-7.41</v>
      </c>
      <c r="N340" s="82">
        <v>0.53</v>
      </c>
      <c r="O340" s="82">
        <v>-0.18</v>
      </c>
      <c r="P340" s="82">
        <v>-0.19</v>
      </c>
      <c r="Q340" s="82">
        <v>0.78</v>
      </c>
      <c r="R340" s="82">
        <v>-6.43</v>
      </c>
      <c r="S340" s="82">
        <v>-4.04</v>
      </c>
      <c r="T340" s="82">
        <v>76.59</v>
      </c>
      <c r="U340" s="82">
        <v>-0.63</v>
      </c>
      <c r="V340" s="82">
        <v>1.72</v>
      </c>
      <c r="W340" s="82">
        <v>0.08</v>
      </c>
      <c r="X340" s="82">
        <v>-47.18</v>
      </c>
      <c r="Z340" s="191">
        <v>210391.7</v>
      </c>
      <c r="AA340" s="82">
        <v>-32.5</v>
      </c>
      <c r="AB340" s="82">
        <v>-2.09</v>
      </c>
      <c r="AC340" s="82">
        <v>0.01</v>
      </c>
      <c r="AD340" s="191">
        <v>4.229193363E7</v>
      </c>
    </row>
    <row r="341">
      <c r="A341" s="82" t="s">
        <v>392</v>
      </c>
      <c r="B341" s="82">
        <v>5.3</v>
      </c>
      <c r="C341" s="82">
        <v>7.96</v>
      </c>
      <c r="D341" s="82">
        <v>9.07</v>
      </c>
      <c r="E341" s="82">
        <v>0.71</v>
      </c>
      <c r="F341" s="82">
        <v>0.33</v>
      </c>
      <c r="G341" s="82">
        <v>53.4</v>
      </c>
      <c r="H341" s="82">
        <v>47.37</v>
      </c>
      <c r="I341" s="82">
        <v>26.29</v>
      </c>
      <c r="J341" s="82">
        <v>5.03</v>
      </c>
      <c r="K341" s="82">
        <v>8.61</v>
      </c>
      <c r="L341" s="82">
        <v>3.59</v>
      </c>
      <c r="M341" s="82">
        <v>0.51</v>
      </c>
      <c r="N341" s="82">
        <v>2.38</v>
      </c>
      <c r="O341" s="82">
        <v>1.81</v>
      </c>
      <c r="P341" s="82">
        <v>-0.47</v>
      </c>
      <c r="Q341" s="82">
        <v>2.85</v>
      </c>
      <c r="R341" s="82">
        <v>7.85</v>
      </c>
      <c r="S341" s="82">
        <v>3.68</v>
      </c>
      <c r="T341" s="82">
        <v>6.98</v>
      </c>
      <c r="U341" s="82">
        <v>0.47</v>
      </c>
      <c r="V341" s="82">
        <v>0.5</v>
      </c>
      <c r="W341" s="82">
        <v>0.14</v>
      </c>
      <c r="X341" s="82">
        <v>39.82</v>
      </c>
      <c r="Z341" s="191">
        <v>1.67844967E7</v>
      </c>
      <c r="AA341" s="82">
        <v>7.42</v>
      </c>
      <c r="AB341" s="82">
        <v>0.58</v>
      </c>
      <c r="AC341" s="82">
        <v>-0.18</v>
      </c>
      <c r="AD341" s="191">
        <v>3.57326812566E9</v>
      </c>
    </row>
    <row r="342">
      <c r="A342" s="82" t="s">
        <v>393</v>
      </c>
      <c r="B342" s="82">
        <v>23.99</v>
      </c>
      <c r="C342" s="82">
        <v>3.42</v>
      </c>
      <c r="D342" s="82">
        <v>37.48</v>
      </c>
      <c r="E342" s="82">
        <v>0.44</v>
      </c>
      <c r="F342" s="82">
        <v>0.11</v>
      </c>
      <c r="G342" s="82">
        <v>19.84</v>
      </c>
      <c r="H342" s="82">
        <v>4.76</v>
      </c>
      <c r="I342" s="82">
        <v>0.32</v>
      </c>
      <c r="J342" s="82">
        <v>2.51</v>
      </c>
      <c r="K342" s="82">
        <v>8.35</v>
      </c>
      <c r="L342" s="82">
        <v>5.83</v>
      </c>
      <c r="M342" s="82">
        <v>1.03</v>
      </c>
      <c r="N342" s="82">
        <v>0.12</v>
      </c>
      <c r="O342" s="82">
        <v>0.28</v>
      </c>
      <c r="P342" s="82">
        <v>-0.42</v>
      </c>
      <c r="Q342" s="82">
        <v>2.07</v>
      </c>
      <c r="R342" s="82">
        <v>1.19</v>
      </c>
      <c r="S342" s="82">
        <v>0.29</v>
      </c>
      <c r="T342" s="82">
        <v>4.44</v>
      </c>
      <c r="U342" s="82">
        <v>0.24</v>
      </c>
      <c r="V342" s="82">
        <v>0.68</v>
      </c>
      <c r="W342" s="82">
        <v>0.9</v>
      </c>
      <c r="X342" s="82">
        <v>16.21</v>
      </c>
      <c r="Y342" s="82">
        <v>-18.77</v>
      </c>
      <c r="Z342" s="191">
        <v>10000.0</v>
      </c>
      <c r="AA342" s="82">
        <v>53.92</v>
      </c>
      <c r="AB342" s="82">
        <v>0.64</v>
      </c>
      <c r="AC342" s="82">
        <v>-0.47</v>
      </c>
      <c r="AD342" s="191">
        <v>2.5515956047E8</v>
      </c>
    </row>
    <row r="343">
      <c r="A343" s="82" t="s">
        <v>394</v>
      </c>
      <c r="B343" s="82">
        <v>33.8</v>
      </c>
      <c r="C343" s="82">
        <v>2.67</v>
      </c>
      <c r="D343" s="82">
        <v>52.81</v>
      </c>
      <c r="E343" s="82">
        <v>0.63</v>
      </c>
      <c r="F343" s="82">
        <v>0.15</v>
      </c>
      <c r="G343" s="82">
        <v>19.84</v>
      </c>
      <c r="H343" s="82">
        <v>4.76</v>
      </c>
      <c r="I343" s="82">
        <v>0.32</v>
      </c>
      <c r="J343" s="82">
        <v>3.54</v>
      </c>
      <c r="K343" s="82">
        <v>8.35</v>
      </c>
      <c r="L343" s="82">
        <v>5.83</v>
      </c>
      <c r="M343" s="82">
        <v>1.03</v>
      </c>
      <c r="N343" s="82">
        <v>0.17</v>
      </c>
      <c r="O343" s="82">
        <v>0.4</v>
      </c>
      <c r="P343" s="82">
        <v>-0.59</v>
      </c>
      <c r="Q343" s="82">
        <v>2.07</v>
      </c>
      <c r="R343" s="82">
        <v>1.19</v>
      </c>
      <c r="S343" s="82">
        <v>0.29</v>
      </c>
      <c r="T343" s="82">
        <v>4.44</v>
      </c>
      <c r="U343" s="82">
        <v>0.24</v>
      </c>
      <c r="V343" s="82">
        <v>0.68</v>
      </c>
      <c r="W343" s="82">
        <v>0.9</v>
      </c>
      <c r="X343" s="82">
        <v>16.21</v>
      </c>
      <c r="Y343" s="82">
        <v>-18.77</v>
      </c>
      <c r="Z343" s="191">
        <v>3380.0</v>
      </c>
      <c r="AA343" s="82">
        <v>53.92</v>
      </c>
      <c r="AB343" s="82">
        <v>0.64</v>
      </c>
      <c r="AC343" s="82">
        <v>-0.67</v>
      </c>
      <c r="AD343" s="191">
        <v>2.5515956047E8</v>
      </c>
    </row>
    <row r="344">
      <c r="A344" s="82" t="s">
        <v>395</v>
      </c>
      <c r="B344" s="82">
        <v>12.79</v>
      </c>
      <c r="D344" s="82">
        <v>9.83</v>
      </c>
      <c r="E344" s="82">
        <v>2.18</v>
      </c>
      <c r="F344" s="82">
        <v>0.35</v>
      </c>
      <c r="G344" s="82">
        <v>18.55</v>
      </c>
      <c r="H344" s="82">
        <v>17.05</v>
      </c>
      <c r="I344" s="82">
        <v>5.27</v>
      </c>
      <c r="J344" s="82">
        <v>3.04</v>
      </c>
      <c r="K344" s="82">
        <v>7.21</v>
      </c>
      <c r="L344" s="82">
        <v>4.22</v>
      </c>
      <c r="M344" s="82">
        <v>3.03</v>
      </c>
      <c r="N344" s="82">
        <v>0.52</v>
      </c>
      <c r="O344" s="82">
        <v>2.97</v>
      </c>
      <c r="P344" s="82">
        <v>-0.49</v>
      </c>
      <c r="Q344" s="82">
        <v>1.64</v>
      </c>
      <c r="R344" s="82">
        <v>22.15</v>
      </c>
      <c r="S344" s="82">
        <v>3.52</v>
      </c>
      <c r="T344" s="82">
        <v>15.03</v>
      </c>
      <c r="U344" s="82">
        <v>0.16</v>
      </c>
      <c r="V344" s="82">
        <v>0.84</v>
      </c>
      <c r="W344" s="82">
        <v>0.67</v>
      </c>
      <c r="X344" s="82">
        <v>-3.66</v>
      </c>
      <c r="Z344" s="191">
        <v>1.256606795E7</v>
      </c>
      <c r="AA344" s="82">
        <v>5.88</v>
      </c>
      <c r="AB344" s="82">
        <v>1.3</v>
      </c>
      <c r="AC344" s="82">
        <v>0.07</v>
      </c>
      <c r="AD344" s="191">
        <v>3.6090315828E9</v>
      </c>
    </row>
    <row r="345">
      <c r="A345" s="82" t="s">
        <v>396</v>
      </c>
      <c r="B345" s="82">
        <v>10.51</v>
      </c>
      <c r="C345" s="82">
        <v>8.19</v>
      </c>
      <c r="D345" s="82">
        <v>7.14</v>
      </c>
      <c r="E345" s="82">
        <v>2.77</v>
      </c>
      <c r="F345" s="82">
        <v>1.36</v>
      </c>
      <c r="G345" s="82">
        <v>32.03</v>
      </c>
      <c r="H345" s="82">
        <v>22.32</v>
      </c>
      <c r="I345" s="82">
        <v>17.47</v>
      </c>
      <c r="J345" s="82">
        <v>5.59</v>
      </c>
      <c r="K345" s="82">
        <v>5.24</v>
      </c>
      <c r="L345" s="82">
        <v>-0.33</v>
      </c>
      <c r="M345" s="82">
        <v>-0.16</v>
      </c>
      <c r="N345" s="82">
        <v>1.25</v>
      </c>
      <c r="O345" s="82">
        <v>5.01</v>
      </c>
      <c r="P345" s="82">
        <v>-4.16</v>
      </c>
      <c r="Q345" s="82">
        <v>1.68</v>
      </c>
      <c r="R345" s="82">
        <v>38.76</v>
      </c>
      <c r="S345" s="82">
        <v>19.12</v>
      </c>
      <c r="T345" s="82">
        <v>28.93</v>
      </c>
      <c r="U345" s="82">
        <v>0.49</v>
      </c>
      <c r="V345" s="82">
        <v>0.51</v>
      </c>
      <c r="W345" s="82">
        <v>1.09</v>
      </c>
      <c r="X345" s="82">
        <v>25.71</v>
      </c>
      <c r="Z345" s="191">
        <v>1.836020155E7</v>
      </c>
      <c r="AA345" s="82">
        <v>3.79</v>
      </c>
      <c r="AB345" s="82">
        <v>1.47</v>
      </c>
      <c r="AC345" s="82">
        <v>-0.28</v>
      </c>
      <c r="AD345" s="191">
        <v>1.8780753585E9</v>
      </c>
    </row>
    <row r="346">
      <c r="A346" s="82" t="s">
        <v>397</v>
      </c>
      <c r="B346" s="82">
        <v>21.89</v>
      </c>
      <c r="C346" s="82">
        <v>6.19</v>
      </c>
      <c r="D346" s="82">
        <v>8.54</v>
      </c>
      <c r="E346" s="82">
        <v>2.2</v>
      </c>
      <c r="F346" s="82">
        <v>0.48</v>
      </c>
      <c r="G346" s="82">
        <v>39.1</v>
      </c>
      <c r="H346" s="82">
        <v>24.14</v>
      </c>
      <c r="I346" s="82">
        <v>15.48</v>
      </c>
      <c r="J346" s="82">
        <v>5.48</v>
      </c>
      <c r="K346" s="82">
        <v>10.09</v>
      </c>
      <c r="L346" s="82">
        <v>4.65</v>
      </c>
      <c r="M346" s="82">
        <v>1.87</v>
      </c>
      <c r="N346" s="82">
        <v>1.32</v>
      </c>
      <c r="O346" s="82">
        <v>3.38</v>
      </c>
      <c r="P346" s="82">
        <v>-0.65</v>
      </c>
      <c r="Q346" s="82">
        <v>2.16</v>
      </c>
      <c r="R346" s="82">
        <v>25.81</v>
      </c>
      <c r="S346" s="82">
        <v>5.57</v>
      </c>
      <c r="T346" s="82">
        <v>8.05</v>
      </c>
      <c r="U346" s="82">
        <v>0.22</v>
      </c>
      <c r="V346" s="82">
        <v>0.74</v>
      </c>
      <c r="W346" s="82">
        <v>0.36</v>
      </c>
      <c r="X346" s="82">
        <v>19.06</v>
      </c>
      <c r="Y346" s="82">
        <v>40.17</v>
      </c>
      <c r="Z346" s="191">
        <v>1.025150003E8</v>
      </c>
      <c r="AA346" s="82">
        <v>9.93</v>
      </c>
      <c r="AB346" s="82">
        <v>2.56</v>
      </c>
      <c r="AC346" s="82">
        <v>-0.22</v>
      </c>
      <c r="AD346" s="191">
        <v>2.444906927411E10</v>
      </c>
    </row>
    <row r="347">
      <c r="A347" s="82" t="s">
        <v>398</v>
      </c>
      <c r="B347" s="82">
        <v>4.38</v>
      </c>
      <c r="C347" s="82">
        <v>6.2</v>
      </c>
      <c r="D347" s="82">
        <v>8.52</v>
      </c>
      <c r="E347" s="82">
        <v>2.2</v>
      </c>
      <c r="F347" s="82">
        <v>0.47</v>
      </c>
      <c r="G347" s="82">
        <v>39.1</v>
      </c>
      <c r="H347" s="82">
        <v>24.14</v>
      </c>
      <c r="I347" s="82">
        <v>15.48</v>
      </c>
      <c r="J347" s="82">
        <v>5.47</v>
      </c>
      <c r="K347" s="82">
        <v>10.09</v>
      </c>
      <c r="L347" s="82">
        <v>4.65</v>
      </c>
      <c r="M347" s="82">
        <v>1.87</v>
      </c>
      <c r="N347" s="82">
        <v>1.32</v>
      </c>
      <c r="O347" s="82">
        <v>3.37</v>
      </c>
      <c r="P347" s="82">
        <v>-0.64</v>
      </c>
      <c r="Q347" s="82">
        <v>2.16</v>
      </c>
      <c r="R347" s="82">
        <v>25.81</v>
      </c>
      <c r="S347" s="82">
        <v>5.57</v>
      </c>
      <c r="T347" s="82">
        <v>8.05</v>
      </c>
      <c r="U347" s="82">
        <v>0.22</v>
      </c>
      <c r="V347" s="82">
        <v>0.74</v>
      </c>
      <c r="W347" s="82">
        <v>0.36</v>
      </c>
      <c r="X347" s="82">
        <v>19.06</v>
      </c>
      <c r="Y347" s="82">
        <v>40.17</v>
      </c>
      <c r="Z347" s="191">
        <v>2925220.5</v>
      </c>
      <c r="AA347" s="82">
        <v>1.99</v>
      </c>
      <c r="AB347" s="82">
        <v>0.51</v>
      </c>
      <c r="AC347" s="82">
        <v>-0.22</v>
      </c>
      <c r="AD347" s="191">
        <v>2.444906927411E10</v>
      </c>
    </row>
    <row r="348">
      <c r="A348" s="82" t="s">
        <v>399</v>
      </c>
      <c r="B348" s="82">
        <v>4.37</v>
      </c>
      <c r="C348" s="82">
        <v>6.18</v>
      </c>
      <c r="D348" s="82">
        <v>8.54</v>
      </c>
      <c r="E348" s="82">
        <v>2.2</v>
      </c>
      <c r="F348" s="82">
        <v>0.48</v>
      </c>
      <c r="G348" s="82">
        <v>39.1</v>
      </c>
      <c r="H348" s="82">
        <v>24.14</v>
      </c>
      <c r="I348" s="82">
        <v>15.48</v>
      </c>
      <c r="J348" s="82">
        <v>5.48</v>
      </c>
      <c r="K348" s="82">
        <v>10.09</v>
      </c>
      <c r="L348" s="82">
        <v>4.65</v>
      </c>
      <c r="M348" s="82">
        <v>1.87</v>
      </c>
      <c r="N348" s="82">
        <v>1.32</v>
      </c>
      <c r="O348" s="82">
        <v>3.38</v>
      </c>
      <c r="P348" s="82">
        <v>-0.65</v>
      </c>
      <c r="Q348" s="82">
        <v>2.16</v>
      </c>
      <c r="R348" s="82">
        <v>25.81</v>
      </c>
      <c r="S348" s="82">
        <v>5.57</v>
      </c>
      <c r="T348" s="82">
        <v>8.05</v>
      </c>
      <c r="U348" s="82">
        <v>0.22</v>
      </c>
      <c r="V348" s="82">
        <v>0.74</v>
      </c>
      <c r="W348" s="82">
        <v>0.36</v>
      </c>
      <c r="X348" s="82">
        <v>19.06</v>
      </c>
      <c r="Y348" s="82">
        <v>40.17</v>
      </c>
      <c r="Z348" s="191">
        <v>1.29523467E7</v>
      </c>
      <c r="AA348" s="82">
        <v>1.99</v>
      </c>
      <c r="AB348" s="82">
        <v>0.51</v>
      </c>
      <c r="AC348" s="82">
        <v>-0.22</v>
      </c>
      <c r="AD348" s="191">
        <v>2.444906927411E10</v>
      </c>
    </row>
    <row r="349">
      <c r="A349" s="82" t="s">
        <v>400</v>
      </c>
      <c r="B349" s="82">
        <v>1.25</v>
      </c>
      <c r="D349" s="82">
        <v>-4.56</v>
      </c>
      <c r="E349" s="82">
        <v>0.95</v>
      </c>
      <c r="F349" s="82">
        <v>0.2</v>
      </c>
      <c r="G349" s="82">
        <v>20.42</v>
      </c>
      <c r="H349" s="82">
        <v>11.73</v>
      </c>
      <c r="I349" s="82">
        <v>-9.5</v>
      </c>
      <c r="J349" s="82">
        <v>3.69</v>
      </c>
      <c r="K349" s="82">
        <v>12.24</v>
      </c>
      <c r="L349" s="82">
        <v>8.49</v>
      </c>
      <c r="M349" s="82">
        <v>2.19</v>
      </c>
      <c r="N349" s="82">
        <v>0.43</v>
      </c>
      <c r="O349" s="82">
        <v>1.47</v>
      </c>
      <c r="P349" s="82">
        <v>-0.29</v>
      </c>
      <c r="Q349" s="82">
        <v>1.92</v>
      </c>
      <c r="R349" s="82">
        <v>-20.93</v>
      </c>
      <c r="S349" s="82">
        <v>-4.46</v>
      </c>
      <c r="T349" s="82">
        <v>6.67</v>
      </c>
      <c r="U349" s="82">
        <v>0.21</v>
      </c>
      <c r="V349" s="82">
        <v>0.77</v>
      </c>
      <c r="W349" s="82">
        <v>0.47</v>
      </c>
      <c r="Z349" s="191">
        <v>855578.75</v>
      </c>
      <c r="AA349" s="82">
        <v>1.31</v>
      </c>
      <c r="AB349" s="82">
        <v>-0.27</v>
      </c>
      <c r="AC349" s="82">
        <v>-0.06</v>
      </c>
      <c r="AD349" s="191">
        <v>9.8215204509E8</v>
      </c>
    </row>
    <row r="350">
      <c r="A350" s="82" t="s">
        <v>401</v>
      </c>
      <c r="B350" s="82">
        <v>6.6</v>
      </c>
      <c r="D350" s="82">
        <v>21.15</v>
      </c>
      <c r="E350" s="82">
        <v>1.91</v>
      </c>
      <c r="F350" s="82">
        <v>0.28</v>
      </c>
      <c r="G350" s="82">
        <v>32.9</v>
      </c>
      <c r="H350" s="82">
        <v>4.35</v>
      </c>
      <c r="I350" s="82">
        <v>2.27</v>
      </c>
      <c r="J350" s="82">
        <v>11.03</v>
      </c>
      <c r="K350" s="82">
        <v>16.86</v>
      </c>
      <c r="L350" s="82">
        <v>5.87</v>
      </c>
      <c r="M350" s="82">
        <v>1.01</v>
      </c>
      <c r="N350" s="82">
        <v>0.48</v>
      </c>
      <c r="O350" s="82">
        <v>1.2</v>
      </c>
      <c r="P350" s="82">
        <v>-0.66</v>
      </c>
      <c r="Q350" s="82">
        <v>1.72</v>
      </c>
      <c r="R350" s="82">
        <v>9.02</v>
      </c>
      <c r="S350" s="82">
        <v>1.34</v>
      </c>
      <c r="T350" s="82">
        <v>2.89</v>
      </c>
      <c r="U350" s="82">
        <v>0.15</v>
      </c>
      <c r="V350" s="82">
        <v>0.63</v>
      </c>
      <c r="W350" s="82">
        <v>0.59</v>
      </c>
      <c r="X350" s="82">
        <v>3.5</v>
      </c>
      <c r="Y350" s="82">
        <v>18.61</v>
      </c>
      <c r="AA350" s="82">
        <v>3.46</v>
      </c>
      <c r="AB350" s="82">
        <v>0.31</v>
      </c>
      <c r="AC350" s="82">
        <v>-46.97</v>
      </c>
      <c r="AD350" s="191">
        <v>1.239113539659E10</v>
      </c>
    </row>
    <row r="351">
      <c r="A351" s="82" t="s">
        <v>402</v>
      </c>
      <c r="B351" s="82">
        <v>6.57</v>
      </c>
      <c r="D351" s="82">
        <v>21.06</v>
      </c>
      <c r="E351" s="82">
        <v>1.9</v>
      </c>
      <c r="F351" s="82">
        <v>0.28</v>
      </c>
      <c r="G351" s="82">
        <v>32.9</v>
      </c>
      <c r="H351" s="82">
        <v>4.35</v>
      </c>
      <c r="I351" s="82">
        <v>2.27</v>
      </c>
      <c r="J351" s="82">
        <v>10.98</v>
      </c>
      <c r="K351" s="82">
        <v>16.86</v>
      </c>
      <c r="L351" s="82">
        <v>5.87</v>
      </c>
      <c r="M351" s="82">
        <v>1.01</v>
      </c>
      <c r="N351" s="82">
        <v>0.48</v>
      </c>
      <c r="O351" s="82">
        <v>1.19</v>
      </c>
      <c r="P351" s="82">
        <v>-0.65</v>
      </c>
      <c r="Q351" s="82">
        <v>1.72</v>
      </c>
      <c r="R351" s="82">
        <v>9.02</v>
      </c>
      <c r="S351" s="82">
        <v>1.34</v>
      </c>
      <c r="T351" s="82">
        <v>2.89</v>
      </c>
      <c r="U351" s="82">
        <v>0.15</v>
      </c>
      <c r="V351" s="82">
        <v>0.63</v>
      </c>
      <c r="W351" s="82">
        <v>0.59</v>
      </c>
      <c r="X351" s="82">
        <v>3.5</v>
      </c>
      <c r="Y351" s="82">
        <v>18.61</v>
      </c>
      <c r="AA351" s="82">
        <v>3.46</v>
      </c>
      <c r="AB351" s="82">
        <v>0.31</v>
      </c>
      <c r="AC351" s="82">
        <v>-46.75</v>
      </c>
      <c r="AD351" s="191">
        <v>1.239113539659E10</v>
      </c>
    </row>
    <row r="352">
      <c r="A352" s="82" t="s">
        <v>403</v>
      </c>
      <c r="B352" s="82">
        <v>16.07</v>
      </c>
      <c r="C352" s="82">
        <v>8.47</v>
      </c>
      <c r="D352" s="82">
        <v>10.94</v>
      </c>
      <c r="E352" s="82">
        <v>2.17</v>
      </c>
      <c r="F352" s="82">
        <v>1.67</v>
      </c>
      <c r="G352" s="82">
        <v>94.35</v>
      </c>
      <c r="H352" s="82">
        <v>60.72</v>
      </c>
      <c r="I352" s="82">
        <v>145.06</v>
      </c>
      <c r="J352" s="82">
        <v>26.14</v>
      </c>
      <c r="K352" s="82">
        <v>28.04</v>
      </c>
      <c r="L352" s="82">
        <v>1.71</v>
      </c>
      <c r="M352" s="82">
        <v>0.14</v>
      </c>
      <c r="N352" s="82">
        <v>15.87</v>
      </c>
      <c r="O352" s="82">
        <v>-42.98</v>
      </c>
      <c r="P352" s="82">
        <v>-1.7</v>
      </c>
      <c r="Q352" s="82">
        <v>0.35</v>
      </c>
      <c r="R352" s="82">
        <v>19.83</v>
      </c>
      <c r="S352" s="82">
        <v>15.22</v>
      </c>
      <c r="T352" s="82">
        <v>-4.11</v>
      </c>
      <c r="U352" s="82">
        <v>0.77</v>
      </c>
      <c r="V352" s="82">
        <v>0.23</v>
      </c>
      <c r="W352" s="82">
        <v>0.1</v>
      </c>
      <c r="Z352" s="191">
        <v>1036735.05</v>
      </c>
      <c r="AA352" s="82">
        <v>7.37</v>
      </c>
      <c r="AB352" s="82">
        <v>1.46</v>
      </c>
      <c r="AC352" s="82">
        <v>0.04</v>
      </c>
      <c r="AD352" s="191">
        <v>1.55021635782E9</v>
      </c>
    </row>
    <row r="353">
      <c r="A353" s="82" t="s">
        <v>404</v>
      </c>
      <c r="B353" s="82">
        <v>8.45</v>
      </c>
      <c r="C353" s="82">
        <v>7.83</v>
      </c>
      <c r="D353" s="82">
        <v>9.57</v>
      </c>
      <c r="E353" s="82">
        <v>1.33</v>
      </c>
      <c r="F353" s="82">
        <v>0.77</v>
      </c>
      <c r="G353" s="82">
        <v>32.98</v>
      </c>
      <c r="H353" s="82">
        <v>20.09</v>
      </c>
      <c r="I353" s="82">
        <v>22.11</v>
      </c>
      <c r="J353" s="82">
        <v>10.54</v>
      </c>
      <c r="K353" s="82">
        <v>8.61</v>
      </c>
      <c r="L353" s="82">
        <v>-1.94</v>
      </c>
      <c r="M353" s="82">
        <v>-0.25</v>
      </c>
      <c r="N353" s="82">
        <v>2.12</v>
      </c>
      <c r="O353" s="82">
        <v>1.51</v>
      </c>
      <c r="P353" s="82">
        <v>-2.69</v>
      </c>
      <c r="Q353" s="82">
        <v>3.44</v>
      </c>
      <c r="R353" s="82">
        <v>13.94</v>
      </c>
      <c r="S353" s="82">
        <v>8.0</v>
      </c>
      <c r="T353" s="82">
        <v>8.71</v>
      </c>
      <c r="U353" s="82">
        <v>0.57</v>
      </c>
      <c r="V353" s="82">
        <v>0.39</v>
      </c>
      <c r="W353" s="82">
        <v>0.36</v>
      </c>
      <c r="X353" s="82">
        <v>122.69</v>
      </c>
      <c r="Z353" s="191">
        <v>4748970.3</v>
      </c>
      <c r="AA353" s="82">
        <v>6.32</v>
      </c>
      <c r="AB353" s="82">
        <v>0.88</v>
      </c>
      <c r="AC353" s="82">
        <v>0.15</v>
      </c>
      <c r="AD353" s="191">
        <v>1.68406993088E9</v>
      </c>
    </row>
    <row r="354">
      <c r="A354" s="82" t="s">
        <v>405</v>
      </c>
      <c r="B354" s="82">
        <v>24.15</v>
      </c>
      <c r="D354" s="82">
        <v>21.94</v>
      </c>
      <c r="E354" s="82">
        <v>1.6</v>
      </c>
      <c r="F354" s="82">
        <v>0.61</v>
      </c>
      <c r="G354" s="82">
        <v>35.54</v>
      </c>
      <c r="H354" s="82">
        <v>29.19</v>
      </c>
      <c r="I354" s="82">
        <v>7.55</v>
      </c>
      <c r="J354" s="82">
        <v>5.67</v>
      </c>
      <c r="K354" s="82">
        <v>9.97</v>
      </c>
      <c r="L354" s="82">
        <v>4.29</v>
      </c>
      <c r="M354" s="82">
        <v>1.21</v>
      </c>
      <c r="N354" s="82">
        <v>1.66</v>
      </c>
      <c r="O354" s="82">
        <v>-132.52</v>
      </c>
      <c r="P354" s="82">
        <v>-0.72</v>
      </c>
      <c r="Q354" s="82">
        <v>0.97</v>
      </c>
      <c r="R354" s="82">
        <v>7.29</v>
      </c>
      <c r="S354" s="82">
        <v>2.77</v>
      </c>
      <c r="T354" s="82">
        <v>10.13</v>
      </c>
      <c r="U354" s="82">
        <v>0.38</v>
      </c>
      <c r="V354" s="82">
        <v>0.62</v>
      </c>
      <c r="W354" s="82">
        <v>0.37</v>
      </c>
      <c r="X354" s="82">
        <v>49.27</v>
      </c>
      <c r="Y354" s="82">
        <v>56.01</v>
      </c>
      <c r="AA354" s="82">
        <v>15.11</v>
      </c>
      <c r="AB354" s="82">
        <v>1.1</v>
      </c>
      <c r="AC354" s="82">
        <v>-1.71</v>
      </c>
      <c r="AD354" s="191">
        <v>1.228581527565E10</v>
      </c>
    </row>
    <row r="355">
      <c r="A355" s="82" t="s">
        <v>406</v>
      </c>
      <c r="B355" s="82">
        <v>34.22</v>
      </c>
      <c r="C355" s="82">
        <v>28.24</v>
      </c>
      <c r="D355" s="82">
        <v>6.5</v>
      </c>
      <c r="E355" s="82">
        <v>2.97</v>
      </c>
      <c r="F355" s="82">
        <v>1.48</v>
      </c>
      <c r="G355" s="82">
        <v>28.88</v>
      </c>
      <c r="H355" s="82">
        <v>18.76</v>
      </c>
      <c r="I355" s="82">
        <v>16.16</v>
      </c>
      <c r="J355" s="82">
        <v>5.6</v>
      </c>
      <c r="K355" s="82">
        <v>5.57</v>
      </c>
      <c r="L355" s="82">
        <v>-0.02</v>
      </c>
      <c r="M355" s="82">
        <v>-0.01</v>
      </c>
      <c r="N355" s="82">
        <v>1.05</v>
      </c>
      <c r="O355" s="82">
        <v>4.8</v>
      </c>
      <c r="P355" s="82">
        <v>-4.19</v>
      </c>
      <c r="Q355" s="82">
        <v>1.91</v>
      </c>
      <c r="R355" s="82">
        <v>45.73</v>
      </c>
      <c r="S355" s="82">
        <v>22.77</v>
      </c>
      <c r="T355" s="82">
        <v>30.99</v>
      </c>
      <c r="U355" s="82">
        <v>0.5</v>
      </c>
      <c r="V355" s="82">
        <v>0.5</v>
      </c>
      <c r="W355" s="82">
        <v>1.41</v>
      </c>
      <c r="X355" s="82">
        <v>13.28</v>
      </c>
      <c r="Y355" s="82">
        <v>24.76</v>
      </c>
      <c r="Z355" s="191">
        <v>1.971572165E7</v>
      </c>
      <c r="AA355" s="82">
        <v>11.57</v>
      </c>
      <c r="AB355" s="82">
        <v>5.29</v>
      </c>
      <c r="AC355" s="82">
        <v>0.26</v>
      </c>
      <c r="AD355" s="191">
        <v>4.65305387E9</v>
      </c>
    </row>
    <row r="356">
      <c r="A356" s="82" t="s">
        <v>407</v>
      </c>
      <c r="B356" s="82">
        <v>0.0</v>
      </c>
      <c r="D356" s="82">
        <v>0.0</v>
      </c>
      <c r="E356" s="82">
        <v>0.0</v>
      </c>
      <c r="F356" s="82">
        <v>0.0</v>
      </c>
      <c r="G356" s="82">
        <v>63.41</v>
      </c>
      <c r="H356" s="82">
        <v>22.35</v>
      </c>
      <c r="I356" s="82">
        <v>10.99</v>
      </c>
      <c r="J356" s="82">
        <v>0.0</v>
      </c>
      <c r="K356" s="82">
        <v>-3.77</v>
      </c>
      <c r="L356" s="82">
        <v>-3.77</v>
      </c>
      <c r="M356" s="82">
        <v>-0.15</v>
      </c>
      <c r="N356" s="82">
        <v>0.0</v>
      </c>
      <c r="O356" s="82">
        <v>0.0</v>
      </c>
      <c r="P356" s="82">
        <v>0.0</v>
      </c>
      <c r="Q356" s="82">
        <v>6.36</v>
      </c>
      <c r="R356" s="82">
        <v>1.95</v>
      </c>
      <c r="S356" s="82">
        <v>0.67</v>
      </c>
      <c r="T356" s="82">
        <v>3.94</v>
      </c>
      <c r="U356" s="82">
        <v>0.34</v>
      </c>
      <c r="V356" s="82">
        <v>0.66</v>
      </c>
      <c r="W356" s="82">
        <v>0.06</v>
      </c>
      <c r="X356" s="82">
        <v>4.31</v>
      </c>
      <c r="Y356" s="82">
        <v>-51.59</v>
      </c>
      <c r="AA356" s="82">
        <v>141.54</v>
      </c>
      <c r="AB356" s="82">
        <v>2.76</v>
      </c>
      <c r="AC356" s="82">
        <v>0.0</v>
      </c>
      <c r="AD356" s="82">
        <v>0.0</v>
      </c>
    </row>
    <row r="357">
      <c r="A357" s="82" t="s">
        <v>408</v>
      </c>
      <c r="B357" s="82">
        <v>0.0</v>
      </c>
      <c r="D357" s="82">
        <v>0.0</v>
      </c>
      <c r="E357" s="82">
        <v>0.0</v>
      </c>
      <c r="F357" s="82">
        <v>0.0</v>
      </c>
      <c r="G357" s="82">
        <v>63.41</v>
      </c>
      <c r="H357" s="82">
        <v>22.35</v>
      </c>
      <c r="I357" s="82">
        <v>10.99</v>
      </c>
      <c r="J357" s="82">
        <v>0.0</v>
      </c>
      <c r="K357" s="82">
        <v>-3.77</v>
      </c>
      <c r="L357" s="82">
        <v>-3.77</v>
      </c>
      <c r="M357" s="82">
        <v>-0.15</v>
      </c>
      <c r="N357" s="82">
        <v>0.0</v>
      </c>
      <c r="O357" s="82">
        <v>0.0</v>
      </c>
      <c r="P357" s="82">
        <v>0.0</v>
      </c>
      <c r="Q357" s="82">
        <v>6.36</v>
      </c>
      <c r="R357" s="82">
        <v>1.95</v>
      </c>
      <c r="S357" s="82">
        <v>0.67</v>
      </c>
      <c r="T357" s="82">
        <v>3.94</v>
      </c>
      <c r="U357" s="82">
        <v>0.34</v>
      </c>
      <c r="V357" s="82">
        <v>0.66</v>
      </c>
      <c r="W357" s="82">
        <v>0.06</v>
      </c>
      <c r="X357" s="82">
        <v>4.31</v>
      </c>
      <c r="Y357" s="82">
        <v>-51.59</v>
      </c>
      <c r="AA357" s="82">
        <v>141.54</v>
      </c>
      <c r="AB357" s="82">
        <v>2.76</v>
      </c>
      <c r="AC357" s="82">
        <v>0.0</v>
      </c>
      <c r="AD357" s="82">
        <v>0.0</v>
      </c>
    </row>
    <row r="358">
      <c r="A358" s="82" t="s">
        <v>409</v>
      </c>
      <c r="B358" s="82">
        <v>7.04</v>
      </c>
      <c r="D358" s="82">
        <v>-0.51</v>
      </c>
      <c r="E358" s="82">
        <v>0.88</v>
      </c>
      <c r="F358" s="82">
        <v>0.12</v>
      </c>
      <c r="G358" s="82">
        <v>16.51</v>
      </c>
      <c r="H358" s="82">
        <v>-14.67</v>
      </c>
      <c r="I358" s="82">
        <v>-39.79</v>
      </c>
      <c r="J358" s="82">
        <v>-1.38</v>
      </c>
      <c r="K358" s="82">
        <v>-5.95</v>
      </c>
      <c r="L358" s="82">
        <v>-4.52</v>
      </c>
      <c r="M358" s="82">
        <v>2.89</v>
      </c>
      <c r="N358" s="82">
        <v>0.2</v>
      </c>
      <c r="O358" s="82">
        <v>-0.25</v>
      </c>
      <c r="P358" s="82">
        <v>-0.14</v>
      </c>
      <c r="Q358" s="82">
        <v>0.29</v>
      </c>
      <c r="R358" s="82">
        <v>-173.47</v>
      </c>
      <c r="S358" s="82">
        <v>-22.64</v>
      </c>
      <c r="T358" s="82">
        <v>-19.48</v>
      </c>
      <c r="U358" s="82">
        <v>0.13</v>
      </c>
      <c r="V358" s="82">
        <v>0.87</v>
      </c>
      <c r="W358" s="82">
        <v>0.57</v>
      </c>
      <c r="X358" s="82">
        <v>3.21</v>
      </c>
      <c r="Z358" s="191">
        <v>8343798.5</v>
      </c>
      <c r="AA358" s="82">
        <v>8.18</v>
      </c>
      <c r="AB358" s="82">
        <v>-14.2</v>
      </c>
      <c r="AC358" s="82">
        <v>0.0</v>
      </c>
      <c r="AD358" s="191">
        <v>2.78298827028E9</v>
      </c>
    </row>
    <row r="359">
      <c r="A359" s="82" t="s">
        <v>410</v>
      </c>
      <c r="B359" s="82">
        <v>37.4</v>
      </c>
      <c r="D359" s="82">
        <v>-90.95</v>
      </c>
      <c r="E359" s="82">
        <v>4.38</v>
      </c>
      <c r="F359" s="82">
        <v>2.74</v>
      </c>
      <c r="G359" s="82">
        <v>68.7</v>
      </c>
      <c r="H359" s="82">
        <v>-4.79</v>
      </c>
      <c r="I359" s="82">
        <v>-8.67</v>
      </c>
      <c r="J359" s="82">
        <v>-164.48</v>
      </c>
      <c r="K359" s="82">
        <v>-159.3</v>
      </c>
      <c r="L359" s="82">
        <v>5.18</v>
      </c>
      <c r="M359" s="82">
        <v>-0.14</v>
      </c>
      <c r="N359" s="82">
        <v>7.88</v>
      </c>
      <c r="O359" s="82">
        <v>11.96</v>
      </c>
      <c r="P359" s="82">
        <v>-4.82</v>
      </c>
      <c r="Q359" s="82">
        <v>2.14</v>
      </c>
      <c r="R359" s="82">
        <v>-4.81</v>
      </c>
      <c r="S359" s="82">
        <v>-3.02</v>
      </c>
      <c r="T359" s="82">
        <v>-2.23</v>
      </c>
      <c r="U359" s="82">
        <v>0.63</v>
      </c>
      <c r="V359" s="82">
        <v>0.37</v>
      </c>
      <c r="W359" s="82">
        <v>0.35</v>
      </c>
      <c r="X359" s="82">
        <v>14.3</v>
      </c>
      <c r="AA359" s="82">
        <v>8.55</v>
      </c>
      <c r="AB359" s="82">
        <v>-0.41</v>
      </c>
      <c r="AC359" s="82">
        <v>0.13</v>
      </c>
      <c r="AD359" s="191">
        <v>7.083895104E9</v>
      </c>
    </row>
    <row r="360">
      <c r="A360" s="82" t="s">
        <v>411</v>
      </c>
      <c r="B360" s="82">
        <v>71.99</v>
      </c>
      <c r="C360" s="82">
        <v>3.29</v>
      </c>
      <c r="D360" s="82">
        <v>36.89</v>
      </c>
      <c r="E360" s="82">
        <v>3.93</v>
      </c>
      <c r="F360" s="82">
        <v>3.72</v>
      </c>
      <c r="J360" s="82">
        <v>42.3</v>
      </c>
      <c r="K360" s="82">
        <v>39.27</v>
      </c>
      <c r="L360" s="82">
        <v>-3.03</v>
      </c>
      <c r="M360" s="82">
        <v>-0.28</v>
      </c>
      <c r="O360" s="82">
        <v>13.38</v>
      </c>
      <c r="P360" s="82">
        <v>-5.41</v>
      </c>
      <c r="Q360" s="82">
        <v>9.02</v>
      </c>
      <c r="R360" s="82">
        <v>10.64</v>
      </c>
      <c r="S360" s="82">
        <v>10.09</v>
      </c>
      <c r="T360" s="82">
        <v>8.99</v>
      </c>
      <c r="U360" s="82">
        <v>0.95</v>
      </c>
      <c r="V360" s="82">
        <v>0.05</v>
      </c>
      <c r="W360" s="82">
        <v>0.0</v>
      </c>
      <c r="Y360" s="82">
        <v>-10.15</v>
      </c>
      <c r="Z360" s="191">
        <v>8856.75</v>
      </c>
      <c r="AA360" s="82">
        <v>18.34</v>
      </c>
      <c r="AB360" s="82">
        <v>1.95</v>
      </c>
      <c r="AC360" s="82">
        <v>-2.58</v>
      </c>
      <c r="AD360" s="191">
        <v>8.4695435911E8</v>
      </c>
    </row>
    <row r="361">
      <c r="A361" s="82" t="s">
        <v>412</v>
      </c>
      <c r="B361" s="82">
        <v>5.83</v>
      </c>
      <c r="D361" s="82">
        <v>-29.53</v>
      </c>
      <c r="E361" s="82">
        <v>2.16</v>
      </c>
      <c r="F361" s="82">
        <v>0.36</v>
      </c>
      <c r="G361" s="82">
        <v>34.11</v>
      </c>
      <c r="H361" s="82">
        <v>2.77</v>
      </c>
      <c r="I361" s="82">
        <v>-1.56</v>
      </c>
      <c r="J361" s="82">
        <v>16.67</v>
      </c>
      <c r="K361" s="82">
        <v>16.29</v>
      </c>
      <c r="L361" s="82">
        <v>-0.26</v>
      </c>
      <c r="M361" s="82">
        <v>-0.03</v>
      </c>
      <c r="N361" s="82">
        <v>0.46</v>
      </c>
      <c r="O361" s="82">
        <v>1.16</v>
      </c>
      <c r="P361" s="82">
        <v>-1.07</v>
      </c>
      <c r="Q361" s="82">
        <v>1.86</v>
      </c>
      <c r="R361" s="82">
        <v>-7.33</v>
      </c>
      <c r="S361" s="82">
        <v>-1.21</v>
      </c>
      <c r="T361" s="82">
        <v>5.03</v>
      </c>
      <c r="U361" s="82">
        <v>0.17</v>
      </c>
      <c r="V361" s="82">
        <v>0.83</v>
      </c>
      <c r="W361" s="82">
        <v>0.77</v>
      </c>
      <c r="X361" s="82">
        <v>18.92</v>
      </c>
      <c r="Z361" s="191">
        <v>1.910172815E7</v>
      </c>
      <c r="AA361" s="82">
        <v>2.69</v>
      </c>
      <c r="AB361" s="82">
        <v>-0.2</v>
      </c>
      <c r="AC361" s="82">
        <v>0.02</v>
      </c>
      <c r="AD361" s="191">
        <v>1.08253775482E9</v>
      </c>
    </row>
    <row r="362">
      <c r="A362" s="82" t="s">
        <v>413</v>
      </c>
      <c r="B362" s="82">
        <v>20.6</v>
      </c>
      <c r="C362" s="82">
        <v>4.45</v>
      </c>
      <c r="D362" s="82">
        <v>12.92</v>
      </c>
      <c r="E362" s="82">
        <v>0.57</v>
      </c>
      <c r="F362" s="82">
        <v>0.35</v>
      </c>
      <c r="G362" s="82">
        <v>98.51</v>
      </c>
      <c r="H362" s="82">
        <v>124.48</v>
      </c>
      <c r="I362" s="82">
        <v>69.23</v>
      </c>
      <c r="J362" s="82">
        <v>7.18</v>
      </c>
      <c r="K362" s="82">
        <v>11.99</v>
      </c>
      <c r="L362" s="82">
        <v>4.81</v>
      </c>
      <c r="M362" s="82">
        <v>0.38</v>
      </c>
      <c r="N362" s="82">
        <v>8.94</v>
      </c>
      <c r="O362" s="82">
        <v>3.47</v>
      </c>
      <c r="P362" s="82">
        <v>-0.42</v>
      </c>
      <c r="Q362" s="82">
        <v>2.52</v>
      </c>
      <c r="R362" s="82">
        <v>4.42</v>
      </c>
      <c r="S362" s="82">
        <v>2.68</v>
      </c>
      <c r="T362" s="82">
        <v>5.19</v>
      </c>
      <c r="U362" s="82">
        <v>0.61</v>
      </c>
      <c r="V362" s="82">
        <v>0.39</v>
      </c>
      <c r="W362" s="82">
        <v>0.04</v>
      </c>
      <c r="X362" s="82">
        <v>16.9</v>
      </c>
      <c r="Y362" s="82">
        <v>34.23</v>
      </c>
      <c r="Z362" s="191">
        <v>6797809.25</v>
      </c>
      <c r="AA362" s="82">
        <v>36.13</v>
      </c>
      <c r="AB362" s="82">
        <v>1.6</v>
      </c>
      <c r="AC362" s="82">
        <v>-0.21</v>
      </c>
      <c r="AD362" s="191">
        <v>2.10652175548E9</v>
      </c>
    </row>
    <row r="363">
      <c r="A363" s="82" t="s">
        <v>414</v>
      </c>
      <c r="B363" s="82">
        <v>38.42</v>
      </c>
      <c r="D363" s="82">
        <v>10.7</v>
      </c>
      <c r="E363" s="82">
        <v>4.2</v>
      </c>
      <c r="F363" s="82">
        <v>1.18</v>
      </c>
      <c r="G363" s="82">
        <v>22.7</v>
      </c>
      <c r="H363" s="82">
        <v>17.34</v>
      </c>
      <c r="I363" s="82">
        <v>16.83</v>
      </c>
      <c r="J363" s="82">
        <v>10.39</v>
      </c>
      <c r="K363" s="82">
        <v>12.66</v>
      </c>
      <c r="L363" s="82">
        <v>2.22</v>
      </c>
      <c r="M363" s="82">
        <v>0.9</v>
      </c>
      <c r="N363" s="82">
        <v>1.8</v>
      </c>
      <c r="O363" s="82">
        <v>13.67</v>
      </c>
      <c r="P363" s="82">
        <v>-1.68</v>
      </c>
      <c r="Q363" s="82">
        <v>1.42</v>
      </c>
      <c r="R363" s="82">
        <v>39.27</v>
      </c>
      <c r="S363" s="82">
        <v>11.07</v>
      </c>
      <c r="T363" s="82">
        <v>10.64</v>
      </c>
      <c r="U363" s="82">
        <v>0.28</v>
      </c>
      <c r="V363" s="82">
        <v>0.72</v>
      </c>
      <c r="W363" s="82">
        <v>0.66</v>
      </c>
      <c r="X363" s="82">
        <v>18.84</v>
      </c>
      <c r="Z363" s="191">
        <v>4369792.95</v>
      </c>
      <c r="AA363" s="82">
        <v>9.14</v>
      </c>
      <c r="AB363" s="82">
        <v>3.59</v>
      </c>
      <c r="AC363" s="82">
        <v>0.06</v>
      </c>
      <c r="AD363" s="191">
        <v>4.1378233157E9</v>
      </c>
    </row>
    <row r="364">
      <c r="A364" s="82" t="s">
        <v>415</v>
      </c>
      <c r="B364" s="82">
        <v>2.45</v>
      </c>
      <c r="C364" s="82">
        <v>0.84</v>
      </c>
      <c r="D364" s="82">
        <v>15.77</v>
      </c>
      <c r="E364" s="82">
        <v>1.65</v>
      </c>
      <c r="F364" s="82">
        <v>0.91</v>
      </c>
      <c r="G364" s="82">
        <v>82.91</v>
      </c>
      <c r="H364" s="82">
        <v>20.42</v>
      </c>
      <c r="I364" s="82">
        <v>12.52</v>
      </c>
      <c r="J364" s="82">
        <v>9.67</v>
      </c>
      <c r="K364" s="82">
        <v>8.17</v>
      </c>
      <c r="L364" s="82">
        <v>-1.5</v>
      </c>
      <c r="M364" s="82">
        <v>-0.26</v>
      </c>
      <c r="N364" s="82">
        <v>1.97</v>
      </c>
      <c r="O364" s="82">
        <v>7.97</v>
      </c>
      <c r="P364" s="82">
        <v>-1.22</v>
      </c>
      <c r="Q364" s="82">
        <v>1.82</v>
      </c>
      <c r="R364" s="82">
        <v>10.44</v>
      </c>
      <c r="S364" s="82">
        <v>5.78</v>
      </c>
      <c r="T364" s="82">
        <v>11.9</v>
      </c>
      <c r="U364" s="82">
        <v>0.55</v>
      </c>
      <c r="V364" s="82">
        <v>0.46</v>
      </c>
      <c r="W364" s="82">
        <v>0.46</v>
      </c>
      <c r="X364" s="82">
        <v>11.92</v>
      </c>
      <c r="Z364" s="191">
        <v>283568.85</v>
      </c>
      <c r="AA364" s="82">
        <v>1.49</v>
      </c>
      <c r="AB364" s="82">
        <v>0.16</v>
      </c>
      <c r="AC364" s="82">
        <v>0.2</v>
      </c>
      <c r="AD364" s="191">
        <v>3.6150884595E8</v>
      </c>
    </row>
    <row r="365">
      <c r="A365" s="82" t="s">
        <v>416</v>
      </c>
      <c r="B365" s="82">
        <v>17.15</v>
      </c>
      <c r="C365" s="82">
        <v>4.16</v>
      </c>
      <c r="D365" s="82">
        <v>17.74</v>
      </c>
      <c r="E365" s="82">
        <v>1.69</v>
      </c>
      <c r="F365" s="82">
        <v>0.83</v>
      </c>
      <c r="G365" s="82">
        <v>60.17</v>
      </c>
      <c r="H365" s="82">
        <v>6.85</v>
      </c>
      <c r="I365" s="82">
        <v>6.95</v>
      </c>
      <c r="J365" s="82">
        <v>18.0</v>
      </c>
      <c r="K365" s="82">
        <v>16.76</v>
      </c>
      <c r="L365" s="82">
        <v>-1.21</v>
      </c>
      <c r="M365" s="82">
        <v>-0.11</v>
      </c>
      <c r="N365" s="82">
        <v>1.23</v>
      </c>
      <c r="O365" s="82">
        <v>3.44</v>
      </c>
      <c r="P365" s="82">
        <v>-2.0</v>
      </c>
      <c r="Q365" s="82">
        <v>1.7</v>
      </c>
      <c r="R365" s="82">
        <v>9.54</v>
      </c>
      <c r="S365" s="82">
        <v>4.67</v>
      </c>
      <c r="T365" s="82">
        <v>6.78</v>
      </c>
      <c r="U365" s="82">
        <v>0.49</v>
      </c>
      <c r="V365" s="82">
        <v>0.51</v>
      </c>
      <c r="W365" s="82">
        <v>0.67</v>
      </c>
      <c r="X365" s="82">
        <v>12.26</v>
      </c>
      <c r="Y365" s="82">
        <v>4.91</v>
      </c>
      <c r="Z365" s="191">
        <v>2.7194254505E8</v>
      </c>
      <c r="AA365" s="82">
        <v>10.14</v>
      </c>
      <c r="AB365" s="82">
        <v>0.97</v>
      </c>
      <c r="AC365" s="82">
        <v>-0.74</v>
      </c>
      <c r="AD365" s="191">
        <v>1.649044612016E10</v>
      </c>
    </row>
    <row r="366">
      <c r="A366" s="82" t="s">
        <v>417</v>
      </c>
      <c r="B366" s="82">
        <v>86.61</v>
      </c>
      <c r="C366" s="82">
        <v>1.08</v>
      </c>
      <c r="D366" s="82">
        <v>18.95</v>
      </c>
      <c r="E366" s="82">
        <v>5.56</v>
      </c>
      <c r="F366" s="82">
        <v>5.51</v>
      </c>
      <c r="J366" s="82">
        <v>19.21</v>
      </c>
      <c r="K366" s="82">
        <v>19.2</v>
      </c>
      <c r="L366" s="82">
        <v>-0.01</v>
      </c>
      <c r="M366" s="82">
        <v>0.0</v>
      </c>
      <c r="O366" s="191">
        <v>-3972.77</v>
      </c>
      <c r="P366" s="82">
        <v>-5.56</v>
      </c>
      <c r="Q366" s="82">
        <v>0.87</v>
      </c>
      <c r="R366" s="82">
        <v>29.36</v>
      </c>
      <c r="S366" s="82">
        <v>29.06</v>
      </c>
      <c r="T366" s="82">
        <v>28.91</v>
      </c>
      <c r="U366" s="82">
        <v>0.99</v>
      </c>
      <c r="V366" s="82">
        <v>0.01</v>
      </c>
      <c r="W366" s="82">
        <v>0.0</v>
      </c>
      <c r="Y366" s="82">
        <v>-18.45</v>
      </c>
      <c r="AA366" s="82">
        <v>15.57</v>
      </c>
      <c r="AB366" s="82">
        <v>4.57</v>
      </c>
      <c r="AC366" s="82">
        <v>-0.39</v>
      </c>
      <c r="AD366" s="191">
        <v>1.866405685383E10</v>
      </c>
    </row>
    <row r="367">
      <c r="A367" s="82" t="s">
        <v>418</v>
      </c>
      <c r="B367" s="82">
        <v>2.13</v>
      </c>
      <c r="D367" s="82">
        <v>2.43</v>
      </c>
      <c r="E367" s="82">
        <v>0.55</v>
      </c>
      <c r="F367" s="82">
        <v>0.17</v>
      </c>
      <c r="G367" s="82">
        <v>22.62</v>
      </c>
      <c r="H367" s="82">
        <v>-66.63</v>
      </c>
      <c r="I367" s="82">
        <v>39.07</v>
      </c>
      <c r="J367" s="82">
        <v>-1.42</v>
      </c>
      <c r="K367" s="82">
        <v>-3.78</v>
      </c>
      <c r="L367" s="82">
        <v>-2.35</v>
      </c>
      <c r="M367" s="82">
        <v>0.9</v>
      </c>
      <c r="N367" s="82">
        <v>0.95</v>
      </c>
      <c r="O367" s="82">
        <v>1.86</v>
      </c>
      <c r="P367" s="82">
        <v>-0.25</v>
      </c>
      <c r="Q367" s="82">
        <v>1.43</v>
      </c>
      <c r="R367" s="82">
        <v>22.52</v>
      </c>
      <c r="S367" s="82">
        <v>7.2</v>
      </c>
      <c r="T367" s="82">
        <v>-59.68</v>
      </c>
      <c r="U367" s="82">
        <v>0.32</v>
      </c>
      <c r="V367" s="82">
        <v>0.68</v>
      </c>
      <c r="W367" s="82">
        <v>0.18</v>
      </c>
      <c r="X367" s="82">
        <v>-0.35</v>
      </c>
      <c r="Z367" s="191">
        <v>786403.25</v>
      </c>
      <c r="AA367" s="82">
        <v>3.88</v>
      </c>
      <c r="AB367" s="82">
        <v>0.87</v>
      </c>
      <c r="AC367" s="82">
        <v>-0.01</v>
      </c>
      <c r="AD367" s="191">
        <v>8.741046288E7</v>
      </c>
    </row>
    <row r="368">
      <c r="A368" s="82" t="s">
        <v>419</v>
      </c>
      <c r="B368" s="82">
        <v>0.0</v>
      </c>
      <c r="D368" s="82">
        <v>0.0</v>
      </c>
      <c r="E368" s="82">
        <v>0.0</v>
      </c>
      <c r="F368" s="82">
        <v>0.0</v>
      </c>
      <c r="G368" s="82">
        <v>31.63</v>
      </c>
      <c r="H368" s="82">
        <v>17.73</v>
      </c>
      <c r="I368" s="82">
        <v>11.58</v>
      </c>
      <c r="J368" s="82">
        <v>0.0</v>
      </c>
      <c r="K368" s="82">
        <v>7.32</v>
      </c>
      <c r="L368" s="82">
        <v>-0.33</v>
      </c>
      <c r="M368" s="82">
        <v>-0.07</v>
      </c>
      <c r="N368" s="82">
        <v>0.0</v>
      </c>
      <c r="O368" s="82">
        <v>0.0</v>
      </c>
      <c r="P368" s="82">
        <v>0.0</v>
      </c>
      <c r="Q368" s="82">
        <v>1.0</v>
      </c>
      <c r="R368" s="82">
        <v>13.1</v>
      </c>
      <c r="S368" s="82">
        <v>9.54</v>
      </c>
      <c r="T368" s="82">
        <v>12.09</v>
      </c>
      <c r="U368" s="82">
        <v>0.73</v>
      </c>
      <c r="V368" s="82">
        <v>0.27</v>
      </c>
      <c r="W368" s="82">
        <v>0.82</v>
      </c>
      <c r="X368" s="82">
        <v>6.11</v>
      </c>
      <c r="Y368" s="82">
        <v>32.41</v>
      </c>
      <c r="AA368" s="82">
        <v>5.81</v>
      </c>
      <c r="AB368" s="82">
        <v>0.76</v>
      </c>
      <c r="AC368" s="82">
        <v>0.0</v>
      </c>
      <c r="AD368" s="191">
        <v>1.8524016E8</v>
      </c>
    </row>
    <row r="369">
      <c r="A369" s="82" t="s">
        <v>420</v>
      </c>
      <c r="B369" s="82">
        <v>15.98</v>
      </c>
      <c r="D369" s="82">
        <v>21.0</v>
      </c>
      <c r="E369" s="82">
        <v>2.75</v>
      </c>
      <c r="F369" s="82">
        <v>2.0</v>
      </c>
      <c r="G369" s="82">
        <v>31.63</v>
      </c>
      <c r="H369" s="82">
        <v>17.73</v>
      </c>
      <c r="I369" s="82">
        <v>11.58</v>
      </c>
      <c r="J369" s="82">
        <v>13.72</v>
      </c>
      <c r="K369" s="82">
        <v>7.32</v>
      </c>
      <c r="L369" s="82">
        <v>-0.33</v>
      </c>
      <c r="M369" s="82">
        <v>-0.07</v>
      </c>
      <c r="N369" s="82">
        <v>2.43</v>
      </c>
      <c r="O369" s="191">
        <v>4884.24</v>
      </c>
      <c r="P369" s="82">
        <v>-2.33</v>
      </c>
      <c r="Q369" s="82">
        <v>1.0</v>
      </c>
      <c r="R369" s="82">
        <v>13.1</v>
      </c>
      <c r="S369" s="82">
        <v>9.54</v>
      </c>
      <c r="T369" s="82">
        <v>12.09</v>
      </c>
      <c r="U369" s="82">
        <v>0.73</v>
      </c>
      <c r="V369" s="82">
        <v>0.27</v>
      </c>
      <c r="W369" s="82">
        <v>0.82</v>
      </c>
      <c r="X369" s="82">
        <v>6.11</v>
      </c>
      <c r="Y369" s="82">
        <v>32.41</v>
      </c>
      <c r="Z369" s="191">
        <v>2878.2</v>
      </c>
      <c r="AA369" s="82">
        <v>5.81</v>
      </c>
      <c r="AB369" s="82">
        <v>0.76</v>
      </c>
      <c r="AC369" s="82">
        <v>0.23</v>
      </c>
      <c r="AD369" s="191">
        <v>1.8524016E8</v>
      </c>
    </row>
    <row r="370">
      <c r="A370" s="82" t="s">
        <v>1765</v>
      </c>
      <c r="B370" s="82">
        <v>4.19</v>
      </c>
      <c r="C370" s="82">
        <v>0.32</v>
      </c>
      <c r="D370" s="82">
        <v>-519.26</v>
      </c>
      <c r="E370" s="82">
        <v>0.43</v>
      </c>
      <c r="F370" s="82">
        <v>0.2</v>
      </c>
      <c r="G370" s="82">
        <v>21.71</v>
      </c>
      <c r="H370" s="82">
        <v>6.09</v>
      </c>
      <c r="I370" s="82">
        <v>-0.06</v>
      </c>
      <c r="J370" s="82">
        <v>4.7</v>
      </c>
      <c r="K370" s="82">
        <v>2.99</v>
      </c>
      <c r="L370" s="82">
        <v>-1.69</v>
      </c>
      <c r="M370" s="82">
        <v>-0.15</v>
      </c>
      <c r="N370" s="82">
        <v>0.29</v>
      </c>
      <c r="O370" s="82">
        <v>0.7</v>
      </c>
      <c r="P370" s="82">
        <v>-0.35</v>
      </c>
      <c r="Q370" s="82">
        <v>2.75</v>
      </c>
      <c r="R370" s="82">
        <v>-0.08</v>
      </c>
      <c r="S370" s="82">
        <v>-0.04</v>
      </c>
      <c r="T370" s="82">
        <v>8.36</v>
      </c>
      <c r="U370" s="82">
        <v>0.46</v>
      </c>
      <c r="V370" s="82">
        <v>0.54</v>
      </c>
      <c r="W370" s="82">
        <v>0.69</v>
      </c>
      <c r="Z370" s="191">
        <v>89899.9</v>
      </c>
      <c r="AA370" s="82">
        <v>9.97</v>
      </c>
      <c r="AB370" s="82">
        <v>-0.01</v>
      </c>
      <c r="AC370" s="82">
        <v>5.13</v>
      </c>
      <c r="AD370" s="191">
        <v>2.7287812586E8</v>
      </c>
    </row>
    <row r="371">
      <c r="A371" s="82" t="s">
        <v>421</v>
      </c>
      <c r="B371" s="82">
        <v>5.6</v>
      </c>
      <c r="C371" s="82">
        <v>0.94</v>
      </c>
      <c r="D371" s="82">
        <v>-376.05</v>
      </c>
      <c r="E371" s="82">
        <v>1.14</v>
      </c>
      <c r="F371" s="82">
        <v>0.74</v>
      </c>
      <c r="G371" s="82">
        <v>45.45</v>
      </c>
      <c r="H371" s="82">
        <v>5.86</v>
      </c>
      <c r="I371" s="82">
        <v>-0.71</v>
      </c>
      <c r="J371" s="82">
        <v>45.49</v>
      </c>
      <c r="K371" s="82">
        <v>31.17</v>
      </c>
      <c r="L371" s="82">
        <v>-14.17</v>
      </c>
      <c r="M371" s="82">
        <v>-0.35</v>
      </c>
      <c r="N371" s="82">
        <v>2.66</v>
      </c>
      <c r="O371" s="82">
        <v>5.67</v>
      </c>
      <c r="P371" s="82">
        <v>-1.28</v>
      </c>
      <c r="Q371" s="82">
        <v>1.45</v>
      </c>
      <c r="R371" s="82">
        <v>-0.3</v>
      </c>
      <c r="S371" s="82">
        <v>-0.2</v>
      </c>
      <c r="T371" s="82">
        <v>2.34</v>
      </c>
      <c r="U371" s="82">
        <v>0.65</v>
      </c>
      <c r="V371" s="82">
        <v>0.35</v>
      </c>
      <c r="W371" s="82">
        <v>0.28</v>
      </c>
      <c r="X371" s="82">
        <v>31.17</v>
      </c>
      <c r="Z371" s="191">
        <v>6.059958635E7</v>
      </c>
      <c r="AA371" s="82">
        <v>4.9</v>
      </c>
      <c r="AB371" s="82">
        <v>-0.01</v>
      </c>
      <c r="AC371" s="82">
        <v>1.02</v>
      </c>
      <c r="AD371" s="191">
        <v>3.31840636006E9</v>
      </c>
    </row>
    <row r="372">
      <c r="A372" s="82" t="s">
        <v>1766</v>
      </c>
      <c r="B372" s="82">
        <v>59.4</v>
      </c>
      <c r="D372" s="82">
        <v>-119.99</v>
      </c>
      <c r="E372" s="82">
        <v>1.32</v>
      </c>
      <c r="F372" s="82">
        <v>0.44</v>
      </c>
      <c r="G372" s="82">
        <v>33.56</v>
      </c>
      <c r="H372" s="82">
        <v>9.54</v>
      </c>
      <c r="I372" s="82">
        <v>-0.57</v>
      </c>
      <c r="J372" s="82">
        <v>7.17</v>
      </c>
      <c r="K372" s="82">
        <v>11.3</v>
      </c>
      <c r="L372" s="82">
        <v>4.13</v>
      </c>
      <c r="M372" s="82">
        <v>0.76</v>
      </c>
      <c r="N372" s="82">
        <v>0.68</v>
      </c>
      <c r="O372" s="82">
        <v>9.32</v>
      </c>
      <c r="P372" s="82">
        <v>-0.71</v>
      </c>
      <c r="Q372" s="82">
        <v>1.14</v>
      </c>
      <c r="R372" s="82">
        <v>-1.1</v>
      </c>
      <c r="S372" s="82">
        <v>-0.37</v>
      </c>
      <c r="T372" s="82">
        <v>7.17</v>
      </c>
      <c r="U372" s="82">
        <v>0.33</v>
      </c>
      <c r="V372" s="82">
        <v>0.67</v>
      </c>
      <c r="W372" s="82">
        <v>0.64</v>
      </c>
      <c r="X372" s="82">
        <v>8.44</v>
      </c>
      <c r="AA372" s="82">
        <v>44.89</v>
      </c>
      <c r="AB372" s="82">
        <v>-0.5</v>
      </c>
      <c r="AC372" s="82">
        <v>1.04</v>
      </c>
      <c r="AD372" s="191">
        <v>2.9724045714E9</v>
      </c>
    </row>
    <row r="373">
      <c r="A373" s="82" t="s">
        <v>422</v>
      </c>
      <c r="B373" s="82">
        <v>30.05</v>
      </c>
      <c r="D373" s="82">
        <v>-189.13</v>
      </c>
      <c r="E373" s="82">
        <v>-4.44</v>
      </c>
      <c r="F373" s="82">
        <v>35.72</v>
      </c>
      <c r="J373" s="82">
        <v>-172.58</v>
      </c>
      <c r="K373" s="82">
        <v>-108.57</v>
      </c>
      <c r="L373" s="82">
        <v>0.0</v>
      </c>
      <c r="O373" s="191">
        <v>-27612.79</v>
      </c>
      <c r="P373" s="82">
        <v>-35.72</v>
      </c>
      <c r="Q373" s="82">
        <v>0.0</v>
      </c>
      <c r="R373" s="82">
        <v>-2.35</v>
      </c>
      <c r="S373" s="82">
        <v>-18.89</v>
      </c>
      <c r="T373" s="82">
        <v>2.57</v>
      </c>
      <c r="U373" s="82">
        <v>-8.05</v>
      </c>
      <c r="V373" s="82">
        <v>9.05</v>
      </c>
      <c r="W373" s="82">
        <v>0.0</v>
      </c>
      <c r="Z373" s="191">
        <v>9015.0</v>
      </c>
      <c r="AA373" s="82">
        <v>-6.77</v>
      </c>
      <c r="AB373" s="82">
        <v>-0.16</v>
      </c>
      <c r="AC373" s="82">
        <v>17.23</v>
      </c>
      <c r="AD373" s="191">
        <v>1.737189275E7</v>
      </c>
    </row>
    <row r="374">
      <c r="A374" s="82" t="s">
        <v>423</v>
      </c>
      <c r="B374" s="82">
        <v>8.0</v>
      </c>
      <c r="D374" s="82">
        <v>-50.35</v>
      </c>
      <c r="E374" s="82">
        <v>-1.18</v>
      </c>
      <c r="F374" s="82">
        <v>9.51</v>
      </c>
      <c r="J374" s="82">
        <v>-45.94</v>
      </c>
      <c r="K374" s="82">
        <v>-108.57</v>
      </c>
      <c r="L374" s="82">
        <v>0.0</v>
      </c>
      <c r="O374" s="191">
        <v>-7351.16</v>
      </c>
      <c r="P374" s="82">
        <v>-9.51</v>
      </c>
      <c r="Q374" s="82">
        <v>0.0</v>
      </c>
      <c r="R374" s="82">
        <v>-2.35</v>
      </c>
      <c r="S374" s="82">
        <v>-18.89</v>
      </c>
      <c r="T374" s="82">
        <v>2.57</v>
      </c>
      <c r="U374" s="82">
        <v>-8.05</v>
      </c>
      <c r="V374" s="82">
        <v>9.05</v>
      </c>
      <c r="W374" s="82">
        <v>0.0</v>
      </c>
      <c r="Z374" s="191">
        <v>1600.0</v>
      </c>
      <c r="AA374" s="82">
        <v>-6.77</v>
      </c>
      <c r="AB374" s="82">
        <v>-0.16</v>
      </c>
      <c r="AC374" s="82">
        <v>4.59</v>
      </c>
      <c r="AD374" s="191">
        <v>1.737189275E7</v>
      </c>
    </row>
    <row r="375">
      <c r="A375" s="82" t="s">
        <v>424</v>
      </c>
      <c r="B375" s="82">
        <v>8.0</v>
      </c>
      <c r="C375" s="82">
        <v>0.8</v>
      </c>
      <c r="D375" s="82">
        <v>28.86</v>
      </c>
      <c r="E375" s="82">
        <v>1.84</v>
      </c>
      <c r="F375" s="82">
        <v>0.59</v>
      </c>
      <c r="G375" s="82">
        <v>33.42</v>
      </c>
      <c r="H375" s="82">
        <v>19.87</v>
      </c>
      <c r="I375" s="82">
        <v>4.92</v>
      </c>
      <c r="J375" s="82">
        <v>7.14</v>
      </c>
      <c r="K375" s="82">
        <v>9.32</v>
      </c>
      <c r="L375" s="82">
        <v>2.15</v>
      </c>
      <c r="M375" s="82">
        <v>0.56</v>
      </c>
      <c r="N375" s="82">
        <v>1.42</v>
      </c>
      <c r="O375" s="82">
        <v>3.73</v>
      </c>
      <c r="P375" s="82">
        <v>-0.79</v>
      </c>
      <c r="Q375" s="82">
        <v>2.68</v>
      </c>
      <c r="R375" s="82">
        <v>6.38</v>
      </c>
      <c r="S375" s="82">
        <v>2.05</v>
      </c>
      <c r="T375" s="82">
        <v>11.64</v>
      </c>
      <c r="U375" s="82">
        <v>0.32</v>
      </c>
      <c r="V375" s="82">
        <v>0.66</v>
      </c>
      <c r="W375" s="82">
        <v>0.42</v>
      </c>
      <c r="Z375" s="191">
        <v>3993804.95</v>
      </c>
      <c r="AA375" s="82">
        <v>4.35</v>
      </c>
      <c r="AB375" s="82">
        <v>0.28</v>
      </c>
      <c r="AC375" s="82">
        <v>-2.74</v>
      </c>
      <c r="AD375" s="191">
        <v>3.07393176084E9</v>
      </c>
    </row>
    <row r="376">
      <c r="A376" s="82" t="s">
        <v>1767</v>
      </c>
      <c r="B376" s="82">
        <v>1.98</v>
      </c>
      <c r="D376" s="82">
        <v>-2.6</v>
      </c>
      <c r="E376" s="82">
        <v>0.43</v>
      </c>
      <c r="F376" s="82">
        <v>0.27</v>
      </c>
      <c r="G376" s="82">
        <v>43.03</v>
      </c>
      <c r="H376" s="82">
        <v>-14.31</v>
      </c>
      <c r="I376" s="82">
        <v>-14.07</v>
      </c>
      <c r="J376" s="82">
        <v>-2.55</v>
      </c>
      <c r="K376" s="82">
        <v>-3.07</v>
      </c>
      <c r="L376" s="82">
        <v>-0.52</v>
      </c>
      <c r="M376" s="82">
        <v>0.09</v>
      </c>
      <c r="N376" s="82">
        <v>0.37</v>
      </c>
      <c r="O376" s="82">
        <v>0.76</v>
      </c>
      <c r="P376" s="82">
        <v>-0.6</v>
      </c>
      <c r="Q376" s="82">
        <v>2.76</v>
      </c>
      <c r="R376" s="82">
        <v>-16.44</v>
      </c>
      <c r="S376" s="82">
        <v>-10.36</v>
      </c>
      <c r="T376" s="82">
        <v>-12.24</v>
      </c>
      <c r="U376" s="82">
        <v>0.63</v>
      </c>
      <c r="V376" s="82">
        <v>0.37</v>
      </c>
      <c r="W376" s="82">
        <v>0.74</v>
      </c>
      <c r="Z376" s="191">
        <v>2746759.0</v>
      </c>
      <c r="AA376" s="82">
        <v>4.62</v>
      </c>
      <c r="AB376" s="82">
        <v>-0.76</v>
      </c>
      <c r="AC376" s="82">
        <v>0.26</v>
      </c>
      <c r="AD376" s="191">
        <v>2.0978511088E8</v>
      </c>
    </row>
    <row r="377">
      <c r="A377" s="82" t="s">
        <v>426</v>
      </c>
      <c r="B377" s="82">
        <v>37.62</v>
      </c>
      <c r="C377" s="82">
        <v>1.65</v>
      </c>
      <c r="D377" s="82">
        <v>22.67</v>
      </c>
      <c r="E377" s="82">
        <v>1.75</v>
      </c>
      <c r="F377" s="82">
        <v>1.07</v>
      </c>
      <c r="G377" s="82">
        <v>30.23</v>
      </c>
      <c r="H377" s="82">
        <v>7.02</v>
      </c>
      <c r="I377" s="82">
        <v>5.19</v>
      </c>
      <c r="J377" s="82">
        <v>16.76</v>
      </c>
      <c r="K377" s="82">
        <v>17.11</v>
      </c>
      <c r="L377" s="82">
        <v>0.42</v>
      </c>
      <c r="M377" s="82">
        <v>0.04</v>
      </c>
      <c r="N377" s="82">
        <v>1.18</v>
      </c>
      <c r="O377" s="82">
        <v>4.38</v>
      </c>
      <c r="P377" s="82">
        <v>-1.94</v>
      </c>
      <c r="Q377" s="82">
        <v>2.19</v>
      </c>
      <c r="R377" s="82">
        <v>7.71</v>
      </c>
      <c r="S377" s="82">
        <v>4.72</v>
      </c>
      <c r="T377" s="82">
        <v>7.51</v>
      </c>
      <c r="U377" s="82">
        <v>0.61</v>
      </c>
      <c r="V377" s="82">
        <v>0.39</v>
      </c>
      <c r="W377" s="82">
        <v>0.91</v>
      </c>
      <c r="X377" s="82">
        <v>13.34</v>
      </c>
      <c r="Y377" s="82">
        <v>-7.8</v>
      </c>
      <c r="Z377" s="191">
        <v>3.14648968E7</v>
      </c>
      <c r="AA377" s="82">
        <v>21.52</v>
      </c>
      <c r="AB377" s="82">
        <v>1.66</v>
      </c>
      <c r="AC377" s="82">
        <v>-2.55</v>
      </c>
      <c r="AD377" s="191">
        <v>1.269894E10</v>
      </c>
    </row>
    <row r="378">
      <c r="A378" s="82" t="s">
        <v>427</v>
      </c>
      <c r="B378" s="82">
        <v>12.93</v>
      </c>
      <c r="D378" s="82">
        <v>8.25</v>
      </c>
      <c r="E378" s="82">
        <v>0.84</v>
      </c>
      <c r="F378" s="82">
        <v>0.34</v>
      </c>
      <c r="G378" s="82">
        <v>33.17</v>
      </c>
      <c r="H378" s="82">
        <v>13.91</v>
      </c>
      <c r="I378" s="82">
        <v>12.34</v>
      </c>
      <c r="J378" s="82">
        <v>7.31</v>
      </c>
      <c r="K378" s="82">
        <v>7.08</v>
      </c>
      <c r="L378" s="82">
        <v>-0.14</v>
      </c>
      <c r="M378" s="82">
        <v>-0.02</v>
      </c>
      <c r="N378" s="82">
        <v>1.02</v>
      </c>
      <c r="O378" s="82">
        <v>1.48</v>
      </c>
      <c r="P378" s="82">
        <v>-0.53</v>
      </c>
      <c r="Q378" s="82">
        <v>2.69</v>
      </c>
      <c r="R378" s="82">
        <v>10.15</v>
      </c>
      <c r="S378" s="82">
        <v>4.08</v>
      </c>
      <c r="T378" s="82">
        <v>7.55</v>
      </c>
      <c r="U378" s="82">
        <v>0.4</v>
      </c>
      <c r="V378" s="82">
        <v>0.6</v>
      </c>
      <c r="W378" s="82">
        <v>0.33</v>
      </c>
      <c r="X378" s="82">
        <v>5.57</v>
      </c>
      <c r="Z378" s="191">
        <v>5199638.3</v>
      </c>
      <c r="AA378" s="82">
        <v>15.39</v>
      </c>
      <c r="AB378" s="82">
        <v>1.56</v>
      </c>
      <c r="AC378" s="82">
        <v>0.4</v>
      </c>
      <c r="AD378" s="191">
        <v>1.08004725E9</v>
      </c>
    </row>
    <row r="379">
      <c r="A379" s="82" t="s">
        <v>428</v>
      </c>
      <c r="B379" s="82">
        <v>1.88</v>
      </c>
      <c r="D379" s="82">
        <v>4.61</v>
      </c>
      <c r="E379" s="82">
        <v>0.48</v>
      </c>
      <c r="F379" s="82">
        <v>0.2</v>
      </c>
      <c r="G379" s="82">
        <v>32.17</v>
      </c>
      <c r="H379" s="82">
        <v>13.76</v>
      </c>
      <c r="I379" s="82">
        <v>5.2</v>
      </c>
      <c r="J379" s="82">
        <v>1.74</v>
      </c>
      <c r="K379" s="82">
        <v>2.77</v>
      </c>
      <c r="L379" s="82">
        <v>1.02</v>
      </c>
      <c r="M379" s="82">
        <v>0.29</v>
      </c>
      <c r="N379" s="82">
        <v>0.24</v>
      </c>
      <c r="O379" s="82">
        <v>-5.91</v>
      </c>
      <c r="P379" s="82">
        <v>-0.24</v>
      </c>
      <c r="Q379" s="82">
        <v>0.84</v>
      </c>
      <c r="R379" s="82">
        <v>10.51</v>
      </c>
      <c r="S379" s="82">
        <v>4.24</v>
      </c>
      <c r="T379" s="82">
        <v>17.01</v>
      </c>
      <c r="U379" s="82">
        <v>0.4</v>
      </c>
      <c r="V379" s="82">
        <v>0.6</v>
      </c>
      <c r="W379" s="82">
        <v>0.82</v>
      </c>
      <c r="X379" s="82">
        <v>8.44</v>
      </c>
      <c r="Y379" s="82">
        <v>99.84</v>
      </c>
      <c r="Z379" s="191">
        <v>2248382.2</v>
      </c>
      <c r="AA379" s="82">
        <v>3.88</v>
      </c>
      <c r="AB379" s="82">
        <v>0.41</v>
      </c>
      <c r="AC379" s="82">
        <v>-0.02</v>
      </c>
      <c r="AD379" s="191">
        <v>5.383747164E8</v>
      </c>
    </row>
    <row r="380">
      <c r="A380" s="82" t="s">
        <v>429</v>
      </c>
      <c r="B380" s="82">
        <v>4.81</v>
      </c>
      <c r="C380" s="82">
        <v>9.86</v>
      </c>
      <c r="D380" s="82">
        <v>13.71</v>
      </c>
      <c r="E380" s="82">
        <v>0.85</v>
      </c>
      <c r="F380" s="82">
        <v>0.41</v>
      </c>
      <c r="G380" s="82">
        <v>17.78</v>
      </c>
      <c r="H380" s="82">
        <v>3.68</v>
      </c>
      <c r="I380" s="82">
        <v>7.16</v>
      </c>
      <c r="J380" s="82">
        <v>26.65</v>
      </c>
      <c r="K380" s="82">
        <v>22.11</v>
      </c>
      <c r="L380" s="82">
        <v>-4.42</v>
      </c>
      <c r="M380" s="82">
        <v>-0.14</v>
      </c>
      <c r="N380" s="82">
        <v>0.98</v>
      </c>
      <c r="O380" s="82">
        <v>0.74</v>
      </c>
      <c r="P380" s="82">
        <v>-2.18</v>
      </c>
      <c r="Q380" s="82">
        <v>3.08</v>
      </c>
      <c r="R380" s="82">
        <v>6.17</v>
      </c>
      <c r="S380" s="82">
        <v>2.97</v>
      </c>
      <c r="T380" s="82">
        <v>0.63</v>
      </c>
      <c r="U380" s="82">
        <v>0.48</v>
      </c>
      <c r="V380" s="82">
        <v>0.48</v>
      </c>
      <c r="W380" s="82">
        <v>0.42</v>
      </c>
      <c r="X380" s="82">
        <v>17.62</v>
      </c>
      <c r="Y380" s="82">
        <v>0.28</v>
      </c>
      <c r="Z380" s="191">
        <v>808076.4</v>
      </c>
      <c r="AA380" s="82">
        <v>5.68</v>
      </c>
      <c r="AB380" s="82">
        <v>0.35</v>
      </c>
      <c r="AC380" s="82">
        <v>-0.39</v>
      </c>
      <c r="AD380" s="191">
        <v>9.8803014339E8</v>
      </c>
    </row>
    <row r="381">
      <c r="A381" s="82" t="s">
        <v>430</v>
      </c>
      <c r="B381" s="82">
        <v>15.28</v>
      </c>
      <c r="D381" s="82">
        <v>319.25</v>
      </c>
      <c r="E381" s="82">
        <v>1.11</v>
      </c>
      <c r="F381" s="82">
        <v>1.01</v>
      </c>
      <c r="G381" s="82">
        <v>70.55</v>
      </c>
      <c r="H381" s="82">
        <v>6.13</v>
      </c>
      <c r="I381" s="82">
        <v>1.94</v>
      </c>
      <c r="J381" s="82">
        <v>101.17</v>
      </c>
      <c r="K381" s="82">
        <v>78.49</v>
      </c>
      <c r="N381" s="82">
        <v>6.21</v>
      </c>
      <c r="O381" s="82">
        <v>7.37</v>
      </c>
      <c r="P381" s="82">
        <v>-1.17</v>
      </c>
      <c r="R381" s="82">
        <v>0.35</v>
      </c>
      <c r="S381" s="82">
        <v>0.32</v>
      </c>
      <c r="U381" s="82">
        <v>0.91</v>
      </c>
      <c r="V381" s="82">
        <v>0.09</v>
      </c>
      <c r="W381" s="82">
        <v>0.16</v>
      </c>
      <c r="X381" s="82">
        <v>-29.95</v>
      </c>
      <c r="Y381" s="82">
        <v>-51.24</v>
      </c>
      <c r="AA381" s="82">
        <v>13.81</v>
      </c>
      <c r="AB381" s="82">
        <v>0.05</v>
      </c>
      <c r="AC381" s="82">
        <v>-3.64</v>
      </c>
      <c r="AD381" s="191">
        <v>2.134889722E8</v>
      </c>
    </row>
    <row r="382">
      <c r="A382" s="82" t="s">
        <v>431</v>
      </c>
      <c r="B382" s="82">
        <v>7.4</v>
      </c>
      <c r="C382" s="82">
        <v>6.08</v>
      </c>
      <c r="D382" s="82">
        <v>154.61</v>
      </c>
      <c r="E382" s="82">
        <v>0.54</v>
      </c>
      <c r="F382" s="82">
        <v>0.49</v>
      </c>
      <c r="G382" s="82">
        <v>70.55</v>
      </c>
      <c r="H382" s="82">
        <v>6.13</v>
      </c>
      <c r="I382" s="82">
        <v>1.94</v>
      </c>
      <c r="J382" s="82">
        <v>49.0</v>
      </c>
      <c r="K382" s="82">
        <v>78.49</v>
      </c>
      <c r="N382" s="82">
        <v>3.01</v>
      </c>
      <c r="O382" s="82">
        <v>3.57</v>
      </c>
      <c r="P382" s="82">
        <v>-0.57</v>
      </c>
      <c r="R382" s="82">
        <v>0.35</v>
      </c>
      <c r="S382" s="82">
        <v>0.32</v>
      </c>
      <c r="U382" s="82">
        <v>0.91</v>
      </c>
      <c r="V382" s="82">
        <v>0.09</v>
      </c>
      <c r="W382" s="82">
        <v>0.16</v>
      </c>
      <c r="X382" s="82">
        <v>-29.95</v>
      </c>
      <c r="Y382" s="82">
        <v>-51.24</v>
      </c>
      <c r="Z382" s="191">
        <v>1206.67</v>
      </c>
      <c r="AA382" s="82">
        <v>13.81</v>
      </c>
      <c r="AB382" s="82">
        <v>0.05</v>
      </c>
      <c r="AC382" s="82">
        <v>-1.76</v>
      </c>
      <c r="AD382" s="191">
        <v>2.134889722E8</v>
      </c>
    </row>
    <row r="383">
      <c r="A383" s="82" t="s">
        <v>432</v>
      </c>
      <c r="B383" s="82">
        <v>19.13</v>
      </c>
      <c r="D383" s="82">
        <v>0.52</v>
      </c>
      <c r="E383" s="82">
        <v>4.7</v>
      </c>
      <c r="F383" s="82">
        <v>0.14</v>
      </c>
      <c r="G383" s="82">
        <v>11.77</v>
      </c>
      <c r="H383" s="82">
        <v>7.32</v>
      </c>
      <c r="I383" s="82">
        <v>22.82</v>
      </c>
      <c r="J383" s="82">
        <v>1.62</v>
      </c>
      <c r="K383" s="82">
        <v>9.08</v>
      </c>
      <c r="L383" s="82">
        <v>7.77</v>
      </c>
      <c r="M383" s="82">
        <v>22.53</v>
      </c>
      <c r="N383" s="82">
        <v>0.12</v>
      </c>
      <c r="O383" s="82">
        <v>0.89</v>
      </c>
      <c r="P383" s="82">
        <v>-0.27</v>
      </c>
      <c r="Q383" s="82">
        <v>1.45</v>
      </c>
      <c r="R383" s="82">
        <v>903.95</v>
      </c>
      <c r="S383" s="82">
        <v>26.13</v>
      </c>
      <c r="T383" s="82">
        <v>-14.96</v>
      </c>
      <c r="U383" s="82">
        <v>0.03</v>
      </c>
      <c r="V383" s="82">
        <v>0.97</v>
      </c>
      <c r="W383" s="82">
        <v>1.14</v>
      </c>
      <c r="X383" s="82">
        <v>17.93</v>
      </c>
      <c r="AA383" s="82">
        <v>4.07</v>
      </c>
      <c r="AB383" s="82">
        <v>36.83</v>
      </c>
      <c r="AC383" s="82">
        <v>0.0</v>
      </c>
      <c r="AD383" s="191">
        <v>8.96747804E7</v>
      </c>
    </row>
    <row r="384">
      <c r="A384" s="82" t="s">
        <v>433</v>
      </c>
      <c r="B384" s="82">
        <v>13.49</v>
      </c>
      <c r="D384" s="82">
        <v>0.37</v>
      </c>
      <c r="E384" s="82">
        <v>3.31</v>
      </c>
      <c r="F384" s="82">
        <v>0.1</v>
      </c>
      <c r="G384" s="82">
        <v>11.77</v>
      </c>
      <c r="H384" s="82">
        <v>7.32</v>
      </c>
      <c r="I384" s="82">
        <v>22.82</v>
      </c>
      <c r="J384" s="82">
        <v>1.14</v>
      </c>
      <c r="K384" s="82">
        <v>9.08</v>
      </c>
      <c r="L384" s="82">
        <v>7.77</v>
      </c>
      <c r="M384" s="82">
        <v>22.53</v>
      </c>
      <c r="N384" s="82">
        <v>0.08</v>
      </c>
      <c r="O384" s="82">
        <v>0.62</v>
      </c>
      <c r="P384" s="82">
        <v>-0.19</v>
      </c>
      <c r="Q384" s="82">
        <v>1.45</v>
      </c>
      <c r="R384" s="82">
        <v>903.95</v>
      </c>
      <c r="S384" s="82">
        <v>26.13</v>
      </c>
      <c r="T384" s="82">
        <v>-14.96</v>
      </c>
      <c r="U384" s="82">
        <v>0.03</v>
      </c>
      <c r="V384" s="82">
        <v>0.97</v>
      </c>
      <c r="W384" s="82">
        <v>1.14</v>
      </c>
      <c r="X384" s="82">
        <v>17.93</v>
      </c>
      <c r="Z384" s="191">
        <v>58386.12</v>
      </c>
      <c r="AA384" s="82">
        <v>4.07</v>
      </c>
      <c r="AB384" s="82">
        <v>36.83</v>
      </c>
      <c r="AC384" s="82">
        <v>0.0</v>
      </c>
      <c r="AD384" s="191">
        <v>8.96747804E7</v>
      </c>
    </row>
    <row r="385">
      <c r="A385" s="82" t="s">
        <v>434</v>
      </c>
      <c r="B385" s="82">
        <v>2.03</v>
      </c>
      <c r="D385" s="82">
        <v>-34.45</v>
      </c>
      <c r="E385" s="82">
        <v>1.44</v>
      </c>
      <c r="F385" s="82">
        <v>0.37</v>
      </c>
      <c r="G385" s="82">
        <v>28.51</v>
      </c>
      <c r="H385" s="82">
        <v>2.49</v>
      </c>
      <c r="I385" s="82">
        <v>-1.06</v>
      </c>
      <c r="J385" s="82">
        <v>14.74</v>
      </c>
      <c r="K385" s="82">
        <v>19.03</v>
      </c>
      <c r="L385" s="82">
        <v>4.43</v>
      </c>
      <c r="M385" s="82">
        <v>0.43</v>
      </c>
      <c r="N385" s="82">
        <v>0.37</v>
      </c>
      <c r="O385" s="82">
        <v>5.83</v>
      </c>
      <c r="P385" s="82">
        <v>-0.79</v>
      </c>
      <c r="Q385" s="82">
        <v>1.14</v>
      </c>
      <c r="R385" s="82">
        <v>-4.17</v>
      </c>
      <c r="S385" s="82">
        <v>-1.08</v>
      </c>
      <c r="T385" s="82">
        <v>1.31</v>
      </c>
      <c r="U385" s="82">
        <v>0.26</v>
      </c>
      <c r="V385" s="82">
        <v>0.74</v>
      </c>
      <c r="W385" s="82">
        <v>1.01</v>
      </c>
      <c r="X385" s="82">
        <v>25.49</v>
      </c>
      <c r="Z385" s="191">
        <v>3.092319765E8</v>
      </c>
      <c r="AA385" s="82">
        <v>1.41</v>
      </c>
      <c r="AB385" s="82">
        <v>-0.06</v>
      </c>
      <c r="AC385" s="82">
        <v>-39.37</v>
      </c>
      <c r="AD385" s="191">
        <v>1.356534296448E10</v>
      </c>
    </row>
    <row r="386">
      <c r="A386" s="82" t="s">
        <v>435</v>
      </c>
      <c r="B386" s="82">
        <v>13.35</v>
      </c>
      <c r="C386" s="82">
        <v>1.72</v>
      </c>
      <c r="D386" s="82">
        <v>13.33</v>
      </c>
      <c r="E386" s="82">
        <v>2.34</v>
      </c>
      <c r="F386" s="82">
        <v>1.18</v>
      </c>
      <c r="G386" s="82">
        <v>65.4</v>
      </c>
      <c r="H386" s="82">
        <v>32.41</v>
      </c>
      <c r="I386" s="82">
        <v>18.29</v>
      </c>
      <c r="J386" s="82">
        <v>7.52</v>
      </c>
      <c r="K386" s="82">
        <v>8.61</v>
      </c>
      <c r="L386" s="82">
        <v>1.1</v>
      </c>
      <c r="M386" s="82">
        <v>0.34</v>
      </c>
      <c r="N386" s="82">
        <v>2.44</v>
      </c>
      <c r="O386" s="82">
        <v>5.39</v>
      </c>
      <c r="P386" s="82">
        <v>-1.87</v>
      </c>
      <c r="Q386" s="82">
        <v>2.49</v>
      </c>
      <c r="R386" s="82">
        <v>17.59</v>
      </c>
      <c r="S386" s="82">
        <v>8.88</v>
      </c>
      <c r="T386" s="82">
        <v>16.23</v>
      </c>
      <c r="U386" s="82">
        <v>0.5</v>
      </c>
      <c r="V386" s="82">
        <v>0.49</v>
      </c>
      <c r="W386" s="82">
        <v>0.49</v>
      </c>
      <c r="X386" s="82">
        <v>30.26</v>
      </c>
      <c r="Z386" s="191">
        <v>9271637.1</v>
      </c>
      <c r="AA386" s="82">
        <v>5.65</v>
      </c>
      <c r="AB386" s="82">
        <v>0.99</v>
      </c>
      <c r="AC386" s="82">
        <v>0.88</v>
      </c>
      <c r="AD386" s="191">
        <v>3.25866616488E9</v>
      </c>
    </row>
    <row r="387">
      <c r="A387" s="82" t="s">
        <v>436</v>
      </c>
      <c r="B387" s="82">
        <v>1.98</v>
      </c>
      <c r="D387" s="82">
        <v>-2.26</v>
      </c>
      <c r="E387" s="82">
        <v>0.46</v>
      </c>
      <c r="F387" s="82">
        <v>0.28</v>
      </c>
      <c r="G387" s="82">
        <v>12.5</v>
      </c>
      <c r="H387" s="82">
        <v>-15.59</v>
      </c>
      <c r="I387" s="82">
        <v>-19.01</v>
      </c>
      <c r="J387" s="82">
        <v>-2.75</v>
      </c>
      <c r="K387" s="82">
        <v>-2.79</v>
      </c>
      <c r="L387" s="82">
        <v>-0.07</v>
      </c>
      <c r="M387" s="82">
        <v>0.01</v>
      </c>
      <c r="N387" s="82">
        <v>0.43</v>
      </c>
      <c r="O387" s="82">
        <v>0.52</v>
      </c>
      <c r="P387" s="82">
        <v>-1.15</v>
      </c>
      <c r="Q387" s="82">
        <v>3.45</v>
      </c>
      <c r="R387" s="82">
        <v>-20.23</v>
      </c>
      <c r="S387" s="82">
        <v>-12.31</v>
      </c>
      <c r="T387" s="82">
        <v>-13.54</v>
      </c>
      <c r="U387" s="82">
        <v>0.61</v>
      </c>
      <c r="V387" s="82">
        <v>0.39</v>
      </c>
      <c r="W387" s="82">
        <v>0.65</v>
      </c>
      <c r="Z387" s="191">
        <v>6389643.4</v>
      </c>
      <c r="AA387" s="82">
        <v>4.32</v>
      </c>
      <c r="AB387" s="82">
        <v>-0.87</v>
      </c>
      <c r="AC387" s="82">
        <v>0.01</v>
      </c>
      <c r="AD387" s="191">
        <v>1.60005148875E9</v>
      </c>
    </row>
    <row r="388">
      <c r="A388" s="82" t="s">
        <v>1768</v>
      </c>
      <c r="B388" s="82">
        <v>0.0</v>
      </c>
      <c r="D388" s="82">
        <v>0.0</v>
      </c>
      <c r="E388" s="82">
        <v>0.0</v>
      </c>
      <c r="F388" s="82">
        <v>0.0</v>
      </c>
      <c r="G388" s="82">
        <v>8.65</v>
      </c>
      <c r="H388" s="82">
        <v>5.21</v>
      </c>
      <c r="I388" s="82">
        <v>3.4</v>
      </c>
      <c r="J388" s="82">
        <v>0.0</v>
      </c>
      <c r="K388" s="82">
        <v>2.48</v>
      </c>
      <c r="L388" s="82">
        <v>2.46</v>
      </c>
      <c r="M388" s="82">
        <v>0.49</v>
      </c>
      <c r="N388" s="82">
        <v>0.0</v>
      </c>
      <c r="O388" s="82">
        <v>0.0</v>
      </c>
      <c r="P388" s="82">
        <v>0.0</v>
      </c>
      <c r="Q388" s="82">
        <v>1.69</v>
      </c>
      <c r="R388" s="82">
        <v>13.08</v>
      </c>
      <c r="S388" s="82">
        <v>6.66</v>
      </c>
      <c r="T388" s="82">
        <v>7.69</v>
      </c>
      <c r="U388" s="82">
        <v>0.51</v>
      </c>
      <c r="V388" s="82">
        <v>0.49</v>
      </c>
      <c r="W388" s="82">
        <v>1.96</v>
      </c>
      <c r="X388" s="82">
        <v>25.76</v>
      </c>
      <c r="Y388" s="82">
        <v>25.43</v>
      </c>
      <c r="AA388" s="191">
        <v>5685.11</v>
      </c>
      <c r="AB388" s="82">
        <v>743.79</v>
      </c>
      <c r="AC388" s="82">
        <v>0.0</v>
      </c>
      <c r="AD388" s="191">
        <v>1115195.25</v>
      </c>
    </row>
    <row r="389">
      <c r="A389" s="82" t="s">
        <v>1769</v>
      </c>
      <c r="B389" s="82">
        <v>49.73</v>
      </c>
      <c r="C389" s="82">
        <v>503.4</v>
      </c>
      <c r="D389" s="82">
        <v>0.07</v>
      </c>
      <c r="E389" s="82">
        <v>0.01</v>
      </c>
      <c r="F389" s="82">
        <v>0.0</v>
      </c>
      <c r="G389" s="82">
        <v>8.65</v>
      </c>
      <c r="H389" s="82">
        <v>5.21</v>
      </c>
      <c r="I389" s="82">
        <v>3.4</v>
      </c>
      <c r="J389" s="82">
        <v>0.04</v>
      </c>
      <c r="K389" s="82">
        <v>2.48</v>
      </c>
      <c r="L389" s="82">
        <v>2.46</v>
      </c>
      <c r="M389" s="82">
        <v>0.49</v>
      </c>
      <c r="N389" s="82">
        <v>0.0</v>
      </c>
      <c r="O389" s="82">
        <v>0.01</v>
      </c>
      <c r="P389" s="82">
        <v>-0.02</v>
      </c>
      <c r="Q389" s="82">
        <v>1.69</v>
      </c>
      <c r="R389" s="82">
        <v>13.08</v>
      </c>
      <c r="S389" s="82">
        <v>6.66</v>
      </c>
      <c r="T389" s="82">
        <v>7.69</v>
      </c>
      <c r="U389" s="82">
        <v>0.51</v>
      </c>
      <c r="V389" s="82">
        <v>0.49</v>
      </c>
      <c r="W389" s="82">
        <v>1.96</v>
      </c>
      <c r="X389" s="82">
        <v>25.76</v>
      </c>
      <c r="Y389" s="82">
        <v>25.43</v>
      </c>
      <c r="AA389" s="191">
        <v>5685.11</v>
      </c>
      <c r="AB389" s="82">
        <v>743.79</v>
      </c>
      <c r="AC389" s="82">
        <v>0.0</v>
      </c>
      <c r="AD389" s="191">
        <v>1115195.25</v>
      </c>
    </row>
    <row r="390">
      <c r="A390" s="82" t="s">
        <v>437</v>
      </c>
      <c r="B390" s="82">
        <v>14.0</v>
      </c>
      <c r="D390" s="82">
        <v>-2.17</v>
      </c>
      <c r="E390" s="82">
        <v>-0.11</v>
      </c>
      <c r="F390" s="82">
        <v>0.71</v>
      </c>
      <c r="J390" s="82">
        <v>-181.31</v>
      </c>
      <c r="K390" s="82">
        <v>-719.57</v>
      </c>
      <c r="L390" s="82">
        <v>-538.27</v>
      </c>
      <c r="O390" s="82">
        <v>-0.1</v>
      </c>
      <c r="P390" s="82">
        <v>-0.75</v>
      </c>
      <c r="Q390" s="82">
        <v>0.01</v>
      </c>
      <c r="R390" s="82">
        <v>-4.97</v>
      </c>
      <c r="S390" s="82">
        <v>-32.75</v>
      </c>
      <c r="T390" s="82">
        <v>0.28</v>
      </c>
      <c r="U390" s="82">
        <v>-6.58</v>
      </c>
      <c r="V390" s="82">
        <v>7.6</v>
      </c>
      <c r="W390" s="82">
        <v>0.0</v>
      </c>
      <c r="X390" s="82">
        <v>-6.95</v>
      </c>
      <c r="AA390" s="82">
        <v>-129.88</v>
      </c>
      <c r="AB390" s="82">
        <v>-6.46</v>
      </c>
      <c r="AC390" s="82">
        <v>0.03</v>
      </c>
      <c r="AD390" s="191">
        <v>9.0834562E7</v>
      </c>
    </row>
    <row r="391">
      <c r="A391" s="82" t="s">
        <v>438</v>
      </c>
      <c r="B391" s="82">
        <v>52.6</v>
      </c>
      <c r="D391" s="82">
        <v>0.14</v>
      </c>
      <c r="E391" s="82">
        <v>0.84</v>
      </c>
      <c r="F391" s="82">
        <v>0.1</v>
      </c>
      <c r="G391" s="82">
        <v>37.25</v>
      </c>
      <c r="H391" s="82">
        <v>10.99</v>
      </c>
      <c r="I391" s="82">
        <v>111.55</v>
      </c>
      <c r="J391" s="82">
        <v>1.46</v>
      </c>
      <c r="K391" s="82">
        <v>5.77</v>
      </c>
      <c r="L391" s="82">
        <v>4.31</v>
      </c>
      <c r="M391" s="82">
        <v>2.48</v>
      </c>
      <c r="N391" s="82">
        <v>0.16</v>
      </c>
      <c r="O391" s="82">
        <v>-0.73</v>
      </c>
      <c r="P391" s="82">
        <v>-0.16</v>
      </c>
      <c r="Q391" s="82">
        <v>0.73</v>
      </c>
      <c r="R391" s="82">
        <v>583.75</v>
      </c>
      <c r="S391" s="82">
        <v>68.71</v>
      </c>
      <c r="T391" s="82">
        <v>-38.08</v>
      </c>
      <c r="U391" s="82">
        <v>0.12</v>
      </c>
      <c r="V391" s="82">
        <v>0.88</v>
      </c>
      <c r="W391" s="82">
        <v>0.62</v>
      </c>
      <c r="X391" s="82">
        <v>11.73</v>
      </c>
      <c r="Z391" s="191">
        <v>38726.53</v>
      </c>
      <c r="AA391" s="82">
        <v>62.85</v>
      </c>
      <c r="AB391" s="82">
        <v>366.89</v>
      </c>
      <c r="AC391" s="82">
        <v>0.0</v>
      </c>
      <c r="AD391" s="191">
        <v>1.30461676E8</v>
      </c>
    </row>
    <row r="392">
      <c r="A392" s="82" t="s">
        <v>439</v>
      </c>
      <c r="B392" s="82">
        <v>18.85</v>
      </c>
      <c r="D392" s="82">
        <v>-33.19</v>
      </c>
      <c r="E392" s="82">
        <v>-0.42</v>
      </c>
      <c r="F392" s="82">
        <v>0.4</v>
      </c>
      <c r="G392" s="82">
        <v>27.89</v>
      </c>
      <c r="H392" s="82">
        <v>8.31</v>
      </c>
      <c r="I392" s="82">
        <v>-1.06</v>
      </c>
      <c r="J392" s="82">
        <v>4.25</v>
      </c>
      <c r="K392" s="82">
        <v>4.25</v>
      </c>
      <c r="L392" s="82">
        <v>0.0</v>
      </c>
      <c r="N392" s="82">
        <v>0.35</v>
      </c>
      <c r="O392" s="82">
        <v>-0.36</v>
      </c>
      <c r="P392" s="82">
        <v>-0.95</v>
      </c>
      <c r="Q392" s="82">
        <v>0.34</v>
      </c>
      <c r="R392" s="82">
        <v>-1.25</v>
      </c>
      <c r="S392" s="82">
        <v>-1.21</v>
      </c>
      <c r="T392" s="82">
        <v>-8.69</v>
      </c>
      <c r="U392" s="82">
        <v>-0.97</v>
      </c>
      <c r="V392" s="82">
        <v>1.97</v>
      </c>
      <c r="W392" s="82">
        <v>1.14</v>
      </c>
      <c r="X392" s="82">
        <v>13.94</v>
      </c>
      <c r="Z392" s="191">
        <v>36429.5</v>
      </c>
      <c r="AA392" s="82">
        <v>-45.41</v>
      </c>
      <c r="AB392" s="82">
        <v>-0.57</v>
      </c>
      <c r="AC392" s="82">
        <v>0.3</v>
      </c>
      <c r="AD392" s="191">
        <v>1.33836885E8</v>
      </c>
    </row>
    <row r="393">
      <c r="A393" s="82" t="s">
        <v>440</v>
      </c>
      <c r="B393" s="82">
        <v>397.95</v>
      </c>
      <c r="C393" s="82">
        <v>0.62</v>
      </c>
      <c r="D393" s="82">
        <v>5.51</v>
      </c>
      <c r="E393" s="82">
        <v>3.2</v>
      </c>
      <c r="F393" s="82">
        <v>1.51</v>
      </c>
      <c r="J393" s="82">
        <v>4.17</v>
      </c>
      <c r="K393" s="82">
        <v>3.69</v>
      </c>
      <c r="L393" s="82">
        <v>-0.48</v>
      </c>
      <c r="M393" s="82">
        <v>-0.37</v>
      </c>
      <c r="O393" s="82">
        <v>3.85</v>
      </c>
      <c r="P393" s="82">
        <v>-3.23</v>
      </c>
      <c r="Q393" s="82">
        <v>3.76</v>
      </c>
      <c r="R393" s="82">
        <v>58.02</v>
      </c>
      <c r="S393" s="82">
        <v>27.33</v>
      </c>
      <c r="T393" s="82">
        <v>35.93</v>
      </c>
      <c r="U393" s="82">
        <v>0.47</v>
      </c>
      <c r="V393" s="82">
        <v>0.53</v>
      </c>
      <c r="W393" s="82">
        <v>0.0</v>
      </c>
      <c r="Y393" s="82">
        <v>44.33</v>
      </c>
      <c r="Z393" s="191">
        <v>39936.0</v>
      </c>
      <c r="AA393" s="82">
        <v>124.41</v>
      </c>
      <c r="AB393" s="82">
        <v>72.18</v>
      </c>
      <c r="AC393" s="82">
        <v>0.01</v>
      </c>
      <c r="AD393" s="191">
        <v>4.87537339695E9</v>
      </c>
    </row>
    <row r="394">
      <c r="A394" s="82" t="s">
        <v>441</v>
      </c>
      <c r="B394" s="82">
        <v>8.46</v>
      </c>
      <c r="D394" s="82">
        <v>-27.27</v>
      </c>
      <c r="E394" s="82">
        <v>1.66</v>
      </c>
      <c r="F394" s="82">
        <v>0.27</v>
      </c>
      <c r="G394" s="82">
        <v>50.83</v>
      </c>
      <c r="H394" s="82">
        <v>-5.11</v>
      </c>
      <c r="I394" s="82">
        <v>-5.48</v>
      </c>
      <c r="J394" s="82">
        <v>-29.26</v>
      </c>
      <c r="K394" s="82">
        <v>-29.26</v>
      </c>
      <c r="N394" s="82">
        <v>1.5</v>
      </c>
      <c r="P394" s="82">
        <v>-0.3</v>
      </c>
      <c r="R394" s="82">
        <v>-6.1</v>
      </c>
      <c r="S394" s="82">
        <v>-0.97</v>
      </c>
      <c r="U394" s="82">
        <v>0.16</v>
      </c>
      <c r="V394" s="82">
        <v>0.84</v>
      </c>
      <c r="W394" s="82">
        <v>0.18</v>
      </c>
      <c r="AA394" s="82">
        <v>5.09</v>
      </c>
      <c r="AB394" s="82">
        <v>-0.31</v>
      </c>
      <c r="AC394" s="82">
        <v>0.17</v>
      </c>
      <c r="AD394" s="191">
        <v>1.985844E9</v>
      </c>
    </row>
    <row r="395">
      <c r="A395" s="82" t="s">
        <v>442</v>
      </c>
      <c r="B395" s="82">
        <v>3.08</v>
      </c>
      <c r="C395" s="82">
        <v>0.71</v>
      </c>
      <c r="D395" s="82">
        <v>-29.78</v>
      </c>
      <c r="E395" s="82">
        <v>1.82</v>
      </c>
      <c r="F395" s="82">
        <v>0.29</v>
      </c>
      <c r="G395" s="82">
        <v>50.83</v>
      </c>
      <c r="H395" s="82">
        <v>-5.11</v>
      </c>
      <c r="I395" s="82">
        <v>-5.48</v>
      </c>
      <c r="J395" s="82">
        <v>-31.96</v>
      </c>
      <c r="K395" s="82">
        <v>-29.26</v>
      </c>
      <c r="N395" s="82">
        <v>1.63</v>
      </c>
      <c r="P395" s="82">
        <v>-0.32</v>
      </c>
      <c r="R395" s="82">
        <v>-6.1</v>
      </c>
      <c r="S395" s="82">
        <v>-0.97</v>
      </c>
      <c r="U395" s="82">
        <v>0.16</v>
      </c>
      <c r="V395" s="82">
        <v>0.84</v>
      </c>
      <c r="W395" s="82">
        <v>0.18</v>
      </c>
      <c r="Z395" s="191">
        <v>1.819492805E7</v>
      </c>
      <c r="AA395" s="82">
        <v>1.7</v>
      </c>
      <c r="AB395" s="82">
        <v>-0.1</v>
      </c>
      <c r="AC395" s="82">
        <v>0.19</v>
      </c>
      <c r="AD395" s="191">
        <v>1.985844E9</v>
      </c>
    </row>
    <row r="396">
      <c r="A396" s="82" t="s">
        <v>443</v>
      </c>
      <c r="B396" s="82">
        <v>2.72</v>
      </c>
      <c r="D396" s="82">
        <v>-26.3</v>
      </c>
      <c r="E396" s="82">
        <v>1.6</v>
      </c>
      <c r="F396" s="82">
        <v>0.26</v>
      </c>
      <c r="G396" s="82">
        <v>50.83</v>
      </c>
      <c r="H396" s="82">
        <v>-5.11</v>
      </c>
      <c r="I396" s="82">
        <v>-5.48</v>
      </c>
      <c r="J396" s="82">
        <v>-28.22</v>
      </c>
      <c r="K396" s="82">
        <v>-29.26</v>
      </c>
      <c r="N396" s="82">
        <v>1.44</v>
      </c>
      <c r="P396" s="82">
        <v>-0.29</v>
      </c>
      <c r="R396" s="82">
        <v>-6.1</v>
      </c>
      <c r="S396" s="82">
        <v>-0.97</v>
      </c>
      <c r="U396" s="82">
        <v>0.16</v>
      </c>
      <c r="V396" s="82">
        <v>0.84</v>
      </c>
      <c r="W396" s="82">
        <v>0.18</v>
      </c>
      <c r="AA396" s="82">
        <v>1.7</v>
      </c>
      <c r="AB396" s="82">
        <v>-0.1</v>
      </c>
      <c r="AC396" s="82">
        <v>0.17</v>
      </c>
      <c r="AD396" s="191">
        <v>1.985844E9</v>
      </c>
    </row>
    <row r="397">
      <c r="A397" s="82" t="s">
        <v>444</v>
      </c>
      <c r="B397" s="82">
        <v>8.24</v>
      </c>
      <c r="D397" s="82">
        <v>32.29</v>
      </c>
      <c r="E397" s="82">
        <v>1.56</v>
      </c>
      <c r="F397" s="82">
        <v>1.46</v>
      </c>
      <c r="G397" s="82">
        <v>89.47</v>
      </c>
      <c r="H397" s="82">
        <v>6.23</v>
      </c>
      <c r="I397" s="82">
        <v>14.75</v>
      </c>
      <c r="J397" s="82">
        <v>76.45</v>
      </c>
      <c r="K397" s="82">
        <v>36.94</v>
      </c>
      <c r="L397" s="82">
        <v>-39.51</v>
      </c>
      <c r="M397" s="82">
        <v>-0.81</v>
      </c>
      <c r="N397" s="82">
        <v>4.76</v>
      </c>
      <c r="O397" s="82">
        <v>1.91</v>
      </c>
      <c r="P397" s="82">
        <v>-8.4</v>
      </c>
      <c r="Q397" s="82">
        <v>13.23</v>
      </c>
      <c r="R397" s="82">
        <v>4.84</v>
      </c>
      <c r="S397" s="82">
        <v>4.52</v>
      </c>
      <c r="T397" s="82">
        <v>0.25</v>
      </c>
      <c r="U397" s="82">
        <v>0.93</v>
      </c>
      <c r="V397" s="82">
        <v>0.07</v>
      </c>
      <c r="W397" s="82">
        <v>0.31</v>
      </c>
      <c r="AA397" s="82">
        <v>5.27</v>
      </c>
      <c r="AB397" s="82">
        <v>0.26</v>
      </c>
      <c r="AD397" s="191">
        <v>1.0431492272E9</v>
      </c>
    </row>
    <row r="398">
      <c r="A398" s="82" t="s">
        <v>446</v>
      </c>
      <c r="B398" s="82">
        <v>11.06</v>
      </c>
      <c r="C398" s="82">
        <v>1.09</v>
      </c>
      <c r="D398" s="82">
        <v>-90.12</v>
      </c>
      <c r="E398" s="82">
        <v>1.33</v>
      </c>
      <c r="F398" s="82">
        <v>0.19</v>
      </c>
      <c r="G398" s="82">
        <v>32.22</v>
      </c>
      <c r="H398" s="82">
        <v>18.17</v>
      </c>
      <c r="I398" s="82">
        <v>-0.42</v>
      </c>
      <c r="J398" s="82">
        <v>2.1</v>
      </c>
      <c r="K398" s="82">
        <v>8.16</v>
      </c>
      <c r="L398" s="82">
        <v>6.08</v>
      </c>
      <c r="M398" s="82">
        <v>3.85</v>
      </c>
      <c r="N398" s="82">
        <v>0.38</v>
      </c>
      <c r="O398" s="82">
        <v>4.84</v>
      </c>
      <c r="P398" s="82">
        <v>-0.24</v>
      </c>
      <c r="Q398" s="82">
        <v>1.21</v>
      </c>
      <c r="R398" s="82">
        <v>-1.48</v>
      </c>
      <c r="S398" s="82">
        <v>-0.21</v>
      </c>
      <c r="T398" s="82">
        <v>11.0</v>
      </c>
      <c r="U398" s="82">
        <v>0.14</v>
      </c>
      <c r="V398" s="82">
        <v>0.86</v>
      </c>
      <c r="W398" s="82">
        <v>0.49</v>
      </c>
      <c r="X398" s="82">
        <v>31.22</v>
      </c>
      <c r="Z398" s="191">
        <v>6.40513438E7</v>
      </c>
      <c r="AA398" s="82">
        <v>8.36</v>
      </c>
      <c r="AB398" s="82">
        <v>-0.12</v>
      </c>
      <c r="AC398" s="82">
        <v>0.85</v>
      </c>
      <c r="AD398" s="191">
        <v>3.985322946E9</v>
      </c>
    </row>
    <row r="399">
      <c r="A399" s="82" t="s">
        <v>1770</v>
      </c>
      <c r="B399" s="82">
        <v>26.8</v>
      </c>
      <c r="D399" s="82">
        <v>12.2</v>
      </c>
      <c r="E399" s="82">
        <v>17.37</v>
      </c>
      <c r="F399" s="82">
        <v>2.68</v>
      </c>
      <c r="G399" s="82">
        <v>95.29</v>
      </c>
      <c r="H399" s="82">
        <v>66.35</v>
      </c>
      <c r="I399" s="82">
        <v>56.37</v>
      </c>
      <c r="J399" s="82">
        <v>10.37</v>
      </c>
      <c r="K399" s="82">
        <v>7.73</v>
      </c>
      <c r="L399" s="82">
        <v>-2.64</v>
      </c>
      <c r="M399" s="82">
        <v>-4.42</v>
      </c>
      <c r="N399" s="82">
        <v>6.88</v>
      </c>
      <c r="O399" s="82">
        <v>50.65</v>
      </c>
      <c r="P399" s="82">
        <v>-23.58</v>
      </c>
      <c r="Q399" s="82">
        <v>1.06</v>
      </c>
      <c r="R399" s="82">
        <v>142.4</v>
      </c>
      <c r="S399" s="82">
        <v>21.94</v>
      </c>
      <c r="T399" s="82">
        <v>100.98</v>
      </c>
      <c r="U399" s="82">
        <v>0.15</v>
      </c>
      <c r="V399" s="82">
        <v>0.85</v>
      </c>
      <c r="W399" s="82">
        <v>0.39</v>
      </c>
      <c r="X399" s="82">
        <v>-17.46</v>
      </c>
      <c r="Y399" s="82">
        <v>8.96</v>
      </c>
      <c r="AA399" s="82">
        <v>1.54</v>
      </c>
      <c r="AB399" s="82">
        <v>2.2</v>
      </c>
      <c r="AC399" s="82">
        <v>-0.39</v>
      </c>
      <c r="AD399" s="191">
        <v>4.3482081564E9</v>
      </c>
    </row>
    <row r="400">
      <c r="A400" s="82" t="s">
        <v>1697</v>
      </c>
      <c r="B400" s="82">
        <v>9.63</v>
      </c>
      <c r="D400" s="82">
        <v>-4.14</v>
      </c>
      <c r="E400" s="82">
        <v>1.46</v>
      </c>
      <c r="F400" s="82">
        <v>0.07</v>
      </c>
      <c r="G400" s="82">
        <v>10.02</v>
      </c>
      <c r="H400" s="82">
        <v>0.14</v>
      </c>
      <c r="I400" s="82">
        <v>-1.59</v>
      </c>
      <c r="J400" s="82">
        <v>46.86</v>
      </c>
      <c r="K400" s="82">
        <v>214.94</v>
      </c>
      <c r="L400" s="82">
        <v>168.23</v>
      </c>
      <c r="M400" s="82">
        <v>5.25</v>
      </c>
      <c r="N400" s="82">
        <v>0.07</v>
      </c>
      <c r="O400" s="82">
        <v>0.93</v>
      </c>
      <c r="P400" s="82">
        <v>-0.11</v>
      </c>
      <c r="Q400" s="82">
        <v>1.22</v>
      </c>
      <c r="R400" s="82">
        <v>-35.29</v>
      </c>
      <c r="S400" s="82">
        <v>-1.61</v>
      </c>
      <c r="T400" s="82">
        <v>-0.53</v>
      </c>
      <c r="U400" s="82">
        <v>0.05</v>
      </c>
      <c r="V400" s="82">
        <v>0.8</v>
      </c>
      <c r="W400" s="82">
        <v>1.02</v>
      </c>
      <c r="X400" s="82">
        <v>66.77</v>
      </c>
      <c r="Z400" s="191">
        <v>7.588232645E7</v>
      </c>
      <c r="AA400" s="82">
        <v>6.58</v>
      </c>
      <c r="AB400" s="82">
        <v>-2.32</v>
      </c>
      <c r="AC400" s="82">
        <v>0.03</v>
      </c>
      <c r="AD400" s="191">
        <v>8.92856E9</v>
      </c>
    </row>
    <row r="401">
      <c r="A401" s="82" t="s">
        <v>447</v>
      </c>
      <c r="B401" s="82">
        <v>24.56</v>
      </c>
      <c r="C401" s="82">
        <v>2.38</v>
      </c>
      <c r="D401" s="82">
        <v>7.26</v>
      </c>
      <c r="E401" s="82">
        <v>1.31</v>
      </c>
      <c r="F401" s="82">
        <v>0.54</v>
      </c>
      <c r="G401" s="82">
        <v>45.73</v>
      </c>
      <c r="H401" s="82">
        <v>38.24</v>
      </c>
      <c r="I401" s="82">
        <v>18.76</v>
      </c>
      <c r="J401" s="82">
        <v>3.56</v>
      </c>
      <c r="K401" s="82">
        <v>4.71</v>
      </c>
      <c r="L401" s="82">
        <v>1.24</v>
      </c>
      <c r="M401" s="82">
        <v>0.46</v>
      </c>
      <c r="N401" s="82">
        <v>1.36</v>
      </c>
      <c r="O401" s="82">
        <v>-54.29</v>
      </c>
      <c r="P401" s="82">
        <v>-0.66</v>
      </c>
      <c r="Q401" s="82">
        <v>0.95</v>
      </c>
      <c r="R401" s="82">
        <v>18.03</v>
      </c>
      <c r="S401" s="82">
        <v>7.49</v>
      </c>
      <c r="T401" s="82">
        <v>15.98</v>
      </c>
      <c r="U401" s="82">
        <v>0.42</v>
      </c>
      <c r="V401" s="82">
        <v>0.58</v>
      </c>
      <c r="W401" s="82">
        <v>0.4</v>
      </c>
      <c r="X401" s="82">
        <v>9.87</v>
      </c>
      <c r="Y401" s="82">
        <v>20.04</v>
      </c>
      <c r="Z401" s="191">
        <v>19578.0</v>
      </c>
      <c r="AA401" s="82">
        <v>18.75</v>
      </c>
      <c r="AB401" s="82">
        <v>3.38</v>
      </c>
      <c r="AC401" s="82">
        <v>0.11</v>
      </c>
      <c r="AD401" s="191">
        <v>8.1228990305E9</v>
      </c>
    </row>
    <row r="402">
      <c r="A402" s="82" t="s">
        <v>448</v>
      </c>
      <c r="B402" s="82">
        <v>23.06</v>
      </c>
      <c r="C402" s="82">
        <v>2.79</v>
      </c>
      <c r="D402" s="82">
        <v>6.82</v>
      </c>
      <c r="E402" s="82">
        <v>1.23</v>
      </c>
      <c r="F402" s="82">
        <v>0.51</v>
      </c>
      <c r="G402" s="82">
        <v>45.73</v>
      </c>
      <c r="H402" s="82">
        <v>38.24</v>
      </c>
      <c r="I402" s="82">
        <v>18.76</v>
      </c>
      <c r="J402" s="82">
        <v>3.35</v>
      </c>
      <c r="K402" s="82">
        <v>4.71</v>
      </c>
      <c r="L402" s="82">
        <v>1.24</v>
      </c>
      <c r="M402" s="82">
        <v>0.46</v>
      </c>
      <c r="N402" s="82">
        <v>1.28</v>
      </c>
      <c r="O402" s="82">
        <v>-50.98</v>
      </c>
      <c r="P402" s="82">
        <v>-0.62</v>
      </c>
      <c r="Q402" s="82">
        <v>0.95</v>
      </c>
      <c r="R402" s="82">
        <v>18.03</v>
      </c>
      <c r="S402" s="82">
        <v>7.49</v>
      </c>
      <c r="T402" s="82">
        <v>15.98</v>
      </c>
      <c r="U402" s="82">
        <v>0.42</v>
      </c>
      <c r="V402" s="82">
        <v>0.58</v>
      </c>
      <c r="W402" s="82">
        <v>0.4</v>
      </c>
      <c r="X402" s="82">
        <v>9.87</v>
      </c>
      <c r="Y402" s="82">
        <v>20.04</v>
      </c>
      <c r="Z402" s="191">
        <v>4612.0</v>
      </c>
      <c r="AA402" s="82">
        <v>18.75</v>
      </c>
      <c r="AB402" s="82">
        <v>3.38</v>
      </c>
      <c r="AC402" s="82">
        <v>0.1</v>
      </c>
      <c r="AD402" s="191">
        <v>8.1228990305E9</v>
      </c>
    </row>
    <row r="403">
      <c r="A403" s="82" t="s">
        <v>449</v>
      </c>
      <c r="B403" s="82">
        <v>23.56</v>
      </c>
      <c r="C403" s="82">
        <v>2.73</v>
      </c>
      <c r="D403" s="82">
        <v>6.97</v>
      </c>
      <c r="E403" s="82">
        <v>1.26</v>
      </c>
      <c r="F403" s="82">
        <v>0.52</v>
      </c>
      <c r="G403" s="82">
        <v>45.73</v>
      </c>
      <c r="H403" s="82">
        <v>38.24</v>
      </c>
      <c r="I403" s="82">
        <v>18.76</v>
      </c>
      <c r="J403" s="82">
        <v>3.42</v>
      </c>
      <c r="K403" s="82">
        <v>4.71</v>
      </c>
      <c r="L403" s="82">
        <v>1.24</v>
      </c>
      <c r="M403" s="82">
        <v>0.46</v>
      </c>
      <c r="N403" s="82">
        <v>1.31</v>
      </c>
      <c r="O403" s="82">
        <v>-52.08</v>
      </c>
      <c r="P403" s="82">
        <v>-0.63</v>
      </c>
      <c r="Q403" s="82">
        <v>0.95</v>
      </c>
      <c r="R403" s="82">
        <v>18.03</v>
      </c>
      <c r="S403" s="82">
        <v>7.49</v>
      </c>
      <c r="T403" s="82">
        <v>15.98</v>
      </c>
      <c r="U403" s="82">
        <v>0.42</v>
      </c>
      <c r="V403" s="82">
        <v>0.58</v>
      </c>
      <c r="W403" s="82">
        <v>0.4</v>
      </c>
      <c r="X403" s="82">
        <v>9.87</v>
      </c>
      <c r="Y403" s="82">
        <v>20.04</v>
      </c>
      <c r="Z403" s="191">
        <v>3681.0</v>
      </c>
      <c r="AA403" s="82">
        <v>18.75</v>
      </c>
      <c r="AB403" s="82">
        <v>3.38</v>
      </c>
      <c r="AC403" s="82">
        <v>0.11</v>
      </c>
      <c r="AD403" s="191">
        <v>8.1228990305E9</v>
      </c>
    </row>
    <row r="404">
      <c r="A404" s="82" t="s">
        <v>450</v>
      </c>
      <c r="B404" s="82">
        <v>10.42</v>
      </c>
      <c r="D404" s="82">
        <v>-22.78</v>
      </c>
      <c r="E404" s="82">
        <v>0.86</v>
      </c>
      <c r="F404" s="82">
        <v>0.24</v>
      </c>
      <c r="G404" s="82">
        <v>21.73</v>
      </c>
      <c r="H404" s="82">
        <v>1.16</v>
      </c>
      <c r="I404" s="82">
        <v>-3.61</v>
      </c>
      <c r="J404" s="82">
        <v>70.89</v>
      </c>
      <c r="K404" s="82">
        <v>156.41</v>
      </c>
      <c r="L404" s="82">
        <v>83.82</v>
      </c>
      <c r="M404" s="82">
        <v>1.01</v>
      </c>
      <c r="N404" s="82">
        <v>0.82</v>
      </c>
      <c r="O404" s="82">
        <v>1.1</v>
      </c>
      <c r="P404" s="82">
        <v>-0.44</v>
      </c>
      <c r="Q404" s="82">
        <v>1.99</v>
      </c>
      <c r="R404" s="82">
        <v>-3.76</v>
      </c>
      <c r="S404" s="82">
        <v>-1.07</v>
      </c>
      <c r="T404" s="82">
        <v>0.34</v>
      </c>
      <c r="U404" s="82">
        <v>0.28</v>
      </c>
      <c r="V404" s="82">
        <v>0.68</v>
      </c>
      <c r="W404" s="82">
        <v>0.3</v>
      </c>
      <c r="X404" s="82">
        <v>6.86</v>
      </c>
      <c r="Z404" s="191">
        <v>1.2355486965E8</v>
      </c>
      <c r="AA404" s="82">
        <v>12.21</v>
      </c>
      <c r="AB404" s="82">
        <v>-0.46</v>
      </c>
      <c r="AC404" s="82">
        <v>0.14</v>
      </c>
      <c r="AD404" s="191">
        <v>6.02432437104E9</v>
      </c>
    </row>
    <row r="405">
      <c r="A405" s="82" t="s">
        <v>451</v>
      </c>
      <c r="B405" s="82">
        <v>46.25</v>
      </c>
      <c r="C405" s="82">
        <v>0.12</v>
      </c>
      <c r="D405" s="82">
        <v>9.0</v>
      </c>
      <c r="E405" s="82">
        <v>0.36</v>
      </c>
      <c r="F405" s="82">
        <v>0.21</v>
      </c>
      <c r="G405" s="82">
        <v>38.88</v>
      </c>
      <c r="H405" s="82">
        <v>23.14</v>
      </c>
      <c r="I405" s="82">
        <v>17.1</v>
      </c>
      <c r="J405" s="82">
        <v>6.65</v>
      </c>
      <c r="K405" s="82">
        <v>8.52</v>
      </c>
      <c r="L405" s="82">
        <v>1.98</v>
      </c>
      <c r="M405" s="82">
        <v>0.11</v>
      </c>
      <c r="N405" s="82">
        <v>1.54</v>
      </c>
      <c r="O405" s="82">
        <v>6.07</v>
      </c>
      <c r="P405" s="82">
        <v>-0.23</v>
      </c>
      <c r="Q405" s="82">
        <v>1.56</v>
      </c>
      <c r="R405" s="82">
        <v>3.94</v>
      </c>
      <c r="S405" s="82">
        <v>2.3</v>
      </c>
      <c r="T405" s="82">
        <v>4.1</v>
      </c>
      <c r="U405" s="82">
        <v>0.58</v>
      </c>
      <c r="V405" s="82">
        <v>0.42</v>
      </c>
      <c r="W405" s="82">
        <v>0.13</v>
      </c>
      <c r="X405" s="82">
        <v>6.46</v>
      </c>
      <c r="Y405" s="82">
        <v>-2.91</v>
      </c>
      <c r="AA405" s="82">
        <v>130.22</v>
      </c>
      <c r="AB405" s="82">
        <v>5.14</v>
      </c>
      <c r="AC405" s="82">
        <v>-0.04</v>
      </c>
      <c r="AD405" s="191">
        <v>2.9139449125E8</v>
      </c>
    </row>
    <row r="406">
      <c r="A406" s="82" t="s">
        <v>452</v>
      </c>
      <c r="B406" s="82">
        <v>40.0</v>
      </c>
      <c r="C406" s="82">
        <v>0.15</v>
      </c>
      <c r="D406" s="82">
        <v>7.79</v>
      </c>
      <c r="E406" s="82">
        <v>0.31</v>
      </c>
      <c r="F406" s="82">
        <v>0.18</v>
      </c>
      <c r="G406" s="82">
        <v>38.88</v>
      </c>
      <c r="H406" s="82">
        <v>23.14</v>
      </c>
      <c r="I406" s="82">
        <v>17.1</v>
      </c>
      <c r="J406" s="82">
        <v>5.75</v>
      </c>
      <c r="K406" s="82">
        <v>8.52</v>
      </c>
      <c r="L406" s="82">
        <v>1.98</v>
      </c>
      <c r="M406" s="82">
        <v>0.11</v>
      </c>
      <c r="N406" s="82">
        <v>1.33</v>
      </c>
      <c r="O406" s="82">
        <v>5.25</v>
      </c>
      <c r="P406" s="82">
        <v>-0.2</v>
      </c>
      <c r="Q406" s="82">
        <v>1.56</v>
      </c>
      <c r="R406" s="82">
        <v>3.94</v>
      </c>
      <c r="S406" s="82">
        <v>2.3</v>
      </c>
      <c r="T406" s="82">
        <v>4.1</v>
      </c>
      <c r="U406" s="82">
        <v>0.58</v>
      </c>
      <c r="V406" s="82">
        <v>0.42</v>
      </c>
      <c r="W406" s="82">
        <v>0.13</v>
      </c>
      <c r="X406" s="82">
        <v>6.46</v>
      </c>
      <c r="Y406" s="82">
        <v>-2.91</v>
      </c>
      <c r="Z406" s="191">
        <v>6023.0</v>
      </c>
      <c r="AA406" s="82">
        <v>130.22</v>
      </c>
      <c r="AB406" s="82">
        <v>5.14</v>
      </c>
      <c r="AC406" s="82">
        <v>-0.04</v>
      </c>
      <c r="AD406" s="191">
        <v>2.9139449125E8</v>
      </c>
    </row>
    <row r="407">
      <c r="A407" s="82" t="s">
        <v>453</v>
      </c>
      <c r="B407" s="82">
        <v>702.5</v>
      </c>
      <c r="D407" s="191">
        <v>1828.65</v>
      </c>
      <c r="E407" s="82">
        <v>249.03</v>
      </c>
      <c r="F407" s="82">
        <v>67.48</v>
      </c>
      <c r="G407" s="82">
        <v>39.77</v>
      </c>
      <c r="H407" s="82">
        <v>27.14</v>
      </c>
      <c r="I407" s="82">
        <v>6.34</v>
      </c>
      <c r="J407" s="82">
        <v>427.07</v>
      </c>
      <c r="K407" s="82">
        <v>430.25</v>
      </c>
      <c r="L407" s="82">
        <v>3.18</v>
      </c>
      <c r="M407" s="82">
        <v>1.85</v>
      </c>
      <c r="N407" s="82">
        <v>115.93</v>
      </c>
      <c r="O407" s="82">
        <v>-536.4</v>
      </c>
      <c r="P407" s="82">
        <v>-86.38</v>
      </c>
      <c r="Q407" s="82">
        <v>0.63</v>
      </c>
      <c r="R407" s="82">
        <v>13.62</v>
      </c>
      <c r="S407" s="82">
        <v>3.69</v>
      </c>
      <c r="T407" s="82">
        <v>15.5</v>
      </c>
      <c r="U407" s="82">
        <v>0.27</v>
      </c>
      <c r="V407" s="82">
        <v>0.73</v>
      </c>
      <c r="W407" s="82">
        <v>0.58</v>
      </c>
      <c r="X407" s="82">
        <v>8.72</v>
      </c>
      <c r="Y407" s="82">
        <v>92.1</v>
      </c>
      <c r="AA407" s="82">
        <v>2.82</v>
      </c>
      <c r="AB407" s="82">
        <v>0.38</v>
      </c>
      <c r="AC407" s="82">
        <v>114.31</v>
      </c>
      <c r="AD407" s="191">
        <v>1.827189855E10</v>
      </c>
    </row>
    <row r="408">
      <c r="A408" s="82" t="s">
        <v>454</v>
      </c>
      <c r="B408" s="82">
        <v>0.0</v>
      </c>
      <c r="D408" s="82">
        <v>0.0</v>
      </c>
      <c r="E408" s="82">
        <v>0.0</v>
      </c>
      <c r="F408" s="82">
        <v>0.0</v>
      </c>
      <c r="G408" s="82">
        <v>-16.12</v>
      </c>
      <c r="H408" s="82">
        <v>-64.07</v>
      </c>
      <c r="I408" s="82">
        <v>-113.09</v>
      </c>
      <c r="J408" s="82">
        <v>0.0</v>
      </c>
      <c r="K408" s="82">
        <v>-1.28</v>
      </c>
      <c r="L408" s="82">
        <v>-1.17</v>
      </c>
      <c r="N408" s="82">
        <v>0.0</v>
      </c>
      <c r="O408" s="82">
        <v>0.0</v>
      </c>
      <c r="P408" s="82">
        <v>0.0</v>
      </c>
      <c r="Q408" s="82">
        <v>0.27</v>
      </c>
      <c r="R408" s="82">
        <v>-725.28</v>
      </c>
      <c r="S408" s="82">
        <v>-74.53</v>
      </c>
      <c r="T408" s="82">
        <v>-104.33</v>
      </c>
      <c r="U408" s="82">
        <v>-0.1</v>
      </c>
      <c r="V408" s="82">
        <v>1.1</v>
      </c>
      <c r="W408" s="82">
        <v>0.66</v>
      </c>
      <c r="X408" s="82">
        <v>-17.44</v>
      </c>
      <c r="AA408" s="82">
        <v>-0.06</v>
      </c>
      <c r="AB408" s="82">
        <v>-0.46</v>
      </c>
      <c r="AC408" s="82">
        <v>0.0</v>
      </c>
      <c r="AD408" s="191">
        <v>3700608.0</v>
      </c>
    </row>
    <row r="409">
      <c r="A409" s="82" t="s">
        <v>455</v>
      </c>
      <c r="B409" s="82">
        <v>23.0</v>
      </c>
      <c r="D409" s="82">
        <v>-49.52</v>
      </c>
      <c r="E409" s="82">
        <v>-359.15</v>
      </c>
      <c r="F409" s="82">
        <v>36.91</v>
      </c>
      <c r="G409" s="82">
        <v>-16.12</v>
      </c>
      <c r="H409" s="82">
        <v>-64.07</v>
      </c>
      <c r="I409" s="82">
        <v>-113.09</v>
      </c>
      <c r="J409" s="82">
        <v>-87.41</v>
      </c>
      <c r="K409" s="82">
        <v>-1.28</v>
      </c>
      <c r="L409" s="82">
        <v>-1.17</v>
      </c>
      <c r="N409" s="82">
        <v>56.0</v>
      </c>
      <c r="O409" s="82">
        <v>-50.93</v>
      </c>
      <c r="P409" s="82">
        <v>-50.15</v>
      </c>
      <c r="Q409" s="82">
        <v>0.27</v>
      </c>
      <c r="R409" s="82">
        <v>-725.28</v>
      </c>
      <c r="S409" s="82">
        <v>-74.53</v>
      </c>
      <c r="T409" s="82">
        <v>-104.33</v>
      </c>
      <c r="U409" s="82">
        <v>-0.1</v>
      </c>
      <c r="V409" s="82">
        <v>1.1</v>
      </c>
      <c r="W409" s="82">
        <v>0.66</v>
      </c>
      <c r="X409" s="82">
        <v>-17.44</v>
      </c>
      <c r="AA409" s="82">
        <v>-0.06</v>
      </c>
      <c r="AB409" s="82">
        <v>-0.46</v>
      </c>
      <c r="AC409" s="82">
        <v>-0.09</v>
      </c>
      <c r="AD409" s="191">
        <v>3700608.0</v>
      </c>
    </row>
    <row r="410">
      <c r="A410" s="82" t="s">
        <v>456</v>
      </c>
      <c r="B410" s="82">
        <v>5.97</v>
      </c>
      <c r="C410" s="82">
        <v>12.69</v>
      </c>
      <c r="D410" s="82">
        <v>7.32</v>
      </c>
      <c r="E410" s="82">
        <v>0.65</v>
      </c>
      <c r="F410" s="82">
        <v>0.29</v>
      </c>
      <c r="G410" s="82">
        <v>21.87</v>
      </c>
      <c r="H410" s="82">
        <v>10.56</v>
      </c>
      <c r="I410" s="82">
        <v>9.48</v>
      </c>
      <c r="J410" s="82">
        <v>6.57</v>
      </c>
      <c r="K410" s="82">
        <v>11.96</v>
      </c>
      <c r="L410" s="82">
        <v>5.43</v>
      </c>
      <c r="M410" s="82">
        <v>0.53</v>
      </c>
      <c r="N410" s="82">
        <v>0.69</v>
      </c>
      <c r="O410" s="82">
        <v>0.56</v>
      </c>
      <c r="P410" s="82">
        <v>-1.72</v>
      </c>
      <c r="Q410" s="82">
        <v>2.65</v>
      </c>
      <c r="R410" s="82">
        <v>8.85</v>
      </c>
      <c r="S410" s="82">
        <v>3.98</v>
      </c>
      <c r="T410" s="82">
        <v>4.62</v>
      </c>
      <c r="U410" s="82">
        <v>0.45</v>
      </c>
      <c r="V410" s="82">
        <v>0.53</v>
      </c>
      <c r="W410" s="82">
        <v>0.42</v>
      </c>
      <c r="X410" s="82">
        <v>69.15</v>
      </c>
      <c r="Z410" s="191">
        <v>9576513.65</v>
      </c>
      <c r="AA410" s="82">
        <v>9.24</v>
      </c>
      <c r="AB410" s="82">
        <v>0.82</v>
      </c>
      <c r="AC410" s="82">
        <v>0.05</v>
      </c>
      <c r="AD410" s="191">
        <v>6.283024308E8</v>
      </c>
    </row>
    <row r="411">
      <c r="A411" s="82" t="s">
        <v>457</v>
      </c>
      <c r="B411" s="82">
        <v>78.4</v>
      </c>
      <c r="C411" s="82">
        <v>1.47</v>
      </c>
      <c r="D411" s="82">
        <v>7.9</v>
      </c>
      <c r="E411" s="82">
        <v>1.6</v>
      </c>
      <c r="F411" s="82">
        <v>1.23</v>
      </c>
      <c r="G411" s="82">
        <v>29.63</v>
      </c>
      <c r="H411" s="82">
        <v>13.88</v>
      </c>
      <c r="I411" s="82">
        <v>13.56</v>
      </c>
      <c r="J411" s="82">
        <v>7.72</v>
      </c>
      <c r="K411" s="82">
        <v>4.78</v>
      </c>
      <c r="L411" s="82">
        <v>-1.4</v>
      </c>
      <c r="M411" s="82">
        <v>-0.29</v>
      </c>
      <c r="N411" s="82">
        <v>1.07</v>
      </c>
      <c r="O411" s="82">
        <v>2.15</v>
      </c>
      <c r="P411" s="82">
        <v>-5.55</v>
      </c>
      <c r="Q411" s="82">
        <v>3.77</v>
      </c>
      <c r="R411" s="82">
        <v>20.2</v>
      </c>
      <c r="S411" s="82">
        <v>15.55</v>
      </c>
      <c r="T411" s="82">
        <v>15.32</v>
      </c>
      <c r="U411" s="82">
        <v>0.77</v>
      </c>
      <c r="V411" s="82">
        <v>0.23</v>
      </c>
      <c r="W411" s="82">
        <v>1.15</v>
      </c>
      <c r="X411" s="82">
        <v>27.16</v>
      </c>
      <c r="Y411" s="82">
        <v>46.0</v>
      </c>
      <c r="Z411" s="191">
        <v>7900.0</v>
      </c>
      <c r="AA411" s="82">
        <v>49.09</v>
      </c>
      <c r="AB411" s="82">
        <v>9.92</v>
      </c>
      <c r="AC411" s="82">
        <v>1.32</v>
      </c>
      <c r="AD411" s="191">
        <v>5.51798832E8</v>
      </c>
    </row>
    <row r="412">
      <c r="A412" s="82" t="s">
        <v>458</v>
      </c>
      <c r="B412" s="82">
        <v>48.4</v>
      </c>
      <c r="C412" s="82">
        <v>2.61</v>
      </c>
      <c r="D412" s="82">
        <v>4.88</v>
      </c>
      <c r="E412" s="82">
        <v>0.99</v>
      </c>
      <c r="F412" s="82">
        <v>0.76</v>
      </c>
      <c r="G412" s="82">
        <v>29.63</v>
      </c>
      <c r="H412" s="82">
        <v>13.88</v>
      </c>
      <c r="I412" s="82">
        <v>13.56</v>
      </c>
      <c r="J412" s="82">
        <v>4.76</v>
      </c>
      <c r="K412" s="82">
        <v>4.78</v>
      </c>
      <c r="L412" s="82">
        <v>-1.4</v>
      </c>
      <c r="M412" s="82">
        <v>-0.29</v>
      </c>
      <c r="N412" s="82">
        <v>0.66</v>
      </c>
      <c r="O412" s="82">
        <v>1.33</v>
      </c>
      <c r="P412" s="82">
        <v>-3.42</v>
      </c>
      <c r="Q412" s="82">
        <v>3.77</v>
      </c>
      <c r="R412" s="82">
        <v>20.2</v>
      </c>
      <c r="S412" s="82">
        <v>15.55</v>
      </c>
      <c r="T412" s="82">
        <v>15.32</v>
      </c>
      <c r="U412" s="82">
        <v>0.77</v>
      </c>
      <c r="V412" s="82">
        <v>0.23</v>
      </c>
      <c r="W412" s="82">
        <v>1.15</v>
      </c>
      <c r="X412" s="82">
        <v>27.16</v>
      </c>
      <c r="Y412" s="82">
        <v>46.0</v>
      </c>
      <c r="Z412" s="191">
        <v>328973.53</v>
      </c>
      <c r="AA412" s="82">
        <v>49.09</v>
      </c>
      <c r="AB412" s="82">
        <v>9.92</v>
      </c>
      <c r="AC412" s="82">
        <v>0.82</v>
      </c>
      <c r="AD412" s="191">
        <v>5.51798832E8</v>
      </c>
    </row>
    <row r="413">
      <c r="A413" s="82" t="s">
        <v>459</v>
      </c>
      <c r="B413" s="82">
        <v>27.95</v>
      </c>
      <c r="C413" s="82">
        <v>2.88</v>
      </c>
      <c r="D413" s="82">
        <v>17.57</v>
      </c>
      <c r="E413" s="82">
        <v>2.44</v>
      </c>
      <c r="F413" s="82">
        <v>1.55</v>
      </c>
      <c r="G413" s="82">
        <v>92.65</v>
      </c>
      <c r="H413" s="82">
        <v>74.87</v>
      </c>
      <c r="I413" s="82">
        <v>48.73</v>
      </c>
      <c r="J413" s="82">
        <v>11.44</v>
      </c>
      <c r="K413" s="82">
        <v>12.67</v>
      </c>
      <c r="L413" s="82">
        <v>1.3</v>
      </c>
      <c r="M413" s="82">
        <v>0.28</v>
      </c>
      <c r="N413" s="82">
        <v>8.56</v>
      </c>
      <c r="O413" s="82">
        <v>105.36</v>
      </c>
      <c r="P413" s="82">
        <v>-1.79</v>
      </c>
      <c r="Q413" s="82">
        <v>1.12</v>
      </c>
      <c r="R413" s="82">
        <v>13.87</v>
      </c>
      <c r="S413" s="82">
        <v>8.84</v>
      </c>
      <c r="T413" s="82">
        <v>14.14</v>
      </c>
      <c r="U413" s="82">
        <v>0.64</v>
      </c>
      <c r="V413" s="82">
        <v>0.36</v>
      </c>
      <c r="W413" s="82">
        <v>0.18</v>
      </c>
      <c r="X413" s="82">
        <v>9.22</v>
      </c>
      <c r="Y413" s="82">
        <v>20.97</v>
      </c>
      <c r="Z413" s="191">
        <v>6.14186808E7</v>
      </c>
      <c r="AA413" s="82">
        <v>11.49</v>
      </c>
      <c r="AB413" s="82">
        <v>1.59</v>
      </c>
      <c r="AC413" s="82">
        <v>0.61</v>
      </c>
      <c r="AD413" s="191">
        <v>1.672518276E10</v>
      </c>
    </row>
    <row r="414">
      <c r="A414" s="82" t="s">
        <v>460</v>
      </c>
      <c r="B414" s="82">
        <v>13.3</v>
      </c>
      <c r="D414" s="82">
        <v>-5.72</v>
      </c>
      <c r="E414" s="82">
        <v>-2.64</v>
      </c>
      <c r="F414" s="82">
        <v>0.1</v>
      </c>
      <c r="G414" s="82">
        <v>13.38</v>
      </c>
      <c r="H414" s="82">
        <v>-3.47</v>
      </c>
      <c r="I414" s="82">
        <v>-1.72</v>
      </c>
      <c r="J414" s="82">
        <v>-2.83</v>
      </c>
      <c r="K414" s="82">
        <v>-9.78</v>
      </c>
      <c r="L414" s="82">
        <v>-7.92</v>
      </c>
      <c r="N414" s="82">
        <v>0.1</v>
      </c>
      <c r="O414" s="82">
        <v>-1.13</v>
      </c>
      <c r="P414" s="82">
        <v>-0.16</v>
      </c>
      <c r="Q414" s="82">
        <v>0.82</v>
      </c>
      <c r="R414" s="82">
        <v>-46.11</v>
      </c>
      <c r="S414" s="82">
        <v>-1.68</v>
      </c>
      <c r="T414" s="82">
        <v>-52.31</v>
      </c>
      <c r="U414" s="82">
        <v>-0.04</v>
      </c>
      <c r="V414" s="82">
        <v>1.04</v>
      </c>
      <c r="W414" s="82">
        <v>0.98</v>
      </c>
      <c r="X414" s="82">
        <v>19.24</v>
      </c>
      <c r="Z414" s="191">
        <v>1993.0</v>
      </c>
      <c r="AA414" s="82">
        <v>-5.05</v>
      </c>
      <c r="AB414" s="82">
        <v>-2.33</v>
      </c>
      <c r="AC414" s="82">
        <v>0.05</v>
      </c>
      <c r="AD414" s="191">
        <v>1.80418263E7</v>
      </c>
    </row>
    <row r="415">
      <c r="A415" s="82" t="s">
        <v>461</v>
      </c>
      <c r="B415" s="82">
        <v>6.5</v>
      </c>
      <c r="D415" s="82">
        <v>-2.79</v>
      </c>
      <c r="E415" s="82">
        <v>-1.29</v>
      </c>
      <c r="F415" s="82">
        <v>0.05</v>
      </c>
      <c r="G415" s="82">
        <v>13.38</v>
      </c>
      <c r="H415" s="82">
        <v>-3.47</v>
      </c>
      <c r="I415" s="82">
        <v>-1.72</v>
      </c>
      <c r="J415" s="82">
        <v>-1.38</v>
      </c>
      <c r="K415" s="82">
        <v>-9.78</v>
      </c>
      <c r="L415" s="82">
        <v>-7.92</v>
      </c>
      <c r="N415" s="82">
        <v>0.05</v>
      </c>
      <c r="O415" s="82">
        <v>-0.55</v>
      </c>
      <c r="P415" s="82">
        <v>-0.08</v>
      </c>
      <c r="Q415" s="82">
        <v>0.82</v>
      </c>
      <c r="R415" s="82">
        <v>-46.11</v>
      </c>
      <c r="S415" s="82">
        <v>-1.68</v>
      </c>
      <c r="T415" s="82">
        <v>-52.31</v>
      </c>
      <c r="U415" s="82">
        <v>-0.04</v>
      </c>
      <c r="V415" s="82">
        <v>1.04</v>
      </c>
      <c r="W415" s="82">
        <v>0.98</v>
      </c>
      <c r="X415" s="82">
        <v>19.24</v>
      </c>
      <c r="Z415" s="191">
        <v>19401.28</v>
      </c>
      <c r="AA415" s="82">
        <v>-5.05</v>
      </c>
      <c r="AB415" s="82">
        <v>-2.33</v>
      </c>
      <c r="AC415" s="82">
        <v>0.02</v>
      </c>
      <c r="AD415" s="191">
        <v>1.80418263E7</v>
      </c>
    </row>
    <row r="416">
      <c r="A416" s="82" t="s">
        <v>462</v>
      </c>
      <c r="B416" s="82">
        <v>12.56</v>
      </c>
      <c r="C416" s="82">
        <v>2.4</v>
      </c>
      <c r="D416" s="82">
        <v>-18.76</v>
      </c>
      <c r="E416" s="82">
        <v>0.5</v>
      </c>
      <c r="F416" s="82">
        <v>0.13</v>
      </c>
      <c r="G416" s="82">
        <v>9.29</v>
      </c>
      <c r="H416" s="82">
        <v>4.96</v>
      </c>
      <c r="I416" s="82">
        <v>-0.66</v>
      </c>
      <c r="J416" s="82">
        <v>2.49</v>
      </c>
      <c r="K416" s="82">
        <v>7.38</v>
      </c>
      <c r="L416" s="82">
        <v>4.92</v>
      </c>
      <c r="M416" s="82">
        <v>0.99</v>
      </c>
      <c r="N416" s="82">
        <v>0.12</v>
      </c>
      <c r="O416" s="82">
        <v>0.66</v>
      </c>
      <c r="P416" s="82">
        <v>-0.27</v>
      </c>
      <c r="Q416" s="82">
        <v>1.58</v>
      </c>
      <c r="R416" s="82">
        <v>-2.68</v>
      </c>
      <c r="S416" s="82">
        <v>-0.68</v>
      </c>
      <c r="T416" s="82">
        <v>5.55</v>
      </c>
      <c r="U416" s="82">
        <v>0.25</v>
      </c>
      <c r="V416" s="82">
        <v>0.72</v>
      </c>
      <c r="W416" s="82">
        <v>1.04</v>
      </c>
      <c r="X416" s="82">
        <v>17.75</v>
      </c>
      <c r="Z416" s="191">
        <v>1.606136865E7</v>
      </c>
      <c r="AA416" s="82">
        <v>24.94</v>
      </c>
      <c r="AB416" s="82">
        <v>-0.67</v>
      </c>
      <c r="AC416" s="82">
        <v>0.16</v>
      </c>
      <c r="AD416" s="191">
        <v>1.91227183644E9</v>
      </c>
    </row>
    <row r="417">
      <c r="A417" s="82" t="s">
        <v>463</v>
      </c>
      <c r="B417" s="82">
        <v>64.37</v>
      </c>
      <c r="D417" s="82">
        <v>11.8</v>
      </c>
      <c r="E417" s="82">
        <v>2.76</v>
      </c>
      <c r="F417" s="82">
        <v>1.15</v>
      </c>
      <c r="G417" s="82">
        <v>41.15</v>
      </c>
      <c r="H417" s="82">
        <v>16.49</v>
      </c>
      <c r="I417" s="82">
        <v>9.34</v>
      </c>
      <c r="J417" s="82">
        <v>6.68</v>
      </c>
      <c r="K417" s="82">
        <v>5.06</v>
      </c>
      <c r="L417" s="82">
        <v>1.17</v>
      </c>
      <c r="M417" s="82">
        <v>0.48</v>
      </c>
      <c r="N417" s="82">
        <v>1.1</v>
      </c>
      <c r="O417" s="82">
        <v>3.2</v>
      </c>
      <c r="P417" s="82">
        <v>-2.87</v>
      </c>
      <c r="Q417" s="82">
        <v>2.52</v>
      </c>
      <c r="R417" s="82">
        <v>23.42</v>
      </c>
      <c r="S417" s="82">
        <v>9.77</v>
      </c>
      <c r="T417" s="82">
        <v>15.89</v>
      </c>
      <c r="U417" s="82">
        <v>0.42</v>
      </c>
      <c r="V417" s="82">
        <v>0.58</v>
      </c>
      <c r="W417" s="82">
        <v>1.05</v>
      </c>
      <c r="X417" s="82">
        <v>7.87</v>
      </c>
      <c r="Y417" s="82">
        <v>35.19</v>
      </c>
      <c r="AA417" s="82">
        <v>23.3</v>
      </c>
      <c r="AB417" s="82">
        <v>5.46</v>
      </c>
      <c r="AC417" s="82">
        <v>-1.14</v>
      </c>
      <c r="AD417" s="191">
        <v>5.0831529242E8</v>
      </c>
    </row>
    <row r="418">
      <c r="A418" s="82" t="s">
        <v>464</v>
      </c>
      <c r="B418" s="82">
        <v>19.02</v>
      </c>
      <c r="D418" s="82">
        <v>3.49</v>
      </c>
      <c r="E418" s="82">
        <v>0.82</v>
      </c>
      <c r="F418" s="82">
        <v>0.34</v>
      </c>
      <c r="G418" s="82">
        <v>41.15</v>
      </c>
      <c r="H418" s="82">
        <v>16.49</v>
      </c>
      <c r="I418" s="82">
        <v>9.34</v>
      </c>
      <c r="J418" s="82">
        <v>1.97</v>
      </c>
      <c r="K418" s="82">
        <v>5.06</v>
      </c>
      <c r="L418" s="82">
        <v>1.17</v>
      </c>
      <c r="M418" s="82">
        <v>0.48</v>
      </c>
      <c r="N418" s="82">
        <v>0.33</v>
      </c>
      <c r="O418" s="82">
        <v>0.94</v>
      </c>
      <c r="P418" s="82">
        <v>-0.85</v>
      </c>
      <c r="Q418" s="82">
        <v>2.52</v>
      </c>
      <c r="R418" s="82">
        <v>23.42</v>
      </c>
      <c r="S418" s="82">
        <v>9.77</v>
      </c>
      <c r="T418" s="82">
        <v>15.89</v>
      </c>
      <c r="U418" s="82">
        <v>0.42</v>
      </c>
      <c r="V418" s="82">
        <v>0.58</v>
      </c>
      <c r="W418" s="82">
        <v>1.05</v>
      </c>
      <c r="X418" s="82">
        <v>7.87</v>
      </c>
      <c r="Y418" s="82">
        <v>35.19</v>
      </c>
      <c r="AA418" s="82">
        <v>23.3</v>
      </c>
      <c r="AB418" s="82">
        <v>5.46</v>
      </c>
      <c r="AC418" s="82">
        <v>-0.34</v>
      </c>
      <c r="AD418" s="191">
        <v>5.0831529242E8</v>
      </c>
    </row>
    <row r="419">
      <c r="A419" s="82" t="s">
        <v>466</v>
      </c>
      <c r="B419" s="82">
        <v>0.0</v>
      </c>
      <c r="D419" s="82">
        <v>0.0</v>
      </c>
      <c r="E419" s="82">
        <v>0.0</v>
      </c>
      <c r="F419" s="82">
        <v>0.0</v>
      </c>
      <c r="G419" s="82">
        <v>42.65</v>
      </c>
      <c r="H419" s="82">
        <v>37.37</v>
      </c>
      <c r="I419" s="82">
        <v>10.96</v>
      </c>
      <c r="J419" s="82">
        <v>0.0</v>
      </c>
      <c r="K419" s="82">
        <v>3.55</v>
      </c>
      <c r="L419" s="82">
        <v>3.55</v>
      </c>
      <c r="M419" s="82">
        <v>4.84</v>
      </c>
      <c r="N419" s="82">
        <v>0.0</v>
      </c>
      <c r="O419" s="82">
        <v>0.0</v>
      </c>
      <c r="P419" s="82">
        <v>0.0</v>
      </c>
      <c r="Q419" s="82">
        <v>2.82</v>
      </c>
      <c r="R419" s="82">
        <v>40.03</v>
      </c>
      <c r="S419" s="82">
        <v>3.38</v>
      </c>
      <c r="T419" s="82">
        <v>9.57</v>
      </c>
      <c r="U419" s="82">
        <v>0.08</v>
      </c>
      <c r="V419" s="82">
        <v>0.7</v>
      </c>
      <c r="W419" s="82">
        <v>0.31</v>
      </c>
      <c r="X419" s="82">
        <v>36.49</v>
      </c>
      <c r="Y419" s="82">
        <v>52.36</v>
      </c>
      <c r="AA419" s="82">
        <v>34.64</v>
      </c>
      <c r="AB419" s="82">
        <v>13.87</v>
      </c>
      <c r="AC419" s="82">
        <v>0.0</v>
      </c>
      <c r="AD419" s="82">
        <v>0.0</v>
      </c>
    </row>
    <row r="420">
      <c r="A420" s="82" t="s">
        <v>468</v>
      </c>
      <c r="B420" s="82">
        <v>52.97</v>
      </c>
      <c r="D420" s="82">
        <v>3.82</v>
      </c>
      <c r="E420" s="82">
        <v>1.53</v>
      </c>
      <c r="F420" s="82">
        <v>0.13</v>
      </c>
      <c r="G420" s="82">
        <v>42.65</v>
      </c>
      <c r="H420" s="82">
        <v>37.37</v>
      </c>
      <c r="I420" s="82">
        <v>10.96</v>
      </c>
      <c r="J420" s="82">
        <v>1.12</v>
      </c>
      <c r="K420" s="82">
        <v>3.55</v>
      </c>
      <c r="L420" s="82">
        <v>3.55</v>
      </c>
      <c r="M420" s="82">
        <v>4.84</v>
      </c>
      <c r="N420" s="82">
        <v>0.42</v>
      </c>
      <c r="O420" s="82">
        <v>0.74</v>
      </c>
      <c r="P420" s="82">
        <v>-0.18</v>
      </c>
      <c r="Q420" s="82">
        <v>2.82</v>
      </c>
      <c r="R420" s="82">
        <v>40.03</v>
      </c>
      <c r="S420" s="82">
        <v>3.38</v>
      </c>
      <c r="T420" s="82">
        <v>9.57</v>
      </c>
      <c r="U420" s="82">
        <v>0.08</v>
      </c>
      <c r="V420" s="82">
        <v>0.7</v>
      </c>
      <c r="W420" s="82">
        <v>0.31</v>
      </c>
      <c r="X420" s="82">
        <v>36.49</v>
      </c>
      <c r="Y420" s="82">
        <v>52.36</v>
      </c>
      <c r="AA420" s="82">
        <v>34.64</v>
      </c>
      <c r="AB420" s="82">
        <v>13.87</v>
      </c>
      <c r="AC420" s="82">
        <v>-0.96</v>
      </c>
      <c r="AD420" s="82">
        <v>0.0</v>
      </c>
    </row>
    <row r="421">
      <c r="A421" s="82" t="s">
        <v>469</v>
      </c>
      <c r="B421" s="82">
        <v>0.0</v>
      </c>
      <c r="D421" s="82">
        <v>0.0</v>
      </c>
      <c r="E421" s="82">
        <v>0.0</v>
      </c>
      <c r="F421" s="82">
        <v>0.0</v>
      </c>
      <c r="G421" s="82">
        <v>42.65</v>
      </c>
      <c r="H421" s="82">
        <v>37.37</v>
      </c>
      <c r="I421" s="82">
        <v>10.96</v>
      </c>
      <c r="J421" s="82">
        <v>0.0</v>
      </c>
      <c r="K421" s="82">
        <v>3.55</v>
      </c>
      <c r="L421" s="82">
        <v>3.55</v>
      </c>
      <c r="M421" s="82">
        <v>4.84</v>
      </c>
      <c r="N421" s="82">
        <v>0.0</v>
      </c>
      <c r="O421" s="82">
        <v>0.0</v>
      </c>
      <c r="P421" s="82">
        <v>0.0</v>
      </c>
      <c r="Q421" s="82">
        <v>2.82</v>
      </c>
      <c r="R421" s="82">
        <v>40.03</v>
      </c>
      <c r="S421" s="82">
        <v>3.38</v>
      </c>
      <c r="T421" s="82">
        <v>9.57</v>
      </c>
      <c r="U421" s="82">
        <v>0.08</v>
      </c>
      <c r="V421" s="82">
        <v>0.7</v>
      </c>
      <c r="W421" s="82">
        <v>0.31</v>
      </c>
      <c r="X421" s="82">
        <v>36.49</v>
      </c>
      <c r="Y421" s="82">
        <v>52.36</v>
      </c>
      <c r="AA421" s="82">
        <v>34.64</v>
      </c>
      <c r="AB421" s="82">
        <v>13.87</v>
      </c>
      <c r="AC421" s="82">
        <v>0.0</v>
      </c>
      <c r="AD421" s="82">
        <v>0.0</v>
      </c>
    </row>
    <row r="422">
      <c r="A422" s="82" t="s">
        <v>470</v>
      </c>
      <c r="B422" s="82">
        <v>20.98</v>
      </c>
      <c r="C422" s="82">
        <v>5.52</v>
      </c>
      <c r="D422" s="82">
        <v>4.91</v>
      </c>
      <c r="E422" s="82">
        <v>0.86</v>
      </c>
      <c r="F422" s="82">
        <v>0.26</v>
      </c>
      <c r="G422" s="82">
        <v>26.13</v>
      </c>
      <c r="H422" s="82">
        <v>21.96</v>
      </c>
      <c r="I422" s="82">
        <v>11.89</v>
      </c>
      <c r="J422" s="82">
        <v>2.65</v>
      </c>
      <c r="K422" s="82">
        <v>6.61</v>
      </c>
      <c r="L422" s="82">
        <v>3.96</v>
      </c>
      <c r="M422" s="82">
        <v>1.29</v>
      </c>
      <c r="N422" s="82">
        <v>0.58</v>
      </c>
      <c r="O422" s="82">
        <v>20.89</v>
      </c>
      <c r="P422" s="82">
        <v>-0.34</v>
      </c>
      <c r="Q422" s="82">
        <v>1.06</v>
      </c>
      <c r="R422" s="82">
        <v>17.61</v>
      </c>
      <c r="S422" s="82">
        <v>5.33</v>
      </c>
      <c r="T422" s="82">
        <v>12.45</v>
      </c>
      <c r="U422" s="82">
        <v>0.3</v>
      </c>
      <c r="V422" s="82">
        <v>0.7</v>
      </c>
      <c r="W422" s="82">
        <v>0.45</v>
      </c>
      <c r="X422" s="82">
        <v>15.85</v>
      </c>
      <c r="Y422" s="82">
        <v>66.47</v>
      </c>
      <c r="Z422" s="191">
        <v>2.35674846E7</v>
      </c>
      <c r="AA422" s="82">
        <v>24.28</v>
      </c>
      <c r="AB422" s="82">
        <v>4.28</v>
      </c>
      <c r="AC422" s="82">
        <v>0.21</v>
      </c>
      <c r="AD422" s="191">
        <v>2.54290523456E10</v>
      </c>
    </row>
    <row r="423">
      <c r="A423" s="82" t="s">
        <v>471</v>
      </c>
      <c r="B423" s="82">
        <v>5.01</v>
      </c>
      <c r="D423" s="82">
        <v>-0.1</v>
      </c>
      <c r="E423" s="82">
        <v>-0.09</v>
      </c>
      <c r="F423" s="82">
        <v>0.1</v>
      </c>
      <c r="G423" s="82">
        <v>86.77</v>
      </c>
      <c r="H423" s="82">
        <v>-85.18</v>
      </c>
      <c r="I423" s="82">
        <v>-147.0</v>
      </c>
      <c r="J423" s="82">
        <v>-0.17</v>
      </c>
      <c r="K423" s="82">
        <v>-0.79</v>
      </c>
      <c r="L423" s="82">
        <v>-0.63</v>
      </c>
      <c r="N423" s="82">
        <v>0.14</v>
      </c>
      <c r="O423" s="82">
        <v>-0.25</v>
      </c>
      <c r="P423" s="82">
        <v>-0.16</v>
      </c>
      <c r="Q423" s="82">
        <v>0.47</v>
      </c>
      <c r="R423" s="82">
        <v>-96.62</v>
      </c>
      <c r="S423" s="82">
        <v>-107.69</v>
      </c>
      <c r="T423" s="82">
        <v>97.23</v>
      </c>
      <c r="U423" s="82">
        <v>-1.11</v>
      </c>
      <c r="V423" s="82">
        <v>2.11</v>
      </c>
      <c r="W423" s="82">
        <v>0.73</v>
      </c>
      <c r="X423" s="82">
        <v>6.18</v>
      </c>
      <c r="Z423" s="191">
        <v>9765.68</v>
      </c>
      <c r="AA423" s="82">
        <v>-53.94</v>
      </c>
      <c r="AB423" s="82">
        <v>-52.12</v>
      </c>
      <c r="AC423" s="82">
        <v>0.0</v>
      </c>
      <c r="AD423" s="191">
        <v>1.330440069E7</v>
      </c>
    </row>
    <row r="424">
      <c r="A424" s="82" t="s">
        <v>472</v>
      </c>
      <c r="B424" s="82">
        <v>1.25</v>
      </c>
      <c r="C424" s="82">
        <v>1.18</v>
      </c>
      <c r="D424" s="82">
        <v>32.2</v>
      </c>
      <c r="E424" s="82">
        <v>0.65</v>
      </c>
      <c r="F424" s="82">
        <v>0.44</v>
      </c>
      <c r="G424" s="82">
        <v>63.47</v>
      </c>
      <c r="H424" s="82">
        <v>-5.34</v>
      </c>
      <c r="I424" s="82">
        <v>3.42</v>
      </c>
      <c r="J424" s="82">
        <v>-20.62</v>
      </c>
      <c r="K424" s="82">
        <v>-9.04</v>
      </c>
      <c r="L424" s="82">
        <v>11.58</v>
      </c>
      <c r="M424" s="82">
        <v>-0.37</v>
      </c>
      <c r="N424" s="82">
        <v>1.1</v>
      </c>
      <c r="O424" s="82">
        <v>1.8</v>
      </c>
      <c r="P424" s="82">
        <v>-0.78</v>
      </c>
      <c r="Q424" s="82">
        <v>2.37</v>
      </c>
      <c r="R424" s="82">
        <v>2.03</v>
      </c>
      <c r="S424" s="82">
        <v>1.38</v>
      </c>
      <c r="T424" s="82">
        <v>-4.51</v>
      </c>
      <c r="U424" s="82">
        <v>0.68</v>
      </c>
      <c r="V424" s="82">
        <v>0.32</v>
      </c>
      <c r="W424" s="82">
        <v>0.4</v>
      </c>
      <c r="X424" s="82">
        <v>10.18</v>
      </c>
      <c r="Y424" s="82">
        <v>3.51</v>
      </c>
      <c r="Z424" s="191">
        <v>493441.45</v>
      </c>
      <c r="AA424" s="82">
        <v>1.91</v>
      </c>
      <c r="AB424" s="82">
        <v>0.04</v>
      </c>
      <c r="AC424" s="82">
        <v>0.07</v>
      </c>
      <c r="AD424" s="191">
        <v>2.983279125E8</v>
      </c>
    </row>
    <row r="425">
      <c r="A425" s="82" t="s">
        <v>1771</v>
      </c>
      <c r="B425" s="82">
        <v>4.93</v>
      </c>
      <c r="D425" s="82">
        <v>83.47</v>
      </c>
      <c r="E425" s="82">
        <v>0.87</v>
      </c>
      <c r="F425" s="82">
        <v>0.82</v>
      </c>
      <c r="G425" s="82">
        <v>91.84</v>
      </c>
      <c r="H425" s="82">
        <v>-44.7</v>
      </c>
      <c r="I425" s="82">
        <v>4.92</v>
      </c>
      <c r="J425" s="82">
        <v>-9.18</v>
      </c>
      <c r="K425" s="82">
        <v>1.0</v>
      </c>
      <c r="L425" s="82">
        <v>10.18</v>
      </c>
      <c r="M425" s="82">
        <v>-0.97</v>
      </c>
      <c r="N425" s="82">
        <v>4.1</v>
      </c>
      <c r="O425" s="82">
        <v>0.93</v>
      </c>
      <c r="P425" s="82">
        <v>-13.64</v>
      </c>
      <c r="Q425" s="82">
        <v>16.07</v>
      </c>
      <c r="R425" s="82">
        <v>1.05</v>
      </c>
      <c r="S425" s="82">
        <v>0.98</v>
      </c>
      <c r="T425" s="82">
        <v>-10.12</v>
      </c>
      <c r="U425" s="82">
        <v>0.94</v>
      </c>
      <c r="V425" s="82">
        <v>0.06</v>
      </c>
      <c r="W425" s="82">
        <v>0.2</v>
      </c>
      <c r="Z425" s="191">
        <v>576187.9</v>
      </c>
      <c r="AA425" s="82">
        <v>5.61</v>
      </c>
      <c r="AB425" s="82">
        <v>0.06</v>
      </c>
      <c r="AC425" s="82">
        <v>-0.74</v>
      </c>
      <c r="AD425" s="191">
        <v>2.4941335347E8</v>
      </c>
    </row>
    <row r="426">
      <c r="A426" s="82" t="s">
        <v>473</v>
      </c>
      <c r="B426" s="82">
        <v>3.3</v>
      </c>
      <c r="D426" s="82">
        <v>-2.91</v>
      </c>
      <c r="E426" s="82">
        <v>-0.14</v>
      </c>
      <c r="F426" s="82">
        <v>1.18</v>
      </c>
      <c r="G426" s="82">
        <v>91.45</v>
      </c>
      <c r="H426" s="82">
        <v>211.48</v>
      </c>
      <c r="I426" s="82">
        <v>-332.85</v>
      </c>
      <c r="J426" s="82">
        <v>4.58</v>
      </c>
      <c r="K426" s="82">
        <v>12.53</v>
      </c>
      <c r="L426" s="82">
        <v>7.95</v>
      </c>
      <c r="N426" s="82">
        <v>9.69</v>
      </c>
      <c r="O426" s="82">
        <v>-0.14</v>
      </c>
      <c r="P426" s="82">
        <v>-1.28</v>
      </c>
      <c r="Q426" s="82">
        <v>0.01</v>
      </c>
      <c r="R426" s="82">
        <v>-4.8</v>
      </c>
      <c r="S426" s="82">
        <v>-40.38</v>
      </c>
      <c r="T426" s="82">
        <v>-4.03</v>
      </c>
      <c r="U426" s="82">
        <v>-8.41</v>
      </c>
      <c r="V426" s="82">
        <v>9.41</v>
      </c>
      <c r="W426" s="82">
        <v>0.12</v>
      </c>
      <c r="X426" s="82">
        <v>23.27</v>
      </c>
      <c r="Z426" s="82">
        <v>768.13</v>
      </c>
      <c r="AA426" s="82">
        <v>-23.62</v>
      </c>
      <c r="AB426" s="82">
        <v>-1.13</v>
      </c>
      <c r="AC426" s="82">
        <v>0.44</v>
      </c>
      <c r="AD426" s="191">
        <v>2.18509038E7</v>
      </c>
    </row>
    <row r="427">
      <c r="A427" s="82" t="s">
        <v>474</v>
      </c>
      <c r="B427" s="82">
        <v>0.0</v>
      </c>
      <c r="D427" s="82">
        <v>0.0</v>
      </c>
      <c r="E427" s="82">
        <v>0.0</v>
      </c>
      <c r="F427" s="82">
        <v>0.0</v>
      </c>
      <c r="G427" s="82">
        <v>27.82</v>
      </c>
      <c r="H427" s="82">
        <v>17.1</v>
      </c>
      <c r="I427" s="82">
        <v>18.21</v>
      </c>
      <c r="J427" s="82">
        <v>0.0</v>
      </c>
      <c r="K427" s="82">
        <v>0.32</v>
      </c>
      <c r="L427" s="82">
        <v>0.32</v>
      </c>
      <c r="M427" s="82">
        <v>0.05</v>
      </c>
      <c r="N427" s="82">
        <v>0.0</v>
      </c>
      <c r="O427" s="82">
        <v>0.0</v>
      </c>
      <c r="P427" s="82">
        <v>0.0</v>
      </c>
      <c r="Q427" s="82">
        <v>4.82</v>
      </c>
      <c r="R427" s="82">
        <v>17.37</v>
      </c>
      <c r="S427" s="82">
        <v>12.36</v>
      </c>
      <c r="T427" s="82">
        <v>12.35</v>
      </c>
      <c r="U427" s="82">
        <v>0.71</v>
      </c>
      <c r="V427" s="82">
        <v>0.29</v>
      </c>
      <c r="W427" s="82">
        <v>0.68</v>
      </c>
      <c r="X427" s="82">
        <v>9.53</v>
      </c>
      <c r="Y427" s="82">
        <v>24.53</v>
      </c>
      <c r="AA427" s="82">
        <v>19.95</v>
      </c>
      <c r="AB427" s="82">
        <v>3.46</v>
      </c>
      <c r="AC427" s="82">
        <v>0.0</v>
      </c>
      <c r="AD427" s="82">
        <v>0.0</v>
      </c>
    </row>
    <row r="428">
      <c r="A428" s="82" t="s">
        <v>475</v>
      </c>
      <c r="B428" s="82">
        <v>16.78</v>
      </c>
      <c r="D428" s="82">
        <v>4.91</v>
      </c>
      <c r="E428" s="82">
        <v>0.83</v>
      </c>
      <c r="F428" s="82">
        <v>0.46</v>
      </c>
      <c r="G428" s="82">
        <v>64.98</v>
      </c>
      <c r="H428" s="82">
        <v>-0.93</v>
      </c>
      <c r="I428" s="82">
        <v>14.39</v>
      </c>
      <c r="J428" s="82">
        <v>-76.24</v>
      </c>
      <c r="K428" s="82">
        <v>-73.91</v>
      </c>
      <c r="L428" s="82">
        <v>1.84</v>
      </c>
      <c r="M428" s="82">
        <v>-0.02</v>
      </c>
      <c r="N428" s="82">
        <v>0.71</v>
      </c>
      <c r="O428" s="82">
        <v>2.97</v>
      </c>
      <c r="P428" s="82">
        <v>-0.7</v>
      </c>
      <c r="Q428" s="82">
        <v>1.82</v>
      </c>
      <c r="R428" s="82">
        <v>16.95</v>
      </c>
      <c r="S428" s="82">
        <v>9.39</v>
      </c>
      <c r="T428" s="82">
        <v>-3.13</v>
      </c>
      <c r="U428" s="82">
        <v>0.55</v>
      </c>
      <c r="V428" s="82">
        <v>0.45</v>
      </c>
      <c r="W428" s="82">
        <v>0.65</v>
      </c>
      <c r="X428" s="82">
        <v>29.83</v>
      </c>
      <c r="Y428" s="82">
        <v>47.94</v>
      </c>
      <c r="Z428" s="191">
        <v>1.563587854E8</v>
      </c>
      <c r="AA428" s="82">
        <v>20.21</v>
      </c>
      <c r="AB428" s="82">
        <v>3.43</v>
      </c>
      <c r="AC428" s="82">
        <v>-0.01</v>
      </c>
      <c r="AD428" s="191">
        <v>2.31603627022E10</v>
      </c>
    </row>
    <row r="429">
      <c r="A429" s="82" t="s">
        <v>476</v>
      </c>
      <c r="B429" s="82">
        <v>4.2</v>
      </c>
      <c r="D429" s="82">
        <v>14.92</v>
      </c>
      <c r="E429" s="82">
        <v>1.74</v>
      </c>
      <c r="F429" s="82">
        <v>0.54</v>
      </c>
      <c r="G429" s="82">
        <v>16.12</v>
      </c>
      <c r="H429" s="82">
        <v>6.42</v>
      </c>
      <c r="I429" s="82">
        <v>2.33</v>
      </c>
      <c r="J429" s="82">
        <v>5.41</v>
      </c>
      <c r="K429" s="82">
        <v>5.97</v>
      </c>
      <c r="L429" s="82">
        <v>0.57</v>
      </c>
      <c r="M429" s="82">
        <v>0.18</v>
      </c>
      <c r="N429" s="82">
        <v>0.35</v>
      </c>
      <c r="O429" s="82">
        <v>1.63</v>
      </c>
      <c r="P429" s="82">
        <v>-1.74</v>
      </c>
      <c r="Q429" s="82">
        <v>1.94</v>
      </c>
      <c r="R429" s="82">
        <v>11.63</v>
      </c>
      <c r="S429" s="82">
        <v>3.63</v>
      </c>
      <c r="T429" s="82">
        <v>21.12</v>
      </c>
      <c r="U429" s="82">
        <v>0.31</v>
      </c>
      <c r="V429" s="82">
        <v>0.69</v>
      </c>
      <c r="W429" s="82">
        <v>1.56</v>
      </c>
      <c r="X429" s="82">
        <v>36.34</v>
      </c>
      <c r="Z429" s="191">
        <v>19292.6</v>
      </c>
      <c r="AA429" s="82">
        <v>2.48</v>
      </c>
      <c r="AB429" s="82">
        <v>0.29</v>
      </c>
      <c r="AC429" s="82">
        <v>-0.27</v>
      </c>
      <c r="AD429" s="191">
        <v>5.695092E7</v>
      </c>
    </row>
    <row r="430">
      <c r="A430" s="82" t="s">
        <v>479</v>
      </c>
      <c r="B430" s="82">
        <v>98.91</v>
      </c>
      <c r="C430" s="82">
        <v>1.19</v>
      </c>
      <c r="D430" s="82">
        <v>7.44</v>
      </c>
      <c r="E430" s="82">
        <v>2.24</v>
      </c>
      <c r="F430" s="82">
        <v>1.27</v>
      </c>
      <c r="G430" s="82">
        <v>30.41</v>
      </c>
      <c r="H430" s="82">
        <v>18.23</v>
      </c>
      <c r="I430" s="82">
        <v>14.52</v>
      </c>
      <c r="J430" s="82">
        <v>5.93</v>
      </c>
      <c r="K430" s="82">
        <v>6.57</v>
      </c>
      <c r="L430" s="82">
        <v>0.65</v>
      </c>
      <c r="M430" s="82">
        <v>0.24</v>
      </c>
      <c r="N430" s="82">
        <v>1.08</v>
      </c>
      <c r="O430" s="82">
        <v>2.58</v>
      </c>
      <c r="P430" s="82">
        <v>-4.42</v>
      </c>
      <c r="Q430" s="82">
        <v>3.21</v>
      </c>
      <c r="R430" s="82">
        <v>30.11</v>
      </c>
      <c r="S430" s="82">
        <v>17.04</v>
      </c>
      <c r="T430" s="82">
        <v>24.81</v>
      </c>
      <c r="U430" s="82">
        <v>0.57</v>
      </c>
      <c r="V430" s="82">
        <v>0.43</v>
      </c>
      <c r="W430" s="82">
        <v>1.17</v>
      </c>
      <c r="X430" s="82">
        <v>18.87</v>
      </c>
      <c r="Y430" s="82">
        <v>54.31</v>
      </c>
      <c r="Z430" s="191">
        <v>9450.5</v>
      </c>
      <c r="AA430" s="82">
        <v>44.13</v>
      </c>
      <c r="AB430" s="82">
        <v>13.29</v>
      </c>
      <c r="AC430" s="82">
        <v>0.1</v>
      </c>
      <c r="AD430" s="191">
        <v>1.11640765446E9</v>
      </c>
    </row>
    <row r="431">
      <c r="A431" s="82" t="s">
        <v>480</v>
      </c>
      <c r="B431" s="82">
        <v>11.21</v>
      </c>
      <c r="C431" s="82">
        <v>2.28</v>
      </c>
      <c r="D431" s="82">
        <v>12.58</v>
      </c>
      <c r="E431" s="82">
        <v>4.22</v>
      </c>
      <c r="F431" s="82">
        <v>2.98</v>
      </c>
      <c r="G431" s="82">
        <v>40.91</v>
      </c>
      <c r="H431" s="82">
        <v>28.94</v>
      </c>
      <c r="I431" s="82">
        <v>23.34</v>
      </c>
      <c r="J431" s="82">
        <v>10.15</v>
      </c>
      <c r="K431" s="82">
        <v>9.52</v>
      </c>
      <c r="L431" s="82">
        <v>-0.57</v>
      </c>
      <c r="M431" s="82">
        <v>-0.24</v>
      </c>
      <c r="N431" s="82">
        <v>2.94</v>
      </c>
      <c r="O431" s="82">
        <v>-153.41</v>
      </c>
      <c r="P431" s="82">
        <v>-3.81</v>
      </c>
      <c r="Q431" s="82">
        <v>0.92</v>
      </c>
      <c r="R431" s="82">
        <v>33.5</v>
      </c>
      <c r="S431" s="82">
        <v>23.65</v>
      </c>
      <c r="T431" s="82">
        <v>27.76</v>
      </c>
      <c r="U431" s="82">
        <v>0.71</v>
      </c>
      <c r="V431" s="82">
        <v>0.29</v>
      </c>
      <c r="W431" s="82">
        <v>1.01</v>
      </c>
      <c r="X431" s="82">
        <v>5.77</v>
      </c>
      <c r="Y431" s="82">
        <v>-0.45</v>
      </c>
      <c r="Z431" s="191">
        <v>1.15166547E7</v>
      </c>
      <c r="AA431" s="82">
        <v>2.66</v>
      </c>
      <c r="AB431" s="82">
        <v>0.89</v>
      </c>
      <c r="AC431" s="82">
        <v>0.45</v>
      </c>
      <c r="AD431" s="191">
        <v>6.15480168582E9</v>
      </c>
    </row>
    <row r="432">
      <c r="A432" s="82" t="s">
        <v>481</v>
      </c>
      <c r="B432" s="82">
        <v>25.27</v>
      </c>
      <c r="C432" s="82">
        <v>0.78</v>
      </c>
      <c r="D432" s="82">
        <v>-58.37</v>
      </c>
      <c r="E432" s="82">
        <v>2.04</v>
      </c>
      <c r="F432" s="82">
        <v>1.07</v>
      </c>
      <c r="G432" s="82">
        <v>48.31</v>
      </c>
      <c r="H432" s="82">
        <v>11.04</v>
      </c>
      <c r="I432" s="82">
        <v>-2.37</v>
      </c>
      <c r="J432" s="82">
        <v>12.53</v>
      </c>
      <c r="K432" s="82">
        <v>13.31</v>
      </c>
      <c r="L432" s="82">
        <v>0.79</v>
      </c>
      <c r="M432" s="82">
        <v>0.13</v>
      </c>
      <c r="N432" s="82">
        <v>1.38</v>
      </c>
      <c r="O432" s="82">
        <v>2.81</v>
      </c>
      <c r="P432" s="82">
        <v>-2.94</v>
      </c>
      <c r="Q432" s="82">
        <v>2.51</v>
      </c>
      <c r="R432" s="82">
        <v>-3.49</v>
      </c>
      <c r="S432" s="82">
        <v>-1.84</v>
      </c>
      <c r="T432" s="82">
        <v>0.96</v>
      </c>
      <c r="U432" s="82">
        <v>0.53</v>
      </c>
      <c r="V432" s="82">
        <v>0.47</v>
      </c>
      <c r="W432" s="82">
        <v>0.78</v>
      </c>
      <c r="X432" s="82">
        <v>15.56</v>
      </c>
      <c r="Z432" s="191">
        <v>301086.05</v>
      </c>
      <c r="AA432" s="82">
        <v>12.41</v>
      </c>
      <c r="AB432" s="82">
        <v>-0.43</v>
      </c>
      <c r="AC432" s="82">
        <v>0.49</v>
      </c>
      <c r="AD432" s="191">
        <v>1.36329138162E9</v>
      </c>
    </row>
    <row r="433">
      <c r="A433" s="82" t="s">
        <v>482</v>
      </c>
      <c r="B433" s="82">
        <v>1.63</v>
      </c>
      <c r="D433" s="82">
        <v>-2.15</v>
      </c>
      <c r="E433" s="82">
        <v>-0.98</v>
      </c>
      <c r="F433" s="82">
        <v>0.92</v>
      </c>
      <c r="J433" s="82">
        <v>-9.26</v>
      </c>
      <c r="K433" s="82">
        <v>-9.26</v>
      </c>
      <c r="L433" s="82">
        <v>0.0</v>
      </c>
      <c r="O433" s="82">
        <v>-0.98</v>
      </c>
      <c r="Q433" s="82">
        <v>0.51</v>
      </c>
      <c r="R433" s="82">
        <v>-45.53</v>
      </c>
      <c r="S433" s="82">
        <v>-43.02</v>
      </c>
      <c r="T433" s="82">
        <v>10.57</v>
      </c>
      <c r="U433" s="82">
        <v>-0.94</v>
      </c>
      <c r="V433" s="82">
        <v>1.94</v>
      </c>
      <c r="W433" s="82">
        <v>0.0</v>
      </c>
      <c r="AA433" s="82">
        <v>-1.67</v>
      </c>
      <c r="AB433" s="82">
        <v>-0.76</v>
      </c>
      <c r="AC433" s="82">
        <v>0.02</v>
      </c>
      <c r="AD433" s="191">
        <v>5.274707384E7</v>
      </c>
    </row>
    <row r="434">
      <c r="A434" s="82" t="s">
        <v>483</v>
      </c>
      <c r="B434" s="82">
        <v>0.65</v>
      </c>
      <c r="D434" s="82">
        <v>-0.02</v>
      </c>
      <c r="E434" s="82">
        <v>-0.02</v>
      </c>
      <c r="F434" s="82">
        <v>0.01</v>
      </c>
      <c r="G434" s="82">
        <v>-3.74</v>
      </c>
      <c r="H434" s="82">
        <v>-173.59</v>
      </c>
      <c r="I434" s="82">
        <v>-224.73</v>
      </c>
      <c r="J434" s="82">
        <v>-0.02</v>
      </c>
      <c r="K434" s="82">
        <v>-1.33</v>
      </c>
      <c r="L434" s="82">
        <v>-1.3</v>
      </c>
      <c r="N434" s="82">
        <v>0.04</v>
      </c>
      <c r="O434" s="82">
        <v>-0.11</v>
      </c>
      <c r="P434" s="82">
        <v>-0.02</v>
      </c>
      <c r="Q434" s="82">
        <v>0.72</v>
      </c>
      <c r="R434" s="82">
        <v>-84.29</v>
      </c>
      <c r="S434" s="82">
        <v>-76.06</v>
      </c>
      <c r="T434" s="191">
        <v>1223.14</v>
      </c>
      <c r="U434" s="82">
        <v>-0.9</v>
      </c>
      <c r="V434" s="82">
        <v>1.9</v>
      </c>
      <c r="W434" s="82">
        <v>0.34</v>
      </c>
      <c r="X434" s="82">
        <v>-15.11</v>
      </c>
      <c r="Z434" s="191">
        <v>2571351.35</v>
      </c>
      <c r="AA434" s="82">
        <v>-40.62</v>
      </c>
      <c r="AB434" s="82">
        <v>-34.24</v>
      </c>
      <c r="AC434" s="82">
        <v>0.0</v>
      </c>
      <c r="AD434" s="191">
        <v>4.3820939356E8</v>
      </c>
    </row>
    <row r="435">
      <c r="A435" s="82" t="s">
        <v>484</v>
      </c>
      <c r="B435" s="82">
        <v>1.63</v>
      </c>
      <c r="D435" s="82">
        <v>-0.05</v>
      </c>
      <c r="E435" s="82">
        <v>-0.04</v>
      </c>
      <c r="F435" s="82">
        <v>0.04</v>
      </c>
      <c r="G435" s="82">
        <v>-3.74</v>
      </c>
      <c r="H435" s="82">
        <v>-173.59</v>
      </c>
      <c r="I435" s="82">
        <v>-224.73</v>
      </c>
      <c r="J435" s="82">
        <v>-0.06</v>
      </c>
      <c r="K435" s="82">
        <v>-1.33</v>
      </c>
      <c r="L435" s="82">
        <v>-1.3</v>
      </c>
      <c r="N435" s="82">
        <v>0.11</v>
      </c>
      <c r="O435" s="82">
        <v>-0.27</v>
      </c>
      <c r="P435" s="82">
        <v>-0.05</v>
      </c>
      <c r="Q435" s="82">
        <v>0.72</v>
      </c>
      <c r="R435" s="82">
        <v>-84.29</v>
      </c>
      <c r="S435" s="82">
        <v>-76.06</v>
      </c>
      <c r="T435" s="191">
        <v>1223.14</v>
      </c>
      <c r="U435" s="82">
        <v>-0.9</v>
      </c>
      <c r="V435" s="82">
        <v>1.9</v>
      </c>
      <c r="W435" s="82">
        <v>0.34</v>
      </c>
      <c r="X435" s="82">
        <v>-15.11</v>
      </c>
      <c r="Z435" s="191">
        <v>53205.75</v>
      </c>
      <c r="AA435" s="82">
        <v>-40.62</v>
      </c>
      <c r="AB435" s="82">
        <v>-34.24</v>
      </c>
      <c r="AC435" s="82">
        <v>0.0</v>
      </c>
      <c r="AD435" s="191">
        <v>4.3820939356E8</v>
      </c>
    </row>
    <row r="436">
      <c r="A436" s="82" t="s">
        <v>485</v>
      </c>
      <c r="B436" s="82">
        <v>27.57</v>
      </c>
      <c r="D436" s="82">
        <v>60.97</v>
      </c>
      <c r="E436" s="191">
        <v>1294.14</v>
      </c>
      <c r="F436" s="82">
        <v>443.36</v>
      </c>
      <c r="G436" s="82">
        <v>28.35</v>
      </c>
      <c r="H436" s="82">
        <v>29.22</v>
      </c>
      <c r="I436" s="82">
        <v>7.11</v>
      </c>
      <c r="J436" s="82">
        <v>14.84</v>
      </c>
      <c r="K436" s="82">
        <v>14.86</v>
      </c>
      <c r="L436" s="82">
        <v>0.01</v>
      </c>
      <c r="M436" s="82">
        <v>1.1</v>
      </c>
      <c r="N436" s="82">
        <v>4.34</v>
      </c>
      <c r="O436" s="191">
        <v>17603.37</v>
      </c>
      <c r="P436" s="82">
        <v>-525.74</v>
      </c>
      <c r="Q436" s="82">
        <v>1.19</v>
      </c>
      <c r="R436" s="191">
        <v>2122.56</v>
      </c>
      <c r="S436" s="82">
        <v>727.18</v>
      </c>
      <c r="T436" s="191">
        <v>3736.63</v>
      </c>
      <c r="U436" s="82">
        <v>0.34</v>
      </c>
      <c r="V436" s="82">
        <v>0.66</v>
      </c>
      <c r="W436" s="82">
        <v>102.22</v>
      </c>
      <c r="X436" s="82">
        <v>34.84</v>
      </c>
      <c r="Y436" s="82">
        <v>-2.04</v>
      </c>
      <c r="AA436" s="82">
        <v>0.02</v>
      </c>
      <c r="AB436" s="82">
        <v>0.45</v>
      </c>
      <c r="AC436" s="82">
        <v>-0.75</v>
      </c>
      <c r="AD436" s="191">
        <v>5.52156258885E9</v>
      </c>
    </row>
    <row r="437">
      <c r="A437" s="82" t="s">
        <v>486</v>
      </c>
      <c r="B437" s="82">
        <v>12.53</v>
      </c>
      <c r="D437" s="82">
        <v>30.14</v>
      </c>
      <c r="E437" s="82">
        <v>2.98</v>
      </c>
      <c r="F437" s="82">
        <v>0.77</v>
      </c>
      <c r="G437" s="82">
        <v>35.93</v>
      </c>
      <c r="H437" s="82">
        <v>14.63</v>
      </c>
      <c r="I437" s="82">
        <v>4.16</v>
      </c>
      <c r="J437" s="82">
        <v>8.57</v>
      </c>
      <c r="K437" s="82">
        <v>12.4</v>
      </c>
      <c r="L437" s="82">
        <v>3.91</v>
      </c>
      <c r="M437" s="82">
        <v>1.36</v>
      </c>
      <c r="N437" s="82">
        <v>1.25</v>
      </c>
      <c r="O437" s="82">
        <v>7.58</v>
      </c>
      <c r="P437" s="82">
        <v>-1.12</v>
      </c>
      <c r="Q437" s="82">
        <v>1.48</v>
      </c>
      <c r="R437" s="82">
        <v>9.9</v>
      </c>
      <c r="S437" s="82">
        <v>2.55</v>
      </c>
      <c r="T437" s="82">
        <v>11.13</v>
      </c>
      <c r="U437" s="82">
        <v>0.26</v>
      </c>
      <c r="V437" s="82">
        <v>0.69</v>
      </c>
      <c r="W437" s="82">
        <v>0.61</v>
      </c>
      <c r="Z437" s="191">
        <v>2.79724431E7</v>
      </c>
      <c r="AA437" s="82">
        <v>4.2</v>
      </c>
      <c r="AB437" s="82">
        <v>0.42</v>
      </c>
      <c r="AC437" s="82">
        <v>-0.01</v>
      </c>
      <c r="AD437" s="191">
        <v>6.55132144716E9</v>
      </c>
    </row>
    <row r="438">
      <c r="A438" s="82" t="s">
        <v>487</v>
      </c>
      <c r="B438" s="82">
        <v>6.07</v>
      </c>
      <c r="D438" s="82">
        <v>14.8</v>
      </c>
      <c r="E438" s="82">
        <v>1.52</v>
      </c>
      <c r="F438" s="82">
        <v>0.5</v>
      </c>
      <c r="G438" s="82">
        <v>22.65</v>
      </c>
      <c r="H438" s="82">
        <v>16.79</v>
      </c>
      <c r="I438" s="82">
        <v>5.27</v>
      </c>
      <c r="J438" s="82">
        <v>4.65</v>
      </c>
      <c r="K438" s="82">
        <v>8.4</v>
      </c>
      <c r="L438" s="82">
        <v>3.77</v>
      </c>
      <c r="M438" s="82">
        <v>1.23</v>
      </c>
      <c r="N438" s="82">
        <v>0.78</v>
      </c>
      <c r="O438" s="82">
        <v>5.81</v>
      </c>
      <c r="P438" s="82">
        <v>-0.71</v>
      </c>
      <c r="Q438" s="82">
        <v>1.41</v>
      </c>
      <c r="R438" s="82">
        <v>10.27</v>
      </c>
      <c r="S438" s="82">
        <v>3.37</v>
      </c>
      <c r="T438" s="82">
        <v>11.91</v>
      </c>
      <c r="U438" s="82">
        <v>0.33</v>
      </c>
      <c r="V438" s="82">
        <v>0.67</v>
      </c>
      <c r="W438" s="82">
        <v>0.64</v>
      </c>
      <c r="X438" s="82">
        <v>47.73</v>
      </c>
      <c r="Y438" s="82">
        <v>62.06</v>
      </c>
      <c r="Z438" s="191">
        <v>3737396.4</v>
      </c>
      <c r="AA438" s="82">
        <v>3.97</v>
      </c>
      <c r="AB438" s="82">
        <v>0.41</v>
      </c>
      <c r="AC438" s="82">
        <v>-0.09</v>
      </c>
      <c r="AD438" s="191">
        <v>1.20375651508E9</v>
      </c>
    </row>
    <row r="439">
      <c r="A439" s="82" t="s">
        <v>488</v>
      </c>
      <c r="B439" s="82">
        <v>35.79</v>
      </c>
      <c r="D439" s="82">
        <v>-23.57</v>
      </c>
      <c r="E439" s="82">
        <v>4.75</v>
      </c>
      <c r="F439" s="82">
        <v>1.31</v>
      </c>
      <c r="G439" s="82">
        <v>30.63</v>
      </c>
      <c r="H439" s="82">
        <v>17.55</v>
      </c>
      <c r="I439" s="82">
        <v>-16.46</v>
      </c>
      <c r="J439" s="82">
        <v>22.1</v>
      </c>
      <c r="K439" s="82">
        <v>29.05</v>
      </c>
      <c r="L439" s="82">
        <v>7.11</v>
      </c>
      <c r="M439" s="82">
        <v>1.53</v>
      </c>
      <c r="N439" s="82">
        <v>3.88</v>
      </c>
      <c r="O439" s="82">
        <v>8.82</v>
      </c>
      <c r="P439" s="82">
        <v>-1.8</v>
      </c>
      <c r="Q439" s="82">
        <v>2.22</v>
      </c>
      <c r="R439" s="82">
        <v>-20.17</v>
      </c>
      <c r="S439" s="82">
        <v>-5.56</v>
      </c>
      <c r="T439" s="82">
        <v>5.58</v>
      </c>
      <c r="U439" s="82">
        <v>0.28</v>
      </c>
      <c r="V439" s="82">
        <v>0.7</v>
      </c>
      <c r="W439" s="82">
        <v>0.34</v>
      </c>
      <c r="X439" s="82">
        <v>22.01</v>
      </c>
      <c r="Z439" s="191">
        <v>1.635875515E7</v>
      </c>
      <c r="AA439" s="82">
        <v>7.44</v>
      </c>
      <c r="AB439" s="82">
        <v>-1.5</v>
      </c>
      <c r="AC439" s="82">
        <v>-0.45</v>
      </c>
      <c r="AD439" s="191">
        <v>2.91406473057E9</v>
      </c>
    </row>
    <row r="440">
      <c r="A440" s="82" t="s">
        <v>489</v>
      </c>
      <c r="B440" s="82">
        <v>4.27</v>
      </c>
      <c r="D440" s="82">
        <v>-0.04</v>
      </c>
      <c r="E440" s="82">
        <v>0.0</v>
      </c>
      <c r="F440" s="82">
        <v>0.0</v>
      </c>
      <c r="G440" s="82">
        <v>90.64</v>
      </c>
      <c r="H440" s="191">
        <v>1360.32</v>
      </c>
      <c r="I440" s="82">
        <v>-767.58</v>
      </c>
      <c r="J440" s="82">
        <v>0.02</v>
      </c>
      <c r="K440" s="82">
        <v>10.15</v>
      </c>
      <c r="L440" s="82">
        <v>10.13</v>
      </c>
      <c r="N440" s="82">
        <v>0.32</v>
      </c>
      <c r="O440" s="82">
        <v>-0.02</v>
      </c>
      <c r="P440" s="82">
        <v>-0.01</v>
      </c>
      <c r="Q440" s="82">
        <v>0.02</v>
      </c>
      <c r="R440" s="82">
        <v>-5.25</v>
      </c>
      <c r="S440" s="82">
        <v>-12.01</v>
      </c>
      <c r="T440" s="82">
        <v>-115.0</v>
      </c>
      <c r="U440" s="82">
        <v>-2.29</v>
      </c>
      <c r="V440" s="82">
        <v>3.29</v>
      </c>
      <c r="W440" s="82">
        <v>0.02</v>
      </c>
      <c r="X440" s="82">
        <v>26.98</v>
      </c>
      <c r="Z440" s="191">
        <v>21848.45</v>
      </c>
      <c r="AA440" s="191">
        <v>-1978.77</v>
      </c>
      <c r="AB440" s="82">
        <v>-103.9</v>
      </c>
      <c r="AC440" s="82">
        <v>0.0</v>
      </c>
      <c r="AD440" s="191">
        <v>1.344212226E7</v>
      </c>
    </row>
    <row r="441">
      <c r="A441" s="82" t="s">
        <v>490</v>
      </c>
      <c r="B441" s="82">
        <v>20.25</v>
      </c>
      <c r="D441" s="82">
        <v>36.76</v>
      </c>
      <c r="E441" s="82">
        <v>5.3</v>
      </c>
      <c r="F441" s="82">
        <v>2.1</v>
      </c>
      <c r="G441" s="82">
        <v>26.45</v>
      </c>
      <c r="H441" s="82">
        <v>13.31</v>
      </c>
      <c r="I441" s="82">
        <v>6.98</v>
      </c>
      <c r="J441" s="82">
        <v>19.27</v>
      </c>
      <c r="K441" s="82">
        <v>19.93</v>
      </c>
      <c r="L441" s="82">
        <v>0.66</v>
      </c>
      <c r="M441" s="82">
        <v>0.18</v>
      </c>
      <c r="N441" s="82">
        <v>2.57</v>
      </c>
      <c r="O441" s="82">
        <v>-54.06</v>
      </c>
      <c r="P441" s="82">
        <v>-3.28</v>
      </c>
      <c r="Q441" s="82">
        <v>0.9</v>
      </c>
      <c r="R441" s="82">
        <v>14.42</v>
      </c>
      <c r="S441" s="82">
        <v>5.7</v>
      </c>
      <c r="T441" s="82">
        <v>14.8</v>
      </c>
      <c r="U441" s="82">
        <v>0.4</v>
      </c>
      <c r="V441" s="82">
        <v>0.6</v>
      </c>
      <c r="W441" s="82">
        <v>0.82</v>
      </c>
      <c r="X441" s="82">
        <v>13.44</v>
      </c>
      <c r="Y441" s="82">
        <v>2.56</v>
      </c>
      <c r="Z441" s="191">
        <v>7882065.83</v>
      </c>
      <c r="AA441" s="82">
        <v>3.82</v>
      </c>
      <c r="AB441" s="82">
        <v>0.55</v>
      </c>
      <c r="AC441" s="82">
        <v>-1.04</v>
      </c>
      <c r="AD441" s="191">
        <v>5.40349301025E9</v>
      </c>
    </row>
    <row r="442">
      <c r="A442" s="82" t="s">
        <v>491</v>
      </c>
      <c r="B442" s="82">
        <v>29.1</v>
      </c>
      <c r="C442" s="82">
        <v>1.66</v>
      </c>
      <c r="D442" s="82">
        <v>133.37</v>
      </c>
      <c r="E442" s="82">
        <v>0.82</v>
      </c>
      <c r="F442" s="82">
        <v>0.41</v>
      </c>
      <c r="G442" s="82">
        <v>8.88</v>
      </c>
      <c r="H442" s="82">
        <v>2.27</v>
      </c>
      <c r="I442" s="82">
        <v>0.28</v>
      </c>
      <c r="J442" s="82">
        <v>16.23</v>
      </c>
      <c r="K442" s="82">
        <v>13.93</v>
      </c>
      <c r="L442" s="82">
        <v>-2.39</v>
      </c>
      <c r="M442" s="82">
        <v>-0.12</v>
      </c>
      <c r="N442" s="82">
        <v>0.37</v>
      </c>
      <c r="O442" s="82">
        <v>0.83</v>
      </c>
      <c r="P442" s="82">
        <v>-1.75</v>
      </c>
      <c r="Q442" s="82">
        <v>2.78</v>
      </c>
      <c r="R442" s="82">
        <v>0.62</v>
      </c>
      <c r="S442" s="82">
        <v>0.31</v>
      </c>
      <c r="T442" s="82">
        <v>1.75</v>
      </c>
      <c r="U442" s="82">
        <v>0.5</v>
      </c>
      <c r="V442" s="82">
        <v>0.5</v>
      </c>
      <c r="W442" s="82">
        <v>1.11</v>
      </c>
      <c r="X442" s="82">
        <v>23.42</v>
      </c>
      <c r="Y442" s="82">
        <v>-21.3</v>
      </c>
      <c r="Z442" s="191">
        <v>12110.0</v>
      </c>
      <c r="AA442" s="82">
        <v>35.34</v>
      </c>
      <c r="AB442" s="82">
        <v>0.22</v>
      </c>
      <c r="AC442" s="82">
        <v>-1.43</v>
      </c>
      <c r="AD442" s="191">
        <v>7.004305533E8</v>
      </c>
    </row>
    <row r="443">
      <c r="A443" s="82" t="s">
        <v>492</v>
      </c>
      <c r="B443" s="82">
        <v>33.0</v>
      </c>
      <c r="C443" s="82">
        <v>6.39</v>
      </c>
      <c r="D443" s="82">
        <v>151.24</v>
      </c>
      <c r="E443" s="82">
        <v>0.93</v>
      </c>
      <c r="F443" s="82">
        <v>0.46</v>
      </c>
      <c r="G443" s="82">
        <v>8.88</v>
      </c>
      <c r="H443" s="82">
        <v>2.27</v>
      </c>
      <c r="I443" s="82">
        <v>0.28</v>
      </c>
      <c r="J443" s="82">
        <v>18.4</v>
      </c>
      <c r="K443" s="82">
        <v>13.93</v>
      </c>
      <c r="L443" s="82">
        <v>-2.39</v>
      </c>
      <c r="M443" s="82">
        <v>-0.12</v>
      </c>
      <c r="N443" s="82">
        <v>0.42</v>
      </c>
      <c r="O443" s="82">
        <v>0.94</v>
      </c>
      <c r="P443" s="82">
        <v>-1.98</v>
      </c>
      <c r="Q443" s="82">
        <v>2.78</v>
      </c>
      <c r="R443" s="82">
        <v>0.62</v>
      </c>
      <c r="S443" s="82">
        <v>0.31</v>
      </c>
      <c r="T443" s="82">
        <v>1.75</v>
      </c>
      <c r="U443" s="82">
        <v>0.5</v>
      </c>
      <c r="V443" s="82">
        <v>0.5</v>
      </c>
      <c r="W443" s="82">
        <v>1.11</v>
      </c>
      <c r="X443" s="82">
        <v>23.42</v>
      </c>
      <c r="Y443" s="82">
        <v>-21.3</v>
      </c>
      <c r="Z443" s="191">
        <v>3300.0</v>
      </c>
      <c r="AA443" s="82">
        <v>35.34</v>
      </c>
      <c r="AB443" s="82">
        <v>0.22</v>
      </c>
      <c r="AC443" s="82">
        <v>-1.63</v>
      </c>
      <c r="AD443" s="191">
        <v>7.004305533E8</v>
      </c>
    </row>
    <row r="444">
      <c r="A444" s="82" t="s">
        <v>493</v>
      </c>
      <c r="B444" s="82">
        <v>4.29</v>
      </c>
      <c r="D444" s="82">
        <v>-0.39</v>
      </c>
      <c r="E444" s="82">
        <v>0.23</v>
      </c>
      <c r="F444" s="82">
        <v>0.05</v>
      </c>
      <c r="G444" s="82">
        <v>-79.59</v>
      </c>
      <c r="H444" s="82">
        <v>-212.24</v>
      </c>
      <c r="I444" s="191">
        <v>-1200.41</v>
      </c>
      <c r="J444" s="82">
        <v>-2.21</v>
      </c>
      <c r="K444" s="82">
        <v>-6.61</v>
      </c>
      <c r="L444" s="82">
        <v>-4.44</v>
      </c>
      <c r="M444" s="82">
        <v>0.46</v>
      </c>
      <c r="N444" s="82">
        <v>4.69</v>
      </c>
      <c r="O444" s="82">
        <v>0.6</v>
      </c>
      <c r="P444" s="82">
        <v>-0.08</v>
      </c>
      <c r="Q444" s="82">
        <v>1.32</v>
      </c>
      <c r="R444" s="82">
        <v>-58.63</v>
      </c>
      <c r="S444" s="82">
        <v>-12.96</v>
      </c>
      <c r="T444" s="82">
        <v>-11.07</v>
      </c>
      <c r="U444" s="82">
        <v>0.22</v>
      </c>
      <c r="V444" s="82">
        <v>0.78</v>
      </c>
      <c r="W444" s="82">
        <v>0.01</v>
      </c>
      <c r="X444" s="82">
        <v>-17.25</v>
      </c>
      <c r="Z444" s="191">
        <v>3.83732776E7</v>
      </c>
      <c r="AA444" s="82">
        <v>18.57</v>
      </c>
      <c r="AB444" s="82">
        <v>-10.89</v>
      </c>
      <c r="AC444" s="82">
        <v>0.0</v>
      </c>
      <c r="AD444" s="191">
        <v>1.12647991773E9</v>
      </c>
    </row>
    <row r="445">
      <c r="A445" s="82" t="s">
        <v>494</v>
      </c>
      <c r="B445" s="82">
        <v>72.11</v>
      </c>
      <c r="D445" s="82">
        <v>-6.62</v>
      </c>
      <c r="E445" s="82">
        <v>3.88</v>
      </c>
      <c r="F445" s="82">
        <v>0.86</v>
      </c>
      <c r="G445" s="82">
        <v>-79.59</v>
      </c>
      <c r="H445" s="82">
        <v>-212.24</v>
      </c>
      <c r="I445" s="191">
        <v>-1200.41</v>
      </c>
      <c r="J445" s="82">
        <v>-37.46</v>
      </c>
      <c r="K445" s="82">
        <v>-6.61</v>
      </c>
      <c r="L445" s="82">
        <v>-4.44</v>
      </c>
      <c r="M445" s="82">
        <v>0.46</v>
      </c>
      <c r="N445" s="82">
        <v>79.51</v>
      </c>
      <c r="O445" s="82">
        <v>10.23</v>
      </c>
      <c r="P445" s="82">
        <v>-1.32</v>
      </c>
      <c r="Q445" s="82">
        <v>1.32</v>
      </c>
      <c r="R445" s="82">
        <v>-58.63</v>
      </c>
      <c r="S445" s="82">
        <v>-12.96</v>
      </c>
      <c r="T445" s="82">
        <v>-11.07</v>
      </c>
      <c r="U445" s="82">
        <v>0.22</v>
      </c>
      <c r="V445" s="82">
        <v>0.78</v>
      </c>
      <c r="W445" s="82">
        <v>0.01</v>
      </c>
      <c r="X445" s="82">
        <v>-17.25</v>
      </c>
      <c r="AA445" s="82">
        <v>18.57</v>
      </c>
      <c r="AB445" s="82">
        <v>-10.89</v>
      </c>
      <c r="AC445" s="82">
        <v>0.03</v>
      </c>
      <c r="AD445" s="191">
        <v>1.12647991773E9</v>
      </c>
    </row>
    <row r="446">
      <c r="A446" s="82" t="s">
        <v>495</v>
      </c>
      <c r="B446" s="82">
        <v>0.42</v>
      </c>
      <c r="D446" s="82">
        <v>-0.04</v>
      </c>
      <c r="E446" s="82">
        <v>-0.01</v>
      </c>
      <c r="F446" s="82">
        <v>0.03</v>
      </c>
      <c r="G446" s="82">
        <v>60.91</v>
      </c>
      <c r="H446" s="82">
        <v>-21.85</v>
      </c>
      <c r="I446" s="82">
        <v>-681.34</v>
      </c>
      <c r="J446" s="82">
        <v>-1.13</v>
      </c>
      <c r="K446" s="82">
        <v>-47.42</v>
      </c>
      <c r="L446" s="82">
        <v>-46.29</v>
      </c>
      <c r="N446" s="82">
        <v>0.25</v>
      </c>
      <c r="O446" s="82">
        <v>-0.01</v>
      </c>
      <c r="P446" s="82">
        <v>-0.14</v>
      </c>
      <c r="Q446" s="82">
        <v>0.22</v>
      </c>
      <c r="R446" s="82">
        <v>-17.17</v>
      </c>
      <c r="S446" s="82">
        <v>-87.98</v>
      </c>
      <c r="T446" s="82">
        <v>2.46</v>
      </c>
      <c r="U446" s="82">
        <v>-5.12</v>
      </c>
      <c r="V446" s="82">
        <v>6.19</v>
      </c>
      <c r="W446" s="82">
        <v>0.13</v>
      </c>
      <c r="X446" s="82">
        <v>-23.6</v>
      </c>
      <c r="Z446" s="191">
        <v>7664472.15</v>
      </c>
      <c r="AA446" s="82">
        <v>-69.17</v>
      </c>
      <c r="AB446" s="82">
        <v>-11.88</v>
      </c>
      <c r="AC446" s="82">
        <v>0.0</v>
      </c>
      <c r="AD446" s="191">
        <v>3.344818253E7</v>
      </c>
    </row>
    <row r="447">
      <c r="A447" s="82" t="s">
        <v>496</v>
      </c>
      <c r="B447" s="82">
        <v>3.22</v>
      </c>
      <c r="D447" s="82">
        <v>11.18</v>
      </c>
      <c r="E447" s="82">
        <v>1.66</v>
      </c>
      <c r="F447" s="82">
        <v>0.47</v>
      </c>
      <c r="G447" s="82">
        <v>35.71</v>
      </c>
      <c r="H447" s="82">
        <v>10.17</v>
      </c>
      <c r="I447" s="82">
        <v>5.93</v>
      </c>
      <c r="J447" s="82">
        <v>6.52</v>
      </c>
      <c r="K447" s="82">
        <v>8.2</v>
      </c>
      <c r="L447" s="82">
        <v>1.65</v>
      </c>
      <c r="M447" s="82">
        <v>0.42</v>
      </c>
      <c r="N447" s="82">
        <v>0.66</v>
      </c>
      <c r="O447" s="82">
        <v>1.28</v>
      </c>
      <c r="P447" s="82">
        <v>-1.55</v>
      </c>
      <c r="Q447" s="82">
        <v>2.1</v>
      </c>
      <c r="R447" s="82">
        <v>14.89</v>
      </c>
      <c r="S447" s="82">
        <v>4.19</v>
      </c>
      <c r="T447" s="82">
        <v>13.54</v>
      </c>
      <c r="U447" s="82">
        <v>0.28</v>
      </c>
      <c r="V447" s="82">
        <v>0.72</v>
      </c>
      <c r="W447" s="82">
        <v>0.71</v>
      </c>
      <c r="X447" s="82">
        <v>276.1</v>
      </c>
      <c r="Y447" s="82">
        <v>3.91</v>
      </c>
      <c r="Z447" s="191">
        <v>290177.2</v>
      </c>
      <c r="AA447" s="82">
        <v>1.93</v>
      </c>
      <c r="AB447" s="82">
        <v>0.29</v>
      </c>
      <c r="AC447" s="82">
        <v>0.01</v>
      </c>
      <c r="AD447" s="191">
        <v>2.5586336472E8</v>
      </c>
    </row>
    <row r="448">
      <c r="A448" s="82" t="s">
        <v>497</v>
      </c>
      <c r="B448" s="82">
        <v>33.8</v>
      </c>
      <c r="C448" s="82">
        <v>0.88</v>
      </c>
      <c r="D448" s="82">
        <v>19.25</v>
      </c>
      <c r="E448" s="82">
        <v>0.63</v>
      </c>
      <c r="F448" s="82">
        <v>0.5</v>
      </c>
      <c r="G448" s="82">
        <v>81.61</v>
      </c>
      <c r="H448" s="82">
        <v>36.95</v>
      </c>
      <c r="I448" s="82">
        <v>45.24</v>
      </c>
      <c r="J448" s="82">
        <v>23.57</v>
      </c>
      <c r="K448" s="82">
        <v>23.68</v>
      </c>
      <c r="L448" s="82">
        <v>-6.23</v>
      </c>
      <c r="M448" s="82">
        <v>-0.17</v>
      </c>
      <c r="N448" s="82">
        <v>8.71</v>
      </c>
      <c r="O448" s="82">
        <v>1.76</v>
      </c>
      <c r="P448" s="82">
        <v>-0.72</v>
      </c>
      <c r="Q448" s="82">
        <v>12.49</v>
      </c>
      <c r="R448" s="82">
        <v>3.27</v>
      </c>
      <c r="S448" s="82">
        <v>2.58</v>
      </c>
      <c r="T448" s="82">
        <v>1.61</v>
      </c>
      <c r="U448" s="82">
        <v>0.79</v>
      </c>
      <c r="V448" s="82">
        <v>0.21</v>
      </c>
      <c r="W448" s="82">
        <v>0.06</v>
      </c>
      <c r="X448" s="82">
        <v>-34.5</v>
      </c>
      <c r="Y448" s="82">
        <v>-9.41</v>
      </c>
      <c r="Z448" s="191">
        <v>72077.5</v>
      </c>
      <c r="AA448" s="82">
        <v>53.74</v>
      </c>
      <c r="AB448" s="82">
        <v>1.76</v>
      </c>
      <c r="AC448" s="82">
        <v>-0.16</v>
      </c>
      <c r="AD448" s="191">
        <v>5.5121267481E8</v>
      </c>
    </row>
    <row r="449">
      <c r="A449" s="82" t="s">
        <v>498</v>
      </c>
      <c r="B449" s="82">
        <v>51.99</v>
      </c>
      <c r="C449" s="82">
        <v>0.63</v>
      </c>
      <c r="D449" s="82">
        <v>29.61</v>
      </c>
      <c r="E449" s="82">
        <v>0.97</v>
      </c>
      <c r="F449" s="82">
        <v>0.76</v>
      </c>
      <c r="G449" s="82">
        <v>81.61</v>
      </c>
      <c r="H449" s="82">
        <v>36.95</v>
      </c>
      <c r="I449" s="82">
        <v>45.24</v>
      </c>
      <c r="J449" s="82">
        <v>36.25</v>
      </c>
      <c r="K449" s="82">
        <v>23.68</v>
      </c>
      <c r="L449" s="82">
        <v>-6.23</v>
      </c>
      <c r="M449" s="82">
        <v>-0.17</v>
      </c>
      <c r="N449" s="82">
        <v>13.4</v>
      </c>
      <c r="O449" s="82">
        <v>2.7</v>
      </c>
      <c r="P449" s="82">
        <v>-1.1</v>
      </c>
      <c r="Q449" s="82">
        <v>12.49</v>
      </c>
      <c r="R449" s="82">
        <v>3.27</v>
      </c>
      <c r="S449" s="82">
        <v>2.58</v>
      </c>
      <c r="T449" s="82">
        <v>1.61</v>
      </c>
      <c r="U449" s="82">
        <v>0.79</v>
      </c>
      <c r="V449" s="82">
        <v>0.21</v>
      </c>
      <c r="W449" s="82">
        <v>0.06</v>
      </c>
      <c r="X449" s="82">
        <v>-34.5</v>
      </c>
      <c r="Y449" s="82">
        <v>-9.41</v>
      </c>
      <c r="Z449" s="191">
        <v>250443.0</v>
      </c>
      <c r="AA449" s="82">
        <v>53.74</v>
      </c>
      <c r="AB449" s="82">
        <v>1.76</v>
      </c>
      <c r="AC449" s="82">
        <v>-0.25</v>
      </c>
      <c r="AD449" s="191">
        <v>5.5121267481E8</v>
      </c>
    </row>
    <row r="450">
      <c r="A450" s="82" t="s">
        <v>499</v>
      </c>
      <c r="B450" s="82">
        <v>39.5</v>
      </c>
      <c r="C450" s="82">
        <v>18.38</v>
      </c>
      <c r="D450" s="82">
        <v>3.76</v>
      </c>
      <c r="E450" s="82">
        <v>1.33</v>
      </c>
      <c r="F450" s="82">
        <v>0.5</v>
      </c>
      <c r="G450" s="82">
        <v>51.08</v>
      </c>
      <c r="H450" s="82">
        <v>38.69</v>
      </c>
      <c r="I450" s="82">
        <v>25.53</v>
      </c>
      <c r="J450" s="82">
        <v>2.48</v>
      </c>
      <c r="K450" s="82">
        <v>3.58</v>
      </c>
      <c r="L450" s="82">
        <v>1.15</v>
      </c>
      <c r="M450" s="82">
        <v>0.62</v>
      </c>
      <c r="N450" s="82">
        <v>0.96</v>
      </c>
      <c r="O450" s="82">
        <v>-70.92</v>
      </c>
      <c r="P450" s="82">
        <v>-0.59</v>
      </c>
      <c r="Q450" s="82">
        <v>0.95</v>
      </c>
      <c r="R450" s="82">
        <v>35.47</v>
      </c>
      <c r="S450" s="82">
        <v>13.35</v>
      </c>
      <c r="T450" s="82">
        <v>21.54</v>
      </c>
      <c r="U450" s="82">
        <v>0.38</v>
      </c>
      <c r="V450" s="82">
        <v>0.62</v>
      </c>
      <c r="W450" s="82">
        <v>0.52</v>
      </c>
      <c r="X450" s="82">
        <v>17.72</v>
      </c>
      <c r="Z450" s="191">
        <v>3.318738177E8</v>
      </c>
      <c r="AA450" s="82">
        <v>29.59</v>
      </c>
      <c r="AB450" s="82">
        <v>10.5</v>
      </c>
      <c r="AC450" s="82">
        <v>-0.17</v>
      </c>
      <c r="AD450" s="191">
        <v>5.0456095935896E11</v>
      </c>
    </row>
    <row r="451">
      <c r="A451" s="82" t="s">
        <v>500</v>
      </c>
      <c r="B451" s="82">
        <v>37.86</v>
      </c>
      <c r="C451" s="82">
        <v>19.19</v>
      </c>
      <c r="D451" s="82">
        <v>3.6</v>
      </c>
      <c r="E451" s="82">
        <v>1.28</v>
      </c>
      <c r="F451" s="82">
        <v>0.48</v>
      </c>
      <c r="G451" s="82">
        <v>51.08</v>
      </c>
      <c r="H451" s="82">
        <v>38.69</v>
      </c>
      <c r="I451" s="82">
        <v>25.53</v>
      </c>
      <c r="J451" s="82">
        <v>2.38</v>
      </c>
      <c r="K451" s="82">
        <v>3.58</v>
      </c>
      <c r="L451" s="82">
        <v>1.15</v>
      </c>
      <c r="M451" s="82">
        <v>0.62</v>
      </c>
      <c r="N451" s="82">
        <v>0.92</v>
      </c>
      <c r="O451" s="82">
        <v>-67.92</v>
      </c>
      <c r="P451" s="82">
        <v>-0.56</v>
      </c>
      <c r="Q451" s="82">
        <v>0.95</v>
      </c>
      <c r="R451" s="82">
        <v>35.47</v>
      </c>
      <c r="S451" s="82">
        <v>13.35</v>
      </c>
      <c r="T451" s="82">
        <v>21.54</v>
      </c>
      <c r="U451" s="82">
        <v>0.38</v>
      </c>
      <c r="V451" s="82">
        <v>0.62</v>
      </c>
      <c r="W451" s="82">
        <v>0.52</v>
      </c>
      <c r="X451" s="82">
        <v>17.72</v>
      </c>
      <c r="Z451" s="191">
        <v>1.3267361869E9</v>
      </c>
      <c r="AA451" s="82">
        <v>29.59</v>
      </c>
      <c r="AB451" s="82">
        <v>10.5</v>
      </c>
      <c r="AC451" s="82">
        <v>-0.16</v>
      </c>
      <c r="AD451" s="191">
        <v>5.0456095935896E11</v>
      </c>
    </row>
    <row r="452">
      <c r="A452" s="82" t="s">
        <v>501</v>
      </c>
      <c r="B452" s="82">
        <v>3.79</v>
      </c>
      <c r="C452" s="82">
        <v>0.28</v>
      </c>
      <c r="D452" s="82">
        <v>54.72</v>
      </c>
      <c r="E452" s="82">
        <v>0.97</v>
      </c>
      <c r="F452" s="82">
        <v>0.44</v>
      </c>
      <c r="G452" s="82">
        <v>46.61</v>
      </c>
      <c r="H452" s="82">
        <v>4.46</v>
      </c>
      <c r="I452" s="82">
        <v>1.02</v>
      </c>
      <c r="J452" s="82">
        <v>12.53</v>
      </c>
      <c r="K452" s="82">
        <v>12.32</v>
      </c>
      <c r="L452" s="82">
        <v>-0.11</v>
      </c>
      <c r="M452" s="82">
        <v>-0.01</v>
      </c>
      <c r="N452" s="82">
        <v>0.56</v>
      </c>
      <c r="O452" s="82">
        <v>2.71</v>
      </c>
      <c r="P452" s="82">
        <v>-0.67</v>
      </c>
      <c r="Q452" s="82">
        <v>1.9</v>
      </c>
      <c r="R452" s="82">
        <v>1.78</v>
      </c>
      <c r="S452" s="82">
        <v>0.81</v>
      </c>
      <c r="T452" s="82">
        <v>5.4</v>
      </c>
      <c r="U452" s="82">
        <v>0.45</v>
      </c>
      <c r="V452" s="82">
        <v>0.55</v>
      </c>
      <c r="W452" s="82">
        <v>0.79</v>
      </c>
      <c r="X452" s="82">
        <v>36.54</v>
      </c>
      <c r="Y452" s="82">
        <v>22.89</v>
      </c>
      <c r="Z452" s="191">
        <v>5.84301536E7</v>
      </c>
      <c r="AA452" s="82">
        <v>3.9</v>
      </c>
      <c r="AB452" s="82">
        <v>0.07</v>
      </c>
      <c r="AC452" s="82">
        <v>-1.17</v>
      </c>
      <c r="AD452" s="191">
        <v>1.73908836752E9</v>
      </c>
    </row>
    <row r="453">
      <c r="A453" s="82" t="s">
        <v>502</v>
      </c>
      <c r="B453" s="82">
        <v>5.18</v>
      </c>
      <c r="D453" s="82">
        <v>13.78</v>
      </c>
      <c r="E453" s="82">
        <v>0.51</v>
      </c>
      <c r="F453" s="82">
        <v>0.14</v>
      </c>
      <c r="G453" s="82">
        <v>14.64</v>
      </c>
      <c r="H453" s="82">
        <v>2.71</v>
      </c>
      <c r="I453" s="82">
        <v>0.54</v>
      </c>
      <c r="J453" s="82">
        <v>2.77</v>
      </c>
      <c r="K453" s="82">
        <v>5.09</v>
      </c>
      <c r="L453" s="82">
        <v>2.3</v>
      </c>
      <c r="M453" s="82">
        <v>0.42</v>
      </c>
      <c r="N453" s="82">
        <v>0.08</v>
      </c>
      <c r="O453" s="82">
        <v>0.72</v>
      </c>
      <c r="P453" s="82">
        <v>-0.47</v>
      </c>
      <c r="Q453" s="82">
        <v>1.37</v>
      </c>
      <c r="R453" s="82">
        <v>3.69</v>
      </c>
      <c r="S453" s="82">
        <v>0.99</v>
      </c>
      <c r="T453" s="82">
        <v>10.16</v>
      </c>
      <c r="U453" s="82">
        <v>0.27</v>
      </c>
      <c r="V453" s="82">
        <v>0.67</v>
      </c>
      <c r="W453" s="82">
        <v>1.82</v>
      </c>
      <c r="X453" s="82">
        <v>13.77</v>
      </c>
      <c r="Z453" s="191">
        <v>2077940.8</v>
      </c>
      <c r="AA453" s="82">
        <v>10.19</v>
      </c>
      <c r="AB453" s="82">
        <v>0.38</v>
      </c>
      <c r="AC453" s="82">
        <v>-0.3</v>
      </c>
      <c r="AD453" s="191">
        <v>6.4506454733E8</v>
      </c>
    </row>
    <row r="454">
      <c r="A454" s="82" t="s">
        <v>503</v>
      </c>
      <c r="B454" s="82">
        <v>3.88</v>
      </c>
      <c r="C454" s="82">
        <v>4.79</v>
      </c>
      <c r="D454" s="82">
        <v>-10.45</v>
      </c>
      <c r="E454" s="82">
        <v>0.82</v>
      </c>
      <c r="F454" s="82">
        <v>0.24</v>
      </c>
      <c r="G454" s="82">
        <v>31.86</v>
      </c>
      <c r="H454" s="82">
        <v>4.4</v>
      </c>
      <c r="I454" s="82">
        <v>-1.83</v>
      </c>
      <c r="J454" s="82">
        <v>4.35</v>
      </c>
      <c r="K454" s="82">
        <v>6.83</v>
      </c>
      <c r="L454" s="82">
        <v>2.5</v>
      </c>
      <c r="M454" s="82">
        <v>0.47</v>
      </c>
      <c r="N454" s="82">
        <v>0.19</v>
      </c>
      <c r="O454" s="82">
        <v>1.48</v>
      </c>
      <c r="P454" s="82">
        <v>-0.49</v>
      </c>
      <c r="Q454" s="82">
        <v>1.48</v>
      </c>
      <c r="R454" s="82">
        <v>-7.86</v>
      </c>
      <c r="S454" s="82">
        <v>-2.31</v>
      </c>
      <c r="T454" s="82">
        <v>7.28</v>
      </c>
      <c r="U454" s="82">
        <v>0.29</v>
      </c>
      <c r="V454" s="82">
        <v>0.71</v>
      </c>
      <c r="W454" s="82">
        <v>1.26</v>
      </c>
      <c r="X454" s="82">
        <v>9.03</v>
      </c>
      <c r="Z454" s="191">
        <v>3967204.25</v>
      </c>
      <c r="AA454" s="82">
        <v>4.72</v>
      </c>
      <c r="AB454" s="82">
        <v>-0.37</v>
      </c>
      <c r="AC454" s="82">
        <v>0.03</v>
      </c>
      <c r="AD454" s="191">
        <v>2.0912725756E9</v>
      </c>
    </row>
    <row r="455">
      <c r="A455" s="82" t="s">
        <v>504</v>
      </c>
      <c r="B455" s="82">
        <v>5.23</v>
      </c>
      <c r="C455" s="82">
        <v>3.1</v>
      </c>
      <c r="D455" s="82">
        <v>6.95</v>
      </c>
      <c r="E455" s="82">
        <v>1.0</v>
      </c>
      <c r="F455" s="82">
        <v>0.05</v>
      </c>
      <c r="G455" s="82">
        <v>15.73</v>
      </c>
      <c r="H455" s="82">
        <v>8.85</v>
      </c>
      <c r="I455" s="82">
        <v>7.58</v>
      </c>
      <c r="J455" s="82">
        <v>5.96</v>
      </c>
      <c r="K455" s="82">
        <v>5.51</v>
      </c>
      <c r="N455" s="82">
        <v>0.53</v>
      </c>
      <c r="P455" s="82">
        <v>-0.05</v>
      </c>
      <c r="R455" s="82">
        <v>14.41</v>
      </c>
      <c r="S455" s="82">
        <v>0.72</v>
      </c>
      <c r="U455" s="82">
        <v>0.05</v>
      </c>
      <c r="V455" s="82">
        <v>0.95</v>
      </c>
      <c r="W455" s="82">
        <v>0.1</v>
      </c>
      <c r="X455" s="82">
        <v>8.44</v>
      </c>
      <c r="Z455" s="191">
        <v>2034.33</v>
      </c>
      <c r="AA455" s="82">
        <v>5.22</v>
      </c>
      <c r="AB455" s="82">
        <v>0.75</v>
      </c>
      <c r="AC455" s="82">
        <v>0.02</v>
      </c>
      <c r="AD455" s="191">
        <v>9.0316097649E8</v>
      </c>
    </row>
    <row r="456">
      <c r="A456" s="82" t="s">
        <v>505</v>
      </c>
      <c r="B456" s="82">
        <v>4.43</v>
      </c>
      <c r="C456" s="82">
        <v>3.67</v>
      </c>
      <c r="D456" s="82">
        <v>5.87</v>
      </c>
      <c r="E456" s="82">
        <v>0.85</v>
      </c>
      <c r="F456" s="82">
        <v>0.04</v>
      </c>
      <c r="G456" s="82">
        <v>15.73</v>
      </c>
      <c r="H456" s="82">
        <v>8.85</v>
      </c>
      <c r="I456" s="82">
        <v>7.58</v>
      </c>
      <c r="J456" s="82">
        <v>5.03</v>
      </c>
      <c r="K456" s="82">
        <v>5.51</v>
      </c>
      <c r="N456" s="82">
        <v>0.45</v>
      </c>
      <c r="P456" s="82">
        <v>-0.04</v>
      </c>
      <c r="R456" s="82">
        <v>14.41</v>
      </c>
      <c r="S456" s="82">
        <v>0.72</v>
      </c>
      <c r="U456" s="82">
        <v>0.05</v>
      </c>
      <c r="V456" s="82">
        <v>0.95</v>
      </c>
      <c r="W456" s="82">
        <v>0.1</v>
      </c>
      <c r="X456" s="82">
        <v>8.44</v>
      </c>
      <c r="Z456" s="191">
        <v>1744244.9</v>
      </c>
      <c r="AA456" s="82">
        <v>5.22</v>
      </c>
      <c r="AB456" s="82">
        <v>0.75</v>
      </c>
      <c r="AC456" s="82">
        <v>0.02</v>
      </c>
      <c r="AD456" s="191">
        <v>9.0316097649E8</v>
      </c>
    </row>
    <row r="457">
      <c r="A457" s="82" t="s">
        <v>506</v>
      </c>
      <c r="B457" s="82">
        <v>7.3</v>
      </c>
      <c r="D457" s="82">
        <v>6.31</v>
      </c>
      <c r="E457" s="82">
        <v>-0.25</v>
      </c>
      <c r="F457" s="82">
        <v>0.14</v>
      </c>
      <c r="G457" s="82">
        <v>11.34</v>
      </c>
      <c r="H457" s="82">
        <v>5.12</v>
      </c>
      <c r="I457" s="82">
        <v>1.57</v>
      </c>
      <c r="J457" s="82">
        <v>1.93</v>
      </c>
      <c r="K457" s="82">
        <v>8.02</v>
      </c>
      <c r="L457" s="82">
        <v>6.09</v>
      </c>
      <c r="N457" s="82">
        <v>0.1</v>
      </c>
      <c r="O457" s="82">
        <v>-0.35</v>
      </c>
      <c r="P457" s="82">
        <v>-0.19</v>
      </c>
      <c r="Q457" s="82">
        <v>0.43</v>
      </c>
      <c r="R457" s="82">
        <v>-4.02</v>
      </c>
      <c r="S457" s="82">
        <v>2.15</v>
      </c>
      <c r="T457" s="82">
        <v>19.94</v>
      </c>
      <c r="U457" s="82">
        <v>-0.54</v>
      </c>
      <c r="V457" s="82">
        <v>1.54</v>
      </c>
      <c r="W457" s="82">
        <v>1.38</v>
      </c>
      <c r="X457" s="82">
        <v>16.19</v>
      </c>
      <c r="Z457" s="191">
        <v>4719.36</v>
      </c>
      <c r="AA457" s="82">
        <v>-28.77</v>
      </c>
      <c r="AB457" s="82">
        <v>1.16</v>
      </c>
      <c r="AC457" s="82">
        <v>-0.05</v>
      </c>
      <c r="AD457" s="191">
        <v>9.07055514E7</v>
      </c>
    </row>
    <row r="458">
      <c r="A458" s="82" t="s">
        <v>507</v>
      </c>
      <c r="B458" s="82">
        <v>11.44</v>
      </c>
      <c r="C458" s="82">
        <v>1.41</v>
      </c>
      <c r="D458" s="82">
        <v>9.55</v>
      </c>
      <c r="E458" s="82">
        <v>3.89</v>
      </c>
      <c r="F458" s="82">
        <v>1.17</v>
      </c>
      <c r="G458" s="82">
        <v>33.71</v>
      </c>
      <c r="H458" s="82">
        <v>15.29</v>
      </c>
      <c r="I458" s="82">
        <v>13.02</v>
      </c>
      <c r="J458" s="82">
        <v>8.13</v>
      </c>
      <c r="K458" s="82">
        <v>8.46</v>
      </c>
      <c r="L458" s="82">
        <v>0.42</v>
      </c>
      <c r="M458" s="82">
        <v>0.2</v>
      </c>
      <c r="N458" s="82">
        <v>1.24</v>
      </c>
      <c r="O458" s="82">
        <v>2.06</v>
      </c>
      <c r="P458" s="82">
        <v>-8.18</v>
      </c>
      <c r="Q458" s="82">
        <v>2.96</v>
      </c>
      <c r="R458" s="82">
        <v>40.72</v>
      </c>
      <c r="S458" s="82">
        <v>12.27</v>
      </c>
      <c r="T458" s="82">
        <v>22.01</v>
      </c>
      <c r="U458" s="82">
        <v>0.3</v>
      </c>
      <c r="V458" s="82">
        <v>0.68</v>
      </c>
      <c r="W458" s="82">
        <v>0.94</v>
      </c>
      <c r="Z458" s="191">
        <v>1.406890765E7</v>
      </c>
      <c r="AA458" s="82">
        <v>2.92</v>
      </c>
      <c r="AB458" s="82">
        <v>1.19</v>
      </c>
      <c r="AC458" s="82">
        <v>0.07</v>
      </c>
      <c r="AD458" s="191">
        <v>2.29788E9</v>
      </c>
    </row>
    <row r="459">
      <c r="A459" s="82" t="s">
        <v>508</v>
      </c>
      <c r="B459" s="82">
        <v>4.35</v>
      </c>
      <c r="D459" s="82">
        <v>-0.06</v>
      </c>
      <c r="E459" s="82">
        <v>-0.05</v>
      </c>
      <c r="F459" s="82">
        <v>0.1</v>
      </c>
      <c r="G459" s="82">
        <v>-57.2</v>
      </c>
      <c r="H459" s="82">
        <v>-149.43</v>
      </c>
      <c r="I459" s="82">
        <v>-297.02</v>
      </c>
      <c r="J459" s="82">
        <v>-0.12</v>
      </c>
      <c r="K459" s="82">
        <v>-2.39</v>
      </c>
      <c r="L459" s="82">
        <v>-2.27</v>
      </c>
      <c r="N459" s="82">
        <v>0.18</v>
      </c>
      <c r="O459" s="82">
        <v>-0.05</v>
      </c>
      <c r="P459" s="82">
        <v>-0.14</v>
      </c>
      <c r="Q459" s="82">
        <v>0.15</v>
      </c>
      <c r="R459" s="82">
        <v>-78.99</v>
      </c>
      <c r="S459" s="82">
        <v>-166.84</v>
      </c>
      <c r="T459" s="82">
        <v>427.96</v>
      </c>
      <c r="U459" s="82">
        <v>-2.11</v>
      </c>
      <c r="V459" s="82">
        <v>3.11</v>
      </c>
      <c r="W459" s="82">
        <v>0.56</v>
      </c>
      <c r="X459" s="82">
        <v>-10.58</v>
      </c>
      <c r="Z459" s="191">
        <v>96393.5</v>
      </c>
      <c r="AA459" s="82">
        <v>-92.34</v>
      </c>
      <c r="AB459" s="82">
        <v>-72.94</v>
      </c>
      <c r="AC459" s="82">
        <v>0.0</v>
      </c>
      <c r="AD459" s="191">
        <v>1.8793866617E8</v>
      </c>
    </row>
    <row r="460">
      <c r="A460" s="82" t="s">
        <v>509</v>
      </c>
      <c r="B460" s="82">
        <v>13.11</v>
      </c>
      <c r="C460" s="82">
        <v>0.41</v>
      </c>
      <c r="D460" s="82">
        <v>22.43</v>
      </c>
      <c r="E460" s="82">
        <v>1.73</v>
      </c>
      <c r="F460" s="82">
        <v>0.67</v>
      </c>
      <c r="G460" s="82">
        <v>30.91</v>
      </c>
      <c r="H460" s="82">
        <v>3.62</v>
      </c>
      <c r="I460" s="82">
        <v>2.04</v>
      </c>
      <c r="J460" s="82">
        <v>12.6</v>
      </c>
      <c r="K460" s="82">
        <v>17.78</v>
      </c>
      <c r="L460" s="82">
        <v>5.17</v>
      </c>
      <c r="M460" s="82">
        <v>0.71</v>
      </c>
      <c r="N460" s="82">
        <v>0.46</v>
      </c>
      <c r="O460" s="82">
        <v>2.73</v>
      </c>
      <c r="P460" s="82">
        <v>-1.63</v>
      </c>
      <c r="Q460" s="82">
        <v>1.71</v>
      </c>
      <c r="R460" s="82">
        <v>7.73</v>
      </c>
      <c r="S460" s="82">
        <v>2.99</v>
      </c>
      <c r="T460" s="82">
        <v>6.9</v>
      </c>
      <c r="U460" s="82">
        <v>0.39</v>
      </c>
      <c r="V460" s="82">
        <v>0.61</v>
      </c>
      <c r="W460" s="82">
        <v>1.47</v>
      </c>
      <c r="X460" s="82">
        <v>12.06</v>
      </c>
      <c r="Y460" s="82">
        <v>8.04</v>
      </c>
      <c r="Z460" s="191">
        <v>5400419.35</v>
      </c>
      <c r="AA460" s="82">
        <v>7.57</v>
      </c>
      <c r="AB460" s="82">
        <v>0.59</v>
      </c>
      <c r="AC460" s="82">
        <v>7.34</v>
      </c>
      <c r="AD460" s="191">
        <v>1.97596010034E9</v>
      </c>
    </row>
    <row r="461">
      <c r="A461" s="82" t="s">
        <v>510</v>
      </c>
      <c r="B461" s="82">
        <v>18.62</v>
      </c>
      <c r="D461" s="82">
        <v>31.81</v>
      </c>
      <c r="E461" s="82">
        <v>2.46</v>
      </c>
      <c r="F461" s="82">
        <v>0.95</v>
      </c>
      <c r="G461" s="82">
        <v>30.91</v>
      </c>
      <c r="H461" s="82">
        <v>3.62</v>
      </c>
      <c r="I461" s="82">
        <v>2.04</v>
      </c>
      <c r="J461" s="82">
        <v>17.87</v>
      </c>
      <c r="K461" s="82">
        <v>17.78</v>
      </c>
      <c r="L461" s="82">
        <v>5.17</v>
      </c>
      <c r="M461" s="82">
        <v>0.71</v>
      </c>
      <c r="N461" s="82">
        <v>0.65</v>
      </c>
      <c r="O461" s="82">
        <v>3.87</v>
      </c>
      <c r="P461" s="82">
        <v>-2.31</v>
      </c>
      <c r="Q461" s="82">
        <v>1.71</v>
      </c>
      <c r="R461" s="82">
        <v>7.73</v>
      </c>
      <c r="S461" s="82">
        <v>2.99</v>
      </c>
      <c r="T461" s="82">
        <v>6.9</v>
      </c>
      <c r="U461" s="82">
        <v>0.39</v>
      </c>
      <c r="V461" s="82">
        <v>0.61</v>
      </c>
      <c r="W461" s="82">
        <v>1.47</v>
      </c>
      <c r="X461" s="82">
        <v>12.06</v>
      </c>
      <c r="Y461" s="82">
        <v>8.04</v>
      </c>
      <c r="AA461" s="82">
        <v>7.57</v>
      </c>
      <c r="AB461" s="82">
        <v>0.59</v>
      </c>
      <c r="AC461" s="82">
        <v>10.41</v>
      </c>
      <c r="AD461" s="191">
        <v>1.97596010034E9</v>
      </c>
    </row>
    <row r="462">
      <c r="A462" s="82" t="s">
        <v>511</v>
      </c>
      <c r="B462" s="82">
        <v>5.74</v>
      </c>
      <c r="C462" s="82">
        <v>4.03</v>
      </c>
      <c r="D462" s="82">
        <v>6.83</v>
      </c>
      <c r="E462" s="82">
        <v>1.62</v>
      </c>
      <c r="F462" s="82">
        <v>0.72</v>
      </c>
      <c r="G462" s="82">
        <v>21.68</v>
      </c>
      <c r="H462" s="82">
        <v>11.16</v>
      </c>
      <c r="I462" s="82">
        <v>12.41</v>
      </c>
      <c r="J462" s="82">
        <v>7.6</v>
      </c>
      <c r="K462" s="82">
        <v>10.31</v>
      </c>
      <c r="L462" s="82">
        <v>1.44</v>
      </c>
      <c r="M462" s="82">
        <v>0.31</v>
      </c>
      <c r="N462" s="82">
        <v>0.85</v>
      </c>
      <c r="O462" s="82">
        <v>2.2</v>
      </c>
      <c r="P462" s="82">
        <v>-1.82</v>
      </c>
      <c r="Q462" s="82">
        <v>2.16</v>
      </c>
      <c r="R462" s="82">
        <v>23.64</v>
      </c>
      <c r="S462" s="82">
        <v>10.46</v>
      </c>
      <c r="T462" s="82">
        <v>10.28</v>
      </c>
      <c r="U462" s="82">
        <v>0.44</v>
      </c>
      <c r="V462" s="82">
        <v>0.55</v>
      </c>
      <c r="W462" s="82">
        <v>0.84</v>
      </c>
      <c r="X462" s="82">
        <v>13.49</v>
      </c>
      <c r="Y462" s="82">
        <v>61.66</v>
      </c>
      <c r="Z462" s="191">
        <v>1230069.65</v>
      </c>
      <c r="AA462" s="82">
        <v>3.56</v>
      </c>
      <c r="AB462" s="82">
        <v>0.84</v>
      </c>
      <c r="AC462" s="82">
        <v>0.03</v>
      </c>
      <c r="AD462" s="191">
        <v>6.35390838888E9</v>
      </c>
    </row>
    <row r="463">
      <c r="A463" s="82" t="s">
        <v>512</v>
      </c>
      <c r="B463" s="82">
        <v>7.4</v>
      </c>
      <c r="C463" s="82">
        <v>3.14</v>
      </c>
      <c r="D463" s="82">
        <v>8.78</v>
      </c>
      <c r="E463" s="82">
        <v>2.08</v>
      </c>
      <c r="F463" s="82">
        <v>0.92</v>
      </c>
      <c r="G463" s="82">
        <v>21.68</v>
      </c>
      <c r="H463" s="82">
        <v>11.16</v>
      </c>
      <c r="I463" s="82">
        <v>12.41</v>
      </c>
      <c r="J463" s="82">
        <v>9.76</v>
      </c>
      <c r="K463" s="82">
        <v>10.31</v>
      </c>
      <c r="L463" s="82">
        <v>1.44</v>
      </c>
      <c r="M463" s="82">
        <v>0.31</v>
      </c>
      <c r="N463" s="82">
        <v>1.09</v>
      </c>
      <c r="O463" s="82">
        <v>2.83</v>
      </c>
      <c r="P463" s="82">
        <v>-2.33</v>
      </c>
      <c r="Q463" s="82">
        <v>2.16</v>
      </c>
      <c r="R463" s="82">
        <v>23.64</v>
      </c>
      <c r="S463" s="82">
        <v>10.46</v>
      </c>
      <c r="T463" s="82">
        <v>10.28</v>
      </c>
      <c r="U463" s="82">
        <v>0.44</v>
      </c>
      <c r="V463" s="82">
        <v>0.55</v>
      </c>
      <c r="W463" s="82">
        <v>0.84</v>
      </c>
      <c r="X463" s="82">
        <v>13.49</v>
      </c>
      <c r="Y463" s="82">
        <v>61.66</v>
      </c>
      <c r="Z463" s="191">
        <v>5.377606915E7</v>
      </c>
      <c r="AA463" s="82">
        <v>3.56</v>
      </c>
      <c r="AB463" s="82">
        <v>0.84</v>
      </c>
      <c r="AC463" s="82">
        <v>0.04</v>
      </c>
      <c r="AD463" s="191">
        <v>6.35390838888E9</v>
      </c>
    </row>
    <row r="464">
      <c r="A464" s="82" t="s">
        <v>513</v>
      </c>
      <c r="B464" s="82">
        <v>17.13</v>
      </c>
      <c r="C464" s="82">
        <v>3.7</v>
      </c>
      <c r="D464" s="82">
        <v>18.98</v>
      </c>
      <c r="E464" s="82">
        <v>3.28</v>
      </c>
      <c r="F464" s="82">
        <v>1.31</v>
      </c>
      <c r="G464" s="82">
        <v>44.66</v>
      </c>
      <c r="H464" s="82">
        <v>27.84</v>
      </c>
      <c r="I464" s="82">
        <v>16.78</v>
      </c>
      <c r="J464" s="82">
        <v>11.44</v>
      </c>
      <c r="K464" s="82">
        <v>15.16</v>
      </c>
      <c r="L464" s="82">
        <v>3.73</v>
      </c>
      <c r="M464" s="82">
        <v>1.07</v>
      </c>
      <c r="N464" s="82">
        <v>3.19</v>
      </c>
      <c r="O464" s="82">
        <v>-52.46</v>
      </c>
      <c r="P464" s="82">
        <v>-1.52</v>
      </c>
      <c r="Q464" s="82">
        <v>0.85</v>
      </c>
      <c r="R464" s="82">
        <v>17.27</v>
      </c>
      <c r="S464" s="82">
        <v>6.89</v>
      </c>
      <c r="T464" s="82">
        <v>10.67</v>
      </c>
      <c r="U464" s="82">
        <v>0.4</v>
      </c>
      <c r="V464" s="82">
        <v>0.6</v>
      </c>
      <c r="W464" s="82">
        <v>0.41</v>
      </c>
      <c r="X464" s="82">
        <v>7.48</v>
      </c>
      <c r="Y464" s="82">
        <v>11.5</v>
      </c>
      <c r="Z464" s="191">
        <v>3575854.25</v>
      </c>
      <c r="AA464" s="82">
        <v>5.22</v>
      </c>
      <c r="AB464" s="82">
        <v>0.9</v>
      </c>
      <c r="AC464" s="82">
        <v>0.35</v>
      </c>
      <c r="AD464" s="191">
        <v>7.528210079E9</v>
      </c>
    </row>
    <row r="465">
      <c r="A465" s="82" t="s">
        <v>514</v>
      </c>
      <c r="B465" s="82">
        <v>6.55</v>
      </c>
      <c r="C465" s="82">
        <v>7.87</v>
      </c>
      <c r="D465" s="82">
        <v>4.84</v>
      </c>
      <c r="E465" s="82">
        <v>0.64</v>
      </c>
      <c r="F465" s="82">
        <v>0.22</v>
      </c>
      <c r="G465" s="82">
        <v>30.03</v>
      </c>
      <c r="H465" s="82">
        <v>13.75</v>
      </c>
      <c r="I465" s="82">
        <v>5.35</v>
      </c>
      <c r="J465" s="82">
        <v>1.89</v>
      </c>
      <c r="K465" s="82">
        <v>3.66</v>
      </c>
      <c r="L465" s="82">
        <v>1.78</v>
      </c>
      <c r="M465" s="82">
        <v>0.61</v>
      </c>
      <c r="N465" s="82">
        <v>0.26</v>
      </c>
      <c r="O465" s="82">
        <v>0.61</v>
      </c>
      <c r="P465" s="82">
        <v>-1.14</v>
      </c>
      <c r="Q465" s="82">
        <v>1.83</v>
      </c>
      <c r="R465" s="82">
        <v>13.21</v>
      </c>
      <c r="S465" s="82">
        <v>4.58</v>
      </c>
      <c r="T465" s="82">
        <v>17.99</v>
      </c>
      <c r="U465" s="82">
        <v>0.35</v>
      </c>
      <c r="V465" s="82">
        <v>0.65</v>
      </c>
      <c r="W465" s="82">
        <v>0.86</v>
      </c>
      <c r="X465" s="82">
        <v>21.15</v>
      </c>
      <c r="Z465" s="191">
        <v>9291686.2</v>
      </c>
      <c r="AA465" s="82">
        <v>10.21</v>
      </c>
      <c r="AB465" s="82">
        <v>1.35</v>
      </c>
      <c r="AC465" s="82">
        <v>-0.62</v>
      </c>
      <c r="AD465" s="191">
        <v>9.23118E8</v>
      </c>
    </row>
    <row r="466">
      <c r="A466" s="82" t="s">
        <v>515</v>
      </c>
      <c r="B466" s="82">
        <v>10.9</v>
      </c>
      <c r="D466" s="82">
        <v>23.92</v>
      </c>
      <c r="E466" s="82">
        <v>0.99</v>
      </c>
      <c r="F466" s="82">
        <v>0.38</v>
      </c>
      <c r="G466" s="82">
        <v>6.82</v>
      </c>
      <c r="H466" s="82">
        <v>3.52</v>
      </c>
      <c r="I466" s="82">
        <v>2.59</v>
      </c>
      <c r="J466" s="82">
        <v>17.55</v>
      </c>
      <c r="K466" s="82">
        <v>10.6</v>
      </c>
      <c r="L466" s="82">
        <v>-6.96</v>
      </c>
      <c r="M466" s="82">
        <v>-0.39</v>
      </c>
      <c r="N466" s="82">
        <v>0.62</v>
      </c>
      <c r="O466" s="82">
        <v>6.57</v>
      </c>
      <c r="P466" s="82">
        <v>-0.74</v>
      </c>
      <c r="Q466" s="82">
        <v>1.13</v>
      </c>
      <c r="R466" s="82">
        <v>4.13</v>
      </c>
      <c r="S466" s="82">
        <v>1.58</v>
      </c>
      <c r="T466" s="82">
        <v>3.81</v>
      </c>
      <c r="U466" s="82">
        <v>0.38</v>
      </c>
      <c r="V466" s="82">
        <v>0.62</v>
      </c>
      <c r="W466" s="82">
        <v>0.61</v>
      </c>
      <c r="AA466" s="82">
        <v>11.02</v>
      </c>
      <c r="AB466" s="82">
        <v>0.46</v>
      </c>
      <c r="AC466" s="82">
        <v>-1.77</v>
      </c>
      <c r="AD466" s="191">
        <v>9.772379304E8</v>
      </c>
    </row>
    <row r="467">
      <c r="A467" s="82" t="s">
        <v>516</v>
      </c>
      <c r="B467" s="82">
        <v>14.6</v>
      </c>
      <c r="C467" s="82">
        <v>85.96</v>
      </c>
      <c r="D467" s="82">
        <v>0.82</v>
      </c>
      <c r="E467" s="82">
        <v>0.04</v>
      </c>
      <c r="F467" s="82">
        <v>0.03</v>
      </c>
      <c r="J467" s="82">
        <v>1.03</v>
      </c>
      <c r="K467" s="82">
        <v>-1.7</v>
      </c>
      <c r="L467" s="82">
        <v>-2.73</v>
      </c>
      <c r="M467" s="82">
        <v>-0.11</v>
      </c>
      <c r="O467" s="82">
        <v>0.37</v>
      </c>
      <c r="P467" s="82">
        <v>-0.03</v>
      </c>
      <c r="Q467" s="82">
        <v>84.67</v>
      </c>
      <c r="R467" s="82">
        <v>5.05</v>
      </c>
      <c r="S467" s="82">
        <v>3.65</v>
      </c>
      <c r="T467" s="82">
        <v>3.84</v>
      </c>
      <c r="U467" s="82">
        <v>0.72</v>
      </c>
      <c r="V467" s="82">
        <v>0.28</v>
      </c>
      <c r="W467" s="82">
        <v>0.0</v>
      </c>
      <c r="Y467" s="82">
        <v>37.08</v>
      </c>
      <c r="AA467" s="82">
        <v>352.82</v>
      </c>
      <c r="AB467" s="82">
        <v>17.82</v>
      </c>
      <c r="AC467" s="82">
        <v>0.02</v>
      </c>
      <c r="AD467" s="191">
        <v>2160800.0</v>
      </c>
    </row>
    <row r="468">
      <c r="A468" s="82" t="s">
        <v>518</v>
      </c>
      <c r="B468" s="82">
        <v>3.7</v>
      </c>
      <c r="D468" s="191">
        <v>-5207.13</v>
      </c>
      <c r="E468" s="191">
        <v>1301.78</v>
      </c>
      <c r="F468" s="82">
        <v>12.65</v>
      </c>
      <c r="J468" s="191">
        <v>-5207.13</v>
      </c>
      <c r="K468" s="191">
        <v>-5207.13</v>
      </c>
      <c r="O468" s="191">
        <v>-10414.26</v>
      </c>
      <c r="P468" s="191">
        <v>-1157.14</v>
      </c>
      <c r="Q468" s="82">
        <v>1.0</v>
      </c>
      <c r="R468" s="82">
        <v>-25.0</v>
      </c>
      <c r="S468" s="82">
        <v>-0.24</v>
      </c>
      <c r="U468" s="82">
        <v>0.01</v>
      </c>
      <c r="V468" s="82">
        <v>0.99</v>
      </c>
      <c r="W468" s="82">
        <v>0.0</v>
      </c>
      <c r="Z468" s="191">
        <v>1076.26</v>
      </c>
      <c r="AA468" s="82">
        <v>0.0</v>
      </c>
      <c r="AB468" s="82">
        <v>0.0</v>
      </c>
      <c r="AC468" s="82">
        <v>44.06</v>
      </c>
      <c r="AD468" s="191">
        <v>1.04142642E7</v>
      </c>
    </row>
    <row r="469">
      <c r="A469" s="82" t="s">
        <v>519</v>
      </c>
      <c r="B469" s="82">
        <v>45.59</v>
      </c>
      <c r="C469" s="82">
        <v>0.16</v>
      </c>
      <c r="D469" s="82">
        <v>8.88</v>
      </c>
      <c r="E469" s="82">
        <v>3.14</v>
      </c>
      <c r="F469" s="82">
        <v>1.42</v>
      </c>
      <c r="G469" s="82">
        <v>62.28</v>
      </c>
      <c r="H469" s="82">
        <v>55.18</v>
      </c>
      <c r="I469" s="82">
        <v>44.93</v>
      </c>
      <c r="J469" s="82">
        <v>7.23</v>
      </c>
      <c r="K469" s="82">
        <v>8.69</v>
      </c>
      <c r="L469" s="82">
        <v>1.48</v>
      </c>
      <c r="M469" s="82">
        <v>0.64</v>
      </c>
      <c r="N469" s="82">
        <v>3.99</v>
      </c>
      <c r="O469" s="82">
        <v>32.95</v>
      </c>
      <c r="P469" s="82">
        <v>-1.73</v>
      </c>
      <c r="Q469" s="82">
        <v>1.32</v>
      </c>
      <c r="R469" s="82">
        <v>35.33</v>
      </c>
      <c r="S469" s="82">
        <v>15.98</v>
      </c>
      <c r="T469" s="82">
        <v>22.46</v>
      </c>
      <c r="U469" s="82">
        <v>0.45</v>
      </c>
      <c r="V469" s="82">
        <v>0.55</v>
      </c>
      <c r="W469" s="82">
        <v>0.36</v>
      </c>
      <c r="X469" s="82">
        <v>64.15</v>
      </c>
      <c r="Y469" s="82">
        <v>145.76</v>
      </c>
      <c r="Z469" s="191">
        <v>4.8639411375E8</v>
      </c>
      <c r="AA469" s="82">
        <v>14.54</v>
      </c>
      <c r="AB469" s="82">
        <v>5.14</v>
      </c>
      <c r="AC469" s="82">
        <v>0.29</v>
      </c>
      <c r="AD469" s="191">
        <v>4.035118160556E10</v>
      </c>
    </row>
    <row r="470">
      <c r="A470" s="82" t="s">
        <v>520</v>
      </c>
      <c r="B470" s="82">
        <v>11.57</v>
      </c>
      <c r="D470" s="191">
        <v>-1651.09</v>
      </c>
      <c r="E470" s="82">
        <v>1.97</v>
      </c>
      <c r="F470" s="82">
        <v>0.62</v>
      </c>
      <c r="G470" s="82">
        <v>20.94</v>
      </c>
      <c r="H470" s="82">
        <v>9.2</v>
      </c>
      <c r="I470" s="82">
        <v>-0.03</v>
      </c>
      <c r="J470" s="82">
        <v>4.81</v>
      </c>
      <c r="K470" s="82">
        <v>6.7</v>
      </c>
      <c r="L470" s="82">
        <v>1.93</v>
      </c>
      <c r="M470" s="82">
        <v>0.79</v>
      </c>
      <c r="N470" s="82">
        <v>0.44</v>
      </c>
      <c r="O470" s="82">
        <v>3.72</v>
      </c>
      <c r="P470" s="82">
        <v>-1.26</v>
      </c>
      <c r="Q470" s="82">
        <v>1.49</v>
      </c>
      <c r="R470" s="82">
        <v>-0.12</v>
      </c>
      <c r="S470" s="82">
        <v>-0.04</v>
      </c>
      <c r="T470" s="82">
        <v>13.66</v>
      </c>
      <c r="U470" s="82">
        <v>0.31</v>
      </c>
      <c r="V470" s="82">
        <v>0.67</v>
      </c>
      <c r="W470" s="82">
        <v>1.39</v>
      </c>
      <c r="X470" s="82">
        <v>28.03</v>
      </c>
      <c r="Z470" s="191">
        <v>2382964.65</v>
      </c>
      <c r="AA470" s="82">
        <v>5.84</v>
      </c>
      <c r="AB470" s="82">
        <v>-0.01</v>
      </c>
      <c r="AC470" s="82">
        <v>16.4</v>
      </c>
      <c r="AD470" s="191">
        <v>4.435541298E8</v>
      </c>
    </row>
    <row r="471">
      <c r="A471" s="82" t="s">
        <v>521</v>
      </c>
      <c r="B471" s="82">
        <v>28.74</v>
      </c>
      <c r="C471" s="82">
        <v>3.07</v>
      </c>
      <c r="D471" s="82">
        <v>8.53</v>
      </c>
      <c r="E471" s="82">
        <v>1.56</v>
      </c>
      <c r="F471" s="82">
        <v>0.34</v>
      </c>
      <c r="G471" s="82">
        <v>100.0</v>
      </c>
      <c r="H471" s="82">
        <v>7.28</v>
      </c>
      <c r="I471" s="82">
        <v>6.95</v>
      </c>
      <c r="J471" s="82">
        <v>8.15</v>
      </c>
      <c r="K471" s="82">
        <v>3.1</v>
      </c>
      <c r="L471" s="82">
        <v>-5.03</v>
      </c>
      <c r="M471" s="82">
        <v>-0.97</v>
      </c>
      <c r="N471" s="82">
        <v>0.59</v>
      </c>
      <c r="O471" s="82">
        <v>6.02</v>
      </c>
      <c r="P471" s="82">
        <v>-1.01</v>
      </c>
      <c r="Q471" s="82">
        <v>1.09</v>
      </c>
      <c r="R471" s="82">
        <v>18.33</v>
      </c>
      <c r="S471" s="82">
        <v>3.97</v>
      </c>
      <c r="T471" s="82">
        <v>11.13</v>
      </c>
      <c r="U471" s="82">
        <v>0.22</v>
      </c>
      <c r="V471" s="82">
        <v>0.78</v>
      </c>
      <c r="W471" s="82">
        <v>0.57</v>
      </c>
      <c r="X471" s="82">
        <v>10.41</v>
      </c>
      <c r="Y471" s="82">
        <v>14.57</v>
      </c>
      <c r="Z471" s="191">
        <v>4.061895005E7</v>
      </c>
      <c r="AA471" s="82">
        <v>18.34</v>
      </c>
      <c r="AB471" s="82">
        <v>3.36</v>
      </c>
      <c r="AC471" s="82">
        <v>0.09</v>
      </c>
      <c r="AD471" s="191">
        <v>1.85052930372E10</v>
      </c>
    </row>
    <row r="472">
      <c r="A472" s="82" t="s">
        <v>522</v>
      </c>
      <c r="B472" s="82">
        <v>6.89</v>
      </c>
      <c r="C472" s="82">
        <v>3.05</v>
      </c>
      <c r="D472" s="82">
        <v>-24.12</v>
      </c>
      <c r="E472" s="82">
        <v>2.54</v>
      </c>
      <c r="F472" s="82">
        <v>0.32</v>
      </c>
      <c r="G472" s="82">
        <v>39.65</v>
      </c>
      <c r="H472" s="82">
        <v>6.96</v>
      </c>
      <c r="I472" s="82">
        <v>-1.89</v>
      </c>
      <c r="J472" s="82">
        <v>6.55</v>
      </c>
      <c r="K472" s="82">
        <v>12.39</v>
      </c>
      <c r="L472" s="82">
        <v>5.85</v>
      </c>
      <c r="M472" s="82">
        <v>2.27</v>
      </c>
      <c r="N472" s="82">
        <v>0.46</v>
      </c>
      <c r="O472" s="82">
        <v>-43.34</v>
      </c>
      <c r="P472" s="82">
        <v>-0.53</v>
      </c>
      <c r="Q472" s="82">
        <v>0.98</v>
      </c>
      <c r="R472" s="82">
        <v>-10.54</v>
      </c>
      <c r="S472" s="82">
        <v>-1.33</v>
      </c>
      <c r="T472" s="82">
        <v>9.19</v>
      </c>
      <c r="U472" s="82">
        <v>0.13</v>
      </c>
      <c r="V472" s="82">
        <v>0.87</v>
      </c>
      <c r="W472" s="82">
        <v>0.7</v>
      </c>
      <c r="X472" s="82">
        <v>16.49</v>
      </c>
      <c r="Z472" s="191">
        <v>4936004.05</v>
      </c>
      <c r="AA472" s="82">
        <v>2.71</v>
      </c>
      <c r="AB472" s="82">
        <v>-0.29</v>
      </c>
      <c r="AC472" s="82">
        <v>0.2</v>
      </c>
      <c r="AD472" s="191">
        <v>9.6998977568E8</v>
      </c>
    </row>
    <row r="473">
      <c r="A473" s="82" t="s">
        <v>523</v>
      </c>
      <c r="B473" s="82">
        <v>0.0</v>
      </c>
      <c r="D473" s="82">
        <v>0.0</v>
      </c>
      <c r="E473" s="82">
        <v>0.0</v>
      </c>
      <c r="F473" s="82">
        <v>0.0</v>
      </c>
      <c r="G473" s="82">
        <v>46.88</v>
      </c>
      <c r="H473" s="82">
        <v>14.11</v>
      </c>
      <c r="I473" s="82">
        <v>8.55</v>
      </c>
      <c r="J473" s="82">
        <v>0.0</v>
      </c>
      <c r="K473" s="82">
        <v>1.09</v>
      </c>
      <c r="L473" s="82">
        <v>1.09</v>
      </c>
      <c r="M473" s="82">
        <v>0.47</v>
      </c>
      <c r="N473" s="82">
        <v>0.0</v>
      </c>
      <c r="O473" s="82">
        <v>0.0</v>
      </c>
      <c r="P473" s="82">
        <v>0.0</v>
      </c>
      <c r="Q473" s="82">
        <v>1.96</v>
      </c>
      <c r="R473" s="82">
        <v>26.22</v>
      </c>
      <c r="S473" s="82">
        <v>9.9</v>
      </c>
      <c r="T473" s="82">
        <v>16.76</v>
      </c>
      <c r="U473" s="82">
        <v>0.38</v>
      </c>
      <c r="V473" s="82">
        <v>0.62</v>
      </c>
      <c r="W473" s="82">
        <v>1.16</v>
      </c>
      <c r="X473" s="82">
        <v>21.08</v>
      </c>
      <c r="Y473" s="82">
        <v>27.39</v>
      </c>
      <c r="AA473" s="82">
        <v>28.81</v>
      </c>
      <c r="AB473" s="82">
        <v>7.55</v>
      </c>
      <c r="AC473" s="82">
        <v>0.0</v>
      </c>
      <c r="AD473" s="82">
        <v>0.0</v>
      </c>
    </row>
    <row r="474">
      <c r="A474" s="82" t="s">
        <v>524</v>
      </c>
      <c r="B474" s="82">
        <v>0.0</v>
      </c>
      <c r="D474" s="82">
        <v>0.0</v>
      </c>
      <c r="E474" s="82">
        <v>0.0</v>
      </c>
      <c r="F474" s="82">
        <v>0.0</v>
      </c>
      <c r="G474" s="82">
        <v>46.88</v>
      </c>
      <c r="H474" s="82">
        <v>14.11</v>
      </c>
      <c r="I474" s="82">
        <v>8.55</v>
      </c>
      <c r="J474" s="82">
        <v>0.0</v>
      </c>
      <c r="K474" s="82">
        <v>1.09</v>
      </c>
      <c r="L474" s="82">
        <v>1.09</v>
      </c>
      <c r="M474" s="82">
        <v>0.47</v>
      </c>
      <c r="N474" s="82">
        <v>0.0</v>
      </c>
      <c r="O474" s="82">
        <v>0.0</v>
      </c>
      <c r="P474" s="82">
        <v>0.0</v>
      </c>
      <c r="Q474" s="82">
        <v>1.96</v>
      </c>
      <c r="R474" s="82">
        <v>26.22</v>
      </c>
      <c r="S474" s="82">
        <v>9.9</v>
      </c>
      <c r="T474" s="82">
        <v>16.76</v>
      </c>
      <c r="U474" s="82">
        <v>0.38</v>
      </c>
      <c r="V474" s="82">
        <v>0.62</v>
      </c>
      <c r="W474" s="82">
        <v>1.16</v>
      </c>
      <c r="X474" s="82">
        <v>21.08</v>
      </c>
      <c r="Y474" s="82">
        <v>27.39</v>
      </c>
      <c r="AA474" s="82">
        <v>28.81</v>
      </c>
      <c r="AB474" s="82">
        <v>7.55</v>
      </c>
      <c r="AC474" s="82">
        <v>0.0</v>
      </c>
      <c r="AD474" s="82">
        <v>0.0</v>
      </c>
    </row>
    <row r="475">
      <c r="A475" s="82" t="s">
        <v>525</v>
      </c>
      <c r="B475" s="82">
        <v>10.98</v>
      </c>
      <c r="D475" s="82">
        <v>10.56</v>
      </c>
      <c r="E475" s="82">
        <v>1.41</v>
      </c>
      <c r="F475" s="82">
        <v>0.62</v>
      </c>
      <c r="G475" s="82">
        <v>17.15</v>
      </c>
      <c r="H475" s="82">
        <v>9.51</v>
      </c>
      <c r="I475" s="82">
        <v>6.09</v>
      </c>
      <c r="J475" s="82">
        <v>6.77</v>
      </c>
      <c r="K475" s="82">
        <v>6.83</v>
      </c>
      <c r="L475" s="82">
        <v>1.14</v>
      </c>
      <c r="M475" s="82">
        <v>0.24</v>
      </c>
      <c r="N475" s="82">
        <v>0.64</v>
      </c>
      <c r="O475" s="82">
        <v>2.29</v>
      </c>
      <c r="P475" s="82">
        <v>-1.26</v>
      </c>
      <c r="Q475" s="82">
        <v>2.11</v>
      </c>
      <c r="R475" s="82">
        <v>13.32</v>
      </c>
      <c r="S475" s="82">
        <v>5.83</v>
      </c>
      <c r="T475" s="82">
        <v>9.21</v>
      </c>
      <c r="U475" s="82">
        <v>0.44</v>
      </c>
      <c r="V475" s="82">
        <v>0.47</v>
      </c>
      <c r="W475" s="82">
        <v>0.96</v>
      </c>
      <c r="X475" s="82">
        <v>11.78</v>
      </c>
      <c r="Y475" s="82">
        <v>15.14</v>
      </c>
      <c r="Z475" s="191">
        <v>44374.33</v>
      </c>
      <c r="AA475" s="82">
        <v>7.8</v>
      </c>
      <c r="AB475" s="82">
        <v>1.04</v>
      </c>
      <c r="AC475" s="82">
        <v>-0.41</v>
      </c>
      <c r="AD475" s="191">
        <v>4.4331268492E8</v>
      </c>
    </row>
    <row r="476">
      <c r="A476" s="82" t="s">
        <v>526</v>
      </c>
      <c r="B476" s="82">
        <v>8.4</v>
      </c>
      <c r="D476" s="82">
        <v>8.08</v>
      </c>
      <c r="E476" s="82">
        <v>1.08</v>
      </c>
      <c r="F476" s="82">
        <v>0.47</v>
      </c>
      <c r="G476" s="82">
        <v>17.15</v>
      </c>
      <c r="H476" s="82">
        <v>9.51</v>
      </c>
      <c r="I476" s="82">
        <v>6.09</v>
      </c>
      <c r="J476" s="82">
        <v>5.18</v>
      </c>
      <c r="K476" s="82">
        <v>6.83</v>
      </c>
      <c r="L476" s="82">
        <v>1.14</v>
      </c>
      <c r="M476" s="82">
        <v>0.24</v>
      </c>
      <c r="N476" s="82">
        <v>0.49</v>
      </c>
      <c r="O476" s="82">
        <v>1.75</v>
      </c>
      <c r="P476" s="82">
        <v>-0.97</v>
      </c>
      <c r="Q476" s="82">
        <v>2.11</v>
      </c>
      <c r="R476" s="82">
        <v>13.32</v>
      </c>
      <c r="S476" s="82">
        <v>5.83</v>
      </c>
      <c r="T476" s="82">
        <v>9.21</v>
      </c>
      <c r="U476" s="82">
        <v>0.44</v>
      </c>
      <c r="V476" s="82">
        <v>0.47</v>
      </c>
      <c r="W476" s="82">
        <v>0.96</v>
      </c>
      <c r="X476" s="82">
        <v>11.78</v>
      </c>
      <c r="Y476" s="82">
        <v>15.14</v>
      </c>
      <c r="Z476" s="191">
        <v>87034.1</v>
      </c>
      <c r="AA476" s="82">
        <v>7.8</v>
      </c>
      <c r="AB476" s="82">
        <v>1.04</v>
      </c>
      <c r="AC476" s="82">
        <v>-0.31</v>
      </c>
      <c r="AD476" s="191">
        <v>4.4331268492E8</v>
      </c>
    </row>
    <row r="477">
      <c r="A477" s="82" t="s">
        <v>1772</v>
      </c>
      <c r="B477" s="82">
        <v>14.54</v>
      </c>
      <c r="C477" s="82">
        <v>1.03</v>
      </c>
      <c r="D477" s="82">
        <v>55.89</v>
      </c>
      <c r="E477" s="82">
        <v>1.0</v>
      </c>
      <c r="F477" s="82">
        <v>0.47</v>
      </c>
      <c r="G477" s="82">
        <v>36.94</v>
      </c>
      <c r="H477" s="82">
        <v>15.75</v>
      </c>
      <c r="I477" s="82">
        <v>4.27</v>
      </c>
      <c r="J477" s="82">
        <v>15.16</v>
      </c>
      <c r="K477" s="82">
        <v>17.65</v>
      </c>
      <c r="L477" s="82">
        <v>2.49</v>
      </c>
      <c r="M477" s="82">
        <v>0.16</v>
      </c>
      <c r="N477" s="82">
        <v>2.39</v>
      </c>
      <c r="O477" s="82">
        <v>3.73</v>
      </c>
      <c r="P477" s="82">
        <v>-0.67</v>
      </c>
      <c r="Q477" s="82">
        <v>1.77</v>
      </c>
      <c r="R477" s="82">
        <v>1.78</v>
      </c>
      <c r="S477" s="82">
        <v>0.85</v>
      </c>
      <c r="T477" s="82">
        <v>3.15</v>
      </c>
      <c r="U477" s="82">
        <v>0.47</v>
      </c>
      <c r="V477" s="82">
        <v>0.53</v>
      </c>
      <c r="W477" s="82">
        <v>0.2</v>
      </c>
      <c r="X477" s="82">
        <v>34.1</v>
      </c>
      <c r="Y477" s="82">
        <v>-28.0</v>
      </c>
      <c r="AA477" s="82">
        <v>14.58</v>
      </c>
      <c r="AB477" s="82">
        <v>0.26</v>
      </c>
      <c r="AC477" s="82">
        <v>-0.59</v>
      </c>
      <c r="AD477" s="191">
        <v>3.8648323987E9</v>
      </c>
    </row>
    <row r="478">
      <c r="A478" s="82" t="s">
        <v>527</v>
      </c>
      <c r="B478" s="82">
        <v>3.2</v>
      </c>
      <c r="C478" s="82">
        <v>2.47</v>
      </c>
      <c r="D478" s="82">
        <v>-22.75</v>
      </c>
      <c r="E478" s="82">
        <v>0.69</v>
      </c>
      <c r="F478" s="82">
        <v>0.19</v>
      </c>
      <c r="G478" s="82">
        <v>77.16</v>
      </c>
      <c r="H478" s="82">
        <v>5.27</v>
      </c>
      <c r="I478" s="82">
        <v>-2.24</v>
      </c>
      <c r="J478" s="82">
        <v>9.67</v>
      </c>
      <c r="K478" s="82">
        <v>23.33</v>
      </c>
      <c r="L478" s="82">
        <v>13.78</v>
      </c>
      <c r="M478" s="82">
        <v>0.98</v>
      </c>
      <c r="N478" s="82">
        <v>0.51</v>
      </c>
      <c r="O478" s="82">
        <v>4.1</v>
      </c>
      <c r="P478" s="82">
        <v>-0.3</v>
      </c>
      <c r="Q478" s="82">
        <v>1.16</v>
      </c>
      <c r="R478" s="82">
        <v>-3.02</v>
      </c>
      <c r="S478" s="82">
        <v>-0.86</v>
      </c>
      <c r="T478" s="82">
        <v>1.02</v>
      </c>
      <c r="U478" s="82">
        <v>0.28</v>
      </c>
      <c r="V478" s="82">
        <v>0.71</v>
      </c>
      <c r="W478" s="82">
        <v>0.38</v>
      </c>
      <c r="X478" s="82">
        <v>-1.22</v>
      </c>
      <c r="Z478" s="191">
        <v>1.76740016E7</v>
      </c>
      <c r="AA478" s="82">
        <v>4.67</v>
      </c>
      <c r="AB478" s="82">
        <v>-0.14</v>
      </c>
      <c r="AC478" s="82">
        <v>0.19</v>
      </c>
      <c r="AD478" s="191">
        <v>9.0032541025E8</v>
      </c>
    </row>
    <row r="479">
      <c r="A479" s="82" t="s">
        <v>528</v>
      </c>
      <c r="B479" s="82">
        <v>0.0</v>
      </c>
      <c r="D479" s="82">
        <v>0.0</v>
      </c>
      <c r="E479" s="82">
        <v>0.0</v>
      </c>
      <c r="F479" s="82">
        <v>0.0</v>
      </c>
      <c r="G479" s="82">
        <v>89.05</v>
      </c>
      <c r="H479" s="82">
        <v>50.37</v>
      </c>
      <c r="I479" s="82">
        <v>21.46</v>
      </c>
      <c r="J479" s="82">
        <v>0.0</v>
      </c>
      <c r="K479" s="82">
        <v>1.21</v>
      </c>
      <c r="L479" s="82">
        <v>1.21</v>
      </c>
      <c r="M479" s="82">
        <v>0.59</v>
      </c>
      <c r="N479" s="82">
        <v>0.0</v>
      </c>
      <c r="O479" s="82">
        <v>0.0</v>
      </c>
      <c r="P479" s="82">
        <v>0.0</v>
      </c>
      <c r="Q479" s="82">
        <v>1.56</v>
      </c>
      <c r="R479" s="82">
        <v>20.69</v>
      </c>
      <c r="S479" s="82">
        <v>6.99</v>
      </c>
      <c r="T479" s="82">
        <v>21.6</v>
      </c>
      <c r="U479" s="82">
        <v>0.34</v>
      </c>
      <c r="V479" s="82">
        <v>0.66</v>
      </c>
      <c r="W479" s="82">
        <v>0.33</v>
      </c>
      <c r="X479" s="82">
        <v>-6.67</v>
      </c>
      <c r="AA479" s="82">
        <v>88.35</v>
      </c>
      <c r="AB479" s="82">
        <v>18.28</v>
      </c>
      <c r="AC479" s="82">
        <v>0.0</v>
      </c>
      <c r="AD479" s="82">
        <v>0.0</v>
      </c>
    </row>
    <row r="480">
      <c r="A480" s="82" t="s">
        <v>529</v>
      </c>
      <c r="B480" s="82">
        <v>0.0</v>
      </c>
      <c r="D480" s="82">
        <v>0.0</v>
      </c>
      <c r="E480" s="82">
        <v>0.0</v>
      </c>
      <c r="F480" s="82">
        <v>0.0</v>
      </c>
      <c r="J480" s="82">
        <v>0.0</v>
      </c>
      <c r="K480" s="82">
        <v>1.22</v>
      </c>
      <c r="L480" s="82">
        <v>1.22</v>
      </c>
      <c r="M480" s="82">
        <v>-0.98</v>
      </c>
      <c r="O480" s="82">
        <v>0.0</v>
      </c>
      <c r="R480" s="82">
        <v>-68.49</v>
      </c>
      <c r="S480" s="82">
        <v>-68.49</v>
      </c>
      <c r="T480" s="82">
        <v>-80.14</v>
      </c>
      <c r="U480" s="82">
        <v>1.0</v>
      </c>
      <c r="V480" s="82">
        <v>0.0</v>
      </c>
      <c r="W480" s="82">
        <v>0.0</v>
      </c>
      <c r="AA480" s="82">
        <v>0.0</v>
      </c>
      <c r="AB480" s="82">
        <v>0.0</v>
      </c>
      <c r="AC480" s="82">
        <v>0.0</v>
      </c>
      <c r="AD480" s="82">
        <v>0.0</v>
      </c>
    </row>
    <row r="481">
      <c r="A481" s="82" t="s">
        <v>530</v>
      </c>
      <c r="B481" s="82">
        <v>29.43</v>
      </c>
      <c r="C481" s="82">
        <v>0.33</v>
      </c>
      <c r="D481" s="82">
        <v>46.86</v>
      </c>
      <c r="E481" s="82">
        <v>8.84</v>
      </c>
      <c r="F481" s="82">
        <v>2.61</v>
      </c>
      <c r="G481" s="82">
        <v>29.98</v>
      </c>
      <c r="H481" s="82">
        <v>6.28</v>
      </c>
      <c r="I481" s="82">
        <v>3.28</v>
      </c>
      <c r="J481" s="82">
        <v>24.5</v>
      </c>
      <c r="K481" s="82">
        <v>25.65</v>
      </c>
      <c r="L481" s="82">
        <v>1.2</v>
      </c>
      <c r="M481" s="82">
        <v>0.43</v>
      </c>
      <c r="N481" s="82">
        <v>1.54</v>
      </c>
      <c r="O481" s="82">
        <v>13.97</v>
      </c>
      <c r="P481" s="82">
        <v>-6.27</v>
      </c>
      <c r="Q481" s="82">
        <v>1.47</v>
      </c>
      <c r="R481" s="82">
        <v>18.86</v>
      </c>
      <c r="S481" s="82">
        <v>5.57</v>
      </c>
      <c r="T481" s="82">
        <v>21.88</v>
      </c>
      <c r="U481" s="82">
        <v>0.3</v>
      </c>
      <c r="V481" s="82">
        <v>0.7</v>
      </c>
      <c r="W481" s="82">
        <v>1.7</v>
      </c>
      <c r="X481" s="82">
        <v>17.08</v>
      </c>
      <c r="Y481" s="82">
        <v>16.12</v>
      </c>
      <c r="Z481" s="191">
        <v>1.1338440075E8</v>
      </c>
      <c r="AA481" s="82">
        <v>3.33</v>
      </c>
      <c r="AB481" s="82">
        <v>0.63</v>
      </c>
      <c r="AC481" s="82">
        <v>2.08</v>
      </c>
      <c r="AD481" s="191">
        <v>5.0475051536E10</v>
      </c>
    </row>
    <row r="482">
      <c r="A482" s="82" t="s">
        <v>531</v>
      </c>
      <c r="B482" s="82">
        <v>22.51</v>
      </c>
      <c r="C482" s="82">
        <v>0.29</v>
      </c>
      <c r="D482" s="82">
        <v>43.2</v>
      </c>
      <c r="E482" s="82">
        <v>2.61</v>
      </c>
      <c r="F482" s="82">
        <v>0.84</v>
      </c>
      <c r="G482" s="82">
        <v>36.76</v>
      </c>
      <c r="H482" s="82">
        <v>35.38</v>
      </c>
      <c r="I482" s="82">
        <v>9.13</v>
      </c>
      <c r="J482" s="82">
        <v>11.15</v>
      </c>
      <c r="K482" s="82">
        <v>14.38</v>
      </c>
      <c r="L482" s="82">
        <v>3.25</v>
      </c>
      <c r="M482" s="82">
        <v>0.76</v>
      </c>
      <c r="N482" s="82">
        <v>3.94</v>
      </c>
      <c r="O482" s="82">
        <v>7.3</v>
      </c>
      <c r="P482" s="82">
        <v>-1.1</v>
      </c>
      <c r="Q482" s="82">
        <v>1.99</v>
      </c>
      <c r="R482" s="82">
        <v>6.04</v>
      </c>
      <c r="S482" s="82">
        <v>1.95</v>
      </c>
      <c r="T482" s="82">
        <v>10.08</v>
      </c>
      <c r="U482" s="82">
        <v>0.32</v>
      </c>
      <c r="V482" s="82">
        <v>0.67</v>
      </c>
      <c r="W482" s="82">
        <v>0.21</v>
      </c>
      <c r="X482" s="82">
        <v>10.6</v>
      </c>
      <c r="Z482" s="191">
        <v>2.7950940725E8</v>
      </c>
      <c r="AA482" s="82">
        <v>8.59</v>
      </c>
      <c r="AB482" s="82">
        <v>0.52</v>
      </c>
      <c r="AC482" s="82">
        <v>-0.04</v>
      </c>
      <c r="AD482" s="191">
        <v>4.153051576811E10</v>
      </c>
    </row>
    <row r="483">
      <c r="A483" s="82" t="s">
        <v>532</v>
      </c>
      <c r="B483" s="82">
        <v>4.09</v>
      </c>
      <c r="C483" s="82">
        <v>6.53</v>
      </c>
      <c r="D483" s="82">
        <v>12.47</v>
      </c>
      <c r="E483" s="82">
        <v>1.84</v>
      </c>
      <c r="F483" s="82">
        <v>0.38</v>
      </c>
      <c r="G483" s="82">
        <v>7.99</v>
      </c>
      <c r="H483" s="82">
        <v>4.97</v>
      </c>
      <c r="I483" s="82">
        <v>1.52</v>
      </c>
      <c r="J483" s="82">
        <v>3.8</v>
      </c>
      <c r="K483" s="82">
        <v>6.63</v>
      </c>
      <c r="L483" s="82">
        <v>2.84</v>
      </c>
      <c r="M483" s="82">
        <v>1.38</v>
      </c>
      <c r="N483" s="82">
        <v>0.19</v>
      </c>
      <c r="O483" s="82">
        <v>15.93</v>
      </c>
      <c r="P483" s="82">
        <v>-0.66</v>
      </c>
      <c r="Q483" s="82">
        <v>1.06</v>
      </c>
      <c r="R483" s="82">
        <v>14.79</v>
      </c>
      <c r="S483" s="82">
        <v>3.04</v>
      </c>
      <c r="T483" s="82">
        <v>14.92</v>
      </c>
      <c r="U483" s="82">
        <v>0.21</v>
      </c>
      <c r="V483" s="82">
        <v>0.79</v>
      </c>
      <c r="W483" s="82">
        <v>2.0</v>
      </c>
      <c r="Z483" s="191">
        <v>9.061230925E7</v>
      </c>
      <c r="AA483" s="82">
        <v>2.21</v>
      </c>
      <c r="AB483" s="82">
        <v>0.33</v>
      </c>
      <c r="AC483" s="82">
        <v>0.08</v>
      </c>
      <c r="AD483" s="191">
        <v>4.213471359988E10</v>
      </c>
    </row>
    <row r="484">
      <c r="A484" s="82" t="s">
        <v>533</v>
      </c>
      <c r="B484" s="82">
        <v>10.65</v>
      </c>
      <c r="C484" s="82">
        <v>8.03</v>
      </c>
      <c r="D484" s="82">
        <v>5.67</v>
      </c>
      <c r="E484" s="82">
        <v>2.03</v>
      </c>
      <c r="F484" s="82">
        <v>0.75</v>
      </c>
      <c r="G484" s="82">
        <v>46.85</v>
      </c>
      <c r="H484" s="82">
        <v>40.73</v>
      </c>
      <c r="I484" s="82">
        <v>28.58</v>
      </c>
      <c r="J484" s="82">
        <v>3.97</v>
      </c>
      <c r="K484" s="82">
        <v>5.55</v>
      </c>
      <c r="L484" s="82">
        <v>1.59</v>
      </c>
      <c r="M484" s="82">
        <v>0.81</v>
      </c>
      <c r="N484" s="82">
        <v>1.62</v>
      </c>
      <c r="O484" s="82">
        <v>3.05</v>
      </c>
      <c r="P484" s="82">
        <v>-1.13</v>
      </c>
      <c r="Q484" s="82">
        <v>3.91</v>
      </c>
      <c r="R484" s="82">
        <v>35.81</v>
      </c>
      <c r="S484" s="82">
        <v>13.31</v>
      </c>
      <c r="T484" s="82">
        <v>17.18</v>
      </c>
      <c r="U484" s="82">
        <v>0.37</v>
      </c>
      <c r="V484" s="82">
        <v>0.63</v>
      </c>
      <c r="W484" s="82">
        <v>0.47</v>
      </c>
      <c r="X484" s="82">
        <v>14.44</v>
      </c>
      <c r="Z484" s="191">
        <v>1.09111153E7</v>
      </c>
      <c r="AA484" s="82">
        <v>5.24</v>
      </c>
      <c r="AB484" s="82">
        <v>1.88</v>
      </c>
      <c r="AC484" s="82">
        <v>0.19</v>
      </c>
      <c r="AD484" s="191">
        <v>2.60894518821E9</v>
      </c>
    </row>
    <row r="485">
      <c r="A485" s="82" t="s">
        <v>534</v>
      </c>
      <c r="B485" s="82">
        <v>5.5</v>
      </c>
      <c r="D485" s="82">
        <v>2.93</v>
      </c>
      <c r="E485" s="82">
        <v>1.05</v>
      </c>
      <c r="F485" s="82">
        <v>0.39</v>
      </c>
      <c r="G485" s="82">
        <v>46.85</v>
      </c>
      <c r="H485" s="82">
        <v>40.73</v>
      </c>
      <c r="I485" s="82">
        <v>28.58</v>
      </c>
      <c r="J485" s="82">
        <v>2.06</v>
      </c>
      <c r="K485" s="82">
        <v>5.55</v>
      </c>
      <c r="L485" s="82">
        <v>1.59</v>
      </c>
      <c r="M485" s="82">
        <v>0.81</v>
      </c>
      <c r="N485" s="82">
        <v>0.84</v>
      </c>
      <c r="O485" s="82">
        <v>1.58</v>
      </c>
      <c r="P485" s="82">
        <v>-0.58</v>
      </c>
      <c r="Q485" s="82">
        <v>3.91</v>
      </c>
      <c r="R485" s="82">
        <v>35.81</v>
      </c>
      <c r="S485" s="82">
        <v>13.31</v>
      </c>
      <c r="T485" s="82">
        <v>17.18</v>
      </c>
      <c r="U485" s="82">
        <v>0.37</v>
      </c>
      <c r="V485" s="82">
        <v>0.63</v>
      </c>
      <c r="W485" s="82">
        <v>0.47</v>
      </c>
      <c r="X485" s="82">
        <v>14.44</v>
      </c>
      <c r="AA485" s="82">
        <v>5.24</v>
      </c>
      <c r="AB485" s="82">
        <v>1.88</v>
      </c>
      <c r="AC485" s="82">
        <v>0.1</v>
      </c>
      <c r="AD485" s="191">
        <v>2.60894518821E9</v>
      </c>
    </row>
    <row r="486">
      <c r="A486" s="82" t="s">
        <v>535</v>
      </c>
      <c r="B486" s="82">
        <v>11.73</v>
      </c>
      <c r="C486" s="82">
        <v>1.9</v>
      </c>
      <c r="D486" s="82">
        <v>9.29</v>
      </c>
      <c r="E486" s="82">
        <v>1.31</v>
      </c>
      <c r="F486" s="82">
        <v>0.3</v>
      </c>
      <c r="G486" s="82">
        <v>25.06</v>
      </c>
      <c r="H486" s="82">
        <v>11.93</v>
      </c>
      <c r="I486" s="82">
        <v>3.72</v>
      </c>
      <c r="J486" s="82">
        <v>2.9</v>
      </c>
      <c r="K486" s="82">
        <v>5.17</v>
      </c>
      <c r="L486" s="82">
        <v>2.14</v>
      </c>
      <c r="M486" s="82">
        <v>0.97</v>
      </c>
      <c r="N486" s="82">
        <v>0.35</v>
      </c>
      <c r="O486" s="82">
        <v>0.99</v>
      </c>
      <c r="P486" s="82">
        <v>-0.73</v>
      </c>
      <c r="Q486" s="82">
        <v>2.1</v>
      </c>
      <c r="R486" s="82">
        <v>14.12</v>
      </c>
      <c r="S486" s="82">
        <v>3.26</v>
      </c>
      <c r="T486" s="82">
        <v>11.63</v>
      </c>
      <c r="U486" s="82">
        <v>0.23</v>
      </c>
      <c r="V486" s="82">
        <v>0.68</v>
      </c>
      <c r="W486" s="82">
        <v>0.88</v>
      </c>
      <c r="X486" s="82">
        <v>30.59</v>
      </c>
      <c r="Y486" s="82">
        <v>54.84</v>
      </c>
      <c r="Z486" s="191">
        <v>210648.2</v>
      </c>
      <c r="AA486" s="82">
        <v>8.94</v>
      </c>
      <c r="AB486" s="82">
        <v>1.26</v>
      </c>
      <c r="AC486" s="82">
        <v>-0.42</v>
      </c>
      <c r="AD486" s="191">
        <v>4.04657892347E9</v>
      </c>
    </row>
    <row r="487">
      <c r="A487" s="82" t="s">
        <v>536</v>
      </c>
      <c r="B487" s="82">
        <v>12.86</v>
      </c>
      <c r="C487" s="82">
        <v>1.73</v>
      </c>
      <c r="D487" s="82">
        <v>10.21</v>
      </c>
      <c r="E487" s="82">
        <v>1.44</v>
      </c>
      <c r="F487" s="82">
        <v>0.33</v>
      </c>
      <c r="G487" s="82">
        <v>25.06</v>
      </c>
      <c r="H487" s="82">
        <v>11.93</v>
      </c>
      <c r="I487" s="82">
        <v>3.72</v>
      </c>
      <c r="J487" s="82">
        <v>3.18</v>
      </c>
      <c r="K487" s="82">
        <v>5.17</v>
      </c>
      <c r="L487" s="82">
        <v>2.14</v>
      </c>
      <c r="M487" s="82">
        <v>0.97</v>
      </c>
      <c r="N487" s="82">
        <v>0.38</v>
      </c>
      <c r="O487" s="82">
        <v>1.09</v>
      </c>
      <c r="P487" s="82">
        <v>-0.8</v>
      </c>
      <c r="Q487" s="82">
        <v>2.1</v>
      </c>
      <c r="R487" s="82">
        <v>14.12</v>
      </c>
      <c r="S487" s="82">
        <v>3.26</v>
      </c>
      <c r="T487" s="82">
        <v>11.63</v>
      </c>
      <c r="U487" s="82">
        <v>0.23</v>
      </c>
      <c r="V487" s="82">
        <v>0.68</v>
      </c>
      <c r="W487" s="82">
        <v>0.88</v>
      </c>
      <c r="X487" s="82">
        <v>30.59</v>
      </c>
      <c r="Y487" s="82">
        <v>54.84</v>
      </c>
      <c r="Z487" s="191">
        <v>2.29405375E7</v>
      </c>
      <c r="AA487" s="82">
        <v>8.94</v>
      </c>
      <c r="AB487" s="82">
        <v>1.26</v>
      </c>
      <c r="AC487" s="82">
        <v>-0.46</v>
      </c>
      <c r="AD487" s="191">
        <v>4.04657892347E9</v>
      </c>
    </row>
    <row r="488">
      <c r="A488" s="82" t="s">
        <v>537</v>
      </c>
      <c r="B488" s="82">
        <v>2.43</v>
      </c>
      <c r="D488" s="82">
        <v>-22.39</v>
      </c>
      <c r="E488" s="191">
        <v>2677.46</v>
      </c>
      <c r="F488" s="82">
        <v>5.07</v>
      </c>
      <c r="G488" s="82">
        <v>12.72</v>
      </c>
      <c r="H488" s="82">
        <v>8.87</v>
      </c>
      <c r="I488" s="82">
        <v>-22.44</v>
      </c>
      <c r="J488" s="82">
        <v>56.63</v>
      </c>
      <c r="K488" s="82">
        <v>32.32</v>
      </c>
      <c r="L488" s="82">
        <v>-0.01</v>
      </c>
      <c r="M488" s="82">
        <v>-0.42</v>
      </c>
      <c r="N488" s="82">
        <v>5.03</v>
      </c>
      <c r="O488" s="82">
        <v>37.31</v>
      </c>
      <c r="P488" s="82">
        <v>-9.94</v>
      </c>
      <c r="Q488" s="82">
        <v>1.38</v>
      </c>
      <c r="R488" s="191">
        <v>-11956.9</v>
      </c>
      <c r="S488" s="82">
        <v>-22.62</v>
      </c>
      <c r="T488" s="191">
        <v>4853.1</v>
      </c>
      <c r="U488" s="82">
        <v>0.0</v>
      </c>
      <c r="V488" s="82">
        <v>1.0</v>
      </c>
      <c r="W488" s="82">
        <v>1.01</v>
      </c>
      <c r="X488" s="82">
        <v>362.53</v>
      </c>
      <c r="Z488" s="191">
        <v>5188540.8</v>
      </c>
      <c r="AA488" s="82">
        <v>0.0</v>
      </c>
      <c r="AB488" s="82">
        <v>-0.11</v>
      </c>
      <c r="AC488" s="82">
        <v>-0.06</v>
      </c>
      <c r="AD488" s="191">
        <v>1.7729094431E8</v>
      </c>
    </row>
    <row r="489">
      <c r="A489" s="82" t="s">
        <v>538</v>
      </c>
      <c r="B489" s="82">
        <v>0.86</v>
      </c>
      <c r="D489" s="82">
        <v>-7.89</v>
      </c>
      <c r="E489" s="82">
        <v>943.7</v>
      </c>
      <c r="F489" s="82">
        <v>1.79</v>
      </c>
      <c r="G489" s="82">
        <v>12.72</v>
      </c>
      <c r="H489" s="82">
        <v>8.87</v>
      </c>
      <c r="I489" s="82">
        <v>-22.44</v>
      </c>
      <c r="J489" s="82">
        <v>19.96</v>
      </c>
      <c r="K489" s="82">
        <v>32.32</v>
      </c>
      <c r="L489" s="82">
        <v>-0.01</v>
      </c>
      <c r="M489" s="82">
        <v>-0.42</v>
      </c>
      <c r="N489" s="82">
        <v>1.77</v>
      </c>
      <c r="O489" s="82">
        <v>13.15</v>
      </c>
      <c r="P489" s="82">
        <v>-3.5</v>
      </c>
      <c r="Q489" s="82">
        <v>1.38</v>
      </c>
      <c r="R489" s="191">
        <v>-11956.9</v>
      </c>
      <c r="S489" s="82">
        <v>-22.62</v>
      </c>
      <c r="T489" s="191">
        <v>4853.1</v>
      </c>
      <c r="U489" s="82">
        <v>0.0</v>
      </c>
      <c r="V489" s="82">
        <v>1.0</v>
      </c>
      <c r="W489" s="82">
        <v>1.01</v>
      </c>
      <c r="X489" s="82">
        <v>362.53</v>
      </c>
      <c r="Z489" s="191">
        <v>2797140.55</v>
      </c>
      <c r="AA489" s="82">
        <v>0.0</v>
      </c>
      <c r="AB489" s="82">
        <v>-0.11</v>
      </c>
      <c r="AC489" s="82">
        <v>-0.02</v>
      </c>
      <c r="AD489" s="191">
        <v>1.7729094431E8</v>
      </c>
    </row>
    <row r="490">
      <c r="A490" s="82" t="s">
        <v>539</v>
      </c>
      <c r="B490" s="82">
        <v>4.63</v>
      </c>
      <c r="C490" s="82">
        <v>3.11</v>
      </c>
      <c r="D490" s="82">
        <v>6.73</v>
      </c>
      <c r="E490" s="82">
        <v>0.35</v>
      </c>
      <c r="F490" s="82">
        <v>0.09</v>
      </c>
      <c r="G490" s="82">
        <v>23.85</v>
      </c>
      <c r="H490" s="82">
        <v>3.42</v>
      </c>
      <c r="I490" s="82">
        <v>5.18</v>
      </c>
      <c r="J490" s="82">
        <v>10.19</v>
      </c>
      <c r="K490" s="82">
        <v>47.98</v>
      </c>
      <c r="L490" s="82">
        <v>37.68</v>
      </c>
      <c r="M490" s="82">
        <v>1.29</v>
      </c>
      <c r="N490" s="82">
        <v>0.35</v>
      </c>
      <c r="O490" s="82">
        <v>0.86</v>
      </c>
      <c r="P490" s="82">
        <v>-0.12</v>
      </c>
      <c r="Q490" s="82">
        <v>1.55</v>
      </c>
      <c r="R490" s="82">
        <v>5.18</v>
      </c>
      <c r="S490" s="82">
        <v>1.29</v>
      </c>
      <c r="T490" s="82">
        <v>0.04</v>
      </c>
      <c r="U490" s="82">
        <v>0.25</v>
      </c>
      <c r="V490" s="82">
        <v>0.74</v>
      </c>
      <c r="W490" s="82">
        <v>0.25</v>
      </c>
      <c r="X490" s="82">
        <v>18.15</v>
      </c>
      <c r="Z490" s="191">
        <v>70980.5</v>
      </c>
      <c r="AA490" s="82">
        <v>13.28</v>
      </c>
      <c r="AB490" s="82">
        <v>0.69</v>
      </c>
      <c r="AC490" s="82">
        <v>0.09</v>
      </c>
      <c r="AD490" s="191">
        <v>2.0484270144E8</v>
      </c>
    </row>
    <row r="491">
      <c r="A491" s="82" t="s">
        <v>540</v>
      </c>
      <c r="B491" s="82">
        <v>27.69</v>
      </c>
      <c r="C491" s="82">
        <v>1.33</v>
      </c>
      <c r="D491" s="82">
        <v>37.12</v>
      </c>
      <c r="E491" s="82">
        <v>2.78</v>
      </c>
      <c r="F491" s="82">
        <v>0.66</v>
      </c>
      <c r="G491" s="82">
        <v>17.33</v>
      </c>
      <c r="H491" s="82">
        <v>10.55</v>
      </c>
      <c r="I491" s="82">
        <v>4.21</v>
      </c>
      <c r="J491" s="82">
        <v>14.8</v>
      </c>
      <c r="K491" s="82">
        <v>15.33</v>
      </c>
      <c r="L491" s="82">
        <v>0.48</v>
      </c>
      <c r="M491" s="82">
        <v>0.09</v>
      </c>
      <c r="N491" s="82">
        <v>1.56</v>
      </c>
      <c r="O491" s="82">
        <v>2.25</v>
      </c>
      <c r="P491" s="82">
        <v>-1.24</v>
      </c>
      <c r="Q491" s="82">
        <v>2.7</v>
      </c>
      <c r="R491" s="82">
        <v>7.49</v>
      </c>
      <c r="S491" s="82">
        <v>1.78</v>
      </c>
      <c r="T491" s="82">
        <v>6.86</v>
      </c>
      <c r="U491" s="82">
        <v>0.24</v>
      </c>
      <c r="V491" s="82">
        <v>0.75</v>
      </c>
      <c r="W491" s="82">
        <v>0.42</v>
      </c>
      <c r="Z491" s="191">
        <v>1.2293830815E8</v>
      </c>
      <c r="AA491" s="82">
        <v>9.95</v>
      </c>
      <c r="AB491" s="82">
        <v>0.75</v>
      </c>
      <c r="AC491" s="82">
        <v>1.52</v>
      </c>
      <c r="AD491" s="191">
        <v>6.35736552243E10</v>
      </c>
    </row>
    <row r="492">
      <c r="A492" s="82" t="s">
        <v>541</v>
      </c>
      <c r="B492" s="82">
        <v>20.62</v>
      </c>
      <c r="C492" s="82">
        <v>4.79</v>
      </c>
      <c r="D492" s="82">
        <v>6.52</v>
      </c>
      <c r="E492" s="82">
        <v>1.37</v>
      </c>
      <c r="F492" s="82">
        <v>0.88</v>
      </c>
      <c r="G492" s="82">
        <v>37.04</v>
      </c>
      <c r="H492" s="82">
        <v>31.28</v>
      </c>
      <c r="I492" s="82">
        <v>32.08</v>
      </c>
      <c r="J492" s="82">
        <v>6.69</v>
      </c>
      <c r="K492" s="82">
        <v>6.87</v>
      </c>
      <c r="L492" s="82">
        <v>0.22</v>
      </c>
      <c r="M492" s="82">
        <v>0.04</v>
      </c>
      <c r="N492" s="82">
        <v>2.09</v>
      </c>
      <c r="O492" s="82">
        <v>44.27</v>
      </c>
      <c r="P492" s="82">
        <v>-1.08</v>
      </c>
      <c r="Q492" s="82">
        <v>1.12</v>
      </c>
      <c r="R492" s="82">
        <v>21.02</v>
      </c>
      <c r="S492" s="82">
        <v>13.47</v>
      </c>
      <c r="T492" s="82">
        <v>16.17</v>
      </c>
      <c r="U492" s="82">
        <v>0.64</v>
      </c>
      <c r="V492" s="82">
        <v>0.36</v>
      </c>
      <c r="W492" s="82">
        <v>0.42</v>
      </c>
      <c r="Z492" s="191">
        <v>6.04062794E7</v>
      </c>
      <c r="AA492" s="82">
        <v>15.1</v>
      </c>
      <c r="AB492" s="82">
        <v>3.17</v>
      </c>
      <c r="AC492" s="82">
        <v>0.47</v>
      </c>
      <c r="AD492" s="191">
        <v>6.03572557308E9</v>
      </c>
    </row>
    <row r="493">
      <c r="A493" s="82" t="s">
        <v>542</v>
      </c>
      <c r="B493" s="82">
        <v>6.78</v>
      </c>
      <c r="C493" s="82">
        <v>10.38</v>
      </c>
      <c r="D493" s="82">
        <v>9.94</v>
      </c>
      <c r="E493" s="82">
        <v>2.47</v>
      </c>
      <c r="F493" s="82">
        <v>0.55</v>
      </c>
      <c r="G493" s="82">
        <v>30.1</v>
      </c>
      <c r="H493" s="82">
        <v>23.48</v>
      </c>
      <c r="I493" s="82">
        <v>9.43</v>
      </c>
      <c r="J493" s="82">
        <v>3.99</v>
      </c>
      <c r="K493" s="82">
        <v>6.76</v>
      </c>
      <c r="L493" s="82">
        <v>2.81</v>
      </c>
      <c r="M493" s="82">
        <v>1.74</v>
      </c>
      <c r="N493" s="82">
        <v>0.94</v>
      </c>
      <c r="O493" s="82">
        <v>32.67</v>
      </c>
      <c r="P493" s="82">
        <v>-0.75</v>
      </c>
      <c r="Q493" s="82">
        <v>1.07</v>
      </c>
      <c r="R493" s="82">
        <v>24.89</v>
      </c>
      <c r="S493" s="82">
        <v>5.5</v>
      </c>
      <c r="T493" s="82">
        <v>17.54</v>
      </c>
      <c r="U493" s="82">
        <v>0.22</v>
      </c>
      <c r="V493" s="82">
        <v>0.78</v>
      </c>
      <c r="W493" s="82">
        <v>0.58</v>
      </c>
      <c r="X493" s="82">
        <v>10.99</v>
      </c>
      <c r="Y493" s="82">
        <v>67.22</v>
      </c>
      <c r="Z493" s="191">
        <v>38278.2</v>
      </c>
      <c r="AA493" s="82">
        <v>2.77</v>
      </c>
      <c r="AB493" s="82">
        <v>0.69</v>
      </c>
      <c r="AC493" s="82">
        <v>-12.66</v>
      </c>
      <c r="AD493" s="191">
        <v>1.430799247572E10</v>
      </c>
    </row>
    <row r="494">
      <c r="A494" s="82" t="s">
        <v>543</v>
      </c>
      <c r="B494" s="82">
        <v>60.92</v>
      </c>
      <c r="C494" s="82">
        <v>1.84</v>
      </c>
      <c r="D494" s="82">
        <v>42.37</v>
      </c>
      <c r="E494" s="82">
        <v>2.6</v>
      </c>
      <c r="F494" s="82">
        <v>0.89</v>
      </c>
      <c r="G494" s="82">
        <v>29.04</v>
      </c>
      <c r="H494" s="82">
        <v>19.78</v>
      </c>
      <c r="I494" s="82">
        <v>5.75</v>
      </c>
      <c r="J494" s="82">
        <v>12.31</v>
      </c>
      <c r="K494" s="82">
        <v>17.61</v>
      </c>
      <c r="L494" s="82">
        <v>5.31</v>
      </c>
      <c r="M494" s="82">
        <v>1.12</v>
      </c>
      <c r="N494" s="82">
        <v>2.44</v>
      </c>
      <c r="O494" s="82">
        <v>251.57</v>
      </c>
      <c r="P494" s="82">
        <v>-1.11</v>
      </c>
      <c r="Q494" s="82">
        <v>1.02</v>
      </c>
      <c r="R494" s="82">
        <v>6.13</v>
      </c>
      <c r="S494" s="82">
        <v>2.09</v>
      </c>
      <c r="T494" s="82">
        <v>8.55</v>
      </c>
      <c r="U494" s="82">
        <v>0.34</v>
      </c>
      <c r="V494" s="82">
        <v>0.66</v>
      </c>
      <c r="W494" s="82">
        <v>0.36</v>
      </c>
      <c r="X494" s="82">
        <v>24.03</v>
      </c>
      <c r="Y494" s="82">
        <v>25.03</v>
      </c>
      <c r="Z494" s="191">
        <v>3.5105942975E8</v>
      </c>
      <c r="AA494" s="82">
        <v>23.59</v>
      </c>
      <c r="AB494" s="82">
        <v>1.45</v>
      </c>
      <c r="AC494" s="82">
        <v>-2.64</v>
      </c>
      <c r="AD494" s="191">
        <v>6.538879542918E10</v>
      </c>
    </row>
    <row r="495">
      <c r="A495" s="82" t="s">
        <v>546</v>
      </c>
      <c r="B495" s="82">
        <v>23.08</v>
      </c>
      <c r="D495" s="82">
        <v>82.76</v>
      </c>
      <c r="E495" s="82">
        <v>4.26</v>
      </c>
      <c r="F495" s="82">
        <v>0.23</v>
      </c>
      <c r="G495" s="82">
        <v>34.71</v>
      </c>
      <c r="H495" s="82">
        <v>29.67</v>
      </c>
      <c r="I495" s="82">
        <v>1.85</v>
      </c>
      <c r="J495" s="82">
        <v>5.17</v>
      </c>
      <c r="K495" s="82">
        <v>12.09</v>
      </c>
      <c r="L495" s="82">
        <v>6.92</v>
      </c>
      <c r="M495" s="82">
        <v>5.71</v>
      </c>
      <c r="N495" s="82">
        <v>1.53</v>
      </c>
      <c r="O495" s="82">
        <v>1.49</v>
      </c>
      <c r="P495" s="82">
        <v>-0.31</v>
      </c>
      <c r="Q495" s="82">
        <v>2.64</v>
      </c>
      <c r="R495" s="82">
        <v>5.15</v>
      </c>
      <c r="S495" s="82">
        <v>0.28</v>
      </c>
      <c r="T495" s="82">
        <v>5.46</v>
      </c>
      <c r="U495" s="82">
        <v>0.05</v>
      </c>
      <c r="V495" s="82">
        <v>0.71</v>
      </c>
      <c r="W495" s="82">
        <v>0.15</v>
      </c>
      <c r="X495" s="82">
        <v>50.58</v>
      </c>
      <c r="Y495" s="82">
        <v>4.37</v>
      </c>
      <c r="AA495" s="82">
        <v>5.41</v>
      </c>
      <c r="AB495" s="82">
        <v>0.28</v>
      </c>
      <c r="AC495" s="82">
        <v>-2.42</v>
      </c>
      <c r="AD495" s="191">
        <v>1.069121548228E10</v>
      </c>
    </row>
    <row r="496">
      <c r="A496" s="82" t="s">
        <v>547</v>
      </c>
      <c r="B496" s="82">
        <v>4.0</v>
      </c>
      <c r="D496" s="82">
        <v>0.54</v>
      </c>
      <c r="E496" s="82">
        <v>0.41</v>
      </c>
      <c r="F496" s="82">
        <v>0.12</v>
      </c>
      <c r="G496" s="82">
        <v>12.74</v>
      </c>
      <c r="H496" s="82">
        <v>321.87</v>
      </c>
      <c r="I496" s="82">
        <v>254.92</v>
      </c>
      <c r="J496" s="82">
        <v>0.43</v>
      </c>
      <c r="K496" s="82">
        <v>1.75</v>
      </c>
      <c r="L496" s="82">
        <v>1.31</v>
      </c>
      <c r="M496" s="82">
        <v>1.26</v>
      </c>
      <c r="N496" s="82">
        <v>1.38</v>
      </c>
      <c r="O496" s="82">
        <v>-0.89</v>
      </c>
      <c r="P496" s="82">
        <v>-0.13</v>
      </c>
      <c r="Q496" s="82">
        <v>0.19</v>
      </c>
      <c r="R496" s="82">
        <v>76.22</v>
      </c>
      <c r="S496" s="82">
        <v>22.51</v>
      </c>
      <c r="T496" s="82">
        <v>41.54</v>
      </c>
      <c r="U496" s="82">
        <v>0.3</v>
      </c>
      <c r="V496" s="82">
        <v>0.7</v>
      </c>
      <c r="W496" s="82">
        <v>0.09</v>
      </c>
      <c r="X496" s="82">
        <v>-22.41</v>
      </c>
      <c r="Z496" s="191">
        <v>57739.5</v>
      </c>
      <c r="AA496" s="82">
        <v>9.71</v>
      </c>
      <c r="AB496" s="82">
        <v>7.4</v>
      </c>
      <c r="AC496" s="82">
        <v>0.0</v>
      </c>
      <c r="AD496" s="191">
        <v>3.3929818016E8</v>
      </c>
    </row>
    <row r="497">
      <c r="A497" s="82" t="s">
        <v>548</v>
      </c>
      <c r="B497" s="82">
        <v>1.31</v>
      </c>
      <c r="D497" s="82">
        <v>0.54</v>
      </c>
      <c r="E497" s="82">
        <v>0.41</v>
      </c>
      <c r="F497" s="82">
        <v>0.12</v>
      </c>
      <c r="G497" s="82">
        <v>12.74</v>
      </c>
      <c r="H497" s="82">
        <v>321.87</v>
      </c>
      <c r="I497" s="82">
        <v>254.92</v>
      </c>
      <c r="J497" s="82">
        <v>0.42</v>
      </c>
      <c r="K497" s="82">
        <v>1.75</v>
      </c>
      <c r="L497" s="82">
        <v>1.31</v>
      </c>
      <c r="M497" s="82">
        <v>1.26</v>
      </c>
      <c r="N497" s="82">
        <v>1.36</v>
      </c>
      <c r="O497" s="82">
        <v>-0.88</v>
      </c>
      <c r="P497" s="82">
        <v>-0.12</v>
      </c>
      <c r="Q497" s="82">
        <v>0.19</v>
      </c>
      <c r="R497" s="82">
        <v>76.22</v>
      </c>
      <c r="S497" s="82">
        <v>22.51</v>
      </c>
      <c r="T497" s="82">
        <v>41.54</v>
      </c>
      <c r="U497" s="82">
        <v>0.3</v>
      </c>
      <c r="V497" s="82">
        <v>0.7</v>
      </c>
      <c r="W497" s="82">
        <v>0.09</v>
      </c>
      <c r="X497" s="82">
        <v>-22.41</v>
      </c>
      <c r="Z497" s="191">
        <v>241469.7</v>
      </c>
      <c r="AA497" s="82">
        <v>3.24</v>
      </c>
      <c r="AB497" s="82">
        <v>2.47</v>
      </c>
      <c r="AC497" s="82">
        <v>0.0</v>
      </c>
      <c r="AD497" s="191">
        <v>3.3929818016E8</v>
      </c>
    </row>
    <row r="498">
      <c r="A498" s="82" t="s">
        <v>549</v>
      </c>
      <c r="B498" s="82">
        <v>1.36</v>
      </c>
      <c r="D498" s="82">
        <v>0.55</v>
      </c>
      <c r="E498" s="82">
        <v>0.42</v>
      </c>
      <c r="F498" s="82">
        <v>0.12</v>
      </c>
      <c r="G498" s="82">
        <v>12.74</v>
      </c>
      <c r="H498" s="82">
        <v>321.87</v>
      </c>
      <c r="I498" s="82">
        <v>254.92</v>
      </c>
      <c r="J498" s="82">
        <v>0.44</v>
      </c>
      <c r="K498" s="82">
        <v>1.75</v>
      </c>
      <c r="L498" s="82">
        <v>1.31</v>
      </c>
      <c r="M498" s="82">
        <v>1.26</v>
      </c>
      <c r="N498" s="82">
        <v>1.41</v>
      </c>
      <c r="O498" s="82">
        <v>-0.91</v>
      </c>
      <c r="P498" s="82">
        <v>-0.13</v>
      </c>
      <c r="Q498" s="82">
        <v>0.19</v>
      </c>
      <c r="R498" s="82">
        <v>76.22</v>
      </c>
      <c r="S498" s="82">
        <v>22.51</v>
      </c>
      <c r="T498" s="82">
        <v>41.54</v>
      </c>
      <c r="U498" s="82">
        <v>0.3</v>
      </c>
      <c r="V498" s="82">
        <v>0.7</v>
      </c>
      <c r="W498" s="82">
        <v>0.09</v>
      </c>
      <c r="X498" s="82">
        <v>-22.41</v>
      </c>
      <c r="Z498" s="191">
        <v>394914.3</v>
      </c>
      <c r="AA498" s="82">
        <v>3.24</v>
      </c>
      <c r="AB498" s="82">
        <v>2.47</v>
      </c>
      <c r="AC498" s="82">
        <v>0.0</v>
      </c>
      <c r="AD498" s="191">
        <v>3.3929818016E8</v>
      </c>
    </row>
    <row r="499">
      <c r="A499" s="82" t="s">
        <v>550</v>
      </c>
      <c r="B499" s="82">
        <v>12.92</v>
      </c>
      <c r="C499" s="82">
        <v>7.56</v>
      </c>
      <c r="D499" s="82">
        <v>4.93</v>
      </c>
      <c r="E499" s="82">
        <v>1.01</v>
      </c>
      <c r="F499" s="82">
        <v>0.5</v>
      </c>
      <c r="G499" s="82">
        <v>33.04</v>
      </c>
      <c r="H499" s="82">
        <v>19.2</v>
      </c>
      <c r="I499" s="82">
        <v>15.83</v>
      </c>
      <c r="J499" s="82">
        <v>4.07</v>
      </c>
      <c r="K499" s="82">
        <v>5.82</v>
      </c>
      <c r="L499" s="82">
        <v>1.76</v>
      </c>
      <c r="M499" s="82">
        <v>0.44</v>
      </c>
      <c r="N499" s="82">
        <v>0.78</v>
      </c>
      <c r="O499" s="82">
        <v>1.44</v>
      </c>
      <c r="P499" s="82">
        <v>-1.3</v>
      </c>
      <c r="Q499" s="82">
        <v>2.31</v>
      </c>
      <c r="R499" s="82">
        <v>20.47</v>
      </c>
      <c r="S499" s="82">
        <v>10.2</v>
      </c>
      <c r="T499" s="82">
        <v>11.62</v>
      </c>
      <c r="U499" s="82">
        <v>0.5</v>
      </c>
      <c r="V499" s="82">
        <v>0.5</v>
      </c>
      <c r="W499" s="82">
        <v>0.64</v>
      </c>
      <c r="X499" s="82">
        <v>18.8</v>
      </c>
      <c r="Y499" s="82">
        <v>43.87</v>
      </c>
      <c r="Z499" s="191">
        <v>3912936.2</v>
      </c>
      <c r="AA499" s="82">
        <v>12.78</v>
      </c>
      <c r="AB499" s="82">
        <v>2.62</v>
      </c>
      <c r="AC499" s="82">
        <v>0.35</v>
      </c>
      <c r="AD499" s="191">
        <v>1.1446691805E9</v>
      </c>
    </row>
    <row r="500">
      <c r="A500" s="82" t="s">
        <v>551</v>
      </c>
      <c r="B500" s="82">
        <v>7.93</v>
      </c>
      <c r="D500" s="82">
        <v>20.09</v>
      </c>
      <c r="E500" s="82">
        <v>0.61</v>
      </c>
      <c r="F500" s="82">
        <v>0.61</v>
      </c>
      <c r="J500" s="82">
        <v>25.7</v>
      </c>
      <c r="K500" s="82">
        <v>23.57</v>
      </c>
      <c r="L500" s="82">
        <v>-2.36</v>
      </c>
      <c r="M500" s="82">
        <v>-0.06</v>
      </c>
      <c r="O500" s="82">
        <v>11.66</v>
      </c>
      <c r="P500" s="82">
        <v>-0.64</v>
      </c>
      <c r="Q500" s="82">
        <v>12.57</v>
      </c>
      <c r="R500" s="82">
        <v>3.04</v>
      </c>
      <c r="S500" s="82">
        <v>3.02</v>
      </c>
      <c r="T500" s="82">
        <v>2.27</v>
      </c>
      <c r="U500" s="82">
        <v>1.0</v>
      </c>
      <c r="V500" s="82">
        <v>0.0</v>
      </c>
      <c r="W500" s="82">
        <v>0.0</v>
      </c>
      <c r="Y500" s="82">
        <v>-5.15</v>
      </c>
      <c r="Z500" s="191">
        <v>4608.17</v>
      </c>
      <c r="AA500" s="82">
        <v>13.0</v>
      </c>
      <c r="AB500" s="82">
        <v>0.39</v>
      </c>
      <c r="AC500" s="82">
        <v>-0.43</v>
      </c>
      <c r="AD500" s="191">
        <v>6.7733098872E8</v>
      </c>
    </row>
    <row r="501">
      <c r="A501" s="82" t="s">
        <v>552</v>
      </c>
      <c r="B501" s="82">
        <v>8.08</v>
      </c>
      <c r="C501" s="82">
        <v>6.18</v>
      </c>
      <c r="D501" s="82">
        <v>20.47</v>
      </c>
      <c r="E501" s="82">
        <v>0.62</v>
      </c>
      <c r="F501" s="82">
        <v>0.62</v>
      </c>
      <c r="J501" s="82">
        <v>26.19</v>
      </c>
      <c r="K501" s="82">
        <v>23.57</v>
      </c>
      <c r="L501" s="82">
        <v>-2.36</v>
      </c>
      <c r="M501" s="82">
        <v>-0.06</v>
      </c>
      <c r="O501" s="82">
        <v>11.88</v>
      </c>
      <c r="P501" s="82">
        <v>-0.66</v>
      </c>
      <c r="Q501" s="82">
        <v>12.57</v>
      </c>
      <c r="R501" s="82">
        <v>3.04</v>
      </c>
      <c r="S501" s="82">
        <v>3.02</v>
      </c>
      <c r="T501" s="82">
        <v>2.27</v>
      </c>
      <c r="U501" s="82">
        <v>1.0</v>
      </c>
      <c r="V501" s="82">
        <v>0.0</v>
      </c>
      <c r="W501" s="82">
        <v>0.0</v>
      </c>
      <c r="Y501" s="82">
        <v>-5.15</v>
      </c>
      <c r="Z501" s="191">
        <v>41276.33</v>
      </c>
      <c r="AA501" s="82">
        <v>13.0</v>
      </c>
      <c r="AB501" s="82">
        <v>0.39</v>
      </c>
      <c r="AC501" s="82">
        <v>-0.44</v>
      </c>
      <c r="AD501" s="191">
        <v>6.7733098872E8</v>
      </c>
    </row>
    <row r="502">
      <c r="A502" s="82" t="s">
        <v>553</v>
      </c>
      <c r="B502" s="82">
        <v>7.8</v>
      </c>
      <c r="D502" s="82">
        <v>19.76</v>
      </c>
      <c r="E502" s="82">
        <v>0.6</v>
      </c>
      <c r="F502" s="82">
        <v>0.6</v>
      </c>
      <c r="J502" s="82">
        <v>25.28</v>
      </c>
      <c r="K502" s="82">
        <v>23.57</v>
      </c>
      <c r="L502" s="82">
        <v>-2.36</v>
      </c>
      <c r="M502" s="82">
        <v>-0.06</v>
      </c>
      <c r="O502" s="82">
        <v>11.47</v>
      </c>
      <c r="P502" s="82">
        <v>-0.63</v>
      </c>
      <c r="Q502" s="82">
        <v>12.57</v>
      </c>
      <c r="R502" s="82">
        <v>3.04</v>
      </c>
      <c r="S502" s="82">
        <v>3.02</v>
      </c>
      <c r="T502" s="82">
        <v>2.27</v>
      </c>
      <c r="U502" s="82">
        <v>1.0</v>
      </c>
      <c r="V502" s="82">
        <v>0.0</v>
      </c>
      <c r="W502" s="82">
        <v>0.0</v>
      </c>
      <c r="Y502" s="82">
        <v>-5.15</v>
      </c>
      <c r="Z502" s="191">
        <v>5549.67</v>
      </c>
      <c r="AA502" s="82">
        <v>13.0</v>
      </c>
      <c r="AB502" s="82">
        <v>0.39</v>
      </c>
      <c r="AC502" s="82">
        <v>-0.42</v>
      </c>
      <c r="AD502" s="191">
        <v>6.7733098872E8</v>
      </c>
    </row>
    <row r="503">
      <c r="A503" s="82" t="s">
        <v>554</v>
      </c>
      <c r="B503" s="82">
        <v>2.12</v>
      </c>
      <c r="D503" s="82">
        <v>-0.17</v>
      </c>
      <c r="E503" s="82">
        <v>-0.03</v>
      </c>
      <c r="F503" s="82">
        <v>0.02</v>
      </c>
      <c r="G503" s="82">
        <v>-13.15</v>
      </c>
      <c r="H503" s="82">
        <v>-20.51</v>
      </c>
      <c r="I503" s="82">
        <v>-16.72</v>
      </c>
      <c r="J503" s="82">
        <v>-0.14</v>
      </c>
      <c r="K503" s="82">
        <v>-0.15</v>
      </c>
      <c r="L503" s="82">
        <v>0.0</v>
      </c>
      <c r="N503" s="82">
        <v>0.03</v>
      </c>
      <c r="O503" s="82">
        <v>-0.03</v>
      </c>
      <c r="P503" s="82">
        <v>-0.38</v>
      </c>
      <c r="Q503" s="82">
        <v>0.55</v>
      </c>
      <c r="R503" s="82">
        <v>-16.32</v>
      </c>
      <c r="S503" s="82">
        <v>-13.94</v>
      </c>
      <c r="T503" s="82">
        <v>20.03</v>
      </c>
      <c r="U503" s="82">
        <v>-0.85</v>
      </c>
      <c r="V503" s="82">
        <v>1.85</v>
      </c>
      <c r="W503" s="82">
        <v>0.83</v>
      </c>
      <c r="X503" s="82">
        <v>48.3</v>
      </c>
      <c r="Z503" s="191">
        <v>15488.85</v>
      </c>
      <c r="AA503" s="82">
        <v>-74.73</v>
      </c>
      <c r="AB503" s="82">
        <v>-12.19</v>
      </c>
      <c r="AC503" s="82">
        <v>0.02</v>
      </c>
      <c r="AD503" s="191">
        <v>1.4418316977E8</v>
      </c>
    </row>
    <row r="504">
      <c r="A504" s="82" t="s">
        <v>1773</v>
      </c>
      <c r="B504" s="82">
        <v>26.08</v>
      </c>
      <c r="D504" s="82">
        <v>-170.29</v>
      </c>
      <c r="E504" s="82">
        <v>1.21</v>
      </c>
      <c r="F504" s="82">
        <v>0.32</v>
      </c>
      <c r="G504" s="82">
        <v>31.72</v>
      </c>
      <c r="H504" s="82">
        <v>14.54</v>
      </c>
      <c r="I504" s="82">
        <v>-0.87</v>
      </c>
      <c r="J504" s="82">
        <v>10.22</v>
      </c>
      <c r="K504" s="82">
        <v>22.89</v>
      </c>
      <c r="L504" s="82">
        <v>12.66</v>
      </c>
      <c r="M504" s="82">
        <v>1.5</v>
      </c>
      <c r="N504" s="82">
        <v>1.49</v>
      </c>
      <c r="O504" s="82">
        <v>108.66</v>
      </c>
      <c r="P504" s="82">
        <v>-0.37</v>
      </c>
      <c r="Q504" s="82">
        <v>1.02</v>
      </c>
      <c r="R504" s="82">
        <v>-0.71</v>
      </c>
      <c r="S504" s="82">
        <v>-0.19</v>
      </c>
      <c r="T504" s="82">
        <v>3.11</v>
      </c>
      <c r="U504" s="82">
        <v>0.27</v>
      </c>
      <c r="V504" s="82">
        <v>0.73</v>
      </c>
      <c r="W504" s="82">
        <v>0.22</v>
      </c>
      <c r="X504" s="82">
        <v>118.19</v>
      </c>
      <c r="Z504" s="191">
        <v>1.7579487945E8</v>
      </c>
      <c r="AA504" s="82">
        <v>21.61</v>
      </c>
      <c r="AB504" s="82">
        <v>-0.15</v>
      </c>
      <c r="AC504" s="82">
        <v>1.46</v>
      </c>
      <c r="AD504" s="191">
        <v>6.26840629324E9</v>
      </c>
    </row>
    <row r="505">
      <c r="A505" s="82" t="s">
        <v>555</v>
      </c>
      <c r="B505" s="82">
        <v>4.02</v>
      </c>
      <c r="D505" s="82">
        <v>-0.16</v>
      </c>
      <c r="E505" s="82">
        <v>-0.06</v>
      </c>
      <c r="F505" s="82">
        <v>0.13</v>
      </c>
      <c r="G505" s="82">
        <v>125.92</v>
      </c>
      <c r="H505" s="82">
        <v>660.98</v>
      </c>
      <c r="I505" s="191">
        <v>1099.95</v>
      </c>
      <c r="J505" s="82">
        <v>-0.26</v>
      </c>
      <c r="K505" s="82">
        <v>-2.23</v>
      </c>
      <c r="L505" s="82">
        <v>-1.98</v>
      </c>
      <c r="O505" s="82">
        <v>-0.07</v>
      </c>
      <c r="P505" s="82">
        <v>-0.27</v>
      </c>
      <c r="Q505" s="82">
        <v>0.22</v>
      </c>
      <c r="R505" s="82">
        <v>-41.43</v>
      </c>
      <c r="S505" s="82">
        <v>-82.6</v>
      </c>
      <c r="T505" s="82">
        <v>50.63</v>
      </c>
      <c r="U505" s="82">
        <v>-1.99</v>
      </c>
      <c r="V505" s="82">
        <v>3.0</v>
      </c>
      <c r="W505" s="82">
        <v>-0.08</v>
      </c>
      <c r="Z505" s="191">
        <v>243023.95</v>
      </c>
      <c r="AA505" s="82">
        <v>-62.42</v>
      </c>
      <c r="AB505" s="82">
        <v>-25.86</v>
      </c>
      <c r="AC505" s="82">
        <v>0.0</v>
      </c>
      <c r="AD505" s="191">
        <v>7.92E7</v>
      </c>
    </row>
    <row r="506">
      <c r="A506" s="82" t="s">
        <v>556</v>
      </c>
      <c r="B506" s="82">
        <v>0.0</v>
      </c>
      <c r="D506" s="82">
        <v>0.0</v>
      </c>
      <c r="E506" s="82">
        <v>0.0</v>
      </c>
      <c r="F506" s="82">
        <v>0.0</v>
      </c>
      <c r="G506" s="82">
        <v>41.84</v>
      </c>
      <c r="H506" s="82">
        <v>27.58</v>
      </c>
      <c r="I506" s="82">
        <v>16.95</v>
      </c>
      <c r="J506" s="82">
        <v>0.0</v>
      </c>
      <c r="K506" s="82">
        <v>1.37</v>
      </c>
      <c r="L506" s="82">
        <v>-0.54</v>
      </c>
      <c r="M506" s="82">
        <v>-0.3</v>
      </c>
      <c r="N506" s="82">
        <v>0.0</v>
      </c>
      <c r="O506" s="82">
        <v>0.0</v>
      </c>
      <c r="P506" s="82">
        <v>0.0</v>
      </c>
      <c r="Q506" s="82">
        <v>2.32</v>
      </c>
      <c r="R506" s="82">
        <v>34.14</v>
      </c>
      <c r="S506" s="82">
        <v>17.29</v>
      </c>
      <c r="T506" s="82">
        <v>36.19</v>
      </c>
      <c r="U506" s="82">
        <v>0.51</v>
      </c>
      <c r="V506" s="82">
        <v>0.49</v>
      </c>
      <c r="W506" s="82">
        <v>1.02</v>
      </c>
      <c r="X506" s="82">
        <v>26.29</v>
      </c>
      <c r="Y506" s="82">
        <v>10.59</v>
      </c>
      <c r="AA506" s="82">
        <v>29.31</v>
      </c>
      <c r="AB506" s="82">
        <v>10.01</v>
      </c>
      <c r="AC506" s="82">
        <v>0.0</v>
      </c>
      <c r="AD506" s="191">
        <v>1.88539201E8</v>
      </c>
    </row>
    <row r="507">
      <c r="A507" s="82" t="s">
        <v>557</v>
      </c>
      <c r="B507" s="82">
        <v>76.78</v>
      </c>
      <c r="C507" s="82">
        <v>3.79</v>
      </c>
      <c r="D507" s="82">
        <v>7.67</v>
      </c>
      <c r="E507" s="82">
        <v>2.62</v>
      </c>
      <c r="F507" s="82">
        <v>1.33</v>
      </c>
      <c r="G507" s="82">
        <v>41.84</v>
      </c>
      <c r="H507" s="82">
        <v>27.58</v>
      </c>
      <c r="I507" s="82">
        <v>16.95</v>
      </c>
      <c r="J507" s="82">
        <v>4.72</v>
      </c>
      <c r="K507" s="82">
        <v>1.37</v>
      </c>
      <c r="L507" s="82">
        <v>-0.54</v>
      </c>
      <c r="M507" s="82">
        <v>-0.3</v>
      </c>
      <c r="N507" s="82">
        <v>1.3</v>
      </c>
      <c r="O507" s="82">
        <v>4.32</v>
      </c>
      <c r="P507" s="82">
        <v>-2.88</v>
      </c>
      <c r="Q507" s="82">
        <v>2.32</v>
      </c>
      <c r="R507" s="82">
        <v>34.14</v>
      </c>
      <c r="S507" s="82">
        <v>17.29</v>
      </c>
      <c r="T507" s="82">
        <v>36.19</v>
      </c>
      <c r="U507" s="82">
        <v>0.51</v>
      </c>
      <c r="V507" s="82">
        <v>0.49</v>
      </c>
      <c r="W507" s="82">
        <v>1.02</v>
      </c>
      <c r="X507" s="82">
        <v>26.29</v>
      </c>
      <c r="Y507" s="82">
        <v>10.59</v>
      </c>
      <c r="Z507" s="191">
        <v>166344.9</v>
      </c>
      <c r="AA507" s="82">
        <v>29.31</v>
      </c>
      <c r="AB507" s="82">
        <v>10.01</v>
      </c>
      <c r="AC507" s="82">
        <v>-4.5</v>
      </c>
      <c r="AD507" s="191">
        <v>1.88539201E8</v>
      </c>
    </row>
    <row r="508">
      <c r="A508" s="82" t="s">
        <v>558</v>
      </c>
      <c r="B508" s="82">
        <v>32.27</v>
      </c>
      <c r="C508" s="82">
        <v>5.17</v>
      </c>
      <c r="D508" s="82">
        <v>12.92</v>
      </c>
      <c r="E508" s="82">
        <v>1.07</v>
      </c>
      <c r="F508" s="82">
        <v>0.11</v>
      </c>
      <c r="G508" s="82">
        <v>16.51</v>
      </c>
      <c r="H508" s="82">
        <v>6.05</v>
      </c>
      <c r="I508" s="82">
        <v>9.32</v>
      </c>
      <c r="J508" s="82">
        <v>19.91</v>
      </c>
      <c r="K508" s="82">
        <v>19.83</v>
      </c>
      <c r="N508" s="82">
        <v>1.21</v>
      </c>
      <c r="P508" s="82">
        <v>-0.11</v>
      </c>
      <c r="R508" s="82">
        <v>8.25</v>
      </c>
      <c r="S508" s="82">
        <v>0.83</v>
      </c>
      <c r="U508" s="82">
        <v>0.1</v>
      </c>
      <c r="V508" s="82">
        <v>0.9</v>
      </c>
      <c r="W508" s="82">
        <v>0.09</v>
      </c>
      <c r="X508" s="82">
        <v>10.04</v>
      </c>
      <c r="Y508" s="82">
        <v>0.94</v>
      </c>
      <c r="Z508" s="191">
        <v>4.692986195E7</v>
      </c>
      <c r="AA508" s="82">
        <v>30.24</v>
      </c>
      <c r="AB508" s="82">
        <v>2.49</v>
      </c>
      <c r="AC508" s="82">
        <v>-0.32</v>
      </c>
      <c r="AD508" s="191">
        <v>1.203139307133E11</v>
      </c>
    </row>
    <row r="509">
      <c r="A509" s="82" t="s">
        <v>559</v>
      </c>
      <c r="B509" s="82">
        <v>15.23</v>
      </c>
      <c r="C509" s="82">
        <v>5.22</v>
      </c>
      <c r="D509" s="82">
        <v>12.19</v>
      </c>
      <c r="E509" s="82">
        <v>1.01</v>
      </c>
      <c r="F509" s="82">
        <v>0.1</v>
      </c>
      <c r="G509" s="82">
        <v>16.51</v>
      </c>
      <c r="H509" s="82">
        <v>6.05</v>
      </c>
      <c r="I509" s="82">
        <v>9.32</v>
      </c>
      <c r="J509" s="82">
        <v>18.78</v>
      </c>
      <c r="K509" s="82">
        <v>19.83</v>
      </c>
      <c r="N509" s="82">
        <v>1.14</v>
      </c>
      <c r="P509" s="82">
        <v>-0.1</v>
      </c>
      <c r="R509" s="82">
        <v>8.25</v>
      </c>
      <c r="S509" s="82">
        <v>0.83</v>
      </c>
      <c r="U509" s="82">
        <v>0.1</v>
      </c>
      <c r="V509" s="82">
        <v>0.9</v>
      </c>
      <c r="W509" s="82">
        <v>0.09</v>
      </c>
      <c r="X509" s="82">
        <v>10.04</v>
      </c>
      <c r="Y509" s="82">
        <v>0.94</v>
      </c>
      <c r="Z509" s="191">
        <v>1259346.85</v>
      </c>
      <c r="AA509" s="82">
        <v>15.12</v>
      </c>
      <c r="AB509" s="82">
        <v>1.25</v>
      </c>
      <c r="AC509" s="82">
        <v>-0.3</v>
      </c>
      <c r="AD509" s="191">
        <v>1.203139307133E11</v>
      </c>
    </row>
    <row r="510">
      <c r="A510" s="82" t="s">
        <v>560</v>
      </c>
      <c r="B510" s="82">
        <v>17.0</v>
      </c>
      <c r="C510" s="82">
        <v>5.14</v>
      </c>
      <c r="D510" s="82">
        <v>13.62</v>
      </c>
      <c r="E510" s="82">
        <v>1.12</v>
      </c>
      <c r="F510" s="82">
        <v>0.11</v>
      </c>
      <c r="G510" s="82">
        <v>16.51</v>
      </c>
      <c r="H510" s="82">
        <v>6.05</v>
      </c>
      <c r="I510" s="82">
        <v>9.32</v>
      </c>
      <c r="J510" s="82">
        <v>20.98</v>
      </c>
      <c r="K510" s="82">
        <v>19.83</v>
      </c>
      <c r="N510" s="82">
        <v>1.27</v>
      </c>
      <c r="P510" s="82">
        <v>-0.12</v>
      </c>
      <c r="R510" s="82">
        <v>8.25</v>
      </c>
      <c r="S510" s="82">
        <v>0.83</v>
      </c>
      <c r="U510" s="82">
        <v>0.1</v>
      </c>
      <c r="V510" s="82">
        <v>0.9</v>
      </c>
      <c r="W510" s="82">
        <v>0.09</v>
      </c>
      <c r="X510" s="82">
        <v>10.04</v>
      </c>
      <c r="Y510" s="82">
        <v>0.94</v>
      </c>
      <c r="Z510" s="191">
        <v>1298101.7</v>
      </c>
      <c r="AA510" s="82">
        <v>15.12</v>
      </c>
      <c r="AB510" s="82">
        <v>1.25</v>
      </c>
      <c r="AC510" s="82">
        <v>-0.34</v>
      </c>
      <c r="AD510" s="191">
        <v>1.203139307133E11</v>
      </c>
    </row>
    <row r="511">
      <c r="A511" s="82" t="s">
        <v>561</v>
      </c>
      <c r="B511" s="82">
        <v>28.25</v>
      </c>
      <c r="C511" s="82">
        <v>5.37</v>
      </c>
      <c r="D511" s="82">
        <v>5.73</v>
      </c>
      <c r="E511" s="82">
        <v>0.9</v>
      </c>
      <c r="F511" s="82">
        <v>0.47</v>
      </c>
      <c r="G511" s="82">
        <v>60.1</v>
      </c>
      <c r="H511" s="82">
        <v>36.99</v>
      </c>
      <c r="I511" s="82">
        <v>24.53</v>
      </c>
      <c r="J511" s="82">
        <v>3.8</v>
      </c>
      <c r="K511" s="82">
        <v>5.75</v>
      </c>
      <c r="L511" s="82">
        <v>1.96</v>
      </c>
      <c r="M511" s="82">
        <v>0.46</v>
      </c>
      <c r="N511" s="82">
        <v>1.41</v>
      </c>
      <c r="O511" s="82">
        <v>10.81</v>
      </c>
      <c r="P511" s="82">
        <v>-0.55</v>
      </c>
      <c r="Q511" s="82">
        <v>1.41</v>
      </c>
      <c r="R511" s="82">
        <v>15.68</v>
      </c>
      <c r="S511" s="82">
        <v>8.13</v>
      </c>
      <c r="T511" s="82">
        <v>11.45</v>
      </c>
      <c r="U511" s="82">
        <v>0.52</v>
      </c>
      <c r="V511" s="82">
        <v>0.48</v>
      </c>
      <c r="W511" s="82">
        <v>0.33</v>
      </c>
      <c r="X511" s="82">
        <v>7.96</v>
      </c>
      <c r="Y511" s="82">
        <v>16.77</v>
      </c>
      <c r="Z511" s="191">
        <v>2.917995975E7</v>
      </c>
      <c r="AA511" s="82">
        <v>31.42</v>
      </c>
      <c r="AB511" s="82">
        <v>4.93</v>
      </c>
      <c r="AC511" s="82">
        <v>0.18</v>
      </c>
      <c r="AD511" s="191">
        <v>8.51413189405E9</v>
      </c>
    </row>
    <row r="512">
      <c r="A512" s="82" t="s">
        <v>562</v>
      </c>
      <c r="B512" s="82">
        <v>5.38</v>
      </c>
      <c r="C512" s="82">
        <v>5.22</v>
      </c>
      <c r="D512" s="82">
        <v>5.46</v>
      </c>
      <c r="E512" s="82">
        <v>0.86</v>
      </c>
      <c r="F512" s="82">
        <v>0.44</v>
      </c>
      <c r="G512" s="82">
        <v>60.1</v>
      </c>
      <c r="H512" s="82">
        <v>36.99</v>
      </c>
      <c r="I512" s="82">
        <v>24.53</v>
      </c>
      <c r="J512" s="82">
        <v>3.62</v>
      </c>
      <c r="K512" s="82">
        <v>5.75</v>
      </c>
      <c r="L512" s="82">
        <v>1.96</v>
      </c>
      <c r="M512" s="82">
        <v>0.46</v>
      </c>
      <c r="N512" s="82">
        <v>1.34</v>
      </c>
      <c r="O512" s="82">
        <v>10.3</v>
      </c>
      <c r="P512" s="82">
        <v>-0.52</v>
      </c>
      <c r="Q512" s="82">
        <v>1.41</v>
      </c>
      <c r="R512" s="82">
        <v>15.68</v>
      </c>
      <c r="S512" s="82">
        <v>8.13</v>
      </c>
      <c r="T512" s="82">
        <v>11.45</v>
      </c>
      <c r="U512" s="82">
        <v>0.52</v>
      </c>
      <c r="V512" s="82">
        <v>0.48</v>
      </c>
      <c r="W512" s="82">
        <v>0.33</v>
      </c>
      <c r="X512" s="82">
        <v>7.96</v>
      </c>
      <c r="Y512" s="82">
        <v>16.77</v>
      </c>
      <c r="Z512" s="191">
        <v>1588754.0</v>
      </c>
      <c r="AA512" s="82">
        <v>6.28</v>
      </c>
      <c r="AB512" s="82">
        <v>0.99</v>
      </c>
      <c r="AC512" s="82">
        <v>0.17</v>
      </c>
      <c r="AD512" s="191">
        <v>8.51413189405E9</v>
      </c>
    </row>
    <row r="513">
      <c r="A513" s="82" t="s">
        <v>563</v>
      </c>
      <c r="B513" s="82">
        <v>5.69</v>
      </c>
      <c r="C513" s="82">
        <v>5.43</v>
      </c>
      <c r="D513" s="82">
        <v>5.77</v>
      </c>
      <c r="E513" s="82">
        <v>0.91</v>
      </c>
      <c r="F513" s="82">
        <v>0.47</v>
      </c>
      <c r="G513" s="82">
        <v>60.1</v>
      </c>
      <c r="H513" s="82">
        <v>36.99</v>
      </c>
      <c r="I513" s="82">
        <v>24.53</v>
      </c>
      <c r="J513" s="82">
        <v>3.83</v>
      </c>
      <c r="K513" s="82">
        <v>5.75</v>
      </c>
      <c r="L513" s="82">
        <v>1.96</v>
      </c>
      <c r="M513" s="82">
        <v>0.46</v>
      </c>
      <c r="N513" s="82">
        <v>1.42</v>
      </c>
      <c r="O513" s="82">
        <v>10.89</v>
      </c>
      <c r="P513" s="82">
        <v>-0.55</v>
      </c>
      <c r="Q513" s="82">
        <v>1.41</v>
      </c>
      <c r="R513" s="82">
        <v>15.68</v>
      </c>
      <c r="S513" s="82">
        <v>8.13</v>
      </c>
      <c r="T513" s="82">
        <v>11.45</v>
      </c>
      <c r="U513" s="82">
        <v>0.52</v>
      </c>
      <c r="V513" s="82">
        <v>0.48</v>
      </c>
      <c r="W513" s="82">
        <v>0.33</v>
      </c>
      <c r="X513" s="82">
        <v>7.96</v>
      </c>
      <c r="Y513" s="82">
        <v>16.77</v>
      </c>
      <c r="Z513" s="191">
        <v>1.223648045E7</v>
      </c>
      <c r="AA513" s="82">
        <v>6.28</v>
      </c>
      <c r="AB513" s="82">
        <v>0.99</v>
      </c>
      <c r="AC513" s="82">
        <v>0.18</v>
      </c>
      <c r="AD513" s="191">
        <v>8.51413189405E9</v>
      </c>
    </row>
    <row r="514">
      <c r="A514" s="82" t="s">
        <v>564</v>
      </c>
      <c r="B514" s="82">
        <v>10.82</v>
      </c>
      <c r="C514" s="82">
        <v>1.26</v>
      </c>
      <c r="D514" s="82">
        <v>14.41</v>
      </c>
      <c r="E514" s="82">
        <v>1.07</v>
      </c>
      <c r="F514" s="82">
        <v>0.32</v>
      </c>
      <c r="G514" s="82">
        <v>47.85</v>
      </c>
      <c r="H514" s="82">
        <v>7.45</v>
      </c>
      <c r="I514" s="82">
        <v>2.67</v>
      </c>
      <c r="J514" s="82">
        <v>5.17</v>
      </c>
      <c r="K514" s="82">
        <v>11.05</v>
      </c>
      <c r="L514" s="82">
        <v>5.81</v>
      </c>
      <c r="M514" s="82">
        <v>1.2</v>
      </c>
      <c r="N514" s="82">
        <v>0.38</v>
      </c>
      <c r="O514" s="82">
        <v>1.49</v>
      </c>
      <c r="P514" s="82">
        <v>-0.66</v>
      </c>
      <c r="Q514" s="82">
        <v>1.71</v>
      </c>
      <c r="R514" s="82">
        <v>7.42</v>
      </c>
      <c r="S514" s="82">
        <v>2.22</v>
      </c>
      <c r="T514" s="82">
        <v>8.13</v>
      </c>
      <c r="U514" s="82">
        <v>0.3</v>
      </c>
      <c r="V514" s="82">
        <v>0.7</v>
      </c>
      <c r="W514" s="82">
        <v>0.83</v>
      </c>
      <c r="X514" s="82">
        <v>26.04</v>
      </c>
      <c r="Y514" s="82">
        <v>-5.21</v>
      </c>
      <c r="Z514" s="191">
        <v>2.246985115E7</v>
      </c>
      <c r="AA514" s="82">
        <v>10.1</v>
      </c>
      <c r="AB514" s="82">
        <v>0.75</v>
      </c>
      <c r="AC514" s="82">
        <v>-0.3</v>
      </c>
      <c r="AD514" s="191">
        <v>2.668394331E9</v>
      </c>
    </row>
    <row r="515">
      <c r="A515" s="82" t="s">
        <v>565</v>
      </c>
      <c r="B515" s="82">
        <v>73.92</v>
      </c>
      <c r="C515" s="82">
        <v>1.72</v>
      </c>
      <c r="D515" s="82">
        <v>16.97</v>
      </c>
      <c r="E515" s="82">
        <v>1.71</v>
      </c>
      <c r="F515" s="82">
        <v>0.86</v>
      </c>
      <c r="G515" s="82">
        <v>35.05</v>
      </c>
      <c r="H515" s="82">
        <v>21.66</v>
      </c>
      <c r="I515" s="82">
        <v>12.29</v>
      </c>
      <c r="J515" s="82">
        <v>9.63</v>
      </c>
      <c r="K515" s="82">
        <v>12.66</v>
      </c>
      <c r="L515" s="82">
        <v>3.05</v>
      </c>
      <c r="M515" s="82">
        <v>0.54</v>
      </c>
      <c r="N515" s="82">
        <v>2.09</v>
      </c>
      <c r="O515" s="191">
        <v>-4038.72</v>
      </c>
      <c r="P515" s="82">
        <v>-0.97</v>
      </c>
      <c r="Q515" s="82">
        <v>1.0</v>
      </c>
      <c r="R515" s="82">
        <v>10.07</v>
      </c>
      <c r="S515" s="82">
        <v>5.05</v>
      </c>
      <c r="T515" s="82">
        <v>8.62</v>
      </c>
      <c r="U515" s="82">
        <v>0.5</v>
      </c>
      <c r="V515" s="82">
        <v>0.5</v>
      </c>
      <c r="W515" s="82">
        <v>0.41</v>
      </c>
      <c r="X515" s="82">
        <v>8.59</v>
      </c>
      <c r="Y515" s="82">
        <v>3.41</v>
      </c>
      <c r="Z515" s="191">
        <v>1.7950753765E8</v>
      </c>
      <c r="AA515" s="82">
        <v>43.3</v>
      </c>
      <c r="AB515" s="82">
        <v>4.36</v>
      </c>
      <c r="AC515" s="82">
        <v>-7.72</v>
      </c>
      <c r="AD515" s="191">
        <v>5.043619323351E10</v>
      </c>
    </row>
    <row r="516">
      <c r="A516" s="82" t="s">
        <v>566</v>
      </c>
      <c r="B516" s="82">
        <v>27.0</v>
      </c>
      <c r="D516" s="82">
        <v>41.17</v>
      </c>
      <c r="E516" s="82">
        <v>1.02</v>
      </c>
      <c r="F516" s="82">
        <v>0.45</v>
      </c>
      <c r="G516" s="82">
        <v>47.81</v>
      </c>
      <c r="H516" s="82">
        <v>36.38</v>
      </c>
      <c r="I516" s="82">
        <v>4.81</v>
      </c>
      <c r="J516" s="82">
        <v>5.44</v>
      </c>
      <c r="K516" s="82">
        <v>10.97</v>
      </c>
      <c r="L516" s="82">
        <v>5.41</v>
      </c>
      <c r="M516" s="82">
        <v>1.02</v>
      </c>
      <c r="N516" s="82">
        <v>1.98</v>
      </c>
      <c r="O516" s="82">
        <v>1.63</v>
      </c>
      <c r="P516" s="82">
        <v>-0.68</v>
      </c>
      <c r="Q516" s="82">
        <v>4.63</v>
      </c>
      <c r="R516" s="82">
        <v>2.48</v>
      </c>
      <c r="S516" s="82">
        <v>1.08</v>
      </c>
      <c r="T516" s="82">
        <v>7.97</v>
      </c>
      <c r="U516" s="82">
        <v>0.44</v>
      </c>
      <c r="V516" s="82">
        <v>0.56</v>
      </c>
      <c r="W516" s="82">
        <v>0.23</v>
      </c>
      <c r="X516" s="82">
        <v>-6.96</v>
      </c>
      <c r="Y516" s="82">
        <v>-20.5</v>
      </c>
      <c r="Z516" s="191">
        <v>629870.85</v>
      </c>
      <c r="AA516" s="82">
        <v>26.43</v>
      </c>
      <c r="AB516" s="82">
        <v>0.66</v>
      </c>
      <c r="AC516" s="82">
        <v>-0.26</v>
      </c>
      <c r="AD516" s="191">
        <v>1.5935500044E9</v>
      </c>
    </row>
    <row r="517">
      <c r="A517" s="82" t="s">
        <v>567</v>
      </c>
      <c r="B517" s="82">
        <v>23.8</v>
      </c>
      <c r="D517" s="82">
        <v>-13.36</v>
      </c>
      <c r="E517" s="82">
        <v>15.0</v>
      </c>
      <c r="F517" s="82">
        <v>1.53</v>
      </c>
      <c r="G517" s="82">
        <v>48.36</v>
      </c>
      <c r="H517" s="82">
        <v>-15.73</v>
      </c>
      <c r="I517" s="82">
        <v>-25.77</v>
      </c>
      <c r="J517" s="82">
        <v>-21.89</v>
      </c>
      <c r="K517" s="82">
        <v>-27.94</v>
      </c>
      <c r="L517" s="82">
        <v>-6.05</v>
      </c>
      <c r="M517" s="82">
        <v>4.15</v>
      </c>
      <c r="N517" s="82">
        <v>3.44</v>
      </c>
      <c r="O517" s="82">
        <v>57.9</v>
      </c>
      <c r="P517" s="82">
        <v>-2.27</v>
      </c>
      <c r="Q517" s="82">
        <v>1.09</v>
      </c>
      <c r="R517" s="82">
        <v>-112.29</v>
      </c>
      <c r="S517" s="82">
        <v>-11.46</v>
      </c>
      <c r="T517" s="82">
        <v>-13.15</v>
      </c>
      <c r="U517" s="82">
        <v>0.1</v>
      </c>
      <c r="V517" s="82">
        <v>0.9</v>
      </c>
      <c r="W517" s="82">
        <v>0.44</v>
      </c>
      <c r="X517" s="82">
        <v>12.49</v>
      </c>
      <c r="AA517" s="82">
        <v>1.59</v>
      </c>
      <c r="AB517" s="82">
        <v>-1.78</v>
      </c>
      <c r="AC517" s="82">
        <v>0.01</v>
      </c>
      <c r="AD517" s="191">
        <v>6.23866782E9</v>
      </c>
    </row>
    <row r="518">
      <c r="A518" s="82" t="s">
        <v>568</v>
      </c>
      <c r="B518" s="82">
        <v>7.27</v>
      </c>
      <c r="D518" s="82">
        <v>-5.88</v>
      </c>
      <c r="E518" s="82">
        <v>0.78</v>
      </c>
      <c r="F518" s="82">
        <v>0.27</v>
      </c>
      <c r="G518" s="82">
        <v>50.44</v>
      </c>
      <c r="H518" s="82">
        <v>3.87</v>
      </c>
      <c r="I518" s="82">
        <v>-8.88</v>
      </c>
      <c r="J518" s="82">
        <v>13.51</v>
      </c>
      <c r="K518" s="82">
        <v>21.02</v>
      </c>
      <c r="L518" s="82">
        <v>7.55</v>
      </c>
      <c r="M518" s="82">
        <v>0.43</v>
      </c>
      <c r="N518" s="82">
        <v>0.52</v>
      </c>
      <c r="O518" s="82">
        <v>11.51</v>
      </c>
      <c r="P518" s="82">
        <v>-0.35</v>
      </c>
      <c r="Q518" s="82">
        <v>1.13</v>
      </c>
      <c r="R518" s="82">
        <v>-13.22</v>
      </c>
      <c r="S518" s="82">
        <v>-4.64</v>
      </c>
      <c r="T518" s="82">
        <v>3.35</v>
      </c>
      <c r="U518" s="82">
        <v>0.35</v>
      </c>
      <c r="V518" s="82">
        <v>0.65</v>
      </c>
      <c r="W518" s="82">
        <v>0.52</v>
      </c>
      <c r="X518" s="82">
        <v>6.36</v>
      </c>
      <c r="Z518" s="191">
        <v>9195511.05</v>
      </c>
      <c r="AA518" s="82">
        <v>9.35</v>
      </c>
      <c r="AB518" s="82">
        <v>-1.24</v>
      </c>
      <c r="AC518" s="82">
        <v>-0.08</v>
      </c>
      <c r="AD518" s="191">
        <v>9.3323131E8</v>
      </c>
    </row>
    <row r="519">
      <c r="A519" s="82" t="s">
        <v>569</v>
      </c>
      <c r="B519" s="82">
        <v>0.89</v>
      </c>
      <c r="D519" s="82">
        <v>-0.7</v>
      </c>
      <c r="E519" s="82">
        <v>2.69</v>
      </c>
      <c r="F519" s="82">
        <v>0.2</v>
      </c>
      <c r="G519" s="82">
        <v>5.07</v>
      </c>
      <c r="H519" s="82">
        <v>-29.02</v>
      </c>
      <c r="I519" s="82">
        <v>-45.21</v>
      </c>
      <c r="J519" s="82">
        <v>-1.1</v>
      </c>
      <c r="K519" s="82">
        <v>-4.02</v>
      </c>
      <c r="L519" s="82">
        <v>-3.13</v>
      </c>
      <c r="M519" s="82">
        <v>7.68</v>
      </c>
      <c r="N519" s="82">
        <v>0.32</v>
      </c>
      <c r="O519" s="82">
        <v>-1.42</v>
      </c>
      <c r="P519" s="82">
        <v>-0.27</v>
      </c>
      <c r="Q519" s="82">
        <v>0.64</v>
      </c>
      <c r="R519" s="82">
        <v>-382.42</v>
      </c>
      <c r="S519" s="82">
        <v>-28.65</v>
      </c>
      <c r="T519" s="82">
        <v>-31.37</v>
      </c>
      <c r="U519" s="82">
        <v>0.07</v>
      </c>
      <c r="V519" s="82">
        <v>0.93</v>
      </c>
      <c r="W519" s="82">
        <v>0.63</v>
      </c>
      <c r="Z519" s="191">
        <v>6803695.55</v>
      </c>
      <c r="AA519" s="82">
        <v>0.36</v>
      </c>
      <c r="AB519" s="82">
        <v>-1.38</v>
      </c>
      <c r="AC519" s="82">
        <v>0.0</v>
      </c>
      <c r="AD519" s="191">
        <v>2.7795170795E8</v>
      </c>
    </row>
    <row r="520">
      <c r="A520" s="82" t="s">
        <v>570</v>
      </c>
      <c r="B520" s="82">
        <v>1.25</v>
      </c>
      <c r="D520" s="82">
        <v>-0.08</v>
      </c>
      <c r="E520" s="82">
        <v>0.38</v>
      </c>
      <c r="F520" s="82">
        <v>0.02</v>
      </c>
      <c r="G520" s="82">
        <v>2.36</v>
      </c>
      <c r="H520" s="82">
        <v>-39.02</v>
      </c>
      <c r="I520" s="82">
        <v>-77.23</v>
      </c>
      <c r="J520" s="82">
        <v>-0.16</v>
      </c>
      <c r="K520" s="82">
        <v>-2.39</v>
      </c>
      <c r="L520" s="82">
        <v>-2.23</v>
      </c>
      <c r="M520" s="82">
        <v>5.3</v>
      </c>
      <c r="N520" s="82">
        <v>0.06</v>
      </c>
      <c r="O520" s="82">
        <v>-0.07</v>
      </c>
      <c r="P520" s="82">
        <v>-0.03</v>
      </c>
      <c r="Q520" s="82">
        <v>0.45</v>
      </c>
      <c r="R520" s="82">
        <v>-470.13</v>
      </c>
      <c r="S520" s="82">
        <v>-30.47</v>
      </c>
      <c r="T520" s="82">
        <v>-33.93</v>
      </c>
      <c r="U520" s="82">
        <v>0.06</v>
      </c>
      <c r="V520" s="82">
        <v>0.94</v>
      </c>
      <c r="W520" s="82">
        <v>0.39</v>
      </c>
      <c r="X520" s="82">
        <v>-2.95</v>
      </c>
      <c r="Z520" s="191">
        <v>1954408.55</v>
      </c>
      <c r="AA520" s="82">
        <v>3.31</v>
      </c>
      <c r="AB520" s="82">
        <v>-15.56</v>
      </c>
      <c r="AC520" s="82">
        <v>0.0</v>
      </c>
      <c r="AD520" s="191">
        <v>6.3E7</v>
      </c>
    </row>
    <row r="521">
      <c r="A521" s="82" t="s">
        <v>571</v>
      </c>
      <c r="B521" s="82">
        <v>2.02</v>
      </c>
      <c r="D521" s="82">
        <v>8.65</v>
      </c>
      <c r="E521" s="82">
        <v>0.89</v>
      </c>
      <c r="F521" s="82">
        <v>0.19</v>
      </c>
      <c r="G521" s="82">
        <v>26.58</v>
      </c>
      <c r="H521" s="82">
        <v>15.48</v>
      </c>
      <c r="I521" s="82">
        <v>3.86</v>
      </c>
      <c r="J521" s="82">
        <v>2.16</v>
      </c>
      <c r="K521" s="82">
        <v>-0.29</v>
      </c>
      <c r="L521" s="82">
        <v>-2.46</v>
      </c>
      <c r="M521" s="82">
        <v>-1.02</v>
      </c>
      <c r="N521" s="82">
        <v>0.33</v>
      </c>
      <c r="O521" s="82">
        <v>4.76</v>
      </c>
      <c r="P521" s="82">
        <v>-0.63</v>
      </c>
      <c r="Q521" s="82">
        <v>1.06</v>
      </c>
      <c r="R521" s="82">
        <v>10.3</v>
      </c>
      <c r="S521" s="82">
        <v>2.25</v>
      </c>
      <c r="T521" s="82">
        <v>33.65</v>
      </c>
      <c r="U521" s="82">
        <v>0.22</v>
      </c>
      <c r="V521" s="82">
        <v>0.77</v>
      </c>
      <c r="W521" s="82">
        <v>0.58</v>
      </c>
      <c r="X521" s="82">
        <v>-12.84</v>
      </c>
      <c r="Y521" s="82">
        <v>-18.71</v>
      </c>
      <c r="Z521" s="191">
        <v>441022.85</v>
      </c>
      <c r="AA521" s="82">
        <v>2.27</v>
      </c>
      <c r="AB521" s="82">
        <v>0.23</v>
      </c>
      <c r="AC521" s="82">
        <v>-0.04</v>
      </c>
      <c r="AD521" s="191">
        <v>1.3684763687E8</v>
      </c>
    </row>
    <row r="522">
      <c r="A522" s="82" t="s">
        <v>572</v>
      </c>
      <c r="B522" s="82">
        <v>111.89</v>
      </c>
      <c r="C522" s="82">
        <v>0.19</v>
      </c>
      <c r="D522" s="82">
        <v>129.2</v>
      </c>
      <c r="E522" s="82">
        <v>31.86</v>
      </c>
      <c r="F522" s="82">
        <v>16.67</v>
      </c>
      <c r="G522" s="82">
        <v>27.03</v>
      </c>
      <c r="H522" s="82">
        <v>17.56</v>
      </c>
      <c r="I522" s="82">
        <v>15.32</v>
      </c>
      <c r="J522" s="82">
        <v>112.72</v>
      </c>
      <c r="K522" s="82">
        <v>52.08</v>
      </c>
      <c r="L522" s="82">
        <v>-0.06</v>
      </c>
      <c r="M522" s="82">
        <v>-0.02</v>
      </c>
      <c r="N522" s="82">
        <v>19.79</v>
      </c>
      <c r="O522" s="82">
        <v>42.23</v>
      </c>
      <c r="P522" s="82">
        <v>-48.65</v>
      </c>
      <c r="Q522" s="82">
        <v>2.5</v>
      </c>
      <c r="R522" s="82">
        <v>24.66</v>
      </c>
      <c r="S522" s="82">
        <v>12.9</v>
      </c>
      <c r="T522" s="82">
        <v>16.38</v>
      </c>
      <c r="U522" s="82">
        <v>0.52</v>
      </c>
      <c r="V522" s="82">
        <v>0.48</v>
      </c>
      <c r="W522" s="82">
        <v>0.84</v>
      </c>
      <c r="X522" s="82">
        <v>24.97</v>
      </c>
      <c r="Y522" s="82">
        <v>50.47</v>
      </c>
      <c r="AA522" s="82">
        <v>3.51</v>
      </c>
      <c r="AB522" s="82">
        <v>0.87</v>
      </c>
      <c r="AC522" s="82">
        <v>5.47</v>
      </c>
      <c r="AD522" s="191">
        <v>1.84950524542E10</v>
      </c>
    </row>
    <row r="523">
      <c r="A523" s="82" t="s">
        <v>573</v>
      </c>
      <c r="B523" s="82">
        <v>6.95</v>
      </c>
      <c r="C523" s="82">
        <v>3.32</v>
      </c>
      <c r="D523" s="82">
        <v>7.99</v>
      </c>
      <c r="E523" s="82">
        <v>1.97</v>
      </c>
      <c r="F523" s="82">
        <v>1.03</v>
      </c>
      <c r="G523" s="82">
        <v>27.03</v>
      </c>
      <c r="H523" s="82">
        <v>17.56</v>
      </c>
      <c r="I523" s="82">
        <v>15.32</v>
      </c>
      <c r="J523" s="82">
        <v>6.97</v>
      </c>
      <c r="K523" s="82">
        <v>52.08</v>
      </c>
      <c r="L523" s="82">
        <v>-0.06</v>
      </c>
      <c r="M523" s="82">
        <v>-0.02</v>
      </c>
      <c r="N523" s="82">
        <v>1.22</v>
      </c>
      <c r="O523" s="82">
        <v>2.61</v>
      </c>
      <c r="P523" s="82">
        <v>-3.01</v>
      </c>
      <c r="Q523" s="82">
        <v>2.5</v>
      </c>
      <c r="R523" s="82">
        <v>24.66</v>
      </c>
      <c r="S523" s="82">
        <v>12.9</v>
      </c>
      <c r="T523" s="82">
        <v>16.38</v>
      </c>
      <c r="U523" s="82">
        <v>0.52</v>
      </c>
      <c r="V523" s="82">
        <v>0.48</v>
      </c>
      <c r="W523" s="82">
        <v>0.84</v>
      </c>
      <c r="X523" s="82">
        <v>24.97</v>
      </c>
      <c r="Y523" s="82">
        <v>50.47</v>
      </c>
      <c r="Z523" s="191">
        <v>2463387.8</v>
      </c>
      <c r="AA523" s="82">
        <v>3.51</v>
      </c>
      <c r="AB523" s="82">
        <v>0.87</v>
      </c>
      <c r="AC523" s="82">
        <v>0.34</v>
      </c>
      <c r="AD523" s="191">
        <v>1.84950524542E10</v>
      </c>
    </row>
    <row r="524">
      <c r="A524" s="82" t="s">
        <v>574</v>
      </c>
      <c r="B524" s="82">
        <v>9.09</v>
      </c>
      <c r="C524" s="82">
        <v>0.21</v>
      </c>
      <c r="D524" s="82">
        <v>147.07</v>
      </c>
      <c r="E524" s="82">
        <v>2.18</v>
      </c>
      <c r="F524" s="82">
        <v>0.12</v>
      </c>
      <c r="G524" s="82">
        <v>28.13</v>
      </c>
      <c r="H524" s="82">
        <v>18.02</v>
      </c>
      <c r="I524" s="82">
        <v>0.17</v>
      </c>
      <c r="J524" s="82">
        <v>1.38</v>
      </c>
      <c r="K524" s="82">
        <v>7.36</v>
      </c>
      <c r="L524" s="82">
        <v>5.98</v>
      </c>
      <c r="M524" s="82">
        <v>9.48</v>
      </c>
      <c r="N524" s="82">
        <v>0.25</v>
      </c>
      <c r="O524" s="82">
        <v>0.91</v>
      </c>
      <c r="P524" s="82">
        <v>-0.18</v>
      </c>
      <c r="Q524" s="82">
        <v>1.75</v>
      </c>
      <c r="R524" s="82">
        <v>1.48</v>
      </c>
      <c r="S524" s="82">
        <v>0.08</v>
      </c>
      <c r="T524" s="82">
        <v>10.67</v>
      </c>
      <c r="U524" s="82">
        <v>0.06</v>
      </c>
      <c r="V524" s="82">
        <v>0.89</v>
      </c>
      <c r="W524" s="82">
        <v>0.49</v>
      </c>
      <c r="X524" s="82">
        <v>27.43</v>
      </c>
      <c r="Z524" s="191">
        <v>2.87202505E7</v>
      </c>
      <c r="AA524" s="82">
        <v>4.17</v>
      </c>
      <c r="AB524" s="82">
        <v>0.06</v>
      </c>
      <c r="AC524" s="82">
        <v>-1.63</v>
      </c>
      <c r="AD524" s="191">
        <v>7.59597565554E9</v>
      </c>
    </row>
    <row r="525">
      <c r="A525" s="82" t="s">
        <v>575</v>
      </c>
      <c r="B525" s="82">
        <v>18.31</v>
      </c>
      <c r="C525" s="82">
        <v>7.1</v>
      </c>
      <c r="D525" s="82">
        <v>7.05</v>
      </c>
      <c r="E525" s="82">
        <v>1.56</v>
      </c>
      <c r="F525" s="82">
        <v>0.49</v>
      </c>
      <c r="G525" s="82">
        <v>31.62</v>
      </c>
      <c r="H525" s="82">
        <v>24.57</v>
      </c>
      <c r="I525" s="82">
        <v>11.95</v>
      </c>
      <c r="J525" s="82">
        <v>3.43</v>
      </c>
      <c r="K525" s="82">
        <v>4.89</v>
      </c>
      <c r="L525" s="82">
        <v>1.45</v>
      </c>
      <c r="M525" s="82">
        <v>0.66</v>
      </c>
      <c r="N525" s="82">
        <v>0.84</v>
      </c>
      <c r="O525" s="82">
        <v>2.06</v>
      </c>
      <c r="P525" s="82">
        <v>-0.95</v>
      </c>
      <c r="Q525" s="82">
        <v>1.97</v>
      </c>
      <c r="R525" s="82">
        <v>22.13</v>
      </c>
      <c r="S525" s="82">
        <v>6.95</v>
      </c>
      <c r="T525" s="82">
        <v>18.45</v>
      </c>
      <c r="U525" s="82">
        <v>0.31</v>
      </c>
      <c r="V525" s="82">
        <v>0.67</v>
      </c>
      <c r="W525" s="82">
        <v>0.58</v>
      </c>
      <c r="X525" s="82">
        <v>34.0</v>
      </c>
      <c r="Y525" s="82">
        <v>26.41</v>
      </c>
      <c r="Z525" s="191">
        <v>6.68201509E7</v>
      </c>
      <c r="AA525" s="82">
        <v>11.72</v>
      </c>
      <c r="AB525" s="82">
        <v>2.59</v>
      </c>
      <c r="AC525" s="82">
        <v>-0.51</v>
      </c>
      <c r="AD525" s="191">
        <v>8.13953358576E9</v>
      </c>
    </row>
    <row r="526">
      <c r="A526" s="82" t="s">
        <v>576</v>
      </c>
      <c r="B526" s="82">
        <v>3.21</v>
      </c>
      <c r="D526" s="82">
        <v>0.45</v>
      </c>
      <c r="E526" s="82">
        <v>-0.08</v>
      </c>
      <c r="F526" s="82">
        <v>0.48</v>
      </c>
      <c r="G526" s="82">
        <v>47.85</v>
      </c>
      <c r="H526" s="82">
        <v>73.94</v>
      </c>
      <c r="I526" s="82">
        <v>92.71</v>
      </c>
      <c r="J526" s="82">
        <v>0.56</v>
      </c>
      <c r="K526" s="82">
        <v>0.95</v>
      </c>
      <c r="L526" s="82">
        <v>0.65</v>
      </c>
      <c r="N526" s="82">
        <v>0.42</v>
      </c>
      <c r="O526" s="82">
        <v>-0.2</v>
      </c>
      <c r="P526" s="82">
        <v>-0.72</v>
      </c>
      <c r="Q526" s="82">
        <v>0.12</v>
      </c>
      <c r="R526" s="82">
        <v>-18.07</v>
      </c>
      <c r="S526" s="82">
        <v>107.04</v>
      </c>
      <c r="T526" s="82">
        <v>-15.91</v>
      </c>
      <c r="U526" s="82">
        <v>-5.92</v>
      </c>
      <c r="V526" s="82">
        <v>6.92</v>
      </c>
      <c r="W526" s="82">
        <v>1.15</v>
      </c>
      <c r="X526" s="82">
        <v>-45.03</v>
      </c>
      <c r="Z526" s="191">
        <v>4387.67</v>
      </c>
      <c r="AA526" s="82">
        <v>-39.57</v>
      </c>
      <c r="AB526" s="82">
        <v>7.15</v>
      </c>
      <c r="AC526" s="82">
        <v>-0.02</v>
      </c>
      <c r="AD526" s="191">
        <v>1.649769259E7</v>
      </c>
    </row>
    <row r="527">
      <c r="A527" s="82" t="s">
        <v>577</v>
      </c>
      <c r="B527" s="82">
        <v>1.6</v>
      </c>
      <c r="D527" s="82">
        <v>0.22</v>
      </c>
      <c r="E527" s="82">
        <v>-0.04</v>
      </c>
      <c r="F527" s="82">
        <v>0.24</v>
      </c>
      <c r="G527" s="82">
        <v>47.85</v>
      </c>
      <c r="H527" s="82">
        <v>73.94</v>
      </c>
      <c r="I527" s="82">
        <v>92.71</v>
      </c>
      <c r="J527" s="82">
        <v>0.28</v>
      </c>
      <c r="K527" s="82">
        <v>0.95</v>
      </c>
      <c r="L527" s="82">
        <v>0.65</v>
      </c>
      <c r="N527" s="82">
        <v>0.21</v>
      </c>
      <c r="O527" s="82">
        <v>-0.1</v>
      </c>
      <c r="P527" s="82">
        <v>-0.36</v>
      </c>
      <c r="Q527" s="82">
        <v>0.12</v>
      </c>
      <c r="R527" s="82">
        <v>-18.07</v>
      </c>
      <c r="S527" s="82">
        <v>107.04</v>
      </c>
      <c r="T527" s="82">
        <v>-15.91</v>
      </c>
      <c r="U527" s="82">
        <v>-5.92</v>
      </c>
      <c r="V527" s="82">
        <v>6.92</v>
      </c>
      <c r="W527" s="82">
        <v>1.15</v>
      </c>
      <c r="X527" s="82">
        <v>-45.03</v>
      </c>
      <c r="Z527" s="191">
        <v>207054.67</v>
      </c>
      <c r="AA527" s="82">
        <v>-39.57</v>
      </c>
      <c r="AB527" s="82">
        <v>7.15</v>
      </c>
      <c r="AC527" s="82">
        <v>-0.01</v>
      </c>
      <c r="AD527" s="191">
        <v>1.649769259E7</v>
      </c>
    </row>
    <row r="528">
      <c r="A528" s="82" t="s">
        <v>578</v>
      </c>
      <c r="B528" s="82">
        <v>24.8</v>
      </c>
      <c r="C528" s="82">
        <v>1.42</v>
      </c>
      <c r="D528" s="82">
        <v>32.19</v>
      </c>
      <c r="E528" s="82">
        <v>3.09</v>
      </c>
      <c r="F528" s="82">
        <v>1.1</v>
      </c>
      <c r="G528" s="82">
        <v>40.84</v>
      </c>
      <c r="H528" s="82">
        <v>32.69</v>
      </c>
      <c r="I528" s="82">
        <v>21.35</v>
      </c>
      <c r="J528" s="82">
        <v>21.03</v>
      </c>
      <c r="K528" s="82">
        <v>21.96</v>
      </c>
      <c r="L528" s="82">
        <v>1.01</v>
      </c>
      <c r="M528" s="82">
        <v>0.15</v>
      </c>
      <c r="N528" s="82">
        <v>6.87</v>
      </c>
      <c r="O528" s="82">
        <v>13.2</v>
      </c>
      <c r="P528" s="82">
        <v>-1.5</v>
      </c>
      <c r="Q528" s="82">
        <v>1.47</v>
      </c>
      <c r="R528" s="82">
        <v>9.59</v>
      </c>
      <c r="S528" s="82">
        <v>3.43</v>
      </c>
      <c r="T528" s="82">
        <v>7.57</v>
      </c>
      <c r="U528" s="82">
        <v>0.36</v>
      </c>
      <c r="V528" s="82">
        <v>0.64</v>
      </c>
      <c r="W528" s="82">
        <v>0.16</v>
      </c>
      <c r="X528" s="82">
        <v>31.49</v>
      </c>
      <c r="Z528" s="191">
        <v>5.31414797E7</v>
      </c>
      <c r="AA528" s="82">
        <v>8.04</v>
      </c>
      <c r="AB528" s="82">
        <v>0.77</v>
      </c>
      <c r="AC528" s="82">
        <v>-0.12</v>
      </c>
      <c r="AD528" s="191">
        <v>1.449777180697E10</v>
      </c>
    </row>
    <row r="529">
      <c r="A529" s="82" t="s">
        <v>579</v>
      </c>
      <c r="B529" s="82">
        <v>22.4</v>
      </c>
      <c r="D529" s="82">
        <v>10.78</v>
      </c>
      <c r="E529" s="82">
        <v>4.09</v>
      </c>
      <c r="F529" s="82">
        <v>1.02</v>
      </c>
      <c r="G529" s="82">
        <v>85.18</v>
      </c>
      <c r="H529" s="82">
        <v>41.42</v>
      </c>
      <c r="I529" s="82">
        <v>39.07</v>
      </c>
      <c r="J529" s="82">
        <v>10.17</v>
      </c>
      <c r="K529" s="82">
        <v>9.93</v>
      </c>
      <c r="L529" s="82">
        <v>-0.24</v>
      </c>
      <c r="M529" s="82">
        <v>-0.1</v>
      </c>
      <c r="N529" s="82">
        <v>4.21</v>
      </c>
      <c r="O529" s="82">
        <v>18.78</v>
      </c>
      <c r="P529" s="82">
        <v>-2.54</v>
      </c>
      <c r="Q529" s="82">
        <v>1.1</v>
      </c>
      <c r="R529" s="82">
        <v>37.96</v>
      </c>
      <c r="S529" s="82">
        <v>9.43</v>
      </c>
      <c r="T529" s="82">
        <v>24.47</v>
      </c>
      <c r="U529" s="82">
        <v>0.25</v>
      </c>
      <c r="V529" s="82">
        <v>0.75</v>
      </c>
      <c r="W529" s="82">
        <v>0.24</v>
      </c>
      <c r="AA529" s="82">
        <v>5.47</v>
      </c>
      <c r="AB529" s="82">
        <v>2.08</v>
      </c>
      <c r="AC529" s="82">
        <v>-0.33</v>
      </c>
      <c r="AD529" s="191">
        <v>2.7811605472E9</v>
      </c>
    </row>
    <row r="530">
      <c r="A530" s="82" t="s">
        <v>580</v>
      </c>
      <c r="B530" s="82">
        <v>28.68</v>
      </c>
      <c r="C530" s="82">
        <v>4.33</v>
      </c>
      <c r="D530" s="82">
        <v>8.32</v>
      </c>
      <c r="E530" s="82">
        <v>1.72</v>
      </c>
      <c r="F530" s="82">
        <v>0.54</v>
      </c>
      <c r="G530" s="82">
        <v>30.78</v>
      </c>
      <c r="H530" s="82">
        <v>37.91</v>
      </c>
      <c r="I530" s="82">
        <v>19.59</v>
      </c>
      <c r="J530" s="82">
        <v>4.3</v>
      </c>
      <c r="K530" s="82">
        <v>7.06</v>
      </c>
      <c r="L530" s="82">
        <v>2.79</v>
      </c>
      <c r="M530" s="82">
        <v>1.11</v>
      </c>
      <c r="N530" s="82">
        <v>1.63</v>
      </c>
      <c r="O530" s="82">
        <v>3.31</v>
      </c>
      <c r="P530" s="82">
        <v>-0.77</v>
      </c>
      <c r="Q530" s="82">
        <v>2.17</v>
      </c>
      <c r="R530" s="82">
        <v>20.63</v>
      </c>
      <c r="S530" s="82">
        <v>6.48</v>
      </c>
      <c r="T530" s="82">
        <v>13.31</v>
      </c>
      <c r="U530" s="82">
        <v>0.31</v>
      </c>
      <c r="V530" s="82">
        <v>0.69</v>
      </c>
      <c r="W530" s="82">
        <v>0.33</v>
      </c>
      <c r="X530" s="82">
        <v>14.04</v>
      </c>
      <c r="Y530" s="82">
        <v>19.93</v>
      </c>
      <c r="Z530" s="191">
        <v>6.182428865E7</v>
      </c>
      <c r="AA530" s="82">
        <v>16.7</v>
      </c>
      <c r="AB530" s="82">
        <v>3.45</v>
      </c>
      <c r="AC530" s="82">
        <v>-0.83</v>
      </c>
      <c r="AD530" s="191">
        <v>1.006454208347E10</v>
      </c>
    </row>
    <row r="531">
      <c r="A531" s="82" t="s">
        <v>581</v>
      </c>
      <c r="B531" s="82">
        <v>5.42</v>
      </c>
      <c r="D531" s="82">
        <v>-0.15</v>
      </c>
      <c r="E531" s="82">
        <v>-0.02</v>
      </c>
      <c r="F531" s="82">
        <v>0.08</v>
      </c>
      <c r="G531" s="82">
        <v>25.14</v>
      </c>
      <c r="H531" s="82">
        <v>6.63</v>
      </c>
      <c r="I531" s="82">
        <v>-33.1</v>
      </c>
      <c r="J531" s="82">
        <v>0.73</v>
      </c>
      <c r="K531" s="82">
        <v>3.65</v>
      </c>
      <c r="L531" s="82">
        <v>2.23</v>
      </c>
      <c r="N531" s="82">
        <v>0.05</v>
      </c>
      <c r="O531" s="82">
        <v>2.81</v>
      </c>
      <c r="P531" s="82">
        <v>-0.2</v>
      </c>
      <c r="Q531" s="82">
        <v>1.05</v>
      </c>
      <c r="R531" s="82">
        <v>-15.19</v>
      </c>
      <c r="S531" s="82">
        <v>-56.19</v>
      </c>
      <c r="T531" s="82">
        <v>-3.24</v>
      </c>
      <c r="U531" s="82">
        <v>-3.7</v>
      </c>
      <c r="V531" s="82">
        <v>4.73</v>
      </c>
      <c r="W531" s="82">
        <v>1.7</v>
      </c>
      <c r="X531" s="82">
        <v>16.67</v>
      </c>
      <c r="Z531" s="191">
        <v>6322.92</v>
      </c>
      <c r="AA531" s="82">
        <v>-245.68</v>
      </c>
      <c r="AB531" s="82">
        <v>-37.32</v>
      </c>
      <c r="AC531" s="82">
        <v>0.0</v>
      </c>
      <c r="AD531" s="191">
        <v>8.18354648E7</v>
      </c>
    </row>
    <row r="532">
      <c r="A532" s="82" t="s">
        <v>582</v>
      </c>
      <c r="B532" s="82">
        <v>3.82</v>
      </c>
      <c r="D532" s="82">
        <v>-0.1</v>
      </c>
      <c r="E532" s="82">
        <v>-0.02</v>
      </c>
      <c r="F532" s="82">
        <v>0.06</v>
      </c>
      <c r="G532" s="82">
        <v>25.14</v>
      </c>
      <c r="H532" s="82">
        <v>6.63</v>
      </c>
      <c r="I532" s="82">
        <v>-33.1</v>
      </c>
      <c r="J532" s="82">
        <v>0.51</v>
      </c>
      <c r="K532" s="82">
        <v>3.65</v>
      </c>
      <c r="L532" s="82">
        <v>2.23</v>
      </c>
      <c r="N532" s="82">
        <v>0.03</v>
      </c>
      <c r="O532" s="82">
        <v>1.98</v>
      </c>
      <c r="P532" s="82">
        <v>-0.14</v>
      </c>
      <c r="Q532" s="82">
        <v>1.05</v>
      </c>
      <c r="R532" s="82">
        <v>-15.19</v>
      </c>
      <c r="S532" s="82">
        <v>-56.19</v>
      </c>
      <c r="T532" s="82">
        <v>-3.24</v>
      </c>
      <c r="U532" s="82">
        <v>-3.7</v>
      </c>
      <c r="V532" s="82">
        <v>4.73</v>
      </c>
      <c r="W532" s="82">
        <v>1.7</v>
      </c>
      <c r="X532" s="82">
        <v>16.67</v>
      </c>
      <c r="Z532" s="191">
        <v>52319.95</v>
      </c>
      <c r="AA532" s="82">
        <v>-245.68</v>
      </c>
      <c r="AB532" s="82">
        <v>-37.32</v>
      </c>
      <c r="AC532" s="82">
        <v>0.0</v>
      </c>
      <c r="AD532" s="191">
        <v>8.18354648E7</v>
      </c>
    </row>
    <row r="533">
      <c r="A533" s="82" t="s">
        <v>583</v>
      </c>
      <c r="B533" s="82">
        <v>13.33</v>
      </c>
      <c r="D533" s="82">
        <v>-0.36</v>
      </c>
      <c r="E533" s="82">
        <v>-0.05</v>
      </c>
      <c r="F533" s="82">
        <v>0.2</v>
      </c>
      <c r="G533" s="82">
        <v>25.14</v>
      </c>
      <c r="H533" s="82">
        <v>6.63</v>
      </c>
      <c r="I533" s="82">
        <v>-33.1</v>
      </c>
      <c r="J533" s="82">
        <v>1.78</v>
      </c>
      <c r="K533" s="82">
        <v>3.65</v>
      </c>
      <c r="L533" s="82">
        <v>2.23</v>
      </c>
      <c r="N533" s="82">
        <v>0.12</v>
      </c>
      <c r="O533" s="82">
        <v>6.92</v>
      </c>
      <c r="P533" s="82">
        <v>-0.49</v>
      </c>
      <c r="Q533" s="82">
        <v>1.05</v>
      </c>
      <c r="R533" s="82">
        <v>-15.19</v>
      </c>
      <c r="S533" s="82">
        <v>-56.19</v>
      </c>
      <c r="T533" s="82">
        <v>-3.24</v>
      </c>
      <c r="U533" s="82">
        <v>-3.7</v>
      </c>
      <c r="V533" s="82">
        <v>4.73</v>
      </c>
      <c r="W533" s="82">
        <v>1.7</v>
      </c>
      <c r="X533" s="82">
        <v>16.67</v>
      </c>
      <c r="AA533" s="82">
        <v>-245.68</v>
      </c>
      <c r="AB533" s="82">
        <v>-37.32</v>
      </c>
      <c r="AC533" s="82">
        <v>-0.01</v>
      </c>
      <c r="AD533" s="191">
        <v>8.18354648E7</v>
      </c>
    </row>
    <row r="534">
      <c r="A534" s="82" t="s">
        <v>584</v>
      </c>
      <c r="B534" s="82">
        <v>15.74</v>
      </c>
      <c r="C534" s="82">
        <v>6.09</v>
      </c>
      <c r="D534" s="82">
        <v>9.61</v>
      </c>
      <c r="E534" s="82">
        <v>2.0</v>
      </c>
      <c r="F534" s="82">
        <v>0.74</v>
      </c>
      <c r="G534" s="82">
        <v>15.15</v>
      </c>
      <c r="H534" s="82">
        <v>11.93</v>
      </c>
      <c r="I534" s="82">
        <v>9.98</v>
      </c>
      <c r="J534" s="82">
        <v>8.04</v>
      </c>
      <c r="K534" s="82">
        <v>7.57</v>
      </c>
      <c r="L534" s="82">
        <v>-0.4</v>
      </c>
      <c r="M534" s="82">
        <v>-0.1</v>
      </c>
      <c r="N534" s="82">
        <v>0.96</v>
      </c>
      <c r="O534" s="82">
        <v>1.82</v>
      </c>
      <c r="P534" s="82">
        <v>-2.69</v>
      </c>
      <c r="Q534" s="82">
        <v>2.27</v>
      </c>
      <c r="R534" s="82">
        <v>20.81</v>
      </c>
      <c r="S534" s="82">
        <v>7.66</v>
      </c>
      <c r="T534" s="82">
        <v>10.68</v>
      </c>
      <c r="U534" s="82">
        <v>0.37</v>
      </c>
      <c r="V534" s="82">
        <v>0.5</v>
      </c>
      <c r="W534" s="82">
        <v>0.77</v>
      </c>
      <c r="X534" s="82">
        <v>53.23</v>
      </c>
      <c r="Z534" s="191">
        <v>3839674.45</v>
      </c>
      <c r="AA534" s="82">
        <v>7.89</v>
      </c>
      <c r="AB534" s="82">
        <v>1.64</v>
      </c>
      <c r="AC534" s="82">
        <v>0.21</v>
      </c>
      <c r="AD534" s="191">
        <v>1.83441750516E9</v>
      </c>
    </row>
    <row r="535">
      <c r="A535" s="82" t="s">
        <v>585</v>
      </c>
      <c r="B535" s="82">
        <v>7.15</v>
      </c>
      <c r="C535" s="82">
        <v>1.41</v>
      </c>
      <c r="D535" s="82">
        <v>18.41</v>
      </c>
      <c r="E535" s="82">
        <v>0.74</v>
      </c>
      <c r="F535" s="82">
        <v>0.52</v>
      </c>
      <c r="G535" s="82">
        <v>56.57</v>
      </c>
      <c r="H535" s="82">
        <v>8.12</v>
      </c>
      <c r="I535" s="82">
        <v>5.86</v>
      </c>
      <c r="J535" s="82">
        <v>13.28</v>
      </c>
      <c r="K535" s="82">
        <v>15.89</v>
      </c>
      <c r="L535" s="82">
        <v>2.72</v>
      </c>
      <c r="M535" s="82">
        <v>0.15</v>
      </c>
      <c r="N535" s="82">
        <v>1.08</v>
      </c>
      <c r="O535" s="82">
        <v>3.87</v>
      </c>
      <c r="P535" s="82">
        <v>-0.76</v>
      </c>
      <c r="Q535" s="82">
        <v>1.76</v>
      </c>
      <c r="R535" s="82">
        <v>4.0</v>
      </c>
      <c r="S535" s="82">
        <v>2.84</v>
      </c>
      <c r="T535" s="82">
        <v>3.69</v>
      </c>
      <c r="U535" s="82">
        <v>0.71</v>
      </c>
      <c r="V535" s="82">
        <v>0.29</v>
      </c>
      <c r="W535" s="82">
        <v>0.49</v>
      </c>
      <c r="X535" s="82">
        <v>36.69</v>
      </c>
      <c r="Y535" s="82">
        <v>30.81</v>
      </c>
      <c r="Z535" s="191">
        <v>1.090382848E8</v>
      </c>
      <c r="AA535" s="82">
        <v>9.73</v>
      </c>
      <c r="AB535" s="82">
        <v>0.39</v>
      </c>
      <c r="AC535" s="82">
        <v>-27.74</v>
      </c>
      <c r="AD535" s="191">
        <v>5.57955382203E9</v>
      </c>
    </row>
    <row r="536">
      <c r="A536" s="82" t="s">
        <v>586</v>
      </c>
      <c r="B536" s="82">
        <v>46.01</v>
      </c>
      <c r="C536" s="82">
        <v>12.04</v>
      </c>
      <c r="D536" s="82">
        <v>9.09</v>
      </c>
      <c r="E536" s="82">
        <v>1.97</v>
      </c>
      <c r="F536" s="82">
        <v>1.17</v>
      </c>
      <c r="G536" s="82">
        <v>39.48</v>
      </c>
      <c r="H536" s="82">
        <v>15.86</v>
      </c>
      <c r="I536" s="82">
        <v>7.34</v>
      </c>
      <c r="J536" s="82">
        <v>4.21</v>
      </c>
      <c r="K536" s="82">
        <v>3.72</v>
      </c>
      <c r="L536" s="82">
        <v>-0.97</v>
      </c>
      <c r="M536" s="82">
        <v>-0.45</v>
      </c>
      <c r="N536" s="82">
        <v>0.67</v>
      </c>
      <c r="O536" s="82">
        <v>3.45</v>
      </c>
      <c r="P536" s="82">
        <v>-3.02</v>
      </c>
      <c r="Q536" s="82">
        <v>2.25</v>
      </c>
      <c r="R536" s="82">
        <v>21.62</v>
      </c>
      <c r="S536" s="82">
        <v>12.89</v>
      </c>
      <c r="T536" s="82">
        <v>25.53</v>
      </c>
      <c r="U536" s="82">
        <v>0.6</v>
      </c>
      <c r="V536" s="82">
        <v>0.4</v>
      </c>
      <c r="W536" s="82">
        <v>1.76</v>
      </c>
      <c r="X536" s="82">
        <v>23.5</v>
      </c>
      <c r="Y536" s="82">
        <v>31.16</v>
      </c>
      <c r="AA536" s="82">
        <v>23.41</v>
      </c>
      <c r="AB536" s="82">
        <v>5.06</v>
      </c>
      <c r="AC536" s="82">
        <v>-0.89</v>
      </c>
      <c r="AD536" s="191">
        <v>1.2588716E8</v>
      </c>
    </row>
    <row r="537">
      <c r="A537" s="82" t="s">
        <v>587</v>
      </c>
      <c r="B537" s="82">
        <v>54.0</v>
      </c>
      <c r="C537" s="82">
        <v>11.29</v>
      </c>
      <c r="D537" s="82">
        <v>10.67</v>
      </c>
      <c r="E537" s="82">
        <v>2.31</v>
      </c>
      <c r="F537" s="82">
        <v>1.38</v>
      </c>
      <c r="G537" s="82">
        <v>39.48</v>
      </c>
      <c r="H537" s="82">
        <v>15.86</v>
      </c>
      <c r="I537" s="82">
        <v>7.34</v>
      </c>
      <c r="J537" s="82">
        <v>4.94</v>
      </c>
      <c r="K537" s="82">
        <v>3.72</v>
      </c>
      <c r="L537" s="82">
        <v>-0.97</v>
      </c>
      <c r="M537" s="82">
        <v>-0.45</v>
      </c>
      <c r="N537" s="82">
        <v>0.78</v>
      </c>
      <c r="O537" s="82">
        <v>4.05</v>
      </c>
      <c r="P537" s="82">
        <v>-3.54</v>
      </c>
      <c r="Q537" s="82">
        <v>2.25</v>
      </c>
      <c r="R537" s="82">
        <v>21.62</v>
      </c>
      <c r="S537" s="82">
        <v>12.89</v>
      </c>
      <c r="T537" s="82">
        <v>25.53</v>
      </c>
      <c r="U537" s="82">
        <v>0.6</v>
      </c>
      <c r="V537" s="82">
        <v>0.4</v>
      </c>
      <c r="W537" s="82">
        <v>1.76</v>
      </c>
      <c r="X537" s="82">
        <v>23.5</v>
      </c>
      <c r="Y537" s="82">
        <v>31.16</v>
      </c>
      <c r="Z537" s="191">
        <v>8100.0</v>
      </c>
      <c r="AA537" s="82">
        <v>23.41</v>
      </c>
      <c r="AB537" s="82">
        <v>5.06</v>
      </c>
      <c r="AC537" s="82">
        <v>-1.05</v>
      </c>
      <c r="AD537" s="191">
        <v>1.2588716E8</v>
      </c>
    </row>
    <row r="538">
      <c r="A538" s="82" t="s">
        <v>588</v>
      </c>
      <c r="B538" s="82">
        <v>54.2</v>
      </c>
      <c r="C538" s="82">
        <v>11.24</v>
      </c>
      <c r="D538" s="82">
        <v>10.71</v>
      </c>
      <c r="E538" s="82">
        <v>2.32</v>
      </c>
      <c r="F538" s="82">
        <v>1.38</v>
      </c>
      <c r="G538" s="82">
        <v>39.48</v>
      </c>
      <c r="H538" s="82">
        <v>15.86</v>
      </c>
      <c r="I538" s="82">
        <v>7.34</v>
      </c>
      <c r="J538" s="82">
        <v>4.96</v>
      </c>
      <c r="K538" s="82">
        <v>3.72</v>
      </c>
      <c r="L538" s="82">
        <v>-0.97</v>
      </c>
      <c r="M538" s="82">
        <v>-0.45</v>
      </c>
      <c r="N538" s="82">
        <v>0.79</v>
      </c>
      <c r="O538" s="82">
        <v>4.06</v>
      </c>
      <c r="P538" s="82">
        <v>-3.55</v>
      </c>
      <c r="Q538" s="82">
        <v>2.25</v>
      </c>
      <c r="R538" s="82">
        <v>21.62</v>
      </c>
      <c r="S538" s="82">
        <v>12.89</v>
      </c>
      <c r="T538" s="82">
        <v>25.53</v>
      </c>
      <c r="U538" s="82">
        <v>0.6</v>
      </c>
      <c r="V538" s="82">
        <v>0.4</v>
      </c>
      <c r="W538" s="82">
        <v>1.76</v>
      </c>
      <c r="X538" s="82">
        <v>23.5</v>
      </c>
      <c r="Y538" s="82">
        <v>31.16</v>
      </c>
      <c r="Z538" s="191">
        <v>5420.0</v>
      </c>
      <c r="AA538" s="82">
        <v>23.41</v>
      </c>
      <c r="AB538" s="82">
        <v>5.06</v>
      </c>
      <c r="AC538" s="82">
        <v>-1.05</v>
      </c>
      <c r="AD538" s="191">
        <v>1.2588716E8</v>
      </c>
    </row>
    <row r="539">
      <c r="A539" s="82" t="s">
        <v>1725</v>
      </c>
      <c r="B539" s="82">
        <v>21.72</v>
      </c>
      <c r="D539" s="82">
        <v>-3.32</v>
      </c>
      <c r="E539" s="82">
        <v>2.45</v>
      </c>
      <c r="F539" s="82">
        <v>2.36</v>
      </c>
      <c r="J539" s="82">
        <v>-3.0</v>
      </c>
      <c r="K539" s="82">
        <v>-2.46</v>
      </c>
      <c r="L539" s="82">
        <v>0.17</v>
      </c>
      <c r="M539" s="82">
        <v>-0.14</v>
      </c>
      <c r="O539" s="82">
        <v>4.61</v>
      </c>
      <c r="P539" s="82">
        <v>-4.93</v>
      </c>
      <c r="Q539" s="82">
        <v>66.47</v>
      </c>
      <c r="R539" s="82">
        <v>-73.82</v>
      </c>
      <c r="S539" s="82">
        <v>-71.18</v>
      </c>
      <c r="T539" s="82">
        <v>-81.66</v>
      </c>
      <c r="U539" s="82">
        <v>0.96</v>
      </c>
      <c r="V539" s="82">
        <v>0.04</v>
      </c>
      <c r="W539" s="82">
        <v>0.0</v>
      </c>
      <c r="AA539" s="82">
        <v>8.86</v>
      </c>
      <c r="AB539" s="82">
        <v>-6.54</v>
      </c>
      <c r="AC539" s="82">
        <v>-0.01</v>
      </c>
      <c r="AD539" s="191">
        <v>4.807373188E7</v>
      </c>
    </row>
    <row r="540">
      <c r="A540" s="82" t="s">
        <v>1727</v>
      </c>
      <c r="B540" s="82">
        <v>8.52</v>
      </c>
      <c r="D540" s="82">
        <v>-1.3</v>
      </c>
      <c r="E540" s="82">
        <v>0.96</v>
      </c>
      <c r="F540" s="82">
        <v>0.93</v>
      </c>
      <c r="J540" s="82">
        <v>-1.18</v>
      </c>
      <c r="K540" s="82">
        <v>-2.46</v>
      </c>
      <c r="L540" s="82">
        <v>0.17</v>
      </c>
      <c r="M540" s="82">
        <v>-0.14</v>
      </c>
      <c r="O540" s="82">
        <v>1.81</v>
      </c>
      <c r="P540" s="82">
        <v>-1.93</v>
      </c>
      <c r="Q540" s="82">
        <v>66.47</v>
      </c>
      <c r="R540" s="82">
        <v>-73.82</v>
      </c>
      <c r="S540" s="82">
        <v>-71.18</v>
      </c>
      <c r="T540" s="82">
        <v>-81.66</v>
      </c>
      <c r="U540" s="82">
        <v>0.96</v>
      </c>
      <c r="V540" s="82">
        <v>0.04</v>
      </c>
      <c r="W540" s="82">
        <v>0.0</v>
      </c>
      <c r="AA540" s="82">
        <v>8.86</v>
      </c>
      <c r="AB540" s="82">
        <v>-6.54</v>
      </c>
      <c r="AC540" s="82">
        <v>0.0</v>
      </c>
      <c r="AD540" s="191">
        <v>4.807373188E7</v>
      </c>
    </row>
    <row r="541">
      <c r="A541" s="82" t="s">
        <v>1728</v>
      </c>
      <c r="B541" s="82">
        <v>11.0</v>
      </c>
      <c r="D541" s="82">
        <v>-1.68</v>
      </c>
      <c r="E541" s="82">
        <v>1.24</v>
      </c>
      <c r="F541" s="82">
        <v>1.2</v>
      </c>
      <c r="J541" s="82">
        <v>-1.52</v>
      </c>
      <c r="K541" s="82">
        <v>-2.46</v>
      </c>
      <c r="L541" s="82">
        <v>0.17</v>
      </c>
      <c r="M541" s="82">
        <v>-0.14</v>
      </c>
      <c r="O541" s="82">
        <v>2.34</v>
      </c>
      <c r="P541" s="82">
        <v>-2.49</v>
      </c>
      <c r="Q541" s="82">
        <v>66.47</v>
      </c>
      <c r="R541" s="82">
        <v>-73.82</v>
      </c>
      <c r="S541" s="82">
        <v>-71.18</v>
      </c>
      <c r="T541" s="82">
        <v>-81.66</v>
      </c>
      <c r="U541" s="82">
        <v>0.96</v>
      </c>
      <c r="V541" s="82">
        <v>0.04</v>
      </c>
      <c r="W541" s="82">
        <v>0.0</v>
      </c>
      <c r="AA541" s="82">
        <v>8.86</v>
      </c>
      <c r="AB541" s="82">
        <v>-6.54</v>
      </c>
      <c r="AC541" s="82">
        <v>0.0</v>
      </c>
      <c r="AD541" s="191">
        <v>4.807373188E7</v>
      </c>
    </row>
    <row r="542">
      <c r="A542" s="82" t="s">
        <v>589</v>
      </c>
      <c r="B542" s="82">
        <v>76.4</v>
      </c>
      <c r="D542" s="191">
        <v>1090.85</v>
      </c>
      <c r="E542" s="191">
        <v>6770.92</v>
      </c>
      <c r="F542" s="191">
        <v>5953.08</v>
      </c>
      <c r="J542" s="82">
        <v>772.64</v>
      </c>
      <c r="K542" s="82">
        <v>772.51</v>
      </c>
      <c r="L542" s="82">
        <v>-0.13</v>
      </c>
      <c r="M542" s="82">
        <v>-1.14</v>
      </c>
      <c r="O542" s="191">
        <v>6770.92</v>
      </c>
      <c r="Q542" s="82">
        <v>8.28</v>
      </c>
      <c r="R542" s="82">
        <v>620.7</v>
      </c>
      <c r="S542" s="82">
        <v>545.73</v>
      </c>
      <c r="T542" s="82">
        <v>876.33</v>
      </c>
      <c r="U542" s="82">
        <v>0.88</v>
      </c>
      <c r="V542" s="82">
        <v>0.12</v>
      </c>
      <c r="W542" s="82">
        <v>0.0</v>
      </c>
      <c r="AA542" s="82">
        <v>0.01</v>
      </c>
      <c r="AB542" s="82">
        <v>0.07</v>
      </c>
      <c r="AC542" s="82">
        <v>-8.9</v>
      </c>
      <c r="AD542" s="191">
        <v>3.705317488E8</v>
      </c>
    </row>
    <row r="543">
      <c r="A543" s="82" t="s">
        <v>590</v>
      </c>
      <c r="B543" s="82">
        <v>27.37</v>
      </c>
      <c r="C543" s="82">
        <v>0.2</v>
      </c>
      <c r="D543" s="82">
        <v>-110.33</v>
      </c>
      <c r="E543" s="82">
        <v>3.7</v>
      </c>
      <c r="F543" s="82">
        <v>1.49</v>
      </c>
      <c r="G543" s="82">
        <v>42.19</v>
      </c>
      <c r="H543" s="82">
        <v>6.45</v>
      </c>
      <c r="I543" s="82">
        <v>-3.26</v>
      </c>
      <c r="J543" s="82">
        <v>55.72</v>
      </c>
      <c r="K543" s="82">
        <v>60.18</v>
      </c>
      <c r="L543" s="82">
        <v>4.46</v>
      </c>
      <c r="M543" s="82">
        <v>0.3</v>
      </c>
      <c r="N543" s="82">
        <v>3.59</v>
      </c>
      <c r="O543" s="82">
        <v>25.87</v>
      </c>
      <c r="P543" s="82">
        <v>-1.84</v>
      </c>
      <c r="Q543" s="82">
        <v>1.43</v>
      </c>
      <c r="R543" s="82">
        <v>-3.35</v>
      </c>
      <c r="S543" s="82">
        <v>-1.35</v>
      </c>
      <c r="T543" s="82">
        <v>3.18</v>
      </c>
      <c r="U543" s="82">
        <v>0.4</v>
      </c>
      <c r="V543" s="82">
        <v>0.58</v>
      </c>
      <c r="W543" s="82">
        <v>0.41</v>
      </c>
      <c r="X543" s="82">
        <v>35.51</v>
      </c>
      <c r="Z543" s="191">
        <v>3.9651585E7</v>
      </c>
      <c r="AA543" s="82">
        <v>7.4</v>
      </c>
      <c r="AB543" s="82">
        <v>-0.25</v>
      </c>
      <c r="AC543" s="82">
        <v>0.44</v>
      </c>
      <c r="AD543" s="191">
        <v>2.40697177364E9</v>
      </c>
    </row>
    <row r="544">
      <c r="A544" s="82" t="s">
        <v>591</v>
      </c>
      <c r="B544" s="82">
        <v>10.4</v>
      </c>
      <c r="D544" s="82">
        <v>117.6</v>
      </c>
      <c r="E544" s="82">
        <v>1.2</v>
      </c>
      <c r="F544" s="82">
        <v>0.34</v>
      </c>
      <c r="G544" s="82">
        <v>32.08</v>
      </c>
      <c r="H544" s="82">
        <v>29.57</v>
      </c>
      <c r="I544" s="82">
        <v>1.86</v>
      </c>
      <c r="J544" s="82">
        <v>7.4</v>
      </c>
      <c r="K544" s="82">
        <v>17.95</v>
      </c>
      <c r="L544" s="82">
        <v>10.54</v>
      </c>
      <c r="M544" s="82">
        <v>1.71</v>
      </c>
      <c r="N544" s="82">
        <v>2.19</v>
      </c>
      <c r="O544" s="82">
        <v>-2.6</v>
      </c>
      <c r="P544" s="82">
        <v>-0.38</v>
      </c>
      <c r="Q544" s="82">
        <v>0.48</v>
      </c>
      <c r="R544" s="82">
        <v>1.02</v>
      </c>
      <c r="S544" s="82">
        <v>0.29</v>
      </c>
      <c r="T544" s="82">
        <v>5.17</v>
      </c>
      <c r="U544" s="82">
        <v>0.28</v>
      </c>
      <c r="V544" s="82">
        <v>0.72</v>
      </c>
      <c r="W544" s="82">
        <v>0.15</v>
      </c>
      <c r="Z544" s="191">
        <v>1.09227466E7</v>
      </c>
      <c r="AA544" s="82">
        <v>8.16</v>
      </c>
      <c r="AB544" s="82">
        <v>0.08</v>
      </c>
      <c r="AD544" s="191">
        <v>6.08407753212E9</v>
      </c>
    </row>
    <row r="545">
      <c r="A545" s="82" t="s">
        <v>592</v>
      </c>
      <c r="B545" s="82">
        <v>9.22</v>
      </c>
      <c r="C545" s="82">
        <v>3.87</v>
      </c>
      <c r="D545" s="82">
        <v>19.87</v>
      </c>
      <c r="E545" s="82">
        <v>3.65</v>
      </c>
      <c r="F545" s="82">
        <v>1.74</v>
      </c>
      <c r="G545" s="82">
        <v>46.64</v>
      </c>
      <c r="H545" s="82">
        <v>31.99</v>
      </c>
      <c r="I545" s="82">
        <v>20.77</v>
      </c>
      <c r="J545" s="82">
        <v>12.9</v>
      </c>
      <c r="K545" s="82">
        <v>12.61</v>
      </c>
      <c r="L545" s="82">
        <v>-0.24</v>
      </c>
      <c r="M545" s="82">
        <v>-0.07</v>
      </c>
      <c r="N545" s="82">
        <v>4.13</v>
      </c>
      <c r="O545" s="82">
        <v>35.05</v>
      </c>
      <c r="P545" s="82">
        <v>-2.15</v>
      </c>
      <c r="Q545" s="82">
        <v>1.35</v>
      </c>
      <c r="R545" s="82">
        <v>18.36</v>
      </c>
      <c r="S545" s="82">
        <v>8.77</v>
      </c>
      <c r="T545" s="82">
        <v>19.96</v>
      </c>
      <c r="U545" s="82">
        <v>0.48</v>
      </c>
      <c r="V545" s="82">
        <v>0.52</v>
      </c>
      <c r="W545" s="82">
        <v>0.42</v>
      </c>
      <c r="X545" s="82">
        <v>18.58</v>
      </c>
      <c r="Z545" s="191">
        <v>3.58673764E7</v>
      </c>
      <c r="AA545" s="82">
        <v>2.54</v>
      </c>
      <c r="AB545" s="82">
        <v>0.47</v>
      </c>
      <c r="AC545" s="82">
        <v>-15.06</v>
      </c>
      <c r="AD545" s="191">
        <v>7.95900909849E9</v>
      </c>
    </row>
    <row r="546">
      <c r="A546" s="82" t="s">
        <v>593</v>
      </c>
      <c r="B546" s="82">
        <v>0.0</v>
      </c>
      <c r="D546" s="82">
        <v>0.0</v>
      </c>
      <c r="E546" s="82">
        <v>0.0</v>
      </c>
      <c r="F546" s="82">
        <v>0.0</v>
      </c>
      <c r="G546" s="82">
        <v>52.55</v>
      </c>
      <c r="H546" s="82">
        <v>42.44</v>
      </c>
      <c r="I546" s="82">
        <v>41.5</v>
      </c>
      <c r="J546" s="82">
        <v>0.0</v>
      </c>
      <c r="K546" s="82">
        <v>2.81</v>
      </c>
      <c r="L546" s="82">
        <v>2.81</v>
      </c>
      <c r="M546" s="82">
        <v>0.31</v>
      </c>
      <c r="N546" s="82">
        <v>0.0</v>
      </c>
      <c r="O546" s="82">
        <v>0.0</v>
      </c>
      <c r="P546" s="82">
        <v>0.0</v>
      </c>
      <c r="Q546" s="82">
        <v>1.72</v>
      </c>
      <c r="R546" s="82">
        <v>10.84</v>
      </c>
      <c r="S546" s="82">
        <v>7.05</v>
      </c>
      <c r="T546" s="82">
        <v>6.09</v>
      </c>
      <c r="U546" s="82">
        <v>0.65</v>
      </c>
      <c r="V546" s="82">
        <v>0.35</v>
      </c>
      <c r="W546" s="82">
        <v>0.17</v>
      </c>
      <c r="X546" s="82">
        <v>22.63</v>
      </c>
      <c r="Y546" s="82">
        <v>114.96</v>
      </c>
      <c r="AA546" s="82">
        <v>5.7</v>
      </c>
      <c r="AB546" s="82">
        <v>0.62</v>
      </c>
      <c r="AC546" s="82">
        <v>0.0</v>
      </c>
      <c r="AD546" s="82">
        <v>0.0</v>
      </c>
    </row>
    <row r="547">
      <c r="A547" s="82" t="s">
        <v>594</v>
      </c>
      <c r="B547" s="82">
        <v>0.0</v>
      </c>
      <c r="D547" s="82">
        <v>0.0</v>
      </c>
      <c r="E547" s="82">
        <v>0.0</v>
      </c>
      <c r="F547" s="82">
        <v>0.0</v>
      </c>
      <c r="G547" s="82">
        <v>31.37</v>
      </c>
      <c r="H547" s="82">
        <v>17.25</v>
      </c>
      <c r="I547" s="82">
        <v>14.11</v>
      </c>
      <c r="J547" s="82">
        <v>0.0</v>
      </c>
      <c r="K547" s="82">
        <v>-0.22</v>
      </c>
      <c r="L547" s="82">
        <v>-0.22</v>
      </c>
      <c r="M547" s="82">
        <v>-0.09</v>
      </c>
      <c r="N547" s="82">
        <v>0.0</v>
      </c>
      <c r="O547" s="82">
        <v>0.0</v>
      </c>
      <c r="P547" s="82">
        <v>0.0</v>
      </c>
      <c r="Q547" s="82">
        <v>2.46</v>
      </c>
      <c r="R547" s="82">
        <v>32.1</v>
      </c>
      <c r="S547" s="82">
        <v>17.86</v>
      </c>
      <c r="T547" s="82">
        <v>25.38</v>
      </c>
      <c r="U547" s="82">
        <v>0.56</v>
      </c>
      <c r="V547" s="82">
        <v>0.44</v>
      </c>
      <c r="W547" s="82">
        <v>1.27</v>
      </c>
      <c r="X547" s="82">
        <v>22.02</v>
      </c>
      <c r="AA547" s="82">
        <v>2.91</v>
      </c>
      <c r="AB547" s="82">
        <v>0.94</v>
      </c>
      <c r="AC547" s="82">
        <v>0.0</v>
      </c>
      <c r="AD547" s="82">
        <v>0.0</v>
      </c>
    </row>
    <row r="548">
      <c r="A548" s="82" t="s">
        <v>595</v>
      </c>
      <c r="B548" s="82">
        <v>22.25</v>
      </c>
      <c r="D548" s="82">
        <v>52.23</v>
      </c>
      <c r="E548" s="82">
        <v>1.13</v>
      </c>
      <c r="F548" s="82">
        <v>0.31</v>
      </c>
      <c r="G548" s="82">
        <v>4.25</v>
      </c>
      <c r="H548" s="82">
        <v>-3.34</v>
      </c>
      <c r="I548" s="82">
        <v>0.83</v>
      </c>
      <c r="J548" s="82">
        <v>-12.92</v>
      </c>
      <c r="K548" s="82">
        <v>6.54</v>
      </c>
      <c r="L548" s="82">
        <v>19.47</v>
      </c>
      <c r="M548" s="82">
        <v>-1.71</v>
      </c>
      <c r="N548" s="82">
        <v>0.43</v>
      </c>
      <c r="O548" s="82">
        <v>0.85</v>
      </c>
      <c r="P548" s="82">
        <v>-0.91</v>
      </c>
      <c r="Q548" s="82">
        <v>2.29</v>
      </c>
      <c r="R548" s="82">
        <v>2.17</v>
      </c>
      <c r="S548" s="82">
        <v>0.6</v>
      </c>
      <c r="T548" s="82">
        <v>-8.72</v>
      </c>
      <c r="U548" s="82">
        <v>0.28</v>
      </c>
      <c r="V548" s="82">
        <v>0.72</v>
      </c>
      <c r="W548" s="82">
        <v>0.73</v>
      </c>
      <c r="X548" s="82">
        <v>4.58</v>
      </c>
      <c r="Y548" s="82">
        <v>-23.56</v>
      </c>
      <c r="AA548" s="82">
        <v>19.64</v>
      </c>
      <c r="AB548" s="82">
        <v>0.43</v>
      </c>
      <c r="AC548" s="82">
        <v>-0.94</v>
      </c>
      <c r="AD548" s="191">
        <v>9.47504242417E9</v>
      </c>
    </row>
    <row r="549">
      <c r="A549" s="82" t="s">
        <v>596</v>
      </c>
      <c r="B549" s="82">
        <v>7.43</v>
      </c>
      <c r="D549" s="82">
        <v>52.32</v>
      </c>
      <c r="E549" s="82">
        <v>1.13</v>
      </c>
      <c r="F549" s="82">
        <v>0.31</v>
      </c>
      <c r="G549" s="82">
        <v>4.25</v>
      </c>
      <c r="H549" s="82">
        <v>-3.34</v>
      </c>
      <c r="I549" s="82">
        <v>0.83</v>
      </c>
      <c r="J549" s="82">
        <v>-12.95</v>
      </c>
      <c r="K549" s="82">
        <v>6.54</v>
      </c>
      <c r="L549" s="82">
        <v>19.47</v>
      </c>
      <c r="M549" s="82">
        <v>-1.71</v>
      </c>
      <c r="N549" s="82">
        <v>0.43</v>
      </c>
      <c r="O549" s="82">
        <v>0.85</v>
      </c>
      <c r="P549" s="82">
        <v>-0.91</v>
      </c>
      <c r="Q549" s="82">
        <v>2.29</v>
      </c>
      <c r="R549" s="82">
        <v>2.17</v>
      </c>
      <c r="S549" s="82">
        <v>0.6</v>
      </c>
      <c r="T549" s="82">
        <v>-8.72</v>
      </c>
      <c r="U549" s="82">
        <v>0.28</v>
      </c>
      <c r="V549" s="82">
        <v>0.72</v>
      </c>
      <c r="W549" s="82">
        <v>0.73</v>
      </c>
      <c r="X549" s="82">
        <v>4.58</v>
      </c>
      <c r="Y549" s="82">
        <v>-23.56</v>
      </c>
      <c r="AA549" s="82">
        <v>6.55</v>
      </c>
      <c r="AB549" s="82">
        <v>0.14</v>
      </c>
      <c r="AC549" s="82">
        <v>-0.95</v>
      </c>
      <c r="AD549" s="191">
        <v>9.47504242417E9</v>
      </c>
    </row>
    <row r="550">
      <c r="A550" s="82" t="s">
        <v>597</v>
      </c>
      <c r="B550" s="82">
        <v>7.63</v>
      </c>
      <c r="D550" s="82">
        <v>53.73</v>
      </c>
      <c r="E550" s="82">
        <v>1.17</v>
      </c>
      <c r="F550" s="82">
        <v>0.32</v>
      </c>
      <c r="G550" s="82">
        <v>4.25</v>
      </c>
      <c r="H550" s="82">
        <v>-3.34</v>
      </c>
      <c r="I550" s="82">
        <v>0.83</v>
      </c>
      <c r="J550" s="82">
        <v>-13.3</v>
      </c>
      <c r="K550" s="82">
        <v>6.54</v>
      </c>
      <c r="L550" s="82">
        <v>19.47</v>
      </c>
      <c r="M550" s="82">
        <v>-1.71</v>
      </c>
      <c r="N550" s="82">
        <v>0.44</v>
      </c>
      <c r="O550" s="82">
        <v>0.88</v>
      </c>
      <c r="P550" s="82">
        <v>-0.93</v>
      </c>
      <c r="Q550" s="82">
        <v>2.29</v>
      </c>
      <c r="R550" s="82">
        <v>2.17</v>
      </c>
      <c r="S550" s="82">
        <v>0.6</v>
      </c>
      <c r="T550" s="82">
        <v>-8.72</v>
      </c>
      <c r="U550" s="82">
        <v>0.28</v>
      </c>
      <c r="V550" s="82">
        <v>0.72</v>
      </c>
      <c r="W550" s="82">
        <v>0.73</v>
      </c>
      <c r="X550" s="82">
        <v>4.58</v>
      </c>
      <c r="Y550" s="82">
        <v>-23.56</v>
      </c>
      <c r="AA550" s="82">
        <v>6.55</v>
      </c>
      <c r="AB550" s="82">
        <v>0.14</v>
      </c>
      <c r="AC550" s="82">
        <v>-0.97</v>
      </c>
      <c r="AD550" s="191">
        <v>9.47504242417E9</v>
      </c>
    </row>
    <row r="551">
      <c r="A551" s="82" t="s">
        <v>598</v>
      </c>
      <c r="B551" s="82">
        <v>55.33</v>
      </c>
      <c r="D551" s="82">
        <v>4.29</v>
      </c>
      <c r="E551" s="82">
        <v>1.75</v>
      </c>
      <c r="F551" s="82">
        <v>0.52</v>
      </c>
      <c r="G551" s="82">
        <v>42.65</v>
      </c>
      <c r="H551" s="82">
        <v>37.39</v>
      </c>
      <c r="I551" s="82">
        <v>38.93</v>
      </c>
      <c r="J551" s="82">
        <v>4.46</v>
      </c>
      <c r="K551" s="82">
        <v>7.99</v>
      </c>
      <c r="L551" s="82">
        <v>3.55</v>
      </c>
      <c r="M551" s="82">
        <v>1.39</v>
      </c>
      <c r="N551" s="82">
        <v>1.67</v>
      </c>
      <c r="O551" s="82">
        <v>2.96</v>
      </c>
      <c r="P551" s="82">
        <v>-0.71</v>
      </c>
      <c r="Q551" s="82">
        <v>2.82</v>
      </c>
      <c r="R551" s="82">
        <v>40.79</v>
      </c>
      <c r="S551" s="82">
        <v>12.03</v>
      </c>
      <c r="T551" s="82">
        <v>9.58</v>
      </c>
      <c r="U551" s="82">
        <v>0.29</v>
      </c>
      <c r="V551" s="82">
        <v>0.7</v>
      </c>
      <c r="W551" s="82">
        <v>0.31</v>
      </c>
      <c r="X551" s="82">
        <v>36.49</v>
      </c>
      <c r="Y551" s="82">
        <v>56.62</v>
      </c>
      <c r="Z551" s="191">
        <v>2.738251567E8</v>
      </c>
      <c r="AA551" s="82">
        <v>31.54</v>
      </c>
      <c r="AB551" s="82">
        <v>12.86</v>
      </c>
      <c r="AC551" s="82">
        <v>-0.65</v>
      </c>
      <c r="AD551" s="191">
        <v>7.260136883045E10</v>
      </c>
    </row>
    <row r="552">
      <c r="A552" s="82" t="s">
        <v>599</v>
      </c>
      <c r="B552" s="82">
        <v>4.75</v>
      </c>
      <c r="D552" s="82">
        <v>-18.48</v>
      </c>
      <c r="E552" s="82">
        <v>0.48</v>
      </c>
      <c r="F552" s="82">
        <v>0.18</v>
      </c>
      <c r="G552" s="82">
        <v>50.09</v>
      </c>
      <c r="H552" s="82">
        <v>32.3</v>
      </c>
      <c r="I552" s="82">
        <v>-9.25</v>
      </c>
      <c r="J552" s="82">
        <v>5.29</v>
      </c>
      <c r="K552" s="82">
        <v>10.26</v>
      </c>
      <c r="L552" s="82">
        <v>4.94</v>
      </c>
      <c r="M552" s="82">
        <v>0.45</v>
      </c>
      <c r="N552" s="82">
        <v>1.71</v>
      </c>
      <c r="O552" s="82">
        <v>2.24</v>
      </c>
      <c r="P552" s="82">
        <v>-0.2</v>
      </c>
      <c r="Q552" s="82">
        <v>4.01</v>
      </c>
      <c r="R552" s="82">
        <v>-2.6</v>
      </c>
      <c r="S552" s="82">
        <v>-0.97</v>
      </c>
      <c r="T552" s="82">
        <v>2.94</v>
      </c>
      <c r="U552" s="82">
        <v>0.38</v>
      </c>
      <c r="V552" s="82">
        <v>0.36</v>
      </c>
      <c r="W552" s="82">
        <v>0.11</v>
      </c>
      <c r="X552" s="82">
        <v>1.23</v>
      </c>
      <c r="Z552" s="191">
        <v>1557978.3</v>
      </c>
      <c r="AA552" s="82">
        <v>9.9</v>
      </c>
      <c r="AB552" s="82">
        <v>-0.26</v>
      </c>
      <c r="AC552" s="82">
        <v>0.18</v>
      </c>
      <c r="AD552" s="191">
        <v>7.2811400265E8</v>
      </c>
    </row>
    <row r="553">
      <c r="A553" s="82" t="s">
        <v>600</v>
      </c>
      <c r="B553" s="82">
        <v>38.38</v>
      </c>
      <c r="C553" s="82">
        <v>7.58</v>
      </c>
      <c r="D553" s="82">
        <v>11.58</v>
      </c>
      <c r="E553" s="82">
        <v>1.99</v>
      </c>
      <c r="F553" s="82">
        <v>0.68</v>
      </c>
      <c r="G553" s="82">
        <v>68.87</v>
      </c>
      <c r="H553" s="82">
        <v>71.85</v>
      </c>
      <c r="I553" s="82">
        <v>44.57</v>
      </c>
      <c r="J553" s="82">
        <v>7.18</v>
      </c>
      <c r="K553" s="82">
        <v>11.69</v>
      </c>
      <c r="L553" s="82">
        <v>4.55</v>
      </c>
      <c r="M553" s="82">
        <v>1.26</v>
      </c>
      <c r="N553" s="82">
        <v>5.16</v>
      </c>
      <c r="O553" s="82">
        <v>4.97</v>
      </c>
      <c r="P553" s="82">
        <v>-0.87</v>
      </c>
      <c r="Q553" s="82">
        <v>2.71</v>
      </c>
      <c r="R553" s="82">
        <v>17.2</v>
      </c>
      <c r="S553" s="82">
        <v>5.89</v>
      </c>
      <c r="T553" s="82">
        <v>10.64</v>
      </c>
      <c r="U553" s="82">
        <v>0.34</v>
      </c>
      <c r="V553" s="82">
        <v>0.66</v>
      </c>
      <c r="W553" s="82">
        <v>0.13</v>
      </c>
      <c r="X553" s="82">
        <v>19.43</v>
      </c>
      <c r="Y553" s="82">
        <v>12.03</v>
      </c>
      <c r="Z553" s="191">
        <v>5.21658399E7</v>
      </c>
      <c r="AA553" s="82">
        <v>19.31</v>
      </c>
      <c r="AB553" s="82">
        <v>3.32</v>
      </c>
      <c r="AC553" s="82">
        <v>-0.3</v>
      </c>
      <c r="AD553" s="191">
        <v>1.316330323647E10</v>
      </c>
    </row>
    <row r="554">
      <c r="A554" s="82" t="s">
        <v>601</v>
      </c>
      <c r="B554" s="82">
        <v>12.79</v>
      </c>
      <c r="C554" s="82">
        <v>7.6</v>
      </c>
      <c r="D554" s="82">
        <v>11.55</v>
      </c>
      <c r="E554" s="82">
        <v>1.99</v>
      </c>
      <c r="F554" s="82">
        <v>0.68</v>
      </c>
      <c r="G554" s="82">
        <v>68.87</v>
      </c>
      <c r="H554" s="82">
        <v>71.85</v>
      </c>
      <c r="I554" s="82">
        <v>44.57</v>
      </c>
      <c r="J554" s="82">
        <v>7.17</v>
      </c>
      <c r="K554" s="82">
        <v>11.69</v>
      </c>
      <c r="L554" s="82">
        <v>4.55</v>
      </c>
      <c r="M554" s="82">
        <v>1.26</v>
      </c>
      <c r="N554" s="82">
        <v>5.15</v>
      </c>
      <c r="O554" s="82">
        <v>4.96</v>
      </c>
      <c r="P554" s="82">
        <v>-0.87</v>
      </c>
      <c r="Q554" s="82">
        <v>2.71</v>
      </c>
      <c r="R554" s="82">
        <v>17.2</v>
      </c>
      <c r="S554" s="82">
        <v>5.89</v>
      </c>
      <c r="T554" s="82">
        <v>10.64</v>
      </c>
      <c r="U554" s="82">
        <v>0.34</v>
      </c>
      <c r="V554" s="82">
        <v>0.66</v>
      </c>
      <c r="W554" s="82">
        <v>0.13</v>
      </c>
      <c r="X554" s="82">
        <v>19.43</v>
      </c>
      <c r="Y554" s="82">
        <v>12.03</v>
      </c>
      <c r="Z554" s="191">
        <v>1280654.3</v>
      </c>
      <c r="AA554" s="82">
        <v>6.44</v>
      </c>
      <c r="AB554" s="82">
        <v>1.11</v>
      </c>
      <c r="AC554" s="82">
        <v>-0.3</v>
      </c>
      <c r="AD554" s="191">
        <v>1.316330323647E10</v>
      </c>
    </row>
    <row r="555">
      <c r="A555" s="82" t="s">
        <v>602</v>
      </c>
      <c r="B555" s="82">
        <v>12.85</v>
      </c>
      <c r="C555" s="82">
        <v>7.56</v>
      </c>
      <c r="D555" s="82">
        <v>11.61</v>
      </c>
      <c r="E555" s="82">
        <v>2.0</v>
      </c>
      <c r="F555" s="82">
        <v>0.68</v>
      </c>
      <c r="G555" s="82">
        <v>68.87</v>
      </c>
      <c r="H555" s="82">
        <v>71.85</v>
      </c>
      <c r="I555" s="82">
        <v>44.57</v>
      </c>
      <c r="J555" s="82">
        <v>7.2</v>
      </c>
      <c r="K555" s="82">
        <v>11.69</v>
      </c>
      <c r="L555" s="82">
        <v>4.55</v>
      </c>
      <c r="M555" s="82">
        <v>1.26</v>
      </c>
      <c r="N555" s="82">
        <v>5.17</v>
      </c>
      <c r="O555" s="82">
        <v>4.99</v>
      </c>
      <c r="P555" s="82">
        <v>-0.87</v>
      </c>
      <c r="Q555" s="82">
        <v>2.71</v>
      </c>
      <c r="R555" s="82">
        <v>17.2</v>
      </c>
      <c r="S555" s="82">
        <v>5.89</v>
      </c>
      <c r="T555" s="82">
        <v>10.64</v>
      </c>
      <c r="U555" s="82">
        <v>0.34</v>
      </c>
      <c r="V555" s="82">
        <v>0.66</v>
      </c>
      <c r="W555" s="82">
        <v>0.13</v>
      </c>
      <c r="X555" s="82">
        <v>19.43</v>
      </c>
      <c r="Y555" s="82">
        <v>12.03</v>
      </c>
      <c r="Z555" s="191">
        <v>2411557.05</v>
      </c>
      <c r="AA555" s="82">
        <v>6.44</v>
      </c>
      <c r="AB555" s="82">
        <v>1.11</v>
      </c>
      <c r="AC555" s="82">
        <v>-0.3</v>
      </c>
      <c r="AD555" s="191">
        <v>1.316330323647E10</v>
      </c>
    </row>
    <row r="556">
      <c r="A556" s="82" t="s">
        <v>603</v>
      </c>
      <c r="B556" s="82">
        <v>15.05</v>
      </c>
      <c r="C556" s="82">
        <v>9.49</v>
      </c>
      <c r="D556" s="82">
        <v>8.05</v>
      </c>
      <c r="E556" s="82">
        <v>1.68</v>
      </c>
      <c r="F556" s="82">
        <v>0.86</v>
      </c>
      <c r="G556" s="82">
        <v>38.11</v>
      </c>
      <c r="H556" s="82">
        <v>17.69</v>
      </c>
      <c r="I556" s="82">
        <v>11.8</v>
      </c>
      <c r="J556" s="82">
        <v>5.37</v>
      </c>
      <c r="K556" s="82">
        <v>6.43</v>
      </c>
      <c r="L556" s="82">
        <v>1.04</v>
      </c>
      <c r="M556" s="82">
        <v>0.33</v>
      </c>
      <c r="N556" s="82">
        <v>0.95</v>
      </c>
      <c r="O556" s="82">
        <v>3.82</v>
      </c>
      <c r="P556" s="82">
        <v>-2.08</v>
      </c>
      <c r="Q556" s="82">
        <v>1.62</v>
      </c>
      <c r="R556" s="82">
        <v>20.87</v>
      </c>
      <c r="S556" s="82">
        <v>10.66</v>
      </c>
      <c r="T556" s="82">
        <v>14.49</v>
      </c>
      <c r="U556" s="82">
        <v>0.51</v>
      </c>
      <c r="V556" s="82">
        <v>0.49</v>
      </c>
      <c r="W556" s="82">
        <v>0.9</v>
      </c>
      <c r="X556" s="82">
        <v>29.58</v>
      </c>
      <c r="Z556" s="191">
        <v>313208.05</v>
      </c>
      <c r="AA556" s="82">
        <v>8.75</v>
      </c>
      <c r="AB556" s="82">
        <v>1.83</v>
      </c>
      <c r="AC556" s="82">
        <v>-0.13</v>
      </c>
      <c r="AD556" s="191">
        <v>1.86823894674E9</v>
      </c>
    </row>
    <row r="557">
      <c r="A557" s="82" t="s">
        <v>604</v>
      </c>
      <c r="B557" s="82">
        <v>14.8</v>
      </c>
      <c r="C557" s="82">
        <v>9.43</v>
      </c>
      <c r="D557" s="82">
        <v>8.1</v>
      </c>
      <c r="E557" s="82">
        <v>1.69</v>
      </c>
      <c r="F557" s="82">
        <v>0.86</v>
      </c>
      <c r="G557" s="82">
        <v>38.11</v>
      </c>
      <c r="H557" s="82">
        <v>17.69</v>
      </c>
      <c r="I557" s="82">
        <v>11.8</v>
      </c>
      <c r="J557" s="82">
        <v>5.4</v>
      </c>
      <c r="K557" s="82">
        <v>6.43</v>
      </c>
      <c r="L557" s="82">
        <v>1.04</v>
      </c>
      <c r="M557" s="82">
        <v>0.33</v>
      </c>
      <c r="N557" s="82">
        <v>0.96</v>
      </c>
      <c r="O557" s="82">
        <v>3.84</v>
      </c>
      <c r="P557" s="82">
        <v>-2.09</v>
      </c>
      <c r="Q557" s="82">
        <v>1.62</v>
      </c>
      <c r="R557" s="82">
        <v>20.87</v>
      </c>
      <c r="S557" s="82">
        <v>10.66</v>
      </c>
      <c r="T557" s="82">
        <v>14.49</v>
      </c>
      <c r="U557" s="82">
        <v>0.51</v>
      </c>
      <c r="V557" s="82">
        <v>0.49</v>
      </c>
      <c r="W557" s="82">
        <v>0.9</v>
      </c>
      <c r="X557" s="82">
        <v>29.58</v>
      </c>
      <c r="Z557" s="191">
        <v>5037691.5</v>
      </c>
      <c r="AA557" s="82">
        <v>8.75</v>
      </c>
      <c r="AB557" s="82">
        <v>1.83</v>
      </c>
      <c r="AC557" s="82">
        <v>-0.13</v>
      </c>
      <c r="AD557" s="191">
        <v>1.86823894674E9</v>
      </c>
    </row>
    <row r="558">
      <c r="A558" s="82" t="s">
        <v>605</v>
      </c>
      <c r="B558" s="82">
        <v>1.2</v>
      </c>
      <c r="D558" s="82">
        <v>-7.52</v>
      </c>
      <c r="E558" s="82">
        <v>-8.4</v>
      </c>
      <c r="F558" s="82">
        <v>0.03</v>
      </c>
      <c r="J558" s="82">
        <v>-6.81</v>
      </c>
      <c r="K558" s="82">
        <v>-34.51</v>
      </c>
      <c r="L558" s="82">
        <v>-28.98</v>
      </c>
      <c r="O558" s="82">
        <v>-0.08</v>
      </c>
      <c r="P558" s="82">
        <v>-0.04</v>
      </c>
      <c r="Q558" s="82">
        <v>0.28</v>
      </c>
      <c r="R558" s="82">
        <v>-111.63</v>
      </c>
      <c r="S558" s="82">
        <v>-0.45</v>
      </c>
      <c r="T558" s="82">
        <v>-3.55</v>
      </c>
      <c r="U558" s="82">
        <v>0.0</v>
      </c>
      <c r="V558" s="82">
        <v>1.0</v>
      </c>
      <c r="W558" s="82">
        <v>0.0</v>
      </c>
      <c r="AA558" s="82">
        <v>-0.14</v>
      </c>
      <c r="AB558" s="82">
        <v>-0.16</v>
      </c>
      <c r="AC558" s="82">
        <v>-0.28</v>
      </c>
      <c r="AD558" s="191">
        <v>6451072.5</v>
      </c>
    </row>
    <row r="559">
      <c r="A559" s="82" t="s">
        <v>606</v>
      </c>
      <c r="B559" s="82">
        <v>0.85</v>
      </c>
      <c r="D559" s="82">
        <v>-5.33</v>
      </c>
      <c r="E559" s="82">
        <v>-5.95</v>
      </c>
      <c r="F559" s="82">
        <v>0.02</v>
      </c>
      <c r="J559" s="82">
        <v>-4.82</v>
      </c>
      <c r="K559" s="82">
        <v>-34.51</v>
      </c>
      <c r="L559" s="82">
        <v>-28.98</v>
      </c>
      <c r="O559" s="82">
        <v>-0.06</v>
      </c>
      <c r="P559" s="82">
        <v>-0.03</v>
      </c>
      <c r="Q559" s="82">
        <v>0.28</v>
      </c>
      <c r="R559" s="82">
        <v>-111.63</v>
      </c>
      <c r="S559" s="82">
        <v>-0.45</v>
      </c>
      <c r="T559" s="82">
        <v>-3.55</v>
      </c>
      <c r="U559" s="82">
        <v>0.0</v>
      </c>
      <c r="V559" s="82">
        <v>1.0</v>
      </c>
      <c r="W559" s="82">
        <v>0.0</v>
      </c>
      <c r="AA559" s="82">
        <v>-0.14</v>
      </c>
      <c r="AB559" s="82">
        <v>-0.16</v>
      </c>
      <c r="AC559" s="82">
        <v>-0.2</v>
      </c>
      <c r="AD559" s="191">
        <v>6451072.5</v>
      </c>
    </row>
    <row r="560">
      <c r="A560" s="82" t="s">
        <v>607</v>
      </c>
      <c r="B560" s="82">
        <v>3.85</v>
      </c>
      <c r="D560" s="82">
        <v>17.15</v>
      </c>
      <c r="E560" s="82">
        <v>0.48</v>
      </c>
      <c r="F560" s="82">
        <v>0.18</v>
      </c>
      <c r="G560" s="82">
        <v>13.97</v>
      </c>
      <c r="H560" s="82">
        <v>8.98</v>
      </c>
      <c r="I560" s="82">
        <v>4.08</v>
      </c>
      <c r="J560" s="82">
        <v>7.8</v>
      </c>
      <c r="K560" s="82">
        <v>22.69</v>
      </c>
      <c r="L560" s="82">
        <v>14.91</v>
      </c>
      <c r="M560" s="82">
        <v>0.92</v>
      </c>
      <c r="N560" s="82">
        <v>0.7</v>
      </c>
      <c r="O560" s="82">
        <v>0.53</v>
      </c>
      <c r="P560" s="82">
        <v>-0.38</v>
      </c>
      <c r="Q560" s="82">
        <v>2.97</v>
      </c>
      <c r="R560" s="82">
        <v>2.79</v>
      </c>
      <c r="S560" s="82">
        <v>1.07</v>
      </c>
      <c r="T560" s="82">
        <v>1.99</v>
      </c>
      <c r="U560" s="82">
        <v>0.38</v>
      </c>
      <c r="V560" s="82">
        <v>0.62</v>
      </c>
      <c r="W560" s="82">
        <v>0.26</v>
      </c>
      <c r="X560" s="82">
        <v>-5.08</v>
      </c>
      <c r="Z560" s="191">
        <v>929243.4</v>
      </c>
      <c r="AA560" s="82">
        <v>8.03</v>
      </c>
      <c r="AB560" s="82">
        <v>0.22</v>
      </c>
      <c r="AC560" s="82">
        <v>-0.14</v>
      </c>
      <c r="AD560" s="191">
        <v>2.826978432E8</v>
      </c>
    </row>
    <row r="561">
      <c r="A561" s="82" t="s">
        <v>608</v>
      </c>
      <c r="B561" s="82">
        <v>3.6</v>
      </c>
      <c r="C561" s="82">
        <v>2.28</v>
      </c>
      <c r="D561" s="82">
        <v>4.83</v>
      </c>
      <c r="E561" s="82">
        <v>0.67</v>
      </c>
      <c r="F561" s="82">
        <v>0.39</v>
      </c>
      <c r="G561" s="82">
        <v>55.0</v>
      </c>
      <c r="H561" s="82">
        <v>17.3</v>
      </c>
      <c r="I561" s="82">
        <v>15.45</v>
      </c>
      <c r="J561" s="82">
        <v>4.31</v>
      </c>
      <c r="K561" s="82">
        <v>4.03</v>
      </c>
      <c r="L561" s="82">
        <v>-0.3</v>
      </c>
      <c r="M561" s="82">
        <v>-0.05</v>
      </c>
      <c r="N561" s="82">
        <v>0.75</v>
      </c>
      <c r="O561" s="82">
        <v>0.78</v>
      </c>
      <c r="P561" s="82">
        <v>-1.13</v>
      </c>
      <c r="Q561" s="82">
        <v>4.3</v>
      </c>
      <c r="R561" s="82">
        <v>13.89</v>
      </c>
      <c r="S561" s="82">
        <v>8.11</v>
      </c>
      <c r="T561" s="82">
        <v>11.06</v>
      </c>
      <c r="U561" s="82">
        <v>0.58</v>
      </c>
      <c r="V561" s="82">
        <v>0.42</v>
      </c>
      <c r="W561" s="82">
        <v>0.52</v>
      </c>
      <c r="X561" s="82">
        <v>0.65</v>
      </c>
      <c r="Z561" s="191">
        <v>397499.85</v>
      </c>
      <c r="AA561" s="82">
        <v>5.36</v>
      </c>
      <c r="AB561" s="82">
        <v>0.74</v>
      </c>
      <c r="AC561" s="82">
        <v>0.11</v>
      </c>
      <c r="AD561" s="191">
        <v>2.5597143615E8</v>
      </c>
    </row>
    <row r="562">
      <c r="A562" s="82" t="s">
        <v>609</v>
      </c>
      <c r="B562" s="82">
        <v>8.23</v>
      </c>
      <c r="D562" s="82">
        <v>-0.03</v>
      </c>
      <c r="E562" s="82">
        <v>0.0</v>
      </c>
      <c r="F562" s="82">
        <v>0.0</v>
      </c>
      <c r="G562" s="82">
        <v>19.2</v>
      </c>
      <c r="H562" s="82">
        <v>-34.33</v>
      </c>
      <c r="I562" s="82">
        <v>-52.84</v>
      </c>
      <c r="J562" s="82">
        <v>-0.04</v>
      </c>
      <c r="K562" s="82">
        <v>-5.6</v>
      </c>
      <c r="L562" s="82">
        <v>-5.52</v>
      </c>
      <c r="N562" s="82">
        <v>0.01</v>
      </c>
      <c r="O562" s="82">
        <v>0.0</v>
      </c>
      <c r="P562" s="82">
        <v>0.0</v>
      </c>
      <c r="Q562" s="82">
        <v>0.04</v>
      </c>
      <c r="R562" s="82">
        <v>-7.43</v>
      </c>
      <c r="S562" s="82">
        <v>-13.24</v>
      </c>
      <c r="T562" s="82">
        <v>6.67</v>
      </c>
      <c r="U562" s="82">
        <v>-1.78</v>
      </c>
      <c r="V562" s="82">
        <v>2.78</v>
      </c>
      <c r="W562" s="82">
        <v>0.25</v>
      </c>
      <c r="X562" s="82">
        <v>15.05</v>
      </c>
      <c r="AA562" s="191">
        <v>-4039.83</v>
      </c>
      <c r="AB562" s="82">
        <v>-299.99</v>
      </c>
      <c r="AC562" s="82">
        <v>0.0</v>
      </c>
      <c r="AD562" s="191">
        <v>8421980.45</v>
      </c>
    </row>
    <row r="563">
      <c r="A563" s="82" t="s">
        <v>610</v>
      </c>
      <c r="B563" s="82">
        <v>21.0</v>
      </c>
      <c r="D563" s="82">
        <v>-0.07</v>
      </c>
      <c r="E563" s="82">
        <v>-0.01</v>
      </c>
      <c r="F563" s="82">
        <v>0.01</v>
      </c>
      <c r="G563" s="82">
        <v>19.2</v>
      </c>
      <c r="H563" s="82">
        <v>-34.33</v>
      </c>
      <c r="I563" s="82">
        <v>-52.84</v>
      </c>
      <c r="J563" s="82">
        <v>-0.11</v>
      </c>
      <c r="K563" s="82">
        <v>-5.6</v>
      </c>
      <c r="L563" s="82">
        <v>-5.52</v>
      </c>
      <c r="N563" s="82">
        <v>0.04</v>
      </c>
      <c r="O563" s="82">
        <v>0.0</v>
      </c>
      <c r="P563" s="82">
        <v>-0.01</v>
      </c>
      <c r="Q563" s="82">
        <v>0.04</v>
      </c>
      <c r="R563" s="82">
        <v>-7.43</v>
      </c>
      <c r="S563" s="82">
        <v>-13.24</v>
      </c>
      <c r="T563" s="82">
        <v>6.67</v>
      </c>
      <c r="U563" s="82">
        <v>-1.78</v>
      </c>
      <c r="V563" s="82">
        <v>2.78</v>
      </c>
      <c r="W563" s="82">
        <v>0.25</v>
      </c>
      <c r="X563" s="82">
        <v>15.05</v>
      </c>
      <c r="Z563" s="191">
        <v>151214.47</v>
      </c>
      <c r="AA563" s="191">
        <v>-4039.83</v>
      </c>
      <c r="AB563" s="82">
        <v>-299.99</v>
      </c>
      <c r="AC563" s="82">
        <v>0.0</v>
      </c>
      <c r="AD563" s="191">
        <v>8421980.45</v>
      </c>
    </row>
    <row r="564">
      <c r="A564" s="82" t="s">
        <v>611</v>
      </c>
      <c r="B564" s="82">
        <v>15.42</v>
      </c>
      <c r="D564" s="82">
        <v>-19.62</v>
      </c>
      <c r="E564" s="82">
        <v>0.84</v>
      </c>
      <c r="F564" s="82">
        <v>0.33</v>
      </c>
      <c r="G564" s="82">
        <v>-49.89</v>
      </c>
      <c r="H564" s="82">
        <v>-3.91</v>
      </c>
      <c r="I564" s="82">
        <v>-17.09</v>
      </c>
      <c r="J564" s="82">
        <v>-85.69</v>
      </c>
      <c r="K564" s="82">
        <v>-9.22</v>
      </c>
      <c r="L564" s="82">
        <v>72.79</v>
      </c>
      <c r="M564" s="82">
        <v>-0.71</v>
      </c>
      <c r="N564" s="82">
        <v>3.35</v>
      </c>
      <c r="O564" s="82">
        <v>1.03</v>
      </c>
      <c r="P564" s="82">
        <v>-0.55</v>
      </c>
      <c r="Q564" s="82">
        <v>4.96</v>
      </c>
      <c r="R564" s="82">
        <v>-4.28</v>
      </c>
      <c r="S564" s="82">
        <v>-1.68</v>
      </c>
      <c r="T564" s="82">
        <v>-0.91</v>
      </c>
      <c r="U564" s="82">
        <v>0.39</v>
      </c>
      <c r="V564" s="82">
        <v>0.61</v>
      </c>
      <c r="W564" s="82">
        <v>0.1</v>
      </c>
      <c r="X564" s="82">
        <v>36.54</v>
      </c>
      <c r="Z564" s="191">
        <v>89780.22</v>
      </c>
      <c r="AA564" s="82">
        <v>18.37</v>
      </c>
      <c r="AB564" s="82">
        <v>-0.79</v>
      </c>
      <c r="AC564" s="82">
        <v>0.36</v>
      </c>
      <c r="AD564" s="191">
        <v>1.27477995079E9</v>
      </c>
    </row>
    <row r="565">
      <c r="A565" s="82" t="s">
        <v>612</v>
      </c>
      <c r="B565" s="82">
        <v>12.3</v>
      </c>
      <c r="D565" s="82">
        <v>-15.65</v>
      </c>
      <c r="E565" s="82">
        <v>0.67</v>
      </c>
      <c r="F565" s="82">
        <v>0.26</v>
      </c>
      <c r="G565" s="82">
        <v>-49.89</v>
      </c>
      <c r="H565" s="82">
        <v>-3.91</v>
      </c>
      <c r="I565" s="82">
        <v>-17.09</v>
      </c>
      <c r="J565" s="82">
        <v>-68.36</v>
      </c>
      <c r="K565" s="82">
        <v>-9.22</v>
      </c>
      <c r="L565" s="82">
        <v>72.79</v>
      </c>
      <c r="M565" s="82">
        <v>-0.71</v>
      </c>
      <c r="N565" s="82">
        <v>2.67</v>
      </c>
      <c r="O565" s="82">
        <v>0.83</v>
      </c>
      <c r="P565" s="82">
        <v>-0.44</v>
      </c>
      <c r="Q565" s="82">
        <v>4.96</v>
      </c>
      <c r="R565" s="82">
        <v>-4.28</v>
      </c>
      <c r="S565" s="82">
        <v>-1.68</v>
      </c>
      <c r="T565" s="82">
        <v>-0.91</v>
      </c>
      <c r="U565" s="82">
        <v>0.39</v>
      </c>
      <c r="V565" s="82">
        <v>0.61</v>
      </c>
      <c r="W565" s="82">
        <v>0.1</v>
      </c>
      <c r="X565" s="82">
        <v>36.54</v>
      </c>
      <c r="Z565" s="191">
        <v>127794.6</v>
      </c>
      <c r="AA565" s="82">
        <v>18.37</v>
      </c>
      <c r="AB565" s="82">
        <v>-0.79</v>
      </c>
      <c r="AC565" s="82">
        <v>0.28</v>
      </c>
      <c r="AD565" s="191">
        <v>1.27477995079E9</v>
      </c>
    </row>
    <row r="566">
      <c r="A566" s="82" t="s">
        <v>613</v>
      </c>
      <c r="B566" s="82">
        <v>13.11</v>
      </c>
      <c r="D566" s="82">
        <v>-37.14</v>
      </c>
      <c r="E566" s="82">
        <v>2.4</v>
      </c>
      <c r="F566" s="82">
        <v>0.39</v>
      </c>
      <c r="G566" s="82">
        <v>20.36</v>
      </c>
      <c r="H566" s="82">
        <v>3.26</v>
      </c>
      <c r="I566" s="82">
        <v>-6.71</v>
      </c>
      <c r="J566" s="82">
        <v>76.48</v>
      </c>
      <c r="K566" s="82">
        <v>112.42</v>
      </c>
      <c r="L566" s="82">
        <v>35.71</v>
      </c>
      <c r="M566" s="82">
        <v>1.12</v>
      </c>
      <c r="N566" s="82">
        <v>2.49</v>
      </c>
      <c r="O566" s="82">
        <v>8.21</v>
      </c>
      <c r="P566" s="82">
        <v>-0.68</v>
      </c>
      <c r="Q566" s="82">
        <v>1.12</v>
      </c>
      <c r="R566" s="82">
        <v>-6.46</v>
      </c>
      <c r="S566" s="82">
        <v>-1.05</v>
      </c>
      <c r="T566" s="82">
        <v>0.49</v>
      </c>
      <c r="U566" s="82">
        <v>0.16</v>
      </c>
      <c r="V566" s="82">
        <v>0.84</v>
      </c>
      <c r="W566" s="82">
        <v>0.16</v>
      </c>
      <c r="X566" s="82">
        <v>-17.27</v>
      </c>
      <c r="Z566" s="191">
        <v>3.69379573E7</v>
      </c>
      <c r="AA566" s="82">
        <v>5.5</v>
      </c>
      <c r="AB566" s="82">
        <v>-0.35</v>
      </c>
      <c r="AC566" s="82">
        <v>0.4</v>
      </c>
      <c r="AD566" s="191">
        <v>1.62730593212E9</v>
      </c>
    </row>
    <row r="567">
      <c r="A567" s="82" t="s">
        <v>614</v>
      </c>
      <c r="B567" s="82">
        <v>48.0</v>
      </c>
      <c r="D567" s="82">
        <v>-13.3</v>
      </c>
      <c r="E567" s="82">
        <v>1.62</v>
      </c>
      <c r="F567" s="82">
        <v>0.52</v>
      </c>
      <c r="G567" s="82">
        <v>15.86</v>
      </c>
      <c r="H567" s="82">
        <v>9.39</v>
      </c>
      <c r="I567" s="82">
        <v>-7.58</v>
      </c>
      <c r="J567" s="82">
        <v>10.73</v>
      </c>
      <c r="K567" s="82">
        <v>17.39</v>
      </c>
      <c r="L567" s="82">
        <v>6.66</v>
      </c>
      <c r="M567" s="82">
        <v>1.01</v>
      </c>
      <c r="N567" s="82">
        <v>1.01</v>
      </c>
      <c r="O567" s="82">
        <v>-11.1</v>
      </c>
      <c r="P567" s="82">
        <v>-0.74</v>
      </c>
      <c r="Q567" s="82">
        <v>0.86</v>
      </c>
      <c r="R567" s="82">
        <v>-12.18</v>
      </c>
      <c r="S567" s="82">
        <v>-3.94</v>
      </c>
      <c r="T567" s="82">
        <v>3.93</v>
      </c>
      <c r="U567" s="82">
        <v>0.32</v>
      </c>
      <c r="V567" s="82">
        <v>0.68</v>
      </c>
      <c r="W567" s="82">
        <v>0.52</v>
      </c>
      <c r="X567" s="82">
        <v>7.32</v>
      </c>
      <c r="AA567" s="82">
        <v>29.64</v>
      </c>
      <c r="AB567" s="82">
        <v>-3.61</v>
      </c>
      <c r="AC567" s="82">
        <v>0.83</v>
      </c>
      <c r="AD567" s="191">
        <v>1.389696672E9</v>
      </c>
    </row>
    <row r="568">
      <c r="A568" s="82" t="s">
        <v>615</v>
      </c>
      <c r="B568" s="82">
        <v>14.76</v>
      </c>
      <c r="C568" s="82">
        <v>0.73</v>
      </c>
      <c r="D568" s="82">
        <v>123.61</v>
      </c>
      <c r="E568" s="82">
        <v>35.99</v>
      </c>
      <c r="F568" s="82">
        <v>22.64</v>
      </c>
      <c r="G568" s="82">
        <v>58.03</v>
      </c>
      <c r="H568" s="82">
        <v>22.31</v>
      </c>
      <c r="I568" s="82">
        <v>17.59</v>
      </c>
      <c r="J568" s="82">
        <v>97.45</v>
      </c>
      <c r="K568" s="82">
        <v>16.55</v>
      </c>
      <c r="L568" s="82">
        <v>0.38</v>
      </c>
      <c r="M568" s="82">
        <v>0.14</v>
      </c>
      <c r="N568" s="82">
        <v>21.74</v>
      </c>
      <c r="O568" s="82">
        <v>46.67</v>
      </c>
      <c r="P568" s="82">
        <v>-78.29</v>
      </c>
      <c r="Q568" s="82">
        <v>3.15</v>
      </c>
      <c r="R568" s="82">
        <v>29.11</v>
      </c>
      <c r="S568" s="82">
        <v>18.32</v>
      </c>
      <c r="T568" s="82">
        <v>25.18</v>
      </c>
      <c r="U568" s="82">
        <v>0.63</v>
      </c>
      <c r="V568" s="82">
        <v>0.37</v>
      </c>
      <c r="W568" s="82">
        <v>1.04</v>
      </c>
      <c r="X568" s="82">
        <v>22.58</v>
      </c>
      <c r="Y568" s="82">
        <v>27.5</v>
      </c>
      <c r="Z568" s="191">
        <v>1378255.1</v>
      </c>
      <c r="AA568" s="82">
        <v>0.41</v>
      </c>
      <c r="AB568" s="82">
        <v>0.12</v>
      </c>
      <c r="AC568" s="82">
        <v>7.04</v>
      </c>
      <c r="AD568" s="191">
        <v>2.33348000192E9</v>
      </c>
    </row>
    <row r="569">
      <c r="A569" s="82" t="s">
        <v>616</v>
      </c>
      <c r="B569" s="82">
        <v>27.62</v>
      </c>
      <c r="C569" s="82">
        <v>4.22</v>
      </c>
      <c r="D569" s="82">
        <v>9.77</v>
      </c>
      <c r="E569" s="82">
        <v>2.23</v>
      </c>
      <c r="F569" s="82">
        <v>1.57</v>
      </c>
      <c r="G569" s="82">
        <v>19.68</v>
      </c>
      <c r="H569" s="82">
        <v>14.88</v>
      </c>
      <c r="I569" s="82">
        <v>12.15</v>
      </c>
      <c r="J569" s="82">
        <v>7.98</v>
      </c>
      <c r="K569" s="82">
        <v>7.59</v>
      </c>
      <c r="L569" s="82">
        <v>-0.39</v>
      </c>
      <c r="M569" s="82">
        <v>-0.11</v>
      </c>
      <c r="N569" s="82">
        <v>1.19</v>
      </c>
      <c r="O569" s="82">
        <v>4.6</v>
      </c>
      <c r="P569" s="82">
        <v>-3.11</v>
      </c>
      <c r="Q569" s="82">
        <v>3.2</v>
      </c>
      <c r="R569" s="82">
        <v>22.82</v>
      </c>
      <c r="S569" s="82">
        <v>16.04</v>
      </c>
      <c r="T569" s="82">
        <v>17.56</v>
      </c>
      <c r="U569" s="82">
        <v>0.7</v>
      </c>
      <c r="V569" s="82">
        <v>0.3</v>
      </c>
      <c r="W569" s="82">
        <v>1.32</v>
      </c>
      <c r="X569" s="82">
        <v>4.8</v>
      </c>
      <c r="Y569" s="82">
        <v>12.51</v>
      </c>
      <c r="Z569" s="191">
        <v>9270262.1</v>
      </c>
      <c r="AA569" s="82">
        <v>12.42</v>
      </c>
      <c r="AB569" s="82">
        <v>2.83</v>
      </c>
      <c r="AC569" s="82">
        <v>0.23</v>
      </c>
      <c r="AD569" s="191">
        <v>1.82762071635E9</v>
      </c>
    </row>
    <row r="570">
      <c r="A570" s="82" t="s">
        <v>617</v>
      </c>
      <c r="B570" s="82">
        <v>12.54</v>
      </c>
      <c r="D570" s="82">
        <v>4.38</v>
      </c>
      <c r="E570" s="82">
        <v>2.25</v>
      </c>
      <c r="F570" s="82">
        <v>0.46</v>
      </c>
      <c r="G570" s="82">
        <v>74.66</v>
      </c>
      <c r="H570" s="82">
        <v>61.76</v>
      </c>
      <c r="I570" s="82">
        <v>49.46</v>
      </c>
      <c r="J570" s="82">
        <v>3.51</v>
      </c>
      <c r="K570" s="82">
        <v>7.15</v>
      </c>
      <c r="L570" s="82">
        <v>3.64</v>
      </c>
      <c r="M570" s="82">
        <v>2.34</v>
      </c>
      <c r="N570" s="82">
        <v>2.16</v>
      </c>
      <c r="O570" s="191">
        <v>1031.49</v>
      </c>
      <c r="P570" s="82">
        <v>-0.52</v>
      </c>
      <c r="Q570" s="82">
        <v>1.0</v>
      </c>
      <c r="R570" s="82">
        <v>51.45</v>
      </c>
      <c r="S570" s="82">
        <v>10.47</v>
      </c>
      <c r="T570" s="82">
        <v>13.16</v>
      </c>
      <c r="U570" s="82">
        <v>0.2</v>
      </c>
      <c r="V570" s="82">
        <v>0.72</v>
      </c>
      <c r="W570" s="82">
        <v>0.21</v>
      </c>
      <c r="X570" s="82">
        <v>-5.19</v>
      </c>
      <c r="Y570" s="82">
        <v>23.78</v>
      </c>
      <c r="AA570" s="82">
        <v>5.57</v>
      </c>
      <c r="AB570" s="82">
        <v>2.87</v>
      </c>
      <c r="AC570" s="82">
        <v>0.02</v>
      </c>
      <c r="AD570" s="191">
        <v>5.00479580093E9</v>
      </c>
    </row>
    <row r="571">
      <c r="A571" s="82" t="s">
        <v>618</v>
      </c>
      <c r="B571" s="82">
        <v>3.49</v>
      </c>
      <c r="D571" s="82">
        <v>6.09</v>
      </c>
      <c r="E571" s="82">
        <v>3.13</v>
      </c>
      <c r="F571" s="82">
        <v>0.64</v>
      </c>
      <c r="G571" s="82">
        <v>74.66</v>
      </c>
      <c r="H571" s="82">
        <v>61.76</v>
      </c>
      <c r="I571" s="82">
        <v>49.46</v>
      </c>
      <c r="J571" s="82">
        <v>4.88</v>
      </c>
      <c r="K571" s="82">
        <v>7.15</v>
      </c>
      <c r="L571" s="82">
        <v>3.64</v>
      </c>
      <c r="M571" s="82">
        <v>2.34</v>
      </c>
      <c r="N571" s="82">
        <v>3.01</v>
      </c>
      <c r="O571" s="191">
        <v>1435.37</v>
      </c>
      <c r="P571" s="82">
        <v>-0.72</v>
      </c>
      <c r="Q571" s="82">
        <v>1.0</v>
      </c>
      <c r="R571" s="82">
        <v>51.45</v>
      </c>
      <c r="S571" s="82">
        <v>10.47</v>
      </c>
      <c r="T571" s="82">
        <v>13.16</v>
      </c>
      <c r="U571" s="82">
        <v>0.2</v>
      </c>
      <c r="V571" s="82">
        <v>0.72</v>
      </c>
      <c r="W571" s="82">
        <v>0.21</v>
      </c>
      <c r="X571" s="82">
        <v>-5.19</v>
      </c>
      <c r="Y571" s="82">
        <v>23.78</v>
      </c>
      <c r="AA571" s="82">
        <v>1.11</v>
      </c>
      <c r="AB571" s="82">
        <v>0.57</v>
      </c>
      <c r="AC571" s="82">
        <v>0.03</v>
      </c>
      <c r="AD571" s="191">
        <v>5.00479580093E9</v>
      </c>
    </row>
    <row r="572">
      <c r="A572" s="82" t="s">
        <v>619</v>
      </c>
      <c r="B572" s="82">
        <v>3.51</v>
      </c>
      <c r="D572" s="82">
        <v>6.13</v>
      </c>
      <c r="E572" s="82">
        <v>3.15</v>
      </c>
      <c r="F572" s="82">
        <v>0.64</v>
      </c>
      <c r="G572" s="82">
        <v>74.66</v>
      </c>
      <c r="H572" s="82">
        <v>61.76</v>
      </c>
      <c r="I572" s="82">
        <v>49.46</v>
      </c>
      <c r="J572" s="82">
        <v>4.91</v>
      </c>
      <c r="K572" s="82">
        <v>7.15</v>
      </c>
      <c r="L572" s="82">
        <v>3.64</v>
      </c>
      <c r="M572" s="82">
        <v>2.34</v>
      </c>
      <c r="N572" s="82">
        <v>3.03</v>
      </c>
      <c r="O572" s="191">
        <v>1443.59</v>
      </c>
      <c r="P572" s="82">
        <v>-0.72</v>
      </c>
      <c r="Q572" s="82">
        <v>1.0</v>
      </c>
      <c r="R572" s="82">
        <v>51.45</v>
      </c>
      <c r="S572" s="82">
        <v>10.47</v>
      </c>
      <c r="T572" s="82">
        <v>13.16</v>
      </c>
      <c r="U572" s="82">
        <v>0.2</v>
      </c>
      <c r="V572" s="82">
        <v>0.72</v>
      </c>
      <c r="W572" s="82">
        <v>0.21</v>
      </c>
      <c r="X572" s="82">
        <v>-5.19</v>
      </c>
      <c r="Y572" s="82">
        <v>23.78</v>
      </c>
      <c r="AA572" s="82">
        <v>1.11</v>
      </c>
      <c r="AB572" s="82">
        <v>0.57</v>
      </c>
      <c r="AC572" s="82">
        <v>0.03</v>
      </c>
      <c r="AD572" s="191">
        <v>5.00479580093E9</v>
      </c>
    </row>
    <row r="573">
      <c r="A573" s="82" t="s">
        <v>620</v>
      </c>
      <c r="B573" s="82">
        <v>17.84</v>
      </c>
      <c r="C573" s="82">
        <v>3.59</v>
      </c>
      <c r="D573" s="82">
        <v>18.78</v>
      </c>
      <c r="E573" s="82">
        <v>1.68</v>
      </c>
      <c r="F573" s="82">
        <v>0.77</v>
      </c>
      <c r="G573" s="82">
        <v>51.02</v>
      </c>
      <c r="H573" s="82">
        <v>17.14</v>
      </c>
      <c r="I573" s="82">
        <v>9.81</v>
      </c>
      <c r="J573" s="82">
        <v>10.74</v>
      </c>
      <c r="K573" s="82">
        <v>10.85</v>
      </c>
      <c r="L573" s="82">
        <v>0.1</v>
      </c>
      <c r="M573" s="82">
        <v>0.02</v>
      </c>
      <c r="N573" s="82">
        <v>1.84</v>
      </c>
      <c r="O573" s="82">
        <v>-14.94</v>
      </c>
      <c r="P573" s="82">
        <v>-0.95</v>
      </c>
      <c r="Q573" s="82">
        <v>0.79</v>
      </c>
      <c r="R573" s="82">
        <v>8.97</v>
      </c>
      <c r="S573" s="82">
        <v>4.1</v>
      </c>
      <c r="T573" s="82">
        <v>12.16</v>
      </c>
      <c r="U573" s="82">
        <v>0.46</v>
      </c>
      <c r="V573" s="82">
        <v>0.54</v>
      </c>
      <c r="W573" s="82">
        <v>0.42</v>
      </c>
      <c r="X573" s="82">
        <v>5.81</v>
      </c>
      <c r="Y573" s="82">
        <v>13.18</v>
      </c>
      <c r="Z573" s="191">
        <v>1.0275548885E8</v>
      </c>
      <c r="AA573" s="82">
        <v>10.56</v>
      </c>
      <c r="AB573" s="82">
        <v>0.95</v>
      </c>
      <c r="AC573" s="82">
        <v>2.78</v>
      </c>
      <c r="AD573" s="191">
        <v>4.311452632838E10</v>
      </c>
    </row>
    <row r="574">
      <c r="A574" s="82" t="s">
        <v>621</v>
      </c>
      <c r="B574" s="82">
        <v>69.63</v>
      </c>
      <c r="D574" s="82">
        <v>7.65</v>
      </c>
      <c r="E574" s="82">
        <v>0.73</v>
      </c>
      <c r="F574" s="82">
        <v>0.58</v>
      </c>
      <c r="G574" s="82">
        <v>21.8</v>
      </c>
      <c r="H574" s="82">
        <v>14.53</v>
      </c>
      <c r="I574" s="82">
        <v>10.3</v>
      </c>
      <c r="J574" s="82">
        <v>5.43</v>
      </c>
      <c r="K574" s="82">
        <v>3.9</v>
      </c>
      <c r="L574" s="82">
        <v>-1.21</v>
      </c>
      <c r="M574" s="82">
        <v>-0.16</v>
      </c>
      <c r="N574" s="82">
        <v>0.79</v>
      </c>
      <c r="O574" s="82">
        <v>1.53</v>
      </c>
      <c r="P574" s="82">
        <v>-1.28</v>
      </c>
      <c r="Q574" s="82">
        <v>3.23</v>
      </c>
      <c r="R574" s="82">
        <v>9.55</v>
      </c>
      <c r="S574" s="82">
        <v>7.56</v>
      </c>
      <c r="T574" s="82">
        <v>11.32</v>
      </c>
      <c r="U574" s="82">
        <v>0.79</v>
      </c>
      <c r="V574" s="82">
        <v>0.21</v>
      </c>
      <c r="W574" s="82">
        <v>0.73</v>
      </c>
      <c r="X574" s="82">
        <v>19.94</v>
      </c>
      <c r="AA574" s="82">
        <v>95.24</v>
      </c>
      <c r="AB574" s="82">
        <v>9.1</v>
      </c>
      <c r="AC574" s="82">
        <v>-0.16</v>
      </c>
      <c r="AD574" s="191">
        <v>1.9349948454E8</v>
      </c>
    </row>
    <row r="575">
      <c r="A575" s="82" t="s">
        <v>622</v>
      </c>
      <c r="B575" s="82">
        <v>60.99</v>
      </c>
      <c r="C575" s="82">
        <v>5.17</v>
      </c>
      <c r="D575" s="82">
        <v>6.7</v>
      </c>
      <c r="E575" s="82">
        <v>0.64</v>
      </c>
      <c r="F575" s="82">
        <v>0.51</v>
      </c>
      <c r="G575" s="82">
        <v>21.8</v>
      </c>
      <c r="H575" s="82">
        <v>14.53</v>
      </c>
      <c r="I575" s="82">
        <v>10.3</v>
      </c>
      <c r="J575" s="82">
        <v>4.75</v>
      </c>
      <c r="K575" s="82">
        <v>3.9</v>
      </c>
      <c r="L575" s="82">
        <v>-1.21</v>
      </c>
      <c r="M575" s="82">
        <v>-0.16</v>
      </c>
      <c r="N575" s="82">
        <v>0.69</v>
      </c>
      <c r="O575" s="82">
        <v>1.34</v>
      </c>
      <c r="P575" s="82">
        <v>-1.13</v>
      </c>
      <c r="Q575" s="82">
        <v>3.23</v>
      </c>
      <c r="R575" s="82">
        <v>9.55</v>
      </c>
      <c r="S575" s="82">
        <v>7.56</v>
      </c>
      <c r="T575" s="82">
        <v>11.32</v>
      </c>
      <c r="U575" s="82">
        <v>0.79</v>
      </c>
      <c r="V575" s="82">
        <v>0.21</v>
      </c>
      <c r="W575" s="82">
        <v>0.73</v>
      </c>
      <c r="X575" s="82">
        <v>19.94</v>
      </c>
      <c r="Z575" s="191">
        <v>18630.0</v>
      </c>
      <c r="AA575" s="82">
        <v>95.24</v>
      </c>
      <c r="AB575" s="82">
        <v>9.1</v>
      </c>
      <c r="AC575" s="82">
        <v>-0.14</v>
      </c>
      <c r="AD575" s="191">
        <v>1.9349948454E8</v>
      </c>
    </row>
    <row r="576">
      <c r="A576" s="82" t="s">
        <v>624</v>
      </c>
      <c r="B576" s="82">
        <v>33.08</v>
      </c>
      <c r="C576" s="82">
        <v>0.7</v>
      </c>
      <c r="D576" s="82">
        <v>26.63</v>
      </c>
      <c r="E576" s="82">
        <v>4.32</v>
      </c>
      <c r="F576" s="82">
        <v>2.33</v>
      </c>
      <c r="G576" s="82">
        <v>70.36</v>
      </c>
      <c r="H576" s="82">
        <v>17.31</v>
      </c>
      <c r="I576" s="82">
        <v>18.09</v>
      </c>
      <c r="J576" s="82">
        <v>27.82</v>
      </c>
      <c r="K576" s="82">
        <v>25.93</v>
      </c>
      <c r="L576" s="82">
        <v>-1.84</v>
      </c>
      <c r="M576" s="82">
        <v>-0.29</v>
      </c>
      <c r="N576" s="82">
        <v>4.82</v>
      </c>
      <c r="O576" s="82">
        <v>7.98</v>
      </c>
      <c r="P576" s="82">
        <v>-4.15</v>
      </c>
      <c r="Q576" s="82">
        <v>2.97</v>
      </c>
      <c r="R576" s="82">
        <v>16.23</v>
      </c>
      <c r="S576" s="82">
        <v>8.73</v>
      </c>
      <c r="T576" s="82">
        <v>8.68</v>
      </c>
      <c r="U576" s="82">
        <v>0.54</v>
      </c>
      <c r="V576" s="82">
        <v>0.43</v>
      </c>
      <c r="W576" s="82">
        <v>0.48</v>
      </c>
      <c r="X576" s="82">
        <v>11.23</v>
      </c>
      <c r="Y576" s="82">
        <v>52.41</v>
      </c>
      <c r="Z576" s="191">
        <v>1.09520086E8</v>
      </c>
      <c r="AA576" s="82">
        <v>7.64</v>
      </c>
      <c r="AB576" s="82">
        <v>1.24</v>
      </c>
      <c r="AC576" s="82">
        <v>0.43</v>
      </c>
      <c r="AD576" s="191">
        <v>2.032384215033E10</v>
      </c>
    </row>
    <row r="577">
      <c r="A577" s="82" t="s">
        <v>625</v>
      </c>
      <c r="B577" s="82">
        <v>2.29</v>
      </c>
      <c r="D577" s="82">
        <v>-43.94</v>
      </c>
      <c r="E577" s="82">
        <v>-4.97</v>
      </c>
      <c r="F577" s="82">
        <v>4.03</v>
      </c>
      <c r="G577" s="82">
        <v>24.06</v>
      </c>
      <c r="H577" s="82">
        <v>-10.7</v>
      </c>
      <c r="I577" s="82">
        <v>-10.96</v>
      </c>
      <c r="J577" s="82">
        <v>-45.0</v>
      </c>
      <c r="K577" s="82">
        <v>-47.62</v>
      </c>
      <c r="L577" s="82">
        <v>-0.63</v>
      </c>
      <c r="N577" s="82">
        <v>4.81</v>
      </c>
      <c r="O577" s="82">
        <v>-5.93</v>
      </c>
      <c r="P577" s="82">
        <v>-11.89</v>
      </c>
      <c r="Q577" s="82">
        <v>0.49</v>
      </c>
      <c r="R577" s="82">
        <v>-11.31</v>
      </c>
      <c r="S577" s="82">
        <v>-9.18</v>
      </c>
      <c r="T577" s="82">
        <v>11.93</v>
      </c>
      <c r="U577" s="82">
        <v>-0.81</v>
      </c>
      <c r="V577" s="82">
        <v>1.81</v>
      </c>
      <c r="W577" s="82">
        <v>0.84</v>
      </c>
      <c r="X577" s="82">
        <v>-33.11</v>
      </c>
      <c r="AA577" s="82">
        <v>-0.46</v>
      </c>
      <c r="AB577" s="82">
        <v>-0.05</v>
      </c>
      <c r="AC577" s="82">
        <v>0.47</v>
      </c>
      <c r="AD577" s="191">
        <v>7.189022222E7</v>
      </c>
    </row>
    <row r="578">
      <c r="A578" s="82" t="s">
        <v>626</v>
      </c>
      <c r="B578" s="82">
        <v>2.5</v>
      </c>
      <c r="D578" s="82">
        <v>-47.96</v>
      </c>
      <c r="E578" s="82">
        <v>-5.43</v>
      </c>
      <c r="F578" s="82">
        <v>4.4</v>
      </c>
      <c r="G578" s="82">
        <v>24.06</v>
      </c>
      <c r="H578" s="82">
        <v>-10.7</v>
      </c>
      <c r="I578" s="82">
        <v>-10.96</v>
      </c>
      <c r="J578" s="82">
        <v>-49.12</v>
      </c>
      <c r="K578" s="82">
        <v>-47.62</v>
      </c>
      <c r="L578" s="82">
        <v>-0.63</v>
      </c>
      <c r="N578" s="82">
        <v>5.26</v>
      </c>
      <c r="O578" s="82">
        <v>-6.47</v>
      </c>
      <c r="P578" s="82">
        <v>-12.98</v>
      </c>
      <c r="Q578" s="82">
        <v>0.49</v>
      </c>
      <c r="R578" s="82">
        <v>-11.31</v>
      </c>
      <c r="S578" s="82">
        <v>-9.18</v>
      </c>
      <c r="T578" s="82">
        <v>11.93</v>
      </c>
      <c r="U578" s="82">
        <v>-0.81</v>
      </c>
      <c r="V578" s="82">
        <v>1.81</v>
      </c>
      <c r="W578" s="82">
        <v>0.84</v>
      </c>
      <c r="X578" s="82">
        <v>-33.11</v>
      </c>
      <c r="AA578" s="82">
        <v>-0.46</v>
      </c>
      <c r="AB578" s="82">
        <v>-0.05</v>
      </c>
      <c r="AC578" s="82">
        <v>0.52</v>
      </c>
      <c r="AD578" s="191">
        <v>7.189022222E7</v>
      </c>
    </row>
    <row r="579">
      <c r="A579" s="82" t="s">
        <v>627</v>
      </c>
      <c r="B579" s="82">
        <v>4.17</v>
      </c>
      <c r="D579" s="82">
        <v>-2.94</v>
      </c>
      <c r="E579" s="82">
        <v>0.21</v>
      </c>
      <c r="F579" s="82">
        <v>0.06</v>
      </c>
      <c r="G579" s="82">
        <v>10.26</v>
      </c>
      <c r="H579" s="82">
        <v>-1.06</v>
      </c>
      <c r="I579" s="82">
        <v>-6.5</v>
      </c>
      <c r="J579" s="82">
        <v>-18.11</v>
      </c>
      <c r="K579" s="82">
        <v>-168.12</v>
      </c>
      <c r="L579" s="82">
        <v>-149.96</v>
      </c>
      <c r="M579" s="82">
        <v>1.77</v>
      </c>
      <c r="N579" s="82">
        <v>0.19</v>
      </c>
      <c r="O579" s="82">
        <v>-0.48</v>
      </c>
      <c r="P579" s="82">
        <v>-0.07</v>
      </c>
      <c r="Q579" s="82">
        <v>0.27</v>
      </c>
      <c r="R579" s="82">
        <v>-7.27</v>
      </c>
      <c r="S579" s="82">
        <v>-2.2</v>
      </c>
      <c r="T579" s="82">
        <v>-4.18</v>
      </c>
      <c r="U579" s="82">
        <v>0.3</v>
      </c>
      <c r="V579" s="82">
        <v>0.7</v>
      </c>
      <c r="W579" s="82">
        <v>0.34</v>
      </c>
      <c r="X579" s="82">
        <v>-5.55</v>
      </c>
      <c r="Z579" s="191">
        <v>152994.45</v>
      </c>
      <c r="AA579" s="82">
        <v>19.5</v>
      </c>
      <c r="AB579" s="82">
        <v>-1.42</v>
      </c>
      <c r="AC579" s="82">
        <v>0.0</v>
      </c>
      <c r="AD579" s="191">
        <v>1.8392E8</v>
      </c>
    </row>
    <row r="580">
      <c r="A580" s="82" t="s">
        <v>628</v>
      </c>
      <c r="B580" s="82">
        <v>0.84</v>
      </c>
      <c r="D580" s="82">
        <v>-2.08</v>
      </c>
      <c r="E580" s="82">
        <v>0.5</v>
      </c>
      <c r="F580" s="82">
        <v>0.47</v>
      </c>
      <c r="G580" s="82">
        <v>26.23</v>
      </c>
      <c r="H580" s="82">
        <v>-137.01</v>
      </c>
      <c r="I580" s="82">
        <v>-203.14</v>
      </c>
      <c r="J580" s="82">
        <v>-3.08</v>
      </c>
      <c r="K580" s="82">
        <v>-1.68</v>
      </c>
      <c r="L580" s="82">
        <v>1.36</v>
      </c>
      <c r="M580" s="82">
        <v>-0.22</v>
      </c>
      <c r="N580" s="82">
        <v>4.22</v>
      </c>
      <c r="O580" s="82">
        <v>2.1</v>
      </c>
      <c r="P580" s="82">
        <v>-0.65</v>
      </c>
      <c r="Q580" s="82">
        <v>4.63</v>
      </c>
      <c r="R580" s="82">
        <v>-24.05</v>
      </c>
      <c r="S580" s="82">
        <v>-22.54</v>
      </c>
      <c r="T580" s="82">
        <v>-18.15</v>
      </c>
      <c r="U580" s="82">
        <v>0.94</v>
      </c>
      <c r="V580" s="82">
        <v>0.06</v>
      </c>
      <c r="W580" s="82">
        <v>0.11</v>
      </c>
      <c r="Z580" s="191">
        <v>704733.2</v>
      </c>
      <c r="AA580" s="82">
        <v>1.7</v>
      </c>
      <c r="AB580" s="82">
        <v>-0.41</v>
      </c>
      <c r="AC580" s="82">
        <v>-0.02</v>
      </c>
      <c r="AD580" s="191">
        <v>2.3532359592E8</v>
      </c>
    </row>
    <row r="581">
      <c r="A581" s="82" t="s">
        <v>629</v>
      </c>
      <c r="B581" s="82">
        <v>5.44</v>
      </c>
      <c r="C581" s="82">
        <v>2.52</v>
      </c>
      <c r="D581" s="82">
        <v>9.53</v>
      </c>
      <c r="E581" s="82">
        <v>0.76</v>
      </c>
      <c r="F581" s="82">
        <v>0.38</v>
      </c>
      <c r="G581" s="82">
        <v>24.05</v>
      </c>
      <c r="H581" s="82">
        <v>30.15</v>
      </c>
      <c r="I581" s="82">
        <v>11.03</v>
      </c>
      <c r="J581" s="82">
        <v>3.49</v>
      </c>
      <c r="K581" s="82">
        <v>6.08</v>
      </c>
      <c r="L581" s="82">
        <v>2.61</v>
      </c>
      <c r="M581" s="82">
        <v>0.57</v>
      </c>
      <c r="N581" s="82">
        <v>1.05</v>
      </c>
      <c r="O581" s="82">
        <v>0.78</v>
      </c>
      <c r="P581" s="82">
        <v>-1.52</v>
      </c>
      <c r="Q581" s="82">
        <v>2.82</v>
      </c>
      <c r="R581" s="82">
        <v>8.01</v>
      </c>
      <c r="S581" s="82">
        <v>3.96</v>
      </c>
      <c r="T581" s="82">
        <v>11.1</v>
      </c>
      <c r="U581" s="82">
        <v>0.49</v>
      </c>
      <c r="V581" s="82">
        <v>0.49</v>
      </c>
      <c r="W581" s="82">
        <v>0.36</v>
      </c>
      <c r="X581" s="82">
        <v>11.47</v>
      </c>
      <c r="Y581" s="82">
        <v>24.98</v>
      </c>
      <c r="Z581" s="191">
        <v>4176819.8</v>
      </c>
      <c r="AA581" s="82">
        <v>7.14</v>
      </c>
      <c r="AB581" s="82">
        <v>0.57</v>
      </c>
      <c r="AC581" s="82">
        <v>0.11</v>
      </c>
      <c r="AD581" s="191">
        <v>1.01146705596E9</v>
      </c>
    </row>
    <row r="582">
      <c r="A582" s="82" t="s">
        <v>1719</v>
      </c>
      <c r="B582" s="82">
        <v>35.85</v>
      </c>
      <c r="C582" s="82">
        <v>6.15</v>
      </c>
      <c r="D582" s="82">
        <v>10.0</v>
      </c>
      <c r="E582" s="82">
        <v>1.31</v>
      </c>
      <c r="F582" s="82">
        <v>0.67</v>
      </c>
      <c r="G582" s="82">
        <v>59.76</v>
      </c>
      <c r="H582" s="82">
        <v>62.57</v>
      </c>
      <c r="I582" s="82">
        <v>41.02</v>
      </c>
      <c r="J582" s="82">
        <v>6.55</v>
      </c>
      <c r="K582" s="82">
        <v>7.47</v>
      </c>
      <c r="L582" s="82">
        <v>2.0</v>
      </c>
      <c r="M582" s="82">
        <v>0.4</v>
      </c>
      <c r="N582" s="82">
        <v>4.1</v>
      </c>
      <c r="O582" s="82">
        <v>8.52</v>
      </c>
      <c r="P582" s="82">
        <v>-0.81</v>
      </c>
      <c r="Q582" s="82">
        <v>1.9</v>
      </c>
      <c r="R582" s="82">
        <v>13.14</v>
      </c>
      <c r="S582" s="82">
        <v>6.72</v>
      </c>
      <c r="T582" s="82">
        <v>11.65</v>
      </c>
      <c r="U582" s="82">
        <v>0.51</v>
      </c>
      <c r="V582" s="82">
        <v>0.47</v>
      </c>
      <c r="W582" s="82">
        <v>0.16</v>
      </c>
      <c r="X582" s="82">
        <v>15.07</v>
      </c>
      <c r="Y582" s="82">
        <v>11.59</v>
      </c>
      <c r="Z582" s="191">
        <v>135866.5</v>
      </c>
      <c r="AA582" s="82">
        <v>27.28</v>
      </c>
      <c r="AB582" s="82">
        <v>3.59</v>
      </c>
      <c r="AC582" s="82">
        <v>-1.17</v>
      </c>
      <c r="AD582" s="191">
        <v>1.969570929852E10</v>
      </c>
    </row>
    <row r="583">
      <c r="A583" s="82" t="s">
        <v>1707</v>
      </c>
      <c r="B583" s="82">
        <v>26.26</v>
      </c>
      <c r="C583" s="82">
        <v>8.38</v>
      </c>
      <c r="D583" s="82">
        <v>7.34</v>
      </c>
      <c r="E583" s="82">
        <v>0.96</v>
      </c>
      <c r="F583" s="82">
        <v>0.49</v>
      </c>
      <c r="G583" s="82">
        <v>59.76</v>
      </c>
      <c r="H583" s="82">
        <v>62.57</v>
      </c>
      <c r="I583" s="82">
        <v>41.02</v>
      </c>
      <c r="J583" s="82">
        <v>4.81</v>
      </c>
      <c r="K583" s="82">
        <v>7.47</v>
      </c>
      <c r="L583" s="82">
        <v>2.0</v>
      </c>
      <c r="M583" s="82">
        <v>0.4</v>
      </c>
      <c r="N583" s="82">
        <v>3.01</v>
      </c>
      <c r="O583" s="82">
        <v>6.25</v>
      </c>
      <c r="P583" s="82">
        <v>-0.59</v>
      </c>
      <c r="Q583" s="82">
        <v>1.9</v>
      </c>
      <c r="R583" s="82">
        <v>13.14</v>
      </c>
      <c r="S583" s="82">
        <v>6.72</v>
      </c>
      <c r="T583" s="82">
        <v>11.65</v>
      </c>
      <c r="U583" s="82">
        <v>0.51</v>
      </c>
      <c r="V583" s="82">
        <v>0.47</v>
      </c>
      <c r="W583" s="82">
        <v>0.16</v>
      </c>
      <c r="X583" s="82">
        <v>15.07</v>
      </c>
      <c r="Y583" s="82">
        <v>11.59</v>
      </c>
      <c r="Z583" s="191">
        <v>1.048882476E8</v>
      </c>
      <c r="AA583" s="82">
        <v>27.28</v>
      </c>
      <c r="AB583" s="82">
        <v>3.59</v>
      </c>
      <c r="AC583" s="82">
        <v>-0.86</v>
      </c>
      <c r="AD583" s="191">
        <v>1.969570929852E10</v>
      </c>
    </row>
    <row r="584">
      <c r="A584" s="82" t="s">
        <v>1774</v>
      </c>
      <c r="B584" s="82">
        <v>0.71</v>
      </c>
      <c r="D584" s="82">
        <v>0.44</v>
      </c>
      <c r="E584" s="82">
        <v>0.54</v>
      </c>
      <c r="F584" s="82">
        <v>0.4</v>
      </c>
      <c r="G584" s="82">
        <v>100.0</v>
      </c>
      <c r="H584" s="82">
        <v>71.7</v>
      </c>
      <c r="I584" s="82">
        <v>59.29</v>
      </c>
      <c r="J584" s="82">
        <v>0.37</v>
      </c>
      <c r="K584" s="82">
        <v>-0.36</v>
      </c>
      <c r="L584" s="82">
        <v>-0.72</v>
      </c>
      <c r="M584" s="82">
        <v>-1.07</v>
      </c>
      <c r="N584" s="82">
        <v>0.26</v>
      </c>
      <c r="O584" s="82">
        <v>0.59</v>
      </c>
      <c r="P584" s="82">
        <v>-6.13</v>
      </c>
      <c r="Q584" s="82">
        <v>3.61</v>
      </c>
      <c r="R584" s="82">
        <v>122.35</v>
      </c>
      <c r="S584" s="82">
        <v>90.0</v>
      </c>
      <c r="T584" s="82">
        <v>90.82</v>
      </c>
      <c r="U584" s="82">
        <v>0.74</v>
      </c>
      <c r="V584" s="82">
        <v>0.26</v>
      </c>
      <c r="W584" s="82">
        <v>1.52</v>
      </c>
      <c r="X584" s="82">
        <v>-0.48</v>
      </c>
      <c r="Y584" s="82">
        <v>-0.38</v>
      </c>
      <c r="AA584" s="82">
        <v>1.31</v>
      </c>
      <c r="AB584" s="82">
        <v>1.6</v>
      </c>
      <c r="AC584" s="82">
        <v>0.0</v>
      </c>
      <c r="AD584" s="191">
        <v>3.2162716E7</v>
      </c>
    </row>
    <row r="585">
      <c r="A585" s="82" t="s">
        <v>630</v>
      </c>
      <c r="B585" s="82">
        <v>10.91</v>
      </c>
      <c r="C585" s="82">
        <v>1.05</v>
      </c>
      <c r="D585" s="82">
        <v>8.7</v>
      </c>
      <c r="E585" s="82">
        <v>1.72</v>
      </c>
      <c r="F585" s="82">
        <v>0.82</v>
      </c>
      <c r="G585" s="82">
        <v>14.89</v>
      </c>
      <c r="H585" s="82">
        <v>6.79</v>
      </c>
      <c r="I585" s="82">
        <v>7.71</v>
      </c>
      <c r="J585" s="82">
        <v>9.88</v>
      </c>
      <c r="K585" s="82">
        <v>10.02</v>
      </c>
      <c r="L585" s="82">
        <v>0.21</v>
      </c>
      <c r="M585" s="82">
        <v>0.04</v>
      </c>
      <c r="N585" s="82">
        <v>0.67</v>
      </c>
      <c r="O585" s="82">
        <v>3.72</v>
      </c>
      <c r="P585" s="82">
        <v>-2.31</v>
      </c>
      <c r="Q585" s="82">
        <v>1.52</v>
      </c>
      <c r="R585" s="82">
        <v>19.74</v>
      </c>
      <c r="S585" s="82">
        <v>9.46</v>
      </c>
      <c r="T585" s="82">
        <v>9.54</v>
      </c>
      <c r="U585" s="82">
        <v>0.48</v>
      </c>
      <c r="V585" s="82">
        <v>0.52</v>
      </c>
      <c r="W585" s="82">
        <v>1.23</v>
      </c>
      <c r="Z585" s="191">
        <v>1.80265067E7</v>
      </c>
      <c r="AA585" s="82">
        <v>6.37</v>
      </c>
      <c r="AB585" s="82">
        <v>1.26</v>
      </c>
      <c r="AC585" s="82">
        <v>0.4</v>
      </c>
      <c r="AD585" s="191">
        <v>5.41151244642E9</v>
      </c>
    </row>
    <row r="586">
      <c r="A586" s="82" t="s">
        <v>631</v>
      </c>
      <c r="B586" s="82">
        <v>27.43</v>
      </c>
      <c r="C586" s="82">
        <v>3.66</v>
      </c>
      <c r="D586" s="82">
        <v>9.7</v>
      </c>
      <c r="E586" s="82">
        <v>1.21</v>
      </c>
      <c r="F586" s="82">
        <v>0.4</v>
      </c>
      <c r="G586" s="82">
        <v>17.23</v>
      </c>
      <c r="H586" s="82">
        <v>6.88</v>
      </c>
      <c r="I586" s="82">
        <v>3.59</v>
      </c>
      <c r="J586" s="82">
        <v>5.07</v>
      </c>
      <c r="K586" s="82">
        <v>7.91</v>
      </c>
      <c r="L586" s="82">
        <v>2.88</v>
      </c>
      <c r="M586" s="82">
        <v>0.69</v>
      </c>
      <c r="N586" s="82">
        <v>0.35</v>
      </c>
      <c r="O586" s="82">
        <v>1.23</v>
      </c>
      <c r="P586" s="82">
        <v>-1.02</v>
      </c>
      <c r="Q586" s="82">
        <v>2.1</v>
      </c>
      <c r="R586" s="82">
        <v>12.47</v>
      </c>
      <c r="S586" s="82">
        <v>4.08</v>
      </c>
      <c r="T586" s="82">
        <v>9.94</v>
      </c>
      <c r="U586" s="82">
        <v>0.33</v>
      </c>
      <c r="V586" s="82">
        <v>0.67</v>
      </c>
      <c r="W586" s="82">
        <v>1.13</v>
      </c>
      <c r="X586" s="82">
        <v>22.39</v>
      </c>
      <c r="Y586" s="82">
        <v>21.58</v>
      </c>
      <c r="Z586" s="191">
        <v>1.74284706E7</v>
      </c>
      <c r="AA586" s="82">
        <v>22.67</v>
      </c>
      <c r="AB586" s="82">
        <v>2.83</v>
      </c>
      <c r="AC586" s="82">
        <v>-0.47</v>
      </c>
      <c r="AD586" s="191">
        <v>3.92451155E9</v>
      </c>
    </row>
    <row r="587">
      <c r="A587" s="82" t="s">
        <v>632</v>
      </c>
      <c r="B587" s="82">
        <v>4.2</v>
      </c>
      <c r="D587" s="82">
        <v>-0.6</v>
      </c>
      <c r="E587" s="82">
        <v>-0.05</v>
      </c>
      <c r="F587" s="82">
        <v>0.08</v>
      </c>
      <c r="G587" s="82">
        <v>19.35</v>
      </c>
      <c r="H587" s="82">
        <v>0.21</v>
      </c>
      <c r="I587" s="82">
        <v>-18.7</v>
      </c>
      <c r="J587" s="82">
        <v>54.21</v>
      </c>
      <c r="K587" s="82">
        <v>947.17</v>
      </c>
      <c r="L587" s="82">
        <v>905.7</v>
      </c>
      <c r="N587" s="82">
        <v>0.11</v>
      </c>
      <c r="O587" s="82">
        <v>-0.09</v>
      </c>
      <c r="P587" s="82">
        <v>-0.16</v>
      </c>
      <c r="Q587" s="82">
        <v>0.32</v>
      </c>
      <c r="R587" s="82">
        <v>-8.34</v>
      </c>
      <c r="S587" s="82">
        <v>-14.16</v>
      </c>
      <c r="T587" s="82">
        <v>-0.47</v>
      </c>
      <c r="U587" s="82">
        <v>-1.7</v>
      </c>
      <c r="V587" s="82">
        <v>2.7</v>
      </c>
      <c r="W587" s="82">
        <v>0.76</v>
      </c>
      <c r="X587" s="82">
        <v>20.12</v>
      </c>
      <c r="Z587" s="82">
        <v>840.0</v>
      </c>
      <c r="AA587" s="82">
        <v>-84.48</v>
      </c>
      <c r="AB587" s="82">
        <v>-7.05</v>
      </c>
      <c r="AC587" s="82">
        <v>-0.01</v>
      </c>
      <c r="AD587" s="191">
        <v>1.36849632E7</v>
      </c>
    </row>
    <row r="588">
      <c r="A588" s="82" t="s">
        <v>633</v>
      </c>
      <c r="B588" s="82">
        <v>2.7</v>
      </c>
      <c r="D588" s="82">
        <v>-0.38</v>
      </c>
      <c r="E588" s="82">
        <v>-0.03</v>
      </c>
      <c r="F588" s="82">
        <v>0.05</v>
      </c>
      <c r="G588" s="82">
        <v>19.35</v>
      </c>
      <c r="H588" s="82">
        <v>0.21</v>
      </c>
      <c r="I588" s="82">
        <v>-18.7</v>
      </c>
      <c r="J588" s="82">
        <v>34.85</v>
      </c>
      <c r="K588" s="82">
        <v>947.17</v>
      </c>
      <c r="L588" s="82">
        <v>905.7</v>
      </c>
      <c r="N588" s="82">
        <v>0.07</v>
      </c>
      <c r="O588" s="82">
        <v>-0.05</v>
      </c>
      <c r="P588" s="82">
        <v>-0.1</v>
      </c>
      <c r="Q588" s="82">
        <v>0.32</v>
      </c>
      <c r="R588" s="82">
        <v>-8.34</v>
      </c>
      <c r="S588" s="82">
        <v>-14.16</v>
      </c>
      <c r="T588" s="82">
        <v>-0.47</v>
      </c>
      <c r="U588" s="82">
        <v>-1.7</v>
      </c>
      <c r="V588" s="82">
        <v>2.7</v>
      </c>
      <c r="W588" s="82">
        <v>0.76</v>
      </c>
      <c r="X588" s="82">
        <v>20.12</v>
      </c>
      <c r="Z588" s="191">
        <v>17694.06</v>
      </c>
      <c r="AA588" s="82">
        <v>-84.48</v>
      </c>
      <c r="AB588" s="82">
        <v>-7.05</v>
      </c>
      <c r="AC588" s="82">
        <v>-0.01</v>
      </c>
      <c r="AD588" s="191">
        <v>1.36849632E7</v>
      </c>
    </row>
    <row r="589">
      <c r="A589" s="82" t="s">
        <v>634</v>
      </c>
      <c r="B589" s="82">
        <v>2.69</v>
      </c>
      <c r="D589" s="82">
        <v>13.0</v>
      </c>
      <c r="E589" s="82">
        <v>0.9</v>
      </c>
      <c r="F589" s="82">
        <v>0.58</v>
      </c>
      <c r="G589" s="82">
        <v>34.76</v>
      </c>
      <c r="H589" s="82">
        <v>4.03</v>
      </c>
      <c r="I589" s="82">
        <v>6.15</v>
      </c>
      <c r="J589" s="82">
        <v>19.85</v>
      </c>
      <c r="K589" s="82">
        <v>17.43</v>
      </c>
      <c r="L589" s="82">
        <v>-2.2</v>
      </c>
      <c r="M589" s="82">
        <v>-0.1</v>
      </c>
      <c r="N589" s="82">
        <v>0.8</v>
      </c>
      <c r="O589" s="82">
        <v>31.53</v>
      </c>
      <c r="P589" s="82">
        <v>-0.85</v>
      </c>
      <c r="Q589" s="82">
        <v>1.06</v>
      </c>
      <c r="R589" s="82">
        <v>6.91</v>
      </c>
      <c r="S589" s="82">
        <v>4.47</v>
      </c>
      <c r="T589" s="82">
        <v>4.06</v>
      </c>
      <c r="U589" s="82">
        <v>0.65</v>
      </c>
      <c r="V589" s="82">
        <v>0.35</v>
      </c>
      <c r="W589" s="82">
        <v>0.73</v>
      </c>
      <c r="X589" s="82">
        <v>9.24</v>
      </c>
      <c r="Z589" s="191">
        <v>201076.55</v>
      </c>
      <c r="AA589" s="82">
        <v>2.98</v>
      </c>
      <c r="AB589" s="82">
        <v>0.21</v>
      </c>
      <c r="AC589" s="82">
        <v>-0.2</v>
      </c>
      <c r="AD589" s="191">
        <v>1.751288646E8</v>
      </c>
    </row>
    <row r="590">
      <c r="A590" s="82" t="s">
        <v>635</v>
      </c>
      <c r="B590" s="82">
        <v>26.53</v>
      </c>
      <c r="C590" s="82">
        <v>1.32</v>
      </c>
      <c r="D590" s="82">
        <v>13.69</v>
      </c>
      <c r="E590" s="82">
        <v>2.33</v>
      </c>
      <c r="F590" s="82">
        <v>0.81</v>
      </c>
      <c r="G590" s="82">
        <v>6.77</v>
      </c>
      <c r="H590" s="82">
        <v>3.25</v>
      </c>
      <c r="I590" s="82">
        <v>1.68</v>
      </c>
      <c r="J590" s="82">
        <v>7.08</v>
      </c>
      <c r="K590" s="82">
        <v>8.93</v>
      </c>
      <c r="L590" s="82">
        <v>1.83</v>
      </c>
      <c r="M590" s="82">
        <v>0.6</v>
      </c>
      <c r="N590" s="82">
        <v>0.23</v>
      </c>
      <c r="O590" s="82">
        <v>3.66</v>
      </c>
      <c r="P590" s="82">
        <v>-1.61</v>
      </c>
      <c r="Q590" s="82">
        <v>1.81</v>
      </c>
      <c r="R590" s="82">
        <v>17.03</v>
      </c>
      <c r="S590" s="82">
        <v>5.94</v>
      </c>
      <c r="T590" s="82">
        <v>12.14</v>
      </c>
      <c r="U590" s="82">
        <v>0.35</v>
      </c>
      <c r="V590" s="82">
        <v>0.64</v>
      </c>
      <c r="W590" s="82">
        <v>3.53</v>
      </c>
      <c r="X590" s="82">
        <v>12.42</v>
      </c>
      <c r="Y590" s="82">
        <v>6.56</v>
      </c>
      <c r="Z590" s="191">
        <v>1.2830507575E8</v>
      </c>
      <c r="AA590" s="82">
        <v>11.39</v>
      </c>
      <c r="AB590" s="82">
        <v>1.94</v>
      </c>
      <c r="AC590" s="82">
        <v>0.23</v>
      </c>
      <c r="AD590" s="191">
        <v>2.96423479842E10</v>
      </c>
    </row>
    <row r="591">
      <c r="A591" s="82" t="s">
        <v>636</v>
      </c>
      <c r="B591" s="82">
        <v>69.68</v>
      </c>
      <c r="C591" s="82">
        <v>4.57</v>
      </c>
      <c r="D591" s="82">
        <v>9.27</v>
      </c>
      <c r="E591" s="82">
        <v>2.56</v>
      </c>
      <c r="F591" s="82">
        <v>1.16</v>
      </c>
      <c r="G591" s="82">
        <v>35.74</v>
      </c>
      <c r="H591" s="82">
        <v>20.79</v>
      </c>
      <c r="I591" s="82">
        <v>13.63</v>
      </c>
      <c r="J591" s="82">
        <v>6.08</v>
      </c>
      <c r="K591" s="82">
        <v>6.19</v>
      </c>
      <c r="L591" s="82">
        <v>-0.22</v>
      </c>
      <c r="M591" s="82">
        <v>-0.09</v>
      </c>
      <c r="N591" s="82">
        <v>1.26</v>
      </c>
      <c r="O591" s="82">
        <v>5.65</v>
      </c>
      <c r="P591" s="82">
        <v>-2.03</v>
      </c>
      <c r="Q591" s="82">
        <v>1.92</v>
      </c>
      <c r="R591" s="82">
        <v>27.61</v>
      </c>
      <c r="S591" s="82">
        <v>12.51</v>
      </c>
      <c r="T591" s="82">
        <v>15.5</v>
      </c>
      <c r="U591" s="82">
        <v>0.45</v>
      </c>
      <c r="V591" s="82">
        <v>0.54</v>
      </c>
      <c r="W591" s="82">
        <v>0.92</v>
      </c>
      <c r="X591" s="82">
        <v>19.21</v>
      </c>
      <c r="Y591" s="82">
        <v>20.7</v>
      </c>
      <c r="Z591" s="191">
        <v>653293.3</v>
      </c>
      <c r="AA591" s="82">
        <v>27.04</v>
      </c>
      <c r="AB591" s="82">
        <v>7.47</v>
      </c>
      <c r="AC591" s="82">
        <v>-0.16</v>
      </c>
      <c r="AD591" s="191">
        <v>7.58749072219E9</v>
      </c>
    </row>
    <row r="592">
      <c r="A592" s="82" t="s">
        <v>637</v>
      </c>
      <c r="B592" s="82">
        <v>78.11</v>
      </c>
      <c r="C592" s="82">
        <v>4.54</v>
      </c>
      <c r="D592" s="82">
        <v>10.46</v>
      </c>
      <c r="E592" s="82">
        <v>2.89</v>
      </c>
      <c r="F592" s="82">
        <v>1.31</v>
      </c>
      <c r="G592" s="82">
        <v>35.74</v>
      </c>
      <c r="H592" s="82">
        <v>20.79</v>
      </c>
      <c r="I592" s="82">
        <v>13.63</v>
      </c>
      <c r="J592" s="82">
        <v>6.86</v>
      </c>
      <c r="K592" s="82">
        <v>6.19</v>
      </c>
      <c r="L592" s="82">
        <v>-0.22</v>
      </c>
      <c r="M592" s="82">
        <v>-0.09</v>
      </c>
      <c r="N592" s="82">
        <v>1.43</v>
      </c>
      <c r="O592" s="82">
        <v>6.38</v>
      </c>
      <c r="P592" s="82">
        <v>-2.29</v>
      </c>
      <c r="Q592" s="82">
        <v>1.92</v>
      </c>
      <c r="R592" s="82">
        <v>27.61</v>
      </c>
      <c r="S592" s="82">
        <v>12.51</v>
      </c>
      <c r="T592" s="82">
        <v>15.5</v>
      </c>
      <c r="U592" s="82">
        <v>0.45</v>
      </c>
      <c r="V592" s="82">
        <v>0.54</v>
      </c>
      <c r="W592" s="82">
        <v>0.92</v>
      </c>
      <c r="X592" s="82">
        <v>19.21</v>
      </c>
      <c r="Y592" s="82">
        <v>20.7</v>
      </c>
      <c r="Z592" s="191">
        <v>19221.73</v>
      </c>
      <c r="AA592" s="82">
        <v>27.04</v>
      </c>
      <c r="AB592" s="82">
        <v>7.47</v>
      </c>
      <c r="AC592" s="82">
        <v>-0.18</v>
      </c>
      <c r="AD592" s="191">
        <v>7.58749072219E9</v>
      </c>
    </row>
    <row r="593">
      <c r="A593" s="82" t="s">
        <v>638</v>
      </c>
      <c r="B593" s="82">
        <v>75.66</v>
      </c>
      <c r="C593" s="82">
        <v>4.6</v>
      </c>
      <c r="D593" s="82">
        <v>10.14</v>
      </c>
      <c r="E593" s="82">
        <v>2.8</v>
      </c>
      <c r="F593" s="82">
        <v>1.27</v>
      </c>
      <c r="G593" s="82">
        <v>35.74</v>
      </c>
      <c r="H593" s="82">
        <v>20.79</v>
      </c>
      <c r="I593" s="82">
        <v>13.63</v>
      </c>
      <c r="J593" s="82">
        <v>6.65</v>
      </c>
      <c r="K593" s="82">
        <v>6.19</v>
      </c>
      <c r="L593" s="82">
        <v>-0.22</v>
      </c>
      <c r="M593" s="82">
        <v>-0.09</v>
      </c>
      <c r="N593" s="82">
        <v>1.38</v>
      </c>
      <c r="O593" s="82">
        <v>6.18</v>
      </c>
      <c r="P593" s="82">
        <v>-2.22</v>
      </c>
      <c r="Q593" s="82">
        <v>1.92</v>
      </c>
      <c r="R593" s="82">
        <v>27.61</v>
      </c>
      <c r="S593" s="82">
        <v>12.51</v>
      </c>
      <c r="T593" s="82">
        <v>15.5</v>
      </c>
      <c r="U593" s="82">
        <v>0.45</v>
      </c>
      <c r="V593" s="82">
        <v>0.54</v>
      </c>
      <c r="W593" s="82">
        <v>0.92</v>
      </c>
      <c r="X593" s="82">
        <v>19.21</v>
      </c>
      <c r="Y593" s="82">
        <v>20.7</v>
      </c>
      <c r="Z593" s="191">
        <v>1.452275955E7</v>
      </c>
      <c r="AA593" s="82">
        <v>27.04</v>
      </c>
      <c r="AB593" s="82">
        <v>7.47</v>
      </c>
      <c r="AC593" s="82">
        <v>-0.17</v>
      </c>
      <c r="AD593" s="191">
        <v>7.58749072219E9</v>
      </c>
    </row>
    <row r="594">
      <c r="A594" s="82" t="s">
        <v>639</v>
      </c>
      <c r="B594" s="82">
        <v>8.95</v>
      </c>
      <c r="C594" s="82">
        <v>3.34</v>
      </c>
      <c r="D594" s="82">
        <v>-30.96</v>
      </c>
      <c r="E594" s="82">
        <v>0.48</v>
      </c>
      <c r="F594" s="82">
        <v>0.28</v>
      </c>
      <c r="G594" s="82">
        <v>8.47</v>
      </c>
      <c r="H594" s="82">
        <v>-2.09</v>
      </c>
      <c r="I594" s="82">
        <v>-1.27</v>
      </c>
      <c r="J594" s="82">
        <v>-18.83</v>
      </c>
      <c r="K594" s="82">
        <v>-19.52</v>
      </c>
      <c r="L594" s="82">
        <v>-0.58</v>
      </c>
      <c r="M594" s="82">
        <v>0.01</v>
      </c>
      <c r="N594" s="82">
        <v>0.39</v>
      </c>
      <c r="O594" s="82">
        <v>0.84</v>
      </c>
      <c r="P594" s="82">
        <v>-0.53</v>
      </c>
      <c r="Q594" s="82">
        <v>3.43</v>
      </c>
      <c r="R594" s="82">
        <v>-1.55</v>
      </c>
      <c r="S594" s="82">
        <v>-0.9</v>
      </c>
      <c r="T594" s="82">
        <v>-2.06</v>
      </c>
      <c r="U594" s="82">
        <v>0.58</v>
      </c>
      <c r="V594" s="82">
        <v>0.35</v>
      </c>
      <c r="W594" s="82">
        <v>0.71</v>
      </c>
      <c r="X594" s="82">
        <v>24.78</v>
      </c>
      <c r="Z594" s="191">
        <v>6866312.7</v>
      </c>
      <c r="AA594" s="82">
        <v>18.71</v>
      </c>
      <c r="AB594" s="82">
        <v>-0.29</v>
      </c>
      <c r="AC594" s="82">
        <v>0.29</v>
      </c>
      <c r="AD594" s="191">
        <v>1.129490144116E10</v>
      </c>
    </row>
    <row r="595">
      <c r="A595" s="82" t="s">
        <v>640</v>
      </c>
      <c r="B595" s="82">
        <v>9.04</v>
      </c>
      <c r="C595" s="82">
        <v>3.62</v>
      </c>
      <c r="D595" s="82">
        <v>-31.34</v>
      </c>
      <c r="E595" s="82">
        <v>0.48</v>
      </c>
      <c r="F595" s="82">
        <v>0.28</v>
      </c>
      <c r="G595" s="82">
        <v>8.47</v>
      </c>
      <c r="H595" s="82">
        <v>-2.09</v>
      </c>
      <c r="I595" s="82">
        <v>-1.27</v>
      </c>
      <c r="J595" s="82">
        <v>-19.06</v>
      </c>
      <c r="K595" s="82">
        <v>-19.52</v>
      </c>
      <c r="L595" s="82">
        <v>-0.58</v>
      </c>
      <c r="M595" s="82">
        <v>0.01</v>
      </c>
      <c r="N595" s="82">
        <v>0.4</v>
      </c>
      <c r="O595" s="82">
        <v>0.85</v>
      </c>
      <c r="P595" s="82">
        <v>-0.53</v>
      </c>
      <c r="Q595" s="82">
        <v>3.43</v>
      </c>
      <c r="R595" s="82">
        <v>-1.55</v>
      </c>
      <c r="S595" s="82">
        <v>-0.9</v>
      </c>
      <c r="T595" s="82">
        <v>-2.06</v>
      </c>
      <c r="U595" s="82">
        <v>0.58</v>
      </c>
      <c r="V595" s="82">
        <v>0.35</v>
      </c>
      <c r="W595" s="82">
        <v>0.71</v>
      </c>
      <c r="X595" s="82">
        <v>24.78</v>
      </c>
      <c r="Z595" s="191">
        <v>8.304920065E7</v>
      </c>
      <c r="AA595" s="82">
        <v>18.71</v>
      </c>
      <c r="AB595" s="82">
        <v>-0.29</v>
      </c>
      <c r="AC595" s="82">
        <v>0.29</v>
      </c>
      <c r="AD595" s="191">
        <v>1.129490144116E10</v>
      </c>
    </row>
    <row r="596">
      <c r="A596" s="82" t="s">
        <v>641</v>
      </c>
      <c r="B596" s="82">
        <v>15.19</v>
      </c>
      <c r="C596" s="82">
        <v>2.16</v>
      </c>
      <c r="D596" s="82">
        <v>-52.48</v>
      </c>
      <c r="E596" s="82">
        <v>0.81</v>
      </c>
      <c r="F596" s="82">
        <v>0.47</v>
      </c>
      <c r="G596" s="82">
        <v>8.47</v>
      </c>
      <c r="H596" s="82">
        <v>-2.09</v>
      </c>
      <c r="I596" s="82">
        <v>-1.27</v>
      </c>
      <c r="J596" s="82">
        <v>-31.91</v>
      </c>
      <c r="K596" s="82">
        <v>-19.52</v>
      </c>
      <c r="L596" s="82">
        <v>-0.58</v>
      </c>
      <c r="M596" s="82">
        <v>0.01</v>
      </c>
      <c r="N596" s="82">
        <v>0.67</v>
      </c>
      <c r="O596" s="82">
        <v>1.42</v>
      </c>
      <c r="P596" s="82">
        <v>-0.89</v>
      </c>
      <c r="Q596" s="82">
        <v>3.43</v>
      </c>
      <c r="R596" s="82">
        <v>-1.55</v>
      </c>
      <c r="S596" s="82">
        <v>-0.9</v>
      </c>
      <c r="T596" s="82">
        <v>-2.06</v>
      </c>
      <c r="U596" s="82">
        <v>0.58</v>
      </c>
      <c r="V596" s="82">
        <v>0.35</v>
      </c>
      <c r="W596" s="82">
        <v>0.71</v>
      </c>
      <c r="X596" s="82">
        <v>24.78</v>
      </c>
      <c r="Z596" s="191">
        <v>2301.25</v>
      </c>
      <c r="AA596" s="82">
        <v>18.71</v>
      </c>
      <c r="AB596" s="82">
        <v>-0.29</v>
      </c>
      <c r="AC596" s="82">
        <v>0.49</v>
      </c>
      <c r="AD596" s="191">
        <v>1.129490144116E10</v>
      </c>
    </row>
    <row r="597">
      <c r="A597" s="82" t="s">
        <v>642</v>
      </c>
      <c r="B597" s="82">
        <v>76.65</v>
      </c>
      <c r="C597" s="82">
        <v>7.93</v>
      </c>
      <c r="D597" s="82">
        <v>7.32</v>
      </c>
      <c r="E597" s="82">
        <v>1.83</v>
      </c>
      <c r="F597" s="82">
        <v>0.78</v>
      </c>
      <c r="G597" s="82">
        <v>40.12</v>
      </c>
      <c r="H597" s="82">
        <v>31.07</v>
      </c>
      <c r="I597" s="82">
        <v>23.03</v>
      </c>
      <c r="J597" s="82">
        <v>5.43</v>
      </c>
      <c r="K597" s="82">
        <v>6.2</v>
      </c>
      <c r="L597" s="82">
        <v>0.78</v>
      </c>
      <c r="M597" s="82">
        <v>0.26</v>
      </c>
      <c r="N597" s="82">
        <v>1.69</v>
      </c>
      <c r="O597" s="82">
        <v>67.56</v>
      </c>
      <c r="P597" s="82">
        <v>-0.94</v>
      </c>
      <c r="Q597" s="82">
        <v>1.08</v>
      </c>
      <c r="R597" s="82">
        <v>24.99</v>
      </c>
      <c r="S597" s="82">
        <v>10.66</v>
      </c>
      <c r="T597" s="82">
        <v>21.26</v>
      </c>
      <c r="U597" s="82">
        <v>0.43</v>
      </c>
      <c r="V597" s="82">
        <v>0.56</v>
      </c>
      <c r="W597" s="82">
        <v>0.46</v>
      </c>
      <c r="X597" s="82">
        <v>15.85</v>
      </c>
      <c r="Y597" s="82">
        <v>21.94</v>
      </c>
      <c r="Z597" s="191">
        <v>1.3908565527E9</v>
      </c>
      <c r="AA597" s="82">
        <v>41.9</v>
      </c>
      <c r="AB597" s="82">
        <v>10.47</v>
      </c>
      <c r="AC597" s="82">
        <v>-0.13</v>
      </c>
      <c r="AD597" s="191">
        <v>3.475518104006E11</v>
      </c>
    </row>
    <row r="598">
      <c r="A598" s="82" t="s">
        <v>643</v>
      </c>
      <c r="B598" s="82">
        <v>9.45</v>
      </c>
      <c r="C598" s="82">
        <v>3.57</v>
      </c>
      <c r="D598" s="82">
        <v>16.11</v>
      </c>
      <c r="E598" s="82">
        <v>2.13</v>
      </c>
      <c r="F598" s="82">
        <v>0.54</v>
      </c>
      <c r="G598" s="82">
        <v>44.4</v>
      </c>
      <c r="H598" s="82">
        <v>34.31</v>
      </c>
      <c r="I598" s="82">
        <v>10.72</v>
      </c>
      <c r="J598" s="82">
        <v>5.03</v>
      </c>
      <c r="K598" s="82">
        <v>9.26</v>
      </c>
      <c r="L598" s="82">
        <v>4.23</v>
      </c>
      <c r="M598" s="82">
        <v>1.79</v>
      </c>
      <c r="N598" s="82">
        <v>1.73</v>
      </c>
      <c r="O598" s="82">
        <v>3.66</v>
      </c>
      <c r="P598" s="82">
        <v>-0.76</v>
      </c>
      <c r="Q598" s="82">
        <v>2.03</v>
      </c>
      <c r="R598" s="82">
        <v>13.24</v>
      </c>
      <c r="S598" s="82">
        <v>3.36</v>
      </c>
      <c r="T598" s="82">
        <v>13.27</v>
      </c>
      <c r="U598" s="82">
        <v>0.25</v>
      </c>
      <c r="V598" s="82">
        <v>0.75</v>
      </c>
      <c r="W598" s="82">
        <v>0.31</v>
      </c>
      <c r="X598" s="82">
        <v>64.03</v>
      </c>
      <c r="Y598" s="82">
        <v>51.58</v>
      </c>
      <c r="Z598" s="191">
        <v>7.615305495E7</v>
      </c>
      <c r="AA598" s="82">
        <v>4.42</v>
      </c>
      <c r="AB598" s="82">
        <v>0.58</v>
      </c>
      <c r="AC598" s="82">
        <v>0.76</v>
      </c>
      <c r="AD598" s="191">
        <v>1.039169419429E10</v>
      </c>
    </row>
    <row r="599">
      <c r="A599" s="82" t="s">
        <v>644</v>
      </c>
      <c r="B599" s="82">
        <v>22.84</v>
      </c>
      <c r="C599" s="82">
        <v>1.87</v>
      </c>
      <c r="D599" s="82">
        <v>13.1</v>
      </c>
      <c r="E599" s="82">
        <v>1.97</v>
      </c>
      <c r="F599" s="82">
        <v>0.65</v>
      </c>
      <c r="G599" s="82">
        <v>4.58</v>
      </c>
      <c r="H599" s="82">
        <v>2.47</v>
      </c>
      <c r="I599" s="82">
        <v>1.24</v>
      </c>
      <c r="J599" s="82">
        <v>6.57</v>
      </c>
      <c r="K599" s="82">
        <v>8.89</v>
      </c>
      <c r="L599" s="82">
        <v>2.36</v>
      </c>
      <c r="M599" s="82">
        <v>0.71</v>
      </c>
      <c r="N599" s="82">
        <v>0.16</v>
      </c>
      <c r="O599" s="82">
        <v>2.11</v>
      </c>
      <c r="P599" s="82">
        <v>-1.43</v>
      </c>
      <c r="Q599" s="82">
        <v>2.31</v>
      </c>
      <c r="R599" s="82">
        <v>15.01</v>
      </c>
      <c r="S599" s="82">
        <v>4.97</v>
      </c>
      <c r="T599" s="82">
        <v>11.75</v>
      </c>
      <c r="U599" s="82">
        <v>0.33</v>
      </c>
      <c r="V599" s="82">
        <v>0.67</v>
      </c>
      <c r="W599" s="82">
        <v>4.01</v>
      </c>
      <c r="X599" s="82">
        <v>16.5</v>
      </c>
      <c r="Y599" s="82">
        <v>12.07</v>
      </c>
      <c r="Z599" s="191">
        <v>2.587956049E8</v>
      </c>
      <c r="AA599" s="82">
        <v>11.64</v>
      </c>
      <c r="AB599" s="82">
        <v>1.75</v>
      </c>
      <c r="AC599" s="82">
        <v>6.71</v>
      </c>
      <c r="AD599" s="191">
        <v>2.65387E10</v>
      </c>
    </row>
    <row r="600">
      <c r="A600" s="82" t="s">
        <v>645</v>
      </c>
      <c r="B600" s="82">
        <v>10.04</v>
      </c>
      <c r="C600" s="82">
        <v>0.94</v>
      </c>
      <c r="D600" s="82">
        <v>13.45</v>
      </c>
      <c r="E600" s="82">
        <v>2.32</v>
      </c>
      <c r="F600" s="82">
        <v>1.57</v>
      </c>
      <c r="G600" s="82">
        <v>37.83</v>
      </c>
      <c r="H600" s="82">
        <v>15.21</v>
      </c>
      <c r="I600" s="82">
        <v>14.38</v>
      </c>
      <c r="J600" s="82">
        <v>12.7</v>
      </c>
      <c r="K600" s="82">
        <v>13.86</v>
      </c>
      <c r="L600" s="82">
        <v>1.18</v>
      </c>
      <c r="M600" s="82">
        <v>0.22</v>
      </c>
      <c r="N600" s="82">
        <v>1.93</v>
      </c>
      <c r="O600" s="82">
        <v>4.0</v>
      </c>
      <c r="P600" s="82">
        <v>-4.19</v>
      </c>
      <c r="Q600" s="82">
        <v>2.67</v>
      </c>
      <c r="R600" s="82">
        <v>17.27</v>
      </c>
      <c r="S600" s="82">
        <v>11.65</v>
      </c>
      <c r="T600" s="82">
        <v>13.41</v>
      </c>
      <c r="U600" s="82">
        <v>0.67</v>
      </c>
      <c r="V600" s="82">
        <v>0.33</v>
      </c>
      <c r="W600" s="82">
        <v>0.81</v>
      </c>
      <c r="Z600" s="191">
        <v>2535267.35</v>
      </c>
      <c r="AA600" s="82">
        <v>4.32</v>
      </c>
      <c r="AB600" s="82">
        <v>0.75</v>
      </c>
      <c r="AC600" s="82">
        <v>-0.54</v>
      </c>
      <c r="AD600" s="191">
        <v>1.43335205214E9</v>
      </c>
    </row>
    <row r="601">
      <c r="A601" s="82" t="s">
        <v>646</v>
      </c>
      <c r="B601" s="82">
        <v>34.3</v>
      </c>
      <c r="C601" s="82">
        <v>1.06</v>
      </c>
      <c r="D601" s="82">
        <v>21.16</v>
      </c>
      <c r="E601" s="82">
        <v>4.32</v>
      </c>
      <c r="F601" s="82">
        <v>2.68</v>
      </c>
      <c r="G601" s="82">
        <v>69.55</v>
      </c>
      <c r="H601" s="82">
        <v>21.53</v>
      </c>
      <c r="I601" s="82">
        <v>18.65</v>
      </c>
      <c r="J601" s="82">
        <v>18.33</v>
      </c>
      <c r="K601" s="82">
        <v>18.31</v>
      </c>
      <c r="L601" s="82">
        <v>0.15</v>
      </c>
      <c r="M601" s="82">
        <v>0.04</v>
      </c>
      <c r="N601" s="82">
        <v>3.95</v>
      </c>
      <c r="O601" s="82">
        <v>7.0</v>
      </c>
      <c r="P601" s="82">
        <v>-6.28</v>
      </c>
      <c r="Q601" s="82">
        <v>3.01</v>
      </c>
      <c r="R601" s="82">
        <v>20.4</v>
      </c>
      <c r="S601" s="82">
        <v>12.67</v>
      </c>
      <c r="T601" s="82">
        <v>19.88</v>
      </c>
      <c r="U601" s="82">
        <v>0.62</v>
      </c>
      <c r="V601" s="82">
        <v>0.38</v>
      </c>
      <c r="W601" s="82">
        <v>0.68</v>
      </c>
      <c r="Z601" s="191">
        <v>7.452549465E7</v>
      </c>
      <c r="AA601" s="82">
        <v>7.95</v>
      </c>
      <c r="AB601" s="82">
        <v>1.62</v>
      </c>
      <c r="AC601" s="82">
        <v>1.33</v>
      </c>
      <c r="AD601" s="191">
        <v>8.02363821293E9</v>
      </c>
    </row>
    <row r="602">
      <c r="A602" s="82" t="s">
        <v>647</v>
      </c>
      <c r="B602" s="82">
        <v>5.25</v>
      </c>
      <c r="D602" s="82">
        <v>-1.21</v>
      </c>
      <c r="E602" s="82">
        <v>6.22</v>
      </c>
      <c r="F602" s="82">
        <v>0.41</v>
      </c>
      <c r="G602" s="82">
        <v>24.2</v>
      </c>
      <c r="H602" s="82">
        <v>-125.27</v>
      </c>
      <c r="I602" s="82">
        <v>-123.97</v>
      </c>
      <c r="J602" s="82">
        <v>-1.2</v>
      </c>
      <c r="K602" s="82">
        <v>-1.12</v>
      </c>
      <c r="L602" s="82">
        <v>0.05</v>
      </c>
      <c r="M602" s="82">
        <v>-0.28</v>
      </c>
      <c r="N602" s="82">
        <v>1.5</v>
      </c>
      <c r="O602" s="82">
        <v>20.25</v>
      </c>
      <c r="P602" s="82">
        <v>-0.79</v>
      </c>
      <c r="Q602" s="82">
        <v>1.04</v>
      </c>
      <c r="R602" s="82">
        <v>-514.44</v>
      </c>
      <c r="S602" s="82">
        <v>-33.76</v>
      </c>
      <c r="T602" s="82">
        <v>-264.18</v>
      </c>
      <c r="U602" s="82">
        <v>0.07</v>
      </c>
      <c r="V602" s="82">
        <v>0.93</v>
      </c>
      <c r="W602" s="82">
        <v>0.27</v>
      </c>
      <c r="X602" s="82">
        <v>83.05</v>
      </c>
      <c r="Z602" s="191">
        <v>2036357.15</v>
      </c>
      <c r="AA602" s="82">
        <v>0.84</v>
      </c>
      <c r="AB602" s="82">
        <v>-4.34</v>
      </c>
      <c r="AC602" s="82">
        <v>-0.01</v>
      </c>
      <c r="AD602" s="191">
        <v>1.2146066559E8</v>
      </c>
    </row>
    <row r="603">
      <c r="A603" s="82" t="s">
        <v>648</v>
      </c>
      <c r="B603" s="82">
        <v>52.66</v>
      </c>
      <c r="C603" s="82">
        <v>3.91</v>
      </c>
      <c r="D603" s="82">
        <v>17.86</v>
      </c>
      <c r="E603" s="82">
        <v>1.26</v>
      </c>
      <c r="F603" s="82">
        <v>0.73</v>
      </c>
      <c r="G603" s="82">
        <v>42.85</v>
      </c>
      <c r="H603" s="82">
        <v>14.76</v>
      </c>
      <c r="I603" s="82">
        <v>9.61</v>
      </c>
      <c r="J603" s="82">
        <v>11.63</v>
      </c>
      <c r="K603" s="82">
        <v>13.39</v>
      </c>
      <c r="L603" s="82">
        <v>1.76</v>
      </c>
      <c r="M603" s="82">
        <v>0.19</v>
      </c>
      <c r="N603" s="82">
        <v>1.72</v>
      </c>
      <c r="O603" s="82">
        <v>-52.98</v>
      </c>
      <c r="P603" s="82">
        <v>-0.87</v>
      </c>
      <c r="Q603" s="82">
        <v>0.92</v>
      </c>
      <c r="R603" s="82">
        <v>7.03</v>
      </c>
      <c r="S603" s="82">
        <v>4.06</v>
      </c>
      <c r="T603" s="82">
        <v>7.74</v>
      </c>
      <c r="U603" s="82">
        <v>0.58</v>
      </c>
      <c r="V603" s="82">
        <v>0.42</v>
      </c>
      <c r="W603" s="82">
        <v>0.42</v>
      </c>
      <c r="X603" s="82">
        <v>2.14</v>
      </c>
      <c r="Y603" s="82">
        <v>1.12</v>
      </c>
      <c r="Z603" s="191">
        <v>9.255750745E7</v>
      </c>
      <c r="AA603" s="82">
        <v>41.92</v>
      </c>
      <c r="AB603" s="82">
        <v>2.95</v>
      </c>
      <c r="AC603" s="82">
        <v>-1.63</v>
      </c>
      <c r="AD603" s="191">
        <v>8.69757253868E10</v>
      </c>
    </row>
    <row r="604">
      <c r="A604" s="82" t="s">
        <v>649</v>
      </c>
      <c r="B604" s="82">
        <v>45.34</v>
      </c>
      <c r="D604" s="82">
        <v>15.38</v>
      </c>
      <c r="E604" s="82">
        <v>1.08</v>
      </c>
      <c r="F604" s="82">
        <v>0.62</v>
      </c>
      <c r="G604" s="82">
        <v>42.85</v>
      </c>
      <c r="H604" s="82">
        <v>14.76</v>
      </c>
      <c r="I604" s="82">
        <v>9.61</v>
      </c>
      <c r="J604" s="82">
        <v>10.02</v>
      </c>
      <c r="K604" s="82">
        <v>13.39</v>
      </c>
      <c r="L604" s="82">
        <v>1.76</v>
      </c>
      <c r="M604" s="82">
        <v>0.19</v>
      </c>
      <c r="N604" s="82">
        <v>1.48</v>
      </c>
      <c r="O604" s="82">
        <v>-45.62</v>
      </c>
      <c r="P604" s="82">
        <v>-0.74</v>
      </c>
      <c r="Q604" s="82">
        <v>0.92</v>
      </c>
      <c r="R604" s="82">
        <v>7.03</v>
      </c>
      <c r="S604" s="82">
        <v>4.06</v>
      </c>
      <c r="T604" s="82">
        <v>7.74</v>
      </c>
      <c r="U604" s="82">
        <v>0.58</v>
      </c>
      <c r="V604" s="82">
        <v>0.42</v>
      </c>
      <c r="W604" s="82">
        <v>0.42</v>
      </c>
      <c r="X604" s="82">
        <v>2.14</v>
      </c>
      <c r="Y604" s="82">
        <v>1.12</v>
      </c>
      <c r="AA604" s="82">
        <v>41.92</v>
      </c>
      <c r="AB604" s="82">
        <v>2.95</v>
      </c>
      <c r="AC604" s="82">
        <v>-1.41</v>
      </c>
      <c r="AD604" s="191">
        <v>8.69757253868E10</v>
      </c>
    </row>
    <row r="605">
      <c r="A605" s="82" t="s">
        <v>650</v>
      </c>
      <c r="B605" s="82">
        <v>20.42</v>
      </c>
      <c r="C605" s="82">
        <v>4.47</v>
      </c>
      <c r="D605" s="82">
        <v>8.25</v>
      </c>
      <c r="E605" s="82">
        <v>1.23</v>
      </c>
      <c r="F605" s="82">
        <v>0.62</v>
      </c>
      <c r="G605" s="82">
        <v>38.84</v>
      </c>
      <c r="H605" s="82">
        <v>19.36</v>
      </c>
      <c r="I605" s="82">
        <v>10.32</v>
      </c>
      <c r="J605" s="82">
        <v>4.4</v>
      </c>
      <c r="K605" s="82">
        <v>5.14</v>
      </c>
      <c r="L605" s="82">
        <v>0.74</v>
      </c>
      <c r="M605" s="82">
        <v>0.21</v>
      </c>
      <c r="N605" s="82">
        <v>0.85</v>
      </c>
      <c r="O605" s="82">
        <v>2.48</v>
      </c>
      <c r="P605" s="82">
        <v>-1.26</v>
      </c>
      <c r="Q605" s="82">
        <v>2.0</v>
      </c>
      <c r="R605" s="82">
        <v>14.9</v>
      </c>
      <c r="S605" s="82">
        <v>7.56</v>
      </c>
      <c r="T605" s="82">
        <v>14.76</v>
      </c>
      <c r="U605" s="82">
        <v>0.51</v>
      </c>
      <c r="V605" s="82">
        <v>0.48</v>
      </c>
      <c r="W605" s="82">
        <v>0.73</v>
      </c>
      <c r="X605" s="82">
        <v>3.6</v>
      </c>
      <c r="Y605" s="82">
        <v>48.87</v>
      </c>
      <c r="Z605" s="191">
        <v>1.046760605E7</v>
      </c>
      <c r="AA605" s="82">
        <v>16.6</v>
      </c>
      <c r="AB605" s="82">
        <v>2.47</v>
      </c>
      <c r="AC605" s="82">
        <v>0.01</v>
      </c>
      <c r="AD605" s="191">
        <v>1.67191714125E9</v>
      </c>
    </row>
    <row r="606">
      <c r="A606" s="82" t="s">
        <v>651</v>
      </c>
      <c r="B606" s="82">
        <v>4.99</v>
      </c>
      <c r="D606" s="82">
        <v>-0.32</v>
      </c>
      <c r="E606" s="82">
        <v>0.37</v>
      </c>
      <c r="F606" s="82">
        <v>0.11</v>
      </c>
      <c r="G606" s="82">
        <v>7.78</v>
      </c>
      <c r="H606" s="82">
        <v>-44.27</v>
      </c>
      <c r="I606" s="82">
        <v>-67.63</v>
      </c>
      <c r="J606" s="82">
        <v>-0.49</v>
      </c>
      <c r="K606" s="82">
        <v>-1.03</v>
      </c>
      <c r="L606" s="82">
        <v>-0.54</v>
      </c>
      <c r="M606" s="82">
        <v>0.41</v>
      </c>
      <c r="N606" s="82">
        <v>0.22</v>
      </c>
      <c r="O606" s="82">
        <v>-2.01</v>
      </c>
      <c r="P606" s="82">
        <v>-0.13</v>
      </c>
      <c r="Q606" s="82">
        <v>0.75</v>
      </c>
      <c r="R606" s="82">
        <v>-116.54</v>
      </c>
      <c r="S606" s="82">
        <v>-33.96</v>
      </c>
      <c r="T606" s="82">
        <v>-62.87</v>
      </c>
      <c r="U606" s="82">
        <v>0.29</v>
      </c>
      <c r="V606" s="82">
        <v>0.71</v>
      </c>
      <c r="W606" s="82">
        <v>0.5</v>
      </c>
      <c r="X606" s="82">
        <v>7.49</v>
      </c>
      <c r="AA606" s="82">
        <v>13.44</v>
      </c>
      <c r="AB606" s="82">
        <v>-15.66</v>
      </c>
      <c r="AC606" s="82">
        <v>0.0</v>
      </c>
      <c r="AD606" s="191">
        <v>7.1261084216E8</v>
      </c>
    </row>
    <row r="607">
      <c r="A607" s="82" t="s">
        <v>652</v>
      </c>
      <c r="B607" s="82">
        <v>0.0</v>
      </c>
      <c r="D607" s="82">
        <v>0.0</v>
      </c>
      <c r="E607" s="82">
        <v>0.0</v>
      </c>
      <c r="F607" s="82">
        <v>0.0</v>
      </c>
      <c r="G607" s="82">
        <v>7.78</v>
      </c>
      <c r="H607" s="82">
        <v>-44.27</v>
      </c>
      <c r="I607" s="82">
        <v>-67.63</v>
      </c>
      <c r="J607" s="82">
        <v>0.0</v>
      </c>
      <c r="K607" s="82">
        <v>-1.03</v>
      </c>
      <c r="L607" s="82">
        <v>-0.54</v>
      </c>
      <c r="M607" s="82">
        <v>0.41</v>
      </c>
      <c r="N607" s="82">
        <v>0.0</v>
      </c>
      <c r="O607" s="82">
        <v>0.0</v>
      </c>
      <c r="P607" s="82">
        <v>0.0</v>
      </c>
      <c r="Q607" s="82">
        <v>0.75</v>
      </c>
      <c r="R607" s="82">
        <v>-116.54</v>
      </c>
      <c r="S607" s="82">
        <v>-33.96</v>
      </c>
      <c r="T607" s="82">
        <v>-62.87</v>
      </c>
      <c r="U607" s="82">
        <v>0.29</v>
      </c>
      <c r="V607" s="82">
        <v>0.71</v>
      </c>
      <c r="W607" s="82">
        <v>0.5</v>
      </c>
      <c r="X607" s="82">
        <v>7.49</v>
      </c>
      <c r="AA607" s="82">
        <v>13.44</v>
      </c>
      <c r="AB607" s="82">
        <v>-15.66</v>
      </c>
      <c r="AC607" s="82">
        <v>0.0</v>
      </c>
      <c r="AD607" s="191">
        <v>7.1261084216E8</v>
      </c>
    </row>
    <row r="608">
      <c r="A608" s="82" t="s">
        <v>653</v>
      </c>
      <c r="B608" s="82">
        <v>20.0</v>
      </c>
      <c r="C608" s="82">
        <v>0.58</v>
      </c>
      <c r="D608" s="82">
        <v>9.54</v>
      </c>
      <c r="E608" s="82">
        <v>2.21</v>
      </c>
      <c r="F608" s="82">
        <v>1.35</v>
      </c>
      <c r="G608" s="82">
        <v>64.99</v>
      </c>
      <c r="H608" s="82">
        <v>19.07</v>
      </c>
      <c r="I608" s="82">
        <v>21.51</v>
      </c>
      <c r="J608" s="82">
        <v>10.76</v>
      </c>
      <c r="K608" s="82">
        <v>12.01</v>
      </c>
      <c r="L608" s="82">
        <v>1.24</v>
      </c>
      <c r="M608" s="82">
        <v>0.25</v>
      </c>
      <c r="N608" s="82">
        <v>2.05</v>
      </c>
      <c r="O608" s="82">
        <v>12.75</v>
      </c>
      <c r="P608" s="82">
        <v>-1.99</v>
      </c>
      <c r="Q608" s="82">
        <v>1.48</v>
      </c>
      <c r="R608" s="82">
        <v>23.13</v>
      </c>
      <c r="S608" s="82">
        <v>14.12</v>
      </c>
      <c r="T608" s="82">
        <v>7.46</v>
      </c>
      <c r="U608" s="82">
        <v>0.61</v>
      </c>
      <c r="V608" s="82">
        <v>0.39</v>
      </c>
      <c r="W608" s="82">
        <v>0.66</v>
      </c>
      <c r="X608" s="82">
        <v>-3.13</v>
      </c>
      <c r="Y608" s="82">
        <v>-10.77</v>
      </c>
      <c r="Z608" s="191">
        <v>1118678.47</v>
      </c>
      <c r="AA608" s="82">
        <v>9.07</v>
      </c>
      <c r="AB608" s="82">
        <v>2.1</v>
      </c>
      <c r="AC608" s="82">
        <v>-0.07</v>
      </c>
      <c r="AD608" s="191">
        <v>2.26853848E9</v>
      </c>
    </row>
    <row r="609">
      <c r="A609" s="82" t="s">
        <v>655</v>
      </c>
      <c r="B609" s="82">
        <v>19.77</v>
      </c>
      <c r="C609" s="82">
        <v>3.97</v>
      </c>
      <c r="D609" s="82">
        <v>8.61</v>
      </c>
      <c r="E609" s="82">
        <v>2.45</v>
      </c>
      <c r="F609" s="82">
        <v>1.74</v>
      </c>
      <c r="G609" s="82">
        <v>40.55</v>
      </c>
      <c r="H609" s="82">
        <v>19.67</v>
      </c>
      <c r="I609" s="82">
        <v>20.41</v>
      </c>
      <c r="J609" s="82">
        <v>8.94</v>
      </c>
      <c r="K609" s="82">
        <v>8.83</v>
      </c>
      <c r="L609" s="82">
        <v>0.02</v>
      </c>
      <c r="M609" s="82">
        <v>0.01</v>
      </c>
      <c r="N609" s="82">
        <v>1.76</v>
      </c>
      <c r="O609" s="82">
        <v>3.21</v>
      </c>
      <c r="P609" s="82">
        <v>-5.81</v>
      </c>
      <c r="Q609" s="82">
        <v>4.39</v>
      </c>
      <c r="R609" s="82">
        <v>28.43</v>
      </c>
      <c r="S609" s="82">
        <v>20.16</v>
      </c>
      <c r="T609" s="82">
        <v>21.21</v>
      </c>
      <c r="U609" s="82">
        <v>0.71</v>
      </c>
      <c r="V609" s="82">
        <v>0.29</v>
      </c>
      <c r="W609" s="82">
        <v>0.99</v>
      </c>
      <c r="X609" s="82">
        <v>14.97</v>
      </c>
      <c r="Y609" s="82">
        <v>24.47</v>
      </c>
      <c r="Z609" s="191">
        <v>1.13284491E7</v>
      </c>
      <c r="AA609" s="82">
        <v>8.07</v>
      </c>
      <c r="AB609" s="82">
        <v>2.3</v>
      </c>
      <c r="AC609" s="82">
        <v>0.13</v>
      </c>
      <c r="AD609" s="191">
        <v>4.79290759556E9</v>
      </c>
    </row>
    <row r="610">
      <c r="A610" s="82" t="s">
        <v>1775</v>
      </c>
      <c r="B610" s="82">
        <v>14.58</v>
      </c>
      <c r="D610" s="82">
        <v>-0.78</v>
      </c>
      <c r="E610" s="82">
        <v>0.31</v>
      </c>
      <c r="F610" s="82">
        <v>0.04</v>
      </c>
      <c r="G610" s="82">
        <v>28.99</v>
      </c>
      <c r="H610" s="82">
        <v>-0.55</v>
      </c>
      <c r="I610" s="82">
        <v>-5.91</v>
      </c>
      <c r="J610" s="82">
        <v>-8.3</v>
      </c>
      <c r="K610" s="82">
        <v>-48.25</v>
      </c>
      <c r="L610" s="82">
        <v>-41.99</v>
      </c>
      <c r="M610" s="82">
        <v>1.58</v>
      </c>
      <c r="N610" s="82">
        <v>0.05</v>
      </c>
      <c r="O610" s="82">
        <v>-0.29</v>
      </c>
      <c r="P610" s="82">
        <v>-0.07</v>
      </c>
      <c r="Q610" s="82">
        <v>0.74</v>
      </c>
      <c r="R610" s="82">
        <v>-40.32</v>
      </c>
      <c r="S610" s="82">
        <v>-5.54</v>
      </c>
      <c r="T610" s="82">
        <v>-11.42</v>
      </c>
      <c r="U610" s="82">
        <v>0.14</v>
      </c>
      <c r="V610" s="82">
        <v>0.86</v>
      </c>
      <c r="W610" s="82">
        <v>0.94</v>
      </c>
      <c r="X610" s="82">
        <v>3.76</v>
      </c>
      <c r="AA610" s="82">
        <v>46.63</v>
      </c>
      <c r="AB610" s="82">
        <v>-18.8</v>
      </c>
      <c r="AC610" s="82">
        <v>0.0</v>
      </c>
      <c r="AD610" s="191">
        <v>1.045915541E9</v>
      </c>
    </row>
    <row r="611">
      <c r="A611" s="82" t="s">
        <v>1776</v>
      </c>
      <c r="B611" s="82">
        <v>95.68</v>
      </c>
      <c r="D611" s="82">
        <v>-5.09</v>
      </c>
      <c r="E611" s="82">
        <v>2.05</v>
      </c>
      <c r="F611" s="82">
        <v>0.28</v>
      </c>
      <c r="G611" s="82">
        <v>28.99</v>
      </c>
      <c r="H611" s="82">
        <v>-0.55</v>
      </c>
      <c r="I611" s="82">
        <v>-5.91</v>
      </c>
      <c r="J611" s="82">
        <v>-54.48</v>
      </c>
      <c r="K611" s="82">
        <v>-48.25</v>
      </c>
      <c r="L611" s="82">
        <v>-41.99</v>
      </c>
      <c r="M611" s="82">
        <v>1.58</v>
      </c>
      <c r="N611" s="82">
        <v>0.3</v>
      </c>
      <c r="O611" s="82">
        <v>-1.92</v>
      </c>
      <c r="P611" s="82">
        <v>-0.48</v>
      </c>
      <c r="Q611" s="82">
        <v>0.74</v>
      </c>
      <c r="R611" s="82">
        <v>-40.32</v>
      </c>
      <c r="S611" s="82">
        <v>-5.54</v>
      </c>
      <c r="T611" s="82">
        <v>-11.42</v>
      </c>
      <c r="U611" s="82">
        <v>0.14</v>
      </c>
      <c r="V611" s="82">
        <v>0.86</v>
      </c>
      <c r="W611" s="82">
        <v>0.94</v>
      </c>
      <c r="X611" s="82">
        <v>3.76</v>
      </c>
      <c r="AA611" s="82">
        <v>46.63</v>
      </c>
      <c r="AB611" s="82">
        <v>-18.8</v>
      </c>
      <c r="AC611" s="82">
        <v>0.0</v>
      </c>
      <c r="AD611" s="191">
        <v>1.045915541E9</v>
      </c>
    </row>
    <row r="612">
      <c r="A612" s="82" t="s">
        <v>656</v>
      </c>
      <c r="B612" s="82">
        <v>13.31</v>
      </c>
      <c r="D612" s="82">
        <v>26.55</v>
      </c>
      <c r="E612" s="82">
        <v>1.37</v>
      </c>
      <c r="F612" s="82">
        <v>0.43</v>
      </c>
      <c r="G612" s="82">
        <v>15.9</v>
      </c>
      <c r="H612" s="82">
        <v>6.01</v>
      </c>
      <c r="I612" s="82">
        <v>1.5</v>
      </c>
      <c r="J612" s="82">
        <v>6.61</v>
      </c>
      <c r="K612" s="82">
        <v>9.08</v>
      </c>
      <c r="L612" s="82">
        <v>2.5</v>
      </c>
      <c r="M612" s="82">
        <v>0.52</v>
      </c>
      <c r="N612" s="82">
        <v>0.4</v>
      </c>
      <c r="O612" s="82">
        <v>1.42</v>
      </c>
      <c r="P612" s="82">
        <v>-1.07</v>
      </c>
      <c r="Q612" s="82">
        <v>2.04</v>
      </c>
      <c r="R612" s="82">
        <v>5.17</v>
      </c>
      <c r="S612" s="82">
        <v>1.62</v>
      </c>
      <c r="T612" s="82">
        <v>9.84</v>
      </c>
      <c r="U612" s="82">
        <v>0.31</v>
      </c>
      <c r="V612" s="82">
        <v>0.69</v>
      </c>
      <c r="W612" s="82">
        <v>1.08</v>
      </c>
      <c r="Z612" s="191">
        <v>2.3092322E7</v>
      </c>
      <c r="AA612" s="82">
        <v>9.69</v>
      </c>
      <c r="AB612" s="82">
        <v>0.5</v>
      </c>
      <c r="AC612" s="82">
        <v>-0.63</v>
      </c>
      <c r="AD612" s="191">
        <v>4.277373056E9</v>
      </c>
    </row>
    <row r="613">
      <c r="A613" s="82" t="s">
        <v>658</v>
      </c>
      <c r="B613" s="82">
        <v>36.83</v>
      </c>
      <c r="C613" s="82">
        <v>1.67</v>
      </c>
      <c r="D613" s="82">
        <v>31.11</v>
      </c>
      <c r="E613" s="82">
        <v>9.59</v>
      </c>
      <c r="F613" s="82">
        <v>5.14</v>
      </c>
      <c r="G613" s="82">
        <v>31.56</v>
      </c>
      <c r="H613" s="82">
        <v>18.8</v>
      </c>
      <c r="I613" s="82">
        <v>15.7</v>
      </c>
      <c r="J613" s="82">
        <v>25.98</v>
      </c>
      <c r="K613" s="82">
        <v>25.33</v>
      </c>
      <c r="L613" s="82">
        <v>-0.48</v>
      </c>
      <c r="M613" s="82">
        <v>-0.18</v>
      </c>
      <c r="N613" s="82">
        <v>4.88</v>
      </c>
      <c r="O613" s="82">
        <v>16.07</v>
      </c>
      <c r="P613" s="82">
        <v>-16.57</v>
      </c>
      <c r="Q613" s="82">
        <v>1.86</v>
      </c>
      <c r="R613" s="82">
        <v>30.82</v>
      </c>
      <c r="S613" s="82">
        <v>16.52</v>
      </c>
      <c r="T613" s="82">
        <v>25.44</v>
      </c>
      <c r="U613" s="82">
        <v>0.54</v>
      </c>
      <c r="V613" s="82">
        <v>0.45</v>
      </c>
      <c r="W613" s="82">
        <v>1.05</v>
      </c>
      <c r="X613" s="82">
        <v>25.71</v>
      </c>
      <c r="Y613" s="82">
        <v>34.19</v>
      </c>
      <c r="Z613" s="191">
        <v>1.7717096845E8</v>
      </c>
      <c r="AA613" s="82">
        <v>3.84</v>
      </c>
      <c r="AB613" s="82">
        <v>1.18</v>
      </c>
      <c r="AC613" s="82">
        <v>0.77</v>
      </c>
      <c r="AD613" s="191">
        <v>1.536218387268E11</v>
      </c>
    </row>
    <row r="614">
      <c r="A614" s="82" t="s">
        <v>659</v>
      </c>
      <c r="B614" s="82">
        <v>1.35</v>
      </c>
      <c r="D614" s="82">
        <v>-2.42</v>
      </c>
      <c r="E614" s="82">
        <v>0.55</v>
      </c>
      <c r="F614" s="82">
        <v>0.41</v>
      </c>
      <c r="G614" s="82">
        <v>42.07</v>
      </c>
      <c r="H614" s="82">
        <v>-38.84</v>
      </c>
      <c r="I614" s="82">
        <v>-29.31</v>
      </c>
      <c r="J614" s="82">
        <v>-1.83</v>
      </c>
      <c r="K614" s="82">
        <v>-0.32</v>
      </c>
      <c r="L614" s="82">
        <v>1.5</v>
      </c>
      <c r="M614" s="82">
        <v>-0.45</v>
      </c>
      <c r="N614" s="82">
        <v>0.71</v>
      </c>
      <c r="O614" s="82">
        <v>0.96</v>
      </c>
      <c r="P614" s="82">
        <v>-1.09</v>
      </c>
      <c r="Q614" s="82">
        <v>3.16</v>
      </c>
      <c r="R614" s="82">
        <v>-22.68</v>
      </c>
      <c r="S614" s="82">
        <v>-16.91</v>
      </c>
      <c r="T614" s="82">
        <v>-28.18</v>
      </c>
      <c r="U614" s="82">
        <v>0.75</v>
      </c>
      <c r="V614" s="82">
        <v>0.25</v>
      </c>
      <c r="W614" s="82">
        <v>0.58</v>
      </c>
      <c r="X614" s="82">
        <v>367.94</v>
      </c>
      <c r="Z614" s="191">
        <v>171574.9</v>
      </c>
      <c r="AA614" s="82">
        <v>2.46</v>
      </c>
      <c r="AB614" s="82">
        <v>-0.56</v>
      </c>
      <c r="AC614" s="82">
        <v>-0.07</v>
      </c>
      <c r="AD614" s="191">
        <v>1.4830663596E8</v>
      </c>
    </row>
    <row r="615">
      <c r="A615" s="82" t="s">
        <v>660</v>
      </c>
      <c r="B615" s="82">
        <v>4.4</v>
      </c>
      <c r="C615" s="82">
        <v>5.39</v>
      </c>
      <c r="D615" s="82">
        <v>18.56</v>
      </c>
      <c r="E615" s="82">
        <v>2.58</v>
      </c>
      <c r="F615" s="82">
        <v>0.7</v>
      </c>
      <c r="G615" s="82">
        <v>16.27</v>
      </c>
      <c r="H615" s="82">
        <v>8.15</v>
      </c>
      <c r="I615" s="82">
        <v>3.24</v>
      </c>
      <c r="J615" s="82">
        <v>7.38</v>
      </c>
      <c r="K615" s="82">
        <v>6.81</v>
      </c>
      <c r="L615" s="82">
        <v>-0.71</v>
      </c>
      <c r="M615" s="82">
        <v>-0.25</v>
      </c>
      <c r="N615" s="82">
        <v>0.6</v>
      </c>
      <c r="O615" s="82">
        <v>11.08</v>
      </c>
      <c r="P615" s="82">
        <v>-2.45</v>
      </c>
      <c r="Q615" s="82">
        <v>1.1</v>
      </c>
      <c r="R615" s="82">
        <v>13.92</v>
      </c>
      <c r="S615" s="82">
        <v>3.75</v>
      </c>
      <c r="T615" s="82">
        <v>17.7</v>
      </c>
      <c r="U615" s="82">
        <v>0.27</v>
      </c>
      <c r="V615" s="82">
        <v>0.73</v>
      </c>
      <c r="W615" s="82">
        <v>1.16</v>
      </c>
      <c r="X615" s="82">
        <v>12.32</v>
      </c>
      <c r="Y615" s="82">
        <v>-3.95</v>
      </c>
      <c r="Z615" s="191">
        <v>56730.89</v>
      </c>
      <c r="AA615" s="82">
        <v>1.7</v>
      </c>
      <c r="AB615" s="82">
        <v>0.24</v>
      </c>
      <c r="AC615" s="82">
        <v>-0.54</v>
      </c>
      <c r="AD615" s="191">
        <v>6.74026140718E9</v>
      </c>
    </row>
    <row r="616">
      <c r="A616" s="82" t="s">
        <v>661</v>
      </c>
      <c r="B616" s="82">
        <v>4.61</v>
      </c>
      <c r="C616" s="82">
        <v>16.25</v>
      </c>
      <c r="D616" s="82">
        <v>19.45</v>
      </c>
      <c r="E616" s="82">
        <v>2.71</v>
      </c>
      <c r="F616" s="82">
        <v>0.73</v>
      </c>
      <c r="G616" s="82">
        <v>16.27</v>
      </c>
      <c r="H616" s="82">
        <v>8.15</v>
      </c>
      <c r="I616" s="82">
        <v>3.24</v>
      </c>
      <c r="J616" s="82">
        <v>7.73</v>
      </c>
      <c r="K616" s="82">
        <v>6.81</v>
      </c>
      <c r="L616" s="82">
        <v>-0.71</v>
      </c>
      <c r="M616" s="82">
        <v>-0.25</v>
      </c>
      <c r="N616" s="82">
        <v>0.63</v>
      </c>
      <c r="O616" s="82">
        <v>11.61</v>
      </c>
      <c r="P616" s="82">
        <v>-2.56</v>
      </c>
      <c r="Q616" s="82">
        <v>1.1</v>
      </c>
      <c r="R616" s="82">
        <v>13.92</v>
      </c>
      <c r="S616" s="82">
        <v>3.75</v>
      </c>
      <c r="T616" s="82">
        <v>17.7</v>
      </c>
      <c r="U616" s="82">
        <v>0.27</v>
      </c>
      <c r="V616" s="82">
        <v>0.73</v>
      </c>
      <c r="W616" s="82">
        <v>1.16</v>
      </c>
      <c r="X616" s="82">
        <v>12.32</v>
      </c>
      <c r="Y616" s="82">
        <v>-3.95</v>
      </c>
      <c r="Z616" s="191">
        <v>165252.65</v>
      </c>
      <c r="AA616" s="82">
        <v>1.7</v>
      </c>
      <c r="AB616" s="82">
        <v>0.24</v>
      </c>
      <c r="AC616" s="82">
        <v>-0.57</v>
      </c>
      <c r="AD616" s="191">
        <v>6.74026140718E9</v>
      </c>
    </row>
    <row r="617">
      <c r="A617" s="82" t="s">
        <v>662</v>
      </c>
      <c r="B617" s="82">
        <v>6.93</v>
      </c>
      <c r="C617" s="82">
        <v>6.42</v>
      </c>
      <c r="D617" s="82">
        <v>11.39</v>
      </c>
      <c r="E617" s="82">
        <v>2.41</v>
      </c>
      <c r="F617" s="82">
        <v>0.48</v>
      </c>
      <c r="G617" s="82">
        <v>58.84</v>
      </c>
      <c r="H617" s="82">
        <v>37.07</v>
      </c>
      <c r="I617" s="82">
        <v>9.26</v>
      </c>
      <c r="J617" s="82">
        <v>2.85</v>
      </c>
      <c r="K617" s="82">
        <v>3.07</v>
      </c>
      <c r="L617" s="82">
        <v>0.26</v>
      </c>
      <c r="M617" s="82">
        <v>0.22</v>
      </c>
      <c r="N617" s="82">
        <v>1.06</v>
      </c>
      <c r="O617" s="82">
        <v>-19.02</v>
      </c>
      <c r="P617" s="82">
        <v>-0.63</v>
      </c>
      <c r="Q617" s="82">
        <v>0.9</v>
      </c>
      <c r="R617" s="82">
        <v>21.18</v>
      </c>
      <c r="S617" s="82">
        <v>4.24</v>
      </c>
      <c r="T617" s="82">
        <v>22.73</v>
      </c>
      <c r="U617" s="82">
        <v>0.2</v>
      </c>
      <c r="V617" s="82">
        <v>0.59</v>
      </c>
      <c r="W617" s="82">
        <v>0.46</v>
      </c>
      <c r="X617" s="82">
        <v>12.37</v>
      </c>
      <c r="Y617" s="82">
        <v>-9.41</v>
      </c>
      <c r="Z617" s="191">
        <v>3678836.45</v>
      </c>
      <c r="AA617" s="82">
        <v>2.87</v>
      </c>
      <c r="AB617" s="82">
        <v>0.61</v>
      </c>
      <c r="AC617" s="82">
        <v>-0.3</v>
      </c>
      <c r="AD617" s="191">
        <v>1.09376580888E9</v>
      </c>
    </row>
    <row r="618">
      <c r="A618" s="82" t="s">
        <v>663</v>
      </c>
      <c r="B618" s="82">
        <v>22.35</v>
      </c>
      <c r="C618" s="82">
        <v>2.95</v>
      </c>
      <c r="D618" s="82">
        <v>7.7</v>
      </c>
      <c r="E618" s="82">
        <v>1.21</v>
      </c>
      <c r="F618" s="82">
        <v>0.99</v>
      </c>
      <c r="G618" s="82">
        <v>12.97</v>
      </c>
      <c r="H618" s="82">
        <v>7.04</v>
      </c>
      <c r="I618" s="82">
        <v>4.99</v>
      </c>
      <c r="J618" s="82">
        <v>5.46</v>
      </c>
      <c r="K618" s="82">
        <v>6.0</v>
      </c>
      <c r="L618" s="82">
        <v>-0.61</v>
      </c>
      <c r="M618" s="82">
        <v>-0.14</v>
      </c>
      <c r="N618" s="82">
        <v>0.38</v>
      </c>
      <c r="O618" s="82">
        <v>2.25</v>
      </c>
      <c r="P618" s="82">
        <v>-2.25</v>
      </c>
      <c r="Q618" s="82">
        <v>4.54</v>
      </c>
      <c r="R618" s="82">
        <v>15.77</v>
      </c>
      <c r="S618" s="82">
        <v>12.8</v>
      </c>
      <c r="T618" s="82">
        <v>15.79</v>
      </c>
      <c r="U618" s="82">
        <v>0.81</v>
      </c>
      <c r="V618" s="82">
        <v>0.19</v>
      </c>
      <c r="W618" s="82">
        <v>2.56</v>
      </c>
      <c r="X618" s="82">
        <v>32.16</v>
      </c>
      <c r="Z618" s="191">
        <v>7751.67</v>
      </c>
      <c r="AA618" s="82">
        <v>18.4</v>
      </c>
      <c r="AB618" s="82">
        <v>2.9</v>
      </c>
      <c r="AC618" s="82">
        <v>-1.13</v>
      </c>
      <c r="AD618" s="191">
        <v>9.85513717E8</v>
      </c>
    </row>
    <row r="619">
      <c r="A619" s="82" t="s">
        <v>664</v>
      </c>
      <c r="B619" s="82">
        <v>31.0</v>
      </c>
      <c r="C619" s="82">
        <v>2.34</v>
      </c>
      <c r="D619" s="82">
        <v>10.68</v>
      </c>
      <c r="E619" s="82">
        <v>1.69</v>
      </c>
      <c r="F619" s="82">
        <v>1.37</v>
      </c>
      <c r="G619" s="82">
        <v>12.97</v>
      </c>
      <c r="H619" s="82">
        <v>7.04</v>
      </c>
      <c r="I619" s="82">
        <v>4.99</v>
      </c>
      <c r="J619" s="82">
        <v>7.58</v>
      </c>
      <c r="K619" s="82">
        <v>6.0</v>
      </c>
      <c r="L619" s="82">
        <v>-0.61</v>
      </c>
      <c r="M619" s="82">
        <v>-0.14</v>
      </c>
      <c r="N619" s="82">
        <v>0.53</v>
      </c>
      <c r="O619" s="82">
        <v>3.12</v>
      </c>
      <c r="P619" s="82">
        <v>-3.12</v>
      </c>
      <c r="Q619" s="82">
        <v>4.54</v>
      </c>
      <c r="R619" s="82">
        <v>15.77</v>
      </c>
      <c r="S619" s="82">
        <v>12.8</v>
      </c>
      <c r="T619" s="82">
        <v>15.79</v>
      </c>
      <c r="U619" s="82">
        <v>0.81</v>
      </c>
      <c r="V619" s="82">
        <v>0.19</v>
      </c>
      <c r="W619" s="82">
        <v>2.56</v>
      </c>
      <c r="X619" s="82">
        <v>32.16</v>
      </c>
      <c r="Z619" s="191">
        <v>9117.08</v>
      </c>
      <c r="AA619" s="82">
        <v>18.4</v>
      </c>
      <c r="AB619" s="82">
        <v>2.9</v>
      </c>
      <c r="AC619" s="82">
        <v>-1.56</v>
      </c>
      <c r="AD619" s="191">
        <v>9.85513717E8</v>
      </c>
    </row>
    <row r="620">
      <c r="A620" s="82" t="s">
        <v>665</v>
      </c>
      <c r="B620" s="82">
        <v>21.2</v>
      </c>
      <c r="C620" s="82">
        <v>1.3</v>
      </c>
      <c r="D620" s="82">
        <v>34.84</v>
      </c>
      <c r="E620" s="82">
        <v>2.02</v>
      </c>
      <c r="F620" s="82">
        <v>0.67</v>
      </c>
      <c r="G620" s="82">
        <v>59.29</v>
      </c>
      <c r="H620" s="82">
        <v>17.03</v>
      </c>
      <c r="I620" s="82">
        <v>3.75</v>
      </c>
      <c r="J620" s="82">
        <v>7.66</v>
      </c>
      <c r="K620" s="82">
        <v>12.53</v>
      </c>
      <c r="L620" s="82">
        <v>4.87</v>
      </c>
      <c r="M620" s="82">
        <v>1.29</v>
      </c>
      <c r="N620" s="82">
        <v>1.31</v>
      </c>
      <c r="O620" s="82">
        <v>7.53</v>
      </c>
      <c r="P620" s="82">
        <v>-0.91</v>
      </c>
      <c r="Q620" s="82">
        <v>1.52</v>
      </c>
      <c r="R620" s="82">
        <v>5.81</v>
      </c>
      <c r="S620" s="82">
        <v>1.92</v>
      </c>
      <c r="T620" s="82">
        <v>9.55</v>
      </c>
      <c r="U620" s="82">
        <v>0.33</v>
      </c>
      <c r="V620" s="82">
        <v>0.67</v>
      </c>
      <c r="W620" s="82">
        <v>0.51</v>
      </c>
      <c r="X620" s="82">
        <v>6.2</v>
      </c>
      <c r="Y620" s="82">
        <v>-15.03</v>
      </c>
      <c r="Z620" s="191">
        <v>5.864551085E7</v>
      </c>
      <c r="AA620" s="82">
        <v>10.48</v>
      </c>
      <c r="AB620" s="82">
        <v>0.61</v>
      </c>
      <c r="AC620" s="82">
        <v>-0.07</v>
      </c>
      <c r="AD620" s="191">
        <v>6.5526836412E9</v>
      </c>
    </row>
    <row r="621">
      <c r="A621" s="82" t="s">
        <v>666</v>
      </c>
      <c r="B621" s="82">
        <v>5.55</v>
      </c>
      <c r="D621" s="82">
        <v>-13.27</v>
      </c>
      <c r="E621" s="82">
        <v>1.15</v>
      </c>
      <c r="F621" s="82">
        <v>0.38</v>
      </c>
      <c r="G621" s="82">
        <v>65.31</v>
      </c>
      <c r="H621" s="82">
        <v>2.49</v>
      </c>
      <c r="I621" s="82">
        <v>-3.02</v>
      </c>
      <c r="J621" s="82">
        <v>16.07</v>
      </c>
      <c r="K621" s="82">
        <v>24.1</v>
      </c>
      <c r="L621" s="82">
        <v>7.98</v>
      </c>
      <c r="M621" s="82">
        <v>0.57</v>
      </c>
      <c r="N621" s="82">
        <v>0.4</v>
      </c>
      <c r="O621" s="82">
        <v>57.45</v>
      </c>
      <c r="P621" s="82">
        <v>-0.49</v>
      </c>
      <c r="Q621" s="82">
        <v>1.03</v>
      </c>
      <c r="R621" s="82">
        <v>-8.65</v>
      </c>
      <c r="S621" s="82">
        <v>-2.89</v>
      </c>
      <c r="T621" s="82">
        <v>2.75</v>
      </c>
      <c r="U621" s="82">
        <v>0.33</v>
      </c>
      <c r="V621" s="82">
        <v>0.67</v>
      </c>
      <c r="W621" s="82">
        <v>0.96</v>
      </c>
      <c r="X621" s="82">
        <v>15.36</v>
      </c>
      <c r="Z621" s="191">
        <v>1.31015254E7</v>
      </c>
      <c r="AA621" s="82">
        <v>4.84</v>
      </c>
      <c r="AB621" s="82">
        <v>-0.42</v>
      </c>
      <c r="AC621" s="82">
        <v>-0.24</v>
      </c>
      <c r="AD621" s="191">
        <v>1.53372983979E9</v>
      </c>
    </row>
  </sheetData>
  <drawing r:id="rId1"/>
</worksheet>
</file>